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lopet\Documents\DATA PRO PZS 2021\89301000_FN_Olomouc\Data pro PZS\"/>
    </mc:Choice>
  </mc:AlternateContent>
  <bookViews>
    <workbookView xWindow="0" yWindow="0" windowWidth="28800" windowHeight="11700"/>
  </bookViews>
  <sheets>
    <sheet name="DRGCZ_89301000_2021_05092022" sheetId="1" r:id="rId1"/>
  </sheets>
  <definedNames>
    <definedName name="_xlnm._FilterDatabase" localSheetId="0" hidden="1">DRGCZ_89301000_2021_05092022!$A$1:$L$13521</definedName>
  </definedNames>
  <calcPr calcId="0"/>
</workbook>
</file>

<file path=xl/calcChain.xml><?xml version="1.0" encoding="utf-8"?>
<calcChain xmlns="http://schemas.openxmlformats.org/spreadsheetml/2006/main">
  <c r="A2" i="1" l="1"/>
  <c r="B2" i="1"/>
  <c r="G2" i="1"/>
  <c r="K2" i="1"/>
  <c r="A3" i="1"/>
  <c r="B3" i="1"/>
  <c r="G3" i="1"/>
  <c r="K3" i="1"/>
  <c r="A4" i="1"/>
  <c r="B4" i="1"/>
  <c r="G4" i="1"/>
  <c r="K4" i="1"/>
  <c r="A5" i="1"/>
  <c r="B5" i="1"/>
  <c r="G5" i="1"/>
  <c r="K5" i="1"/>
  <c r="A6" i="1"/>
  <c r="B6" i="1"/>
  <c r="G6" i="1"/>
  <c r="K6" i="1"/>
  <c r="A7" i="1"/>
  <c r="B7" i="1"/>
  <c r="G7" i="1"/>
  <c r="K7" i="1"/>
  <c r="A8" i="1"/>
  <c r="B8" i="1"/>
  <c r="G8" i="1"/>
  <c r="K8" i="1"/>
  <c r="A9" i="1"/>
  <c r="B9" i="1"/>
  <c r="G9" i="1"/>
  <c r="K9" i="1"/>
  <c r="A10" i="1"/>
  <c r="B10" i="1"/>
  <c r="G10" i="1"/>
  <c r="K10" i="1"/>
  <c r="A11" i="1"/>
  <c r="B11" i="1"/>
  <c r="G11" i="1"/>
  <c r="K11" i="1"/>
  <c r="A12" i="1"/>
  <c r="B12" i="1"/>
  <c r="G12" i="1"/>
  <c r="K12" i="1"/>
  <c r="A13" i="1"/>
  <c r="B13" i="1"/>
  <c r="G13" i="1"/>
  <c r="K13" i="1"/>
  <c r="A14" i="1"/>
  <c r="B14" i="1"/>
  <c r="G14" i="1"/>
  <c r="K14" i="1"/>
  <c r="A15" i="1"/>
  <c r="B15" i="1"/>
  <c r="G15" i="1"/>
  <c r="K15" i="1"/>
  <c r="A16" i="1"/>
  <c r="B16" i="1"/>
  <c r="G16" i="1"/>
  <c r="K16" i="1"/>
  <c r="A17" i="1"/>
  <c r="B17" i="1"/>
  <c r="G17" i="1"/>
  <c r="K17" i="1"/>
  <c r="A18" i="1"/>
  <c r="B18" i="1"/>
  <c r="G18" i="1"/>
  <c r="K18" i="1"/>
  <c r="A19" i="1"/>
  <c r="B19" i="1"/>
  <c r="G19" i="1"/>
  <c r="K19" i="1"/>
  <c r="A20" i="1"/>
  <c r="B20" i="1"/>
  <c r="G20" i="1"/>
  <c r="K20" i="1"/>
  <c r="A21" i="1"/>
  <c r="B21" i="1"/>
  <c r="G21" i="1"/>
  <c r="K21" i="1"/>
  <c r="A22" i="1"/>
  <c r="B22" i="1"/>
  <c r="G22" i="1"/>
  <c r="K22" i="1"/>
  <c r="A23" i="1"/>
  <c r="B23" i="1"/>
  <c r="G23" i="1"/>
  <c r="K23" i="1"/>
  <c r="A24" i="1"/>
  <c r="B24" i="1"/>
  <c r="G24" i="1"/>
  <c r="K24" i="1"/>
  <c r="A25" i="1"/>
  <c r="B25" i="1"/>
  <c r="G25" i="1"/>
  <c r="K25" i="1"/>
  <c r="A26" i="1"/>
  <c r="B26" i="1"/>
  <c r="G26" i="1"/>
  <c r="K26" i="1"/>
  <c r="A27" i="1"/>
  <c r="B27" i="1"/>
  <c r="G27" i="1"/>
  <c r="K27" i="1"/>
  <c r="A28" i="1"/>
  <c r="B28" i="1"/>
  <c r="G28" i="1"/>
  <c r="K28" i="1"/>
  <c r="A29" i="1"/>
  <c r="B29" i="1"/>
  <c r="G29" i="1"/>
  <c r="K29" i="1"/>
  <c r="A30" i="1"/>
  <c r="B30" i="1"/>
  <c r="G30" i="1"/>
  <c r="K30" i="1"/>
  <c r="A31" i="1"/>
  <c r="B31" i="1"/>
  <c r="G31" i="1"/>
  <c r="K31" i="1"/>
  <c r="A32" i="1"/>
  <c r="B32" i="1"/>
  <c r="G32" i="1"/>
  <c r="K32" i="1"/>
  <c r="A33" i="1"/>
  <c r="B33" i="1"/>
  <c r="G33" i="1"/>
  <c r="K33" i="1"/>
  <c r="A34" i="1"/>
  <c r="B34" i="1"/>
  <c r="G34" i="1"/>
  <c r="K34" i="1"/>
  <c r="A35" i="1"/>
  <c r="B35" i="1"/>
  <c r="G35" i="1"/>
  <c r="K35" i="1"/>
  <c r="A36" i="1"/>
  <c r="B36" i="1"/>
  <c r="G36" i="1"/>
  <c r="K36" i="1"/>
  <c r="A37" i="1"/>
  <c r="B37" i="1"/>
  <c r="G37" i="1"/>
  <c r="K37" i="1"/>
  <c r="A38" i="1"/>
  <c r="B38" i="1"/>
  <c r="G38" i="1"/>
  <c r="K38" i="1"/>
  <c r="A39" i="1"/>
  <c r="B39" i="1"/>
  <c r="G39" i="1"/>
  <c r="K39" i="1"/>
  <c r="A40" i="1"/>
  <c r="B40" i="1"/>
  <c r="G40" i="1"/>
  <c r="K40" i="1"/>
  <c r="A41" i="1"/>
  <c r="B41" i="1"/>
  <c r="G41" i="1"/>
  <c r="K41" i="1"/>
  <c r="A42" i="1"/>
  <c r="B42" i="1"/>
  <c r="G42" i="1"/>
  <c r="K42" i="1"/>
  <c r="A43" i="1"/>
  <c r="B43" i="1"/>
  <c r="G43" i="1"/>
  <c r="K43" i="1"/>
  <c r="A44" i="1"/>
  <c r="B44" i="1"/>
  <c r="G44" i="1"/>
  <c r="K44" i="1"/>
  <c r="A45" i="1"/>
  <c r="B45" i="1"/>
  <c r="G45" i="1"/>
  <c r="K45" i="1"/>
  <c r="A46" i="1"/>
  <c r="B46" i="1"/>
  <c r="G46" i="1"/>
  <c r="K46" i="1"/>
  <c r="A47" i="1"/>
  <c r="B47" i="1"/>
  <c r="G47" i="1"/>
  <c r="K47" i="1"/>
  <c r="A48" i="1"/>
  <c r="B48" i="1"/>
  <c r="G48" i="1"/>
  <c r="K48" i="1"/>
  <c r="A49" i="1"/>
  <c r="B49" i="1"/>
  <c r="G49" i="1"/>
  <c r="K49" i="1"/>
  <c r="A50" i="1"/>
  <c r="B50" i="1"/>
  <c r="G50" i="1"/>
  <c r="K50" i="1"/>
  <c r="A51" i="1"/>
  <c r="B51" i="1"/>
  <c r="G51" i="1"/>
  <c r="K51" i="1"/>
  <c r="A52" i="1"/>
  <c r="B52" i="1"/>
  <c r="G52" i="1"/>
  <c r="K52" i="1"/>
  <c r="A53" i="1"/>
  <c r="B53" i="1"/>
  <c r="G53" i="1"/>
  <c r="K53" i="1"/>
  <c r="A54" i="1"/>
  <c r="B54" i="1"/>
  <c r="G54" i="1"/>
  <c r="K54" i="1"/>
  <c r="A55" i="1"/>
  <c r="B55" i="1"/>
  <c r="G55" i="1"/>
  <c r="K55" i="1"/>
  <c r="A56" i="1"/>
  <c r="B56" i="1"/>
  <c r="G56" i="1"/>
  <c r="K56" i="1"/>
  <c r="A57" i="1"/>
  <c r="B57" i="1"/>
  <c r="G57" i="1"/>
  <c r="K57" i="1"/>
  <c r="A58" i="1"/>
  <c r="B58" i="1"/>
  <c r="G58" i="1"/>
  <c r="K58" i="1"/>
  <c r="A59" i="1"/>
  <c r="B59" i="1"/>
  <c r="G59" i="1"/>
  <c r="K59" i="1"/>
  <c r="A60" i="1"/>
  <c r="B60" i="1"/>
  <c r="G60" i="1"/>
  <c r="K60" i="1"/>
  <c r="A61" i="1"/>
  <c r="B61" i="1"/>
  <c r="G61" i="1"/>
  <c r="K61" i="1"/>
  <c r="A62" i="1"/>
  <c r="B62" i="1"/>
  <c r="G62" i="1"/>
  <c r="K62" i="1"/>
  <c r="A63" i="1"/>
  <c r="B63" i="1"/>
  <c r="G63" i="1"/>
  <c r="K63" i="1"/>
  <c r="A64" i="1"/>
  <c r="B64" i="1"/>
  <c r="G64" i="1"/>
  <c r="K64" i="1"/>
  <c r="A65" i="1"/>
  <c r="B65" i="1"/>
  <c r="G65" i="1"/>
  <c r="K65" i="1"/>
  <c r="A66" i="1"/>
  <c r="B66" i="1"/>
  <c r="G66" i="1"/>
  <c r="K66" i="1"/>
  <c r="A67" i="1"/>
  <c r="B67" i="1"/>
  <c r="G67" i="1"/>
  <c r="K67" i="1"/>
  <c r="A68" i="1"/>
  <c r="B68" i="1"/>
  <c r="G68" i="1"/>
  <c r="K68" i="1"/>
  <c r="A69" i="1"/>
  <c r="B69" i="1"/>
  <c r="G69" i="1"/>
  <c r="K69" i="1"/>
  <c r="A70" i="1"/>
  <c r="B70" i="1"/>
  <c r="G70" i="1"/>
  <c r="K70" i="1"/>
  <c r="A71" i="1"/>
  <c r="B71" i="1"/>
  <c r="G71" i="1"/>
  <c r="K71" i="1"/>
  <c r="A72" i="1"/>
  <c r="B72" i="1"/>
  <c r="G72" i="1"/>
  <c r="K72" i="1"/>
  <c r="A73" i="1"/>
  <c r="B73" i="1"/>
  <c r="G73" i="1"/>
  <c r="K73" i="1"/>
  <c r="A74" i="1"/>
  <c r="B74" i="1"/>
  <c r="G74" i="1"/>
  <c r="K74" i="1"/>
  <c r="A75" i="1"/>
  <c r="B75" i="1"/>
  <c r="G75" i="1"/>
  <c r="K75" i="1"/>
  <c r="A76" i="1"/>
  <c r="B76" i="1"/>
  <c r="G76" i="1"/>
  <c r="K76" i="1"/>
  <c r="A77" i="1"/>
  <c r="B77" i="1"/>
  <c r="G77" i="1"/>
  <c r="K77" i="1"/>
  <c r="A78" i="1"/>
  <c r="B78" i="1"/>
  <c r="G78" i="1"/>
  <c r="K78" i="1"/>
  <c r="A79" i="1"/>
  <c r="B79" i="1"/>
  <c r="G79" i="1"/>
  <c r="K79" i="1"/>
  <c r="A80" i="1"/>
  <c r="B80" i="1"/>
  <c r="G80" i="1"/>
  <c r="K80" i="1"/>
  <c r="A81" i="1"/>
  <c r="B81" i="1"/>
  <c r="G81" i="1"/>
  <c r="K81" i="1"/>
  <c r="A82" i="1"/>
  <c r="B82" i="1"/>
  <c r="G82" i="1"/>
  <c r="K82" i="1"/>
  <c r="A83" i="1"/>
  <c r="B83" i="1"/>
  <c r="G83" i="1"/>
  <c r="K83" i="1"/>
  <c r="A84" i="1"/>
  <c r="B84" i="1"/>
  <c r="G84" i="1"/>
  <c r="K84" i="1"/>
  <c r="A85" i="1"/>
  <c r="B85" i="1"/>
  <c r="G85" i="1"/>
  <c r="K85" i="1"/>
  <c r="A86" i="1"/>
  <c r="B86" i="1"/>
  <c r="G86" i="1"/>
  <c r="K86" i="1"/>
  <c r="A87" i="1"/>
  <c r="B87" i="1"/>
  <c r="G87" i="1"/>
  <c r="K87" i="1"/>
  <c r="A88" i="1"/>
  <c r="B88" i="1"/>
  <c r="G88" i="1"/>
  <c r="K88" i="1"/>
  <c r="A89" i="1"/>
  <c r="B89" i="1"/>
  <c r="G89" i="1"/>
  <c r="K89" i="1"/>
  <c r="A90" i="1"/>
  <c r="B90" i="1"/>
  <c r="G90" i="1"/>
  <c r="K90" i="1"/>
  <c r="A91" i="1"/>
  <c r="B91" i="1"/>
  <c r="G91" i="1"/>
  <c r="K91" i="1"/>
  <c r="A92" i="1"/>
  <c r="B92" i="1"/>
  <c r="G92" i="1"/>
  <c r="K92" i="1"/>
  <c r="A93" i="1"/>
  <c r="B93" i="1"/>
  <c r="G93" i="1"/>
  <c r="K93" i="1"/>
  <c r="A94" i="1"/>
  <c r="B94" i="1"/>
  <c r="G94" i="1"/>
  <c r="K94" i="1"/>
  <c r="A95" i="1"/>
  <c r="B95" i="1"/>
  <c r="G95" i="1"/>
  <c r="K95" i="1"/>
  <c r="A96" i="1"/>
  <c r="B96" i="1"/>
  <c r="G96" i="1"/>
  <c r="K96" i="1"/>
  <c r="A97" i="1"/>
  <c r="B97" i="1"/>
  <c r="G97" i="1"/>
  <c r="K97" i="1"/>
  <c r="A98" i="1"/>
  <c r="B98" i="1"/>
  <c r="G98" i="1"/>
  <c r="K98" i="1"/>
  <c r="A99" i="1"/>
  <c r="B99" i="1"/>
  <c r="G99" i="1"/>
  <c r="K99" i="1"/>
  <c r="A100" i="1"/>
  <c r="B100" i="1"/>
  <c r="G100" i="1"/>
  <c r="K100" i="1"/>
  <c r="A101" i="1"/>
  <c r="B101" i="1"/>
  <c r="G101" i="1"/>
  <c r="K101" i="1"/>
  <c r="A102" i="1"/>
  <c r="B102" i="1"/>
  <c r="G102" i="1"/>
  <c r="K102" i="1"/>
  <c r="A103" i="1"/>
  <c r="B103" i="1"/>
  <c r="G103" i="1"/>
  <c r="K103" i="1"/>
  <c r="A104" i="1"/>
  <c r="B104" i="1"/>
  <c r="G104" i="1"/>
  <c r="K104" i="1"/>
  <c r="A105" i="1"/>
  <c r="B105" i="1"/>
  <c r="G105" i="1"/>
  <c r="K105" i="1"/>
  <c r="A106" i="1"/>
  <c r="B106" i="1"/>
  <c r="G106" i="1"/>
  <c r="K106" i="1"/>
  <c r="A107" i="1"/>
  <c r="B107" i="1"/>
  <c r="G107" i="1"/>
  <c r="K107" i="1"/>
  <c r="A108" i="1"/>
  <c r="B108" i="1"/>
  <c r="G108" i="1"/>
  <c r="K108" i="1"/>
  <c r="A109" i="1"/>
  <c r="B109" i="1"/>
  <c r="G109" i="1"/>
  <c r="K109" i="1"/>
  <c r="A110" i="1"/>
  <c r="B110" i="1"/>
  <c r="G110" i="1"/>
  <c r="K110" i="1"/>
  <c r="A111" i="1"/>
  <c r="B111" i="1"/>
  <c r="G111" i="1"/>
  <c r="K111" i="1"/>
  <c r="A112" i="1"/>
  <c r="B112" i="1"/>
  <c r="G112" i="1"/>
  <c r="K112" i="1"/>
  <c r="A113" i="1"/>
  <c r="B113" i="1"/>
  <c r="G113" i="1"/>
  <c r="K113" i="1"/>
  <c r="A114" i="1"/>
  <c r="B114" i="1"/>
  <c r="G114" i="1"/>
  <c r="K114" i="1"/>
  <c r="A115" i="1"/>
  <c r="B115" i="1"/>
  <c r="G115" i="1"/>
  <c r="K115" i="1"/>
  <c r="A116" i="1"/>
  <c r="B116" i="1"/>
  <c r="G116" i="1"/>
  <c r="K116" i="1"/>
  <c r="A117" i="1"/>
  <c r="B117" i="1"/>
  <c r="G117" i="1"/>
  <c r="K117" i="1"/>
  <c r="A118" i="1"/>
  <c r="B118" i="1"/>
  <c r="G118" i="1"/>
  <c r="K118" i="1"/>
  <c r="A119" i="1"/>
  <c r="B119" i="1"/>
  <c r="G119" i="1"/>
  <c r="K119" i="1"/>
  <c r="A120" i="1"/>
  <c r="B120" i="1"/>
  <c r="G120" i="1"/>
  <c r="K120" i="1"/>
  <c r="A121" i="1"/>
  <c r="B121" i="1"/>
  <c r="G121" i="1"/>
  <c r="K121" i="1"/>
  <c r="A122" i="1"/>
  <c r="B122" i="1"/>
  <c r="G122" i="1"/>
  <c r="K122" i="1"/>
  <c r="A123" i="1"/>
  <c r="B123" i="1"/>
  <c r="G123" i="1"/>
  <c r="K123" i="1"/>
  <c r="A124" i="1"/>
  <c r="B124" i="1"/>
  <c r="G124" i="1"/>
  <c r="K124" i="1"/>
  <c r="A125" i="1"/>
  <c r="B125" i="1"/>
  <c r="G125" i="1"/>
  <c r="K125" i="1"/>
  <c r="A126" i="1"/>
  <c r="B126" i="1"/>
  <c r="G126" i="1"/>
  <c r="K126" i="1"/>
  <c r="A127" i="1"/>
  <c r="B127" i="1"/>
  <c r="G127" i="1"/>
  <c r="K127" i="1"/>
  <c r="A128" i="1"/>
  <c r="B128" i="1"/>
  <c r="G128" i="1"/>
  <c r="K128" i="1"/>
  <c r="A129" i="1"/>
  <c r="B129" i="1"/>
  <c r="G129" i="1"/>
  <c r="K129" i="1"/>
  <c r="A130" i="1"/>
  <c r="B130" i="1"/>
  <c r="G130" i="1"/>
  <c r="K130" i="1"/>
  <c r="A131" i="1"/>
  <c r="B131" i="1"/>
  <c r="G131" i="1"/>
  <c r="K131" i="1"/>
  <c r="A132" i="1"/>
  <c r="B132" i="1"/>
  <c r="G132" i="1"/>
  <c r="K132" i="1"/>
  <c r="A133" i="1"/>
  <c r="B133" i="1"/>
  <c r="G133" i="1"/>
  <c r="K133" i="1"/>
  <c r="A134" i="1"/>
  <c r="B134" i="1"/>
  <c r="G134" i="1"/>
  <c r="K134" i="1"/>
  <c r="A135" i="1"/>
  <c r="B135" i="1"/>
  <c r="G135" i="1"/>
  <c r="K135" i="1"/>
  <c r="A136" i="1"/>
  <c r="B136" i="1"/>
  <c r="G136" i="1"/>
  <c r="K136" i="1"/>
  <c r="A137" i="1"/>
  <c r="B137" i="1"/>
  <c r="G137" i="1"/>
  <c r="K137" i="1"/>
  <c r="A138" i="1"/>
  <c r="B138" i="1"/>
  <c r="G138" i="1"/>
  <c r="K138" i="1"/>
  <c r="A139" i="1"/>
  <c r="B139" i="1"/>
  <c r="G139" i="1"/>
  <c r="K139" i="1"/>
  <c r="A140" i="1"/>
  <c r="B140" i="1"/>
  <c r="G140" i="1"/>
  <c r="K140" i="1"/>
  <c r="A141" i="1"/>
  <c r="B141" i="1"/>
  <c r="G141" i="1"/>
  <c r="K141" i="1"/>
  <c r="A142" i="1"/>
  <c r="B142" i="1"/>
  <c r="G142" i="1"/>
  <c r="K142" i="1"/>
  <c r="A143" i="1"/>
  <c r="B143" i="1"/>
  <c r="G143" i="1"/>
  <c r="K143" i="1"/>
  <c r="A144" i="1"/>
  <c r="B144" i="1"/>
  <c r="G144" i="1"/>
  <c r="K144" i="1"/>
  <c r="A145" i="1"/>
  <c r="B145" i="1"/>
  <c r="G145" i="1"/>
  <c r="K145" i="1"/>
  <c r="A146" i="1"/>
  <c r="B146" i="1"/>
  <c r="G146" i="1"/>
  <c r="K146" i="1"/>
  <c r="A147" i="1"/>
  <c r="B147" i="1"/>
  <c r="G147" i="1"/>
  <c r="K147" i="1"/>
  <c r="A148" i="1"/>
  <c r="B148" i="1"/>
  <c r="G148" i="1"/>
  <c r="K148" i="1"/>
  <c r="A149" i="1"/>
  <c r="B149" i="1"/>
  <c r="G149" i="1"/>
  <c r="K149" i="1"/>
  <c r="A150" i="1"/>
  <c r="B150" i="1"/>
  <c r="G150" i="1"/>
  <c r="K150" i="1"/>
  <c r="A151" i="1"/>
  <c r="B151" i="1"/>
  <c r="G151" i="1"/>
  <c r="K151" i="1"/>
  <c r="A152" i="1"/>
  <c r="B152" i="1"/>
  <c r="G152" i="1"/>
  <c r="K152" i="1"/>
  <c r="A153" i="1"/>
  <c r="B153" i="1"/>
  <c r="G153" i="1"/>
  <c r="K153" i="1"/>
  <c r="A154" i="1"/>
  <c r="B154" i="1"/>
  <c r="G154" i="1"/>
  <c r="K154" i="1"/>
  <c r="A155" i="1"/>
  <c r="B155" i="1"/>
  <c r="G155" i="1"/>
  <c r="K155" i="1"/>
  <c r="A156" i="1"/>
  <c r="B156" i="1"/>
  <c r="G156" i="1"/>
  <c r="K156" i="1"/>
  <c r="A157" i="1"/>
  <c r="B157" i="1"/>
  <c r="G157" i="1"/>
  <c r="K157" i="1"/>
  <c r="A158" i="1"/>
  <c r="B158" i="1"/>
  <c r="G158" i="1"/>
  <c r="K158" i="1"/>
  <c r="A159" i="1"/>
  <c r="B159" i="1"/>
  <c r="G159" i="1"/>
  <c r="K159" i="1"/>
  <c r="A160" i="1"/>
  <c r="B160" i="1"/>
  <c r="G160" i="1"/>
  <c r="K160" i="1"/>
  <c r="A161" i="1"/>
  <c r="B161" i="1"/>
  <c r="G161" i="1"/>
  <c r="K161" i="1"/>
  <c r="A162" i="1"/>
  <c r="B162" i="1"/>
  <c r="G162" i="1"/>
  <c r="K162" i="1"/>
  <c r="A163" i="1"/>
  <c r="B163" i="1"/>
  <c r="G163" i="1"/>
  <c r="K163" i="1"/>
  <c r="A164" i="1"/>
  <c r="B164" i="1"/>
  <c r="G164" i="1"/>
  <c r="K164" i="1"/>
  <c r="A165" i="1"/>
  <c r="B165" i="1"/>
  <c r="G165" i="1"/>
  <c r="K165" i="1"/>
  <c r="A166" i="1"/>
  <c r="B166" i="1"/>
  <c r="G166" i="1"/>
  <c r="K166" i="1"/>
  <c r="A167" i="1"/>
  <c r="B167" i="1"/>
  <c r="G167" i="1"/>
  <c r="K167" i="1"/>
  <c r="A168" i="1"/>
  <c r="B168" i="1"/>
  <c r="G168" i="1"/>
  <c r="K168" i="1"/>
  <c r="A169" i="1"/>
  <c r="B169" i="1"/>
  <c r="G169" i="1"/>
  <c r="K169" i="1"/>
  <c r="A170" i="1"/>
  <c r="B170" i="1"/>
  <c r="G170" i="1"/>
  <c r="K170" i="1"/>
  <c r="A171" i="1"/>
  <c r="B171" i="1"/>
  <c r="G171" i="1"/>
  <c r="K171" i="1"/>
  <c r="A172" i="1"/>
  <c r="B172" i="1"/>
  <c r="G172" i="1"/>
  <c r="K172" i="1"/>
  <c r="A173" i="1"/>
  <c r="B173" i="1"/>
  <c r="G173" i="1"/>
  <c r="K173" i="1"/>
  <c r="A174" i="1"/>
  <c r="B174" i="1"/>
  <c r="G174" i="1"/>
  <c r="K174" i="1"/>
  <c r="A175" i="1"/>
  <c r="B175" i="1"/>
  <c r="G175" i="1"/>
  <c r="K175" i="1"/>
  <c r="A176" i="1"/>
  <c r="B176" i="1"/>
  <c r="G176" i="1"/>
  <c r="K176" i="1"/>
  <c r="A177" i="1"/>
  <c r="B177" i="1"/>
  <c r="G177" i="1"/>
  <c r="K177" i="1"/>
  <c r="A178" i="1"/>
  <c r="B178" i="1"/>
  <c r="G178" i="1"/>
  <c r="K178" i="1"/>
  <c r="A179" i="1"/>
  <c r="B179" i="1"/>
  <c r="G179" i="1"/>
  <c r="K179" i="1"/>
  <c r="A180" i="1"/>
  <c r="B180" i="1"/>
  <c r="G180" i="1"/>
  <c r="K180" i="1"/>
  <c r="A181" i="1"/>
  <c r="B181" i="1"/>
  <c r="G181" i="1"/>
  <c r="K181" i="1"/>
  <c r="A182" i="1"/>
  <c r="B182" i="1"/>
  <c r="G182" i="1"/>
  <c r="K182" i="1"/>
  <c r="A183" i="1"/>
  <c r="B183" i="1"/>
  <c r="G183" i="1"/>
  <c r="K183" i="1"/>
  <c r="A184" i="1"/>
  <c r="B184" i="1"/>
  <c r="G184" i="1"/>
  <c r="K184" i="1"/>
  <c r="A185" i="1"/>
  <c r="B185" i="1"/>
  <c r="G185" i="1"/>
  <c r="K185" i="1"/>
  <c r="A186" i="1"/>
  <c r="B186" i="1"/>
  <c r="G186" i="1"/>
  <c r="K186" i="1"/>
  <c r="A187" i="1"/>
  <c r="B187" i="1"/>
  <c r="G187" i="1"/>
  <c r="K187" i="1"/>
  <c r="A188" i="1"/>
  <c r="B188" i="1"/>
  <c r="G188" i="1"/>
  <c r="K188" i="1"/>
  <c r="A189" i="1"/>
  <c r="B189" i="1"/>
  <c r="G189" i="1"/>
  <c r="K189" i="1"/>
  <c r="A190" i="1"/>
  <c r="B190" i="1"/>
  <c r="G190" i="1"/>
  <c r="K190" i="1"/>
  <c r="A191" i="1"/>
  <c r="B191" i="1"/>
  <c r="G191" i="1"/>
  <c r="K191" i="1"/>
  <c r="A192" i="1"/>
  <c r="B192" i="1"/>
  <c r="G192" i="1"/>
  <c r="K192" i="1"/>
  <c r="A193" i="1"/>
  <c r="B193" i="1"/>
  <c r="G193" i="1"/>
  <c r="K193" i="1"/>
  <c r="A194" i="1"/>
  <c r="B194" i="1"/>
  <c r="G194" i="1"/>
  <c r="K194" i="1"/>
  <c r="A195" i="1"/>
  <c r="B195" i="1"/>
  <c r="G195" i="1"/>
  <c r="K195" i="1"/>
  <c r="A196" i="1"/>
  <c r="B196" i="1"/>
  <c r="G196" i="1"/>
  <c r="K196" i="1"/>
  <c r="A197" i="1"/>
  <c r="B197" i="1"/>
  <c r="G197" i="1"/>
  <c r="K197" i="1"/>
  <c r="A198" i="1"/>
  <c r="B198" i="1"/>
  <c r="G198" i="1"/>
  <c r="K198" i="1"/>
  <c r="A199" i="1"/>
  <c r="B199" i="1"/>
  <c r="G199" i="1"/>
  <c r="K199" i="1"/>
  <c r="A200" i="1"/>
  <c r="B200" i="1"/>
  <c r="G200" i="1"/>
  <c r="K200" i="1"/>
  <c r="A201" i="1"/>
  <c r="B201" i="1"/>
  <c r="G201" i="1"/>
  <c r="K201" i="1"/>
  <c r="A202" i="1"/>
  <c r="B202" i="1"/>
  <c r="G202" i="1"/>
  <c r="K202" i="1"/>
  <c r="A203" i="1"/>
  <c r="B203" i="1"/>
  <c r="G203" i="1"/>
  <c r="K203" i="1"/>
  <c r="A204" i="1"/>
  <c r="B204" i="1"/>
  <c r="G204" i="1"/>
  <c r="K204" i="1"/>
  <c r="A205" i="1"/>
  <c r="B205" i="1"/>
  <c r="G205" i="1"/>
  <c r="K205" i="1"/>
  <c r="A206" i="1"/>
  <c r="B206" i="1"/>
  <c r="G206" i="1"/>
  <c r="K206" i="1"/>
  <c r="A207" i="1"/>
  <c r="B207" i="1"/>
  <c r="G207" i="1"/>
  <c r="K207" i="1"/>
  <c r="A208" i="1"/>
  <c r="B208" i="1"/>
  <c r="G208" i="1"/>
  <c r="K208" i="1"/>
  <c r="A209" i="1"/>
  <c r="B209" i="1"/>
  <c r="G209" i="1"/>
  <c r="K209" i="1"/>
  <c r="A210" i="1"/>
  <c r="B210" i="1"/>
  <c r="G210" i="1"/>
  <c r="K210" i="1"/>
  <c r="A211" i="1"/>
  <c r="B211" i="1"/>
  <c r="G211" i="1"/>
  <c r="K211" i="1"/>
  <c r="A212" i="1"/>
  <c r="B212" i="1"/>
  <c r="G212" i="1"/>
  <c r="K212" i="1"/>
  <c r="A213" i="1"/>
  <c r="B213" i="1"/>
  <c r="G213" i="1"/>
  <c r="K213" i="1"/>
  <c r="A214" i="1"/>
  <c r="B214" i="1"/>
  <c r="G214" i="1"/>
  <c r="K214" i="1"/>
  <c r="A215" i="1"/>
  <c r="B215" i="1"/>
  <c r="G215" i="1"/>
  <c r="K215" i="1"/>
  <c r="A216" i="1"/>
  <c r="B216" i="1"/>
  <c r="G216" i="1"/>
  <c r="K216" i="1"/>
  <c r="A217" i="1"/>
  <c r="B217" i="1"/>
  <c r="G217" i="1"/>
  <c r="K217" i="1"/>
  <c r="A218" i="1"/>
  <c r="B218" i="1"/>
  <c r="G218" i="1"/>
  <c r="K218" i="1"/>
  <c r="A219" i="1"/>
  <c r="B219" i="1"/>
  <c r="G219" i="1"/>
  <c r="K219" i="1"/>
  <c r="A220" i="1"/>
  <c r="B220" i="1"/>
  <c r="G220" i="1"/>
  <c r="K220" i="1"/>
  <c r="A221" i="1"/>
  <c r="B221" i="1"/>
  <c r="G221" i="1"/>
  <c r="K221" i="1"/>
  <c r="A222" i="1"/>
  <c r="B222" i="1"/>
  <c r="G222" i="1"/>
  <c r="K222" i="1"/>
  <c r="A223" i="1"/>
  <c r="B223" i="1"/>
  <c r="G223" i="1"/>
  <c r="K223" i="1"/>
  <c r="A224" i="1"/>
  <c r="B224" i="1"/>
  <c r="G224" i="1"/>
  <c r="K224" i="1"/>
  <c r="A225" i="1"/>
  <c r="B225" i="1"/>
  <c r="G225" i="1"/>
  <c r="K225" i="1"/>
  <c r="A226" i="1"/>
  <c r="B226" i="1"/>
  <c r="G226" i="1"/>
  <c r="K226" i="1"/>
  <c r="A227" i="1"/>
  <c r="B227" i="1"/>
  <c r="G227" i="1"/>
  <c r="K227" i="1"/>
  <c r="A228" i="1"/>
  <c r="B228" i="1"/>
  <c r="G228" i="1"/>
  <c r="K228" i="1"/>
  <c r="A229" i="1"/>
  <c r="B229" i="1"/>
  <c r="G229" i="1"/>
  <c r="K229" i="1"/>
  <c r="A230" i="1"/>
  <c r="B230" i="1"/>
  <c r="G230" i="1"/>
  <c r="K230" i="1"/>
  <c r="A231" i="1"/>
  <c r="B231" i="1"/>
  <c r="G231" i="1"/>
  <c r="K231" i="1"/>
  <c r="A232" i="1"/>
  <c r="B232" i="1"/>
  <c r="G232" i="1"/>
  <c r="K232" i="1"/>
  <c r="A233" i="1"/>
  <c r="B233" i="1"/>
  <c r="G233" i="1"/>
  <c r="K233" i="1"/>
  <c r="A234" i="1"/>
  <c r="B234" i="1"/>
  <c r="G234" i="1"/>
  <c r="K234" i="1"/>
  <c r="A235" i="1"/>
  <c r="B235" i="1"/>
  <c r="G235" i="1"/>
  <c r="K235" i="1"/>
  <c r="A236" i="1"/>
  <c r="B236" i="1"/>
  <c r="G236" i="1"/>
  <c r="K236" i="1"/>
  <c r="A237" i="1"/>
  <c r="B237" i="1"/>
  <c r="G237" i="1"/>
  <c r="K237" i="1"/>
  <c r="A238" i="1"/>
  <c r="B238" i="1"/>
  <c r="G238" i="1"/>
  <c r="K238" i="1"/>
  <c r="A239" i="1"/>
  <c r="B239" i="1"/>
  <c r="G239" i="1"/>
  <c r="K239" i="1"/>
  <c r="A240" i="1"/>
  <c r="B240" i="1"/>
  <c r="G240" i="1"/>
  <c r="K240" i="1"/>
  <c r="A241" i="1"/>
  <c r="B241" i="1"/>
  <c r="G241" i="1"/>
  <c r="K241" i="1"/>
  <c r="A242" i="1"/>
  <c r="B242" i="1"/>
  <c r="G242" i="1"/>
  <c r="K242" i="1"/>
  <c r="A243" i="1"/>
  <c r="B243" i="1"/>
  <c r="G243" i="1"/>
  <c r="K243" i="1"/>
  <c r="A244" i="1"/>
  <c r="B244" i="1"/>
  <c r="G244" i="1"/>
  <c r="K244" i="1"/>
  <c r="A245" i="1"/>
  <c r="B245" i="1"/>
  <c r="G245" i="1"/>
  <c r="K245" i="1"/>
  <c r="A246" i="1"/>
  <c r="B246" i="1"/>
  <c r="G246" i="1"/>
  <c r="K246" i="1"/>
  <c r="A247" i="1"/>
  <c r="B247" i="1"/>
  <c r="G247" i="1"/>
  <c r="K247" i="1"/>
  <c r="A248" i="1"/>
  <c r="B248" i="1"/>
  <c r="G248" i="1"/>
  <c r="K248" i="1"/>
  <c r="A249" i="1"/>
  <c r="B249" i="1"/>
  <c r="G249" i="1"/>
  <c r="K249" i="1"/>
  <c r="A250" i="1"/>
  <c r="B250" i="1"/>
  <c r="G250" i="1"/>
  <c r="K250" i="1"/>
  <c r="A251" i="1"/>
  <c r="B251" i="1"/>
  <c r="G251" i="1"/>
  <c r="K251" i="1"/>
  <c r="A252" i="1"/>
  <c r="B252" i="1"/>
  <c r="G252" i="1"/>
  <c r="K252" i="1"/>
  <c r="A253" i="1"/>
  <c r="B253" i="1"/>
  <c r="G253" i="1"/>
  <c r="K253" i="1"/>
  <c r="A254" i="1"/>
  <c r="B254" i="1"/>
  <c r="G254" i="1"/>
  <c r="K254" i="1"/>
  <c r="A255" i="1"/>
  <c r="B255" i="1"/>
  <c r="G255" i="1"/>
  <c r="K255" i="1"/>
  <c r="A256" i="1"/>
  <c r="B256" i="1"/>
  <c r="G256" i="1"/>
  <c r="K256" i="1"/>
  <c r="A257" i="1"/>
  <c r="B257" i="1"/>
  <c r="G257" i="1"/>
  <c r="K257" i="1"/>
  <c r="A258" i="1"/>
  <c r="B258" i="1"/>
  <c r="G258" i="1"/>
  <c r="K258" i="1"/>
  <c r="A259" i="1"/>
  <c r="B259" i="1"/>
  <c r="G259" i="1"/>
  <c r="K259" i="1"/>
  <c r="A260" i="1"/>
  <c r="B260" i="1"/>
  <c r="G260" i="1"/>
  <c r="K260" i="1"/>
  <c r="A261" i="1"/>
  <c r="B261" i="1"/>
  <c r="G261" i="1"/>
  <c r="K261" i="1"/>
  <c r="A262" i="1"/>
  <c r="B262" i="1"/>
  <c r="G262" i="1"/>
  <c r="K262" i="1"/>
  <c r="A263" i="1"/>
  <c r="B263" i="1"/>
  <c r="G263" i="1"/>
  <c r="K263" i="1"/>
  <c r="A264" i="1"/>
  <c r="B264" i="1"/>
  <c r="G264" i="1"/>
  <c r="K264" i="1"/>
  <c r="A265" i="1"/>
  <c r="B265" i="1"/>
  <c r="G265" i="1"/>
  <c r="K265" i="1"/>
  <c r="A266" i="1"/>
  <c r="B266" i="1"/>
  <c r="G266" i="1"/>
  <c r="K266" i="1"/>
  <c r="A267" i="1"/>
  <c r="B267" i="1"/>
  <c r="G267" i="1"/>
  <c r="K267" i="1"/>
  <c r="A268" i="1"/>
  <c r="B268" i="1"/>
  <c r="G268" i="1"/>
  <c r="K268" i="1"/>
  <c r="A269" i="1"/>
  <c r="B269" i="1"/>
  <c r="G269" i="1"/>
  <c r="K269" i="1"/>
  <c r="A270" i="1"/>
  <c r="B270" i="1"/>
  <c r="G270" i="1"/>
  <c r="K270" i="1"/>
  <c r="A271" i="1"/>
  <c r="B271" i="1"/>
  <c r="G271" i="1"/>
  <c r="K271" i="1"/>
  <c r="A272" i="1"/>
  <c r="B272" i="1"/>
  <c r="G272" i="1"/>
  <c r="K272" i="1"/>
  <c r="A273" i="1"/>
  <c r="B273" i="1"/>
  <c r="G273" i="1"/>
  <c r="K273" i="1"/>
  <c r="A274" i="1"/>
  <c r="B274" i="1"/>
  <c r="G274" i="1"/>
  <c r="K274" i="1"/>
  <c r="A275" i="1"/>
  <c r="B275" i="1"/>
  <c r="G275" i="1"/>
  <c r="K275" i="1"/>
  <c r="A276" i="1"/>
  <c r="B276" i="1"/>
  <c r="G276" i="1"/>
  <c r="K276" i="1"/>
  <c r="A277" i="1"/>
  <c r="B277" i="1"/>
  <c r="G277" i="1"/>
  <c r="K277" i="1"/>
  <c r="A278" i="1"/>
  <c r="B278" i="1"/>
  <c r="G278" i="1"/>
  <c r="K278" i="1"/>
  <c r="A279" i="1"/>
  <c r="B279" i="1"/>
  <c r="G279" i="1"/>
  <c r="K279" i="1"/>
  <c r="A280" i="1"/>
  <c r="B280" i="1"/>
  <c r="G280" i="1"/>
  <c r="K280" i="1"/>
  <c r="A281" i="1"/>
  <c r="B281" i="1"/>
  <c r="G281" i="1"/>
  <c r="K281" i="1"/>
  <c r="A282" i="1"/>
  <c r="B282" i="1"/>
  <c r="G282" i="1"/>
  <c r="K282" i="1"/>
  <c r="A283" i="1"/>
  <c r="B283" i="1"/>
  <c r="G283" i="1"/>
  <c r="K283" i="1"/>
  <c r="A284" i="1"/>
  <c r="B284" i="1"/>
  <c r="G284" i="1"/>
  <c r="K284" i="1"/>
  <c r="A285" i="1"/>
  <c r="B285" i="1"/>
  <c r="G285" i="1"/>
  <c r="K285" i="1"/>
  <c r="A286" i="1"/>
  <c r="B286" i="1"/>
  <c r="G286" i="1"/>
  <c r="K286" i="1"/>
  <c r="A287" i="1"/>
  <c r="B287" i="1"/>
  <c r="G287" i="1"/>
  <c r="K287" i="1"/>
  <c r="A288" i="1"/>
  <c r="B288" i="1"/>
  <c r="G288" i="1"/>
  <c r="K288" i="1"/>
  <c r="A289" i="1"/>
  <c r="B289" i="1"/>
  <c r="G289" i="1"/>
  <c r="K289" i="1"/>
  <c r="A290" i="1"/>
  <c r="B290" i="1"/>
  <c r="G290" i="1"/>
  <c r="K290" i="1"/>
  <c r="A291" i="1"/>
  <c r="B291" i="1"/>
  <c r="G291" i="1"/>
  <c r="K291" i="1"/>
  <c r="A292" i="1"/>
  <c r="B292" i="1"/>
  <c r="G292" i="1"/>
  <c r="K292" i="1"/>
  <c r="A293" i="1"/>
  <c r="B293" i="1"/>
  <c r="G293" i="1"/>
  <c r="K293" i="1"/>
  <c r="A294" i="1"/>
  <c r="B294" i="1"/>
  <c r="G294" i="1"/>
  <c r="K294" i="1"/>
  <c r="A295" i="1"/>
  <c r="B295" i="1"/>
  <c r="G295" i="1"/>
  <c r="K295" i="1"/>
  <c r="A296" i="1"/>
  <c r="B296" i="1"/>
  <c r="G296" i="1"/>
  <c r="K296" i="1"/>
  <c r="A297" i="1"/>
  <c r="B297" i="1"/>
  <c r="G297" i="1"/>
  <c r="K297" i="1"/>
  <c r="A298" i="1"/>
  <c r="B298" i="1"/>
  <c r="G298" i="1"/>
  <c r="K298" i="1"/>
  <c r="A299" i="1"/>
  <c r="B299" i="1"/>
  <c r="G299" i="1"/>
  <c r="K299" i="1"/>
  <c r="A300" i="1"/>
  <c r="B300" i="1"/>
  <c r="G300" i="1"/>
  <c r="K300" i="1"/>
  <c r="A301" i="1"/>
  <c r="B301" i="1"/>
  <c r="G301" i="1"/>
  <c r="K301" i="1"/>
  <c r="A302" i="1"/>
  <c r="B302" i="1"/>
  <c r="G302" i="1"/>
  <c r="K302" i="1"/>
  <c r="A303" i="1"/>
  <c r="B303" i="1"/>
  <c r="G303" i="1"/>
  <c r="K303" i="1"/>
  <c r="A304" i="1"/>
  <c r="B304" i="1"/>
  <c r="G304" i="1"/>
  <c r="K304" i="1"/>
  <c r="A305" i="1"/>
  <c r="B305" i="1"/>
  <c r="G305" i="1"/>
  <c r="K305" i="1"/>
  <c r="A306" i="1"/>
  <c r="B306" i="1"/>
  <c r="G306" i="1"/>
  <c r="K306" i="1"/>
  <c r="A307" i="1"/>
  <c r="B307" i="1"/>
  <c r="G307" i="1"/>
  <c r="K307" i="1"/>
  <c r="A308" i="1"/>
  <c r="B308" i="1"/>
  <c r="G308" i="1"/>
  <c r="K308" i="1"/>
  <c r="A309" i="1"/>
  <c r="B309" i="1"/>
  <c r="G309" i="1"/>
  <c r="K309" i="1"/>
  <c r="A310" i="1"/>
  <c r="B310" i="1"/>
  <c r="G310" i="1"/>
  <c r="K310" i="1"/>
  <c r="A311" i="1"/>
  <c r="B311" i="1"/>
  <c r="G311" i="1"/>
  <c r="K311" i="1"/>
  <c r="A312" i="1"/>
  <c r="B312" i="1"/>
  <c r="G312" i="1"/>
  <c r="K312" i="1"/>
  <c r="A313" i="1"/>
  <c r="B313" i="1"/>
  <c r="G313" i="1"/>
  <c r="K313" i="1"/>
  <c r="A314" i="1"/>
  <c r="B314" i="1"/>
  <c r="G314" i="1"/>
  <c r="K314" i="1"/>
  <c r="A315" i="1"/>
  <c r="B315" i="1"/>
  <c r="G315" i="1"/>
  <c r="K315" i="1"/>
  <c r="A316" i="1"/>
  <c r="B316" i="1"/>
  <c r="G316" i="1"/>
  <c r="K316" i="1"/>
  <c r="A317" i="1"/>
  <c r="B317" i="1"/>
  <c r="G317" i="1"/>
  <c r="K317" i="1"/>
  <c r="A318" i="1"/>
  <c r="B318" i="1"/>
  <c r="G318" i="1"/>
  <c r="K318" i="1"/>
  <c r="A319" i="1"/>
  <c r="B319" i="1"/>
  <c r="G319" i="1"/>
  <c r="K319" i="1"/>
  <c r="A320" i="1"/>
  <c r="B320" i="1"/>
  <c r="G320" i="1"/>
  <c r="K320" i="1"/>
  <c r="A321" i="1"/>
  <c r="B321" i="1"/>
  <c r="G321" i="1"/>
  <c r="K321" i="1"/>
  <c r="A322" i="1"/>
  <c r="B322" i="1"/>
  <c r="G322" i="1"/>
  <c r="K322" i="1"/>
  <c r="A323" i="1"/>
  <c r="B323" i="1"/>
  <c r="G323" i="1"/>
  <c r="K323" i="1"/>
  <c r="A324" i="1"/>
  <c r="B324" i="1"/>
  <c r="G324" i="1"/>
  <c r="K324" i="1"/>
  <c r="A325" i="1"/>
  <c r="B325" i="1"/>
  <c r="G325" i="1"/>
  <c r="K325" i="1"/>
  <c r="A326" i="1"/>
  <c r="B326" i="1"/>
  <c r="G326" i="1"/>
  <c r="K326" i="1"/>
  <c r="A327" i="1"/>
  <c r="B327" i="1"/>
  <c r="G327" i="1"/>
  <c r="K327" i="1"/>
  <c r="A328" i="1"/>
  <c r="B328" i="1"/>
  <c r="G328" i="1"/>
  <c r="K328" i="1"/>
  <c r="A329" i="1"/>
  <c r="B329" i="1"/>
  <c r="G329" i="1"/>
  <c r="K329" i="1"/>
  <c r="A330" i="1"/>
  <c r="B330" i="1"/>
  <c r="G330" i="1"/>
  <c r="K330" i="1"/>
  <c r="A331" i="1"/>
  <c r="B331" i="1"/>
  <c r="G331" i="1"/>
  <c r="K331" i="1"/>
  <c r="A332" i="1"/>
  <c r="B332" i="1"/>
  <c r="G332" i="1"/>
  <c r="K332" i="1"/>
  <c r="A333" i="1"/>
  <c r="B333" i="1"/>
  <c r="G333" i="1"/>
  <c r="K333" i="1"/>
  <c r="A334" i="1"/>
  <c r="B334" i="1"/>
  <c r="G334" i="1"/>
  <c r="K334" i="1"/>
  <c r="A335" i="1"/>
  <c r="B335" i="1"/>
  <c r="G335" i="1"/>
  <c r="K335" i="1"/>
  <c r="A336" i="1"/>
  <c r="B336" i="1"/>
  <c r="G336" i="1"/>
  <c r="K336" i="1"/>
  <c r="A337" i="1"/>
  <c r="B337" i="1"/>
  <c r="G337" i="1"/>
  <c r="K337" i="1"/>
  <c r="A338" i="1"/>
  <c r="B338" i="1"/>
  <c r="G338" i="1"/>
  <c r="K338" i="1"/>
  <c r="A339" i="1"/>
  <c r="B339" i="1"/>
  <c r="G339" i="1"/>
  <c r="K339" i="1"/>
  <c r="A340" i="1"/>
  <c r="B340" i="1"/>
  <c r="G340" i="1"/>
  <c r="K340" i="1"/>
  <c r="A341" i="1"/>
  <c r="B341" i="1"/>
  <c r="G341" i="1"/>
  <c r="K341" i="1"/>
  <c r="A342" i="1"/>
  <c r="B342" i="1"/>
  <c r="G342" i="1"/>
  <c r="K342" i="1"/>
  <c r="A343" i="1"/>
  <c r="B343" i="1"/>
  <c r="G343" i="1"/>
  <c r="K343" i="1"/>
  <c r="A344" i="1"/>
  <c r="B344" i="1"/>
  <c r="G344" i="1"/>
  <c r="K344" i="1"/>
  <c r="A345" i="1"/>
  <c r="B345" i="1"/>
  <c r="G345" i="1"/>
  <c r="K345" i="1"/>
  <c r="A346" i="1"/>
  <c r="B346" i="1"/>
  <c r="G346" i="1"/>
  <c r="K346" i="1"/>
  <c r="A347" i="1"/>
  <c r="B347" i="1"/>
  <c r="G347" i="1"/>
  <c r="K347" i="1"/>
  <c r="A348" i="1"/>
  <c r="B348" i="1"/>
  <c r="G348" i="1"/>
  <c r="K348" i="1"/>
  <c r="A349" i="1"/>
  <c r="B349" i="1"/>
  <c r="G349" i="1"/>
  <c r="K349" i="1"/>
  <c r="A350" i="1"/>
  <c r="B350" i="1"/>
  <c r="G350" i="1"/>
  <c r="K350" i="1"/>
  <c r="A351" i="1"/>
  <c r="B351" i="1"/>
  <c r="G351" i="1"/>
  <c r="K351" i="1"/>
  <c r="A352" i="1"/>
  <c r="B352" i="1"/>
  <c r="G352" i="1"/>
  <c r="K352" i="1"/>
  <c r="A353" i="1"/>
  <c r="B353" i="1"/>
  <c r="G353" i="1"/>
  <c r="K353" i="1"/>
  <c r="A354" i="1"/>
  <c r="B354" i="1"/>
  <c r="G354" i="1"/>
  <c r="K354" i="1"/>
  <c r="A355" i="1"/>
  <c r="B355" i="1"/>
  <c r="G355" i="1"/>
  <c r="K355" i="1"/>
  <c r="A356" i="1"/>
  <c r="B356" i="1"/>
  <c r="G356" i="1"/>
  <c r="K356" i="1"/>
  <c r="A357" i="1"/>
  <c r="B357" i="1"/>
  <c r="G357" i="1"/>
  <c r="K357" i="1"/>
  <c r="A358" i="1"/>
  <c r="B358" i="1"/>
  <c r="G358" i="1"/>
  <c r="K358" i="1"/>
  <c r="A359" i="1"/>
  <c r="B359" i="1"/>
  <c r="G359" i="1"/>
  <c r="K359" i="1"/>
  <c r="A360" i="1"/>
  <c r="B360" i="1"/>
  <c r="G360" i="1"/>
  <c r="K360" i="1"/>
  <c r="A361" i="1"/>
  <c r="B361" i="1"/>
  <c r="G361" i="1"/>
  <c r="K361" i="1"/>
  <c r="A362" i="1"/>
  <c r="B362" i="1"/>
  <c r="G362" i="1"/>
  <c r="K362" i="1"/>
  <c r="A363" i="1"/>
  <c r="B363" i="1"/>
  <c r="G363" i="1"/>
  <c r="K363" i="1"/>
  <c r="A364" i="1"/>
  <c r="B364" i="1"/>
  <c r="G364" i="1"/>
  <c r="K364" i="1"/>
  <c r="A365" i="1"/>
  <c r="B365" i="1"/>
  <c r="G365" i="1"/>
  <c r="K365" i="1"/>
  <c r="A366" i="1"/>
  <c r="B366" i="1"/>
  <c r="G366" i="1"/>
  <c r="K366" i="1"/>
  <c r="A367" i="1"/>
  <c r="B367" i="1"/>
  <c r="G367" i="1"/>
  <c r="K367" i="1"/>
  <c r="A368" i="1"/>
  <c r="B368" i="1"/>
  <c r="G368" i="1"/>
  <c r="K368" i="1"/>
  <c r="A369" i="1"/>
  <c r="B369" i="1"/>
  <c r="G369" i="1"/>
  <c r="K369" i="1"/>
  <c r="A370" i="1"/>
  <c r="B370" i="1"/>
  <c r="G370" i="1"/>
  <c r="K370" i="1"/>
  <c r="A371" i="1"/>
  <c r="B371" i="1"/>
  <c r="G371" i="1"/>
  <c r="K371" i="1"/>
  <c r="A372" i="1"/>
  <c r="B372" i="1"/>
  <c r="G372" i="1"/>
  <c r="K372" i="1"/>
  <c r="A373" i="1"/>
  <c r="B373" i="1"/>
  <c r="G373" i="1"/>
  <c r="K373" i="1"/>
  <c r="A374" i="1"/>
  <c r="B374" i="1"/>
  <c r="G374" i="1"/>
  <c r="K374" i="1"/>
  <c r="A375" i="1"/>
  <c r="B375" i="1"/>
  <c r="G375" i="1"/>
  <c r="K375" i="1"/>
  <c r="A376" i="1"/>
  <c r="B376" i="1"/>
  <c r="G376" i="1"/>
  <c r="K376" i="1"/>
  <c r="A377" i="1"/>
  <c r="B377" i="1"/>
  <c r="G377" i="1"/>
  <c r="K377" i="1"/>
  <c r="A378" i="1"/>
  <c r="B378" i="1"/>
  <c r="G378" i="1"/>
  <c r="K378" i="1"/>
  <c r="A379" i="1"/>
  <c r="B379" i="1"/>
  <c r="G379" i="1"/>
  <c r="K379" i="1"/>
  <c r="A380" i="1"/>
  <c r="B380" i="1"/>
  <c r="G380" i="1"/>
  <c r="K380" i="1"/>
  <c r="A381" i="1"/>
  <c r="B381" i="1"/>
  <c r="G381" i="1"/>
  <c r="K381" i="1"/>
  <c r="A382" i="1"/>
  <c r="B382" i="1"/>
  <c r="G382" i="1"/>
  <c r="K382" i="1"/>
  <c r="A383" i="1"/>
  <c r="B383" i="1"/>
  <c r="G383" i="1"/>
  <c r="K383" i="1"/>
  <c r="A384" i="1"/>
  <c r="B384" i="1"/>
  <c r="G384" i="1"/>
  <c r="K384" i="1"/>
  <c r="A385" i="1"/>
  <c r="B385" i="1"/>
  <c r="G385" i="1"/>
  <c r="K385" i="1"/>
  <c r="A386" i="1"/>
  <c r="B386" i="1"/>
  <c r="G386" i="1"/>
  <c r="K386" i="1"/>
  <c r="A387" i="1"/>
  <c r="B387" i="1"/>
  <c r="G387" i="1"/>
  <c r="K387" i="1"/>
  <c r="A388" i="1"/>
  <c r="B388" i="1"/>
  <c r="G388" i="1"/>
  <c r="K388" i="1"/>
  <c r="A389" i="1"/>
  <c r="B389" i="1"/>
  <c r="G389" i="1"/>
  <c r="K389" i="1"/>
  <c r="A390" i="1"/>
  <c r="B390" i="1"/>
  <c r="G390" i="1"/>
  <c r="K390" i="1"/>
  <c r="A391" i="1"/>
  <c r="B391" i="1"/>
  <c r="G391" i="1"/>
  <c r="K391" i="1"/>
  <c r="A392" i="1"/>
  <c r="B392" i="1"/>
  <c r="G392" i="1"/>
  <c r="K392" i="1"/>
  <c r="A393" i="1"/>
  <c r="B393" i="1"/>
  <c r="G393" i="1"/>
  <c r="K393" i="1"/>
  <c r="A394" i="1"/>
  <c r="B394" i="1"/>
  <c r="G394" i="1"/>
  <c r="K394" i="1"/>
  <c r="A395" i="1"/>
  <c r="B395" i="1"/>
  <c r="G395" i="1"/>
  <c r="K395" i="1"/>
  <c r="A396" i="1"/>
  <c r="B396" i="1"/>
  <c r="G396" i="1"/>
  <c r="K396" i="1"/>
  <c r="A397" i="1"/>
  <c r="B397" i="1"/>
  <c r="G397" i="1"/>
  <c r="K397" i="1"/>
  <c r="A398" i="1"/>
  <c r="B398" i="1"/>
  <c r="G398" i="1"/>
  <c r="K398" i="1"/>
  <c r="A399" i="1"/>
  <c r="B399" i="1"/>
  <c r="G399" i="1"/>
  <c r="K399" i="1"/>
  <c r="A400" i="1"/>
  <c r="B400" i="1"/>
  <c r="G400" i="1"/>
  <c r="K400" i="1"/>
  <c r="A401" i="1"/>
  <c r="B401" i="1"/>
  <c r="G401" i="1"/>
  <c r="K401" i="1"/>
  <c r="A402" i="1"/>
  <c r="B402" i="1"/>
  <c r="G402" i="1"/>
  <c r="K402" i="1"/>
  <c r="A403" i="1"/>
  <c r="B403" i="1"/>
  <c r="G403" i="1"/>
  <c r="K403" i="1"/>
  <c r="A404" i="1"/>
  <c r="B404" i="1"/>
  <c r="G404" i="1"/>
  <c r="K404" i="1"/>
  <c r="A405" i="1"/>
  <c r="B405" i="1"/>
  <c r="G405" i="1"/>
  <c r="K405" i="1"/>
  <c r="A406" i="1"/>
  <c r="B406" i="1"/>
  <c r="G406" i="1"/>
  <c r="K406" i="1"/>
  <c r="A407" i="1"/>
  <c r="B407" i="1"/>
  <c r="G407" i="1"/>
  <c r="K407" i="1"/>
  <c r="A408" i="1"/>
  <c r="B408" i="1"/>
  <c r="G408" i="1"/>
  <c r="K408" i="1"/>
  <c r="A409" i="1"/>
  <c r="B409" i="1"/>
  <c r="G409" i="1"/>
  <c r="K409" i="1"/>
  <c r="A410" i="1"/>
  <c r="B410" i="1"/>
  <c r="G410" i="1"/>
  <c r="K410" i="1"/>
  <c r="A411" i="1"/>
  <c r="B411" i="1"/>
  <c r="G411" i="1"/>
  <c r="K411" i="1"/>
  <c r="A412" i="1"/>
  <c r="B412" i="1"/>
  <c r="G412" i="1"/>
  <c r="K412" i="1"/>
  <c r="A413" i="1"/>
  <c r="B413" i="1"/>
  <c r="G413" i="1"/>
  <c r="K413" i="1"/>
  <c r="A414" i="1"/>
  <c r="B414" i="1"/>
  <c r="G414" i="1"/>
  <c r="K414" i="1"/>
  <c r="A415" i="1"/>
  <c r="B415" i="1"/>
  <c r="G415" i="1"/>
  <c r="K415" i="1"/>
  <c r="A416" i="1"/>
  <c r="B416" i="1"/>
  <c r="G416" i="1"/>
  <c r="K416" i="1"/>
  <c r="A417" i="1"/>
  <c r="B417" i="1"/>
  <c r="G417" i="1"/>
  <c r="K417" i="1"/>
  <c r="A418" i="1"/>
  <c r="B418" i="1"/>
  <c r="G418" i="1"/>
  <c r="K418" i="1"/>
  <c r="A419" i="1"/>
  <c r="B419" i="1"/>
  <c r="G419" i="1"/>
  <c r="K419" i="1"/>
  <c r="A420" i="1"/>
  <c r="B420" i="1"/>
  <c r="G420" i="1"/>
  <c r="K420" i="1"/>
  <c r="A421" i="1"/>
  <c r="B421" i="1"/>
  <c r="G421" i="1"/>
  <c r="K421" i="1"/>
  <c r="A422" i="1"/>
  <c r="B422" i="1"/>
  <c r="G422" i="1"/>
  <c r="K422" i="1"/>
  <c r="A423" i="1"/>
  <c r="B423" i="1"/>
  <c r="G423" i="1"/>
  <c r="K423" i="1"/>
  <c r="A424" i="1"/>
  <c r="B424" i="1"/>
  <c r="G424" i="1"/>
  <c r="K424" i="1"/>
  <c r="A425" i="1"/>
  <c r="B425" i="1"/>
  <c r="G425" i="1"/>
  <c r="K425" i="1"/>
  <c r="A426" i="1"/>
  <c r="B426" i="1"/>
  <c r="G426" i="1"/>
  <c r="K426" i="1"/>
  <c r="A427" i="1"/>
  <c r="B427" i="1"/>
  <c r="G427" i="1"/>
  <c r="K427" i="1"/>
  <c r="A428" i="1"/>
  <c r="B428" i="1"/>
  <c r="G428" i="1"/>
  <c r="K428" i="1"/>
  <c r="A429" i="1"/>
  <c r="B429" i="1"/>
  <c r="G429" i="1"/>
  <c r="K429" i="1"/>
  <c r="A430" i="1"/>
  <c r="B430" i="1"/>
  <c r="G430" i="1"/>
  <c r="K430" i="1"/>
  <c r="A431" i="1"/>
  <c r="B431" i="1"/>
  <c r="G431" i="1"/>
  <c r="K431" i="1"/>
  <c r="A432" i="1"/>
  <c r="B432" i="1"/>
  <c r="G432" i="1"/>
  <c r="K432" i="1"/>
  <c r="A433" i="1"/>
  <c r="B433" i="1"/>
  <c r="G433" i="1"/>
  <c r="K433" i="1"/>
  <c r="A434" i="1"/>
  <c r="B434" i="1"/>
  <c r="G434" i="1"/>
  <c r="K434" i="1"/>
  <c r="A435" i="1"/>
  <c r="B435" i="1"/>
  <c r="G435" i="1"/>
  <c r="K435" i="1"/>
  <c r="A436" i="1"/>
  <c r="B436" i="1"/>
  <c r="G436" i="1"/>
  <c r="K436" i="1"/>
  <c r="A437" i="1"/>
  <c r="B437" i="1"/>
  <c r="G437" i="1"/>
  <c r="K437" i="1"/>
  <c r="A438" i="1"/>
  <c r="B438" i="1"/>
  <c r="G438" i="1"/>
  <c r="K438" i="1"/>
  <c r="A439" i="1"/>
  <c r="B439" i="1"/>
  <c r="G439" i="1"/>
  <c r="K439" i="1"/>
  <c r="A440" i="1"/>
  <c r="B440" i="1"/>
  <c r="G440" i="1"/>
  <c r="K440" i="1"/>
  <c r="A441" i="1"/>
  <c r="B441" i="1"/>
  <c r="G441" i="1"/>
  <c r="K441" i="1"/>
  <c r="A442" i="1"/>
  <c r="B442" i="1"/>
  <c r="G442" i="1"/>
  <c r="K442" i="1"/>
  <c r="A443" i="1"/>
  <c r="B443" i="1"/>
  <c r="G443" i="1"/>
  <c r="K443" i="1"/>
  <c r="A444" i="1"/>
  <c r="B444" i="1"/>
  <c r="G444" i="1"/>
  <c r="K444" i="1"/>
  <c r="A445" i="1"/>
  <c r="B445" i="1"/>
  <c r="G445" i="1"/>
  <c r="K445" i="1"/>
  <c r="A446" i="1"/>
  <c r="B446" i="1"/>
  <c r="G446" i="1"/>
  <c r="K446" i="1"/>
  <c r="A447" i="1"/>
  <c r="B447" i="1"/>
  <c r="G447" i="1"/>
  <c r="K447" i="1"/>
  <c r="A448" i="1"/>
  <c r="B448" i="1"/>
  <c r="G448" i="1"/>
  <c r="K448" i="1"/>
  <c r="A449" i="1"/>
  <c r="B449" i="1"/>
  <c r="G449" i="1"/>
  <c r="K449" i="1"/>
  <c r="A450" i="1"/>
  <c r="B450" i="1"/>
  <c r="G450" i="1"/>
  <c r="K450" i="1"/>
  <c r="A451" i="1"/>
  <c r="B451" i="1"/>
  <c r="G451" i="1"/>
  <c r="K451" i="1"/>
  <c r="A452" i="1"/>
  <c r="B452" i="1"/>
  <c r="G452" i="1"/>
  <c r="K452" i="1"/>
  <c r="A453" i="1"/>
  <c r="B453" i="1"/>
  <c r="G453" i="1"/>
  <c r="K453" i="1"/>
  <c r="A454" i="1"/>
  <c r="B454" i="1"/>
  <c r="G454" i="1"/>
  <c r="K454" i="1"/>
  <c r="A455" i="1"/>
  <c r="B455" i="1"/>
  <c r="G455" i="1"/>
  <c r="K455" i="1"/>
  <c r="A456" i="1"/>
  <c r="B456" i="1"/>
  <c r="G456" i="1"/>
  <c r="K456" i="1"/>
  <c r="A457" i="1"/>
  <c r="B457" i="1"/>
  <c r="G457" i="1"/>
  <c r="K457" i="1"/>
  <c r="A458" i="1"/>
  <c r="B458" i="1"/>
  <c r="G458" i="1"/>
  <c r="K458" i="1"/>
  <c r="A459" i="1"/>
  <c r="B459" i="1"/>
  <c r="G459" i="1"/>
  <c r="K459" i="1"/>
  <c r="A460" i="1"/>
  <c r="B460" i="1"/>
  <c r="G460" i="1"/>
  <c r="K460" i="1"/>
  <c r="A461" i="1"/>
  <c r="B461" i="1"/>
  <c r="G461" i="1"/>
  <c r="K461" i="1"/>
  <c r="A462" i="1"/>
  <c r="B462" i="1"/>
  <c r="G462" i="1"/>
  <c r="K462" i="1"/>
  <c r="A463" i="1"/>
  <c r="B463" i="1"/>
  <c r="G463" i="1"/>
  <c r="K463" i="1"/>
  <c r="A464" i="1"/>
  <c r="B464" i="1"/>
  <c r="G464" i="1"/>
  <c r="K464" i="1"/>
  <c r="A465" i="1"/>
  <c r="B465" i="1"/>
  <c r="G465" i="1"/>
  <c r="K465" i="1"/>
  <c r="A466" i="1"/>
  <c r="B466" i="1"/>
  <c r="G466" i="1"/>
  <c r="K466" i="1"/>
  <c r="A467" i="1"/>
  <c r="B467" i="1"/>
  <c r="G467" i="1"/>
  <c r="K467" i="1"/>
  <c r="A468" i="1"/>
  <c r="B468" i="1"/>
  <c r="G468" i="1"/>
  <c r="K468" i="1"/>
  <c r="A469" i="1"/>
  <c r="B469" i="1"/>
  <c r="G469" i="1"/>
  <c r="K469" i="1"/>
  <c r="A470" i="1"/>
  <c r="B470" i="1"/>
  <c r="G470" i="1"/>
  <c r="K470" i="1"/>
  <c r="A471" i="1"/>
  <c r="B471" i="1"/>
  <c r="G471" i="1"/>
  <c r="K471" i="1"/>
  <c r="A472" i="1"/>
  <c r="B472" i="1"/>
  <c r="G472" i="1"/>
  <c r="K472" i="1"/>
  <c r="A473" i="1"/>
  <c r="B473" i="1"/>
  <c r="G473" i="1"/>
  <c r="K473" i="1"/>
  <c r="A474" i="1"/>
  <c r="B474" i="1"/>
  <c r="G474" i="1"/>
  <c r="K474" i="1"/>
  <c r="A475" i="1"/>
  <c r="B475" i="1"/>
  <c r="G475" i="1"/>
  <c r="K475" i="1"/>
  <c r="A476" i="1"/>
  <c r="B476" i="1"/>
  <c r="G476" i="1"/>
  <c r="K476" i="1"/>
  <c r="A477" i="1"/>
  <c r="B477" i="1"/>
  <c r="G477" i="1"/>
  <c r="K477" i="1"/>
  <c r="A478" i="1"/>
  <c r="B478" i="1"/>
  <c r="G478" i="1"/>
  <c r="K478" i="1"/>
  <c r="A479" i="1"/>
  <c r="B479" i="1"/>
  <c r="G479" i="1"/>
  <c r="K479" i="1"/>
  <c r="A480" i="1"/>
  <c r="B480" i="1"/>
  <c r="G480" i="1"/>
  <c r="K480" i="1"/>
  <c r="A481" i="1"/>
  <c r="B481" i="1"/>
  <c r="G481" i="1"/>
  <c r="K481" i="1"/>
  <c r="A482" i="1"/>
  <c r="B482" i="1"/>
  <c r="G482" i="1"/>
  <c r="K482" i="1"/>
  <c r="A483" i="1"/>
  <c r="B483" i="1"/>
  <c r="G483" i="1"/>
  <c r="K483" i="1"/>
  <c r="A484" i="1"/>
  <c r="B484" i="1"/>
  <c r="G484" i="1"/>
  <c r="K484" i="1"/>
  <c r="A485" i="1"/>
  <c r="B485" i="1"/>
  <c r="G485" i="1"/>
  <c r="K485" i="1"/>
  <c r="A486" i="1"/>
  <c r="B486" i="1"/>
  <c r="G486" i="1"/>
  <c r="K486" i="1"/>
  <c r="A487" i="1"/>
  <c r="B487" i="1"/>
  <c r="G487" i="1"/>
  <c r="K487" i="1"/>
  <c r="A488" i="1"/>
  <c r="B488" i="1"/>
  <c r="G488" i="1"/>
  <c r="K488" i="1"/>
  <c r="A489" i="1"/>
  <c r="B489" i="1"/>
  <c r="G489" i="1"/>
  <c r="K489" i="1"/>
  <c r="A490" i="1"/>
  <c r="B490" i="1"/>
  <c r="G490" i="1"/>
  <c r="K490" i="1"/>
  <c r="A491" i="1"/>
  <c r="B491" i="1"/>
  <c r="G491" i="1"/>
  <c r="K491" i="1"/>
  <c r="A492" i="1"/>
  <c r="B492" i="1"/>
  <c r="G492" i="1"/>
  <c r="K492" i="1"/>
  <c r="A493" i="1"/>
  <c r="B493" i="1"/>
  <c r="G493" i="1"/>
  <c r="K493" i="1"/>
  <c r="A494" i="1"/>
  <c r="B494" i="1"/>
  <c r="G494" i="1"/>
  <c r="K494" i="1"/>
  <c r="A495" i="1"/>
  <c r="B495" i="1"/>
  <c r="G495" i="1"/>
  <c r="K495" i="1"/>
  <c r="A496" i="1"/>
  <c r="B496" i="1"/>
  <c r="G496" i="1"/>
  <c r="K496" i="1"/>
  <c r="A497" i="1"/>
  <c r="B497" i="1"/>
  <c r="G497" i="1"/>
  <c r="K497" i="1"/>
  <c r="A498" i="1"/>
  <c r="B498" i="1"/>
  <c r="G498" i="1"/>
  <c r="K498" i="1"/>
  <c r="A499" i="1"/>
  <c r="B499" i="1"/>
  <c r="G499" i="1"/>
  <c r="K499" i="1"/>
  <c r="A500" i="1"/>
  <c r="B500" i="1"/>
  <c r="G500" i="1"/>
  <c r="K500" i="1"/>
  <c r="A501" i="1"/>
  <c r="B501" i="1"/>
  <c r="G501" i="1"/>
  <c r="K501" i="1"/>
  <c r="A502" i="1"/>
  <c r="B502" i="1"/>
  <c r="G502" i="1"/>
  <c r="K502" i="1"/>
  <c r="A503" i="1"/>
  <c r="B503" i="1"/>
  <c r="G503" i="1"/>
  <c r="K503" i="1"/>
  <c r="A504" i="1"/>
  <c r="B504" i="1"/>
  <c r="G504" i="1"/>
  <c r="K504" i="1"/>
  <c r="A505" i="1"/>
  <c r="B505" i="1"/>
  <c r="G505" i="1"/>
  <c r="K505" i="1"/>
  <c r="A506" i="1"/>
  <c r="B506" i="1"/>
  <c r="G506" i="1"/>
  <c r="K506" i="1"/>
  <c r="A507" i="1"/>
  <c r="B507" i="1"/>
  <c r="G507" i="1"/>
  <c r="K507" i="1"/>
  <c r="A508" i="1"/>
  <c r="B508" i="1"/>
  <c r="G508" i="1"/>
  <c r="K508" i="1"/>
  <c r="A509" i="1"/>
  <c r="B509" i="1"/>
  <c r="G509" i="1"/>
  <c r="K509" i="1"/>
  <c r="A510" i="1"/>
  <c r="B510" i="1"/>
  <c r="G510" i="1"/>
  <c r="K510" i="1"/>
  <c r="A511" i="1"/>
  <c r="B511" i="1"/>
  <c r="G511" i="1"/>
  <c r="K511" i="1"/>
  <c r="A512" i="1"/>
  <c r="B512" i="1"/>
  <c r="G512" i="1"/>
  <c r="K512" i="1"/>
  <c r="A513" i="1"/>
  <c r="B513" i="1"/>
  <c r="G513" i="1"/>
  <c r="K513" i="1"/>
  <c r="A514" i="1"/>
  <c r="B514" i="1"/>
  <c r="G514" i="1"/>
  <c r="K514" i="1"/>
  <c r="A515" i="1"/>
  <c r="B515" i="1"/>
  <c r="G515" i="1"/>
  <c r="K515" i="1"/>
  <c r="A516" i="1"/>
  <c r="B516" i="1"/>
  <c r="G516" i="1"/>
  <c r="K516" i="1"/>
  <c r="A517" i="1"/>
  <c r="B517" i="1"/>
  <c r="G517" i="1"/>
  <c r="K517" i="1"/>
  <c r="A518" i="1"/>
  <c r="B518" i="1"/>
  <c r="G518" i="1"/>
  <c r="K518" i="1"/>
  <c r="A519" i="1"/>
  <c r="B519" i="1"/>
  <c r="G519" i="1"/>
  <c r="K519" i="1"/>
  <c r="A520" i="1"/>
  <c r="B520" i="1"/>
  <c r="G520" i="1"/>
  <c r="K520" i="1"/>
  <c r="A521" i="1"/>
  <c r="B521" i="1"/>
  <c r="G521" i="1"/>
  <c r="K521" i="1"/>
  <c r="A522" i="1"/>
  <c r="B522" i="1"/>
  <c r="G522" i="1"/>
  <c r="K522" i="1"/>
  <c r="A523" i="1"/>
  <c r="B523" i="1"/>
  <c r="G523" i="1"/>
  <c r="K523" i="1"/>
  <c r="A524" i="1"/>
  <c r="B524" i="1"/>
  <c r="G524" i="1"/>
  <c r="K524" i="1"/>
  <c r="A525" i="1"/>
  <c r="B525" i="1"/>
  <c r="G525" i="1"/>
  <c r="K525" i="1"/>
  <c r="A526" i="1"/>
  <c r="B526" i="1"/>
  <c r="G526" i="1"/>
  <c r="K526" i="1"/>
  <c r="A527" i="1"/>
  <c r="B527" i="1"/>
  <c r="G527" i="1"/>
  <c r="K527" i="1"/>
  <c r="A528" i="1"/>
  <c r="B528" i="1"/>
  <c r="G528" i="1"/>
  <c r="K528" i="1"/>
  <c r="A529" i="1"/>
  <c r="B529" i="1"/>
  <c r="G529" i="1"/>
  <c r="K529" i="1"/>
  <c r="A530" i="1"/>
  <c r="B530" i="1"/>
  <c r="G530" i="1"/>
  <c r="K530" i="1"/>
  <c r="A531" i="1"/>
  <c r="B531" i="1"/>
  <c r="G531" i="1"/>
  <c r="K531" i="1"/>
  <c r="A532" i="1"/>
  <c r="B532" i="1"/>
  <c r="G532" i="1"/>
  <c r="K532" i="1"/>
  <c r="A533" i="1"/>
  <c r="B533" i="1"/>
  <c r="G533" i="1"/>
  <c r="K533" i="1"/>
  <c r="A534" i="1"/>
  <c r="B534" i="1"/>
  <c r="G534" i="1"/>
  <c r="K534" i="1"/>
  <c r="A535" i="1"/>
  <c r="B535" i="1"/>
  <c r="G535" i="1"/>
  <c r="K535" i="1"/>
  <c r="A536" i="1"/>
  <c r="B536" i="1"/>
  <c r="G536" i="1"/>
  <c r="K536" i="1"/>
  <c r="A537" i="1"/>
  <c r="B537" i="1"/>
  <c r="G537" i="1"/>
  <c r="K537" i="1"/>
  <c r="A538" i="1"/>
  <c r="B538" i="1"/>
  <c r="G538" i="1"/>
  <c r="K538" i="1"/>
  <c r="A539" i="1"/>
  <c r="B539" i="1"/>
  <c r="G539" i="1"/>
  <c r="K539" i="1"/>
  <c r="A540" i="1"/>
  <c r="B540" i="1"/>
  <c r="G540" i="1"/>
  <c r="K540" i="1"/>
  <c r="A541" i="1"/>
  <c r="B541" i="1"/>
  <c r="G541" i="1"/>
  <c r="K541" i="1"/>
  <c r="A542" i="1"/>
  <c r="B542" i="1"/>
  <c r="G542" i="1"/>
  <c r="K542" i="1"/>
  <c r="A543" i="1"/>
  <c r="B543" i="1"/>
  <c r="G543" i="1"/>
  <c r="K543" i="1"/>
  <c r="A544" i="1"/>
  <c r="B544" i="1"/>
  <c r="G544" i="1"/>
  <c r="K544" i="1"/>
  <c r="A545" i="1"/>
  <c r="B545" i="1"/>
  <c r="G545" i="1"/>
  <c r="K545" i="1"/>
  <c r="A546" i="1"/>
  <c r="B546" i="1"/>
  <c r="G546" i="1"/>
  <c r="K546" i="1"/>
  <c r="A547" i="1"/>
  <c r="B547" i="1"/>
  <c r="G547" i="1"/>
  <c r="K547" i="1"/>
  <c r="A548" i="1"/>
  <c r="B548" i="1"/>
  <c r="G548" i="1"/>
  <c r="K548" i="1"/>
  <c r="A549" i="1"/>
  <c r="B549" i="1"/>
  <c r="G549" i="1"/>
  <c r="K549" i="1"/>
  <c r="A550" i="1"/>
  <c r="B550" i="1"/>
  <c r="G550" i="1"/>
  <c r="K550" i="1"/>
  <c r="A551" i="1"/>
  <c r="B551" i="1"/>
  <c r="G551" i="1"/>
  <c r="K551" i="1"/>
  <c r="A552" i="1"/>
  <c r="B552" i="1"/>
  <c r="G552" i="1"/>
  <c r="K552" i="1"/>
  <c r="A553" i="1"/>
  <c r="B553" i="1"/>
  <c r="G553" i="1"/>
  <c r="K553" i="1"/>
  <c r="A554" i="1"/>
  <c r="B554" i="1"/>
  <c r="G554" i="1"/>
  <c r="K554" i="1"/>
  <c r="A555" i="1"/>
  <c r="B555" i="1"/>
  <c r="G555" i="1"/>
  <c r="K555" i="1"/>
  <c r="A556" i="1"/>
  <c r="B556" i="1"/>
  <c r="G556" i="1"/>
  <c r="K556" i="1"/>
  <c r="A557" i="1"/>
  <c r="B557" i="1"/>
  <c r="G557" i="1"/>
  <c r="K557" i="1"/>
  <c r="A558" i="1"/>
  <c r="B558" i="1"/>
  <c r="G558" i="1"/>
  <c r="K558" i="1"/>
  <c r="A559" i="1"/>
  <c r="B559" i="1"/>
  <c r="G559" i="1"/>
  <c r="K559" i="1"/>
  <c r="A560" i="1"/>
  <c r="B560" i="1"/>
  <c r="G560" i="1"/>
  <c r="K560" i="1"/>
  <c r="A561" i="1"/>
  <c r="B561" i="1"/>
  <c r="G561" i="1"/>
  <c r="K561" i="1"/>
  <c r="A562" i="1"/>
  <c r="B562" i="1"/>
  <c r="G562" i="1"/>
  <c r="K562" i="1"/>
  <c r="A563" i="1"/>
  <c r="B563" i="1"/>
  <c r="G563" i="1"/>
  <c r="K563" i="1"/>
  <c r="A564" i="1"/>
  <c r="B564" i="1"/>
  <c r="G564" i="1"/>
  <c r="K564" i="1"/>
  <c r="A565" i="1"/>
  <c r="B565" i="1"/>
  <c r="G565" i="1"/>
  <c r="K565" i="1"/>
  <c r="A566" i="1"/>
  <c r="B566" i="1"/>
  <c r="G566" i="1"/>
  <c r="K566" i="1"/>
  <c r="A567" i="1"/>
  <c r="B567" i="1"/>
  <c r="G567" i="1"/>
  <c r="K567" i="1"/>
  <c r="A568" i="1"/>
  <c r="B568" i="1"/>
  <c r="G568" i="1"/>
  <c r="K568" i="1"/>
  <c r="A569" i="1"/>
  <c r="B569" i="1"/>
  <c r="G569" i="1"/>
  <c r="K569" i="1"/>
  <c r="A570" i="1"/>
  <c r="B570" i="1"/>
  <c r="G570" i="1"/>
  <c r="K570" i="1"/>
  <c r="A571" i="1"/>
  <c r="B571" i="1"/>
  <c r="G571" i="1"/>
  <c r="K571" i="1"/>
  <c r="A572" i="1"/>
  <c r="B572" i="1"/>
  <c r="G572" i="1"/>
  <c r="K572" i="1"/>
  <c r="A573" i="1"/>
  <c r="B573" i="1"/>
  <c r="G573" i="1"/>
  <c r="K573" i="1"/>
  <c r="A574" i="1"/>
  <c r="B574" i="1"/>
  <c r="G574" i="1"/>
  <c r="K574" i="1"/>
  <c r="A575" i="1"/>
  <c r="B575" i="1"/>
  <c r="G575" i="1"/>
  <c r="K575" i="1"/>
  <c r="A576" i="1"/>
  <c r="B576" i="1"/>
  <c r="G576" i="1"/>
  <c r="K576" i="1"/>
  <c r="A577" i="1"/>
  <c r="B577" i="1"/>
  <c r="G577" i="1"/>
  <c r="K577" i="1"/>
  <c r="A578" i="1"/>
  <c r="B578" i="1"/>
  <c r="G578" i="1"/>
  <c r="K578" i="1"/>
  <c r="A579" i="1"/>
  <c r="B579" i="1"/>
  <c r="G579" i="1"/>
  <c r="K579" i="1"/>
  <c r="A580" i="1"/>
  <c r="B580" i="1"/>
  <c r="G580" i="1"/>
  <c r="K580" i="1"/>
  <c r="A581" i="1"/>
  <c r="B581" i="1"/>
  <c r="G581" i="1"/>
  <c r="K581" i="1"/>
  <c r="A582" i="1"/>
  <c r="B582" i="1"/>
  <c r="G582" i="1"/>
  <c r="K582" i="1"/>
  <c r="A583" i="1"/>
  <c r="B583" i="1"/>
  <c r="G583" i="1"/>
  <c r="K583" i="1"/>
  <c r="A584" i="1"/>
  <c r="B584" i="1"/>
  <c r="G584" i="1"/>
  <c r="K584" i="1"/>
  <c r="A585" i="1"/>
  <c r="B585" i="1"/>
  <c r="G585" i="1"/>
  <c r="K585" i="1"/>
  <c r="A586" i="1"/>
  <c r="B586" i="1"/>
  <c r="G586" i="1"/>
  <c r="K586" i="1"/>
  <c r="A587" i="1"/>
  <c r="B587" i="1"/>
  <c r="G587" i="1"/>
  <c r="K587" i="1"/>
  <c r="A588" i="1"/>
  <c r="B588" i="1"/>
  <c r="G588" i="1"/>
  <c r="K588" i="1"/>
  <c r="A589" i="1"/>
  <c r="B589" i="1"/>
  <c r="G589" i="1"/>
  <c r="K589" i="1"/>
  <c r="A590" i="1"/>
  <c r="B590" i="1"/>
  <c r="G590" i="1"/>
  <c r="K590" i="1"/>
  <c r="A591" i="1"/>
  <c r="B591" i="1"/>
  <c r="G591" i="1"/>
  <c r="K591" i="1"/>
  <c r="A592" i="1"/>
  <c r="B592" i="1"/>
  <c r="G592" i="1"/>
  <c r="K592" i="1"/>
  <c r="A593" i="1"/>
  <c r="B593" i="1"/>
  <c r="G593" i="1"/>
  <c r="K593" i="1"/>
  <c r="A594" i="1"/>
  <c r="B594" i="1"/>
  <c r="G594" i="1"/>
  <c r="K594" i="1"/>
  <c r="A595" i="1"/>
  <c r="B595" i="1"/>
  <c r="G595" i="1"/>
  <c r="K595" i="1"/>
  <c r="A596" i="1"/>
  <c r="B596" i="1"/>
  <c r="G596" i="1"/>
  <c r="K596" i="1"/>
  <c r="A597" i="1"/>
  <c r="B597" i="1"/>
  <c r="G597" i="1"/>
  <c r="K597" i="1"/>
  <c r="A598" i="1"/>
  <c r="B598" i="1"/>
  <c r="G598" i="1"/>
  <c r="K598" i="1"/>
  <c r="A599" i="1"/>
  <c r="B599" i="1"/>
  <c r="G599" i="1"/>
  <c r="K599" i="1"/>
  <c r="A600" i="1"/>
  <c r="B600" i="1"/>
  <c r="G600" i="1"/>
  <c r="K600" i="1"/>
  <c r="A601" i="1"/>
  <c r="B601" i="1"/>
  <c r="G601" i="1"/>
  <c r="K601" i="1"/>
  <c r="A602" i="1"/>
  <c r="B602" i="1"/>
  <c r="G602" i="1"/>
  <c r="K602" i="1"/>
  <c r="A603" i="1"/>
  <c r="B603" i="1"/>
  <c r="G603" i="1"/>
  <c r="K603" i="1"/>
  <c r="A604" i="1"/>
  <c r="B604" i="1"/>
  <c r="G604" i="1"/>
  <c r="K604" i="1"/>
  <c r="A605" i="1"/>
  <c r="B605" i="1"/>
  <c r="G605" i="1"/>
  <c r="K605" i="1"/>
  <c r="A606" i="1"/>
  <c r="B606" i="1"/>
  <c r="G606" i="1"/>
  <c r="K606" i="1"/>
  <c r="A607" i="1"/>
  <c r="B607" i="1"/>
  <c r="G607" i="1"/>
  <c r="K607" i="1"/>
  <c r="A608" i="1"/>
  <c r="B608" i="1"/>
  <c r="G608" i="1"/>
  <c r="K608" i="1"/>
  <c r="A609" i="1"/>
  <c r="B609" i="1"/>
  <c r="G609" i="1"/>
  <c r="K609" i="1"/>
  <c r="A610" i="1"/>
  <c r="B610" i="1"/>
  <c r="G610" i="1"/>
  <c r="K610" i="1"/>
  <c r="A611" i="1"/>
  <c r="B611" i="1"/>
  <c r="G611" i="1"/>
  <c r="K611" i="1"/>
  <c r="A612" i="1"/>
  <c r="B612" i="1"/>
  <c r="G612" i="1"/>
  <c r="K612" i="1"/>
  <c r="A613" i="1"/>
  <c r="B613" i="1"/>
  <c r="G613" i="1"/>
  <c r="K613" i="1"/>
  <c r="A614" i="1"/>
  <c r="B614" i="1"/>
  <c r="G614" i="1"/>
  <c r="K614" i="1"/>
  <c r="A615" i="1"/>
  <c r="B615" i="1"/>
  <c r="G615" i="1"/>
  <c r="K615" i="1"/>
  <c r="A616" i="1"/>
  <c r="B616" i="1"/>
  <c r="G616" i="1"/>
  <c r="K616" i="1"/>
  <c r="A617" i="1"/>
  <c r="B617" i="1"/>
  <c r="G617" i="1"/>
  <c r="K617" i="1"/>
  <c r="A618" i="1"/>
  <c r="B618" i="1"/>
  <c r="G618" i="1"/>
  <c r="K618" i="1"/>
  <c r="A619" i="1"/>
  <c r="B619" i="1"/>
  <c r="G619" i="1"/>
  <c r="K619" i="1"/>
  <c r="A620" i="1"/>
  <c r="B620" i="1"/>
  <c r="G620" i="1"/>
  <c r="K620" i="1"/>
  <c r="A621" i="1"/>
  <c r="B621" i="1"/>
  <c r="G621" i="1"/>
  <c r="K621" i="1"/>
  <c r="A622" i="1"/>
  <c r="B622" i="1"/>
  <c r="G622" i="1"/>
  <c r="K622" i="1"/>
  <c r="A623" i="1"/>
  <c r="B623" i="1"/>
  <c r="G623" i="1"/>
  <c r="K623" i="1"/>
  <c r="A624" i="1"/>
  <c r="B624" i="1"/>
  <c r="G624" i="1"/>
  <c r="K624" i="1"/>
  <c r="A625" i="1"/>
  <c r="B625" i="1"/>
  <c r="G625" i="1"/>
  <c r="K625" i="1"/>
  <c r="A626" i="1"/>
  <c r="B626" i="1"/>
  <c r="G626" i="1"/>
  <c r="K626" i="1"/>
  <c r="A627" i="1"/>
  <c r="B627" i="1"/>
  <c r="G627" i="1"/>
  <c r="K627" i="1"/>
  <c r="A628" i="1"/>
  <c r="B628" i="1"/>
  <c r="G628" i="1"/>
  <c r="K628" i="1"/>
  <c r="A629" i="1"/>
  <c r="B629" i="1"/>
  <c r="G629" i="1"/>
  <c r="K629" i="1"/>
  <c r="A630" i="1"/>
  <c r="B630" i="1"/>
  <c r="G630" i="1"/>
  <c r="K630" i="1"/>
  <c r="A631" i="1"/>
  <c r="B631" i="1"/>
  <c r="G631" i="1"/>
  <c r="K631" i="1"/>
  <c r="A632" i="1"/>
  <c r="B632" i="1"/>
  <c r="G632" i="1"/>
  <c r="K632" i="1"/>
  <c r="A633" i="1"/>
  <c r="B633" i="1"/>
  <c r="G633" i="1"/>
  <c r="K633" i="1"/>
  <c r="A634" i="1"/>
  <c r="B634" i="1"/>
  <c r="G634" i="1"/>
  <c r="K634" i="1"/>
  <c r="A635" i="1"/>
  <c r="B635" i="1"/>
  <c r="G635" i="1"/>
  <c r="K635" i="1"/>
  <c r="A636" i="1"/>
  <c r="B636" i="1"/>
  <c r="G636" i="1"/>
  <c r="K636" i="1"/>
  <c r="A637" i="1"/>
  <c r="B637" i="1"/>
  <c r="G637" i="1"/>
  <c r="K637" i="1"/>
  <c r="A638" i="1"/>
  <c r="B638" i="1"/>
  <c r="G638" i="1"/>
  <c r="K638" i="1"/>
  <c r="A639" i="1"/>
  <c r="B639" i="1"/>
  <c r="G639" i="1"/>
  <c r="K639" i="1"/>
  <c r="A640" i="1"/>
  <c r="B640" i="1"/>
  <c r="G640" i="1"/>
  <c r="K640" i="1"/>
  <c r="A641" i="1"/>
  <c r="B641" i="1"/>
  <c r="G641" i="1"/>
  <c r="K641" i="1"/>
  <c r="A642" i="1"/>
  <c r="B642" i="1"/>
  <c r="G642" i="1"/>
  <c r="K642" i="1"/>
  <c r="A643" i="1"/>
  <c r="B643" i="1"/>
  <c r="G643" i="1"/>
  <c r="K643" i="1"/>
  <c r="A644" i="1"/>
  <c r="B644" i="1"/>
  <c r="G644" i="1"/>
  <c r="K644" i="1"/>
  <c r="A645" i="1"/>
  <c r="B645" i="1"/>
  <c r="G645" i="1"/>
  <c r="K645" i="1"/>
  <c r="A646" i="1"/>
  <c r="B646" i="1"/>
  <c r="G646" i="1"/>
  <c r="K646" i="1"/>
  <c r="A647" i="1"/>
  <c r="B647" i="1"/>
  <c r="G647" i="1"/>
  <c r="K647" i="1"/>
  <c r="A648" i="1"/>
  <c r="B648" i="1"/>
  <c r="G648" i="1"/>
  <c r="K648" i="1"/>
  <c r="A649" i="1"/>
  <c r="B649" i="1"/>
  <c r="G649" i="1"/>
  <c r="K649" i="1"/>
  <c r="A650" i="1"/>
  <c r="B650" i="1"/>
  <c r="G650" i="1"/>
  <c r="K650" i="1"/>
  <c r="A651" i="1"/>
  <c r="B651" i="1"/>
  <c r="G651" i="1"/>
  <c r="K651" i="1"/>
  <c r="A652" i="1"/>
  <c r="B652" i="1"/>
  <c r="G652" i="1"/>
  <c r="K652" i="1"/>
  <c r="A653" i="1"/>
  <c r="B653" i="1"/>
  <c r="G653" i="1"/>
  <c r="K653" i="1"/>
  <c r="A654" i="1"/>
  <c r="B654" i="1"/>
  <c r="G654" i="1"/>
  <c r="K654" i="1"/>
  <c r="A655" i="1"/>
  <c r="B655" i="1"/>
  <c r="G655" i="1"/>
  <c r="K655" i="1"/>
  <c r="A656" i="1"/>
  <c r="B656" i="1"/>
  <c r="G656" i="1"/>
  <c r="K656" i="1"/>
  <c r="A657" i="1"/>
  <c r="B657" i="1"/>
  <c r="G657" i="1"/>
  <c r="K657" i="1"/>
  <c r="A658" i="1"/>
  <c r="B658" i="1"/>
  <c r="G658" i="1"/>
  <c r="K658" i="1"/>
  <c r="A659" i="1"/>
  <c r="B659" i="1"/>
  <c r="G659" i="1"/>
  <c r="K659" i="1"/>
  <c r="A660" i="1"/>
  <c r="B660" i="1"/>
  <c r="G660" i="1"/>
  <c r="K660" i="1"/>
  <c r="A661" i="1"/>
  <c r="B661" i="1"/>
  <c r="G661" i="1"/>
  <c r="K661" i="1"/>
  <c r="A662" i="1"/>
  <c r="B662" i="1"/>
  <c r="G662" i="1"/>
  <c r="K662" i="1"/>
  <c r="A663" i="1"/>
  <c r="B663" i="1"/>
  <c r="G663" i="1"/>
  <c r="K663" i="1"/>
  <c r="A664" i="1"/>
  <c r="B664" i="1"/>
  <c r="G664" i="1"/>
  <c r="K664" i="1"/>
  <c r="A665" i="1"/>
  <c r="B665" i="1"/>
  <c r="G665" i="1"/>
  <c r="K665" i="1"/>
  <c r="A666" i="1"/>
  <c r="B666" i="1"/>
  <c r="G666" i="1"/>
  <c r="K666" i="1"/>
  <c r="A667" i="1"/>
  <c r="B667" i="1"/>
  <c r="G667" i="1"/>
  <c r="K667" i="1"/>
  <c r="A668" i="1"/>
  <c r="B668" i="1"/>
  <c r="G668" i="1"/>
  <c r="K668" i="1"/>
  <c r="A669" i="1"/>
  <c r="B669" i="1"/>
  <c r="G669" i="1"/>
  <c r="K669" i="1"/>
  <c r="A670" i="1"/>
  <c r="B670" i="1"/>
  <c r="G670" i="1"/>
  <c r="K670" i="1"/>
  <c r="A671" i="1"/>
  <c r="B671" i="1"/>
  <c r="G671" i="1"/>
  <c r="K671" i="1"/>
  <c r="A672" i="1"/>
  <c r="B672" i="1"/>
  <c r="G672" i="1"/>
  <c r="K672" i="1"/>
  <c r="A673" i="1"/>
  <c r="B673" i="1"/>
  <c r="G673" i="1"/>
  <c r="K673" i="1"/>
  <c r="A674" i="1"/>
  <c r="B674" i="1"/>
  <c r="G674" i="1"/>
  <c r="K674" i="1"/>
  <c r="A675" i="1"/>
  <c r="B675" i="1"/>
  <c r="G675" i="1"/>
  <c r="K675" i="1"/>
  <c r="A676" i="1"/>
  <c r="B676" i="1"/>
  <c r="G676" i="1"/>
  <c r="K676" i="1"/>
  <c r="A677" i="1"/>
  <c r="B677" i="1"/>
  <c r="G677" i="1"/>
  <c r="K677" i="1"/>
  <c r="A678" i="1"/>
  <c r="B678" i="1"/>
  <c r="G678" i="1"/>
  <c r="K678" i="1"/>
  <c r="A679" i="1"/>
  <c r="B679" i="1"/>
  <c r="G679" i="1"/>
  <c r="K679" i="1"/>
  <c r="A680" i="1"/>
  <c r="B680" i="1"/>
  <c r="G680" i="1"/>
  <c r="K680" i="1"/>
  <c r="A681" i="1"/>
  <c r="B681" i="1"/>
  <c r="G681" i="1"/>
  <c r="K681" i="1"/>
  <c r="A682" i="1"/>
  <c r="B682" i="1"/>
  <c r="G682" i="1"/>
  <c r="K682" i="1"/>
  <c r="A683" i="1"/>
  <c r="B683" i="1"/>
  <c r="G683" i="1"/>
  <c r="K683" i="1"/>
  <c r="A684" i="1"/>
  <c r="B684" i="1"/>
  <c r="G684" i="1"/>
  <c r="K684" i="1"/>
  <c r="A685" i="1"/>
  <c r="B685" i="1"/>
  <c r="G685" i="1"/>
  <c r="K685" i="1"/>
  <c r="A686" i="1"/>
  <c r="B686" i="1"/>
  <c r="G686" i="1"/>
  <c r="K686" i="1"/>
  <c r="A687" i="1"/>
  <c r="B687" i="1"/>
  <c r="G687" i="1"/>
  <c r="K687" i="1"/>
  <c r="A688" i="1"/>
  <c r="B688" i="1"/>
  <c r="G688" i="1"/>
  <c r="K688" i="1"/>
  <c r="A689" i="1"/>
  <c r="B689" i="1"/>
  <c r="G689" i="1"/>
  <c r="K689" i="1"/>
  <c r="A690" i="1"/>
  <c r="B690" i="1"/>
  <c r="G690" i="1"/>
  <c r="K690" i="1"/>
  <c r="A691" i="1"/>
  <c r="B691" i="1"/>
  <c r="G691" i="1"/>
  <c r="K691" i="1"/>
  <c r="A692" i="1"/>
  <c r="B692" i="1"/>
  <c r="G692" i="1"/>
  <c r="K692" i="1"/>
  <c r="A693" i="1"/>
  <c r="B693" i="1"/>
  <c r="G693" i="1"/>
  <c r="K693" i="1"/>
  <c r="A694" i="1"/>
  <c r="B694" i="1"/>
  <c r="G694" i="1"/>
  <c r="K694" i="1"/>
  <c r="A695" i="1"/>
  <c r="B695" i="1"/>
  <c r="G695" i="1"/>
  <c r="K695" i="1"/>
  <c r="A696" i="1"/>
  <c r="B696" i="1"/>
  <c r="G696" i="1"/>
  <c r="K696" i="1"/>
  <c r="A697" i="1"/>
  <c r="B697" i="1"/>
  <c r="G697" i="1"/>
  <c r="K697" i="1"/>
  <c r="A698" i="1"/>
  <c r="B698" i="1"/>
  <c r="G698" i="1"/>
  <c r="K698" i="1"/>
  <c r="A699" i="1"/>
  <c r="B699" i="1"/>
  <c r="G699" i="1"/>
  <c r="K699" i="1"/>
  <c r="A700" i="1"/>
  <c r="B700" i="1"/>
  <c r="G700" i="1"/>
  <c r="K700" i="1"/>
  <c r="A701" i="1"/>
  <c r="B701" i="1"/>
  <c r="G701" i="1"/>
  <c r="K701" i="1"/>
  <c r="A702" i="1"/>
  <c r="B702" i="1"/>
  <c r="G702" i="1"/>
  <c r="K702" i="1"/>
  <c r="A703" i="1"/>
  <c r="B703" i="1"/>
  <c r="G703" i="1"/>
  <c r="K703" i="1"/>
  <c r="A704" i="1"/>
  <c r="B704" i="1"/>
  <c r="G704" i="1"/>
  <c r="K704" i="1"/>
  <c r="A705" i="1"/>
  <c r="B705" i="1"/>
  <c r="G705" i="1"/>
  <c r="K705" i="1"/>
  <c r="A706" i="1"/>
  <c r="B706" i="1"/>
  <c r="G706" i="1"/>
  <c r="K706" i="1"/>
  <c r="A707" i="1"/>
  <c r="B707" i="1"/>
  <c r="G707" i="1"/>
  <c r="K707" i="1"/>
  <c r="A708" i="1"/>
  <c r="B708" i="1"/>
  <c r="G708" i="1"/>
  <c r="K708" i="1"/>
  <c r="A709" i="1"/>
  <c r="B709" i="1"/>
  <c r="G709" i="1"/>
  <c r="K709" i="1"/>
  <c r="A710" i="1"/>
  <c r="B710" i="1"/>
  <c r="G710" i="1"/>
  <c r="K710" i="1"/>
  <c r="A711" i="1"/>
  <c r="B711" i="1"/>
  <c r="G711" i="1"/>
  <c r="K711" i="1"/>
  <c r="A712" i="1"/>
  <c r="B712" i="1"/>
  <c r="G712" i="1"/>
  <c r="K712" i="1"/>
  <c r="A713" i="1"/>
  <c r="B713" i="1"/>
  <c r="G713" i="1"/>
  <c r="K713" i="1"/>
  <c r="A714" i="1"/>
  <c r="B714" i="1"/>
  <c r="G714" i="1"/>
  <c r="K714" i="1"/>
  <c r="A715" i="1"/>
  <c r="B715" i="1"/>
  <c r="G715" i="1"/>
  <c r="K715" i="1"/>
  <c r="A716" i="1"/>
  <c r="B716" i="1"/>
  <c r="G716" i="1"/>
  <c r="K716" i="1"/>
  <c r="A717" i="1"/>
  <c r="B717" i="1"/>
  <c r="G717" i="1"/>
  <c r="K717" i="1"/>
  <c r="A718" i="1"/>
  <c r="B718" i="1"/>
  <c r="G718" i="1"/>
  <c r="K718" i="1"/>
  <c r="A719" i="1"/>
  <c r="B719" i="1"/>
  <c r="G719" i="1"/>
  <c r="K719" i="1"/>
  <c r="A720" i="1"/>
  <c r="B720" i="1"/>
  <c r="G720" i="1"/>
  <c r="K720" i="1"/>
  <c r="A721" i="1"/>
  <c r="B721" i="1"/>
  <c r="G721" i="1"/>
  <c r="K721" i="1"/>
  <c r="A722" i="1"/>
  <c r="B722" i="1"/>
  <c r="G722" i="1"/>
  <c r="K722" i="1"/>
  <c r="A723" i="1"/>
  <c r="B723" i="1"/>
  <c r="G723" i="1"/>
  <c r="K723" i="1"/>
  <c r="A724" i="1"/>
  <c r="B724" i="1"/>
  <c r="G724" i="1"/>
  <c r="K724" i="1"/>
  <c r="A725" i="1"/>
  <c r="B725" i="1"/>
  <c r="G725" i="1"/>
  <c r="K725" i="1"/>
  <c r="A726" i="1"/>
  <c r="B726" i="1"/>
  <c r="G726" i="1"/>
  <c r="K726" i="1"/>
  <c r="A727" i="1"/>
  <c r="B727" i="1"/>
  <c r="G727" i="1"/>
  <c r="K727" i="1"/>
  <c r="A728" i="1"/>
  <c r="B728" i="1"/>
  <c r="G728" i="1"/>
  <c r="K728" i="1"/>
  <c r="A729" i="1"/>
  <c r="B729" i="1"/>
  <c r="G729" i="1"/>
  <c r="K729" i="1"/>
  <c r="A730" i="1"/>
  <c r="B730" i="1"/>
  <c r="G730" i="1"/>
  <c r="K730" i="1"/>
  <c r="A731" i="1"/>
  <c r="B731" i="1"/>
  <c r="G731" i="1"/>
  <c r="K731" i="1"/>
  <c r="A732" i="1"/>
  <c r="B732" i="1"/>
  <c r="G732" i="1"/>
  <c r="K732" i="1"/>
  <c r="A733" i="1"/>
  <c r="B733" i="1"/>
  <c r="G733" i="1"/>
  <c r="K733" i="1"/>
  <c r="A734" i="1"/>
  <c r="B734" i="1"/>
  <c r="G734" i="1"/>
  <c r="K734" i="1"/>
  <c r="A735" i="1"/>
  <c r="B735" i="1"/>
  <c r="G735" i="1"/>
  <c r="K735" i="1"/>
  <c r="A736" i="1"/>
  <c r="B736" i="1"/>
  <c r="G736" i="1"/>
  <c r="K736" i="1"/>
  <c r="A737" i="1"/>
  <c r="B737" i="1"/>
  <c r="G737" i="1"/>
  <c r="K737" i="1"/>
  <c r="A738" i="1"/>
  <c r="B738" i="1"/>
  <c r="G738" i="1"/>
  <c r="K738" i="1"/>
  <c r="A739" i="1"/>
  <c r="B739" i="1"/>
  <c r="G739" i="1"/>
  <c r="K739" i="1"/>
  <c r="A740" i="1"/>
  <c r="B740" i="1"/>
  <c r="G740" i="1"/>
  <c r="K740" i="1"/>
  <c r="A741" i="1"/>
  <c r="B741" i="1"/>
  <c r="G741" i="1"/>
  <c r="K741" i="1"/>
  <c r="A742" i="1"/>
  <c r="B742" i="1"/>
  <c r="G742" i="1"/>
  <c r="K742" i="1"/>
  <c r="A743" i="1"/>
  <c r="B743" i="1"/>
  <c r="G743" i="1"/>
  <c r="K743" i="1"/>
  <c r="A744" i="1"/>
  <c r="B744" i="1"/>
  <c r="G744" i="1"/>
  <c r="K744" i="1"/>
  <c r="A745" i="1"/>
  <c r="B745" i="1"/>
  <c r="G745" i="1"/>
  <c r="K745" i="1"/>
  <c r="A746" i="1"/>
  <c r="B746" i="1"/>
  <c r="G746" i="1"/>
  <c r="K746" i="1"/>
  <c r="A747" i="1"/>
  <c r="B747" i="1"/>
  <c r="G747" i="1"/>
  <c r="K747" i="1"/>
  <c r="A748" i="1"/>
  <c r="B748" i="1"/>
  <c r="G748" i="1"/>
  <c r="K748" i="1"/>
  <c r="A749" i="1"/>
  <c r="B749" i="1"/>
  <c r="G749" i="1"/>
  <c r="K749" i="1"/>
  <c r="A750" i="1"/>
  <c r="B750" i="1"/>
  <c r="G750" i="1"/>
  <c r="K750" i="1"/>
  <c r="A751" i="1"/>
  <c r="B751" i="1"/>
  <c r="G751" i="1"/>
  <c r="K751" i="1"/>
  <c r="A752" i="1"/>
  <c r="B752" i="1"/>
  <c r="G752" i="1"/>
  <c r="K752" i="1"/>
  <c r="A753" i="1"/>
  <c r="B753" i="1"/>
  <c r="G753" i="1"/>
  <c r="K753" i="1"/>
  <c r="A754" i="1"/>
  <c r="B754" i="1"/>
  <c r="G754" i="1"/>
  <c r="K754" i="1"/>
  <c r="A755" i="1"/>
  <c r="B755" i="1"/>
  <c r="G755" i="1"/>
  <c r="K755" i="1"/>
  <c r="A756" i="1"/>
  <c r="B756" i="1"/>
  <c r="G756" i="1"/>
  <c r="K756" i="1"/>
  <c r="A757" i="1"/>
  <c r="B757" i="1"/>
  <c r="G757" i="1"/>
  <c r="K757" i="1"/>
  <c r="A758" i="1"/>
  <c r="B758" i="1"/>
  <c r="G758" i="1"/>
  <c r="K758" i="1"/>
  <c r="A759" i="1"/>
  <c r="B759" i="1"/>
  <c r="G759" i="1"/>
  <c r="K759" i="1"/>
  <c r="A760" i="1"/>
  <c r="B760" i="1"/>
  <c r="G760" i="1"/>
  <c r="K760" i="1"/>
  <c r="A761" i="1"/>
  <c r="B761" i="1"/>
  <c r="G761" i="1"/>
  <c r="K761" i="1"/>
  <c r="A762" i="1"/>
  <c r="B762" i="1"/>
  <c r="G762" i="1"/>
  <c r="K762" i="1"/>
  <c r="A763" i="1"/>
  <c r="B763" i="1"/>
  <c r="G763" i="1"/>
  <c r="K763" i="1"/>
  <c r="A764" i="1"/>
  <c r="B764" i="1"/>
  <c r="G764" i="1"/>
  <c r="K764" i="1"/>
  <c r="A765" i="1"/>
  <c r="B765" i="1"/>
  <c r="G765" i="1"/>
  <c r="K765" i="1"/>
  <c r="A766" i="1"/>
  <c r="B766" i="1"/>
  <c r="G766" i="1"/>
  <c r="K766" i="1"/>
  <c r="A767" i="1"/>
  <c r="B767" i="1"/>
  <c r="G767" i="1"/>
  <c r="K767" i="1"/>
  <c r="A768" i="1"/>
  <c r="B768" i="1"/>
  <c r="G768" i="1"/>
  <c r="K768" i="1"/>
  <c r="A769" i="1"/>
  <c r="B769" i="1"/>
  <c r="G769" i="1"/>
  <c r="K769" i="1"/>
  <c r="A770" i="1"/>
  <c r="B770" i="1"/>
  <c r="G770" i="1"/>
  <c r="K770" i="1"/>
  <c r="A771" i="1"/>
  <c r="B771" i="1"/>
  <c r="G771" i="1"/>
  <c r="K771" i="1"/>
  <c r="A772" i="1"/>
  <c r="B772" i="1"/>
  <c r="G772" i="1"/>
  <c r="K772" i="1"/>
  <c r="A773" i="1"/>
  <c r="B773" i="1"/>
  <c r="G773" i="1"/>
  <c r="K773" i="1"/>
  <c r="A774" i="1"/>
  <c r="B774" i="1"/>
  <c r="G774" i="1"/>
  <c r="K774" i="1"/>
  <c r="A775" i="1"/>
  <c r="B775" i="1"/>
  <c r="G775" i="1"/>
  <c r="K775" i="1"/>
  <c r="A776" i="1"/>
  <c r="B776" i="1"/>
  <c r="G776" i="1"/>
  <c r="K776" i="1"/>
  <c r="A777" i="1"/>
  <c r="B777" i="1"/>
  <c r="G777" i="1"/>
  <c r="K777" i="1"/>
  <c r="A778" i="1"/>
  <c r="B778" i="1"/>
  <c r="G778" i="1"/>
  <c r="K778" i="1"/>
  <c r="A779" i="1"/>
  <c r="B779" i="1"/>
  <c r="G779" i="1"/>
  <c r="K779" i="1"/>
  <c r="A780" i="1"/>
  <c r="B780" i="1"/>
  <c r="G780" i="1"/>
  <c r="K780" i="1"/>
  <c r="A781" i="1"/>
  <c r="B781" i="1"/>
  <c r="G781" i="1"/>
  <c r="K781" i="1"/>
  <c r="A782" i="1"/>
  <c r="B782" i="1"/>
  <c r="G782" i="1"/>
  <c r="K782" i="1"/>
  <c r="A783" i="1"/>
  <c r="B783" i="1"/>
  <c r="G783" i="1"/>
  <c r="K783" i="1"/>
  <c r="A784" i="1"/>
  <c r="B784" i="1"/>
  <c r="G784" i="1"/>
  <c r="K784" i="1"/>
  <c r="A785" i="1"/>
  <c r="B785" i="1"/>
  <c r="G785" i="1"/>
  <c r="K785" i="1"/>
  <c r="A786" i="1"/>
  <c r="B786" i="1"/>
  <c r="G786" i="1"/>
  <c r="K786" i="1"/>
  <c r="A787" i="1"/>
  <c r="B787" i="1"/>
  <c r="G787" i="1"/>
  <c r="K787" i="1"/>
  <c r="A788" i="1"/>
  <c r="B788" i="1"/>
  <c r="G788" i="1"/>
  <c r="K788" i="1"/>
  <c r="A789" i="1"/>
  <c r="B789" i="1"/>
  <c r="G789" i="1"/>
  <c r="K789" i="1"/>
  <c r="A790" i="1"/>
  <c r="B790" i="1"/>
  <c r="G790" i="1"/>
  <c r="K790" i="1"/>
  <c r="A791" i="1"/>
  <c r="B791" i="1"/>
  <c r="G791" i="1"/>
  <c r="K791" i="1"/>
  <c r="A792" i="1"/>
  <c r="B792" i="1"/>
  <c r="G792" i="1"/>
  <c r="K792" i="1"/>
  <c r="A793" i="1"/>
  <c r="B793" i="1"/>
  <c r="G793" i="1"/>
  <c r="K793" i="1"/>
  <c r="A794" i="1"/>
  <c r="B794" i="1"/>
  <c r="G794" i="1"/>
  <c r="K794" i="1"/>
  <c r="A795" i="1"/>
  <c r="B795" i="1"/>
  <c r="G795" i="1"/>
  <c r="K795" i="1"/>
  <c r="A796" i="1"/>
  <c r="B796" i="1"/>
  <c r="G796" i="1"/>
  <c r="K796" i="1"/>
  <c r="A797" i="1"/>
  <c r="B797" i="1"/>
  <c r="G797" i="1"/>
  <c r="K797" i="1"/>
  <c r="A798" i="1"/>
  <c r="B798" i="1"/>
  <c r="G798" i="1"/>
  <c r="K798" i="1"/>
  <c r="A799" i="1"/>
  <c r="B799" i="1"/>
  <c r="G799" i="1"/>
  <c r="K799" i="1"/>
  <c r="A800" i="1"/>
  <c r="B800" i="1"/>
  <c r="G800" i="1"/>
  <c r="K800" i="1"/>
  <c r="A801" i="1"/>
  <c r="B801" i="1"/>
  <c r="G801" i="1"/>
  <c r="K801" i="1"/>
  <c r="A802" i="1"/>
  <c r="B802" i="1"/>
  <c r="G802" i="1"/>
  <c r="K802" i="1"/>
  <c r="A803" i="1"/>
  <c r="B803" i="1"/>
  <c r="G803" i="1"/>
  <c r="K803" i="1"/>
  <c r="A804" i="1"/>
  <c r="B804" i="1"/>
  <c r="G804" i="1"/>
  <c r="K804" i="1"/>
  <c r="A805" i="1"/>
  <c r="B805" i="1"/>
  <c r="G805" i="1"/>
  <c r="K805" i="1"/>
  <c r="A806" i="1"/>
  <c r="B806" i="1"/>
  <c r="G806" i="1"/>
  <c r="K806" i="1"/>
  <c r="A807" i="1"/>
  <c r="B807" i="1"/>
  <c r="G807" i="1"/>
  <c r="K807" i="1"/>
  <c r="A808" i="1"/>
  <c r="B808" i="1"/>
  <c r="G808" i="1"/>
  <c r="K808" i="1"/>
  <c r="A809" i="1"/>
  <c r="B809" i="1"/>
  <c r="G809" i="1"/>
  <c r="K809" i="1"/>
  <c r="A810" i="1"/>
  <c r="B810" i="1"/>
  <c r="G810" i="1"/>
  <c r="K810" i="1"/>
  <c r="A811" i="1"/>
  <c r="B811" i="1"/>
  <c r="G811" i="1"/>
  <c r="K811" i="1"/>
  <c r="A812" i="1"/>
  <c r="B812" i="1"/>
  <c r="G812" i="1"/>
  <c r="K812" i="1"/>
  <c r="A813" i="1"/>
  <c r="B813" i="1"/>
  <c r="G813" i="1"/>
  <c r="K813" i="1"/>
  <c r="A814" i="1"/>
  <c r="B814" i="1"/>
  <c r="G814" i="1"/>
  <c r="K814" i="1"/>
  <c r="A815" i="1"/>
  <c r="B815" i="1"/>
  <c r="G815" i="1"/>
  <c r="K815" i="1"/>
  <c r="A816" i="1"/>
  <c r="B816" i="1"/>
  <c r="G816" i="1"/>
  <c r="K816" i="1"/>
  <c r="A817" i="1"/>
  <c r="B817" i="1"/>
  <c r="G817" i="1"/>
  <c r="K817" i="1"/>
  <c r="A818" i="1"/>
  <c r="B818" i="1"/>
  <c r="G818" i="1"/>
  <c r="K818" i="1"/>
  <c r="A819" i="1"/>
  <c r="B819" i="1"/>
  <c r="G819" i="1"/>
  <c r="K819" i="1"/>
  <c r="A820" i="1"/>
  <c r="B820" i="1"/>
  <c r="G820" i="1"/>
  <c r="K820" i="1"/>
  <c r="A821" i="1"/>
  <c r="B821" i="1"/>
  <c r="G821" i="1"/>
  <c r="K821" i="1"/>
  <c r="A822" i="1"/>
  <c r="B822" i="1"/>
  <c r="G822" i="1"/>
  <c r="K822" i="1"/>
  <c r="A823" i="1"/>
  <c r="B823" i="1"/>
  <c r="G823" i="1"/>
  <c r="K823" i="1"/>
  <c r="A824" i="1"/>
  <c r="B824" i="1"/>
  <c r="G824" i="1"/>
  <c r="K824" i="1"/>
  <c r="A825" i="1"/>
  <c r="B825" i="1"/>
  <c r="G825" i="1"/>
  <c r="K825" i="1"/>
  <c r="A826" i="1"/>
  <c r="B826" i="1"/>
  <c r="G826" i="1"/>
  <c r="K826" i="1"/>
  <c r="A827" i="1"/>
  <c r="B827" i="1"/>
  <c r="G827" i="1"/>
  <c r="K827" i="1"/>
  <c r="A828" i="1"/>
  <c r="B828" i="1"/>
  <c r="G828" i="1"/>
  <c r="K828" i="1"/>
  <c r="A829" i="1"/>
  <c r="B829" i="1"/>
  <c r="G829" i="1"/>
  <c r="K829" i="1"/>
  <c r="A830" i="1"/>
  <c r="B830" i="1"/>
  <c r="G830" i="1"/>
  <c r="K830" i="1"/>
  <c r="A831" i="1"/>
  <c r="B831" i="1"/>
  <c r="G831" i="1"/>
  <c r="K831" i="1"/>
  <c r="A832" i="1"/>
  <c r="B832" i="1"/>
  <c r="G832" i="1"/>
  <c r="K832" i="1"/>
  <c r="A833" i="1"/>
  <c r="B833" i="1"/>
  <c r="G833" i="1"/>
  <c r="K833" i="1"/>
  <c r="A834" i="1"/>
  <c r="B834" i="1"/>
  <c r="G834" i="1"/>
  <c r="K834" i="1"/>
  <c r="A835" i="1"/>
  <c r="B835" i="1"/>
  <c r="G835" i="1"/>
  <c r="K835" i="1"/>
  <c r="A836" i="1"/>
  <c r="B836" i="1"/>
  <c r="G836" i="1"/>
  <c r="K836" i="1"/>
  <c r="A837" i="1"/>
  <c r="B837" i="1"/>
  <c r="G837" i="1"/>
  <c r="K837" i="1"/>
  <c r="A838" i="1"/>
  <c r="B838" i="1"/>
  <c r="G838" i="1"/>
  <c r="K838" i="1"/>
  <c r="A839" i="1"/>
  <c r="B839" i="1"/>
  <c r="G839" i="1"/>
  <c r="K839" i="1"/>
  <c r="A840" i="1"/>
  <c r="B840" i="1"/>
  <c r="G840" i="1"/>
  <c r="K840" i="1"/>
  <c r="A841" i="1"/>
  <c r="B841" i="1"/>
  <c r="G841" i="1"/>
  <c r="K841" i="1"/>
  <c r="A842" i="1"/>
  <c r="B842" i="1"/>
  <c r="G842" i="1"/>
  <c r="K842" i="1"/>
  <c r="A843" i="1"/>
  <c r="B843" i="1"/>
  <c r="G843" i="1"/>
  <c r="K843" i="1"/>
  <c r="A844" i="1"/>
  <c r="B844" i="1"/>
  <c r="G844" i="1"/>
  <c r="K844" i="1"/>
  <c r="A845" i="1"/>
  <c r="B845" i="1"/>
  <c r="G845" i="1"/>
  <c r="K845" i="1"/>
  <c r="A846" i="1"/>
  <c r="B846" i="1"/>
  <c r="G846" i="1"/>
  <c r="K846" i="1"/>
  <c r="A847" i="1"/>
  <c r="B847" i="1"/>
  <c r="G847" i="1"/>
  <c r="K847" i="1"/>
  <c r="A848" i="1"/>
  <c r="B848" i="1"/>
  <c r="G848" i="1"/>
  <c r="K848" i="1"/>
  <c r="A849" i="1"/>
  <c r="B849" i="1"/>
  <c r="G849" i="1"/>
  <c r="K849" i="1"/>
  <c r="A850" i="1"/>
  <c r="B850" i="1"/>
  <c r="G850" i="1"/>
  <c r="K850" i="1"/>
  <c r="A851" i="1"/>
  <c r="B851" i="1"/>
  <c r="G851" i="1"/>
  <c r="K851" i="1"/>
  <c r="A852" i="1"/>
  <c r="B852" i="1"/>
  <c r="G852" i="1"/>
  <c r="K852" i="1"/>
  <c r="A853" i="1"/>
  <c r="B853" i="1"/>
  <c r="G853" i="1"/>
  <c r="K853" i="1"/>
  <c r="A854" i="1"/>
  <c r="B854" i="1"/>
  <c r="G854" i="1"/>
  <c r="K854" i="1"/>
  <c r="A855" i="1"/>
  <c r="B855" i="1"/>
  <c r="G855" i="1"/>
  <c r="K855" i="1"/>
  <c r="A856" i="1"/>
  <c r="B856" i="1"/>
  <c r="G856" i="1"/>
  <c r="K856" i="1"/>
  <c r="A857" i="1"/>
  <c r="B857" i="1"/>
  <c r="G857" i="1"/>
  <c r="K857" i="1"/>
  <c r="A858" i="1"/>
  <c r="B858" i="1"/>
  <c r="G858" i="1"/>
  <c r="K858" i="1"/>
  <c r="A859" i="1"/>
  <c r="B859" i="1"/>
  <c r="G859" i="1"/>
  <c r="K859" i="1"/>
  <c r="A860" i="1"/>
  <c r="B860" i="1"/>
  <c r="G860" i="1"/>
  <c r="K860" i="1"/>
  <c r="A861" i="1"/>
  <c r="B861" i="1"/>
  <c r="G861" i="1"/>
  <c r="K861" i="1"/>
  <c r="A862" i="1"/>
  <c r="B862" i="1"/>
  <c r="G862" i="1"/>
  <c r="K862" i="1"/>
  <c r="A863" i="1"/>
  <c r="B863" i="1"/>
  <c r="G863" i="1"/>
  <c r="K863" i="1"/>
  <c r="A864" i="1"/>
  <c r="B864" i="1"/>
  <c r="G864" i="1"/>
  <c r="K864" i="1"/>
  <c r="A865" i="1"/>
  <c r="B865" i="1"/>
  <c r="G865" i="1"/>
  <c r="K865" i="1"/>
  <c r="A866" i="1"/>
  <c r="B866" i="1"/>
  <c r="G866" i="1"/>
  <c r="K866" i="1"/>
  <c r="A867" i="1"/>
  <c r="B867" i="1"/>
  <c r="G867" i="1"/>
  <c r="K867" i="1"/>
  <c r="A868" i="1"/>
  <c r="B868" i="1"/>
  <c r="G868" i="1"/>
  <c r="K868" i="1"/>
  <c r="A869" i="1"/>
  <c r="B869" i="1"/>
  <c r="G869" i="1"/>
  <c r="K869" i="1"/>
  <c r="A870" i="1"/>
  <c r="B870" i="1"/>
  <c r="G870" i="1"/>
  <c r="K870" i="1"/>
  <c r="A871" i="1"/>
  <c r="B871" i="1"/>
  <c r="G871" i="1"/>
  <c r="K871" i="1"/>
  <c r="A872" i="1"/>
  <c r="B872" i="1"/>
  <c r="G872" i="1"/>
  <c r="K872" i="1"/>
  <c r="A873" i="1"/>
  <c r="B873" i="1"/>
  <c r="G873" i="1"/>
  <c r="K873" i="1"/>
  <c r="A874" i="1"/>
  <c r="B874" i="1"/>
  <c r="G874" i="1"/>
  <c r="K874" i="1"/>
  <c r="A875" i="1"/>
  <c r="B875" i="1"/>
  <c r="G875" i="1"/>
  <c r="K875" i="1"/>
  <c r="A876" i="1"/>
  <c r="B876" i="1"/>
  <c r="G876" i="1"/>
  <c r="K876" i="1"/>
  <c r="A877" i="1"/>
  <c r="B877" i="1"/>
  <c r="G877" i="1"/>
  <c r="K877" i="1"/>
  <c r="A878" i="1"/>
  <c r="B878" i="1"/>
  <c r="G878" i="1"/>
  <c r="K878" i="1"/>
  <c r="A879" i="1"/>
  <c r="B879" i="1"/>
  <c r="G879" i="1"/>
  <c r="K879" i="1"/>
  <c r="A880" i="1"/>
  <c r="B880" i="1"/>
  <c r="G880" i="1"/>
  <c r="K880" i="1"/>
  <c r="A881" i="1"/>
  <c r="B881" i="1"/>
  <c r="G881" i="1"/>
  <c r="K881" i="1"/>
  <c r="A882" i="1"/>
  <c r="B882" i="1"/>
  <c r="G882" i="1"/>
  <c r="K882" i="1"/>
  <c r="A883" i="1"/>
  <c r="B883" i="1"/>
  <c r="G883" i="1"/>
  <c r="K883" i="1"/>
  <c r="A884" i="1"/>
  <c r="B884" i="1"/>
  <c r="G884" i="1"/>
  <c r="K884" i="1"/>
  <c r="A885" i="1"/>
  <c r="B885" i="1"/>
  <c r="G885" i="1"/>
  <c r="K885" i="1"/>
  <c r="A886" i="1"/>
  <c r="B886" i="1"/>
  <c r="G886" i="1"/>
  <c r="K886" i="1"/>
  <c r="A887" i="1"/>
  <c r="B887" i="1"/>
  <c r="G887" i="1"/>
  <c r="K887" i="1"/>
  <c r="A888" i="1"/>
  <c r="B888" i="1"/>
  <c r="G888" i="1"/>
  <c r="K888" i="1"/>
  <c r="A889" i="1"/>
  <c r="B889" i="1"/>
  <c r="G889" i="1"/>
  <c r="K889" i="1"/>
  <c r="A890" i="1"/>
  <c r="B890" i="1"/>
  <c r="G890" i="1"/>
  <c r="K890" i="1"/>
  <c r="A891" i="1"/>
  <c r="B891" i="1"/>
  <c r="G891" i="1"/>
  <c r="K891" i="1"/>
  <c r="A892" i="1"/>
  <c r="B892" i="1"/>
  <c r="G892" i="1"/>
  <c r="K892" i="1"/>
  <c r="A893" i="1"/>
  <c r="B893" i="1"/>
  <c r="G893" i="1"/>
  <c r="K893" i="1"/>
  <c r="A894" i="1"/>
  <c r="B894" i="1"/>
  <c r="G894" i="1"/>
  <c r="K894" i="1"/>
  <c r="A895" i="1"/>
  <c r="B895" i="1"/>
  <c r="G895" i="1"/>
  <c r="K895" i="1"/>
  <c r="A896" i="1"/>
  <c r="B896" i="1"/>
  <c r="G896" i="1"/>
  <c r="K896" i="1"/>
  <c r="A897" i="1"/>
  <c r="B897" i="1"/>
  <c r="G897" i="1"/>
  <c r="K897" i="1"/>
  <c r="A898" i="1"/>
  <c r="B898" i="1"/>
  <c r="G898" i="1"/>
  <c r="K898" i="1"/>
  <c r="A899" i="1"/>
  <c r="B899" i="1"/>
  <c r="G899" i="1"/>
  <c r="K899" i="1"/>
  <c r="A900" i="1"/>
  <c r="B900" i="1"/>
  <c r="G900" i="1"/>
  <c r="K900" i="1"/>
  <c r="A901" i="1"/>
  <c r="B901" i="1"/>
  <c r="G901" i="1"/>
  <c r="K901" i="1"/>
  <c r="A902" i="1"/>
  <c r="B902" i="1"/>
  <c r="G902" i="1"/>
  <c r="K902" i="1"/>
  <c r="A903" i="1"/>
  <c r="B903" i="1"/>
  <c r="G903" i="1"/>
  <c r="K903" i="1"/>
  <c r="A904" i="1"/>
  <c r="B904" i="1"/>
  <c r="G904" i="1"/>
  <c r="K904" i="1"/>
  <c r="A905" i="1"/>
  <c r="B905" i="1"/>
  <c r="G905" i="1"/>
  <c r="K905" i="1"/>
  <c r="A906" i="1"/>
  <c r="B906" i="1"/>
  <c r="G906" i="1"/>
  <c r="K906" i="1"/>
  <c r="A907" i="1"/>
  <c r="B907" i="1"/>
  <c r="G907" i="1"/>
  <c r="K907" i="1"/>
  <c r="A908" i="1"/>
  <c r="B908" i="1"/>
  <c r="G908" i="1"/>
  <c r="K908" i="1"/>
  <c r="A909" i="1"/>
  <c r="B909" i="1"/>
  <c r="G909" i="1"/>
  <c r="K909" i="1"/>
  <c r="A910" i="1"/>
  <c r="B910" i="1"/>
  <c r="G910" i="1"/>
  <c r="K910" i="1"/>
  <c r="A911" i="1"/>
  <c r="B911" i="1"/>
  <c r="G911" i="1"/>
  <c r="K911" i="1"/>
  <c r="A912" i="1"/>
  <c r="B912" i="1"/>
  <c r="G912" i="1"/>
  <c r="K912" i="1"/>
  <c r="A913" i="1"/>
  <c r="B913" i="1"/>
  <c r="G913" i="1"/>
  <c r="K913" i="1"/>
  <c r="A914" i="1"/>
  <c r="B914" i="1"/>
  <c r="G914" i="1"/>
  <c r="K914" i="1"/>
  <c r="A915" i="1"/>
  <c r="B915" i="1"/>
  <c r="G915" i="1"/>
  <c r="K915" i="1"/>
  <c r="A916" i="1"/>
  <c r="B916" i="1"/>
  <c r="G916" i="1"/>
  <c r="K916" i="1"/>
  <c r="A917" i="1"/>
  <c r="B917" i="1"/>
  <c r="G917" i="1"/>
  <c r="K917" i="1"/>
  <c r="A918" i="1"/>
  <c r="B918" i="1"/>
  <c r="G918" i="1"/>
  <c r="K918" i="1"/>
  <c r="A919" i="1"/>
  <c r="B919" i="1"/>
  <c r="G919" i="1"/>
  <c r="K919" i="1"/>
  <c r="A920" i="1"/>
  <c r="B920" i="1"/>
  <c r="G920" i="1"/>
  <c r="K920" i="1"/>
  <c r="A921" i="1"/>
  <c r="B921" i="1"/>
  <c r="G921" i="1"/>
  <c r="K921" i="1"/>
  <c r="A922" i="1"/>
  <c r="B922" i="1"/>
  <c r="G922" i="1"/>
  <c r="K922" i="1"/>
  <c r="A923" i="1"/>
  <c r="B923" i="1"/>
  <c r="G923" i="1"/>
  <c r="K923" i="1"/>
  <c r="A924" i="1"/>
  <c r="B924" i="1"/>
  <c r="G924" i="1"/>
  <c r="K924" i="1"/>
  <c r="A925" i="1"/>
  <c r="B925" i="1"/>
  <c r="G925" i="1"/>
  <c r="K925" i="1"/>
  <c r="A926" i="1"/>
  <c r="B926" i="1"/>
  <c r="G926" i="1"/>
  <c r="K926" i="1"/>
  <c r="A927" i="1"/>
  <c r="B927" i="1"/>
  <c r="G927" i="1"/>
  <c r="K927" i="1"/>
  <c r="A928" i="1"/>
  <c r="B928" i="1"/>
  <c r="G928" i="1"/>
  <c r="K928" i="1"/>
  <c r="A929" i="1"/>
  <c r="B929" i="1"/>
  <c r="G929" i="1"/>
  <c r="K929" i="1"/>
  <c r="A930" i="1"/>
  <c r="B930" i="1"/>
  <c r="G930" i="1"/>
  <c r="K930" i="1"/>
  <c r="A931" i="1"/>
  <c r="B931" i="1"/>
  <c r="G931" i="1"/>
  <c r="K931" i="1"/>
  <c r="A932" i="1"/>
  <c r="B932" i="1"/>
  <c r="G932" i="1"/>
  <c r="K932" i="1"/>
  <c r="A933" i="1"/>
  <c r="B933" i="1"/>
  <c r="G933" i="1"/>
  <c r="K933" i="1"/>
  <c r="A934" i="1"/>
  <c r="B934" i="1"/>
  <c r="G934" i="1"/>
  <c r="K934" i="1"/>
  <c r="A935" i="1"/>
  <c r="B935" i="1"/>
  <c r="G935" i="1"/>
  <c r="K935" i="1"/>
  <c r="A936" i="1"/>
  <c r="B936" i="1"/>
  <c r="G936" i="1"/>
  <c r="K936" i="1"/>
  <c r="A937" i="1"/>
  <c r="B937" i="1"/>
  <c r="G937" i="1"/>
  <c r="K937" i="1"/>
  <c r="A938" i="1"/>
  <c r="B938" i="1"/>
  <c r="G938" i="1"/>
  <c r="K938" i="1"/>
  <c r="A939" i="1"/>
  <c r="B939" i="1"/>
  <c r="G939" i="1"/>
  <c r="K939" i="1"/>
  <c r="A940" i="1"/>
  <c r="B940" i="1"/>
  <c r="G940" i="1"/>
  <c r="K940" i="1"/>
  <c r="A941" i="1"/>
  <c r="B941" i="1"/>
  <c r="G941" i="1"/>
  <c r="K941" i="1"/>
  <c r="A942" i="1"/>
  <c r="B942" i="1"/>
  <c r="G942" i="1"/>
  <c r="K942" i="1"/>
  <c r="A943" i="1"/>
  <c r="B943" i="1"/>
  <c r="G943" i="1"/>
  <c r="K943" i="1"/>
  <c r="A944" i="1"/>
  <c r="B944" i="1"/>
  <c r="G944" i="1"/>
  <c r="K944" i="1"/>
  <c r="A945" i="1"/>
  <c r="B945" i="1"/>
  <c r="G945" i="1"/>
  <c r="K945" i="1"/>
  <c r="A946" i="1"/>
  <c r="B946" i="1"/>
  <c r="G946" i="1"/>
  <c r="K946" i="1"/>
  <c r="A947" i="1"/>
  <c r="B947" i="1"/>
  <c r="G947" i="1"/>
  <c r="K947" i="1"/>
  <c r="A948" i="1"/>
  <c r="B948" i="1"/>
  <c r="G948" i="1"/>
  <c r="K948" i="1"/>
  <c r="A949" i="1"/>
  <c r="B949" i="1"/>
  <c r="G949" i="1"/>
  <c r="K949" i="1"/>
  <c r="A950" i="1"/>
  <c r="B950" i="1"/>
  <c r="G950" i="1"/>
  <c r="K950" i="1"/>
  <c r="A951" i="1"/>
  <c r="B951" i="1"/>
  <c r="G951" i="1"/>
  <c r="K951" i="1"/>
  <c r="A952" i="1"/>
  <c r="B952" i="1"/>
  <c r="G952" i="1"/>
  <c r="K952" i="1"/>
  <c r="A953" i="1"/>
  <c r="B953" i="1"/>
  <c r="G953" i="1"/>
  <c r="K953" i="1"/>
  <c r="A954" i="1"/>
  <c r="B954" i="1"/>
  <c r="G954" i="1"/>
  <c r="K954" i="1"/>
  <c r="A955" i="1"/>
  <c r="B955" i="1"/>
  <c r="G955" i="1"/>
  <c r="K955" i="1"/>
  <c r="A956" i="1"/>
  <c r="B956" i="1"/>
  <c r="G956" i="1"/>
  <c r="K956" i="1"/>
  <c r="A957" i="1"/>
  <c r="B957" i="1"/>
  <c r="G957" i="1"/>
  <c r="K957" i="1"/>
  <c r="A958" i="1"/>
  <c r="B958" i="1"/>
  <c r="G958" i="1"/>
  <c r="K958" i="1"/>
  <c r="A959" i="1"/>
  <c r="B959" i="1"/>
  <c r="G959" i="1"/>
  <c r="K959" i="1"/>
  <c r="A960" i="1"/>
  <c r="B960" i="1"/>
  <c r="G960" i="1"/>
  <c r="K960" i="1"/>
  <c r="A961" i="1"/>
  <c r="B961" i="1"/>
  <c r="G961" i="1"/>
  <c r="K961" i="1"/>
  <c r="A962" i="1"/>
  <c r="B962" i="1"/>
  <c r="G962" i="1"/>
  <c r="K962" i="1"/>
  <c r="A963" i="1"/>
  <c r="B963" i="1"/>
  <c r="G963" i="1"/>
  <c r="K963" i="1"/>
  <c r="A964" i="1"/>
  <c r="B964" i="1"/>
  <c r="G964" i="1"/>
  <c r="K964" i="1"/>
  <c r="A965" i="1"/>
  <c r="B965" i="1"/>
  <c r="G965" i="1"/>
  <c r="K965" i="1"/>
  <c r="A966" i="1"/>
  <c r="B966" i="1"/>
  <c r="G966" i="1"/>
  <c r="K966" i="1"/>
  <c r="A967" i="1"/>
  <c r="B967" i="1"/>
  <c r="G967" i="1"/>
  <c r="K967" i="1"/>
  <c r="A968" i="1"/>
  <c r="B968" i="1"/>
  <c r="G968" i="1"/>
  <c r="K968" i="1"/>
  <c r="A969" i="1"/>
  <c r="B969" i="1"/>
  <c r="G969" i="1"/>
  <c r="K969" i="1"/>
  <c r="A970" i="1"/>
  <c r="B970" i="1"/>
  <c r="G970" i="1"/>
  <c r="K970" i="1"/>
  <c r="A971" i="1"/>
  <c r="B971" i="1"/>
  <c r="G971" i="1"/>
  <c r="K971" i="1"/>
  <c r="A972" i="1"/>
  <c r="B972" i="1"/>
  <c r="G972" i="1"/>
  <c r="K972" i="1"/>
  <c r="A973" i="1"/>
  <c r="B973" i="1"/>
  <c r="G973" i="1"/>
  <c r="K973" i="1"/>
  <c r="A974" i="1"/>
  <c r="B974" i="1"/>
  <c r="G974" i="1"/>
  <c r="K974" i="1"/>
  <c r="A975" i="1"/>
  <c r="B975" i="1"/>
  <c r="G975" i="1"/>
  <c r="K975" i="1"/>
  <c r="A976" i="1"/>
  <c r="B976" i="1"/>
  <c r="G976" i="1"/>
  <c r="K976" i="1"/>
  <c r="A977" i="1"/>
  <c r="B977" i="1"/>
  <c r="G977" i="1"/>
  <c r="K977" i="1"/>
  <c r="A978" i="1"/>
  <c r="B978" i="1"/>
  <c r="G978" i="1"/>
  <c r="K978" i="1"/>
  <c r="A979" i="1"/>
  <c r="B979" i="1"/>
  <c r="G979" i="1"/>
  <c r="K979" i="1"/>
  <c r="A980" i="1"/>
  <c r="B980" i="1"/>
  <c r="G980" i="1"/>
  <c r="K980" i="1"/>
  <c r="A981" i="1"/>
  <c r="B981" i="1"/>
  <c r="G981" i="1"/>
  <c r="K981" i="1"/>
  <c r="A982" i="1"/>
  <c r="B982" i="1"/>
  <c r="G982" i="1"/>
  <c r="K982" i="1"/>
  <c r="A983" i="1"/>
  <c r="B983" i="1"/>
  <c r="G983" i="1"/>
  <c r="K983" i="1"/>
  <c r="A984" i="1"/>
  <c r="B984" i="1"/>
  <c r="G984" i="1"/>
  <c r="K984" i="1"/>
  <c r="A985" i="1"/>
  <c r="B985" i="1"/>
  <c r="G985" i="1"/>
  <c r="K985" i="1"/>
  <c r="A986" i="1"/>
  <c r="B986" i="1"/>
  <c r="G986" i="1"/>
  <c r="K986" i="1"/>
  <c r="A987" i="1"/>
  <c r="B987" i="1"/>
  <c r="G987" i="1"/>
  <c r="K987" i="1"/>
  <c r="A988" i="1"/>
  <c r="B988" i="1"/>
  <c r="G988" i="1"/>
  <c r="K988" i="1"/>
  <c r="A989" i="1"/>
  <c r="B989" i="1"/>
  <c r="G989" i="1"/>
  <c r="K989" i="1"/>
  <c r="A990" i="1"/>
  <c r="B990" i="1"/>
  <c r="G990" i="1"/>
  <c r="K990" i="1"/>
  <c r="A991" i="1"/>
  <c r="B991" i="1"/>
  <c r="G991" i="1"/>
  <c r="K991" i="1"/>
  <c r="A992" i="1"/>
  <c r="B992" i="1"/>
  <c r="G992" i="1"/>
  <c r="K992" i="1"/>
  <c r="A993" i="1"/>
  <c r="B993" i="1"/>
  <c r="G993" i="1"/>
  <c r="K993" i="1"/>
  <c r="A994" i="1"/>
  <c r="B994" i="1"/>
  <c r="G994" i="1"/>
  <c r="K994" i="1"/>
  <c r="A995" i="1"/>
  <c r="B995" i="1"/>
  <c r="G995" i="1"/>
  <c r="K995" i="1"/>
  <c r="A996" i="1"/>
  <c r="B996" i="1"/>
  <c r="G996" i="1"/>
  <c r="K996" i="1"/>
  <c r="A997" i="1"/>
  <c r="B997" i="1"/>
  <c r="G997" i="1"/>
  <c r="K997" i="1"/>
  <c r="A998" i="1"/>
  <c r="B998" i="1"/>
  <c r="G998" i="1"/>
  <c r="K998" i="1"/>
  <c r="A999" i="1"/>
  <c r="B999" i="1"/>
  <c r="G999" i="1"/>
  <c r="K999" i="1"/>
  <c r="A1000" i="1"/>
  <c r="B1000" i="1"/>
  <c r="G1000" i="1"/>
  <c r="K1000" i="1"/>
  <c r="A1001" i="1"/>
  <c r="B1001" i="1"/>
  <c r="G1001" i="1"/>
  <c r="K1001" i="1"/>
  <c r="A1002" i="1"/>
  <c r="B1002" i="1"/>
  <c r="G1002" i="1"/>
  <c r="K1002" i="1"/>
  <c r="A1003" i="1"/>
  <c r="B1003" i="1"/>
  <c r="G1003" i="1"/>
  <c r="K1003" i="1"/>
  <c r="A1004" i="1"/>
  <c r="B1004" i="1"/>
  <c r="G1004" i="1"/>
  <c r="K1004" i="1"/>
  <c r="A1005" i="1"/>
  <c r="B1005" i="1"/>
  <c r="G1005" i="1"/>
  <c r="K1005" i="1"/>
  <c r="A1006" i="1"/>
  <c r="B1006" i="1"/>
  <c r="G1006" i="1"/>
  <c r="K1006" i="1"/>
  <c r="A1007" i="1"/>
  <c r="B1007" i="1"/>
  <c r="G1007" i="1"/>
  <c r="K1007" i="1"/>
  <c r="A1008" i="1"/>
  <c r="B1008" i="1"/>
  <c r="G1008" i="1"/>
  <c r="K1008" i="1"/>
  <c r="A1009" i="1"/>
  <c r="B1009" i="1"/>
  <c r="G1009" i="1"/>
  <c r="K1009" i="1"/>
  <c r="A1010" i="1"/>
  <c r="B1010" i="1"/>
  <c r="G1010" i="1"/>
  <c r="K1010" i="1"/>
  <c r="A1011" i="1"/>
  <c r="B1011" i="1"/>
  <c r="G1011" i="1"/>
  <c r="K1011" i="1"/>
  <c r="A1012" i="1"/>
  <c r="B1012" i="1"/>
  <c r="G1012" i="1"/>
  <c r="K1012" i="1"/>
  <c r="A1013" i="1"/>
  <c r="B1013" i="1"/>
  <c r="G1013" i="1"/>
  <c r="K1013" i="1"/>
  <c r="A1014" i="1"/>
  <c r="B1014" i="1"/>
  <c r="G1014" i="1"/>
  <c r="K1014" i="1"/>
  <c r="A1015" i="1"/>
  <c r="B1015" i="1"/>
  <c r="G1015" i="1"/>
  <c r="K1015" i="1"/>
  <c r="A1016" i="1"/>
  <c r="B1016" i="1"/>
  <c r="G1016" i="1"/>
  <c r="K1016" i="1"/>
  <c r="A1017" i="1"/>
  <c r="B1017" i="1"/>
  <c r="G1017" i="1"/>
  <c r="K1017" i="1"/>
  <c r="A1018" i="1"/>
  <c r="B1018" i="1"/>
  <c r="G1018" i="1"/>
  <c r="K1018" i="1"/>
  <c r="A1019" i="1"/>
  <c r="B1019" i="1"/>
  <c r="G1019" i="1"/>
  <c r="K1019" i="1"/>
  <c r="A1020" i="1"/>
  <c r="B1020" i="1"/>
  <c r="G1020" i="1"/>
  <c r="K1020" i="1"/>
  <c r="A1021" i="1"/>
  <c r="B1021" i="1"/>
  <c r="G1021" i="1"/>
  <c r="K1021" i="1"/>
  <c r="A1022" i="1"/>
  <c r="B1022" i="1"/>
  <c r="G1022" i="1"/>
  <c r="K1022" i="1"/>
  <c r="A1023" i="1"/>
  <c r="B1023" i="1"/>
  <c r="G1023" i="1"/>
  <c r="K1023" i="1"/>
  <c r="A1024" i="1"/>
  <c r="B1024" i="1"/>
  <c r="G1024" i="1"/>
  <c r="K1024" i="1"/>
  <c r="A1025" i="1"/>
  <c r="B1025" i="1"/>
  <c r="G1025" i="1"/>
  <c r="K1025" i="1"/>
  <c r="A1026" i="1"/>
  <c r="B1026" i="1"/>
  <c r="G1026" i="1"/>
  <c r="K1026" i="1"/>
  <c r="A1027" i="1"/>
  <c r="B1027" i="1"/>
  <c r="G1027" i="1"/>
  <c r="K1027" i="1"/>
  <c r="A1028" i="1"/>
  <c r="B1028" i="1"/>
  <c r="G1028" i="1"/>
  <c r="K1028" i="1"/>
  <c r="A1029" i="1"/>
  <c r="B1029" i="1"/>
  <c r="G1029" i="1"/>
  <c r="K1029" i="1"/>
  <c r="A1030" i="1"/>
  <c r="B1030" i="1"/>
  <c r="G1030" i="1"/>
  <c r="K1030" i="1"/>
  <c r="A1031" i="1"/>
  <c r="B1031" i="1"/>
  <c r="G1031" i="1"/>
  <c r="K1031" i="1"/>
  <c r="A1032" i="1"/>
  <c r="B1032" i="1"/>
  <c r="G1032" i="1"/>
  <c r="K1032" i="1"/>
  <c r="A1033" i="1"/>
  <c r="B1033" i="1"/>
  <c r="G1033" i="1"/>
  <c r="K1033" i="1"/>
  <c r="A1034" i="1"/>
  <c r="B1034" i="1"/>
  <c r="G1034" i="1"/>
  <c r="K1034" i="1"/>
  <c r="A1035" i="1"/>
  <c r="B1035" i="1"/>
  <c r="G1035" i="1"/>
  <c r="K1035" i="1"/>
  <c r="A1036" i="1"/>
  <c r="B1036" i="1"/>
  <c r="G1036" i="1"/>
  <c r="K1036" i="1"/>
  <c r="A1037" i="1"/>
  <c r="B1037" i="1"/>
  <c r="G1037" i="1"/>
  <c r="K1037" i="1"/>
  <c r="A1038" i="1"/>
  <c r="B1038" i="1"/>
  <c r="G1038" i="1"/>
  <c r="K1038" i="1"/>
  <c r="A1039" i="1"/>
  <c r="B1039" i="1"/>
  <c r="G1039" i="1"/>
  <c r="K1039" i="1"/>
  <c r="A1040" i="1"/>
  <c r="B1040" i="1"/>
  <c r="G1040" i="1"/>
  <c r="K1040" i="1"/>
  <c r="A1041" i="1"/>
  <c r="B1041" i="1"/>
  <c r="G1041" i="1"/>
  <c r="K1041" i="1"/>
  <c r="A1042" i="1"/>
  <c r="B1042" i="1"/>
  <c r="G1042" i="1"/>
  <c r="K1042" i="1"/>
  <c r="A1043" i="1"/>
  <c r="B1043" i="1"/>
  <c r="G1043" i="1"/>
  <c r="K1043" i="1"/>
  <c r="A1044" i="1"/>
  <c r="B1044" i="1"/>
  <c r="G1044" i="1"/>
  <c r="K1044" i="1"/>
  <c r="A1045" i="1"/>
  <c r="B1045" i="1"/>
  <c r="G1045" i="1"/>
  <c r="K1045" i="1"/>
  <c r="A1046" i="1"/>
  <c r="B1046" i="1"/>
  <c r="G1046" i="1"/>
  <c r="K1046" i="1"/>
  <c r="A1047" i="1"/>
  <c r="B1047" i="1"/>
  <c r="G1047" i="1"/>
  <c r="K1047" i="1"/>
  <c r="A1048" i="1"/>
  <c r="B1048" i="1"/>
  <c r="G1048" i="1"/>
  <c r="K1048" i="1"/>
  <c r="A1049" i="1"/>
  <c r="B1049" i="1"/>
  <c r="G1049" i="1"/>
  <c r="K1049" i="1"/>
  <c r="A1050" i="1"/>
  <c r="B1050" i="1"/>
  <c r="G1050" i="1"/>
  <c r="K1050" i="1"/>
  <c r="A1051" i="1"/>
  <c r="B1051" i="1"/>
  <c r="G1051" i="1"/>
  <c r="K1051" i="1"/>
  <c r="A1052" i="1"/>
  <c r="B1052" i="1"/>
  <c r="G1052" i="1"/>
  <c r="K1052" i="1"/>
  <c r="A1053" i="1"/>
  <c r="B1053" i="1"/>
  <c r="G1053" i="1"/>
  <c r="K1053" i="1"/>
  <c r="A1054" i="1"/>
  <c r="B1054" i="1"/>
  <c r="G1054" i="1"/>
  <c r="K1054" i="1"/>
  <c r="A1055" i="1"/>
  <c r="B1055" i="1"/>
  <c r="G1055" i="1"/>
  <c r="K1055" i="1"/>
  <c r="A1056" i="1"/>
  <c r="B1056" i="1"/>
  <c r="G1056" i="1"/>
  <c r="K1056" i="1"/>
  <c r="A1057" i="1"/>
  <c r="B1057" i="1"/>
  <c r="G1057" i="1"/>
  <c r="K1057" i="1"/>
  <c r="A1058" i="1"/>
  <c r="B1058" i="1"/>
  <c r="G1058" i="1"/>
  <c r="K1058" i="1"/>
  <c r="A1059" i="1"/>
  <c r="B1059" i="1"/>
  <c r="G1059" i="1"/>
  <c r="K1059" i="1"/>
  <c r="A1060" i="1"/>
  <c r="B1060" i="1"/>
  <c r="G1060" i="1"/>
  <c r="K1060" i="1"/>
  <c r="A1061" i="1"/>
  <c r="B1061" i="1"/>
  <c r="G1061" i="1"/>
  <c r="K1061" i="1"/>
  <c r="A1062" i="1"/>
  <c r="B1062" i="1"/>
  <c r="G1062" i="1"/>
  <c r="K1062" i="1"/>
  <c r="A1063" i="1"/>
  <c r="B1063" i="1"/>
  <c r="G1063" i="1"/>
  <c r="K1063" i="1"/>
  <c r="A1064" i="1"/>
  <c r="B1064" i="1"/>
  <c r="G1064" i="1"/>
  <c r="K1064" i="1"/>
  <c r="A1065" i="1"/>
  <c r="B1065" i="1"/>
  <c r="G1065" i="1"/>
  <c r="K1065" i="1"/>
  <c r="A1066" i="1"/>
  <c r="B1066" i="1"/>
  <c r="G1066" i="1"/>
  <c r="K1066" i="1"/>
  <c r="A1067" i="1"/>
  <c r="B1067" i="1"/>
  <c r="G1067" i="1"/>
  <c r="K1067" i="1"/>
  <c r="A1068" i="1"/>
  <c r="B1068" i="1"/>
  <c r="G1068" i="1"/>
  <c r="K1068" i="1"/>
  <c r="A1069" i="1"/>
  <c r="B1069" i="1"/>
  <c r="G1069" i="1"/>
  <c r="K1069" i="1"/>
  <c r="A1070" i="1"/>
  <c r="B1070" i="1"/>
  <c r="G1070" i="1"/>
  <c r="K1070" i="1"/>
  <c r="A1071" i="1"/>
  <c r="B1071" i="1"/>
  <c r="G1071" i="1"/>
  <c r="K1071" i="1"/>
  <c r="A1072" i="1"/>
  <c r="B1072" i="1"/>
  <c r="G1072" i="1"/>
  <c r="K1072" i="1"/>
  <c r="A1073" i="1"/>
  <c r="B1073" i="1"/>
  <c r="G1073" i="1"/>
  <c r="K1073" i="1"/>
  <c r="A1074" i="1"/>
  <c r="B1074" i="1"/>
  <c r="G1074" i="1"/>
  <c r="K1074" i="1"/>
  <c r="A1075" i="1"/>
  <c r="B1075" i="1"/>
  <c r="G1075" i="1"/>
  <c r="K1075" i="1"/>
  <c r="A1076" i="1"/>
  <c r="B1076" i="1"/>
  <c r="G1076" i="1"/>
  <c r="K1076" i="1"/>
  <c r="A1077" i="1"/>
  <c r="B1077" i="1"/>
  <c r="G1077" i="1"/>
  <c r="K1077" i="1"/>
  <c r="A1078" i="1"/>
  <c r="B1078" i="1"/>
  <c r="G1078" i="1"/>
  <c r="K1078" i="1"/>
  <c r="A1079" i="1"/>
  <c r="B1079" i="1"/>
  <c r="G1079" i="1"/>
  <c r="K1079" i="1"/>
  <c r="A1080" i="1"/>
  <c r="B1080" i="1"/>
  <c r="G1080" i="1"/>
  <c r="K1080" i="1"/>
  <c r="A1081" i="1"/>
  <c r="B1081" i="1"/>
  <c r="G1081" i="1"/>
  <c r="K1081" i="1"/>
  <c r="A1082" i="1"/>
  <c r="B1082" i="1"/>
  <c r="G1082" i="1"/>
  <c r="K1082" i="1"/>
  <c r="A1083" i="1"/>
  <c r="B1083" i="1"/>
  <c r="G1083" i="1"/>
  <c r="K1083" i="1"/>
  <c r="A1084" i="1"/>
  <c r="B1084" i="1"/>
  <c r="G1084" i="1"/>
  <c r="K1084" i="1"/>
  <c r="A1085" i="1"/>
  <c r="B1085" i="1"/>
  <c r="G1085" i="1"/>
  <c r="K1085" i="1"/>
  <c r="A1086" i="1"/>
  <c r="B1086" i="1"/>
  <c r="G1086" i="1"/>
  <c r="K1086" i="1"/>
  <c r="A1087" i="1"/>
  <c r="B1087" i="1"/>
  <c r="G1087" i="1"/>
  <c r="K1087" i="1"/>
  <c r="A1088" i="1"/>
  <c r="B1088" i="1"/>
  <c r="G1088" i="1"/>
  <c r="K1088" i="1"/>
  <c r="A1089" i="1"/>
  <c r="B1089" i="1"/>
  <c r="G1089" i="1"/>
  <c r="K1089" i="1"/>
  <c r="A1090" i="1"/>
  <c r="B1090" i="1"/>
  <c r="G1090" i="1"/>
  <c r="K1090" i="1"/>
  <c r="A1091" i="1"/>
  <c r="B1091" i="1"/>
  <c r="G1091" i="1"/>
  <c r="K1091" i="1"/>
  <c r="A1092" i="1"/>
  <c r="B1092" i="1"/>
  <c r="G1092" i="1"/>
  <c r="K1092" i="1"/>
  <c r="A1093" i="1"/>
  <c r="B1093" i="1"/>
  <c r="G1093" i="1"/>
  <c r="K1093" i="1"/>
  <c r="A1094" i="1"/>
  <c r="B1094" i="1"/>
  <c r="G1094" i="1"/>
  <c r="K1094" i="1"/>
  <c r="A1095" i="1"/>
  <c r="B1095" i="1"/>
  <c r="G1095" i="1"/>
  <c r="K1095" i="1"/>
  <c r="A1096" i="1"/>
  <c r="B1096" i="1"/>
  <c r="G1096" i="1"/>
  <c r="K1096" i="1"/>
  <c r="A1097" i="1"/>
  <c r="B1097" i="1"/>
  <c r="G1097" i="1"/>
  <c r="K1097" i="1"/>
  <c r="A1098" i="1"/>
  <c r="B1098" i="1"/>
  <c r="G1098" i="1"/>
  <c r="K1098" i="1"/>
  <c r="A1099" i="1"/>
  <c r="B1099" i="1"/>
  <c r="G1099" i="1"/>
  <c r="K1099" i="1"/>
  <c r="A1100" i="1"/>
  <c r="B1100" i="1"/>
  <c r="G1100" i="1"/>
  <c r="K1100" i="1"/>
  <c r="A1101" i="1"/>
  <c r="B1101" i="1"/>
  <c r="G1101" i="1"/>
  <c r="K1101" i="1"/>
  <c r="A1102" i="1"/>
  <c r="B1102" i="1"/>
  <c r="G1102" i="1"/>
  <c r="K1102" i="1"/>
  <c r="A1103" i="1"/>
  <c r="B1103" i="1"/>
  <c r="G1103" i="1"/>
  <c r="K1103" i="1"/>
  <c r="A1104" i="1"/>
  <c r="B1104" i="1"/>
  <c r="G1104" i="1"/>
  <c r="K1104" i="1"/>
  <c r="A1105" i="1"/>
  <c r="B1105" i="1"/>
  <c r="G1105" i="1"/>
  <c r="K1105" i="1"/>
  <c r="A1106" i="1"/>
  <c r="B1106" i="1"/>
  <c r="G1106" i="1"/>
  <c r="K1106" i="1"/>
  <c r="A1107" i="1"/>
  <c r="B1107" i="1"/>
  <c r="G1107" i="1"/>
  <c r="K1107" i="1"/>
  <c r="A1108" i="1"/>
  <c r="B1108" i="1"/>
  <c r="G1108" i="1"/>
  <c r="K1108" i="1"/>
  <c r="A1109" i="1"/>
  <c r="B1109" i="1"/>
  <c r="G1109" i="1"/>
  <c r="K1109" i="1"/>
  <c r="A1110" i="1"/>
  <c r="B1110" i="1"/>
  <c r="G1110" i="1"/>
  <c r="K1110" i="1"/>
  <c r="A1111" i="1"/>
  <c r="B1111" i="1"/>
  <c r="G1111" i="1"/>
  <c r="K1111" i="1"/>
  <c r="A1112" i="1"/>
  <c r="B1112" i="1"/>
  <c r="G1112" i="1"/>
  <c r="K1112" i="1"/>
  <c r="A1113" i="1"/>
  <c r="B1113" i="1"/>
  <c r="G1113" i="1"/>
  <c r="K1113" i="1"/>
  <c r="A1114" i="1"/>
  <c r="B1114" i="1"/>
  <c r="G1114" i="1"/>
  <c r="K1114" i="1"/>
  <c r="A1115" i="1"/>
  <c r="B1115" i="1"/>
  <c r="G1115" i="1"/>
  <c r="K1115" i="1"/>
  <c r="A1116" i="1"/>
  <c r="B1116" i="1"/>
  <c r="G1116" i="1"/>
  <c r="K1116" i="1"/>
  <c r="A1117" i="1"/>
  <c r="B1117" i="1"/>
  <c r="G1117" i="1"/>
  <c r="K1117" i="1"/>
  <c r="A1118" i="1"/>
  <c r="B1118" i="1"/>
  <c r="G1118" i="1"/>
  <c r="K1118" i="1"/>
  <c r="A1119" i="1"/>
  <c r="B1119" i="1"/>
  <c r="G1119" i="1"/>
  <c r="K1119" i="1"/>
  <c r="A1120" i="1"/>
  <c r="B1120" i="1"/>
  <c r="G1120" i="1"/>
  <c r="K1120" i="1"/>
  <c r="A1121" i="1"/>
  <c r="B1121" i="1"/>
  <c r="G1121" i="1"/>
  <c r="K1121" i="1"/>
  <c r="A1122" i="1"/>
  <c r="B1122" i="1"/>
  <c r="G1122" i="1"/>
  <c r="K1122" i="1"/>
  <c r="A1123" i="1"/>
  <c r="B1123" i="1"/>
  <c r="G1123" i="1"/>
  <c r="K1123" i="1"/>
  <c r="A1124" i="1"/>
  <c r="B1124" i="1"/>
  <c r="G1124" i="1"/>
  <c r="K1124" i="1"/>
  <c r="A1125" i="1"/>
  <c r="B1125" i="1"/>
  <c r="G1125" i="1"/>
  <c r="K1125" i="1"/>
  <c r="A1126" i="1"/>
  <c r="B1126" i="1"/>
  <c r="G1126" i="1"/>
  <c r="K1126" i="1"/>
  <c r="A1127" i="1"/>
  <c r="B1127" i="1"/>
  <c r="G1127" i="1"/>
  <c r="K1127" i="1"/>
  <c r="A1128" i="1"/>
  <c r="B1128" i="1"/>
  <c r="G1128" i="1"/>
  <c r="K1128" i="1"/>
  <c r="A1129" i="1"/>
  <c r="B1129" i="1"/>
  <c r="G1129" i="1"/>
  <c r="K1129" i="1"/>
  <c r="A1130" i="1"/>
  <c r="B1130" i="1"/>
  <c r="G1130" i="1"/>
  <c r="K1130" i="1"/>
  <c r="A1131" i="1"/>
  <c r="B1131" i="1"/>
  <c r="G1131" i="1"/>
  <c r="K1131" i="1"/>
  <c r="A1132" i="1"/>
  <c r="B1132" i="1"/>
  <c r="G1132" i="1"/>
  <c r="K1132" i="1"/>
  <c r="A1133" i="1"/>
  <c r="B1133" i="1"/>
  <c r="G1133" i="1"/>
  <c r="K1133" i="1"/>
  <c r="A1134" i="1"/>
  <c r="B1134" i="1"/>
  <c r="G1134" i="1"/>
  <c r="K1134" i="1"/>
  <c r="A1135" i="1"/>
  <c r="B1135" i="1"/>
  <c r="G1135" i="1"/>
  <c r="K1135" i="1"/>
  <c r="A1136" i="1"/>
  <c r="B1136" i="1"/>
  <c r="G1136" i="1"/>
  <c r="K1136" i="1"/>
  <c r="A1137" i="1"/>
  <c r="B1137" i="1"/>
  <c r="G1137" i="1"/>
  <c r="K1137" i="1"/>
  <c r="A1138" i="1"/>
  <c r="B1138" i="1"/>
  <c r="G1138" i="1"/>
  <c r="K1138" i="1"/>
  <c r="A1139" i="1"/>
  <c r="B1139" i="1"/>
  <c r="G1139" i="1"/>
  <c r="K1139" i="1"/>
  <c r="A1140" i="1"/>
  <c r="B1140" i="1"/>
  <c r="G1140" i="1"/>
  <c r="K1140" i="1"/>
  <c r="A1141" i="1"/>
  <c r="B1141" i="1"/>
  <c r="G1141" i="1"/>
  <c r="K1141" i="1"/>
  <c r="A1142" i="1"/>
  <c r="B1142" i="1"/>
  <c r="G1142" i="1"/>
  <c r="K1142" i="1"/>
  <c r="A1143" i="1"/>
  <c r="B1143" i="1"/>
  <c r="G1143" i="1"/>
  <c r="K1143" i="1"/>
  <c r="A1144" i="1"/>
  <c r="B1144" i="1"/>
  <c r="G1144" i="1"/>
  <c r="K1144" i="1"/>
  <c r="A1145" i="1"/>
  <c r="B1145" i="1"/>
  <c r="G1145" i="1"/>
  <c r="K1145" i="1"/>
  <c r="A1146" i="1"/>
  <c r="B1146" i="1"/>
  <c r="G1146" i="1"/>
  <c r="K1146" i="1"/>
  <c r="A1147" i="1"/>
  <c r="B1147" i="1"/>
  <c r="G1147" i="1"/>
  <c r="K1147" i="1"/>
  <c r="A1148" i="1"/>
  <c r="B1148" i="1"/>
  <c r="G1148" i="1"/>
  <c r="K1148" i="1"/>
  <c r="A1149" i="1"/>
  <c r="B1149" i="1"/>
  <c r="G1149" i="1"/>
  <c r="K1149" i="1"/>
  <c r="A1150" i="1"/>
  <c r="B1150" i="1"/>
  <c r="G1150" i="1"/>
  <c r="K1150" i="1"/>
  <c r="A1151" i="1"/>
  <c r="B1151" i="1"/>
  <c r="G1151" i="1"/>
  <c r="K1151" i="1"/>
  <c r="A1152" i="1"/>
  <c r="B1152" i="1"/>
  <c r="G1152" i="1"/>
  <c r="K1152" i="1"/>
  <c r="A1153" i="1"/>
  <c r="B1153" i="1"/>
  <c r="G1153" i="1"/>
  <c r="K1153" i="1"/>
  <c r="A1154" i="1"/>
  <c r="B1154" i="1"/>
  <c r="G1154" i="1"/>
  <c r="K1154" i="1"/>
  <c r="A1155" i="1"/>
  <c r="B1155" i="1"/>
  <c r="G1155" i="1"/>
  <c r="K1155" i="1"/>
  <c r="A1156" i="1"/>
  <c r="B1156" i="1"/>
  <c r="G1156" i="1"/>
  <c r="K1156" i="1"/>
  <c r="A1157" i="1"/>
  <c r="B1157" i="1"/>
  <c r="G1157" i="1"/>
  <c r="K1157" i="1"/>
  <c r="A1158" i="1"/>
  <c r="B1158" i="1"/>
  <c r="G1158" i="1"/>
  <c r="K1158" i="1"/>
  <c r="A1159" i="1"/>
  <c r="B1159" i="1"/>
  <c r="G1159" i="1"/>
  <c r="K1159" i="1"/>
  <c r="A1160" i="1"/>
  <c r="B1160" i="1"/>
  <c r="G1160" i="1"/>
  <c r="K1160" i="1"/>
  <c r="A1161" i="1"/>
  <c r="B1161" i="1"/>
  <c r="G1161" i="1"/>
  <c r="K1161" i="1"/>
  <c r="A1162" i="1"/>
  <c r="B1162" i="1"/>
  <c r="G1162" i="1"/>
  <c r="K1162" i="1"/>
  <c r="A1163" i="1"/>
  <c r="B1163" i="1"/>
  <c r="G1163" i="1"/>
  <c r="K1163" i="1"/>
  <c r="A1164" i="1"/>
  <c r="B1164" i="1"/>
  <c r="G1164" i="1"/>
  <c r="K1164" i="1"/>
  <c r="A1165" i="1"/>
  <c r="B1165" i="1"/>
  <c r="G1165" i="1"/>
  <c r="K1165" i="1"/>
  <c r="A1166" i="1"/>
  <c r="B1166" i="1"/>
  <c r="G1166" i="1"/>
  <c r="K1166" i="1"/>
  <c r="A1167" i="1"/>
  <c r="B1167" i="1"/>
  <c r="G1167" i="1"/>
  <c r="K1167" i="1"/>
  <c r="A1168" i="1"/>
  <c r="B1168" i="1"/>
  <c r="G1168" i="1"/>
  <c r="K1168" i="1"/>
  <c r="A1169" i="1"/>
  <c r="B1169" i="1"/>
  <c r="G1169" i="1"/>
  <c r="K1169" i="1"/>
  <c r="A1170" i="1"/>
  <c r="B1170" i="1"/>
  <c r="G1170" i="1"/>
  <c r="K1170" i="1"/>
  <c r="A1171" i="1"/>
  <c r="B1171" i="1"/>
  <c r="G1171" i="1"/>
  <c r="K1171" i="1"/>
  <c r="A1172" i="1"/>
  <c r="B1172" i="1"/>
  <c r="G1172" i="1"/>
  <c r="K1172" i="1"/>
  <c r="A1173" i="1"/>
  <c r="B1173" i="1"/>
  <c r="G1173" i="1"/>
  <c r="K1173" i="1"/>
  <c r="A1174" i="1"/>
  <c r="B1174" i="1"/>
  <c r="G1174" i="1"/>
  <c r="K1174" i="1"/>
  <c r="A1175" i="1"/>
  <c r="B1175" i="1"/>
  <c r="G1175" i="1"/>
  <c r="K1175" i="1"/>
  <c r="A1176" i="1"/>
  <c r="B1176" i="1"/>
  <c r="G1176" i="1"/>
  <c r="K1176" i="1"/>
  <c r="A1177" i="1"/>
  <c r="B1177" i="1"/>
  <c r="G1177" i="1"/>
  <c r="K1177" i="1"/>
  <c r="A1178" i="1"/>
  <c r="B1178" i="1"/>
  <c r="G1178" i="1"/>
  <c r="K1178" i="1"/>
  <c r="A1179" i="1"/>
  <c r="B1179" i="1"/>
  <c r="G1179" i="1"/>
  <c r="K1179" i="1"/>
  <c r="A1180" i="1"/>
  <c r="B1180" i="1"/>
  <c r="G1180" i="1"/>
  <c r="K1180" i="1"/>
  <c r="A1181" i="1"/>
  <c r="B1181" i="1"/>
  <c r="G1181" i="1"/>
  <c r="K1181" i="1"/>
  <c r="A1182" i="1"/>
  <c r="B1182" i="1"/>
  <c r="G1182" i="1"/>
  <c r="K1182" i="1"/>
  <c r="A1183" i="1"/>
  <c r="B1183" i="1"/>
  <c r="G1183" i="1"/>
  <c r="K1183" i="1"/>
  <c r="A1184" i="1"/>
  <c r="B1184" i="1"/>
  <c r="G1184" i="1"/>
  <c r="K1184" i="1"/>
  <c r="A1185" i="1"/>
  <c r="B1185" i="1"/>
  <c r="G1185" i="1"/>
  <c r="K1185" i="1"/>
  <c r="A1186" i="1"/>
  <c r="B1186" i="1"/>
  <c r="G1186" i="1"/>
  <c r="K1186" i="1"/>
  <c r="A1187" i="1"/>
  <c r="B1187" i="1"/>
  <c r="G1187" i="1"/>
  <c r="K1187" i="1"/>
  <c r="A1188" i="1"/>
  <c r="B1188" i="1"/>
  <c r="G1188" i="1"/>
  <c r="K1188" i="1"/>
  <c r="A1189" i="1"/>
  <c r="B1189" i="1"/>
  <c r="G1189" i="1"/>
  <c r="K1189" i="1"/>
  <c r="A1190" i="1"/>
  <c r="B1190" i="1"/>
  <c r="G1190" i="1"/>
  <c r="K1190" i="1"/>
  <c r="A1191" i="1"/>
  <c r="B1191" i="1"/>
  <c r="G1191" i="1"/>
  <c r="K1191" i="1"/>
  <c r="A1192" i="1"/>
  <c r="B1192" i="1"/>
  <c r="G1192" i="1"/>
  <c r="K1192" i="1"/>
  <c r="A1193" i="1"/>
  <c r="B1193" i="1"/>
  <c r="G1193" i="1"/>
  <c r="K1193" i="1"/>
  <c r="A1194" i="1"/>
  <c r="B1194" i="1"/>
  <c r="G1194" i="1"/>
  <c r="K1194" i="1"/>
  <c r="A1195" i="1"/>
  <c r="B1195" i="1"/>
  <c r="G1195" i="1"/>
  <c r="K1195" i="1"/>
  <c r="A1196" i="1"/>
  <c r="B1196" i="1"/>
  <c r="G1196" i="1"/>
  <c r="K1196" i="1"/>
  <c r="A1197" i="1"/>
  <c r="B1197" i="1"/>
  <c r="G1197" i="1"/>
  <c r="K1197" i="1"/>
  <c r="A1198" i="1"/>
  <c r="B1198" i="1"/>
  <c r="G1198" i="1"/>
  <c r="K1198" i="1"/>
  <c r="A1199" i="1"/>
  <c r="B1199" i="1"/>
  <c r="G1199" i="1"/>
  <c r="K1199" i="1"/>
  <c r="A1200" i="1"/>
  <c r="B1200" i="1"/>
  <c r="G1200" i="1"/>
  <c r="K1200" i="1"/>
  <c r="A1201" i="1"/>
  <c r="B1201" i="1"/>
  <c r="G1201" i="1"/>
  <c r="K1201" i="1"/>
  <c r="A1202" i="1"/>
  <c r="B1202" i="1"/>
  <c r="G1202" i="1"/>
  <c r="K1202" i="1"/>
  <c r="A1203" i="1"/>
  <c r="B1203" i="1"/>
  <c r="G1203" i="1"/>
  <c r="K1203" i="1"/>
  <c r="A1204" i="1"/>
  <c r="B1204" i="1"/>
  <c r="G1204" i="1"/>
  <c r="K1204" i="1"/>
  <c r="A1205" i="1"/>
  <c r="B1205" i="1"/>
  <c r="G1205" i="1"/>
  <c r="K1205" i="1"/>
  <c r="A1206" i="1"/>
  <c r="B1206" i="1"/>
  <c r="G1206" i="1"/>
  <c r="K1206" i="1"/>
  <c r="A1207" i="1"/>
  <c r="B1207" i="1"/>
  <c r="G1207" i="1"/>
  <c r="K1207" i="1"/>
  <c r="A1208" i="1"/>
  <c r="B1208" i="1"/>
  <c r="G1208" i="1"/>
  <c r="K1208" i="1"/>
  <c r="A1209" i="1"/>
  <c r="B1209" i="1"/>
  <c r="G1209" i="1"/>
  <c r="K1209" i="1"/>
  <c r="A1210" i="1"/>
  <c r="B1210" i="1"/>
  <c r="G1210" i="1"/>
  <c r="K1210" i="1"/>
  <c r="A1211" i="1"/>
  <c r="B1211" i="1"/>
  <c r="G1211" i="1"/>
  <c r="K1211" i="1"/>
  <c r="A1212" i="1"/>
  <c r="B1212" i="1"/>
  <c r="G1212" i="1"/>
  <c r="K1212" i="1"/>
  <c r="A1213" i="1"/>
  <c r="B1213" i="1"/>
  <c r="G1213" i="1"/>
  <c r="K1213" i="1"/>
  <c r="A1214" i="1"/>
  <c r="B1214" i="1"/>
  <c r="G1214" i="1"/>
  <c r="K1214" i="1"/>
  <c r="A1215" i="1"/>
  <c r="B1215" i="1"/>
  <c r="G1215" i="1"/>
  <c r="K1215" i="1"/>
  <c r="A1216" i="1"/>
  <c r="B1216" i="1"/>
  <c r="G1216" i="1"/>
  <c r="K1216" i="1"/>
  <c r="A1217" i="1"/>
  <c r="B1217" i="1"/>
  <c r="G1217" i="1"/>
  <c r="K1217" i="1"/>
  <c r="A1218" i="1"/>
  <c r="B1218" i="1"/>
  <c r="G1218" i="1"/>
  <c r="K1218" i="1"/>
  <c r="A1219" i="1"/>
  <c r="B1219" i="1"/>
  <c r="G1219" i="1"/>
  <c r="K1219" i="1"/>
  <c r="A1220" i="1"/>
  <c r="B1220" i="1"/>
  <c r="G1220" i="1"/>
  <c r="K1220" i="1"/>
  <c r="A1221" i="1"/>
  <c r="B1221" i="1"/>
  <c r="G1221" i="1"/>
  <c r="K1221" i="1"/>
  <c r="A1222" i="1"/>
  <c r="B1222" i="1"/>
  <c r="G1222" i="1"/>
  <c r="K1222" i="1"/>
  <c r="A1223" i="1"/>
  <c r="B1223" i="1"/>
  <c r="G1223" i="1"/>
  <c r="K1223" i="1"/>
  <c r="A1224" i="1"/>
  <c r="B1224" i="1"/>
  <c r="G1224" i="1"/>
  <c r="K1224" i="1"/>
  <c r="A1225" i="1"/>
  <c r="B1225" i="1"/>
  <c r="G1225" i="1"/>
  <c r="K1225" i="1"/>
  <c r="A1226" i="1"/>
  <c r="B1226" i="1"/>
  <c r="G1226" i="1"/>
  <c r="K1226" i="1"/>
  <c r="A1227" i="1"/>
  <c r="B1227" i="1"/>
  <c r="G1227" i="1"/>
  <c r="K1227" i="1"/>
  <c r="A1228" i="1"/>
  <c r="B1228" i="1"/>
  <c r="G1228" i="1"/>
  <c r="K1228" i="1"/>
  <c r="A1229" i="1"/>
  <c r="B1229" i="1"/>
  <c r="G1229" i="1"/>
  <c r="K1229" i="1"/>
  <c r="A1230" i="1"/>
  <c r="B1230" i="1"/>
  <c r="G1230" i="1"/>
  <c r="K1230" i="1"/>
  <c r="A1231" i="1"/>
  <c r="B1231" i="1"/>
  <c r="G1231" i="1"/>
  <c r="K1231" i="1"/>
  <c r="A1232" i="1"/>
  <c r="B1232" i="1"/>
  <c r="G1232" i="1"/>
  <c r="K1232" i="1"/>
  <c r="A1233" i="1"/>
  <c r="B1233" i="1"/>
  <c r="G1233" i="1"/>
  <c r="K1233" i="1"/>
  <c r="A1234" i="1"/>
  <c r="B1234" i="1"/>
  <c r="G1234" i="1"/>
  <c r="K1234" i="1"/>
  <c r="A1235" i="1"/>
  <c r="B1235" i="1"/>
  <c r="G1235" i="1"/>
  <c r="K1235" i="1"/>
  <c r="A1236" i="1"/>
  <c r="B1236" i="1"/>
  <c r="G1236" i="1"/>
  <c r="K1236" i="1"/>
  <c r="A1237" i="1"/>
  <c r="B1237" i="1"/>
  <c r="G1237" i="1"/>
  <c r="K1237" i="1"/>
  <c r="A1238" i="1"/>
  <c r="B1238" i="1"/>
  <c r="G1238" i="1"/>
  <c r="K1238" i="1"/>
  <c r="A1239" i="1"/>
  <c r="B1239" i="1"/>
  <c r="G1239" i="1"/>
  <c r="K1239" i="1"/>
  <c r="A1240" i="1"/>
  <c r="B1240" i="1"/>
  <c r="G1240" i="1"/>
  <c r="K1240" i="1"/>
  <c r="A1241" i="1"/>
  <c r="B1241" i="1"/>
  <c r="G1241" i="1"/>
  <c r="K1241" i="1"/>
  <c r="A1242" i="1"/>
  <c r="B1242" i="1"/>
  <c r="G1242" i="1"/>
  <c r="K1242" i="1"/>
  <c r="A1243" i="1"/>
  <c r="B1243" i="1"/>
  <c r="G1243" i="1"/>
  <c r="K1243" i="1"/>
  <c r="A1244" i="1"/>
  <c r="B1244" i="1"/>
  <c r="G1244" i="1"/>
  <c r="K1244" i="1"/>
  <c r="A1245" i="1"/>
  <c r="B1245" i="1"/>
  <c r="G1245" i="1"/>
  <c r="K1245" i="1"/>
  <c r="A1246" i="1"/>
  <c r="B1246" i="1"/>
  <c r="G1246" i="1"/>
  <c r="K1246" i="1"/>
  <c r="A1247" i="1"/>
  <c r="B1247" i="1"/>
  <c r="G1247" i="1"/>
  <c r="K1247" i="1"/>
  <c r="A1248" i="1"/>
  <c r="B1248" i="1"/>
  <c r="G1248" i="1"/>
  <c r="K1248" i="1"/>
  <c r="A1249" i="1"/>
  <c r="B1249" i="1"/>
  <c r="G1249" i="1"/>
  <c r="K1249" i="1"/>
  <c r="A1250" i="1"/>
  <c r="B1250" i="1"/>
  <c r="G1250" i="1"/>
  <c r="K1250" i="1"/>
  <c r="A1251" i="1"/>
  <c r="B1251" i="1"/>
  <c r="G1251" i="1"/>
  <c r="K1251" i="1"/>
  <c r="A1252" i="1"/>
  <c r="B1252" i="1"/>
  <c r="G1252" i="1"/>
  <c r="K1252" i="1"/>
  <c r="A1253" i="1"/>
  <c r="B1253" i="1"/>
  <c r="G1253" i="1"/>
  <c r="K1253" i="1"/>
  <c r="A1254" i="1"/>
  <c r="B1254" i="1"/>
  <c r="G1254" i="1"/>
  <c r="K1254" i="1"/>
  <c r="A1255" i="1"/>
  <c r="B1255" i="1"/>
  <c r="G1255" i="1"/>
  <c r="K1255" i="1"/>
  <c r="A1256" i="1"/>
  <c r="B1256" i="1"/>
  <c r="G1256" i="1"/>
  <c r="K1256" i="1"/>
  <c r="A1257" i="1"/>
  <c r="B1257" i="1"/>
  <c r="G1257" i="1"/>
  <c r="K1257" i="1"/>
  <c r="A1258" i="1"/>
  <c r="B1258" i="1"/>
  <c r="G1258" i="1"/>
  <c r="K1258" i="1"/>
  <c r="A1259" i="1"/>
  <c r="B1259" i="1"/>
  <c r="G1259" i="1"/>
  <c r="K1259" i="1"/>
  <c r="A1260" i="1"/>
  <c r="B1260" i="1"/>
  <c r="G1260" i="1"/>
  <c r="K1260" i="1"/>
  <c r="A1261" i="1"/>
  <c r="B1261" i="1"/>
  <c r="G1261" i="1"/>
  <c r="K1261" i="1"/>
  <c r="A1262" i="1"/>
  <c r="B1262" i="1"/>
  <c r="G1262" i="1"/>
  <c r="K1262" i="1"/>
  <c r="A1263" i="1"/>
  <c r="B1263" i="1"/>
  <c r="G1263" i="1"/>
  <c r="K1263" i="1"/>
  <c r="A1264" i="1"/>
  <c r="B1264" i="1"/>
  <c r="G1264" i="1"/>
  <c r="K1264" i="1"/>
  <c r="A1265" i="1"/>
  <c r="B1265" i="1"/>
  <c r="G1265" i="1"/>
  <c r="K1265" i="1"/>
  <c r="A1266" i="1"/>
  <c r="B1266" i="1"/>
  <c r="G1266" i="1"/>
  <c r="K1266" i="1"/>
  <c r="A1267" i="1"/>
  <c r="B1267" i="1"/>
  <c r="G1267" i="1"/>
  <c r="K1267" i="1"/>
  <c r="A1268" i="1"/>
  <c r="B1268" i="1"/>
  <c r="G1268" i="1"/>
  <c r="K1268" i="1"/>
  <c r="A1269" i="1"/>
  <c r="B1269" i="1"/>
  <c r="G1269" i="1"/>
  <c r="K1269" i="1"/>
  <c r="A1270" i="1"/>
  <c r="B1270" i="1"/>
  <c r="G1270" i="1"/>
  <c r="K1270" i="1"/>
  <c r="A1271" i="1"/>
  <c r="B1271" i="1"/>
  <c r="G1271" i="1"/>
  <c r="K1271" i="1"/>
  <c r="A1272" i="1"/>
  <c r="B1272" i="1"/>
  <c r="G1272" i="1"/>
  <c r="K1272" i="1"/>
  <c r="A1273" i="1"/>
  <c r="B1273" i="1"/>
  <c r="G1273" i="1"/>
  <c r="K1273" i="1"/>
  <c r="A1274" i="1"/>
  <c r="B1274" i="1"/>
  <c r="G1274" i="1"/>
  <c r="K1274" i="1"/>
  <c r="A1275" i="1"/>
  <c r="B1275" i="1"/>
  <c r="G1275" i="1"/>
  <c r="K1275" i="1"/>
  <c r="A1276" i="1"/>
  <c r="B1276" i="1"/>
  <c r="G1276" i="1"/>
  <c r="K1276" i="1"/>
  <c r="A1277" i="1"/>
  <c r="B1277" i="1"/>
  <c r="G1277" i="1"/>
  <c r="K1277" i="1"/>
  <c r="A1278" i="1"/>
  <c r="B1278" i="1"/>
  <c r="G1278" i="1"/>
  <c r="K1278" i="1"/>
  <c r="A1279" i="1"/>
  <c r="B1279" i="1"/>
  <c r="G1279" i="1"/>
  <c r="K1279" i="1"/>
  <c r="A1280" i="1"/>
  <c r="B1280" i="1"/>
  <c r="G1280" i="1"/>
  <c r="K1280" i="1"/>
  <c r="A1281" i="1"/>
  <c r="B1281" i="1"/>
  <c r="G1281" i="1"/>
  <c r="K1281" i="1"/>
  <c r="A1282" i="1"/>
  <c r="B1282" i="1"/>
  <c r="G1282" i="1"/>
  <c r="K1282" i="1"/>
  <c r="A1283" i="1"/>
  <c r="B1283" i="1"/>
  <c r="G1283" i="1"/>
  <c r="K1283" i="1"/>
  <c r="A1284" i="1"/>
  <c r="B1284" i="1"/>
  <c r="G1284" i="1"/>
  <c r="K1284" i="1"/>
  <c r="A1285" i="1"/>
  <c r="B1285" i="1"/>
  <c r="G1285" i="1"/>
  <c r="K1285" i="1"/>
  <c r="A1286" i="1"/>
  <c r="B1286" i="1"/>
  <c r="G1286" i="1"/>
  <c r="K1286" i="1"/>
  <c r="A1287" i="1"/>
  <c r="B1287" i="1"/>
  <c r="G1287" i="1"/>
  <c r="K1287" i="1"/>
  <c r="A1288" i="1"/>
  <c r="B1288" i="1"/>
  <c r="G1288" i="1"/>
  <c r="K1288" i="1"/>
  <c r="A1289" i="1"/>
  <c r="B1289" i="1"/>
  <c r="G1289" i="1"/>
  <c r="K1289" i="1"/>
  <c r="A1290" i="1"/>
  <c r="B1290" i="1"/>
  <c r="G1290" i="1"/>
  <c r="K1290" i="1"/>
  <c r="A1291" i="1"/>
  <c r="B1291" i="1"/>
  <c r="G1291" i="1"/>
  <c r="K1291" i="1"/>
  <c r="A1292" i="1"/>
  <c r="B1292" i="1"/>
  <c r="G1292" i="1"/>
  <c r="K1292" i="1"/>
  <c r="A1293" i="1"/>
  <c r="B1293" i="1"/>
  <c r="G1293" i="1"/>
  <c r="K1293" i="1"/>
  <c r="A1294" i="1"/>
  <c r="B1294" i="1"/>
  <c r="G1294" i="1"/>
  <c r="K1294" i="1"/>
  <c r="A1295" i="1"/>
  <c r="B1295" i="1"/>
  <c r="G1295" i="1"/>
  <c r="K1295" i="1"/>
  <c r="A1296" i="1"/>
  <c r="B1296" i="1"/>
  <c r="G1296" i="1"/>
  <c r="K1296" i="1"/>
  <c r="A1297" i="1"/>
  <c r="B1297" i="1"/>
  <c r="G1297" i="1"/>
  <c r="K1297" i="1"/>
  <c r="A1298" i="1"/>
  <c r="B1298" i="1"/>
  <c r="G1298" i="1"/>
  <c r="K1298" i="1"/>
  <c r="A1299" i="1"/>
  <c r="B1299" i="1"/>
  <c r="G1299" i="1"/>
  <c r="K1299" i="1"/>
  <c r="A1300" i="1"/>
  <c r="B1300" i="1"/>
  <c r="G1300" i="1"/>
  <c r="K1300" i="1"/>
  <c r="A1301" i="1"/>
  <c r="B1301" i="1"/>
  <c r="G1301" i="1"/>
  <c r="K1301" i="1"/>
  <c r="A1302" i="1"/>
  <c r="B1302" i="1"/>
  <c r="G1302" i="1"/>
  <c r="K1302" i="1"/>
  <c r="A1303" i="1"/>
  <c r="B1303" i="1"/>
  <c r="G1303" i="1"/>
  <c r="K1303" i="1"/>
  <c r="A1304" i="1"/>
  <c r="B1304" i="1"/>
  <c r="G1304" i="1"/>
  <c r="K1304" i="1"/>
  <c r="A1305" i="1"/>
  <c r="B1305" i="1"/>
  <c r="G1305" i="1"/>
  <c r="K1305" i="1"/>
  <c r="A1306" i="1"/>
  <c r="B1306" i="1"/>
  <c r="G1306" i="1"/>
  <c r="K1306" i="1"/>
  <c r="A1307" i="1"/>
  <c r="B1307" i="1"/>
  <c r="G1307" i="1"/>
  <c r="K1307" i="1"/>
  <c r="A1308" i="1"/>
  <c r="B1308" i="1"/>
  <c r="G1308" i="1"/>
  <c r="K1308" i="1"/>
  <c r="A1309" i="1"/>
  <c r="B1309" i="1"/>
  <c r="G1309" i="1"/>
  <c r="K1309" i="1"/>
  <c r="A1310" i="1"/>
  <c r="B1310" i="1"/>
  <c r="G1310" i="1"/>
  <c r="K1310" i="1"/>
  <c r="A1311" i="1"/>
  <c r="B1311" i="1"/>
  <c r="G1311" i="1"/>
  <c r="K1311" i="1"/>
  <c r="A1312" i="1"/>
  <c r="B1312" i="1"/>
  <c r="G1312" i="1"/>
  <c r="K1312" i="1"/>
  <c r="A1313" i="1"/>
  <c r="B1313" i="1"/>
  <c r="G1313" i="1"/>
  <c r="K1313" i="1"/>
  <c r="A1314" i="1"/>
  <c r="B1314" i="1"/>
  <c r="G1314" i="1"/>
  <c r="K1314" i="1"/>
  <c r="A1315" i="1"/>
  <c r="B1315" i="1"/>
  <c r="G1315" i="1"/>
  <c r="K1315" i="1"/>
  <c r="A1316" i="1"/>
  <c r="B1316" i="1"/>
  <c r="G1316" i="1"/>
  <c r="K1316" i="1"/>
  <c r="A1317" i="1"/>
  <c r="B1317" i="1"/>
  <c r="G1317" i="1"/>
  <c r="K1317" i="1"/>
  <c r="A1318" i="1"/>
  <c r="B1318" i="1"/>
  <c r="G1318" i="1"/>
  <c r="K1318" i="1"/>
  <c r="A1319" i="1"/>
  <c r="B1319" i="1"/>
  <c r="G1319" i="1"/>
  <c r="K1319" i="1"/>
  <c r="A1320" i="1"/>
  <c r="B1320" i="1"/>
  <c r="G1320" i="1"/>
  <c r="K1320" i="1"/>
  <c r="A1321" i="1"/>
  <c r="B1321" i="1"/>
  <c r="G1321" i="1"/>
  <c r="K1321" i="1"/>
  <c r="A1322" i="1"/>
  <c r="B1322" i="1"/>
  <c r="G1322" i="1"/>
  <c r="K1322" i="1"/>
  <c r="A1323" i="1"/>
  <c r="B1323" i="1"/>
  <c r="G1323" i="1"/>
  <c r="K1323" i="1"/>
  <c r="A1324" i="1"/>
  <c r="B1324" i="1"/>
  <c r="G1324" i="1"/>
  <c r="K1324" i="1"/>
  <c r="A1325" i="1"/>
  <c r="B1325" i="1"/>
  <c r="G1325" i="1"/>
  <c r="K1325" i="1"/>
  <c r="A1326" i="1"/>
  <c r="B1326" i="1"/>
  <c r="G1326" i="1"/>
  <c r="K1326" i="1"/>
  <c r="A1327" i="1"/>
  <c r="B1327" i="1"/>
  <c r="G1327" i="1"/>
  <c r="K1327" i="1"/>
  <c r="A1328" i="1"/>
  <c r="B1328" i="1"/>
  <c r="G1328" i="1"/>
  <c r="K1328" i="1"/>
  <c r="A1329" i="1"/>
  <c r="B1329" i="1"/>
  <c r="G1329" i="1"/>
  <c r="K1329" i="1"/>
  <c r="A1330" i="1"/>
  <c r="B1330" i="1"/>
  <c r="G1330" i="1"/>
  <c r="K1330" i="1"/>
  <c r="A1331" i="1"/>
  <c r="B1331" i="1"/>
  <c r="G1331" i="1"/>
  <c r="K1331" i="1"/>
  <c r="A1332" i="1"/>
  <c r="B1332" i="1"/>
  <c r="G1332" i="1"/>
  <c r="K1332" i="1"/>
  <c r="A1333" i="1"/>
  <c r="B1333" i="1"/>
  <c r="G1333" i="1"/>
  <c r="K1333" i="1"/>
  <c r="A1334" i="1"/>
  <c r="B1334" i="1"/>
  <c r="G1334" i="1"/>
  <c r="K1334" i="1"/>
  <c r="A1335" i="1"/>
  <c r="B1335" i="1"/>
  <c r="G1335" i="1"/>
  <c r="K1335" i="1"/>
  <c r="A1336" i="1"/>
  <c r="B1336" i="1"/>
  <c r="G1336" i="1"/>
  <c r="K1336" i="1"/>
  <c r="A1337" i="1"/>
  <c r="B1337" i="1"/>
  <c r="G1337" i="1"/>
  <c r="K1337" i="1"/>
  <c r="A1338" i="1"/>
  <c r="B1338" i="1"/>
  <c r="G1338" i="1"/>
  <c r="K1338" i="1"/>
  <c r="A1339" i="1"/>
  <c r="B1339" i="1"/>
  <c r="G1339" i="1"/>
  <c r="K1339" i="1"/>
  <c r="A1340" i="1"/>
  <c r="B1340" i="1"/>
  <c r="G1340" i="1"/>
  <c r="K1340" i="1"/>
  <c r="A1341" i="1"/>
  <c r="B1341" i="1"/>
  <c r="G1341" i="1"/>
  <c r="K1341" i="1"/>
  <c r="A1342" i="1"/>
  <c r="B1342" i="1"/>
  <c r="G1342" i="1"/>
  <c r="K1342" i="1"/>
  <c r="A1343" i="1"/>
  <c r="B1343" i="1"/>
  <c r="G1343" i="1"/>
  <c r="K1343" i="1"/>
  <c r="A1344" i="1"/>
  <c r="B1344" i="1"/>
  <c r="G1344" i="1"/>
  <c r="K1344" i="1"/>
  <c r="A1345" i="1"/>
  <c r="B1345" i="1"/>
  <c r="G1345" i="1"/>
  <c r="K1345" i="1"/>
  <c r="A1346" i="1"/>
  <c r="B1346" i="1"/>
  <c r="G1346" i="1"/>
  <c r="K1346" i="1"/>
  <c r="A1347" i="1"/>
  <c r="B1347" i="1"/>
  <c r="G1347" i="1"/>
  <c r="K1347" i="1"/>
  <c r="A1348" i="1"/>
  <c r="B1348" i="1"/>
  <c r="G1348" i="1"/>
  <c r="K1348" i="1"/>
  <c r="A1349" i="1"/>
  <c r="B1349" i="1"/>
  <c r="G1349" i="1"/>
  <c r="K1349" i="1"/>
  <c r="A1350" i="1"/>
  <c r="B1350" i="1"/>
  <c r="G1350" i="1"/>
  <c r="K1350" i="1"/>
  <c r="A1351" i="1"/>
  <c r="B1351" i="1"/>
  <c r="G1351" i="1"/>
  <c r="K1351" i="1"/>
  <c r="A1352" i="1"/>
  <c r="B1352" i="1"/>
  <c r="G1352" i="1"/>
  <c r="K1352" i="1"/>
  <c r="A1353" i="1"/>
  <c r="B1353" i="1"/>
  <c r="G1353" i="1"/>
  <c r="K1353" i="1"/>
  <c r="A1354" i="1"/>
  <c r="B1354" i="1"/>
  <c r="G1354" i="1"/>
  <c r="K1354" i="1"/>
  <c r="A1355" i="1"/>
  <c r="B1355" i="1"/>
  <c r="G1355" i="1"/>
  <c r="K1355" i="1"/>
  <c r="A1356" i="1"/>
  <c r="B1356" i="1"/>
  <c r="G1356" i="1"/>
  <c r="K1356" i="1"/>
  <c r="A1357" i="1"/>
  <c r="B1357" i="1"/>
  <c r="G1357" i="1"/>
  <c r="K1357" i="1"/>
  <c r="A1358" i="1"/>
  <c r="B1358" i="1"/>
  <c r="G1358" i="1"/>
  <c r="K1358" i="1"/>
  <c r="A1359" i="1"/>
  <c r="B1359" i="1"/>
  <c r="G1359" i="1"/>
  <c r="K1359" i="1"/>
  <c r="A1360" i="1"/>
  <c r="B1360" i="1"/>
  <c r="G1360" i="1"/>
  <c r="K1360" i="1"/>
  <c r="A1361" i="1"/>
  <c r="B1361" i="1"/>
  <c r="G1361" i="1"/>
  <c r="K1361" i="1"/>
  <c r="A1362" i="1"/>
  <c r="B1362" i="1"/>
  <c r="G1362" i="1"/>
  <c r="K1362" i="1"/>
  <c r="A1363" i="1"/>
  <c r="B1363" i="1"/>
  <c r="G1363" i="1"/>
  <c r="K1363" i="1"/>
  <c r="A1364" i="1"/>
  <c r="B1364" i="1"/>
  <c r="G1364" i="1"/>
  <c r="K1364" i="1"/>
  <c r="A1365" i="1"/>
  <c r="B1365" i="1"/>
  <c r="G1365" i="1"/>
  <c r="K1365" i="1"/>
  <c r="A1366" i="1"/>
  <c r="B1366" i="1"/>
  <c r="G1366" i="1"/>
  <c r="K1366" i="1"/>
  <c r="A1367" i="1"/>
  <c r="B1367" i="1"/>
  <c r="G1367" i="1"/>
  <c r="K1367" i="1"/>
  <c r="A1368" i="1"/>
  <c r="B1368" i="1"/>
  <c r="G1368" i="1"/>
  <c r="K1368" i="1"/>
  <c r="A1369" i="1"/>
  <c r="B1369" i="1"/>
  <c r="G1369" i="1"/>
  <c r="K1369" i="1"/>
  <c r="A1370" i="1"/>
  <c r="B1370" i="1"/>
  <c r="G1370" i="1"/>
  <c r="K1370" i="1"/>
  <c r="A1371" i="1"/>
  <c r="B1371" i="1"/>
  <c r="G1371" i="1"/>
  <c r="K1371" i="1"/>
  <c r="A1372" i="1"/>
  <c r="B1372" i="1"/>
  <c r="G1372" i="1"/>
  <c r="K1372" i="1"/>
  <c r="A1373" i="1"/>
  <c r="B1373" i="1"/>
  <c r="G1373" i="1"/>
  <c r="K1373" i="1"/>
  <c r="A1374" i="1"/>
  <c r="B1374" i="1"/>
  <c r="G1374" i="1"/>
  <c r="K1374" i="1"/>
  <c r="A1375" i="1"/>
  <c r="B1375" i="1"/>
  <c r="G1375" i="1"/>
  <c r="K1375" i="1"/>
  <c r="A1376" i="1"/>
  <c r="B1376" i="1"/>
  <c r="G1376" i="1"/>
  <c r="K1376" i="1"/>
  <c r="A1377" i="1"/>
  <c r="B1377" i="1"/>
  <c r="G1377" i="1"/>
  <c r="K1377" i="1"/>
  <c r="A1378" i="1"/>
  <c r="B1378" i="1"/>
  <c r="G1378" i="1"/>
  <c r="K1378" i="1"/>
  <c r="A1379" i="1"/>
  <c r="B1379" i="1"/>
  <c r="G1379" i="1"/>
  <c r="K1379" i="1"/>
  <c r="A1380" i="1"/>
  <c r="B1380" i="1"/>
  <c r="G1380" i="1"/>
  <c r="K1380" i="1"/>
  <c r="A1381" i="1"/>
  <c r="B1381" i="1"/>
  <c r="G1381" i="1"/>
  <c r="K1381" i="1"/>
  <c r="A1382" i="1"/>
  <c r="B1382" i="1"/>
  <c r="G1382" i="1"/>
  <c r="K1382" i="1"/>
  <c r="A1383" i="1"/>
  <c r="B1383" i="1"/>
  <c r="G1383" i="1"/>
  <c r="K1383" i="1"/>
  <c r="A1384" i="1"/>
  <c r="B1384" i="1"/>
  <c r="G1384" i="1"/>
  <c r="K1384" i="1"/>
  <c r="A1385" i="1"/>
  <c r="B1385" i="1"/>
  <c r="G1385" i="1"/>
  <c r="K1385" i="1"/>
  <c r="A1386" i="1"/>
  <c r="B1386" i="1"/>
  <c r="G1386" i="1"/>
  <c r="K1386" i="1"/>
  <c r="A1387" i="1"/>
  <c r="B1387" i="1"/>
  <c r="G1387" i="1"/>
  <c r="K1387" i="1"/>
  <c r="A1388" i="1"/>
  <c r="B1388" i="1"/>
  <c r="G1388" i="1"/>
  <c r="K1388" i="1"/>
  <c r="A1389" i="1"/>
  <c r="B1389" i="1"/>
  <c r="G1389" i="1"/>
  <c r="K1389" i="1"/>
  <c r="A1390" i="1"/>
  <c r="B1390" i="1"/>
  <c r="G1390" i="1"/>
  <c r="K1390" i="1"/>
  <c r="A1391" i="1"/>
  <c r="B1391" i="1"/>
  <c r="G1391" i="1"/>
  <c r="K1391" i="1"/>
  <c r="A1392" i="1"/>
  <c r="B1392" i="1"/>
  <c r="G1392" i="1"/>
  <c r="K1392" i="1"/>
  <c r="A1393" i="1"/>
  <c r="B1393" i="1"/>
  <c r="G1393" i="1"/>
  <c r="K1393" i="1"/>
  <c r="A1394" i="1"/>
  <c r="B1394" i="1"/>
  <c r="G1394" i="1"/>
  <c r="K1394" i="1"/>
  <c r="A1395" i="1"/>
  <c r="B1395" i="1"/>
  <c r="G1395" i="1"/>
  <c r="K1395" i="1"/>
  <c r="A1396" i="1"/>
  <c r="B1396" i="1"/>
  <c r="G1396" i="1"/>
  <c r="K1396" i="1"/>
  <c r="A1397" i="1"/>
  <c r="B1397" i="1"/>
  <c r="G1397" i="1"/>
  <c r="K1397" i="1"/>
  <c r="A1398" i="1"/>
  <c r="B1398" i="1"/>
  <c r="G1398" i="1"/>
  <c r="K1398" i="1"/>
  <c r="A1399" i="1"/>
  <c r="B1399" i="1"/>
  <c r="G1399" i="1"/>
  <c r="K1399" i="1"/>
  <c r="A1400" i="1"/>
  <c r="B1400" i="1"/>
  <c r="G1400" i="1"/>
  <c r="K1400" i="1"/>
  <c r="A1401" i="1"/>
  <c r="B1401" i="1"/>
  <c r="G1401" i="1"/>
  <c r="K1401" i="1"/>
  <c r="A1402" i="1"/>
  <c r="B1402" i="1"/>
  <c r="G1402" i="1"/>
  <c r="K1402" i="1"/>
  <c r="A1403" i="1"/>
  <c r="B1403" i="1"/>
  <c r="G1403" i="1"/>
  <c r="K1403" i="1"/>
  <c r="A1404" i="1"/>
  <c r="B1404" i="1"/>
  <c r="G1404" i="1"/>
  <c r="K1404" i="1"/>
  <c r="A1405" i="1"/>
  <c r="B1405" i="1"/>
  <c r="G1405" i="1"/>
  <c r="K1405" i="1"/>
  <c r="A1406" i="1"/>
  <c r="B1406" i="1"/>
  <c r="G1406" i="1"/>
  <c r="K1406" i="1"/>
  <c r="A1407" i="1"/>
  <c r="B1407" i="1"/>
  <c r="G1407" i="1"/>
  <c r="K1407" i="1"/>
  <c r="A1408" i="1"/>
  <c r="B1408" i="1"/>
  <c r="G1408" i="1"/>
  <c r="K1408" i="1"/>
  <c r="A1409" i="1"/>
  <c r="B1409" i="1"/>
  <c r="G1409" i="1"/>
  <c r="K1409" i="1"/>
  <c r="A1410" i="1"/>
  <c r="B1410" i="1"/>
  <c r="G1410" i="1"/>
  <c r="K1410" i="1"/>
  <c r="A1411" i="1"/>
  <c r="B1411" i="1"/>
  <c r="G1411" i="1"/>
  <c r="K1411" i="1"/>
  <c r="A1412" i="1"/>
  <c r="B1412" i="1"/>
  <c r="G1412" i="1"/>
  <c r="K1412" i="1"/>
  <c r="A1413" i="1"/>
  <c r="B1413" i="1"/>
  <c r="G1413" i="1"/>
  <c r="K1413" i="1"/>
  <c r="A1414" i="1"/>
  <c r="B1414" i="1"/>
  <c r="G1414" i="1"/>
  <c r="K1414" i="1"/>
  <c r="A1415" i="1"/>
  <c r="B1415" i="1"/>
  <c r="G1415" i="1"/>
  <c r="K1415" i="1"/>
  <c r="A1416" i="1"/>
  <c r="B1416" i="1"/>
  <c r="G1416" i="1"/>
  <c r="K1416" i="1"/>
  <c r="A1417" i="1"/>
  <c r="B1417" i="1"/>
  <c r="G1417" i="1"/>
  <c r="K1417" i="1"/>
  <c r="A1418" i="1"/>
  <c r="B1418" i="1"/>
  <c r="G1418" i="1"/>
  <c r="K1418" i="1"/>
  <c r="A1419" i="1"/>
  <c r="B1419" i="1"/>
  <c r="G1419" i="1"/>
  <c r="K1419" i="1"/>
  <c r="A1420" i="1"/>
  <c r="B1420" i="1"/>
  <c r="G1420" i="1"/>
  <c r="K1420" i="1"/>
  <c r="A1421" i="1"/>
  <c r="B1421" i="1"/>
  <c r="G1421" i="1"/>
  <c r="K1421" i="1"/>
  <c r="A1422" i="1"/>
  <c r="B1422" i="1"/>
  <c r="G1422" i="1"/>
  <c r="K1422" i="1"/>
  <c r="A1423" i="1"/>
  <c r="B1423" i="1"/>
  <c r="G1423" i="1"/>
  <c r="K1423" i="1"/>
  <c r="A1424" i="1"/>
  <c r="B1424" i="1"/>
  <c r="G1424" i="1"/>
  <c r="K1424" i="1"/>
  <c r="A1425" i="1"/>
  <c r="B1425" i="1"/>
  <c r="G1425" i="1"/>
  <c r="K1425" i="1"/>
  <c r="A1426" i="1"/>
  <c r="B1426" i="1"/>
  <c r="G1426" i="1"/>
  <c r="K1426" i="1"/>
  <c r="A1427" i="1"/>
  <c r="B1427" i="1"/>
  <c r="G1427" i="1"/>
  <c r="K1427" i="1"/>
  <c r="A1428" i="1"/>
  <c r="B1428" i="1"/>
  <c r="G1428" i="1"/>
  <c r="K1428" i="1"/>
  <c r="A1429" i="1"/>
  <c r="B1429" i="1"/>
  <c r="G1429" i="1"/>
  <c r="K1429" i="1"/>
  <c r="A1430" i="1"/>
  <c r="B1430" i="1"/>
  <c r="G1430" i="1"/>
  <c r="K1430" i="1"/>
  <c r="A1431" i="1"/>
  <c r="B1431" i="1"/>
  <c r="G1431" i="1"/>
  <c r="K1431" i="1"/>
  <c r="A1432" i="1"/>
  <c r="B1432" i="1"/>
  <c r="G1432" i="1"/>
  <c r="K1432" i="1"/>
  <c r="A1433" i="1"/>
  <c r="B1433" i="1"/>
  <c r="G1433" i="1"/>
  <c r="K1433" i="1"/>
  <c r="A1434" i="1"/>
  <c r="B1434" i="1"/>
  <c r="G1434" i="1"/>
  <c r="K1434" i="1"/>
  <c r="A1435" i="1"/>
  <c r="B1435" i="1"/>
  <c r="G1435" i="1"/>
  <c r="K1435" i="1"/>
  <c r="A1436" i="1"/>
  <c r="B1436" i="1"/>
  <c r="G1436" i="1"/>
  <c r="K1436" i="1"/>
  <c r="A1437" i="1"/>
  <c r="B1437" i="1"/>
  <c r="G1437" i="1"/>
  <c r="K1437" i="1"/>
  <c r="A1438" i="1"/>
  <c r="B1438" i="1"/>
  <c r="G1438" i="1"/>
  <c r="K1438" i="1"/>
  <c r="A1439" i="1"/>
  <c r="B1439" i="1"/>
  <c r="G1439" i="1"/>
  <c r="K1439" i="1"/>
  <c r="A1440" i="1"/>
  <c r="B1440" i="1"/>
  <c r="G1440" i="1"/>
  <c r="K1440" i="1"/>
  <c r="A1441" i="1"/>
  <c r="B1441" i="1"/>
  <c r="G1441" i="1"/>
  <c r="K1441" i="1"/>
  <c r="A1442" i="1"/>
  <c r="B1442" i="1"/>
  <c r="G1442" i="1"/>
  <c r="K1442" i="1"/>
  <c r="A1443" i="1"/>
  <c r="B1443" i="1"/>
  <c r="G1443" i="1"/>
  <c r="K1443" i="1"/>
  <c r="A1444" i="1"/>
  <c r="B1444" i="1"/>
  <c r="G1444" i="1"/>
  <c r="K1444" i="1"/>
  <c r="A1445" i="1"/>
  <c r="B1445" i="1"/>
  <c r="G1445" i="1"/>
  <c r="K1445" i="1"/>
  <c r="A1446" i="1"/>
  <c r="B1446" i="1"/>
  <c r="G1446" i="1"/>
  <c r="K1446" i="1"/>
  <c r="A1447" i="1"/>
  <c r="B1447" i="1"/>
  <c r="G1447" i="1"/>
  <c r="K1447" i="1"/>
  <c r="A1448" i="1"/>
  <c r="B1448" i="1"/>
  <c r="G1448" i="1"/>
  <c r="K1448" i="1"/>
  <c r="A1449" i="1"/>
  <c r="B1449" i="1"/>
  <c r="G1449" i="1"/>
  <c r="K1449" i="1"/>
  <c r="A1450" i="1"/>
  <c r="B1450" i="1"/>
  <c r="G1450" i="1"/>
  <c r="K1450" i="1"/>
  <c r="A1451" i="1"/>
  <c r="B1451" i="1"/>
  <c r="G1451" i="1"/>
  <c r="K1451" i="1"/>
  <c r="A1452" i="1"/>
  <c r="B1452" i="1"/>
  <c r="G1452" i="1"/>
  <c r="K1452" i="1"/>
  <c r="A1453" i="1"/>
  <c r="B1453" i="1"/>
  <c r="G1453" i="1"/>
  <c r="K1453" i="1"/>
  <c r="A1454" i="1"/>
  <c r="B1454" i="1"/>
  <c r="G1454" i="1"/>
  <c r="K1454" i="1"/>
  <c r="A1455" i="1"/>
  <c r="B1455" i="1"/>
  <c r="G1455" i="1"/>
  <c r="K1455" i="1"/>
  <c r="A1456" i="1"/>
  <c r="B1456" i="1"/>
  <c r="G1456" i="1"/>
  <c r="K1456" i="1"/>
  <c r="A1457" i="1"/>
  <c r="B1457" i="1"/>
  <c r="G1457" i="1"/>
  <c r="K1457" i="1"/>
  <c r="A1458" i="1"/>
  <c r="B1458" i="1"/>
  <c r="G1458" i="1"/>
  <c r="K1458" i="1"/>
  <c r="A1459" i="1"/>
  <c r="B1459" i="1"/>
  <c r="G1459" i="1"/>
  <c r="K1459" i="1"/>
  <c r="A1460" i="1"/>
  <c r="B1460" i="1"/>
  <c r="G1460" i="1"/>
  <c r="K1460" i="1"/>
  <c r="A1461" i="1"/>
  <c r="B1461" i="1"/>
  <c r="G1461" i="1"/>
  <c r="K1461" i="1"/>
  <c r="A1462" i="1"/>
  <c r="B1462" i="1"/>
  <c r="G1462" i="1"/>
  <c r="K1462" i="1"/>
  <c r="A1463" i="1"/>
  <c r="B1463" i="1"/>
  <c r="G1463" i="1"/>
  <c r="K1463" i="1"/>
  <c r="A1464" i="1"/>
  <c r="B1464" i="1"/>
  <c r="G1464" i="1"/>
  <c r="K1464" i="1"/>
  <c r="A1465" i="1"/>
  <c r="B1465" i="1"/>
  <c r="G1465" i="1"/>
  <c r="K1465" i="1"/>
  <c r="A1466" i="1"/>
  <c r="B1466" i="1"/>
  <c r="G1466" i="1"/>
  <c r="K1466" i="1"/>
  <c r="A1467" i="1"/>
  <c r="B1467" i="1"/>
  <c r="G1467" i="1"/>
  <c r="K1467" i="1"/>
  <c r="A1468" i="1"/>
  <c r="B1468" i="1"/>
  <c r="G1468" i="1"/>
  <c r="K1468" i="1"/>
  <c r="A1469" i="1"/>
  <c r="B1469" i="1"/>
  <c r="G1469" i="1"/>
  <c r="K1469" i="1"/>
  <c r="A1470" i="1"/>
  <c r="B1470" i="1"/>
  <c r="G1470" i="1"/>
  <c r="K1470" i="1"/>
  <c r="A1471" i="1"/>
  <c r="B1471" i="1"/>
  <c r="G1471" i="1"/>
  <c r="K1471" i="1"/>
  <c r="A1472" i="1"/>
  <c r="B1472" i="1"/>
  <c r="G1472" i="1"/>
  <c r="K1472" i="1"/>
  <c r="A1473" i="1"/>
  <c r="B1473" i="1"/>
  <c r="G1473" i="1"/>
  <c r="K1473" i="1"/>
  <c r="A1474" i="1"/>
  <c r="B1474" i="1"/>
  <c r="G1474" i="1"/>
  <c r="K1474" i="1"/>
  <c r="A1475" i="1"/>
  <c r="B1475" i="1"/>
  <c r="G1475" i="1"/>
  <c r="K1475" i="1"/>
  <c r="A1476" i="1"/>
  <c r="B1476" i="1"/>
  <c r="G1476" i="1"/>
  <c r="K1476" i="1"/>
  <c r="A1477" i="1"/>
  <c r="B1477" i="1"/>
  <c r="G1477" i="1"/>
  <c r="K1477" i="1"/>
  <c r="A1478" i="1"/>
  <c r="B1478" i="1"/>
  <c r="G1478" i="1"/>
  <c r="K1478" i="1"/>
  <c r="A1479" i="1"/>
  <c r="B1479" i="1"/>
  <c r="G1479" i="1"/>
  <c r="K1479" i="1"/>
  <c r="A1480" i="1"/>
  <c r="B1480" i="1"/>
  <c r="G1480" i="1"/>
  <c r="K1480" i="1"/>
  <c r="A1481" i="1"/>
  <c r="B1481" i="1"/>
  <c r="G1481" i="1"/>
  <c r="K1481" i="1"/>
  <c r="A1482" i="1"/>
  <c r="B1482" i="1"/>
  <c r="G1482" i="1"/>
  <c r="K1482" i="1"/>
  <c r="A1483" i="1"/>
  <c r="B1483" i="1"/>
  <c r="G1483" i="1"/>
  <c r="K1483" i="1"/>
  <c r="A1484" i="1"/>
  <c r="B1484" i="1"/>
  <c r="G1484" i="1"/>
  <c r="K1484" i="1"/>
  <c r="A1485" i="1"/>
  <c r="B1485" i="1"/>
  <c r="G1485" i="1"/>
  <c r="K1485" i="1"/>
  <c r="A1486" i="1"/>
  <c r="B1486" i="1"/>
  <c r="G1486" i="1"/>
  <c r="K1486" i="1"/>
  <c r="A1487" i="1"/>
  <c r="B1487" i="1"/>
  <c r="G1487" i="1"/>
  <c r="K1487" i="1"/>
  <c r="A1488" i="1"/>
  <c r="B1488" i="1"/>
  <c r="G1488" i="1"/>
  <c r="K1488" i="1"/>
  <c r="A1489" i="1"/>
  <c r="B1489" i="1"/>
  <c r="G1489" i="1"/>
  <c r="K1489" i="1"/>
  <c r="A1490" i="1"/>
  <c r="B1490" i="1"/>
  <c r="G1490" i="1"/>
  <c r="K1490" i="1"/>
  <c r="A1491" i="1"/>
  <c r="B1491" i="1"/>
  <c r="G1491" i="1"/>
  <c r="K1491" i="1"/>
  <c r="A1492" i="1"/>
  <c r="B1492" i="1"/>
  <c r="G1492" i="1"/>
  <c r="K1492" i="1"/>
  <c r="A1493" i="1"/>
  <c r="B1493" i="1"/>
  <c r="G1493" i="1"/>
  <c r="K1493" i="1"/>
  <c r="A1494" i="1"/>
  <c r="B1494" i="1"/>
  <c r="G1494" i="1"/>
  <c r="K1494" i="1"/>
  <c r="A1495" i="1"/>
  <c r="B1495" i="1"/>
  <c r="G1495" i="1"/>
  <c r="K1495" i="1"/>
  <c r="A1496" i="1"/>
  <c r="B1496" i="1"/>
  <c r="G1496" i="1"/>
  <c r="K1496" i="1"/>
  <c r="A1497" i="1"/>
  <c r="B1497" i="1"/>
  <c r="G1497" i="1"/>
  <c r="K1497" i="1"/>
  <c r="A1498" i="1"/>
  <c r="B1498" i="1"/>
  <c r="G1498" i="1"/>
  <c r="K1498" i="1"/>
  <c r="A1499" i="1"/>
  <c r="B1499" i="1"/>
  <c r="G1499" i="1"/>
  <c r="K1499" i="1"/>
  <c r="A1500" i="1"/>
  <c r="B1500" i="1"/>
  <c r="G1500" i="1"/>
  <c r="K1500" i="1"/>
  <c r="A1501" i="1"/>
  <c r="B1501" i="1"/>
  <c r="G1501" i="1"/>
  <c r="K1501" i="1"/>
  <c r="A1502" i="1"/>
  <c r="B1502" i="1"/>
  <c r="G1502" i="1"/>
  <c r="K1502" i="1"/>
  <c r="A1503" i="1"/>
  <c r="B1503" i="1"/>
  <c r="G1503" i="1"/>
  <c r="K1503" i="1"/>
  <c r="A1504" i="1"/>
  <c r="B1504" i="1"/>
  <c r="G1504" i="1"/>
  <c r="K1504" i="1"/>
  <c r="A1505" i="1"/>
  <c r="B1505" i="1"/>
  <c r="G1505" i="1"/>
  <c r="K1505" i="1"/>
  <c r="A1506" i="1"/>
  <c r="B1506" i="1"/>
  <c r="G1506" i="1"/>
  <c r="K1506" i="1"/>
  <c r="A1507" i="1"/>
  <c r="B1507" i="1"/>
  <c r="G1507" i="1"/>
  <c r="K1507" i="1"/>
  <c r="A1508" i="1"/>
  <c r="B1508" i="1"/>
  <c r="G1508" i="1"/>
  <c r="K1508" i="1"/>
  <c r="A1509" i="1"/>
  <c r="B1509" i="1"/>
  <c r="G1509" i="1"/>
  <c r="K1509" i="1"/>
  <c r="A1510" i="1"/>
  <c r="B1510" i="1"/>
  <c r="G1510" i="1"/>
  <c r="K1510" i="1"/>
  <c r="A1511" i="1"/>
  <c r="B1511" i="1"/>
  <c r="G1511" i="1"/>
  <c r="K1511" i="1"/>
  <c r="A1512" i="1"/>
  <c r="B1512" i="1"/>
  <c r="G1512" i="1"/>
  <c r="K1512" i="1"/>
  <c r="A1513" i="1"/>
  <c r="B1513" i="1"/>
  <c r="G1513" i="1"/>
  <c r="K1513" i="1"/>
  <c r="A1514" i="1"/>
  <c r="B1514" i="1"/>
  <c r="G1514" i="1"/>
  <c r="K1514" i="1"/>
  <c r="A1515" i="1"/>
  <c r="B1515" i="1"/>
  <c r="G1515" i="1"/>
  <c r="K1515" i="1"/>
  <c r="A1516" i="1"/>
  <c r="B1516" i="1"/>
  <c r="G1516" i="1"/>
  <c r="K1516" i="1"/>
  <c r="A1517" i="1"/>
  <c r="B1517" i="1"/>
  <c r="G1517" i="1"/>
  <c r="K1517" i="1"/>
  <c r="A1518" i="1"/>
  <c r="B1518" i="1"/>
  <c r="G1518" i="1"/>
  <c r="K1518" i="1"/>
  <c r="A1519" i="1"/>
  <c r="B1519" i="1"/>
  <c r="G1519" i="1"/>
  <c r="K1519" i="1"/>
  <c r="A1520" i="1"/>
  <c r="B1520" i="1"/>
  <c r="G1520" i="1"/>
  <c r="K1520" i="1"/>
  <c r="A1521" i="1"/>
  <c r="B1521" i="1"/>
  <c r="G1521" i="1"/>
  <c r="K1521" i="1"/>
  <c r="A1522" i="1"/>
  <c r="B1522" i="1"/>
  <c r="G1522" i="1"/>
  <c r="K1522" i="1"/>
  <c r="A1523" i="1"/>
  <c r="B1523" i="1"/>
  <c r="G1523" i="1"/>
  <c r="K1523" i="1"/>
  <c r="A1524" i="1"/>
  <c r="B1524" i="1"/>
  <c r="G1524" i="1"/>
  <c r="K1524" i="1"/>
  <c r="A1525" i="1"/>
  <c r="B1525" i="1"/>
  <c r="G1525" i="1"/>
  <c r="K1525" i="1"/>
  <c r="A1526" i="1"/>
  <c r="B1526" i="1"/>
  <c r="G1526" i="1"/>
  <c r="K1526" i="1"/>
  <c r="A1527" i="1"/>
  <c r="B1527" i="1"/>
  <c r="G1527" i="1"/>
  <c r="K1527" i="1"/>
  <c r="A1528" i="1"/>
  <c r="B1528" i="1"/>
  <c r="G1528" i="1"/>
  <c r="K1528" i="1"/>
  <c r="A1529" i="1"/>
  <c r="B1529" i="1"/>
  <c r="G1529" i="1"/>
  <c r="K1529" i="1"/>
  <c r="A1530" i="1"/>
  <c r="B1530" i="1"/>
  <c r="G1530" i="1"/>
  <c r="K1530" i="1"/>
  <c r="A1531" i="1"/>
  <c r="B1531" i="1"/>
  <c r="G1531" i="1"/>
  <c r="K1531" i="1"/>
  <c r="A1532" i="1"/>
  <c r="B1532" i="1"/>
  <c r="G1532" i="1"/>
  <c r="K1532" i="1"/>
  <c r="A1533" i="1"/>
  <c r="B1533" i="1"/>
  <c r="G1533" i="1"/>
  <c r="K1533" i="1"/>
  <c r="A1534" i="1"/>
  <c r="B1534" i="1"/>
  <c r="G1534" i="1"/>
  <c r="K1534" i="1"/>
  <c r="A1535" i="1"/>
  <c r="B1535" i="1"/>
  <c r="G1535" i="1"/>
  <c r="K1535" i="1"/>
  <c r="A1536" i="1"/>
  <c r="B1536" i="1"/>
  <c r="G1536" i="1"/>
  <c r="K1536" i="1"/>
  <c r="A1537" i="1"/>
  <c r="B1537" i="1"/>
  <c r="G1537" i="1"/>
  <c r="K1537" i="1"/>
  <c r="A1538" i="1"/>
  <c r="B1538" i="1"/>
  <c r="G1538" i="1"/>
  <c r="K1538" i="1"/>
  <c r="A1539" i="1"/>
  <c r="B1539" i="1"/>
  <c r="G1539" i="1"/>
  <c r="K1539" i="1"/>
  <c r="A1540" i="1"/>
  <c r="B1540" i="1"/>
  <c r="G1540" i="1"/>
  <c r="K1540" i="1"/>
  <c r="A1541" i="1"/>
  <c r="B1541" i="1"/>
  <c r="G1541" i="1"/>
  <c r="K1541" i="1"/>
  <c r="A1542" i="1"/>
  <c r="B1542" i="1"/>
  <c r="G1542" i="1"/>
  <c r="K1542" i="1"/>
  <c r="A1543" i="1"/>
  <c r="B1543" i="1"/>
  <c r="G1543" i="1"/>
  <c r="K1543" i="1"/>
  <c r="A1544" i="1"/>
  <c r="B1544" i="1"/>
  <c r="G1544" i="1"/>
  <c r="K1544" i="1"/>
  <c r="A1545" i="1"/>
  <c r="B1545" i="1"/>
  <c r="G1545" i="1"/>
  <c r="K1545" i="1"/>
  <c r="A1546" i="1"/>
  <c r="B1546" i="1"/>
  <c r="G1546" i="1"/>
  <c r="K1546" i="1"/>
  <c r="A1547" i="1"/>
  <c r="B1547" i="1"/>
  <c r="G1547" i="1"/>
  <c r="K1547" i="1"/>
  <c r="A1548" i="1"/>
  <c r="B1548" i="1"/>
  <c r="G1548" i="1"/>
  <c r="K1548" i="1"/>
  <c r="A1549" i="1"/>
  <c r="B1549" i="1"/>
  <c r="G1549" i="1"/>
  <c r="K1549" i="1"/>
  <c r="A1550" i="1"/>
  <c r="B1550" i="1"/>
  <c r="G1550" i="1"/>
  <c r="K1550" i="1"/>
  <c r="A1551" i="1"/>
  <c r="B1551" i="1"/>
  <c r="G1551" i="1"/>
  <c r="K1551" i="1"/>
  <c r="A1552" i="1"/>
  <c r="B1552" i="1"/>
  <c r="G1552" i="1"/>
  <c r="K1552" i="1"/>
  <c r="A1553" i="1"/>
  <c r="B1553" i="1"/>
  <c r="G1553" i="1"/>
  <c r="K1553" i="1"/>
  <c r="A1554" i="1"/>
  <c r="B1554" i="1"/>
  <c r="G1554" i="1"/>
  <c r="K1554" i="1"/>
  <c r="A1555" i="1"/>
  <c r="B1555" i="1"/>
  <c r="G1555" i="1"/>
  <c r="K1555" i="1"/>
  <c r="A1556" i="1"/>
  <c r="B1556" i="1"/>
  <c r="G1556" i="1"/>
  <c r="K1556" i="1"/>
  <c r="A1557" i="1"/>
  <c r="B1557" i="1"/>
  <c r="G1557" i="1"/>
  <c r="K1557" i="1"/>
  <c r="A1558" i="1"/>
  <c r="B1558" i="1"/>
  <c r="G1558" i="1"/>
  <c r="K1558" i="1"/>
  <c r="A1559" i="1"/>
  <c r="B1559" i="1"/>
  <c r="G1559" i="1"/>
  <c r="K1559" i="1"/>
  <c r="A1560" i="1"/>
  <c r="B1560" i="1"/>
  <c r="G1560" i="1"/>
  <c r="K1560" i="1"/>
  <c r="A1561" i="1"/>
  <c r="B1561" i="1"/>
  <c r="G1561" i="1"/>
  <c r="K1561" i="1"/>
  <c r="A1562" i="1"/>
  <c r="B1562" i="1"/>
  <c r="G1562" i="1"/>
  <c r="K1562" i="1"/>
  <c r="A1563" i="1"/>
  <c r="B1563" i="1"/>
  <c r="G1563" i="1"/>
  <c r="K1563" i="1"/>
  <c r="A1564" i="1"/>
  <c r="B1564" i="1"/>
  <c r="G1564" i="1"/>
  <c r="K1564" i="1"/>
  <c r="A1565" i="1"/>
  <c r="B1565" i="1"/>
  <c r="G1565" i="1"/>
  <c r="K1565" i="1"/>
  <c r="A1566" i="1"/>
  <c r="B1566" i="1"/>
  <c r="G1566" i="1"/>
  <c r="K1566" i="1"/>
  <c r="A1567" i="1"/>
  <c r="B1567" i="1"/>
  <c r="G1567" i="1"/>
  <c r="K1567" i="1"/>
  <c r="A1568" i="1"/>
  <c r="B1568" i="1"/>
  <c r="G1568" i="1"/>
  <c r="K1568" i="1"/>
  <c r="A1569" i="1"/>
  <c r="B1569" i="1"/>
  <c r="G1569" i="1"/>
  <c r="K1569" i="1"/>
  <c r="A1570" i="1"/>
  <c r="B1570" i="1"/>
  <c r="G1570" i="1"/>
  <c r="K1570" i="1"/>
  <c r="A1571" i="1"/>
  <c r="B1571" i="1"/>
  <c r="G1571" i="1"/>
  <c r="K1571" i="1"/>
  <c r="A1572" i="1"/>
  <c r="B1572" i="1"/>
  <c r="G1572" i="1"/>
  <c r="K1572" i="1"/>
  <c r="A1573" i="1"/>
  <c r="B1573" i="1"/>
  <c r="G1573" i="1"/>
  <c r="K1573" i="1"/>
  <c r="A1574" i="1"/>
  <c r="B1574" i="1"/>
  <c r="G1574" i="1"/>
  <c r="K1574" i="1"/>
  <c r="A1575" i="1"/>
  <c r="B1575" i="1"/>
  <c r="G1575" i="1"/>
  <c r="K1575" i="1"/>
  <c r="A1576" i="1"/>
  <c r="B1576" i="1"/>
  <c r="G1576" i="1"/>
  <c r="K1576" i="1"/>
  <c r="A1577" i="1"/>
  <c r="B1577" i="1"/>
  <c r="G1577" i="1"/>
  <c r="K1577" i="1"/>
  <c r="A1578" i="1"/>
  <c r="B1578" i="1"/>
  <c r="G1578" i="1"/>
  <c r="K1578" i="1"/>
  <c r="A1579" i="1"/>
  <c r="B1579" i="1"/>
  <c r="G1579" i="1"/>
  <c r="K1579" i="1"/>
  <c r="A1580" i="1"/>
  <c r="B1580" i="1"/>
  <c r="G1580" i="1"/>
  <c r="K1580" i="1"/>
  <c r="A1581" i="1"/>
  <c r="B1581" i="1"/>
  <c r="G1581" i="1"/>
  <c r="K1581" i="1"/>
  <c r="A1582" i="1"/>
  <c r="B1582" i="1"/>
  <c r="G1582" i="1"/>
  <c r="K1582" i="1"/>
  <c r="A1583" i="1"/>
  <c r="B1583" i="1"/>
  <c r="G1583" i="1"/>
  <c r="K1583" i="1"/>
  <c r="A1584" i="1"/>
  <c r="B1584" i="1"/>
  <c r="G1584" i="1"/>
  <c r="K1584" i="1"/>
  <c r="A1585" i="1"/>
  <c r="B1585" i="1"/>
  <c r="G1585" i="1"/>
  <c r="K1585" i="1"/>
  <c r="A1586" i="1"/>
  <c r="B1586" i="1"/>
  <c r="G1586" i="1"/>
  <c r="K1586" i="1"/>
  <c r="A1587" i="1"/>
  <c r="B1587" i="1"/>
  <c r="G1587" i="1"/>
  <c r="K1587" i="1"/>
  <c r="A1588" i="1"/>
  <c r="B1588" i="1"/>
  <c r="G1588" i="1"/>
  <c r="K1588" i="1"/>
  <c r="A1589" i="1"/>
  <c r="B1589" i="1"/>
  <c r="G1589" i="1"/>
  <c r="K1589" i="1"/>
  <c r="A1590" i="1"/>
  <c r="B1590" i="1"/>
  <c r="G1590" i="1"/>
  <c r="K1590" i="1"/>
  <c r="A1591" i="1"/>
  <c r="B1591" i="1"/>
  <c r="G1591" i="1"/>
  <c r="K1591" i="1"/>
  <c r="A1592" i="1"/>
  <c r="B1592" i="1"/>
  <c r="G1592" i="1"/>
  <c r="K1592" i="1"/>
  <c r="A1593" i="1"/>
  <c r="B1593" i="1"/>
  <c r="G1593" i="1"/>
  <c r="K1593" i="1"/>
  <c r="A1594" i="1"/>
  <c r="B1594" i="1"/>
  <c r="G1594" i="1"/>
  <c r="K1594" i="1"/>
  <c r="A1595" i="1"/>
  <c r="B1595" i="1"/>
  <c r="G1595" i="1"/>
  <c r="K1595" i="1"/>
  <c r="A1596" i="1"/>
  <c r="B1596" i="1"/>
  <c r="G1596" i="1"/>
  <c r="K1596" i="1"/>
  <c r="A1597" i="1"/>
  <c r="B1597" i="1"/>
  <c r="G1597" i="1"/>
  <c r="K1597" i="1"/>
  <c r="A1598" i="1"/>
  <c r="B1598" i="1"/>
  <c r="G1598" i="1"/>
  <c r="K1598" i="1"/>
  <c r="A1599" i="1"/>
  <c r="B1599" i="1"/>
  <c r="G1599" i="1"/>
  <c r="K1599" i="1"/>
  <c r="A1600" i="1"/>
  <c r="B1600" i="1"/>
  <c r="G1600" i="1"/>
  <c r="K1600" i="1"/>
  <c r="A1601" i="1"/>
  <c r="B1601" i="1"/>
  <c r="G1601" i="1"/>
  <c r="K1601" i="1"/>
  <c r="A1602" i="1"/>
  <c r="B1602" i="1"/>
  <c r="G1602" i="1"/>
  <c r="K1602" i="1"/>
  <c r="A1603" i="1"/>
  <c r="B1603" i="1"/>
  <c r="G1603" i="1"/>
  <c r="K1603" i="1"/>
  <c r="A1604" i="1"/>
  <c r="B1604" i="1"/>
  <c r="G1604" i="1"/>
  <c r="K1604" i="1"/>
  <c r="A1605" i="1"/>
  <c r="B1605" i="1"/>
  <c r="G1605" i="1"/>
  <c r="K1605" i="1"/>
  <c r="A1606" i="1"/>
  <c r="B1606" i="1"/>
  <c r="G1606" i="1"/>
  <c r="K1606" i="1"/>
  <c r="A1607" i="1"/>
  <c r="B1607" i="1"/>
  <c r="G1607" i="1"/>
  <c r="K1607" i="1"/>
  <c r="A1608" i="1"/>
  <c r="B1608" i="1"/>
  <c r="G1608" i="1"/>
  <c r="K1608" i="1"/>
  <c r="A1609" i="1"/>
  <c r="B1609" i="1"/>
  <c r="G1609" i="1"/>
  <c r="K1609" i="1"/>
  <c r="A1610" i="1"/>
  <c r="B1610" i="1"/>
  <c r="G1610" i="1"/>
  <c r="K1610" i="1"/>
  <c r="A1611" i="1"/>
  <c r="B1611" i="1"/>
  <c r="G1611" i="1"/>
  <c r="K1611" i="1"/>
  <c r="A1612" i="1"/>
  <c r="B1612" i="1"/>
  <c r="G1612" i="1"/>
  <c r="K1612" i="1"/>
  <c r="A1613" i="1"/>
  <c r="B1613" i="1"/>
  <c r="G1613" i="1"/>
  <c r="K1613" i="1"/>
  <c r="A1614" i="1"/>
  <c r="B1614" i="1"/>
  <c r="G1614" i="1"/>
  <c r="K1614" i="1"/>
  <c r="A1615" i="1"/>
  <c r="B1615" i="1"/>
  <c r="G1615" i="1"/>
  <c r="K1615" i="1"/>
  <c r="A1616" i="1"/>
  <c r="B1616" i="1"/>
  <c r="G1616" i="1"/>
  <c r="K1616" i="1"/>
  <c r="A1617" i="1"/>
  <c r="B1617" i="1"/>
  <c r="G1617" i="1"/>
  <c r="K1617" i="1"/>
  <c r="A1618" i="1"/>
  <c r="B1618" i="1"/>
  <c r="G1618" i="1"/>
  <c r="K1618" i="1"/>
  <c r="A1619" i="1"/>
  <c r="B1619" i="1"/>
  <c r="G1619" i="1"/>
  <c r="K1619" i="1"/>
  <c r="A1620" i="1"/>
  <c r="B1620" i="1"/>
  <c r="G1620" i="1"/>
  <c r="K1620" i="1"/>
  <c r="A1621" i="1"/>
  <c r="B1621" i="1"/>
  <c r="G1621" i="1"/>
  <c r="K1621" i="1"/>
  <c r="A1622" i="1"/>
  <c r="B1622" i="1"/>
  <c r="G1622" i="1"/>
  <c r="K1622" i="1"/>
  <c r="A1623" i="1"/>
  <c r="B1623" i="1"/>
  <c r="G1623" i="1"/>
  <c r="K1623" i="1"/>
  <c r="A1624" i="1"/>
  <c r="B1624" i="1"/>
  <c r="G1624" i="1"/>
  <c r="K1624" i="1"/>
  <c r="A1625" i="1"/>
  <c r="B1625" i="1"/>
  <c r="G1625" i="1"/>
  <c r="K1625" i="1"/>
  <c r="A1626" i="1"/>
  <c r="B1626" i="1"/>
  <c r="G1626" i="1"/>
  <c r="K1626" i="1"/>
  <c r="A1627" i="1"/>
  <c r="B1627" i="1"/>
  <c r="G1627" i="1"/>
  <c r="K1627" i="1"/>
  <c r="A1628" i="1"/>
  <c r="B1628" i="1"/>
  <c r="G1628" i="1"/>
  <c r="K1628" i="1"/>
  <c r="A1629" i="1"/>
  <c r="B1629" i="1"/>
  <c r="G1629" i="1"/>
  <c r="K1629" i="1"/>
  <c r="A1630" i="1"/>
  <c r="B1630" i="1"/>
  <c r="G1630" i="1"/>
  <c r="K1630" i="1"/>
  <c r="A1631" i="1"/>
  <c r="B1631" i="1"/>
  <c r="G1631" i="1"/>
  <c r="K1631" i="1"/>
  <c r="A1632" i="1"/>
  <c r="B1632" i="1"/>
  <c r="G1632" i="1"/>
  <c r="K1632" i="1"/>
  <c r="A1633" i="1"/>
  <c r="B1633" i="1"/>
  <c r="G1633" i="1"/>
  <c r="K1633" i="1"/>
  <c r="A1634" i="1"/>
  <c r="B1634" i="1"/>
  <c r="G1634" i="1"/>
  <c r="K1634" i="1"/>
  <c r="A1635" i="1"/>
  <c r="B1635" i="1"/>
  <c r="G1635" i="1"/>
  <c r="K1635" i="1"/>
  <c r="A1636" i="1"/>
  <c r="B1636" i="1"/>
  <c r="G1636" i="1"/>
  <c r="K1636" i="1"/>
  <c r="A1637" i="1"/>
  <c r="B1637" i="1"/>
  <c r="G1637" i="1"/>
  <c r="K1637" i="1"/>
  <c r="A1638" i="1"/>
  <c r="B1638" i="1"/>
  <c r="G1638" i="1"/>
  <c r="K1638" i="1"/>
  <c r="A1639" i="1"/>
  <c r="B1639" i="1"/>
  <c r="G1639" i="1"/>
  <c r="K1639" i="1"/>
  <c r="A1640" i="1"/>
  <c r="B1640" i="1"/>
  <c r="G1640" i="1"/>
  <c r="K1640" i="1"/>
  <c r="A1641" i="1"/>
  <c r="B1641" i="1"/>
  <c r="G1641" i="1"/>
  <c r="K1641" i="1"/>
  <c r="A1642" i="1"/>
  <c r="B1642" i="1"/>
  <c r="G1642" i="1"/>
  <c r="K1642" i="1"/>
  <c r="A1643" i="1"/>
  <c r="B1643" i="1"/>
  <c r="G1643" i="1"/>
  <c r="K1643" i="1"/>
  <c r="A1644" i="1"/>
  <c r="B1644" i="1"/>
  <c r="G1644" i="1"/>
  <c r="K1644" i="1"/>
  <c r="A1645" i="1"/>
  <c r="B1645" i="1"/>
  <c r="G1645" i="1"/>
  <c r="K1645" i="1"/>
  <c r="A1646" i="1"/>
  <c r="B1646" i="1"/>
  <c r="G1646" i="1"/>
  <c r="K1646" i="1"/>
  <c r="A1647" i="1"/>
  <c r="B1647" i="1"/>
  <c r="G1647" i="1"/>
  <c r="K1647" i="1"/>
  <c r="A1648" i="1"/>
  <c r="B1648" i="1"/>
  <c r="G1648" i="1"/>
  <c r="K1648" i="1"/>
  <c r="A1649" i="1"/>
  <c r="B1649" i="1"/>
  <c r="G1649" i="1"/>
  <c r="K1649" i="1"/>
  <c r="A1650" i="1"/>
  <c r="B1650" i="1"/>
  <c r="G1650" i="1"/>
  <c r="K1650" i="1"/>
  <c r="A1651" i="1"/>
  <c r="B1651" i="1"/>
  <c r="G1651" i="1"/>
  <c r="K1651" i="1"/>
  <c r="A1652" i="1"/>
  <c r="B1652" i="1"/>
  <c r="G1652" i="1"/>
  <c r="K1652" i="1"/>
  <c r="A1653" i="1"/>
  <c r="B1653" i="1"/>
  <c r="G1653" i="1"/>
  <c r="K1653" i="1"/>
  <c r="A1654" i="1"/>
  <c r="B1654" i="1"/>
  <c r="G1654" i="1"/>
  <c r="K1654" i="1"/>
  <c r="A1655" i="1"/>
  <c r="B1655" i="1"/>
  <c r="G1655" i="1"/>
  <c r="K1655" i="1"/>
  <c r="A1656" i="1"/>
  <c r="B1656" i="1"/>
  <c r="G1656" i="1"/>
  <c r="K1656" i="1"/>
  <c r="A1657" i="1"/>
  <c r="B1657" i="1"/>
  <c r="G1657" i="1"/>
  <c r="K1657" i="1"/>
  <c r="A1658" i="1"/>
  <c r="B1658" i="1"/>
  <c r="G1658" i="1"/>
  <c r="K1658" i="1"/>
  <c r="A1659" i="1"/>
  <c r="B1659" i="1"/>
  <c r="G1659" i="1"/>
  <c r="K1659" i="1"/>
  <c r="A1660" i="1"/>
  <c r="B1660" i="1"/>
  <c r="G1660" i="1"/>
  <c r="K1660" i="1"/>
  <c r="A1661" i="1"/>
  <c r="B1661" i="1"/>
  <c r="G1661" i="1"/>
  <c r="K1661" i="1"/>
  <c r="A1662" i="1"/>
  <c r="B1662" i="1"/>
  <c r="G1662" i="1"/>
  <c r="K1662" i="1"/>
  <c r="A1663" i="1"/>
  <c r="B1663" i="1"/>
  <c r="G1663" i="1"/>
  <c r="K1663" i="1"/>
  <c r="A1664" i="1"/>
  <c r="B1664" i="1"/>
  <c r="G1664" i="1"/>
  <c r="K1664" i="1"/>
  <c r="A1665" i="1"/>
  <c r="B1665" i="1"/>
  <c r="G1665" i="1"/>
  <c r="K1665" i="1"/>
  <c r="A1666" i="1"/>
  <c r="B1666" i="1"/>
  <c r="G1666" i="1"/>
  <c r="K1666" i="1"/>
  <c r="A1667" i="1"/>
  <c r="B1667" i="1"/>
  <c r="G1667" i="1"/>
  <c r="K1667" i="1"/>
  <c r="A1668" i="1"/>
  <c r="B1668" i="1"/>
  <c r="G1668" i="1"/>
  <c r="K1668" i="1"/>
  <c r="A1669" i="1"/>
  <c r="B1669" i="1"/>
  <c r="G1669" i="1"/>
  <c r="K1669" i="1"/>
  <c r="A1670" i="1"/>
  <c r="B1670" i="1"/>
  <c r="G1670" i="1"/>
  <c r="K1670" i="1"/>
  <c r="A1671" i="1"/>
  <c r="B1671" i="1"/>
  <c r="G1671" i="1"/>
  <c r="K1671" i="1"/>
  <c r="A1672" i="1"/>
  <c r="B1672" i="1"/>
  <c r="G1672" i="1"/>
  <c r="K1672" i="1"/>
  <c r="A1673" i="1"/>
  <c r="B1673" i="1"/>
  <c r="G1673" i="1"/>
  <c r="K1673" i="1"/>
  <c r="A1674" i="1"/>
  <c r="B1674" i="1"/>
  <c r="G1674" i="1"/>
  <c r="K1674" i="1"/>
  <c r="A1675" i="1"/>
  <c r="B1675" i="1"/>
  <c r="G1675" i="1"/>
  <c r="K1675" i="1"/>
  <c r="A1676" i="1"/>
  <c r="B1676" i="1"/>
  <c r="G1676" i="1"/>
  <c r="K1676" i="1"/>
  <c r="A1677" i="1"/>
  <c r="B1677" i="1"/>
  <c r="G1677" i="1"/>
  <c r="K1677" i="1"/>
  <c r="A1678" i="1"/>
  <c r="B1678" i="1"/>
  <c r="G1678" i="1"/>
  <c r="K1678" i="1"/>
  <c r="A1679" i="1"/>
  <c r="B1679" i="1"/>
  <c r="G1679" i="1"/>
  <c r="K1679" i="1"/>
  <c r="A1680" i="1"/>
  <c r="B1680" i="1"/>
  <c r="G1680" i="1"/>
  <c r="K1680" i="1"/>
  <c r="A1681" i="1"/>
  <c r="B1681" i="1"/>
  <c r="G1681" i="1"/>
  <c r="K1681" i="1"/>
  <c r="A1682" i="1"/>
  <c r="B1682" i="1"/>
  <c r="G1682" i="1"/>
  <c r="K1682" i="1"/>
  <c r="A1683" i="1"/>
  <c r="B1683" i="1"/>
  <c r="G1683" i="1"/>
  <c r="K1683" i="1"/>
  <c r="A1684" i="1"/>
  <c r="B1684" i="1"/>
  <c r="G1684" i="1"/>
  <c r="K1684" i="1"/>
  <c r="A1685" i="1"/>
  <c r="B1685" i="1"/>
  <c r="G1685" i="1"/>
  <c r="K1685" i="1"/>
  <c r="A1686" i="1"/>
  <c r="B1686" i="1"/>
  <c r="G1686" i="1"/>
  <c r="K1686" i="1"/>
  <c r="A1687" i="1"/>
  <c r="B1687" i="1"/>
  <c r="G1687" i="1"/>
  <c r="K1687" i="1"/>
  <c r="A1688" i="1"/>
  <c r="B1688" i="1"/>
  <c r="G1688" i="1"/>
  <c r="K1688" i="1"/>
  <c r="A1689" i="1"/>
  <c r="B1689" i="1"/>
  <c r="G1689" i="1"/>
  <c r="K1689" i="1"/>
  <c r="A1690" i="1"/>
  <c r="B1690" i="1"/>
  <c r="G1690" i="1"/>
  <c r="K1690" i="1"/>
  <c r="A1691" i="1"/>
  <c r="B1691" i="1"/>
  <c r="G1691" i="1"/>
  <c r="K1691" i="1"/>
  <c r="A1692" i="1"/>
  <c r="B1692" i="1"/>
  <c r="G1692" i="1"/>
  <c r="K1692" i="1"/>
  <c r="A1693" i="1"/>
  <c r="B1693" i="1"/>
  <c r="G1693" i="1"/>
  <c r="K1693" i="1"/>
  <c r="A1694" i="1"/>
  <c r="B1694" i="1"/>
  <c r="G1694" i="1"/>
  <c r="K1694" i="1"/>
  <c r="A1695" i="1"/>
  <c r="B1695" i="1"/>
  <c r="G1695" i="1"/>
  <c r="K1695" i="1"/>
  <c r="A1696" i="1"/>
  <c r="B1696" i="1"/>
  <c r="G1696" i="1"/>
  <c r="K1696" i="1"/>
  <c r="A1697" i="1"/>
  <c r="B1697" i="1"/>
  <c r="G1697" i="1"/>
  <c r="K1697" i="1"/>
  <c r="A1698" i="1"/>
  <c r="B1698" i="1"/>
  <c r="G1698" i="1"/>
  <c r="K1698" i="1"/>
  <c r="A1699" i="1"/>
  <c r="B1699" i="1"/>
  <c r="G1699" i="1"/>
  <c r="K1699" i="1"/>
  <c r="A1700" i="1"/>
  <c r="B1700" i="1"/>
  <c r="G1700" i="1"/>
  <c r="K1700" i="1"/>
  <c r="A1701" i="1"/>
  <c r="B1701" i="1"/>
  <c r="G1701" i="1"/>
  <c r="K1701" i="1"/>
  <c r="A1702" i="1"/>
  <c r="B1702" i="1"/>
  <c r="G1702" i="1"/>
  <c r="K1702" i="1"/>
  <c r="A1703" i="1"/>
  <c r="B1703" i="1"/>
  <c r="G1703" i="1"/>
  <c r="K1703" i="1"/>
  <c r="A1704" i="1"/>
  <c r="B1704" i="1"/>
  <c r="G1704" i="1"/>
  <c r="K1704" i="1"/>
  <c r="A1705" i="1"/>
  <c r="B1705" i="1"/>
  <c r="G1705" i="1"/>
  <c r="K1705" i="1"/>
  <c r="A1706" i="1"/>
  <c r="B1706" i="1"/>
  <c r="G1706" i="1"/>
  <c r="K1706" i="1"/>
  <c r="A1707" i="1"/>
  <c r="B1707" i="1"/>
  <c r="G1707" i="1"/>
  <c r="K1707" i="1"/>
  <c r="A1708" i="1"/>
  <c r="B1708" i="1"/>
  <c r="G1708" i="1"/>
  <c r="K1708" i="1"/>
  <c r="A1709" i="1"/>
  <c r="B1709" i="1"/>
  <c r="G1709" i="1"/>
  <c r="K1709" i="1"/>
  <c r="A1710" i="1"/>
  <c r="B1710" i="1"/>
  <c r="G1710" i="1"/>
  <c r="K1710" i="1"/>
  <c r="A1711" i="1"/>
  <c r="B1711" i="1"/>
  <c r="G1711" i="1"/>
  <c r="K1711" i="1"/>
  <c r="A1712" i="1"/>
  <c r="B1712" i="1"/>
  <c r="G1712" i="1"/>
  <c r="K1712" i="1"/>
  <c r="A1713" i="1"/>
  <c r="B1713" i="1"/>
  <c r="G1713" i="1"/>
  <c r="K1713" i="1"/>
  <c r="A1714" i="1"/>
  <c r="B1714" i="1"/>
  <c r="G1714" i="1"/>
  <c r="K1714" i="1"/>
  <c r="A1715" i="1"/>
  <c r="B1715" i="1"/>
  <c r="G1715" i="1"/>
  <c r="K1715" i="1"/>
  <c r="A1716" i="1"/>
  <c r="B1716" i="1"/>
  <c r="G1716" i="1"/>
  <c r="K1716" i="1"/>
  <c r="A1717" i="1"/>
  <c r="B1717" i="1"/>
  <c r="G1717" i="1"/>
  <c r="K1717" i="1"/>
  <c r="A1718" i="1"/>
  <c r="B1718" i="1"/>
  <c r="G1718" i="1"/>
  <c r="K1718" i="1"/>
  <c r="A1719" i="1"/>
  <c r="B1719" i="1"/>
  <c r="G1719" i="1"/>
  <c r="K1719" i="1"/>
  <c r="A1720" i="1"/>
  <c r="B1720" i="1"/>
  <c r="G1720" i="1"/>
  <c r="K1720" i="1"/>
  <c r="A1721" i="1"/>
  <c r="B1721" i="1"/>
  <c r="G1721" i="1"/>
  <c r="K1721" i="1"/>
  <c r="A1722" i="1"/>
  <c r="B1722" i="1"/>
  <c r="G1722" i="1"/>
  <c r="K1722" i="1"/>
  <c r="A1723" i="1"/>
  <c r="B1723" i="1"/>
  <c r="G1723" i="1"/>
  <c r="K1723" i="1"/>
  <c r="A1724" i="1"/>
  <c r="B1724" i="1"/>
  <c r="G1724" i="1"/>
  <c r="K1724" i="1"/>
  <c r="A1725" i="1"/>
  <c r="B1725" i="1"/>
  <c r="G1725" i="1"/>
  <c r="K1725" i="1"/>
  <c r="A1726" i="1"/>
  <c r="B1726" i="1"/>
  <c r="G1726" i="1"/>
  <c r="K1726" i="1"/>
  <c r="A1727" i="1"/>
  <c r="B1727" i="1"/>
  <c r="G1727" i="1"/>
  <c r="K1727" i="1"/>
  <c r="A1728" i="1"/>
  <c r="B1728" i="1"/>
  <c r="G1728" i="1"/>
  <c r="K1728" i="1"/>
  <c r="A1729" i="1"/>
  <c r="B1729" i="1"/>
  <c r="G1729" i="1"/>
  <c r="K1729" i="1"/>
  <c r="A1730" i="1"/>
  <c r="B1730" i="1"/>
  <c r="G1730" i="1"/>
  <c r="K1730" i="1"/>
  <c r="A1731" i="1"/>
  <c r="B1731" i="1"/>
  <c r="G1731" i="1"/>
  <c r="K1731" i="1"/>
  <c r="A1732" i="1"/>
  <c r="B1732" i="1"/>
  <c r="G1732" i="1"/>
  <c r="K1732" i="1"/>
  <c r="A1733" i="1"/>
  <c r="B1733" i="1"/>
  <c r="G1733" i="1"/>
  <c r="K1733" i="1"/>
  <c r="A1734" i="1"/>
  <c r="B1734" i="1"/>
  <c r="G1734" i="1"/>
  <c r="K1734" i="1"/>
  <c r="A1735" i="1"/>
  <c r="B1735" i="1"/>
  <c r="G1735" i="1"/>
  <c r="K1735" i="1"/>
  <c r="A1736" i="1"/>
  <c r="B1736" i="1"/>
  <c r="G1736" i="1"/>
  <c r="K1736" i="1"/>
  <c r="A1737" i="1"/>
  <c r="B1737" i="1"/>
  <c r="G1737" i="1"/>
  <c r="K1737" i="1"/>
  <c r="A1738" i="1"/>
  <c r="B1738" i="1"/>
  <c r="G1738" i="1"/>
  <c r="K1738" i="1"/>
  <c r="A1739" i="1"/>
  <c r="B1739" i="1"/>
  <c r="G1739" i="1"/>
  <c r="K1739" i="1"/>
  <c r="A1740" i="1"/>
  <c r="B1740" i="1"/>
  <c r="G1740" i="1"/>
  <c r="K1740" i="1"/>
  <c r="A1741" i="1"/>
  <c r="B1741" i="1"/>
  <c r="G1741" i="1"/>
  <c r="K1741" i="1"/>
  <c r="A1742" i="1"/>
  <c r="B1742" i="1"/>
  <c r="G1742" i="1"/>
  <c r="K1742" i="1"/>
  <c r="A1743" i="1"/>
  <c r="B1743" i="1"/>
  <c r="G1743" i="1"/>
  <c r="K1743" i="1"/>
  <c r="A1744" i="1"/>
  <c r="B1744" i="1"/>
  <c r="G1744" i="1"/>
  <c r="K1744" i="1"/>
  <c r="A1745" i="1"/>
  <c r="B1745" i="1"/>
  <c r="G1745" i="1"/>
  <c r="K1745" i="1"/>
  <c r="A1746" i="1"/>
  <c r="B1746" i="1"/>
  <c r="G1746" i="1"/>
  <c r="K1746" i="1"/>
  <c r="A1747" i="1"/>
  <c r="B1747" i="1"/>
  <c r="G1747" i="1"/>
  <c r="K1747" i="1"/>
  <c r="A1748" i="1"/>
  <c r="B1748" i="1"/>
  <c r="G1748" i="1"/>
  <c r="K1748" i="1"/>
  <c r="A1749" i="1"/>
  <c r="B1749" i="1"/>
  <c r="G1749" i="1"/>
  <c r="K1749" i="1"/>
  <c r="A1750" i="1"/>
  <c r="B1750" i="1"/>
  <c r="G1750" i="1"/>
  <c r="K1750" i="1"/>
  <c r="A1751" i="1"/>
  <c r="B1751" i="1"/>
  <c r="G1751" i="1"/>
  <c r="K1751" i="1"/>
  <c r="A1752" i="1"/>
  <c r="B1752" i="1"/>
  <c r="G1752" i="1"/>
  <c r="K1752" i="1"/>
  <c r="A1753" i="1"/>
  <c r="B1753" i="1"/>
  <c r="G1753" i="1"/>
  <c r="K1753" i="1"/>
  <c r="A1754" i="1"/>
  <c r="B1754" i="1"/>
  <c r="G1754" i="1"/>
  <c r="K1754" i="1"/>
  <c r="A1755" i="1"/>
  <c r="B1755" i="1"/>
  <c r="G1755" i="1"/>
  <c r="K1755" i="1"/>
  <c r="A1756" i="1"/>
  <c r="B1756" i="1"/>
  <c r="G1756" i="1"/>
  <c r="K1756" i="1"/>
  <c r="A1757" i="1"/>
  <c r="B1757" i="1"/>
  <c r="G1757" i="1"/>
  <c r="K1757" i="1"/>
  <c r="A1758" i="1"/>
  <c r="B1758" i="1"/>
  <c r="G1758" i="1"/>
  <c r="K1758" i="1"/>
  <c r="A1759" i="1"/>
  <c r="B1759" i="1"/>
  <c r="G1759" i="1"/>
  <c r="K1759" i="1"/>
  <c r="A1760" i="1"/>
  <c r="B1760" i="1"/>
  <c r="G1760" i="1"/>
  <c r="K1760" i="1"/>
  <c r="A1761" i="1"/>
  <c r="B1761" i="1"/>
  <c r="G1761" i="1"/>
  <c r="K1761" i="1"/>
  <c r="A1762" i="1"/>
  <c r="B1762" i="1"/>
  <c r="G1762" i="1"/>
  <c r="K1762" i="1"/>
  <c r="A1763" i="1"/>
  <c r="B1763" i="1"/>
  <c r="G1763" i="1"/>
  <c r="K1763" i="1"/>
  <c r="A1764" i="1"/>
  <c r="B1764" i="1"/>
  <c r="G1764" i="1"/>
  <c r="K1764" i="1"/>
  <c r="A1765" i="1"/>
  <c r="B1765" i="1"/>
  <c r="G1765" i="1"/>
  <c r="K1765" i="1"/>
  <c r="A1766" i="1"/>
  <c r="B1766" i="1"/>
  <c r="G1766" i="1"/>
  <c r="K1766" i="1"/>
  <c r="A1767" i="1"/>
  <c r="B1767" i="1"/>
  <c r="G1767" i="1"/>
  <c r="K1767" i="1"/>
  <c r="A1768" i="1"/>
  <c r="B1768" i="1"/>
  <c r="G1768" i="1"/>
  <c r="K1768" i="1"/>
  <c r="A1769" i="1"/>
  <c r="B1769" i="1"/>
  <c r="G1769" i="1"/>
  <c r="K1769" i="1"/>
  <c r="A1770" i="1"/>
  <c r="B1770" i="1"/>
  <c r="G1770" i="1"/>
  <c r="K1770" i="1"/>
  <c r="A1771" i="1"/>
  <c r="B1771" i="1"/>
  <c r="G1771" i="1"/>
  <c r="K1771" i="1"/>
  <c r="A1772" i="1"/>
  <c r="B1772" i="1"/>
  <c r="G1772" i="1"/>
  <c r="K1772" i="1"/>
  <c r="A1773" i="1"/>
  <c r="B1773" i="1"/>
  <c r="G1773" i="1"/>
  <c r="K1773" i="1"/>
  <c r="A1774" i="1"/>
  <c r="B1774" i="1"/>
  <c r="G1774" i="1"/>
  <c r="K1774" i="1"/>
  <c r="A1775" i="1"/>
  <c r="B1775" i="1"/>
  <c r="G1775" i="1"/>
  <c r="K1775" i="1"/>
  <c r="A1776" i="1"/>
  <c r="B1776" i="1"/>
  <c r="G1776" i="1"/>
  <c r="K1776" i="1"/>
  <c r="A1777" i="1"/>
  <c r="B1777" i="1"/>
  <c r="G1777" i="1"/>
  <c r="K1777" i="1"/>
  <c r="A1778" i="1"/>
  <c r="B1778" i="1"/>
  <c r="G1778" i="1"/>
  <c r="K1778" i="1"/>
  <c r="A1779" i="1"/>
  <c r="B1779" i="1"/>
  <c r="G1779" i="1"/>
  <c r="K1779" i="1"/>
  <c r="A1780" i="1"/>
  <c r="B1780" i="1"/>
  <c r="G1780" i="1"/>
  <c r="K1780" i="1"/>
  <c r="A1781" i="1"/>
  <c r="B1781" i="1"/>
  <c r="G1781" i="1"/>
  <c r="K1781" i="1"/>
  <c r="A1782" i="1"/>
  <c r="B1782" i="1"/>
  <c r="G1782" i="1"/>
  <c r="K1782" i="1"/>
  <c r="A1783" i="1"/>
  <c r="B1783" i="1"/>
  <c r="G1783" i="1"/>
  <c r="K1783" i="1"/>
  <c r="A1784" i="1"/>
  <c r="B1784" i="1"/>
  <c r="G1784" i="1"/>
  <c r="K1784" i="1"/>
  <c r="A1785" i="1"/>
  <c r="B1785" i="1"/>
  <c r="G1785" i="1"/>
  <c r="K1785" i="1"/>
  <c r="A1786" i="1"/>
  <c r="B1786" i="1"/>
  <c r="G1786" i="1"/>
  <c r="K1786" i="1"/>
  <c r="A1787" i="1"/>
  <c r="B1787" i="1"/>
  <c r="G1787" i="1"/>
  <c r="K1787" i="1"/>
  <c r="A1788" i="1"/>
  <c r="B1788" i="1"/>
  <c r="G1788" i="1"/>
  <c r="K1788" i="1"/>
  <c r="A1789" i="1"/>
  <c r="B1789" i="1"/>
  <c r="G1789" i="1"/>
  <c r="K1789" i="1"/>
  <c r="A1790" i="1"/>
  <c r="B1790" i="1"/>
  <c r="G1790" i="1"/>
  <c r="K1790" i="1"/>
  <c r="A1791" i="1"/>
  <c r="B1791" i="1"/>
  <c r="G1791" i="1"/>
  <c r="K1791" i="1"/>
  <c r="A1792" i="1"/>
  <c r="B1792" i="1"/>
  <c r="G1792" i="1"/>
  <c r="K1792" i="1"/>
  <c r="A1793" i="1"/>
  <c r="B1793" i="1"/>
  <c r="G1793" i="1"/>
  <c r="K1793" i="1"/>
  <c r="A1794" i="1"/>
  <c r="B1794" i="1"/>
  <c r="G1794" i="1"/>
  <c r="K1794" i="1"/>
  <c r="A1795" i="1"/>
  <c r="B1795" i="1"/>
  <c r="G1795" i="1"/>
  <c r="K1795" i="1"/>
  <c r="A1796" i="1"/>
  <c r="B1796" i="1"/>
  <c r="G1796" i="1"/>
  <c r="K1796" i="1"/>
  <c r="A1797" i="1"/>
  <c r="B1797" i="1"/>
  <c r="G1797" i="1"/>
  <c r="K1797" i="1"/>
  <c r="A1798" i="1"/>
  <c r="B1798" i="1"/>
  <c r="G1798" i="1"/>
  <c r="K1798" i="1"/>
  <c r="A1799" i="1"/>
  <c r="B1799" i="1"/>
  <c r="G1799" i="1"/>
  <c r="K1799" i="1"/>
  <c r="A1800" i="1"/>
  <c r="B1800" i="1"/>
  <c r="G1800" i="1"/>
  <c r="K1800" i="1"/>
  <c r="A1801" i="1"/>
  <c r="B1801" i="1"/>
  <c r="G1801" i="1"/>
  <c r="K1801" i="1"/>
  <c r="A1802" i="1"/>
  <c r="B1802" i="1"/>
  <c r="G1802" i="1"/>
  <c r="K1802" i="1"/>
  <c r="A1803" i="1"/>
  <c r="B1803" i="1"/>
  <c r="G1803" i="1"/>
  <c r="K1803" i="1"/>
  <c r="A1804" i="1"/>
  <c r="B1804" i="1"/>
  <c r="G1804" i="1"/>
  <c r="K1804" i="1"/>
  <c r="A1805" i="1"/>
  <c r="B1805" i="1"/>
  <c r="G1805" i="1"/>
  <c r="K1805" i="1"/>
  <c r="A1806" i="1"/>
  <c r="B1806" i="1"/>
  <c r="G1806" i="1"/>
  <c r="K1806" i="1"/>
  <c r="A1807" i="1"/>
  <c r="B1807" i="1"/>
  <c r="G1807" i="1"/>
  <c r="K1807" i="1"/>
  <c r="A1808" i="1"/>
  <c r="B1808" i="1"/>
  <c r="G1808" i="1"/>
  <c r="K1808" i="1"/>
  <c r="A1809" i="1"/>
  <c r="B1809" i="1"/>
  <c r="G1809" i="1"/>
  <c r="K1809" i="1"/>
  <c r="A1810" i="1"/>
  <c r="B1810" i="1"/>
  <c r="G1810" i="1"/>
  <c r="K1810" i="1"/>
  <c r="A1811" i="1"/>
  <c r="B1811" i="1"/>
  <c r="G1811" i="1"/>
  <c r="K1811" i="1"/>
  <c r="A1812" i="1"/>
  <c r="B1812" i="1"/>
  <c r="G1812" i="1"/>
  <c r="K1812" i="1"/>
  <c r="A1813" i="1"/>
  <c r="B1813" i="1"/>
  <c r="G1813" i="1"/>
  <c r="K1813" i="1"/>
  <c r="A1814" i="1"/>
  <c r="B1814" i="1"/>
  <c r="G1814" i="1"/>
  <c r="K1814" i="1"/>
  <c r="A1815" i="1"/>
  <c r="B1815" i="1"/>
  <c r="G1815" i="1"/>
  <c r="K1815" i="1"/>
  <c r="A1816" i="1"/>
  <c r="B1816" i="1"/>
  <c r="G1816" i="1"/>
  <c r="K1816" i="1"/>
  <c r="A1817" i="1"/>
  <c r="B1817" i="1"/>
  <c r="G1817" i="1"/>
  <c r="K1817" i="1"/>
  <c r="A1818" i="1"/>
  <c r="B1818" i="1"/>
  <c r="G1818" i="1"/>
  <c r="K1818" i="1"/>
  <c r="A1819" i="1"/>
  <c r="B1819" i="1"/>
  <c r="G1819" i="1"/>
  <c r="K1819" i="1"/>
  <c r="A1820" i="1"/>
  <c r="B1820" i="1"/>
  <c r="G1820" i="1"/>
  <c r="K1820" i="1"/>
  <c r="A1821" i="1"/>
  <c r="B1821" i="1"/>
  <c r="G1821" i="1"/>
  <c r="K1821" i="1"/>
  <c r="A1822" i="1"/>
  <c r="B1822" i="1"/>
  <c r="G1822" i="1"/>
  <c r="K1822" i="1"/>
  <c r="A1823" i="1"/>
  <c r="B1823" i="1"/>
  <c r="G1823" i="1"/>
  <c r="K1823" i="1"/>
  <c r="A1824" i="1"/>
  <c r="B1824" i="1"/>
  <c r="G1824" i="1"/>
  <c r="K1824" i="1"/>
  <c r="A1825" i="1"/>
  <c r="B1825" i="1"/>
  <c r="G1825" i="1"/>
  <c r="K1825" i="1"/>
  <c r="A1826" i="1"/>
  <c r="B1826" i="1"/>
  <c r="G1826" i="1"/>
  <c r="K1826" i="1"/>
  <c r="A1827" i="1"/>
  <c r="B1827" i="1"/>
  <c r="G1827" i="1"/>
  <c r="K1827" i="1"/>
  <c r="A1828" i="1"/>
  <c r="B1828" i="1"/>
  <c r="G1828" i="1"/>
  <c r="K1828" i="1"/>
  <c r="A1829" i="1"/>
  <c r="B1829" i="1"/>
  <c r="G1829" i="1"/>
  <c r="K1829" i="1"/>
  <c r="A1830" i="1"/>
  <c r="B1830" i="1"/>
  <c r="G1830" i="1"/>
  <c r="K1830" i="1"/>
  <c r="A1831" i="1"/>
  <c r="B1831" i="1"/>
  <c r="G1831" i="1"/>
  <c r="K1831" i="1"/>
  <c r="A1832" i="1"/>
  <c r="B1832" i="1"/>
  <c r="G1832" i="1"/>
  <c r="K1832" i="1"/>
  <c r="A1833" i="1"/>
  <c r="B1833" i="1"/>
  <c r="G1833" i="1"/>
  <c r="K1833" i="1"/>
  <c r="A1834" i="1"/>
  <c r="B1834" i="1"/>
  <c r="G1834" i="1"/>
  <c r="K1834" i="1"/>
  <c r="A1835" i="1"/>
  <c r="B1835" i="1"/>
  <c r="G1835" i="1"/>
  <c r="K1835" i="1"/>
  <c r="A1836" i="1"/>
  <c r="B1836" i="1"/>
  <c r="G1836" i="1"/>
  <c r="K1836" i="1"/>
  <c r="A1837" i="1"/>
  <c r="B1837" i="1"/>
  <c r="G1837" i="1"/>
  <c r="K1837" i="1"/>
  <c r="A1838" i="1"/>
  <c r="B1838" i="1"/>
  <c r="G1838" i="1"/>
  <c r="K1838" i="1"/>
  <c r="A1839" i="1"/>
  <c r="B1839" i="1"/>
  <c r="G1839" i="1"/>
  <c r="K1839" i="1"/>
  <c r="A1840" i="1"/>
  <c r="B1840" i="1"/>
  <c r="G1840" i="1"/>
  <c r="K1840" i="1"/>
  <c r="A1841" i="1"/>
  <c r="B1841" i="1"/>
  <c r="G1841" i="1"/>
  <c r="K1841" i="1"/>
  <c r="A1842" i="1"/>
  <c r="B1842" i="1"/>
  <c r="G1842" i="1"/>
  <c r="K1842" i="1"/>
  <c r="A1843" i="1"/>
  <c r="B1843" i="1"/>
  <c r="G1843" i="1"/>
  <c r="K1843" i="1"/>
  <c r="A1844" i="1"/>
  <c r="B1844" i="1"/>
  <c r="G1844" i="1"/>
  <c r="K1844" i="1"/>
  <c r="A1845" i="1"/>
  <c r="B1845" i="1"/>
  <c r="G1845" i="1"/>
  <c r="K1845" i="1"/>
  <c r="A1846" i="1"/>
  <c r="B1846" i="1"/>
  <c r="G1846" i="1"/>
  <c r="K1846" i="1"/>
  <c r="A1847" i="1"/>
  <c r="B1847" i="1"/>
  <c r="G1847" i="1"/>
  <c r="K1847" i="1"/>
  <c r="A1848" i="1"/>
  <c r="B1848" i="1"/>
  <c r="G1848" i="1"/>
  <c r="K1848" i="1"/>
  <c r="A1849" i="1"/>
  <c r="B1849" i="1"/>
  <c r="G1849" i="1"/>
  <c r="K1849" i="1"/>
  <c r="A1850" i="1"/>
  <c r="B1850" i="1"/>
  <c r="G1850" i="1"/>
  <c r="K1850" i="1"/>
  <c r="A1851" i="1"/>
  <c r="B1851" i="1"/>
  <c r="G1851" i="1"/>
  <c r="K1851" i="1"/>
  <c r="A1852" i="1"/>
  <c r="B1852" i="1"/>
  <c r="G1852" i="1"/>
  <c r="K1852" i="1"/>
  <c r="A1853" i="1"/>
  <c r="B1853" i="1"/>
  <c r="G1853" i="1"/>
  <c r="K1853" i="1"/>
  <c r="A1854" i="1"/>
  <c r="B1854" i="1"/>
  <c r="G1854" i="1"/>
  <c r="K1854" i="1"/>
  <c r="A1855" i="1"/>
  <c r="B1855" i="1"/>
  <c r="G1855" i="1"/>
  <c r="K1855" i="1"/>
  <c r="A1856" i="1"/>
  <c r="B1856" i="1"/>
  <c r="G1856" i="1"/>
  <c r="K1856" i="1"/>
  <c r="A1857" i="1"/>
  <c r="B1857" i="1"/>
  <c r="G1857" i="1"/>
  <c r="K1857" i="1"/>
  <c r="A1858" i="1"/>
  <c r="B1858" i="1"/>
  <c r="G1858" i="1"/>
  <c r="K1858" i="1"/>
  <c r="A1859" i="1"/>
  <c r="B1859" i="1"/>
  <c r="G1859" i="1"/>
  <c r="K1859" i="1"/>
  <c r="A1860" i="1"/>
  <c r="B1860" i="1"/>
  <c r="G1860" i="1"/>
  <c r="K1860" i="1"/>
  <c r="A1861" i="1"/>
  <c r="B1861" i="1"/>
  <c r="G1861" i="1"/>
  <c r="K1861" i="1"/>
  <c r="A1862" i="1"/>
  <c r="B1862" i="1"/>
  <c r="G1862" i="1"/>
  <c r="K1862" i="1"/>
  <c r="A1863" i="1"/>
  <c r="B1863" i="1"/>
  <c r="G1863" i="1"/>
  <c r="K1863" i="1"/>
  <c r="A1864" i="1"/>
  <c r="B1864" i="1"/>
  <c r="G1864" i="1"/>
  <c r="K1864" i="1"/>
  <c r="A1865" i="1"/>
  <c r="B1865" i="1"/>
  <c r="G1865" i="1"/>
  <c r="K1865" i="1"/>
  <c r="A1866" i="1"/>
  <c r="B1866" i="1"/>
  <c r="G1866" i="1"/>
  <c r="K1866" i="1"/>
  <c r="A1867" i="1"/>
  <c r="B1867" i="1"/>
  <c r="G1867" i="1"/>
  <c r="K1867" i="1"/>
  <c r="A1868" i="1"/>
  <c r="B1868" i="1"/>
  <c r="G1868" i="1"/>
  <c r="K1868" i="1"/>
  <c r="A1869" i="1"/>
  <c r="B1869" i="1"/>
  <c r="G1869" i="1"/>
  <c r="K1869" i="1"/>
  <c r="A1870" i="1"/>
  <c r="B1870" i="1"/>
  <c r="G1870" i="1"/>
  <c r="K1870" i="1"/>
  <c r="A1871" i="1"/>
  <c r="B1871" i="1"/>
  <c r="G1871" i="1"/>
  <c r="K1871" i="1"/>
  <c r="A1872" i="1"/>
  <c r="B1872" i="1"/>
  <c r="G1872" i="1"/>
  <c r="K1872" i="1"/>
  <c r="A1873" i="1"/>
  <c r="B1873" i="1"/>
  <c r="G1873" i="1"/>
  <c r="K1873" i="1"/>
  <c r="A1874" i="1"/>
  <c r="B1874" i="1"/>
  <c r="G1874" i="1"/>
  <c r="K1874" i="1"/>
  <c r="A1875" i="1"/>
  <c r="B1875" i="1"/>
  <c r="G1875" i="1"/>
  <c r="K1875" i="1"/>
  <c r="A1876" i="1"/>
  <c r="B1876" i="1"/>
  <c r="G1876" i="1"/>
  <c r="K1876" i="1"/>
  <c r="A1877" i="1"/>
  <c r="B1877" i="1"/>
  <c r="G1877" i="1"/>
  <c r="K1877" i="1"/>
  <c r="A1878" i="1"/>
  <c r="B1878" i="1"/>
  <c r="G1878" i="1"/>
  <c r="K1878" i="1"/>
  <c r="A1879" i="1"/>
  <c r="B1879" i="1"/>
  <c r="G1879" i="1"/>
  <c r="K1879" i="1"/>
  <c r="A1880" i="1"/>
  <c r="B1880" i="1"/>
  <c r="G1880" i="1"/>
  <c r="K1880" i="1"/>
  <c r="A1881" i="1"/>
  <c r="B1881" i="1"/>
  <c r="G1881" i="1"/>
  <c r="K1881" i="1"/>
  <c r="A1882" i="1"/>
  <c r="B1882" i="1"/>
  <c r="G1882" i="1"/>
  <c r="K1882" i="1"/>
  <c r="A1883" i="1"/>
  <c r="B1883" i="1"/>
  <c r="G1883" i="1"/>
  <c r="K1883" i="1"/>
  <c r="A1884" i="1"/>
  <c r="B1884" i="1"/>
  <c r="G1884" i="1"/>
  <c r="K1884" i="1"/>
  <c r="A1885" i="1"/>
  <c r="B1885" i="1"/>
  <c r="G1885" i="1"/>
  <c r="K1885" i="1"/>
  <c r="A1886" i="1"/>
  <c r="B1886" i="1"/>
  <c r="G1886" i="1"/>
  <c r="K1886" i="1"/>
  <c r="A1887" i="1"/>
  <c r="B1887" i="1"/>
  <c r="G1887" i="1"/>
  <c r="K1887" i="1"/>
  <c r="A1888" i="1"/>
  <c r="B1888" i="1"/>
  <c r="G1888" i="1"/>
  <c r="K1888" i="1"/>
  <c r="A1889" i="1"/>
  <c r="B1889" i="1"/>
  <c r="G1889" i="1"/>
  <c r="K1889" i="1"/>
  <c r="A1890" i="1"/>
  <c r="B1890" i="1"/>
  <c r="G1890" i="1"/>
  <c r="K1890" i="1"/>
  <c r="A1891" i="1"/>
  <c r="B1891" i="1"/>
  <c r="G1891" i="1"/>
  <c r="K1891" i="1"/>
  <c r="A1892" i="1"/>
  <c r="B1892" i="1"/>
  <c r="G1892" i="1"/>
  <c r="K1892" i="1"/>
  <c r="A1893" i="1"/>
  <c r="B1893" i="1"/>
  <c r="G1893" i="1"/>
  <c r="K1893" i="1"/>
  <c r="A1894" i="1"/>
  <c r="B1894" i="1"/>
  <c r="G1894" i="1"/>
  <c r="K1894" i="1"/>
  <c r="A1895" i="1"/>
  <c r="B1895" i="1"/>
  <c r="G1895" i="1"/>
  <c r="K1895" i="1"/>
  <c r="A1896" i="1"/>
  <c r="B1896" i="1"/>
  <c r="G1896" i="1"/>
  <c r="K1896" i="1"/>
  <c r="A1897" i="1"/>
  <c r="B1897" i="1"/>
  <c r="G1897" i="1"/>
  <c r="K1897" i="1"/>
  <c r="A1898" i="1"/>
  <c r="B1898" i="1"/>
  <c r="G1898" i="1"/>
  <c r="K1898" i="1"/>
  <c r="A1899" i="1"/>
  <c r="B1899" i="1"/>
  <c r="G1899" i="1"/>
  <c r="K1899" i="1"/>
  <c r="A1900" i="1"/>
  <c r="B1900" i="1"/>
  <c r="G1900" i="1"/>
  <c r="K1900" i="1"/>
  <c r="A1901" i="1"/>
  <c r="B1901" i="1"/>
  <c r="G1901" i="1"/>
  <c r="K1901" i="1"/>
  <c r="A1902" i="1"/>
  <c r="B1902" i="1"/>
  <c r="G1902" i="1"/>
  <c r="K1902" i="1"/>
  <c r="A1903" i="1"/>
  <c r="B1903" i="1"/>
  <c r="G1903" i="1"/>
  <c r="K1903" i="1"/>
  <c r="A1904" i="1"/>
  <c r="B1904" i="1"/>
  <c r="G1904" i="1"/>
  <c r="K1904" i="1"/>
  <c r="A1905" i="1"/>
  <c r="B1905" i="1"/>
  <c r="G1905" i="1"/>
  <c r="K1905" i="1"/>
  <c r="A1906" i="1"/>
  <c r="B1906" i="1"/>
  <c r="G1906" i="1"/>
  <c r="K1906" i="1"/>
  <c r="A1907" i="1"/>
  <c r="B1907" i="1"/>
  <c r="G1907" i="1"/>
  <c r="K1907" i="1"/>
  <c r="A1908" i="1"/>
  <c r="B1908" i="1"/>
  <c r="G1908" i="1"/>
  <c r="K1908" i="1"/>
  <c r="A1909" i="1"/>
  <c r="B1909" i="1"/>
  <c r="G1909" i="1"/>
  <c r="K1909" i="1"/>
  <c r="A1910" i="1"/>
  <c r="B1910" i="1"/>
  <c r="G1910" i="1"/>
  <c r="K1910" i="1"/>
  <c r="A1911" i="1"/>
  <c r="B1911" i="1"/>
  <c r="G1911" i="1"/>
  <c r="K1911" i="1"/>
  <c r="A1912" i="1"/>
  <c r="B1912" i="1"/>
  <c r="G1912" i="1"/>
  <c r="K1912" i="1"/>
  <c r="A1913" i="1"/>
  <c r="B1913" i="1"/>
  <c r="G1913" i="1"/>
  <c r="K1913" i="1"/>
  <c r="A1914" i="1"/>
  <c r="B1914" i="1"/>
  <c r="G1914" i="1"/>
  <c r="K1914" i="1"/>
  <c r="A1915" i="1"/>
  <c r="B1915" i="1"/>
  <c r="G1915" i="1"/>
  <c r="K1915" i="1"/>
  <c r="A1916" i="1"/>
  <c r="B1916" i="1"/>
  <c r="G1916" i="1"/>
  <c r="K1916" i="1"/>
  <c r="A1917" i="1"/>
  <c r="B1917" i="1"/>
  <c r="G1917" i="1"/>
  <c r="K1917" i="1"/>
  <c r="A1918" i="1"/>
  <c r="B1918" i="1"/>
  <c r="G1918" i="1"/>
  <c r="K1918" i="1"/>
  <c r="A1919" i="1"/>
  <c r="B1919" i="1"/>
  <c r="G1919" i="1"/>
  <c r="K1919" i="1"/>
  <c r="A1920" i="1"/>
  <c r="B1920" i="1"/>
  <c r="G1920" i="1"/>
  <c r="K1920" i="1"/>
  <c r="A1921" i="1"/>
  <c r="B1921" i="1"/>
  <c r="G1921" i="1"/>
  <c r="K1921" i="1"/>
  <c r="A1922" i="1"/>
  <c r="B1922" i="1"/>
  <c r="G1922" i="1"/>
  <c r="K1922" i="1"/>
  <c r="A1923" i="1"/>
  <c r="B1923" i="1"/>
  <c r="G1923" i="1"/>
  <c r="K1923" i="1"/>
  <c r="A1924" i="1"/>
  <c r="B1924" i="1"/>
  <c r="G1924" i="1"/>
  <c r="K1924" i="1"/>
  <c r="A1925" i="1"/>
  <c r="B1925" i="1"/>
  <c r="G1925" i="1"/>
  <c r="K1925" i="1"/>
  <c r="A1926" i="1"/>
  <c r="B1926" i="1"/>
  <c r="G1926" i="1"/>
  <c r="K1926" i="1"/>
  <c r="A1927" i="1"/>
  <c r="B1927" i="1"/>
  <c r="G1927" i="1"/>
  <c r="K1927" i="1"/>
  <c r="A1928" i="1"/>
  <c r="B1928" i="1"/>
  <c r="G1928" i="1"/>
  <c r="K1928" i="1"/>
  <c r="A1929" i="1"/>
  <c r="B1929" i="1"/>
  <c r="G1929" i="1"/>
  <c r="K1929" i="1"/>
  <c r="A1930" i="1"/>
  <c r="B1930" i="1"/>
  <c r="G1930" i="1"/>
  <c r="K1930" i="1"/>
  <c r="A1931" i="1"/>
  <c r="B1931" i="1"/>
  <c r="G1931" i="1"/>
  <c r="K1931" i="1"/>
  <c r="A1932" i="1"/>
  <c r="B1932" i="1"/>
  <c r="G1932" i="1"/>
  <c r="K1932" i="1"/>
  <c r="A1933" i="1"/>
  <c r="B1933" i="1"/>
  <c r="G1933" i="1"/>
  <c r="K1933" i="1"/>
  <c r="A1934" i="1"/>
  <c r="B1934" i="1"/>
  <c r="G1934" i="1"/>
  <c r="K1934" i="1"/>
  <c r="A1935" i="1"/>
  <c r="B1935" i="1"/>
  <c r="G1935" i="1"/>
  <c r="K1935" i="1"/>
  <c r="A1936" i="1"/>
  <c r="B1936" i="1"/>
  <c r="G1936" i="1"/>
  <c r="K1936" i="1"/>
  <c r="A1937" i="1"/>
  <c r="B1937" i="1"/>
  <c r="G1937" i="1"/>
  <c r="K1937" i="1"/>
  <c r="A1938" i="1"/>
  <c r="B1938" i="1"/>
  <c r="G1938" i="1"/>
  <c r="K1938" i="1"/>
  <c r="A1939" i="1"/>
  <c r="B1939" i="1"/>
  <c r="G1939" i="1"/>
  <c r="K1939" i="1"/>
  <c r="A1940" i="1"/>
  <c r="B1940" i="1"/>
  <c r="G1940" i="1"/>
  <c r="K1940" i="1"/>
  <c r="A1941" i="1"/>
  <c r="B1941" i="1"/>
  <c r="G1941" i="1"/>
  <c r="K1941" i="1"/>
  <c r="A1942" i="1"/>
  <c r="B1942" i="1"/>
  <c r="G1942" i="1"/>
  <c r="K1942" i="1"/>
  <c r="A1943" i="1"/>
  <c r="B1943" i="1"/>
  <c r="G1943" i="1"/>
  <c r="K1943" i="1"/>
  <c r="A1944" i="1"/>
  <c r="B1944" i="1"/>
  <c r="G1944" i="1"/>
  <c r="K1944" i="1"/>
  <c r="A1945" i="1"/>
  <c r="B1945" i="1"/>
  <c r="G1945" i="1"/>
  <c r="K1945" i="1"/>
  <c r="A1946" i="1"/>
  <c r="B1946" i="1"/>
  <c r="G1946" i="1"/>
  <c r="K1946" i="1"/>
  <c r="A1947" i="1"/>
  <c r="B1947" i="1"/>
  <c r="G1947" i="1"/>
  <c r="K1947" i="1"/>
  <c r="A1948" i="1"/>
  <c r="B1948" i="1"/>
  <c r="G1948" i="1"/>
  <c r="K1948" i="1"/>
  <c r="A1949" i="1"/>
  <c r="B1949" i="1"/>
  <c r="G1949" i="1"/>
  <c r="K1949" i="1"/>
  <c r="A1950" i="1"/>
  <c r="B1950" i="1"/>
  <c r="G1950" i="1"/>
  <c r="K1950" i="1"/>
  <c r="A1951" i="1"/>
  <c r="B1951" i="1"/>
  <c r="G1951" i="1"/>
  <c r="K1951" i="1"/>
  <c r="A1952" i="1"/>
  <c r="B1952" i="1"/>
  <c r="G1952" i="1"/>
  <c r="K1952" i="1"/>
  <c r="A1953" i="1"/>
  <c r="B1953" i="1"/>
  <c r="G1953" i="1"/>
  <c r="K1953" i="1"/>
  <c r="A1954" i="1"/>
  <c r="B1954" i="1"/>
  <c r="G1954" i="1"/>
  <c r="K1954" i="1"/>
  <c r="A1955" i="1"/>
  <c r="B1955" i="1"/>
  <c r="G1955" i="1"/>
  <c r="K1955" i="1"/>
  <c r="A1956" i="1"/>
  <c r="B1956" i="1"/>
  <c r="G1956" i="1"/>
  <c r="K1956" i="1"/>
  <c r="A1957" i="1"/>
  <c r="B1957" i="1"/>
  <c r="G1957" i="1"/>
  <c r="K1957" i="1"/>
  <c r="A1958" i="1"/>
  <c r="B1958" i="1"/>
  <c r="G1958" i="1"/>
  <c r="K1958" i="1"/>
  <c r="A1959" i="1"/>
  <c r="B1959" i="1"/>
  <c r="G1959" i="1"/>
  <c r="K1959" i="1"/>
  <c r="A1960" i="1"/>
  <c r="B1960" i="1"/>
  <c r="G1960" i="1"/>
  <c r="K1960" i="1"/>
  <c r="A1961" i="1"/>
  <c r="B1961" i="1"/>
  <c r="G1961" i="1"/>
  <c r="K1961" i="1"/>
  <c r="A1962" i="1"/>
  <c r="B1962" i="1"/>
  <c r="G1962" i="1"/>
  <c r="K1962" i="1"/>
  <c r="A1963" i="1"/>
  <c r="B1963" i="1"/>
  <c r="G1963" i="1"/>
  <c r="K1963" i="1"/>
  <c r="A1964" i="1"/>
  <c r="B1964" i="1"/>
  <c r="G1964" i="1"/>
  <c r="K1964" i="1"/>
  <c r="A1965" i="1"/>
  <c r="B1965" i="1"/>
  <c r="G1965" i="1"/>
  <c r="K1965" i="1"/>
  <c r="A1966" i="1"/>
  <c r="B1966" i="1"/>
  <c r="G1966" i="1"/>
  <c r="K1966" i="1"/>
  <c r="A1967" i="1"/>
  <c r="B1967" i="1"/>
  <c r="G1967" i="1"/>
  <c r="K1967" i="1"/>
  <c r="A1968" i="1"/>
  <c r="B1968" i="1"/>
  <c r="G1968" i="1"/>
  <c r="K1968" i="1"/>
  <c r="A1969" i="1"/>
  <c r="B1969" i="1"/>
  <c r="G1969" i="1"/>
  <c r="K1969" i="1"/>
  <c r="A1970" i="1"/>
  <c r="B1970" i="1"/>
  <c r="G1970" i="1"/>
  <c r="K1970" i="1"/>
  <c r="A1971" i="1"/>
  <c r="B1971" i="1"/>
  <c r="G1971" i="1"/>
  <c r="K1971" i="1"/>
  <c r="A1972" i="1"/>
  <c r="B1972" i="1"/>
  <c r="G1972" i="1"/>
  <c r="K1972" i="1"/>
  <c r="A1973" i="1"/>
  <c r="B1973" i="1"/>
  <c r="G1973" i="1"/>
  <c r="K1973" i="1"/>
  <c r="A1974" i="1"/>
  <c r="B1974" i="1"/>
  <c r="G1974" i="1"/>
  <c r="K1974" i="1"/>
  <c r="A1975" i="1"/>
  <c r="B1975" i="1"/>
  <c r="G1975" i="1"/>
  <c r="K1975" i="1"/>
  <c r="A1976" i="1"/>
  <c r="B1976" i="1"/>
  <c r="G1976" i="1"/>
  <c r="K1976" i="1"/>
  <c r="A1977" i="1"/>
  <c r="B1977" i="1"/>
  <c r="G1977" i="1"/>
  <c r="K1977" i="1"/>
  <c r="A1978" i="1"/>
  <c r="B1978" i="1"/>
  <c r="G1978" i="1"/>
  <c r="K1978" i="1"/>
  <c r="A1979" i="1"/>
  <c r="B1979" i="1"/>
  <c r="G1979" i="1"/>
  <c r="K1979" i="1"/>
  <c r="A1980" i="1"/>
  <c r="B1980" i="1"/>
  <c r="G1980" i="1"/>
  <c r="K1980" i="1"/>
  <c r="A1981" i="1"/>
  <c r="B1981" i="1"/>
  <c r="G1981" i="1"/>
  <c r="K1981" i="1"/>
  <c r="A1982" i="1"/>
  <c r="B1982" i="1"/>
  <c r="G1982" i="1"/>
  <c r="K1982" i="1"/>
  <c r="A1983" i="1"/>
  <c r="B1983" i="1"/>
  <c r="G1983" i="1"/>
  <c r="K1983" i="1"/>
  <c r="A1984" i="1"/>
  <c r="B1984" i="1"/>
  <c r="G1984" i="1"/>
  <c r="K1984" i="1"/>
  <c r="A1985" i="1"/>
  <c r="B1985" i="1"/>
  <c r="G1985" i="1"/>
  <c r="K1985" i="1"/>
  <c r="A1986" i="1"/>
  <c r="B1986" i="1"/>
  <c r="G1986" i="1"/>
  <c r="K1986" i="1"/>
  <c r="A1987" i="1"/>
  <c r="B1987" i="1"/>
  <c r="G1987" i="1"/>
  <c r="K1987" i="1"/>
  <c r="A1988" i="1"/>
  <c r="B1988" i="1"/>
  <c r="G1988" i="1"/>
  <c r="K1988" i="1"/>
  <c r="A1989" i="1"/>
  <c r="B1989" i="1"/>
  <c r="G1989" i="1"/>
  <c r="K1989" i="1"/>
  <c r="A1990" i="1"/>
  <c r="B1990" i="1"/>
  <c r="G1990" i="1"/>
  <c r="K1990" i="1"/>
  <c r="A1991" i="1"/>
  <c r="B1991" i="1"/>
  <c r="G1991" i="1"/>
  <c r="K1991" i="1"/>
  <c r="A1992" i="1"/>
  <c r="B1992" i="1"/>
  <c r="G1992" i="1"/>
  <c r="K1992" i="1"/>
  <c r="A1993" i="1"/>
  <c r="B1993" i="1"/>
  <c r="G1993" i="1"/>
  <c r="K1993" i="1"/>
  <c r="A1994" i="1"/>
  <c r="B1994" i="1"/>
  <c r="G1994" i="1"/>
  <c r="K1994" i="1"/>
  <c r="A1995" i="1"/>
  <c r="B1995" i="1"/>
  <c r="G1995" i="1"/>
  <c r="K1995" i="1"/>
  <c r="A1996" i="1"/>
  <c r="B1996" i="1"/>
  <c r="G1996" i="1"/>
  <c r="K1996" i="1"/>
  <c r="A1997" i="1"/>
  <c r="B1997" i="1"/>
  <c r="G1997" i="1"/>
  <c r="K1997" i="1"/>
  <c r="A1998" i="1"/>
  <c r="B1998" i="1"/>
  <c r="G1998" i="1"/>
  <c r="K1998" i="1"/>
  <c r="A1999" i="1"/>
  <c r="B1999" i="1"/>
  <c r="G1999" i="1"/>
  <c r="K1999" i="1"/>
  <c r="A2000" i="1"/>
  <c r="B2000" i="1"/>
  <c r="G2000" i="1"/>
  <c r="K2000" i="1"/>
  <c r="A2001" i="1"/>
  <c r="B2001" i="1"/>
  <c r="G2001" i="1"/>
  <c r="K2001" i="1"/>
  <c r="A2002" i="1"/>
  <c r="B2002" i="1"/>
  <c r="G2002" i="1"/>
  <c r="K2002" i="1"/>
  <c r="A2003" i="1"/>
  <c r="B2003" i="1"/>
  <c r="G2003" i="1"/>
  <c r="K2003" i="1"/>
  <c r="A2004" i="1"/>
  <c r="B2004" i="1"/>
  <c r="G2004" i="1"/>
  <c r="K2004" i="1"/>
  <c r="A2005" i="1"/>
  <c r="B2005" i="1"/>
  <c r="G2005" i="1"/>
  <c r="K2005" i="1"/>
  <c r="A2006" i="1"/>
  <c r="B2006" i="1"/>
  <c r="G2006" i="1"/>
  <c r="K2006" i="1"/>
  <c r="A2007" i="1"/>
  <c r="B2007" i="1"/>
  <c r="G2007" i="1"/>
  <c r="K2007" i="1"/>
  <c r="A2008" i="1"/>
  <c r="B2008" i="1"/>
  <c r="G2008" i="1"/>
  <c r="K2008" i="1"/>
  <c r="A2009" i="1"/>
  <c r="B2009" i="1"/>
  <c r="G2009" i="1"/>
  <c r="K2009" i="1"/>
  <c r="A2010" i="1"/>
  <c r="B2010" i="1"/>
  <c r="G2010" i="1"/>
  <c r="K2010" i="1"/>
  <c r="A2011" i="1"/>
  <c r="B2011" i="1"/>
  <c r="G2011" i="1"/>
  <c r="K2011" i="1"/>
  <c r="A2012" i="1"/>
  <c r="B2012" i="1"/>
  <c r="G2012" i="1"/>
  <c r="K2012" i="1"/>
  <c r="A2013" i="1"/>
  <c r="B2013" i="1"/>
  <c r="G2013" i="1"/>
  <c r="K2013" i="1"/>
  <c r="A2014" i="1"/>
  <c r="B2014" i="1"/>
  <c r="G2014" i="1"/>
  <c r="K2014" i="1"/>
  <c r="A2015" i="1"/>
  <c r="B2015" i="1"/>
  <c r="G2015" i="1"/>
  <c r="K2015" i="1"/>
  <c r="A2016" i="1"/>
  <c r="B2016" i="1"/>
  <c r="G2016" i="1"/>
  <c r="K2016" i="1"/>
  <c r="A2017" i="1"/>
  <c r="B2017" i="1"/>
  <c r="G2017" i="1"/>
  <c r="K2017" i="1"/>
  <c r="A2018" i="1"/>
  <c r="B2018" i="1"/>
  <c r="G2018" i="1"/>
  <c r="K2018" i="1"/>
  <c r="A2019" i="1"/>
  <c r="B2019" i="1"/>
  <c r="G2019" i="1"/>
  <c r="K2019" i="1"/>
  <c r="A2020" i="1"/>
  <c r="B2020" i="1"/>
  <c r="G2020" i="1"/>
  <c r="K2020" i="1"/>
  <c r="A2021" i="1"/>
  <c r="B2021" i="1"/>
  <c r="G2021" i="1"/>
  <c r="K2021" i="1"/>
  <c r="A2022" i="1"/>
  <c r="B2022" i="1"/>
  <c r="G2022" i="1"/>
  <c r="K2022" i="1"/>
  <c r="A2023" i="1"/>
  <c r="B2023" i="1"/>
  <c r="G2023" i="1"/>
  <c r="K2023" i="1"/>
  <c r="A2024" i="1"/>
  <c r="B2024" i="1"/>
  <c r="G2024" i="1"/>
  <c r="K2024" i="1"/>
  <c r="A2025" i="1"/>
  <c r="B2025" i="1"/>
  <c r="G2025" i="1"/>
  <c r="K2025" i="1"/>
  <c r="A2026" i="1"/>
  <c r="B2026" i="1"/>
  <c r="G2026" i="1"/>
  <c r="K2026" i="1"/>
  <c r="A2027" i="1"/>
  <c r="B2027" i="1"/>
  <c r="G2027" i="1"/>
  <c r="K2027" i="1"/>
  <c r="A2028" i="1"/>
  <c r="B2028" i="1"/>
  <c r="G2028" i="1"/>
  <c r="K2028" i="1"/>
  <c r="A2029" i="1"/>
  <c r="B2029" i="1"/>
  <c r="G2029" i="1"/>
  <c r="K2029" i="1"/>
  <c r="A2030" i="1"/>
  <c r="B2030" i="1"/>
  <c r="G2030" i="1"/>
  <c r="K2030" i="1"/>
  <c r="A2031" i="1"/>
  <c r="B2031" i="1"/>
  <c r="G2031" i="1"/>
  <c r="K2031" i="1"/>
  <c r="A2032" i="1"/>
  <c r="B2032" i="1"/>
  <c r="G2032" i="1"/>
  <c r="K2032" i="1"/>
  <c r="A2033" i="1"/>
  <c r="B2033" i="1"/>
  <c r="G2033" i="1"/>
  <c r="K2033" i="1"/>
  <c r="A2034" i="1"/>
  <c r="B2034" i="1"/>
  <c r="G2034" i="1"/>
  <c r="K2034" i="1"/>
  <c r="A2035" i="1"/>
  <c r="B2035" i="1"/>
  <c r="G2035" i="1"/>
  <c r="K2035" i="1"/>
  <c r="A2036" i="1"/>
  <c r="B2036" i="1"/>
  <c r="G2036" i="1"/>
  <c r="K2036" i="1"/>
  <c r="A2037" i="1"/>
  <c r="B2037" i="1"/>
  <c r="G2037" i="1"/>
  <c r="K2037" i="1"/>
  <c r="A2038" i="1"/>
  <c r="B2038" i="1"/>
  <c r="G2038" i="1"/>
  <c r="K2038" i="1"/>
  <c r="A2039" i="1"/>
  <c r="B2039" i="1"/>
  <c r="G2039" i="1"/>
  <c r="K2039" i="1"/>
  <c r="A2040" i="1"/>
  <c r="B2040" i="1"/>
  <c r="G2040" i="1"/>
  <c r="K2040" i="1"/>
  <c r="A2041" i="1"/>
  <c r="B2041" i="1"/>
  <c r="G2041" i="1"/>
  <c r="K2041" i="1"/>
  <c r="A2042" i="1"/>
  <c r="B2042" i="1"/>
  <c r="G2042" i="1"/>
  <c r="K2042" i="1"/>
  <c r="A2043" i="1"/>
  <c r="B2043" i="1"/>
  <c r="G2043" i="1"/>
  <c r="K2043" i="1"/>
  <c r="A2044" i="1"/>
  <c r="B2044" i="1"/>
  <c r="G2044" i="1"/>
  <c r="K2044" i="1"/>
  <c r="A2045" i="1"/>
  <c r="B2045" i="1"/>
  <c r="G2045" i="1"/>
  <c r="K2045" i="1"/>
  <c r="A2046" i="1"/>
  <c r="B2046" i="1"/>
  <c r="G2046" i="1"/>
  <c r="K2046" i="1"/>
  <c r="A2047" i="1"/>
  <c r="B2047" i="1"/>
  <c r="G2047" i="1"/>
  <c r="K2047" i="1"/>
  <c r="A2048" i="1"/>
  <c r="B2048" i="1"/>
  <c r="G2048" i="1"/>
  <c r="K2048" i="1"/>
  <c r="A2049" i="1"/>
  <c r="B2049" i="1"/>
  <c r="G2049" i="1"/>
  <c r="K2049" i="1"/>
  <c r="A2050" i="1"/>
  <c r="B2050" i="1"/>
  <c r="G2050" i="1"/>
  <c r="K2050" i="1"/>
  <c r="A2051" i="1"/>
  <c r="B2051" i="1"/>
  <c r="G2051" i="1"/>
  <c r="K2051" i="1"/>
  <c r="A2052" i="1"/>
  <c r="B2052" i="1"/>
  <c r="G2052" i="1"/>
  <c r="K2052" i="1"/>
  <c r="A2053" i="1"/>
  <c r="B2053" i="1"/>
  <c r="G2053" i="1"/>
  <c r="K2053" i="1"/>
  <c r="A2054" i="1"/>
  <c r="B2054" i="1"/>
  <c r="G2054" i="1"/>
  <c r="K2054" i="1"/>
  <c r="A2055" i="1"/>
  <c r="B2055" i="1"/>
  <c r="G2055" i="1"/>
  <c r="K2055" i="1"/>
  <c r="A2056" i="1"/>
  <c r="B2056" i="1"/>
  <c r="G2056" i="1"/>
  <c r="K2056" i="1"/>
  <c r="A2057" i="1"/>
  <c r="B2057" i="1"/>
  <c r="G2057" i="1"/>
  <c r="K2057" i="1"/>
  <c r="A2058" i="1"/>
  <c r="B2058" i="1"/>
  <c r="G2058" i="1"/>
  <c r="K2058" i="1"/>
  <c r="A2059" i="1"/>
  <c r="B2059" i="1"/>
  <c r="G2059" i="1"/>
  <c r="K2059" i="1"/>
  <c r="A2060" i="1"/>
  <c r="B2060" i="1"/>
  <c r="G2060" i="1"/>
  <c r="K2060" i="1"/>
  <c r="A2061" i="1"/>
  <c r="B2061" i="1"/>
  <c r="G2061" i="1"/>
  <c r="K2061" i="1"/>
  <c r="A2062" i="1"/>
  <c r="B2062" i="1"/>
  <c r="G2062" i="1"/>
  <c r="K2062" i="1"/>
  <c r="A2063" i="1"/>
  <c r="B2063" i="1"/>
  <c r="G2063" i="1"/>
  <c r="K2063" i="1"/>
  <c r="A2064" i="1"/>
  <c r="B2064" i="1"/>
  <c r="G2064" i="1"/>
  <c r="K2064" i="1"/>
  <c r="A2065" i="1"/>
  <c r="B2065" i="1"/>
  <c r="G2065" i="1"/>
  <c r="K2065" i="1"/>
  <c r="A2066" i="1"/>
  <c r="B2066" i="1"/>
  <c r="G2066" i="1"/>
  <c r="K2066" i="1"/>
  <c r="A2067" i="1"/>
  <c r="B2067" i="1"/>
  <c r="G2067" i="1"/>
  <c r="K2067" i="1"/>
  <c r="A2068" i="1"/>
  <c r="B2068" i="1"/>
  <c r="G2068" i="1"/>
  <c r="K2068" i="1"/>
  <c r="A2069" i="1"/>
  <c r="B2069" i="1"/>
  <c r="G2069" i="1"/>
  <c r="K2069" i="1"/>
  <c r="A2070" i="1"/>
  <c r="B2070" i="1"/>
  <c r="G2070" i="1"/>
  <c r="K2070" i="1"/>
  <c r="A2071" i="1"/>
  <c r="B2071" i="1"/>
  <c r="G2071" i="1"/>
  <c r="K2071" i="1"/>
  <c r="A2072" i="1"/>
  <c r="B2072" i="1"/>
  <c r="G2072" i="1"/>
  <c r="K2072" i="1"/>
  <c r="A2073" i="1"/>
  <c r="B2073" i="1"/>
  <c r="G2073" i="1"/>
  <c r="K2073" i="1"/>
  <c r="A2074" i="1"/>
  <c r="B2074" i="1"/>
  <c r="G2074" i="1"/>
  <c r="K2074" i="1"/>
  <c r="A2075" i="1"/>
  <c r="B2075" i="1"/>
  <c r="G2075" i="1"/>
  <c r="K2075" i="1"/>
  <c r="A2076" i="1"/>
  <c r="B2076" i="1"/>
  <c r="G2076" i="1"/>
  <c r="K2076" i="1"/>
  <c r="A2077" i="1"/>
  <c r="B2077" i="1"/>
  <c r="G2077" i="1"/>
  <c r="K2077" i="1"/>
  <c r="A2078" i="1"/>
  <c r="B2078" i="1"/>
  <c r="G2078" i="1"/>
  <c r="K2078" i="1"/>
  <c r="A2079" i="1"/>
  <c r="B2079" i="1"/>
  <c r="G2079" i="1"/>
  <c r="K2079" i="1"/>
  <c r="A2080" i="1"/>
  <c r="B2080" i="1"/>
  <c r="G2080" i="1"/>
  <c r="K2080" i="1"/>
  <c r="A2081" i="1"/>
  <c r="B2081" i="1"/>
  <c r="G2081" i="1"/>
  <c r="K2081" i="1"/>
  <c r="A2082" i="1"/>
  <c r="B2082" i="1"/>
  <c r="G2082" i="1"/>
  <c r="K2082" i="1"/>
  <c r="A2083" i="1"/>
  <c r="B2083" i="1"/>
  <c r="G2083" i="1"/>
  <c r="K2083" i="1"/>
  <c r="A2084" i="1"/>
  <c r="B2084" i="1"/>
  <c r="G2084" i="1"/>
  <c r="K2084" i="1"/>
  <c r="A2085" i="1"/>
  <c r="B2085" i="1"/>
  <c r="G2085" i="1"/>
  <c r="K2085" i="1"/>
  <c r="A2086" i="1"/>
  <c r="B2086" i="1"/>
  <c r="G2086" i="1"/>
  <c r="K2086" i="1"/>
  <c r="A2087" i="1"/>
  <c r="B2087" i="1"/>
  <c r="G2087" i="1"/>
  <c r="K2087" i="1"/>
  <c r="A2088" i="1"/>
  <c r="B2088" i="1"/>
  <c r="G2088" i="1"/>
  <c r="K2088" i="1"/>
  <c r="A2089" i="1"/>
  <c r="B2089" i="1"/>
  <c r="G2089" i="1"/>
  <c r="K2089" i="1"/>
  <c r="A2090" i="1"/>
  <c r="B2090" i="1"/>
  <c r="G2090" i="1"/>
  <c r="K2090" i="1"/>
  <c r="A2091" i="1"/>
  <c r="B2091" i="1"/>
  <c r="G2091" i="1"/>
  <c r="K2091" i="1"/>
  <c r="A2092" i="1"/>
  <c r="B2092" i="1"/>
  <c r="G2092" i="1"/>
  <c r="K2092" i="1"/>
  <c r="A2093" i="1"/>
  <c r="B2093" i="1"/>
  <c r="G2093" i="1"/>
  <c r="K2093" i="1"/>
  <c r="A2094" i="1"/>
  <c r="B2094" i="1"/>
  <c r="G2094" i="1"/>
  <c r="K2094" i="1"/>
  <c r="A2095" i="1"/>
  <c r="B2095" i="1"/>
  <c r="G2095" i="1"/>
  <c r="K2095" i="1"/>
  <c r="A2096" i="1"/>
  <c r="B2096" i="1"/>
  <c r="G2096" i="1"/>
  <c r="K2096" i="1"/>
  <c r="A2097" i="1"/>
  <c r="B2097" i="1"/>
  <c r="G2097" i="1"/>
  <c r="K2097" i="1"/>
  <c r="A2098" i="1"/>
  <c r="B2098" i="1"/>
  <c r="G2098" i="1"/>
  <c r="K2098" i="1"/>
  <c r="A2099" i="1"/>
  <c r="B2099" i="1"/>
  <c r="G2099" i="1"/>
  <c r="K2099" i="1"/>
  <c r="A2100" i="1"/>
  <c r="B2100" i="1"/>
  <c r="G2100" i="1"/>
  <c r="K2100" i="1"/>
  <c r="A2101" i="1"/>
  <c r="B2101" i="1"/>
  <c r="G2101" i="1"/>
  <c r="K2101" i="1"/>
  <c r="A2102" i="1"/>
  <c r="B2102" i="1"/>
  <c r="G2102" i="1"/>
  <c r="K2102" i="1"/>
  <c r="A2103" i="1"/>
  <c r="B2103" i="1"/>
  <c r="G2103" i="1"/>
  <c r="K2103" i="1"/>
  <c r="A2104" i="1"/>
  <c r="B2104" i="1"/>
  <c r="G2104" i="1"/>
  <c r="K2104" i="1"/>
  <c r="A2105" i="1"/>
  <c r="B2105" i="1"/>
  <c r="G2105" i="1"/>
  <c r="K2105" i="1"/>
  <c r="A2106" i="1"/>
  <c r="B2106" i="1"/>
  <c r="G2106" i="1"/>
  <c r="K2106" i="1"/>
  <c r="A2107" i="1"/>
  <c r="B2107" i="1"/>
  <c r="G2107" i="1"/>
  <c r="K2107" i="1"/>
  <c r="A2108" i="1"/>
  <c r="B2108" i="1"/>
  <c r="G2108" i="1"/>
  <c r="K2108" i="1"/>
  <c r="A2109" i="1"/>
  <c r="B2109" i="1"/>
  <c r="G2109" i="1"/>
  <c r="K2109" i="1"/>
  <c r="A2110" i="1"/>
  <c r="B2110" i="1"/>
  <c r="G2110" i="1"/>
  <c r="K2110" i="1"/>
  <c r="A2111" i="1"/>
  <c r="B2111" i="1"/>
  <c r="G2111" i="1"/>
  <c r="K2111" i="1"/>
  <c r="A2112" i="1"/>
  <c r="B2112" i="1"/>
  <c r="G2112" i="1"/>
  <c r="K2112" i="1"/>
  <c r="A2113" i="1"/>
  <c r="B2113" i="1"/>
  <c r="G2113" i="1"/>
  <c r="K2113" i="1"/>
  <c r="A2114" i="1"/>
  <c r="B2114" i="1"/>
  <c r="G2114" i="1"/>
  <c r="K2114" i="1"/>
  <c r="A2115" i="1"/>
  <c r="B2115" i="1"/>
  <c r="G2115" i="1"/>
  <c r="K2115" i="1"/>
  <c r="A2116" i="1"/>
  <c r="B2116" i="1"/>
  <c r="G2116" i="1"/>
  <c r="K2116" i="1"/>
  <c r="A2117" i="1"/>
  <c r="B2117" i="1"/>
  <c r="G2117" i="1"/>
  <c r="K2117" i="1"/>
  <c r="A2118" i="1"/>
  <c r="B2118" i="1"/>
  <c r="G2118" i="1"/>
  <c r="K2118" i="1"/>
  <c r="A2119" i="1"/>
  <c r="B2119" i="1"/>
  <c r="G2119" i="1"/>
  <c r="K2119" i="1"/>
  <c r="A2120" i="1"/>
  <c r="B2120" i="1"/>
  <c r="G2120" i="1"/>
  <c r="K2120" i="1"/>
  <c r="A2121" i="1"/>
  <c r="B2121" i="1"/>
  <c r="G2121" i="1"/>
  <c r="K2121" i="1"/>
  <c r="A2122" i="1"/>
  <c r="B2122" i="1"/>
  <c r="G2122" i="1"/>
  <c r="K2122" i="1"/>
  <c r="A2123" i="1"/>
  <c r="B2123" i="1"/>
  <c r="G2123" i="1"/>
  <c r="K2123" i="1"/>
  <c r="A2124" i="1"/>
  <c r="B2124" i="1"/>
  <c r="G2124" i="1"/>
  <c r="K2124" i="1"/>
  <c r="A2125" i="1"/>
  <c r="B2125" i="1"/>
  <c r="G2125" i="1"/>
  <c r="K2125" i="1"/>
  <c r="A2126" i="1"/>
  <c r="B2126" i="1"/>
  <c r="G2126" i="1"/>
  <c r="K2126" i="1"/>
  <c r="A2127" i="1"/>
  <c r="B2127" i="1"/>
  <c r="G2127" i="1"/>
  <c r="K2127" i="1"/>
  <c r="A2128" i="1"/>
  <c r="B2128" i="1"/>
  <c r="G2128" i="1"/>
  <c r="K2128" i="1"/>
  <c r="A2129" i="1"/>
  <c r="B2129" i="1"/>
  <c r="G2129" i="1"/>
  <c r="K2129" i="1"/>
  <c r="A2130" i="1"/>
  <c r="B2130" i="1"/>
  <c r="G2130" i="1"/>
  <c r="K2130" i="1"/>
  <c r="A2131" i="1"/>
  <c r="B2131" i="1"/>
  <c r="G2131" i="1"/>
  <c r="K2131" i="1"/>
  <c r="A2132" i="1"/>
  <c r="B2132" i="1"/>
  <c r="G2132" i="1"/>
  <c r="K2132" i="1"/>
  <c r="A2133" i="1"/>
  <c r="B2133" i="1"/>
  <c r="G2133" i="1"/>
  <c r="K2133" i="1"/>
  <c r="A2134" i="1"/>
  <c r="B2134" i="1"/>
  <c r="G2134" i="1"/>
  <c r="K2134" i="1"/>
  <c r="A2135" i="1"/>
  <c r="B2135" i="1"/>
  <c r="G2135" i="1"/>
  <c r="K2135" i="1"/>
  <c r="A2136" i="1"/>
  <c r="B2136" i="1"/>
  <c r="G2136" i="1"/>
  <c r="K2136" i="1"/>
  <c r="A2137" i="1"/>
  <c r="B2137" i="1"/>
  <c r="G2137" i="1"/>
  <c r="K2137" i="1"/>
  <c r="A2138" i="1"/>
  <c r="B2138" i="1"/>
  <c r="G2138" i="1"/>
  <c r="K2138" i="1"/>
  <c r="A2139" i="1"/>
  <c r="B2139" i="1"/>
  <c r="G2139" i="1"/>
  <c r="K2139" i="1"/>
  <c r="A2140" i="1"/>
  <c r="B2140" i="1"/>
  <c r="G2140" i="1"/>
  <c r="K2140" i="1"/>
  <c r="A2141" i="1"/>
  <c r="B2141" i="1"/>
  <c r="G2141" i="1"/>
  <c r="K2141" i="1"/>
  <c r="A2142" i="1"/>
  <c r="B2142" i="1"/>
  <c r="G2142" i="1"/>
  <c r="K2142" i="1"/>
  <c r="A2143" i="1"/>
  <c r="B2143" i="1"/>
  <c r="G2143" i="1"/>
  <c r="K2143" i="1"/>
  <c r="A2144" i="1"/>
  <c r="B2144" i="1"/>
  <c r="G2144" i="1"/>
  <c r="K2144" i="1"/>
  <c r="A2145" i="1"/>
  <c r="B2145" i="1"/>
  <c r="G2145" i="1"/>
  <c r="K2145" i="1"/>
  <c r="A2146" i="1"/>
  <c r="B2146" i="1"/>
  <c r="G2146" i="1"/>
  <c r="K2146" i="1"/>
  <c r="A2147" i="1"/>
  <c r="B2147" i="1"/>
  <c r="G2147" i="1"/>
  <c r="K2147" i="1"/>
  <c r="A2148" i="1"/>
  <c r="B2148" i="1"/>
  <c r="G2148" i="1"/>
  <c r="K2148" i="1"/>
  <c r="A2149" i="1"/>
  <c r="B2149" i="1"/>
  <c r="G2149" i="1"/>
  <c r="K2149" i="1"/>
  <c r="A2150" i="1"/>
  <c r="B2150" i="1"/>
  <c r="G2150" i="1"/>
  <c r="K2150" i="1"/>
  <c r="A2151" i="1"/>
  <c r="B2151" i="1"/>
  <c r="G2151" i="1"/>
  <c r="K2151" i="1"/>
  <c r="A2152" i="1"/>
  <c r="B2152" i="1"/>
  <c r="G2152" i="1"/>
  <c r="K2152" i="1"/>
  <c r="A2153" i="1"/>
  <c r="B2153" i="1"/>
  <c r="G2153" i="1"/>
  <c r="K2153" i="1"/>
  <c r="A2154" i="1"/>
  <c r="B2154" i="1"/>
  <c r="G2154" i="1"/>
  <c r="K2154" i="1"/>
  <c r="A2155" i="1"/>
  <c r="B2155" i="1"/>
  <c r="G2155" i="1"/>
  <c r="K2155" i="1"/>
  <c r="A2156" i="1"/>
  <c r="B2156" i="1"/>
  <c r="G2156" i="1"/>
  <c r="K2156" i="1"/>
  <c r="A2157" i="1"/>
  <c r="B2157" i="1"/>
  <c r="G2157" i="1"/>
  <c r="K2157" i="1"/>
  <c r="A2158" i="1"/>
  <c r="B2158" i="1"/>
  <c r="G2158" i="1"/>
  <c r="K2158" i="1"/>
  <c r="A2159" i="1"/>
  <c r="B2159" i="1"/>
  <c r="G2159" i="1"/>
  <c r="K2159" i="1"/>
  <c r="A2160" i="1"/>
  <c r="B2160" i="1"/>
  <c r="G2160" i="1"/>
  <c r="K2160" i="1"/>
  <c r="A2161" i="1"/>
  <c r="B2161" i="1"/>
  <c r="G2161" i="1"/>
  <c r="K2161" i="1"/>
  <c r="A2162" i="1"/>
  <c r="B2162" i="1"/>
  <c r="G2162" i="1"/>
  <c r="K2162" i="1"/>
  <c r="A2163" i="1"/>
  <c r="B2163" i="1"/>
  <c r="G2163" i="1"/>
  <c r="K2163" i="1"/>
  <c r="A2164" i="1"/>
  <c r="B2164" i="1"/>
  <c r="G2164" i="1"/>
  <c r="K2164" i="1"/>
  <c r="A2165" i="1"/>
  <c r="B2165" i="1"/>
  <c r="G2165" i="1"/>
  <c r="K2165" i="1"/>
  <c r="A2166" i="1"/>
  <c r="B2166" i="1"/>
  <c r="G2166" i="1"/>
  <c r="K2166" i="1"/>
  <c r="A2167" i="1"/>
  <c r="B2167" i="1"/>
  <c r="G2167" i="1"/>
  <c r="K2167" i="1"/>
  <c r="A2168" i="1"/>
  <c r="B2168" i="1"/>
  <c r="G2168" i="1"/>
  <c r="K2168" i="1"/>
  <c r="A2169" i="1"/>
  <c r="B2169" i="1"/>
  <c r="G2169" i="1"/>
  <c r="K2169" i="1"/>
  <c r="A2170" i="1"/>
  <c r="B2170" i="1"/>
  <c r="G2170" i="1"/>
  <c r="K2170" i="1"/>
  <c r="A2171" i="1"/>
  <c r="B2171" i="1"/>
  <c r="G2171" i="1"/>
  <c r="K2171" i="1"/>
  <c r="A2172" i="1"/>
  <c r="B2172" i="1"/>
  <c r="G2172" i="1"/>
  <c r="K2172" i="1"/>
  <c r="A2173" i="1"/>
  <c r="B2173" i="1"/>
  <c r="G2173" i="1"/>
  <c r="K2173" i="1"/>
  <c r="A2174" i="1"/>
  <c r="B2174" i="1"/>
  <c r="G2174" i="1"/>
  <c r="K2174" i="1"/>
  <c r="A2175" i="1"/>
  <c r="B2175" i="1"/>
  <c r="G2175" i="1"/>
  <c r="K2175" i="1"/>
  <c r="A2176" i="1"/>
  <c r="B2176" i="1"/>
  <c r="G2176" i="1"/>
  <c r="K2176" i="1"/>
  <c r="A2177" i="1"/>
  <c r="B2177" i="1"/>
  <c r="G2177" i="1"/>
  <c r="K2177" i="1"/>
  <c r="A2178" i="1"/>
  <c r="B2178" i="1"/>
  <c r="G2178" i="1"/>
  <c r="K2178" i="1"/>
  <c r="A2179" i="1"/>
  <c r="B2179" i="1"/>
  <c r="G2179" i="1"/>
  <c r="K2179" i="1"/>
  <c r="A2180" i="1"/>
  <c r="B2180" i="1"/>
  <c r="G2180" i="1"/>
  <c r="K2180" i="1"/>
  <c r="A2181" i="1"/>
  <c r="B2181" i="1"/>
  <c r="G2181" i="1"/>
  <c r="K2181" i="1"/>
  <c r="A2182" i="1"/>
  <c r="B2182" i="1"/>
  <c r="G2182" i="1"/>
  <c r="K2182" i="1"/>
  <c r="A2183" i="1"/>
  <c r="B2183" i="1"/>
  <c r="G2183" i="1"/>
  <c r="K2183" i="1"/>
  <c r="A2184" i="1"/>
  <c r="B2184" i="1"/>
  <c r="G2184" i="1"/>
  <c r="K2184" i="1"/>
  <c r="A2185" i="1"/>
  <c r="B2185" i="1"/>
  <c r="G2185" i="1"/>
  <c r="K2185" i="1"/>
  <c r="A2186" i="1"/>
  <c r="B2186" i="1"/>
  <c r="G2186" i="1"/>
  <c r="K2186" i="1"/>
  <c r="A2187" i="1"/>
  <c r="B2187" i="1"/>
  <c r="G2187" i="1"/>
  <c r="K2187" i="1"/>
  <c r="A2188" i="1"/>
  <c r="B2188" i="1"/>
  <c r="G2188" i="1"/>
  <c r="K2188" i="1"/>
  <c r="A2189" i="1"/>
  <c r="B2189" i="1"/>
  <c r="G2189" i="1"/>
  <c r="K2189" i="1"/>
  <c r="A2190" i="1"/>
  <c r="B2190" i="1"/>
  <c r="G2190" i="1"/>
  <c r="K2190" i="1"/>
  <c r="A2191" i="1"/>
  <c r="B2191" i="1"/>
  <c r="G2191" i="1"/>
  <c r="K2191" i="1"/>
  <c r="A2192" i="1"/>
  <c r="B2192" i="1"/>
  <c r="G2192" i="1"/>
  <c r="K2192" i="1"/>
  <c r="A2193" i="1"/>
  <c r="B2193" i="1"/>
  <c r="G2193" i="1"/>
  <c r="K2193" i="1"/>
  <c r="A2194" i="1"/>
  <c r="B2194" i="1"/>
  <c r="G2194" i="1"/>
  <c r="K2194" i="1"/>
  <c r="A2195" i="1"/>
  <c r="B2195" i="1"/>
  <c r="G2195" i="1"/>
  <c r="K2195" i="1"/>
  <c r="A2196" i="1"/>
  <c r="B2196" i="1"/>
  <c r="G2196" i="1"/>
  <c r="K2196" i="1"/>
  <c r="A2197" i="1"/>
  <c r="B2197" i="1"/>
  <c r="G2197" i="1"/>
  <c r="K2197" i="1"/>
  <c r="A2198" i="1"/>
  <c r="B2198" i="1"/>
  <c r="G2198" i="1"/>
  <c r="K2198" i="1"/>
  <c r="A2199" i="1"/>
  <c r="B2199" i="1"/>
  <c r="G2199" i="1"/>
  <c r="K2199" i="1"/>
  <c r="A2200" i="1"/>
  <c r="B2200" i="1"/>
  <c r="G2200" i="1"/>
  <c r="K2200" i="1"/>
  <c r="A2201" i="1"/>
  <c r="B2201" i="1"/>
  <c r="G2201" i="1"/>
  <c r="K2201" i="1"/>
  <c r="A2202" i="1"/>
  <c r="B2202" i="1"/>
  <c r="G2202" i="1"/>
  <c r="K2202" i="1"/>
  <c r="A2203" i="1"/>
  <c r="B2203" i="1"/>
  <c r="G2203" i="1"/>
  <c r="K2203" i="1"/>
  <c r="A2204" i="1"/>
  <c r="B2204" i="1"/>
  <c r="G2204" i="1"/>
  <c r="K2204" i="1"/>
  <c r="A2205" i="1"/>
  <c r="B2205" i="1"/>
  <c r="G2205" i="1"/>
  <c r="K2205" i="1"/>
  <c r="A2206" i="1"/>
  <c r="B2206" i="1"/>
  <c r="G2206" i="1"/>
  <c r="K2206" i="1"/>
  <c r="A2207" i="1"/>
  <c r="B2207" i="1"/>
  <c r="G2207" i="1"/>
  <c r="K2207" i="1"/>
  <c r="A2208" i="1"/>
  <c r="B2208" i="1"/>
  <c r="G2208" i="1"/>
  <c r="K2208" i="1"/>
  <c r="A2209" i="1"/>
  <c r="B2209" i="1"/>
  <c r="G2209" i="1"/>
  <c r="K2209" i="1"/>
  <c r="A2210" i="1"/>
  <c r="B2210" i="1"/>
  <c r="G2210" i="1"/>
  <c r="K2210" i="1"/>
  <c r="A2211" i="1"/>
  <c r="B2211" i="1"/>
  <c r="G2211" i="1"/>
  <c r="K2211" i="1"/>
  <c r="A2212" i="1"/>
  <c r="B2212" i="1"/>
  <c r="G2212" i="1"/>
  <c r="K2212" i="1"/>
  <c r="A2213" i="1"/>
  <c r="B2213" i="1"/>
  <c r="G2213" i="1"/>
  <c r="K2213" i="1"/>
  <c r="A2214" i="1"/>
  <c r="B2214" i="1"/>
  <c r="G2214" i="1"/>
  <c r="K2214" i="1"/>
  <c r="A2215" i="1"/>
  <c r="B2215" i="1"/>
  <c r="G2215" i="1"/>
  <c r="K2215" i="1"/>
  <c r="A2216" i="1"/>
  <c r="B2216" i="1"/>
  <c r="G2216" i="1"/>
  <c r="K2216" i="1"/>
  <c r="A2217" i="1"/>
  <c r="B2217" i="1"/>
  <c r="G2217" i="1"/>
  <c r="K2217" i="1"/>
  <c r="A2218" i="1"/>
  <c r="B2218" i="1"/>
  <c r="G2218" i="1"/>
  <c r="K2218" i="1"/>
  <c r="A2219" i="1"/>
  <c r="B2219" i="1"/>
  <c r="G2219" i="1"/>
  <c r="K2219" i="1"/>
  <c r="A2220" i="1"/>
  <c r="B2220" i="1"/>
  <c r="G2220" i="1"/>
  <c r="K2220" i="1"/>
  <c r="A2221" i="1"/>
  <c r="B2221" i="1"/>
  <c r="G2221" i="1"/>
  <c r="K2221" i="1"/>
  <c r="A2222" i="1"/>
  <c r="B2222" i="1"/>
  <c r="G2222" i="1"/>
  <c r="K2222" i="1"/>
  <c r="A2223" i="1"/>
  <c r="B2223" i="1"/>
  <c r="G2223" i="1"/>
  <c r="K2223" i="1"/>
  <c r="A2224" i="1"/>
  <c r="B2224" i="1"/>
  <c r="G2224" i="1"/>
  <c r="K2224" i="1"/>
  <c r="A2225" i="1"/>
  <c r="B2225" i="1"/>
  <c r="G2225" i="1"/>
  <c r="K2225" i="1"/>
  <c r="A2226" i="1"/>
  <c r="B2226" i="1"/>
  <c r="G2226" i="1"/>
  <c r="K2226" i="1"/>
  <c r="A2227" i="1"/>
  <c r="B2227" i="1"/>
  <c r="G2227" i="1"/>
  <c r="K2227" i="1"/>
  <c r="A2228" i="1"/>
  <c r="B2228" i="1"/>
  <c r="G2228" i="1"/>
  <c r="K2228" i="1"/>
  <c r="A2229" i="1"/>
  <c r="B2229" i="1"/>
  <c r="G2229" i="1"/>
  <c r="K2229" i="1"/>
  <c r="A2230" i="1"/>
  <c r="B2230" i="1"/>
  <c r="G2230" i="1"/>
  <c r="K2230" i="1"/>
  <c r="A2231" i="1"/>
  <c r="B2231" i="1"/>
  <c r="G2231" i="1"/>
  <c r="K2231" i="1"/>
  <c r="A2232" i="1"/>
  <c r="B2232" i="1"/>
  <c r="G2232" i="1"/>
  <c r="K2232" i="1"/>
  <c r="A2233" i="1"/>
  <c r="B2233" i="1"/>
  <c r="G2233" i="1"/>
  <c r="K2233" i="1"/>
  <c r="A2234" i="1"/>
  <c r="B2234" i="1"/>
  <c r="G2234" i="1"/>
  <c r="K2234" i="1"/>
  <c r="A2235" i="1"/>
  <c r="B2235" i="1"/>
  <c r="G2235" i="1"/>
  <c r="K2235" i="1"/>
  <c r="A2236" i="1"/>
  <c r="B2236" i="1"/>
  <c r="G2236" i="1"/>
  <c r="K2236" i="1"/>
  <c r="A2237" i="1"/>
  <c r="B2237" i="1"/>
  <c r="G2237" i="1"/>
  <c r="K2237" i="1"/>
  <c r="A2238" i="1"/>
  <c r="B2238" i="1"/>
  <c r="G2238" i="1"/>
  <c r="K2238" i="1"/>
  <c r="A2239" i="1"/>
  <c r="B2239" i="1"/>
  <c r="G2239" i="1"/>
  <c r="K2239" i="1"/>
  <c r="A2240" i="1"/>
  <c r="B2240" i="1"/>
  <c r="G2240" i="1"/>
  <c r="K2240" i="1"/>
  <c r="A2241" i="1"/>
  <c r="B2241" i="1"/>
  <c r="G2241" i="1"/>
  <c r="K2241" i="1"/>
  <c r="A2242" i="1"/>
  <c r="B2242" i="1"/>
  <c r="G2242" i="1"/>
  <c r="K2242" i="1"/>
  <c r="A2243" i="1"/>
  <c r="B2243" i="1"/>
  <c r="G2243" i="1"/>
  <c r="K2243" i="1"/>
  <c r="A2244" i="1"/>
  <c r="B2244" i="1"/>
  <c r="G2244" i="1"/>
  <c r="K2244" i="1"/>
  <c r="A2245" i="1"/>
  <c r="B2245" i="1"/>
  <c r="G2245" i="1"/>
  <c r="K2245" i="1"/>
  <c r="A2246" i="1"/>
  <c r="B2246" i="1"/>
  <c r="G2246" i="1"/>
  <c r="K2246" i="1"/>
  <c r="A2247" i="1"/>
  <c r="B2247" i="1"/>
  <c r="G2247" i="1"/>
  <c r="K2247" i="1"/>
  <c r="A2248" i="1"/>
  <c r="B2248" i="1"/>
  <c r="G2248" i="1"/>
  <c r="K2248" i="1"/>
  <c r="A2249" i="1"/>
  <c r="B2249" i="1"/>
  <c r="G2249" i="1"/>
  <c r="K2249" i="1"/>
  <c r="A2250" i="1"/>
  <c r="B2250" i="1"/>
  <c r="G2250" i="1"/>
  <c r="K2250" i="1"/>
  <c r="A2251" i="1"/>
  <c r="B2251" i="1"/>
  <c r="G2251" i="1"/>
  <c r="K2251" i="1"/>
  <c r="A2252" i="1"/>
  <c r="B2252" i="1"/>
  <c r="G2252" i="1"/>
  <c r="K2252" i="1"/>
  <c r="A2253" i="1"/>
  <c r="B2253" i="1"/>
  <c r="G2253" i="1"/>
  <c r="K2253" i="1"/>
  <c r="A2254" i="1"/>
  <c r="B2254" i="1"/>
  <c r="G2254" i="1"/>
  <c r="K2254" i="1"/>
  <c r="A2255" i="1"/>
  <c r="B2255" i="1"/>
  <c r="G2255" i="1"/>
  <c r="K2255" i="1"/>
  <c r="A2256" i="1"/>
  <c r="B2256" i="1"/>
  <c r="G2256" i="1"/>
  <c r="K2256" i="1"/>
  <c r="A2257" i="1"/>
  <c r="B2257" i="1"/>
  <c r="G2257" i="1"/>
  <c r="K2257" i="1"/>
  <c r="A2258" i="1"/>
  <c r="B2258" i="1"/>
  <c r="G2258" i="1"/>
  <c r="K2258" i="1"/>
  <c r="A2259" i="1"/>
  <c r="B2259" i="1"/>
  <c r="G2259" i="1"/>
  <c r="K2259" i="1"/>
  <c r="A2260" i="1"/>
  <c r="B2260" i="1"/>
  <c r="G2260" i="1"/>
  <c r="K2260" i="1"/>
  <c r="A2261" i="1"/>
  <c r="B2261" i="1"/>
  <c r="G2261" i="1"/>
  <c r="K2261" i="1"/>
  <c r="A2262" i="1"/>
  <c r="B2262" i="1"/>
  <c r="G2262" i="1"/>
  <c r="K2262" i="1"/>
  <c r="A2263" i="1"/>
  <c r="B2263" i="1"/>
  <c r="G2263" i="1"/>
  <c r="K2263" i="1"/>
  <c r="A2264" i="1"/>
  <c r="B2264" i="1"/>
  <c r="G2264" i="1"/>
  <c r="K2264" i="1"/>
  <c r="A2265" i="1"/>
  <c r="B2265" i="1"/>
  <c r="G2265" i="1"/>
  <c r="K2265" i="1"/>
  <c r="A2266" i="1"/>
  <c r="B2266" i="1"/>
  <c r="G2266" i="1"/>
  <c r="K2266" i="1"/>
  <c r="A2267" i="1"/>
  <c r="B2267" i="1"/>
  <c r="G2267" i="1"/>
  <c r="K2267" i="1"/>
  <c r="A2268" i="1"/>
  <c r="B2268" i="1"/>
  <c r="G2268" i="1"/>
  <c r="K2268" i="1"/>
  <c r="A2269" i="1"/>
  <c r="B2269" i="1"/>
  <c r="G2269" i="1"/>
  <c r="K2269" i="1"/>
  <c r="A2270" i="1"/>
  <c r="B2270" i="1"/>
  <c r="G2270" i="1"/>
  <c r="K2270" i="1"/>
  <c r="A2271" i="1"/>
  <c r="B2271" i="1"/>
  <c r="G2271" i="1"/>
  <c r="K2271" i="1"/>
  <c r="A2272" i="1"/>
  <c r="B2272" i="1"/>
  <c r="G2272" i="1"/>
  <c r="K2272" i="1"/>
  <c r="A2273" i="1"/>
  <c r="B2273" i="1"/>
  <c r="G2273" i="1"/>
  <c r="K2273" i="1"/>
  <c r="A2274" i="1"/>
  <c r="B2274" i="1"/>
  <c r="G2274" i="1"/>
  <c r="K2274" i="1"/>
  <c r="A2275" i="1"/>
  <c r="B2275" i="1"/>
  <c r="G2275" i="1"/>
  <c r="K2275" i="1"/>
  <c r="A2276" i="1"/>
  <c r="B2276" i="1"/>
  <c r="G2276" i="1"/>
  <c r="K2276" i="1"/>
  <c r="A2277" i="1"/>
  <c r="B2277" i="1"/>
  <c r="G2277" i="1"/>
  <c r="K2277" i="1"/>
  <c r="A2278" i="1"/>
  <c r="B2278" i="1"/>
  <c r="G2278" i="1"/>
  <c r="K2278" i="1"/>
  <c r="A2279" i="1"/>
  <c r="B2279" i="1"/>
  <c r="G2279" i="1"/>
  <c r="K2279" i="1"/>
  <c r="A2280" i="1"/>
  <c r="B2280" i="1"/>
  <c r="G2280" i="1"/>
  <c r="K2280" i="1"/>
  <c r="A2281" i="1"/>
  <c r="B2281" i="1"/>
  <c r="G2281" i="1"/>
  <c r="K2281" i="1"/>
  <c r="A2282" i="1"/>
  <c r="B2282" i="1"/>
  <c r="G2282" i="1"/>
  <c r="K2282" i="1"/>
  <c r="A2283" i="1"/>
  <c r="B2283" i="1"/>
  <c r="G2283" i="1"/>
  <c r="K2283" i="1"/>
  <c r="A2284" i="1"/>
  <c r="B2284" i="1"/>
  <c r="G2284" i="1"/>
  <c r="K2284" i="1"/>
  <c r="A2285" i="1"/>
  <c r="B2285" i="1"/>
  <c r="G2285" i="1"/>
  <c r="K2285" i="1"/>
  <c r="A2286" i="1"/>
  <c r="B2286" i="1"/>
  <c r="G2286" i="1"/>
  <c r="K2286" i="1"/>
  <c r="A2287" i="1"/>
  <c r="B2287" i="1"/>
  <c r="G2287" i="1"/>
  <c r="K2287" i="1"/>
  <c r="A2288" i="1"/>
  <c r="B2288" i="1"/>
  <c r="G2288" i="1"/>
  <c r="K2288" i="1"/>
  <c r="A2289" i="1"/>
  <c r="B2289" i="1"/>
  <c r="G2289" i="1"/>
  <c r="K2289" i="1"/>
  <c r="A2290" i="1"/>
  <c r="B2290" i="1"/>
  <c r="G2290" i="1"/>
  <c r="K2290" i="1"/>
  <c r="A2291" i="1"/>
  <c r="B2291" i="1"/>
  <c r="G2291" i="1"/>
  <c r="K2291" i="1"/>
  <c r="A2292" i="1"/>
  <c r="B2292" i="1"/>
  <c r="G2292" i="1"/>
  <c r="K2292" i="1"/>
  <c r="A2293" i="1"/>
  <c r="B2293" i="1"/>
  <c r="G2293" i="1"/>
  <c r="K2293" i="1"/>
  <c r="A2294" i="1"/>
  <c r="B2294" i="1"/>
  <c r="G2294" i="1"/>
  <c r="K2294" i="1"/>
  <c r="A2295" i="1"/>
  <c r="B2295" i="1"/>
  <c r="G2295" i="1"/>
  <c r="K2295" i="1"/>
  <c r="A2296" i="1"/>
  <c r="B2296" i="1"/>
  <c r="G2296" i="1"/>
  <c r="K2296" i="1"/>
  <c r="A2297" i="1"/>
  <c r="B2297" i="1"/>
  <c r="G2297" i="1"/>
  <c r="K2297" i="1"/>
  <c r="A2298" i="1"/>
  <c r="B2298" i="1"/>
  <c r="G2298" i="1"/>
  <c r="K2298" i="1"/>
  <c r="A2299" i="1"/>
  <c r="B2299" i="1"/>
  <c r="G2299" i="1"/>
  <c r="K2299" i="1"/>
  <c r="A2300" i="1"/>
  <c r="B2300" i="1"/>
  <c r="G2300" i="1"/>
  <c r="K2300" i="1"/>
  <c r="A2301" i="1"/>
  <c r="B2301" i="1"/>
  <c r="G2301" i="1"/>
  <c r="K2301" i="1"/>
  <c r="A2302" i="1"/>
  <c r="B2302" i="1"/>
  <c r="G2302" i="1"/>
  <c r="K2302" i="1"/>
  <c r="A2303" i="1"/>
  <c r="B2303" i="1"/>
  <c r="G2303" i="1"/>
  <c r="K2303" i="1"/>
  <c r="A2304" i="1"/>
  <c r="B2304" i="1"/>
  <c r="G2304" i="1"/>
  <c r="K2304" i="1"/>
  <c r="A2305" i="1"/>
  <c r="B2305" i="1"/>
  <c r="G2305" i="1"/>
  <c r="K2305" i="1"/>
  <c r="A2306" i="1"/>
  <c r="B2306" i="1"/>
  <c r="G2306" i="1"/>
  <c r="K2306" i="1"/>
  <c r="A2307" i="1"/>
  <c r="B2307" i="1"/>
  <c r="G2307" i="1"/>
  <c r="K2307" i="1"/>
  <c r="A2308" i="1"/>
  <c r="B2308" i="1"/>
  <c r="G2308" i="1"/>
  <c r="K2308" i="1"/>
  <c r="A2309" i="1"/>
  <c r="B2309" i="1"/>
  <c r="G2309" i="1"/>
  <c r="K2309" i="1"/>
  <c r="A2310" i="1"/>
  <c r="B2310" i="1"/>
  <c r="G2310" i="1"/>
  <c r="K2310" i="1"/>
  <c r="A2311" i="1"/>
  <c r="B2311" i="1"/>
  <c r="G2311" i="1"/>
  <c r="K2311" i="1"/>
  <c r="A2312" i="1"/>
  <c r="B2312" i="1"/>
  <c r="G2312" i="1"/>
  <c r="K2312" i="1"/>
  <c r="A2313" i="1"/>
  <c r="B2313" i="1"/>
  <c r="G2313" i="1"/>
  <c r="K2313" i="1"/>
  <c r="A2314" i="1"/>
  <c r="B2314" i="1"/>
  <c r="G2314" i="1"/>
  <c r="K2314" i="1"/>
  <c r="A2315" i="1"/>
  <c r="B2315" i="1"/>
  <c r="G2315" i="1"/>
  <c r="K2315" i="1"/>
  <c r="A2316" i="1"/>
  <c r="B2316" i="1"/>
  <c r="G2316" i="1"/>
  <c r="K2316" i="1"/>
  <c r="A2317" i="1"/>
  <c r="B2317" i="1"/>
  <c r="G2317" i="1"/>
  <c r="K2317" i="1"/>
  <c r="A2318" i="1"/>
  <c r="B2318" i="1"/>
  <c r="G2318" i="1"/>
  <c r="K2318" i="1"/>
  <c r="A2319" i="1"/>
  <c r="B2319" i="1"/>
  <c r="G2319" i="1"/>
  <c r="K2319" i="1"/>
  <c r="A2320" i="1"/>
  <c r="B2320" i="1"/>
  <c r="G2320" i="1"/>
  <c r="K2320" i="1"/>
  <c r="A2321" i="1"/>
  <c r="B2321" i="1"/>
  <c r="G2321" i="1"/>
  <c r="K2321" i="1"/>
  <c r="A2322" i="1"/>
  <c r="B2322" i="1"/>
  <c r="G2322" i="1"/>
  <c r="K2322" i="1"/>
  <c r="A2323" i="1"/>
  <c r="B2323" i="1"/>
  <c r="G2323" i="1"/>
  <c r="K2323" i="1"/>
  <c r="A2324" i="1"/>
  <c r="B2324" i="1"/>
  <c r="G2324" i="1"/>
  <c r="K2324" i="1"/>
  <c r="A2325" i="1"/>
  <c r="B2325" i="1"/>
  <c r="G2325" i="1"/>
  <c r="K2325" i="1"/>
  <c r="A2326" i="1"/>
  <c r="B2326" i="1"/>
  <c r="G2326" i="1"/>
  <c r="K2326" i="1"/>
  <c r="A2327" i="1"/>
  <c r="B2327" i="1"/>
  <c r="G2327" i="1"/>
  <c r="K2327" i="1"/>
  <c r="A2328" i="1"/>
  <c r="B2328" i="1"/>
  <c r="G2328" i="1"/>
  <c r="K2328" i="1"/>
  <c r="A2329" i="1"/>
  <c r="B2329" i="1"/>
  <c r="G2329" i="1"/>
  <c r="K2329" i="1"/>
  <c r="A2330" i="1"/>
  <c r="B2330" i="1"/>
  <c r="G2330" i="1"/>
  <c r="K2330" i="1"/>
  <c r="A2331" i="1"/>
  <c r="B2331" i="1"/>
  <c r="G2331" i="1"/>
  <c r="K2331" i="1"/>
  <c r="A2332" i="1"/>
  <c r="B2332" i="1"/>
  <c r="G2332" i="1"/>
  <c r="K2332" i="1"/>
  <c r="A2333" i="1"/>
  <c r="B2333" i="1"/>
  <c r="G2333" i="1"/>
  <c r="K2333" i="1"/>
  <c r="A2334" i="1"/>
  <c r="B2334" i="1"/>
  <c r="G2334" i="1"/>
  <c r="K2334" i="1"/>
  <c r="A2335" i="1"/>
  <c r="B2335" i="1"/>
  <c r="G2335" i="1"/>
  <c r="K2335" i="1"/>
  <c r="A2336" i="1"/>
  <c r="B2336" i="1"/>
  <c r="G2336" i="1"/>
  <c r="K2336" i="1"/>
  <c r="A2337" i="1"/>
  <c r="B2337" i="1"/>
  <c r="G2337" i="1"/>
  <c r="K2337" i="1"/>
  <c r="A2338" i="1"/>
  <c r="B2338" i="1"/>
  <c r="G2338" i="1"/>
  <c r="K2338" i="1"/>
  <c r="A2339" i="1"/>
  <c r="B2339" i="1"/>
  <c r="G2339" i="1"/>
  <c r="K2339" i="1"/>
  <c r="A2340" i="1"/>
  <c r="B2340" i="1"/>
  <c r="G2340" i="1"/>
  <c r="K2340" i="1"/>
  <c r="A2341" i="1"/>
  <c r="B2341" i="1"/>
  <c r="G2341" i="1"/>
  <c r="K2341" i="1"/>
  <c r="A2342" i="1"/>
  <c r="B2342" i="1"/>
  <c r="G2342" i="1"/>
  <c r="K2342" i="1"/>
  <c r="A2343" i="1"/>
  <c r="B2343" i="1"/>
  <c r="G2343" i="1"/>
  <c r="K2343" i="1"/>
  <c r="A2344" i="1"/>
  <c r="B2344" i="1"/>
  <c r="G2344" i="1"/>
  <c r="K2344" i="1"/>
  <c r="A2345" i="1"/>
  <c r="B2345" i="1"/>
  <c r="G2345" i="1"/>
  <c r="K2345" i="1"/>
  <c r="A2346" i="1"/>
  <c r="B2346" i="1"/>
  <c r="G2346" i="1"/>
  <c r="K2346" i="1"/>
  <c r="A2347" i="1"/>
  <c r="B2347" i="1"/>
  <c r="G2347" i="1"/>
  <c r="K2347" i="1"/>
  <c r="A2348" i="1"/>
  <c r="B2348" i="1"/>
  <c r="G2348" i="1"/>
  <c r="K2348" i="1"/>
  <c r="A2349" i="1"/>
  <c r="B2349" i="1"/>
  <c r="G2349" i="1"/>
  <c r="K2349" i="1"/>
  <c r="A2350" i="1"/>
  <c r="B2350" i="1"/>
  <c r="G2350" i="1"/>
  <c r="K2350" i="1"/>
  <c r="A2351" i="1"/>
  <c r="B2351" i="1"/>
  <c r="G2351" i="1"/>
  <c r="K2351" i="1"/>
  <c r="A2352" i="1"/>
  <c r="B2352" i="1"/>
  <c r="G2352" i="1"/>
  <c r="K2352" i="1"/>
  <c r="A2353" i="1"/>
  <c r="B2353" i="1"/>
  <c r="G2353" i="1"/>
  <c r="K2353" i="1"/>
  <c r="A2354" i="1"/>
  <c r="B2354" i="1"/>
  <c r="G2354" i="1"/>
  <c r="K2354" i="1"/>
  <c r="A2355" i="1"/>
  <c r="B2355" i="1"/>
  <c r="G2355" i="1"/>
  <c r="K2355" i="1"/>
  <c r="A2356" i="1"/>
  <c r="B2356" i="1"/>
  <c r="G2356" i="1"/>
  <c r="K2356" i="1"/>
  <c r="A2357" i="1"/>
  <c r="B2357" i="1"/>
  <c r="G2357" i="1"/>
  <c r="K2357" i="1"/>
  <c r="A2358" i="1"/>
  <c r="B2358" i="1"/>
  <c r="G2358" i="1"/>
  <c r="K2358" i="1"/>
  <c r="A2359" i="1"/>
  <c r="B2359" i="1"/>
  <c r="G2359" i="1"/>
  <c r="K2359" i="1"/>
  <c r="A2360" i="1"/>
  <c r="B2360" i="1"/>
  <c r="G2360" i="1"/>
  <c r="K2360" i="1"/>
  <c r="A2361" i="1"/>
  <c r="B2361" i="1"/>
  <c r="G2361" i="1"/>
  <c r="K2361" i="1"/>
  <c r="A2362" i="1"/>
  <c r="B2362" i="1"/>
  <c r="G2362" i="1"/>
  <c r="K2362" i="1"/>
  <c r="A2363" i="1"/>
  <c r="B2363" i="1"/>
  <c r="G2363" i="1"/>
  <c r="K2363" i="1"/>
  <c r="A2364" i="1"/>
  <c r="B2364" i="1"/>
  <c r="G2364" i="1"/>
  <c r="K2364" i="1"/>
  <c r="A2365" i="1"/>
  <c r="B2365" i="1"/>
  <c r="G2365" i="1"/>
  <c r="K2365" i="1"/>
  <c r="A2366" i="1"/>
  <c r="B2366" i="1"/>
  <c r="G2366" i="1"/>
  <c r="K2366" i="1"/>
  <c r="A2367" i="1"/>
  <c r="B2367" i="1"/>
  <c r="G2367" i="1"/>
  <c r="K2367" i="1"/>
  <c r="A2368" i="1"/>
  <c r="B2368" i="1"/>
  <c r="G2368" i="1"/>
  <c r="K2368" i="1"/>
  <c r="A2369" i="1"/>
  <c r="B2369" i="1"/>
  <c r="G2369" i="1"/>
  <c r="K2369" i="1"/>
  <c r="A2370" i="1"/>
  <c r="B2370" i="1"/>
  <c r="G2370" i="1"/>
  <c r="K2370" i="1"/>
  <c r="A2371" i="1"/>
  <c r="B2371" i="1"/>
  <c r="G2371" i="1"/>
  <c r="K2371" i="1"/>
  <c r="A2372" i="1"/>
  <c r="B2372" i="1"/>
  <c r="G2372" i="1"/>
  <c r="K2372" i="1"/>
  <c r="A2373" i="1"/>
  <c r="B2373" i="1"/>
  <c r="G2373" i="1"/>
  <c r="K2373" i="1"/>
  <c r="A2374" i="1"/>
  <c r="B2374" i="1"/>
  <c r="G2374" i="1"/>
  <c r="K2374" i="1"/>
  <c r="A2375" i="1"/>
  <c r="B2375" i="1"/>
  <c r="G2375" i="1"/>
  <c r="K2375" i="1"/>
  <c r="A2376" i="1"/>
  <c r="B2376" i="1"/>
  <c r="G2376" i="1"/>
  <c r="K2376" i="1"/>
  <c r="A2377" i="1"/>
  <c r="B2377" i="1"/>
  <c r="G2377" i="1"/>
  <c r="K2377" i="1"/>
  <c r="A2378" i="1"/>
  <c r="B2378" i="1"/>
  <c r="G2378" i="1"/>
  <c r="K2378" i="1"/>
  <c r="A2379" i="1"/>
  <c r="B2379" i="1"/>
  <c r="G2379" i="1"/>
  <c r="K2379" i="1"/>
  <c r="A2380" i="1"/>
  <c r="B2380" i="1"/>
  <c r="G2380" i="1"/>
  <c r="K2380" i="1"/>
  <c r="A2381" i="1"/>
  <c r="B2381" i="1"/>
  <c r="G2381" i="1"/>
  <c r="K2381" i="1"/>
  <c r="A2382" i="1"/>
  <c r="B2382" i="1"/>
  <c r="G2382" i="1"/>
  <c r="K2382" i="1"/>
  <c r="A2383" i="1"/>
  <c r="B2383" i="1"/>
  <c r="G2383" i="1"/>
  <c r="K2383" i="1"/>
  <c r="A2384" i="1"/>
  <c r="B2384" i="1"/>
  <c r="G2384" i="1"/>
  <c r="K2384" i="1"/>
  <c r="A2385" i="1"/>
  <c r="B2385" i="1"/>
  <c r="G2385" i="1"/>
  <c r="K2385" i="1"/>
  <c r="A2386" i="1"/>
  <c r="B2386" i="1"/>
  <c r="G2386" i="1"/>
  <c r="K2386" i="1"/>
  <c r="A2387" i="1"/>
  <c r="B2387" i="1"/>
  <c r="G2387" i="1"/>
  <c r="K2387" i="1"/>
  <c r="A2388" i="1"/>
  <c r="B2388" i="1"/>
  <c r="G2388" i="1"/>
  <c r="K2388" i="1"/>
  <c r="A2389" i="1"/>
  <c r="B2389" i="1"/>
  <c r="G2389" i="1"/>
  <c r="K2389" i="1"/>
  <c r="A2390" i="1"/>
  <c r="B2390" i="1"/>
  <c r="G2390" i="1"/>
  <c r="K2390" i="1"/>
  <c r="A2391" i="1"/>
  <c r="B2391" i="1"/>
  <c r="G2391" i="1"/>
  <c r="K2391" i="1"/>
  <c r="A2392" i="1"/>
  <c r="B2392" i="1"/>
  <c r="G2392" i="1"/>
  <c r="K2392" i="1"/>
  <c r="A2393" i="1"/>
  <c r="B2393" i="1"/>
  <c r="G2393" i="1"/>
  <c r="K2393" i="1"/>
  <c r="A2394" i="1"/>
  <c r="B2394" i="1"/>
  <c r="G2394" i="1"/>
  <c r="K2394" i="1"/>
  <c r="A2395" i="1"/>
  <c r="B2395" i="1"/>
  <c r="G2395" i="1"/>
  <c r="K2395" i="1"/>
  <c r="A2396" i="1"/>
  <c r="B2396" i="1"/>
  <c r="G2396" i="1"/>
  <c r="K2396" i="1"/>
  <c r="A2397" i="1"/>
  <c r="B2397" i="1"/>
  <c r="G2397" i="1"/>
  <c r="K2397" i="1"/>
  <c r="A2398" i="1"/>
  <c r="B2398" i="1"/>
  <c r="G2398" i="1"/>
  <c r="K2398" i="1"/>
  <c r="A2399" i="1"/>
  <c r="B2399" i="1"/>
  <c r="G2399" i="1"/>
  <c r="K2399" i="1"/>
  <c r="A2400" i="1"/>
  <c r="B2400" i="1"/>
  <c r="G2400" i="1"/>
  <c r="K2400" i="1"/>
  <c r="A2401" i="1"/>
  <c r="B2401" i="1"/>
  <c r="G2401" i="1"/>
  <c r="K2401" i="1"/>
  <c r="A2402" i="1"/>
  <c r="B2402" i="1"/>
  <c r="G2402" i="1"/>
  <c r="K2402" i="1"/>
  <c r="A2403" i="1"/>
  <c r="B2403" i="1"/>
  <c r="G2403" i="1"/>
  <c r="K2403" i="1"/>
  <c r="A2404" i="1"/>
  <c r="B2404" i="1"/>
  <c r="G2404" i="1"/>
  <c r="K2404" i="1"/>
  <c r="A2405" i="1"/>
  <c r="B2405" i="1"/>
  <c r="G2405" i="1"/>
  <c r="K2405" i="1"/>
  <c r="A2406" i="1"/>
  <c r="B2406" i="1"/>
  <c r="G2406" i="1"/>
  <c r="K2406" i="1"/>
  <c r="A2407" i="1"/>
  <c r="B2407" i="1"/>
  <c r="G2407" i="1"/>
  <c r="K2407" i="1"/>
  <c r="A2408" i="1"/>
  <c r="B2408" i="1"/>
  <c r="G2408" i="1"/>
  <c r="K2408" i="1"/>
  <c r="A2409" i="1"/>
  <c r="B2409" i="1"/>
  <c r="G2409" i="1"/>
  <c r="K2409" i="1"/>
  <c r="A2410" i="1"/>
  <c r="B2410" i="1"/>
  <c r="G2410" i="1"/>
  <c r="K2410" i="1"/>
  <c r="A2411" i="1"/>
  <c r="B2411" i="1"/>
  <c r="G2411" i="1"/>
  <c r="K2411" i="1"/>
  <c r="A2412" i="1"/>
  <c r="B2412" i="1"/>
  <c r="G2412" i="1"/>
  <c r="K2412" i="1"/>
  <c r="A2413" i="1"/>
  <c r="B2413" i="1"/>
  <c r="G2413" i="1"/>
  <c r="K2413" i="1"/>
  <c r="A2414" i="1"/>
  <c r="B2414" i="1"/>
  <c r="G2414" i="1"/>
  <c r="K2414" i="1"/>
  <c r="A2415" i="1"/>
  <c r="B2415" i="1"/>
  <c r="G2415" i="1"/>
  <c r="K2415" i="1"/>
  <c r="A2416" i="1"/>
  <c r="B2416" i="1"/>
  <c r="G2416" i="1"/>
  <c r="K2416" i="1"/>
  <c r="A2417" i="1"/>
  <c r="B2417" i="1"/>
  <c r="G2417" i="1"/>
  <c r="K2417" i="1"/>
  <c r="A2418" i="1"/>
  <c r="B2418" i="1"/>
  <c r="G2418" i="1"/>
  <c r="K2418" i="1"/>
  <c r="A2419" i="1"/>
  <c r="B2419" i="1"/>
  <c r="G2419" i="1"/>
  <c r="K2419" i="1"/>
  <c r="A2420" i="1"/>
  <c r="B2420" i="1"/>
  <c r="G2420" i="1"/>
  <c r="K2420" i="1"/>
  <c r="A2421" i="1"/>
  <c r="B2421" i="1"/>
  <c r="G2421" i="1"/>
  <c r="K2421" i="1"/>
  <c r="A2422" i="1"/>
  <c r="B2422" i="1"/>
  <c r="G2422" i="1"/>
  <c r="K2422" i="1"/>
  <c r="A2423" i="1"/>
  <c r="B2423" i="1"/>
  <c r="G2423" i="1"/>
  <c r="K2423" i="1"/>
  <c r="A2424" i="1"/>
  <c r="B2424" i="1"/>
  <c r="G2424" i="1"/>
  <c r="K2424" i="1"/>
  <c r="A2425" i="1"/>
  <c r="B2425" i="1"/>
  <c r="G2425" i="1"/>
  <c r="K2425" i="1"/>
  <c r="A2426" i="1"/>
  <c r="B2426" i="1"/>
  <c r="G2426" i="1"/>
  <c r="K2426" i="1"/>
  <c r="A2427" i="1"/>
  <c r="B2427" i="1"/>
  <c r="G2427" i="1"/>
  <c r="K2427" i="1"/>
  <c r="A2428" i="1"/>
  <c r="B2428" i="1"/>
  <c r="G2428" i="1"/>
  <c r="K2428" i="1"/>
  <c r="A2429" i="1"/>
  <c r="B2429" i="1"/>
  <c r="G2429" i="1"/>
  <c r="K2429" i="1"/>
  <c r="A2430" i="1"/>
  <c r="B2430" i="1"/>
  <c r="G2430" i="1"/>
  <c r="K2430" i="1"/>
  <c r="A2431" i="1"/>
  <c r="B2431" i="1"/>
  <c r="G2431" i="1"/>
  <c r="K2431" i="1"/>
  <c r="A2432" i="1"/>
  <c r="B2432" i="1"/>
  <c r="G2432" i="1"/>
  <c r="K2432" i="1"/>
  <c r="A2433" i="1"/>
  <c r="B2433" i="1"/>
  <c r="G2433" i="1"/>
  <c r="K2433" i="1"/>
  <c r="A2434" i="1"/>
  <c r="B2434" i="1"/>
  <c r="G2434" i="1"/>
  <c r="K2434" i="1"/>
  <c r="A2435" i="1"/>
  <c r="B2435" i="1"/>
  <c r="G2435" i="1"/>
  <c r="K2435" i="1"/>
  <c r="A2436" i="1"/>
  <c r="B2436" i="1"/>
  <c r="G2436" i="1"/>
  <c r="K2436" i="1"/>
  <c r="A2437" i="1"/>
  <c r="B2437" i="1"/>
  <c r="G2437" i="1"/>
  <c r="K2437" i="1"/>
  <c r="A2438" i="1"/>
  <c r="B2438" i="1"/>
  <c r="G2438" i="1"/>
  <c r="K2438" i="1"/>
  <c r="A2439" i="1"/>
  <c r="B2439" i="1"/>
  <c r="G2439" i="1"/>
  <c r="K2439" i="1"/>
  <c r="A2440" i="1"/>
  <c r="B2440" i="1"/>
  <c r="G2440" i="1"/>
  <c r="K2440" i="1"/>
  <c r="A2441" i="1"/>
  <c r="B2441" i="1"/>
  <c r="G2441" i="1"/>
  <c r="K2441" i="1"/>
  <c r="A2442" i="1"/>
  <c r="B2442" i="1"/>
  <c r="G2442" i="1"/>
  <c r="K2442" i="1"/>
  <c r="A2443" i="1"/>
  <c r="B2443" i="1"/>
  <c r="G2443" i="1"/>
  <c r="K2443" i="1"/>
  <c r="A2444" i="1"/>
  <c r="B2444" i="1"/>
  <c r="G2444" i="1"/>
  <c r="K2444" i="1"/>
  <c r="A2445" i="1"/>
  <c r="B2445" i="1"/>
  <c r="G2445" i="1"/>
  <c r="K2445" i="1"/>
  <c r="A2446" i="1"/>
  <c r="B2446" i="1"/>
  <c r="G2446" i="1"/>
  <c r="K2446" i="1"/>
  <c r="A2447" i="1"/>
  <c r="B2447" i="1"/>
  <c r="G2447" i="1"/>
  <c r="K2447" i="1"/>
  <c r="A2448" i="1"/>
  <c r="B2448" i="1"/>
  <c r="G2448" i="1"/>
  <c r="K2448" i="1"/>
  <c r="A2449" i="1"/>
  <c r="B2449" i="1"/>
  <c r="G2449" i="1"/>
  <c r="K2449" i="1"/>
  <c r="A2450" i="1"/>
  <c r="B2450" i="1"/>
  <c r="G2450" i="1"/>
  <c r="K2450" i="1"/>
  <c r="A2451" i="1"/>
  <c r="B2451" i="1"/>
  <c r="G2451" i="1"/>
  <c r="K2451" i="1"/>
  <c r="A2452" i="1"/>
  <c r="B2452" i="1"/>
  <c r="G2452" i="1"/>
  <c r="K2452" i="1"/>
  <c r="A2453" i="1"/>
  <c r="B2453" i="1"/>
  <c r="G2453" i="1"/>
  <c r="K2453" i="1"/>
  <c r="A2454" i="1"/>
  <c r="B2454" i="1"/>
  <c r="G2454" i="1"/>
  <c r="K2454" i="1"/>
  <c r="A2455" i="1"/>
  <c r="B2455" i="1"/>
  <c r="G2455" i="1"/>
  <c r="K2455" i="1"/>
  <c r="A2456" i="1"/>
  <c r="B2456" i="1"/>
  <c r="G2456" i="1"/>
  <c r="K2456" i="1"/>
  <c r="A2457" i="1"/>
  <c r="B2457" i="1"/>
  <c r="G2457" i="1"/>
  <c r="K2457" i="1"/>
  <c r="A2458" i="1"/>
  <c r="B2458" i="1"/>
  <c r="G2458" i="1"/>
  <c r="K2458" i="1"/>
  <c r="A2459" i="1"/>
  <c r="B2459" i="1"/>
  <c r="G2459" i="1"/>
  <c r="K2459" i="1"/>
  <c r="A2460" i="1"/>
  <c r="B2460" i="1"/>
  <c r="G2460" i="1"/>
  <c r="K2460" i="1"/>
  <c r="A2461" i="1"/>
  <c r="B2461" i="1"/>
  <c r="G2461" i="1"/>
  <c r="K2461" i="1"/>
  <c r="A2462" i="1"/>
  <c r="B2462" i="1"/>
  <c r="G2462" i="1"/>
  <c r="K2462" i="1"/>
  <c r="A2463" i="1"/>
  <c r="B2463" i="1"/>
  <c r="G2463" i="1"/>
  <c r="K2463" i="1"/>
  <c r="A2464" i="1"/>
  <c r="B2464" i="1"/>
  <c r="G2464" i="1"/>
  <c r="K2464" i="1"/>
  <c r="A2465" i="1"/>
  <c r="B2465" i="1"/>
  <c r="G2465" i="1"/>
  <c r="K2465" i="1"/>
  <c r="A2466" i="1"/>
  <c r="B2466" i="1"/>
  <c r="G2466" i="1"/>
  <c r="K2466" i="1"/>
  <c r="A2467" i="1"/>
  <c r="B2467" i="1"/>
  <c r="G2467" i="1"/>
  <c r="K2467" i="1"/>
  <c r="A2468" i="1"/>
  <c r="B2468" i="1"/>
  <c r="G2468" i="1"/>
  <c r="K2468" i="1"/>
  <c r="A2469" i="1"/>
  <c r="B2469" i="1"/>
  <c r="G2469" i="1"/>
  <c r="K2469" i="1"/>
  <c r="A2470" i="1"/>
  <c r="B2470" i="1"/>
  <c r="G2470" i="1"/>
  <c r="K2470" i="1"/>
  <c r="A2471" i="1"/>
  <c r="B2471" i="1"/>
  <c r="G2471" i="1"/>
  <c r="K2471" i="1"/>
  <c r="A2472" i="1"/>
  <c r="B2472" i="1"/>
  <c r="G2472" i="1"/>
  <c r="K2472" i="1"/>
  <c r="A2473" i="1"/>
  <c r="B2473" i="1"/>
  <c r="G2473" i="1"/>
  <c r="K2473" i="1"/>
  <c r="A2474" i="1"/>
  <c r="B2474" i="1"/>
  <c r="G2474" i="1"/>
  <c r="K2474" i="1"/>
  <c r="A2475" i="1"/>
  <c r="B2475" i="1"/>
  <c r="G2475" i="1"/>
  <c r="K2475" i="1"/>
  <c r="A2476" i="1"/>
  <c r="B2476" i="1"/>
  <c r="G2476" i="1"/>
  <c r="K2476" i="1"/>
  <c r="A2477" i="1"/>
  <c r="B2477" i="1"/>
  <c r="G2477" i="1"/>
  <c r="K2477" i="1"/>
  <c r="A2478" i="1"/>
  <c r="B2478" i="1"/>
  <c r="G2478" i="1"/>
  <c r="K2478" i="1"/>
  <c r="A2479" i="1"/>
  <c r="B2479" i="1"/>
  <c r="G2479" i="1"/>
  <c r="K2479" i="1"/>
  <c r="A2480" i="1"/>
  <c r="B2480" i="1"/>
  <c r="G2480" i="1"/>
  <c r="K2480" i="1"/>
  <c r="A2481" i="1"/>
  <c r="B2481" i="1"/>
  <c r="G2481" i="1"/>
  <c r="K2481" i="1"/>
  <c r="A2482" i="1"/>
  <c r="B2482" i="1"/>
  <c r="G2482" i="1"/>
  <c r="K2482" i="1"/>
  <c r="A2483" i="1"/>
  <c r="B2483" i="1"/>
  <c r="G2483" i="1"/>
  <c r="K2483" i="1"/>
  <c r="A2484" i="1"/>
  <c r="B2484" i="1"/>
  <c r="G2484" i="1"/>
  <c r="K2484" i="1"/>
  <c r="A2485" i="1"/>
  <c r="B2485" i="1"/>
  <c r="G2485" i="1"/>
  <c r="K2485" i="1"/>
  <c r="A2486" i="1"/>
  <c r="B2486" i="1"/>
  <c r="G2486" i="1"/>
  <c r="K2486" i="1"/>
  <c r="A2487" i="1"/>
  <c r="B2487" i="1"/>
  <c r="G2487" i="1"/>
  <c r="K2487" i="1"/>
  <c r="A2488" i="1"/>
  <c r="B2488" i="1"/>
  <c r="G2488" i="1"/>
  <c r="K2488" i="1"/>
  <c r="A2489" i="1"/>
  <c r="B2489" i="1"/>
  <c r="G2489" i="1"/>
  <c r="K2489" i="1"/>
  <c r="A2490" i="1"/>
  <c r="B2490" i="1"/>
  <c r="G2490" i="1"/>
  <c r="K2490" i="1"/>
  <c r="A2491" i="1"/>
  <c r="B2491" i="1"/>
  <c r="G2491" i="1"/>
  <c r="K2491" i="1"/>
  <c r="A2492" i="1"/>
  <c r="B2492" i="1"/>
  <c r="G2492" i="1"/>
  <c r="K2492" i="1"/>
  <c r="A2493" i="1"/>
  <c r="B2493" i="1"/>
  <c r="G2493" i="1"/>
  <c r="K2493" i="1"/>
  <c r="A2494" i="1"/>
  <c r="B2494" i="1"/>
  <c r="G2494" i="1"/>
  <c r="K2494" i="1"/>
  <c r="A2495" i="1"/>
  <c r="B2495" i="1"/>
  <c r="G2495" i="1"/>
  <c r="K2495" i="1"/>
  <c r="A2496" i="1"/>
  <c r="B2496" i="1"/>
  <c r="G2496" i="1"/>
  <c r="K2496" i="1"/>
  <c r="A2497" i="1"/>
  <c r="B2497" i="1"/>
  <c r="G2497" i="1"/>
  <c r="K2497" i="1"/>
  <c r="A2498" i="1"/>
  <c r="B2498" i="1"/>
  <c r="G2498" i="1"/>
  <c r="K2498" i="1"/>
  <c r="A2499" i="1"/>
  <c r="B2499" i="1"/>
  <c r="G2499" i="1"/>
  <c r="K2499" i="1"/>
  <c r="A2500" i="1"/>
  <c r="B2500" i="1"/>
  <c r="G2500" i="1"/>
  <c r="K2500" i="1"/>
  <c r="A2501" i="1"/>
  <c r="B2501" i="1"/>
  <c r="G2501" i="1"/>
  <c r="K2501" i="1"/>
  <c r="A2502" i="1"/>
  <c r="B2502" i="1"/>
  <c r="G2502" i="1"/>
  <c r="K2502" i="1"/>
  <c r="A2503" i="1"/>
  <c r="B2503" i="1"/>
  <c r="G2503" i="1"/>
  <c r="K2503" i="1"/>
  <c r="A2504" i="1"/>
  <c r="B2504" i="1"/>
  <c r="G2504" i="1"/>
  <c r="K2504" i="1"/>
  <c r="A2505" i="1"/>
  <c r="B2505" i="1"/>
  <c r="G2505" i="1"/>
  <c r="K2505" i="1"/>
  <c r="A2506" i="1"/>
  <c r="B2506" i="1"/>
  <c r="G2506" i="1"/>
  <c r="K2506" i="1"/>
  <c r="A2507" i="1"/>
  <c r="B2507" i="1"/>
  <c r="G2507" i="1"/>
  <c r="K2507" i="1"/>
  <c r="A2508" i="1"/>
  <c r="B2508" i="1"/>
  <c r="G2508" i="1"/>
  <c r="K2508" i="1"/>
  <c r="A2509" i="1"/>
  <c r="B2509" i="1"/>
  <c r="G2509" i="1"/>
  <c r="K2509" i="1"/>
  <c r="A2510" i="1"/>
  <c r="B2510" i="1"/>
  <c r="G2510" i="1"/>
  <c r="K2510" i="1"/>
  <c r="A2511" i="1"/>
  <c r="B2511" i="1"/>
  <c r="G2511" i="1"/>
  <c r="K2511" i="1"/>
  <c r="A2512" i="1"/>
  <c r="B2512" i="1"/>
  <c r="G2512" i="1"/>
  <c r="K2512" i="1"/>
  <c r="A2513" i="1"/>
  <c r="B2513" i="1"/>
  <c r="G2513" i="1"/>
  <c r="K2513" i="1"/>
  <c r="A2514" i="1"/>
  <c r="B2514" i="1"/>
  <c r="G2514" i="1"/>
  <c r="K2514" i="1"/>
  <c r="A2515" i="1"/>
  <c r="B2515" i="1"/>
  <c r="G2515" i="1"/>
  <c r="K2515" i="1"/>
  <c r="A2516" i="1"/>
  <c r="B2516" i="1"/>
  <c r="G2516" i="1"/>
  <c r="K2516" i="1"/>
  <c r="A2517" i="1"/>
  <c r="B2517" i="1"/>
  <c r="G2517" i="1"/>
  <c r="K2517" i="1"/>
  <c r="A2518" i="1"/>
  <c r="B2518" i="1"/>
  <c r="G2518" i="1"/>
  <c r="K2518" i="1"/>
  <c r="A2519" i="1"/>
  <c r="B2519" i="1"/>
  <c r="G2519" i="1"/>
  <c r="K2519" i="1"/>
  <c r="A2520" i="1"/>
  <c r="B2520" i="1"/>
  <c r="G2520" i="1"/>
  <c r="K2520" i="1"/>
  <c r="A2521" i="1"/>
  <c r="B2521" i="1"/>
  <c r="G2521" i="1"/>
  <c r="K2521" i="1"/>
  <c r="A2522" i="1"/>
  <c r="B2522" i="1"/>
  <c r="G2522" i="1"/>
  <c r="K2522" i="1"/>
  <c r="A2523" i="1"/>
  <c r="B2523" i="1"/>
  <c r="G2523" i="1"/>
  <c r="K2523" i="1"/>
  <c r="A2524" i="1"/>
  <c r="B2524" i="1"/>
  <c r="G2524" i="1"/>
  <c r="K2524" i="1"/>
  <c r="A2525" i="1"/>
  <c r="B2525" i="1"/>
  <c r="G2525" i="1"/>
  <c r="K2525" i="1"/>
  <c r="A2526" i="1"/>
  <c r="B2526" i="1"/>
  <c r="G2526" i="1"/>
  <c r="K2526" i="1"/>
  <c r="A2527" i="1"/>
  <c r="B2527" i="1"/>
  <c r="G2527" i="1"/>
  <c r="K2527" i="1"/>
  <c r="A2528" i="1"/>
  <c r="B2528" i="1"/>
  <c r="G2528" i="1"/>
  <c r="K2528" i="1"/>
  <c r="A2529" i="1"/>
  <c r="B2529" i="1"/>
  <c r="G2529" i="1"/>
  <c r="K2529" i="1"/>
  <c r="A2530" i="1"/>
  <c r="B2530" i="1"/>
  <c r="G2530" i="1"/>
  <c r="K2530" i="1"/>
  <c r="A2531" i="1"/>
  <c r="B2531" i="1"/>
  <c r="G2531" i="1"/>
  <c r="K2531" i="1"/>
  <c r="A2532" i="1"/>
  <c r="B2532" i="1"/>
  <c r="G2532" i="1"/>
  <c r="K2532" i="1"/>
  <c r="A2533" i="1"/>
  <c r="B2533" i="1"/>
  <c r="G2533" i="1"/>
  <c r="K2533" i="1"/>
  <c r="A2534" i="1"/>
  <c r="B2534" i="1"/>
  <c r="G2534" i="1"/>
  <c r="K2534" i="1"/>
  <c r="A2535" i="1"/>
  <c r="B2535" i="1"/>
  <c r="G2535" i="1"/>
  <c r="K2535" i="1"/>
  <c r="A2536" i="1"/>
  <c r="B2536" i="1"/>
  <c r="G2536" i="1"/>
  <c r="K2536" i="1"/>
  <c r="A2537" i="1"/>
  <c r="B2537" i="1"/>
  <c r="G2537" i="1"/>
  <c r="K2537" i="1"/>
  <c r="A2538" i="1"/>
  <c r="B2538" i="1"/>
  <c r="G2538" i="1"/>
  <c r="K2538" i="1"/>
  <c r="A2539" i="1"/>
  <c r="B2539" i="1"/>
  <c r="G2539" i="1"/>
  <c r="K2539" i="1"/>
  <c r="A2540" i="1"/>
  <c r="B2540" i="1"/>
  <c r="G2540" i="1"/>
  <c r="K2540" i="1"/>
  <c r="A2541" i="1"/>
  <c r="B2541" i="1"/>
  <c r="G2541" i="1"/>
  <c r="K2541" i="1"/>
  <c r="A2542" i="1"/>
  <c r="B2542" i="1"/>
  <c r="G2542" i="1"/>
  <c r="K2542" i="1"/>
  <c r="A2543" i="1"/>
  <c r="B2543" i="1"/>
  <c r="G2543" i="1"/>
  <c r="K2543" i="1"/>
  <c r="A2544" i="1"/>
  <c r="B2544" i="1"/>
  <c r="G2544" i="1"/>
  <c r="K2544" i="1"/>
  <c r="A2545" i="1"/>
  <c r="B2545" i="1"/>
  <c r="G2545" i="1"/>
  <c r="K2545" i="1"/>
  <c r="A2546" i="1"/>
  <c r="B2546" i="1"/>
  <c r="G2546" i="1"/>
  <c r="K2546" i="1"/>
  <c r="A2547" i="1"/>
  <c r="B2547" i="1"/>
  <c r="G2547" i="1"/>
  <c r="K2547" i="1"/>
  <c r="A2548" i="1"/>
  <c r="B2548" i="1"/>
  <c r="G2548" i="1"/>
  <c r="K2548" i="1"/>
  <c r="A2549" i="1"/>
  <c r="B2549" i="1"/>
  <c r="G2549" i="1"/>
  <c r="K2549" i="1"/>
  <c r="A2550" i="1"/>
  <c r="B2550" i="1"/>
  <c r="G2550" i="1"/>
  <c r="K2550" i="1"/>
  <c r="A2551" i="1"/>
  <c r="B2551" i="1"/>
  <c r="G2551" i="1"/>
  <c r="K2551" i="1"/>
  <c r="A2552" i="1"/>
  <c r="B2552" i="1"/>
  <c r="G2552" i="1"/>
  <c r="K2552" i="1"/>
  <c r="A2553" i="1"/>
  <c r="B2553" i="1"/>
  <c r="G2553" i="1"/>
  <c r="K2553" i="1"/>
  <c r="A2554" i="1"/>
  <c r="B2554" i="1"/>
  <c r="G2554" i="1"/>
  <c r="K2554" i="1"/>
  <c r="A2555" i="1"/>
  <c r="B2555" i="1"/>
  <c r="G2555" i="1"/>
  <c r="K2555" i="1"/>
  <c r="A2556" i="1"/>
  <c r="B2556" i="1"/>
  <c r="G2556" i="1"/>
  <c r="K2556" i="1"/>
  <c r="A2557" i="1"/>
  <c r="B2557" i="1"/>
  <c r="G2557" i="1"/>
  <c r="K2557" i="1"/>
  <c r="A2558" i="1"/>
  <c r="B2558" i="1"/>
  <c r="G2558" i="1"/>
  <c r="K2558" i="1"/>
  <c r="A2559" i="1"/>
  <c r="B2559" i="1"/>
  <c r="G2559" i="1"/>
  <c r="K2559" i="1"/>
  <c r="A2560" i="1"/>
  <c r="B2560" i="1"/>
  <c r="G2560" i="1"/>
  <c r="K2560" i="1"/>
  <c r="A2561" i="1"/>
  <c r="B2561" i="1"/>
  <c r="G2561" i="1"/>
  <c r="K2561" i="1"/>
  <c r="A2562" i="1"/>
  <c r="B2562" i="1"/>
  <c r="G2562" i="1"/>
  <c r="K2562" i="1"/>
  <c r="A2563" i="1"/>
  <c r="B2563" i="1"/>
  <c r="G2563" i="1"/>
  <c r="K2563" i="1"/>
  <c r="A2564" i="1"/>
  <c r="B2564" i="1"/>
  <c r="G2564" i="1"/>
  <c r="K2564" i="1"/>
  <c r="A2565" i="1"/>
  <c r="B2565" i="1"/>
  <c r="G2565" i="1"/>
  <c r="K2565" i="1"/>
  <c r="A2566" i="1"/>
  <c r="B2566" i="1"/>
  <c r="G2566" i="1"/>
  <c r="K2566" i="1"/>
  <c r="A2567" i="1"/>
  <c r="B2567" i="1"/>
  <c r="G2567" i="1"/>
  <c r="K2567" i="1"/>
  <c r="A2568" i="1"/>
  <c r="B2568" i="1"/>
  <c r="G2568" i="1"/>
  <c r="K2568" i="1"/>
  <c r="A2569" i="1"/>
  <c r="B2569" i="1"/>
  <c r="G2569" i="1"/>
  <c r="K2569" i="1"/>
  <c r="A2570" i="1"/>
  <c r="B2570" i="1"/>
  <c r="G2570" i="1"/>
  <c r="K2570" i="1"/>
  <c r="A2571" i="1"/>
  <c r="B2571" i="1"/>
  <c r="G2571" i="1"/>
  <c r="K2571" i="1"/>
  <c r="A2572" i="1"/>
  <c r="B2572" i="1"/>
  <c r="G2572" i="1"/>
  <c r="K2572" i="1"/>
  <c r="A2573" i="1"/>
  <c r="B2573" i="1"/>
  <c r="G2573" i="1"/>
  <c r="K2573" i="1"/>
  <c r="A2574" i="1"/>
  <c r="B2574" i="1"/>
  <c r="G2574" i="1"/>
  <c r="K2574" i="1"/>
  <c r="A2575" i="1"/>
  <c r="B2575" i="1"/>
  <c r="G2575" i="1"/>
  <c r="K2575" i="1"/>
  <c r="A2576" i="1"/>
  <c r="B2576" i="1"/>
  <c r="G2576" i="1"/>
  <c r="K2576" i="1"/>
  <c r="A2577" i="1"/>
  <c r="B2577" i="1"/>
  <c r="G2577" i="1"/>
  <c r="K2577" i="1"/>
  <c r="A2578" i="1"/>
  <c r="B2578" i="1"/>
  <c r="G2578" i="1"/>
  <c r="K2578" i="1"/>
  <c r="A2579" i="1"/>
  <c r="B2579" i="1"/>
  <c r="G2579" i="1"/>
  <c r="K2579" i="1"/>
  <c r="A2580" i="1"/>
  <c r="B2580" i="1"/>
  <c r="G2580" i="1"/>
  <c r="K2580" i="1"/>
  <c r="A2581" i="1"/>
  <c r="B2581" i="1"/>
  <c r="G2581" i="1"/>
  <c r="K2581" i="1"/>
  <c r="A2582" i="1"/>
  <c r="B2582" i="1"/>
  <c r="G2582" i="1"/>
  <c r="K2582" i="1"/>
  <c r="A2583" i="1"/>
  <c r="B2583" i="1"/>
  <c r="G2583" i="1"/>
  <c r="K2583" i="1"/>
  <c r="A2584" i="1"/>
  <c r="B2584" i="1"/>
  <c r="G2584" i="1"/>
  <c r="K2584" i="1"/>
  <c r="A2585" i="1"/>
  <c r="B2585" i="1"/>
  <c r="G2585" i="1"/>
  <c r="K2585" i="1"/>
  <c r="A2586" i="1"/>
  <c r="B2586" i="1"/>
  <c r="G2586" i="1"/>
  <c r="K2586" i="1"/>
  <c r="A2587" i="1"/>
  <c r="B2587" i="1"/>
  <c r="G2587" i="1"/>
  <c r="K2587" i="1"/>
  <c r="A2588" i="1"/>
  <c r="B2588" i="1"/>
  <c r="G2588" i="1"/>
  <c r="K2588" i="1"/>
  <c r="A2589" i="1"/>
  <c r="B2589" i="1"/>
  <c r="G2589" i="1"/>
  <c r="K2589" i="1"/>
  <c r="A2590" i="1"/>
  <c r="B2590" i="1"/>
  <c r="G2590" i="1"/>
  <c r="K2590" i="1"/>
  <c r="A2591" i="1"/>
  <c r="B2591" i="1"/>
  <c r="G2591" i="1"/>
  <c r="K2591" i="1"/>
  <c r="A2592" i="1"/>
  <c r="B2592" i="1"/>
  <c r="G2592" i="1"/>
  <c r="K2592" i="1"/>
  <c r="A2593" i="1"/>
  <c r="B2593" i="1"/>
  <c r="G2593" i="1"/>
  <c r="K2593" i="1"/>
  <c r="A2594" i="1"/>
  <c r="B2594" i="1"/>
  <c r="G2594" i="1"/>
  <c r="K2594" i="1"/>
  <c r="A2595" i="1"/>
  <c r="B2595" i="1"/>
  <c r="G2595" i="1"/>
  <c r="K2595" i="1"/>
  <c r="A2596" i="1"/>
  <c r="B2596" i="1"/>
  <c r="G2596" i="1"/>
  <c r="K2596" i="1"/>
  <c r="A2597" i="1"/>
  <c r="B2597" i="1"/>
  <c r="G2597" i="1"/>
  <c r="K2597" i="1"/>
  <c r="A2598" i="1"/>
  <c r="B2598" i="1"/>
  <c r="G2598" i="1"/>
  <c r="K2598" i="1"/>
  <c r="A2599" i="1"/>
  <c r="B2599" i="1"/>
  <c r="G2599" i="1"/>
  <c r="K2599" i="1"/>
  <c r="A2600" i="1"/>
  <c r="B2600" i="1"/>
  <c r="G2600" i="1"/>
  <c r="K2600" i="1"/>
  <c r="A2601" i="1"/>
  <c r="B2601" i="1"/>
  <c r="G2601" i="1"/>
  <c r="K2601" i="1"/>
  <c r="A2602" i="1"/>
  <c r="B2602" i="1"/>
  <c r="G2602" i="1"/>
  <c r="K2602" i="1"/>
  <c r="A2603" i="1"/>
  <c r="B2603" i="1"/>
  <c r="G2603" i="1"/>
  <c r="K2603" i="1"/>
  <c r="A2604" i="1"/>
  <c r="B2604" i="1"/>
  <c r="G2604" i="1"/>
  <c r="K2604" i="1"/>
  <c r="A2605" i="1"/>
  <c r="B2605" i="1"/>
  <c r="G2605" i="1"/>
  <c r="K2605" i="1"/>
  <c r="A2606" i="1"/>
  <c r="B2606" i="1"/>
  <c r="G2606" i="1"/>
  <c r="K2606" i="1"/>
  <c r="A2607" i="1"/>
  <c r="B2607" i="1"/>
  <c r="G2607" i="1"/>
  <c r="K2607" i="1"/>
  <c r="A2608" i="1"/>
  <c r="B2608" i="1"/>
  <c r="G2608" i="1"/>
  <c r="K2608" i="1"/>
  <c r="A2609" i="1"/>
  <c r="B2609" i="1"/>
  <c r="G2609" i="1"/>
  <c r="K2609" i="1"/>
  <c r="A2610" i="1"/>
  <c r="B2610" i="1"/>
  <c r="G2610" i="1"/>
  <c r="K2610" i="1"/>
  <c r="A2611" i="1"/>
  <c r="B2611" i="1"/>
  <c r="G2611" i="1"/>
  <c r="K2611" i="1"/>
  <c r="A2612" i="1"/>
  <c r="B2612" i="1"/>
  <c r="G2612" i="1"/>
  <c r="K2612" i="1"/>
  <c r="A2613" i="1"/>
  <c r="B2613" i="1"/>
  <c r="G2613" i="1"/>
  <c r="K2613" i="1"/>
  <c r="A2614" i="1"/>
  <c r="B2614" i="1"/>
  <c r="G2614" i="1"/>
  <c r="K2614" i="1"/>
  <c r="A2615" i="1"/>
  <c r="B2615" i="1"/>
  <c r="G2615" i="1"/>
  <c r="K2615" i="1"/>
  <c r="A2616" i="1"/>
  <c r="B2616" i="1"/>
  <c r="G2616" i="1"/>
  <c r="K2616" i="1"/>
  <c r="A2617" i="1"/>
  <c r="B2617" i="1"/>
  <c r="G2617" i="1"/>
  <c r="K2617" i="1"/>
  <c r="A2618" i="1"/>
  <c r="B2618" i="1"/>
  <c r="G2618" i="1"/>
  <c r="K2618" i="1"/>
  <c r="A2619" i="1"/>
  <c r="B2619" i="1"/>
  <c r="G2619" i="1"/>
  <c r="K2619" i="1"/>
  <c r="A2620" i="1"/>
  <c r="B2620" i="1"/>
  <c r="G2620" i="1"/>
  <c r="K2620" i="1"/>
  <c r="A2621" i="1"/>
  <c r="B2621" i="1"/>
  <c r="G2621" i="1"/>
  <c r="K2621" i="1"/>
  <c r="A2622" i="1"/>
  <c r="B2622" i="1"/>
  <c r="G2622" i="1"/>
  <c r="K2622" i="1"/>
  <c r="A2623" i="1"/>
  <c r="B2623" i="1"/>
  <c r="G2623" i="1"/>
  <c r="K2623" i="1"/>
  <c r="A2624" i="1"/>
  <c r="B2624" i="1"/>
  <c r="G2624" i="1"/>
  <c r="K2624" i="1"/>
  <c r="A2625" i="1"/>
  <c r="B2625" i="1"/>
  <c r="G2625" i="1"/>
  <c r="K2625" i="1"/>
  <c r="A2626" i="1"/>
  <c r="B2626" i="1"/>
  <c r="G2626" i="1"/>
  <c r="K2626" i="1"/>
  <c r="A2627" i="1"/>
  <c r="B2627" i="1"/>
  <c r="G2627" i="1"/>
  <c r="K2627" i="1"/>
  <c r="A2628" i="1"/>
  <c r="B2628" i="1"/>
  <c r="G2628" i="1"/>
  <c r="K2628" i="1"/>
  <c r="A2629" i="1"/>
  <c r="B2629" i="1"/>
  <c r="G2629" i="1"/>
  <c r="K2629" i="1"/>
  <c r="A2630" i="1"/>
  <c r="B2630" i="1"/>
  <c r="G2630" i="1"/>
  <c r="K2630" i="1"/>
  <c r="A2631" i="1"/>
  <c r="B2631" i="1"/>
  <c r="G2631" i="1"/>
  <c r="K2631" i="1"/>
  <c r="A2632" i="1"/>
  <c r="B2632" i="1"/>
  <c r="G2632" i="1"/>
  <c r="K2632" i="1"/>
  <c r="A2633" i="1"/>
  <c r="B2633" i="1"/>
  <c r="G2633" i="1"/>
  <c r="K2633" i="1"/>
  <c r="A2634" i="1"/>
  <c r="B2634" i="1"/>
  <c r="G2634" i="1"/>
  <c r="K2634" i="1"/>
  <c r="A2635" i="1"/>
  <c r="B2635" i="1"/>
  <c r="G2635" i="1"/>
  <c r="K2635" i="1"/>
  <c r="A2636" i="1"/>
  <c r="B2636" i="1"/>
  <c r="G2636" i="1"/>
  <c r="K2636" i="1"/>
  <c r="A2637" i="1"/>
  <c r="B2637" i="1"/>
  <c r="G2637" i="1"/>
  <c r="K2637" i="1"/>
  <c r="A2638" i="1"/>
  <c r="B2638" i="1"/>
  <c r="G2638" i="1"/>
  <c r="K2638" i="1"/>
  <c r="A2639" i="1"/>
  <c r="B2639" i="1"/>
  <c r="G2639" i="1"/>
  <c r="K2639" i="1"/>
  <c r="A2640" i="1"/>
  <c r="B2640" i="1"/>
  <c r="G2640" i="1"/>
  <c r="K2640" i="1"/>
  <c r="A2641" i="1"/>
  <c r="B2641" i="1"/>
  <c r="G2641" i="1"/>
  <c r="K2641" i="1"/>
  <c r="A2642" i="1"/>
  <c r="B2642" i="1"/>
  <c r="G2642" i="1"/>
  <c r="K2642" i="1"/>
  <c r="A2643" i="1"/>
  <c r="B2643" i="1"/>
  <c r="G2643" i="1"/>
  <c r="K2643" i="1"/>
  <c r="A2644" i="1"/>
  <c r="B2644" i="1"/>
  <c r="G2644" i="1"/>
  <c r="K2644" i="1"/>
  <c r="A2645" i="1"/>
  <c r="B2645" i="1"/>
  <c r="G2645" i="1"/>
  <c r="K2645" i="1"/>
  <c r="A2646" i="1"/>
  <c r="B2646" i="1"/>
  <c r="G2646" i="1"/>
  <c r="K2646" i="1"/>
  <c r="A2647" i="1"/>
  <c r="B2647" i="1"/>
  <c r="G2647" i="1"/>
  <c r="K2647" i="1"/>
  <c r="A2648" i="1"/>
  <c r="B2648" i="1"/>
  <c r="G2648" i="1"/>
  <c r="K2648" i="1"/>
  <c r="A2649" i="1"/>
  <c r="B2649" i="1"/>
  <c r="G2649" i="1"/>
  <c r="K2649" i="1"/>
  <c r="A2650" i="1"/>
  <c r="B2650" i="1"/>
  <c r="G2650" i="1"/>
  <c r="K2650" i="1"/>
  <c r="A2651" i="1"/>
  <c r="B2651" i="1"/>
  <c r="G2651" i="1"/>
  <c r="K2651" i="1"/>
  <c r="A2652" i="1"/>
  <c r="B2652" i="1"/>
  <c r="G2652" i="1"/>
  <c r="K2652" i="1"/>
  <c r="A2653" i="1"/>
  <c r="B2653" i="1"/>
  <c r="G2653" i="1"/>
  <c r="K2653" i="1"/>
  <c r="A2654" i="1"/>
  <c r="B2654" i="1"/>
  <c r="G2654" i="1"/>
  <c r="K2654" i="1"/>
  <c r="A2655" i="1"/>
  <c r="B2655" i="1"/>
  <c r="G2655" i="1"/>
  <c r="K2655" i="1"/>
  <c r="A2656" i="1"/>
  <c r="B2656" i="1"/>
  <c r="G2656" i="1"/>
  <c r="K2656" i="1"/>
  <c r="A2657" i="1"/>
  <c r="B2657" i="1"/>
  <c r="G2657" i="1"/>
  <c r="K2657" i="1"/>
  <c r="A2658" i="1"/>
  <c r="B2658" i="1"/>
  <c r="G2658" i="1"/>
  <c r="K2658" i="1"/>
  <c r="A2659" i="1"/>
  <c r="B2659" i="1"/>
  <c r="G2659" i="1"/>
  <c r="K2659" i="1"/>
  <c r="A2660" i="1"/>
  <c r="B2660" i="1"/>
  <c r="G2660" i="1"/>
  <c r="K2660" i="1"/>
  <c r="A2661" i="1"/>
  <c r="B2661" i="1"/>
  <c r="G2661" i="1"/>
  <c r="K2661" i="1"/>
  <c r="A2662" i="1"/>
  <c r="B2662" i="1"/>
  <c r="G2662" i="1"/>
  <c r="K2662" i="1"/>
  <c r="A2663" i="1"/>
  <c r="B2663" i="1"/>
  <c r="G2663" i="1"/>
  <c r="K2663" i="1"/>
  <c r="A2664" i="1"/>
  <c r="B2664" i="1"/>
  <c r="G2664" i="1"/>
  <c r="K2664" i="1"/>
  <c r="A2665" i="1"/>
  <c r="B2665" i="1"/>
  <c r="G2665" i="1"/>
  <c r="K2665" i="1"/>
  <c r="A2666" i="1"/>
  <c r="B2666" i="1"/>
  <c r="G2666" i="1"/>
  <c r="K2666" i="1"/>
  <c r="A2667" i="1"/>
  <c r="B2667" i="1"/>
  <c r="G2667" i="1"/>
  <c r="K2667" i="1"/>
  <c r="A2668" i="1"/>
  <c r="B2668" i="1"/>
  <c r="G2668" i="1"/>
  <c r="K2668" i="1"/>
  <c r="A2669" i="1"/>
  <c r="B2669" i="1"/>
  <c r="G2669" i="1"/>
  <c r="K2669" i="1"/>
  <c r="A2670" i="1"/>
  <c r="B2670" i="1"/>
  <c r="G2670" i="1"/>
  <c r="K2670" i="1"/>
  <c r="A2671" i="1"/>
  <c r="B2671" i="1"/>
  <c r="G2671" i="1"/>
  <c r="K2671" i="1"/>
  <c r="A2672" i="1"/>
  <c r="B2672" i="1"/>
  <c r="G2672" i="1"/>
  <c r="K2672" i="1"/>
  <c r="A2673" i="1"/>
  <c r="B2673" i="1"/>
  <c r="G2673" i="1"/>
  <c r="K2673" i="1"/>
  <c r="A2674" i="1"/>
  <c r="B2674" i="1"/>
  <c r="G2674" i="1"/>
  <c r="K2674" i="1"/>
  <c r="A2675" i="1"/>
  <c r="B2675" i="1"/>
  <c r="G2675" i="1"/>
  <c r="K2675" i="1"/>
  <c r="A2676" i="1"/>
  <c r="B2676" i="1"/>
  <c r="G2676" i="1"/>
  <c r="K2676" i="1"/>
  <c r="A2677" i="1"/>
  <c r="B2677" i="1"/>
  <c r="G2677" i="1"/>
  <c r="K2677" i="1"/>
  <c r="A2678" i="1"/>
  <c r="B2678" i="1"/>
  <c r="G2678" i="1"/>
  <c r="K2678" i="1"/>
  <c r="A2679" i="1"/>
  <c r="B2679" i="1"/>
  <c r="G2679" i="1"/>
  <c r="K2679" i="1"/>
  <c r="A2680" i="1"/>
  <c r="B2680" i="1"/>
  <c r="G2680" i="1"/>
  <c r="K2680" i="1"/>
  <c r="A2681" i="1"/>
  <c r="B2681" i="1"/>
  <c r="G2681" i="1"/>
  <c r="K2681" i="1"/>
  <c r="A2682" i="1"/>
  <c r="B2682" i="1"/>
  <c r="G2682" i="1"/>
  <c r="K2682" i="1"/>
  <c r="A2683" i="1"/>
  <c r="B2683" i="1"/>
  <c r="G2683" i="1"/>
  <c r="K2683" i="1"/>
  <c r="A2684" i="1"/>
  <c r="B2684" i="1"/>
  <c r="G2684" i="1"/>
  <c r="K2684" i="1"/>
  <c r="A2685" i="1"/>
  <c r="B2685" i="1"/>
  <c r="G2685" i="1"/>
  <c r="K2685" i="1"/>
  <c r="A2686" i="1"/>
  <c r="B2686" i="1"/>
  <c r="G2686" i="1"/>
  <c r="K2686" i="1"/>
  <c r="A2687" i="1"/>
  <c r="B2687" i="1"/>
  <c r="G2687" i="1"/>
  <c r="K2687" i="1"/>
  <c r="A2688" i="1"/>
  <c r="B2688" i="1"/>
  <c r="G2688" i="1"/>
  <c r="K2688" i="1"/>
  <c r="A2689" i="1"/>
  <c r="B2689" i="1"/>
  <c r="G2689" i="1"/>
  <c r="K2689" i="1"/>
  <c r="A2690" i="1"/>
  <c r="B2690" i="1"/>
  <c r="G2690" i="1"/>
  <c r="K2690" i="1"/>
  <c r="A2691" i="1"/>
  <c r="B2691" i="1"/>
  <c r="G2691" i="1"/>
  <c r="K2691" i="1"/>
  <c r="A2692" i="1"/>
  <c r="B2692" i="1"/>
  <c r="G2692" i="1"/>
  <c r="K2692" i="1"/>
  <c r="A2693" i="1"/>
  <c r="B2693" i="1"/>
  <c r="G2693" i="1"/>
  <c r="K2693" i="1"/>
  <c r="A2694" i="1"/>
  <c r="B2694" i="1"/>
  <c r="G2694" i="1"/>
  <c r="K2694" i="1"/>
  <c r="A2695" i="1"/>
  <c r="B2695" i="1"/>
  <c r="G2695" i="1"/>
  <c r="K2695" i="1"/>
  <c r="A2696" i="1"/>
  <c r="B2696" i="1"/>
  <c r="G2696" i="1"/>
  <c r="K2696" i="1"/>
  <c r="A2697" i="1"/>
  <c r="B2697" i="1"/>
  <c r="G2697" i="1"/>
  <c r="K2697" i="1"/>
  <c r="A2698" i="1"/>
  <c r="B2698" i="1"/>
  <c r="G2698" i="1"/>
  <c r="K2698" i="1"/>
  <c r="A2699" i="1"/>
  <c r="B2699" i="1"/>
  <c r="G2699" i="1"/>
  <c r="K2699" i="1"/>
  <c r="A2700" i="1"/>
  <c r="B2700" i="1"/>
  <c r="G2700" i="1"/>
  <c r="K2700" i="1"/>
  <c r="A2701" i="1"/>
  <c r="B2701" i="1"/>
  <c r="G2701" i="1"/>
  <c r="K2701" i="1"/>
  <c r="A2702" i="1"/>
  <c r="B2702" i="1"/>
  <c r="G2702" i="1"/>
  <c r="K2702" i="1"/>
  <c r="A2703" i="1"/>
  <c r="B2703" i="1"/>
  <c r="G2703" i="1"/>
  <c r="K2703" i="1"/>
  <c r="A2704" i="1"/>
  <c r="B2704" i="1"/>
  <c r="G2704" i="1"/>
  <c r="K2704" i="1"/>
  <c r="A2705" i="1"/>
  <c r="B2705" i="1"/>
  <c r="G2705" i="1"/>
  <c r="K2705" i="1"/>
  <c r="A2706" i="1"/>
  <c r="B2706" i="1"/>
  <c r="G2706" i="1"/>
  <c r="K2706" i="1"/>
  <c r="A2707" i="1"/>
  <c r="B2707" i="1"/>
  <c r="G2707" i="1"/>
  <c r="K2707" i="1"/>
  <c r="A2708" i="1"/>
  <c r="B2708" i="1"/>
  <c r="G2708" i="1"/>
  <c r="K2708" i="1"/>
  <c r="A2709" i="1"/>
  <c r="B2709" i="1"/>
  <c r="G2709" i="1"/>
  <c r="K2709" i="1"/>
  <c r="A2710" i="1"/>
  <c r="B2710" i="1"/>
  <c r="G2710" i="1"/>
  <c r="K2710" i="1"/>
  <c r="A2711" i="1"/>
  <c r="B2711" i="1"/>
  <c r="G2711" i="1"/>
  <c r="K2711" i="1"/>
  <c r="A2712" i="1"/>
  <c r="B2712" i="1"/>
  <c r="G2712" i="1"/>
  <c r="K2712" i="1"/>
  <c r="A2713" i="1"/>
  <c r="B2713" i="1"/>
  <c r="G2713" i="1"/>
  <c r="K2713" i="1"/>
  <c r="A2714" i="1"/>
  <c r="B2714" i="1"/>
  <c r="G2714" i="1"/>
  <c r="K2714" i="1"/>
  <c r="A2715" i="1"/>
  <c r="B2715" i="1"/>
  <c r="G2715" i="1"/>
  <c r="K2715" i="1"/>
  <c r="A2716" i="1"/>
  <c r="B2716" i="1"/>
  <c r="G2716" i="1"/>
  <c r="K2716" i="1"/>
  <c r="A2717" i="1"/>
  <c r="B2717" i="1"/>
  <c r="G2717" i="1"/>
  <c r="K2717" i="1"/>
  <c r="A2718" i="1"/>
  <c r="B2718" i="1"/>
  <c r="G2718" i="1"/>
  <c r="K2718" i="1"/>
  <c r="A2719" i="1"/>
  <c r="B2719" i="1"/>
  <c r="G2719" i="1"/>
  <c r="K2719" i="1"/>
  <c r="A2720" i="1"/>
  <c r="B2720" i="1"/>
  <c r="G2720" i="1"/>
  <c r="K2720" i="1"/>
  <c r="A2721" i="1"/>
  <c r="B2721" i="1"/>
  <c r="G2721" i="1"/>
  <c r="K2721" i="1"/>
  <c r="A2722" i="1"/>
  <c r="B2722" i="1"/>
  <c r="G2722" i="1"/>
  <c r="K2722" i="1"/>
  <c r="A2723" i="1"/>
  <c r="B2723" i="1"/>
  <c r="G2723" i="1"/>
  <c r="K2723" i="1"/>
  <c r="A2724" i="1"/>
  <c r="B2724" i="1"/>
  <c r="G2724" i="1"/>
  <c r="K2724" i="1"/>
  <c r="A2725" i="1"/>
  <c r="B2725" i="1"/>
  <c r="G2725" i="1"/>
  <c r="K2725" i="1"/>
  <c r="A2726" i="1"/>
  <c r="B2726" i="1"/>
  <c r="G2726" i="1"/>
  <c r="K2726" i="1"/>
  <c r="A2727" i="1"/>
  <c r="B2727" i="1"/>
  <c r="G2727" i="1"/>
  <c r="K2727" i="1"/>
  <c r="A2728" i="1"/>
  <c r="B2728" i="1"/>
  <c r="G2728" i="1"/>
  <c r="K2728" i="1"/>
  <c r="A2729" i="1"/>
  <c r="B2729" i="1"/>
  <c r="G2729" i="1"/>
  <c r="K2729" i="1"/>
  <c r="A2730" i="1"/>
  <c r="B2730" i="1"/>
  <c r="G2730" i="1"/>
  <c r="K2730" i="1"/>
  <c r="A2731" i="1"/>
  <c r="B2731" i="1"/>
  <c r="G2731" i="1"/>
  <c r="K2731" i="1"/>
  <c r="A2732" i="1"/>
  <c r="B2732" i="1"/>
  <c r="G2732" i="1"/>
  <c r="K2732" i="1"/>
  <c r="A2733" i="1"/>
  <c r="B2733" i="1"/>
  <c r="G2733" i="1"/>
  <c r="K2733" i="1"/>
  <c r="A2734" i="1"/>
  <c r="B2734" i="1"/>
  <c r="G2734" i="1"/>
  <c r="K2734" i="1"/>
  <c r="A2735" i="1"/>
  <c r="B2735" i="1"/>
  <c r="G2735" i="1"/>
  <c r="K2735" i="1"/>
  <c r="A2736" i="1"/>
  <c r="B2736" i="1"/>
  <c r="G2736" i="1"/>
  <c r="K2736" i="1"/>
  <c r="A2737" i="1"/>
  <c r="B2737" i="1"/>
  <c r="G2737" i="1"/>
  <c r="K2737" i="1"/>
  <c r="A2738" i="1"/>
  <c r="B2738" i="1"/>
  <c r="G2738" i="1"/>
  <c r="K2738" i="1"/>
  <c r="A2739" i="1"/>
  <c r="B2739" i="1"/>
  <c r="G2739" i="1"/>
  <c r="K2739" i="1"/>
  <c r="A2740" i="1"/>
  <c r="B2740" i="1"/>
  <c r="G2740" i="1"/>
  <c r="K2740" i="1"/>
  <c r="A2741" i="1"/>
  <c r="B2741" i="1"/>
  <c r="G2741" i="1"/>
  <c r="K2741" i="1"/>
  <c r="A2742" i="1"/>
  <c r="B2742" i="1"/>
  <c r="G2742" i="1"/>
  <c r="K2742" i="1"/>
  <c r="A2743" i="1"/>
  <c r="B2743" i="1"/>
  <c r="G2743" i="1"/>
  <c r="K2743" i="1"/>
  <c r="A2744" i="1"/>
  <c r="B2744" i="1"/>
  <c r="G2744" i="1"/>
  <c r="K2744" i="1"/>
  <c r="A2745" i="1"/>
  <c r="B2745" i="1"/>
  <c r="G2745" i="1"/>
  <c r="K2745" i="1"/>
  <c r="A2746" i="1"/>
  <c r="B2746" i="1"/>
  <c r="G2746" i="1"/>
  <c r="K2746" i="1"/>
  <c r="A2747" i="1"/>
  <c r="B2747" i="1"/>
  <c r="G2747" i="1"/>
  <c r="K2747" i="1"/>
  <c r="A2748" i="1"/>
  <c r="B2748" i="1"/>
  <c r="G2748" i="1"/>
  <c r="K2748" i="1"/>
  <c r="A2749" i="1"/>
  <c r="B2749" i="1"/>
  <c r="G2749" i="1"/>
  <c r="K2749" i="1"/>
  <c r="A2750" i="1"/>
  <c r="B2750" i="1"/>
  <c r="G2750" i="1"/>
  <c r="K2750" i="1"/>
  <c r="A2751" i="1"/>
  <c r="B2751" i="1"/>
  <c r="G2751" i="1"/>
  <c r="K2751" i="1"/>
  <c r="A2752" i="1"/>
  <c r="B2752" i="1"/>
  <c r="G2752" i="1"/>
  <c r="K2752" i="1"/>
  <c r="A2753" i="1"/>
  <c r="B2753" i="1"/>
  <c r="G2753" i="1"/>
  <c r="K2753" i="1"/>
  <c r="A2754" i="1"/>
  <c r="B2754" i="1"/>
  <c r="G2754" i="1"/>
  <c r="K2754" i="1"/>
  <c r="A2755" i="1"/>
  <c r="B2755" i="1"/>
  <c r="G2755" i="1"/>
  <c r="K2755" i="1"/>
  <c r="A2756" i="1"/>
  <c r="B2756" i="1"/>
  <c r="G2756" i="1"/>
  <c r="K2756" i="1"/>
  <c r="A2757" i="1"/>
  <c r="B2757" i="1"/>
  <c r="G2757" i="1"/>
  <c r="K2757" i="1"/>
  <c r="A2758" i="1"/>
  <c r="B2758" i="1"/>
  <c r="G2758" i="1"/>
  <c r="K2758" i="1"/>
  <c r="A2759" i="1"/>
  <c r="B2759" i="1"/>
  <c r="G2759" i="1"/>
  <c r="K2759" i="1"/>
  <c r="A2760" i="1"/>
  <c r="B2760" i="1"/>
  <c r="G2760" i="1"/>
  <c r="K2760" i="1"/>
  <c r="A2761" i="1"/>
  <c r="B2761" i="1"/>
  <c r="G2761" i="1"/>
  <c r="K2761" i="1"/>
  <c r="A2762" i="1"/>
  <c r="B2762" i="1"/>
  <c r="G2762" i="1"/>
  <c r="K2762" i="1"/>
  <c r="A2763" i="1"/>
  <c r="B2763" i="1"/>
  <c r="G2763" i="1"/>
  <c r="K2763" i="1"/>
  <c r="A2764" i="1"/>
  <c r="B2764" i="1"/>
  <c r="G2764" i="1"/>
  <c r="K2764" i="1"/>
  <c r="A2765" i="1"/>
  <c r="B2765" i="1"/>
  <c r="G2765" i="1"/>
  <c r="K2765" i="1"/>
  <c r="A2766" i="1"/>
  <c r="B2766" i="1"/>
  <c r="G2766" i="1"/>
  <c r="K2766" i="1"/>
  <c r="A2767" i="1"/>
  <c r="B2767" i="1"/>
  <c r="G2767" i="1"/>
  <c r="K2767" i="1"/>
  <c r="A2768" i="1"/>
  <c r="B2768" i="1"/>
  <c r="G2768" i="1"/>
  <c r="K2768" i="1"/>
  <c r="A2769" i="1"/>
  <c r="B2769" i="1"/>
  <c r="G2769" i="1"/>
  <c r="K2769" i="1"/>
  <c r="A2770" i="1"/>
  <c r="B2770" i="1"/>
  <c r="G2770" i="1"/>
  <c r="K2770" i="1"/>
  <c r="A2771" i="1"/>
  <c r="B2771" i="1"/>
  <c r="G2771" i="1"/>
  <c r="K2771" i="1"/>
  <c r="A2772" i="1"/>
  <c r="B2772" i="1"/>
  <c r="G2772" i="1"/>
  <c r="K2772" i="1"/>
  <c r="A2773" i="1"/>
  <c r="B2773" i="1"/>
  <c r="G2773" i="1"/>
  <c r="K2773" i="1"/>
  <c r="A2774" i="1"/>
  <c r="B2774" i="1"/>
  <c r="G2774" i="1"/>
  <c r="K2774" i="1"/>
  <c r="A2775" i="1"/>
  <c r="B2775" i="1"/>
  <c r="G2775" i="1"/>
  <c r="K2775" i="1"/>
  <c r="A2776" i="1"/>
  <c r="B2776" i="1"/>
  <c r="G2776" i="1"/>
  <c r="K2776" i="1"/>
  <c r="A2777" i="1"/>
  <c r="B2777" i="1"/>
  <c r="G2777" i="1"/>
  <c r="K2777" i="1"/>
  <c r="A2778" i="1"/>
  <c r="B2778" i="1"/>
  <c r="G2778" i="1"/>
  <c r="K2778" i="1"/>
  <c r="A2779" i="1"/>
  <c r="B2779" i="1"/>
  <c r="G2779" i="1"/>
  <c r="K2779" i="1"/>
  <c r="A2780" i="1"/>
  <c r="B2780" i="1"/>
  <c r="G2780" i="1"/>
  <c r="K2780" i="1"/>
  <c r="A2781" i="1"/>
  <c r="B2781" i="1"/>
  <c r="G2781" i="1"/>
  <c r="K2781" i="1"/>
  <c r="A2782" i="1"/>
  <c r="B2782" i="1"/>
  <c r="G2782" i="1"/>
  <c r="K2782" i="1"/>
  <c r="A2783" i="1"/>
  <c r="B2783" i="1"/>
  <c r="G2783" i="1"/>
  <c r="K2783" i="1"/>
  <c r="A2784" i="1"/>
  <c r="B2784" i="1"/>
  <c r="G2784" i="1"/>
  <c r="K2784" i="1"/>
  <c r="A2785" i="1"/>
  <c r="B2785" i="1"/>
  <c r="G2785" i="1"/>
  <c r="K2785" i="1"/>
  <c r="A2786" i="1"/>
  <c r="B2786" i="1"/>
  <c r="G2786" i="1"/>
  <c r="K2786" i="1"/>
  <c r="A2787" i="1"/>
  <c r="B2787" i="1"/>
  <c r="G2787" i="1"/>
  <c r="K2787" i="1"/>
  <c r="A2788" i="1"/>
  <c r="B2788" i="1"/>
  <c r="G2788" i="1"/>
  <c r="K2788" i="1"/>
  <c r="A2789" i="1"/>
  <c r="B2789" i="1"/>
  <c r="G2789" i="1"/>
  <c r="K2789" i="1"/>
  <c r="A2790" i="1"/>
  <c r="B2790" i="1"/>
  <c r="G2790" i="1"/>
  <c r="K2790" i="1"/>
  <c r="A2791" i="1"/>
  <c r="B2791" i="1"/>
  <c r="G2791" i="1"/>
  <c r="K2791" i="1"/>
  <c r="A2792" i="1"/>
  <c r="B2792" i="1"/>
  <c r="G2792" i="1"/>
  <c r="K2792" i="1"/>
  <c r="A2793" i="1"/>
  <c r="B2793" i="1"/>
  <c r="G2793" i="1"/>
  <c r="K2793" i="1"/>
  <c r="A2794" i="1"/>
  <c r="B2794" i="1"/>
  <c r="G2794" i="1"/>
  <c r="K2794" i="1"/>
  <c r="A2795" i="1"/>
  <c r="B2795" i="1"/>
  <c r="G2795" i="1"/>
  <c r="K2795" i="1"/>
  <c r="A2796" i="1"/>
  <c r="B2796" i="1"/>
  <c r="G2796" i="1"/>
  <c r="K2796" i="1"/>
  <c r="A2797" i="1"/>
  <c r="B2797" i="1"/>
  <c r="G2797" i="1"/>
  <c r="K2797" i="1"/>
  <c r="A2798" i="1"/>
  <c r="B2798" i="1"/>
  <c r="G2798" i="1"/>
  <c r="K2798" i="1"/>
  <c r="A2799" i="1"/>
  <c r="B2799" i="1"/>
  <c r="G2799" i="1"/>
  <c r="K2799" i="1"/>
  <c r="A2800" i="1"/>
  <c r="B2800" i="1"/>
  <c r="G2800" i="1"/>
  <c r="K2800" i="1"/>
  <c r="A2801" i="1"/>
  <c r="B2801" i="1"/>
  <c r="G2801" i="1"/>
  <c r="K2801" i="1"/>
  <c r="A2802" i="1"/>
  <c r="B2802" i="1"/>
  <c r="G2802" i="1"/>
  <c r="K2802" i="1"/>
  <c r="A2803" i="1"/>
  <c r="B2803" i="1"/>
  <c r="G2803" i="1"/>
  <c r="K2803" i="1"/>
  <c r="A2804" i="1"/>
  <c r="B2804" i="1"/>
  <c r="G2804" i="1"/>
  <c r="K2804" i="1"/>
  <c r="A2805" i="1"/>
  <c r="B2805" i="1"/>
  <c r="G2805" i="1"/>
  <c r="K2805" i="1"/>
  <c r="A2806" i="1"/>
  <c r="B2806" i="1"/>
  <c r="G2806" i="1"/>
  <c r="K2806" i="1"/>
  <c r="A2807" i="1"/>
  <c r="B2807" i="1"/>
  <c r="G2807" i="1"/>
  <c r="K2807" i="1"/>
  <c r="A2808" i="1"/>
  <c r="B2808" i="1"/>
  <c r="G2808" i="1"/>
  <c r="K2808" i="1"/>
  <c r="A2809" i="1"/>
  <c r="B2809" i="1"/>
  <c r="G2809" i="1"/>
  <c r="K2809" i="1"/>
  <c r="A2810" i="1"/>
  <c r="B2810" i="1"/>
  <c r="G2810" i="1"/>
  <c r="K2810" i="1"/>
  <c r="A2811" i="1"/>
  <c r="B2811" i="1"/>
  <c r="G2811" i="1"/>
  <c r="K2811" i="1"/>
  <c r="A2812" i="1"/>
  <c r="B2812" i="1"/>
  <c r="G2812" i="1"/>
  <c r="K2812" i="1"/>
  <c r="A2813" i="1"/>
  <c r="B2813" i="1"/>
  <c r="G2813" i="1"/>
  <c r="K2813" i="1"/>
  <c r="A2814" i="1"/>
  <c r="B2814" i="1"/>
  <c r="G2814" i="1"/>
  <c r="K2814" i="1"/>
  <c r="A2815" i="1"/>
  <c r="B2815" i="1"/>
  <c r="G2815" i="1"/>
  <c r="K2815" i="1"/>
  <c r="A2816" i="1"/>
  <c r="B2816" i="1"/>
  <c r="G2816" i="1"/>
  <c r="K2816" i="1"/>
  <c r="A2817" i="1"/>
  <c r="B2817" i="1"/>
  <c r="G2817" i="1"/>
  <c r="K2817" i="1"/>
  <c r="A2818" i="1"/>
  <c r="B2818" i="1"/>
  <c r="G2818" i="1"/>
  <c r="K2818" i="1"/>
  <c r="A2819" i="1"/>
  <c r="B2819" i="1"/>
  <c r="G2819" i="1"/>
  <c r="K2819" i="1"/>
  <c r="A2820" i="1"/>
  <c r="B2820" i="1"/>
  <c r="G2820" i="1"/>
  <c r="K2820" i="1"/>
  <c r="A2821" i="1"/>
  <c r="B2821" i="1"/>
  <c r="G2821" i="1"/>
  <c r="K2821" i="1"/>
  <c r="A2822" i="1"/>
  <c r="B2822" i="1"/>
  <c r="G2822" i="1"/>
  <c r="K2822" i="1"/>
  <c r="A2823" i="1"/>
  <c r="B2823" i="1"/>
  <c r="G2823" i="1"/>
  <c r="K2823" i="1"/>
  <c r="A2824" i="1"/>
  <c r="B2824" i="1"/>
  <c r="G2824" i="1"/>
  <c r="K2824" i="1"/>
  <c r="A2825" i="1"/>
  <c r="B2825" i="1"/>
  <c r="G2825" i="1"/>
  <c r="K2825" i="1"/>
  <c r="A2826" i="1"/>
  <c r="B2826" i="1"/>
  <c r="G2826" i="1"/>
  <c r="K2826" i="1"/>
  <c r="A2827" i="1"/>
  <c r="B2827" i="1"/>
  <c r="G2827" i="1"/>
  <c r="K2827" i="1"/>
  <c r="A2828" i="1"/>
  <c r="B2828" i="1"/>
  <c r="G2828" i="1"/>
  <c r="K2828" i="1"/>
  <c r="A2829" i="1"/>
  <c r="B2829" i="1"/>
  <c r="G2829" i="1"/>
  <c r="K2829" i="1"/>
  <c r="A2830" i="1"/>
  <c r="B2830" i="1"/>
  <c r="G2830" i="1"/>
  <c r="K2830" i="1"/>
  <c r="A2831" i="1"/>
  <c r="B2831" i="1"/>
  <c r="G2831" i="1"/>
  <c r="K2831" i="1"/>
  <c r="A2832" i="1"/>
  <c r="B2832" i="1"/>
  <c r="G2832" i="1"/>
  <c r="K2832" i="1"/>
  <c r="A2833" i="1"/>
  <c r="B2833" i="1"/>
  <c r="G2833" i="1"/>
  <c r="K2833" i="1"/>
  <c r="A2834" i="1"/>
  <c r="B2834" i="1"/>
  <c r="G2834" i="1"/>
  <c r="K2834" i="1"/>
  <c r="A2835" i="1"/>
  <c r="B2835" i="1"/>
  <c r="G2835" i="1"/>
  <c r="K2835" i="1"/>
  <c r="A2836" i="1"/>
  <c r="B2836" i="1"/>
  <c r="G2836" i="1"/>
  <c r="K2836" i="1"/>
  <c r="A2837" i="1"/>
  <c r="B2837" i="1"/>
  <c r="G2837" i="1"/>
  <c r="K2837" i="1"/>
  <c r="A2838" i="1"/>
  <c r="B2838" i="1"/>
  <c r="G2838" i="1"/>
  <c r="K2838" i="1"/>
  <c r="A2839" i="1"/>
  <c r="B2839" i="1"/>
  <c r="G2839" i="1"/>
  <c r="K2839" i="1"/>
  <c r="A2840" i="1"/>
  <c r="B2840" i="1"/>
  <c r="G2840" i="1"/>
  <c r="K2840" i="1"/>
  <c r="A2841" i="1"/>
  <c r="B2841" i="1"/>
  <c r="G2841" i="1"/>
  <c r="K2841" i="1"/>
  <c r="A2842" i="1"/>
  <c r="B2842" i="1"/>
  <c r="G2842" i="1"/>
  <c r="K2842" i="1"/>
  <c r="A2843" i="1"/>
  <c r="B2843" i="1"/>
  <c r="G2843" i="1"/>
  <c r="K2843" i="1"/>
  <c r="A2844" i="1"/>
  <c r="B2844" i="1"/>
  <c r="G2844" i="1"/>
  <c r="K2844" i="1"/>
  <c r="A2845" i="1"/>
  <c r="B2845" i="1"/>
  <c r="G2845" i="1"/>
  <c r="K2845" i="1"/>
  <c r="A2846" i="1"/>
  <c r="B2846" i="1"/>
  <c r="G2846" i="1"/>
  <c r="K2846" i="1"/>
  <c r="A2847" i="1"/>
  <c r="B2847" i="1"/>
  <c r="G2847" i="1"/>
  <c r="K2847" i="1"/>
  <c r="A2848" i="1"/>
  <c r="B2848" i="1"/>
  <c r="G2848" i="1"/>
  <c r="K2848" i="1"/>
  <c r="A2849" i="1"/>
  <c r="B2849" i="1"/>
  <c r="G2849" i="1"/>
  <c r="K2849" i="1"/>
  <c r="A2850" i="1"/>
  <c r="B2850" i="1"/>
  <c r="G2850" i="1"/>
  <c r="K2850" i="1"/>
  <c r="A2851" i="1"/>
  <c r="B2851" i="1"/>
  <c r="G2851" i="1"/>
  <c r="K2851" i="1"/>
  <c r="A2852" i="1"/>
  <c r="B2852" i="1"/>
  <c r="G2852" i="1"/>
  <c r="K2852" i="1"/>
  <c r="A2853" i="1"/>
  <c r="B2853" i="1"/>
  <c r="G2853" i="1"/>
  <c r="K2853" i="1"/>
  <c r="A2854" i="1"/>
  <c r="B2854" i="1"/>
  <c r="G2854" i="1"/>
  <c r="K2854" i="1"/>
  <c r="A2855" i="1"/>
  <c r="B2855" i="1"/>
  <c r="G2855" i="1"/>
  <c r="K2855" i="1"/>
  <c r="A2856" i="1"/>
  <c r="B2856" i="1"/>
  <c r="G2856" i="1"/>
  <c r="K2856" i="1"/>
  <c r="A2857" i="1"/>
  <c r="B2857" i="1"/>
  <c r="G2857" i="1"/>
  <c r="K2857" i="1"/>
  <c r="A2858" i="1"/>
  <c r="B2858" i="1"/>
  <c r="G2858" i="1"/>
  <c r="K2858" i="1"/>
  <c r="A2859" i="1"/>
  <c r="B2859" i="1"/>
  <c r="G2859" i="1"/>
  <c r="K2859" i="1"/>
  <c r="A2860" i="1"/>
  <c r="B2860" i="1"/>
  <c r="G2860" i="1"/>
  <c r="K2860" i="1"/>
  <c r="A2861" i="1"/>
  <c r="B2861" i="1"/>
  <c r="G2861" i="1"/>
  <c r="K2861" i="1"/>
  <c r="A2862" i="1"/>
  <c r="B2862" i="1"/>
  <c r="G2862" i="1"/>
  <c r="K2862" i="1"/>
  <c r="A2863" i="1"/>
  <c r="B2863" i="1"/>
  <c r="G2863" i="1"/>
  <c r="K2863" i="1"/>
  <c r="A2864" i="1"/>
  <c r="B2864" i="1"/>
  <c r="G2864" i="1"/>
  <c r="K2864" i="1"/>
  <c r="A2865" i="1"/>
  <c r="B2865" i="1"/>
  <c r="G2865" i="1"/>
  <c r="K2865" i="1"/>
  <c r="A2866" i="1"/>
  <c r="B2866" i="1"/>
  <c r="G2866" i="1"/>
  <c r="K2866" i="1"/>
  <c r="A2867" i="1"/>
  <c r="B2867" i="1"/>
  <c r="G2867" i="1"/>
  <c r="K2867" i="1"/>
  <c r="A2868" i="1"/>
  <c r="B2868" i="1"/>
  <c r="G2868" i="1"/>
  <c r="K2868" i="1"/>
  <c r="A2869" i="1"/>
  <c r="B2869" i="1"/>
  <c r="G2869" i="1"/>
  <c r="K2869" i="1"/>
  <c r="A2870" i="1"/>
  <c r="B2870" i="1"/>
  <c r="G2870" i="1"/>
  <c r="K2870" i="1"/>
  <c r="A2871" i="1"/>
  <c r="B2871" i="1"/>
  <c r="G2871" i="1"/>
  <c r="K2871" i="1"/>
  <c r="A2872" i="1"/>
  <c r="B2872" i="1"/>
  <c r="G2872" i="1"/>
  <c r="K2872" i="1"/>
  <c r="A2873" i="1"/>
  <c r="B2873" i="1"/>
  <c r="G2873" i="1"/>
  <c r="K2873" i="1"/>
  <c r="A2874" i="1"/>
  <c r="B2874" i="1"/>
  <c r="G2874" i="1"/>
  <c r="K2874" i="1"/>
  <c r="A2875" i="1"/>
  <c r="B2875" i="1"/>
  <c r="G2875" i="1"/>
  <c r="K2875" i="1"/>
  <c r="A2876" i="1"/>
  <c r="B2876" i="1"/>
  <c r="G2876" i="1"/>
  <c r="K2876" i="1"/>
  <c r="A2877" i="1"/>
  <c r="B2877" i="1"/>
  <c r="G2877" i="1"/>
  <c r="K2877" i="1"/>
  <c r="A2878" i="1"/>
  <c r="B2878" i="1"/>
  <c r="G2878" i="1"/>
  <c r="K2878" i="1"/>
  <c r="A2879" i="1"/>
  <c r="B2879" i="1"/>
  <c r="G2879" i="1"/>
  <c r="K2879" i="1"/>
  <c r="A2880" i="1"/>
  <c r="B2880" i="1"/>
  <c r="G2880" i="1"/>
  <c r="K2880" i="1"/>
  <c r="A2881" i="1"/>
  <c r="B2881" i="1"/>
  <c r="G2881" i="1"/>
  <c r="K2881" i="1"/>
  <c r="A2882" i="1"/>
  <c r="B2882" i="1"/>
  <c r="G2882" i="1"/>
  <c r="K2882" i="1"/>
  <c r="A2883" i="1"/>
  <c r="B2883" i="1"/>
  <c r="G2883" i="1"/>
  <c r="K2883" i="1"/>
  <c r="A2884" i="1"/>
  <c r="B2884" i="1"/>
  <c r="G2884" i="1"/>
  <c r="K2884" i="1"/>
  <c r="A2885" i="1"/>
  <c r="B2885" i="1"/>
  <c r="G2885" i="1"/>
  <c r="K2885" i="1"/>
  <c r="A2886" i="1"/>
  <c r="B2886" i="1"/>
  <c r="G2886" i="1"/>
  <c r="K2886" i="1"/>
  <c r="A2887" i="1"/>
  <c r="B2887" i="1"/>
  <c r="G2887" i="1"/>
  <c r="K2887" i="1"/>
  <c r="A2888" i="1"/>
  <c r="B2888" i="1"/>
  <c r="G2888" i="1"/>
  <c r="K2888" i="1"/>
  <c r="A2889" i="1"/>
  <c r="B2889" i="1"/>
  <c r="G2889" i="1"/>
  <c r="K2889" i="1"/>
  <c r="A2890" i="1"/>
  <c r="B2890" i="1"/>
  <c r="G2890" i="1"/>
  <c r="K2890" i="1"/>
  <c r="A2891" i="1"/>
  <c r="B2891" i="1"/>
  <c r="G2891" i="1"/>
  <c r="K2891" i="1"/>
  <c r="A2892" i="1"/>
  <c r="B2892" i="1"/>
  <c r="G2892" i="1"/>
  <c r="K2892" i="1"/>
  <c r="A2893" i="1"/>
  <c r="B2893" i="1"/>
  <c r="G2893" i="1"/>
  <c r="K2893" i="1"/>
  <c r="A2894" i="1"/>
  <c r="B2894" i="1"/>
  <c r="G2894" i="1"/>
  <c r="K2894" i="1"/>
  <c r="A2895" i="1"/>
  <c r="B2895" i="1"/>
  <c r="G2895" i="1"/>
  <c r="K2895" i="1"/>
  <c r="A2896" i="1"/>
  <c r="B2896" i="1"/>
  <c r="G2896" i="1"/>
  <c r="K2896" i="1"/>
  <c r="A2897" i="1"/>
  <c r="B2897" i="1"/>
  <c r="G2897" i="1"/>
  <c r="K2897" i="1"/>
  <c r="A2898" i="1"/>
  <c r="B2898" i="1"/>
  <c r="G2898" i="1"/>
  <c r="K2898" i="1"/>
  <c r="A2899" i="1"/>
  <c r="B2899" i="1"/>
  <c r="G2899" i="1"/>
  <c r="K2899" i="1"/>
  <c r="A2900" i="1"/>
  <c r="B2900" i="1"/>
  <c r="G2900" i="1"/>
  <c r="K2900" i="1"/>
  <c r="A2901" i="1"/>
  <c r="B2901" i="1"/>
  <c r="G2901" i="1"/>
  <c r="K2901" i="1"/>
  <c r="A2902" i="1"/>
  <c r="B2902" i="1"/>
  <c r="G2902" i="1"/>
  <c r="K2902" i="1"/>
  <c r="A2903" i="1"/>
  <c r="B2903" i="1"/>
  <c r="G2903" i="1"/>
  <c r="K2903" i="1"/>
  <c r="A2904" i="1"/>
  <c r="B2904" i="1"/>
  <c r="G2904" i="1"/>
  <c r="K2904" i="1"/>
  <c r="A2905" i="1"/>
  <c r="B2905" i="1"/>
  <c r="G2905" i="1"/>
  <c r="K2905" i="1"/>
  <c r="A2906" i="1"/>
  <c r="B2906" i="1"/>
  <c r="G2906" i="1"/>
  <c r="K2906" i="1"/>
  <c r="A2907" i="1"/>
  <c r="B2907" i="1"/>
  <c r="G2907" i="1"/>
  <c r="K2907" i="1"/>
  <c r="A2908" i="1"/>
  <c r="B2908" i="1"/>
  <c r="G2908" i="1"/>
  <c r="K2908" i="1"/>
  <c r="A2909" i="1"/>
  <c r="B2909" i="1"/>
  <c r="G2909" i="1"/>
  <c r="K2909" i="1"/>
  <c r="A2910" i="1"/>
  <c r="B2910" i="1"/>
  <c r="G2910" i="1"/>
  <c r="K2910" i="1"/>
  <c r="A2911" i="1"/>
  <c r="B2911" i="1"/>
  <c r="G2911" i="1"/>
  <c r="K2911" i="1"/>
  <c r="A2912" i="1"/>
  <c r="B2912" i="1"/>
  <c r="G2912" i="1"/>
  <c r="K2912" i="1"/>
  <c r="A2913" i="1"/>
  <c r="B2913" i="1"/>
  <c r="G2913" i="1"/>
  <c r="K2913" i="1"/>
  <c r="A2914" i="1"/>
  <c r="B2914" i="1"/>
  <c r="G2914" i="1"/>
  <c r="K2914" i="1"/>
  <c r="A2915" i="1"/>
  <c r="B2915" i="1"/>
  <c r="G2915" i="1"/>
  <c r="K2915" i="1"/>
  <c r="A2916" i="1"/>
  <c r="B2916" i="1"/>
  <c r="G2916" i="1"/>
  <c r="K2916" i="1"/>
  <c r="A2917" i="1"/>
  <c r="B2917" i="1"/>
  <c r="G2917" i="1"/>
  <c r="K2917" i="1"/>
  <c r="A2918" i="1"/>
  <c r="B2918" i="1"/>
  <c r="G2918" i="1"/>
  <c r="K2918" i="1"/>
  <c r="A2919" i="1"/>
  <c r="B2919" i="1"/>
  <c r="G2919" i="1"/>
  <c r="K2919" i="1"/>
  <c r="A2920" i="1"/>
  <c r="B2920" i="1"/>
  <c r="G2920" i="1"/>
  <c r="K2920" i="1"/>
  <c r="A2921" i="1"/>
  <c r="B2921" i="1"/>
  <c r="G2921" i="1"/>
  <c r="K2921" i="1"/>
  <c r="A2922" i="1"/>
  <c r="B2922" i="1"/>
  <c r="G2922" i="1"/>
  <c r="K2922" i="1"/>
  <c r="A2923" i="1"/>
  <c r="B2923" i="1"/>
  <c r="G2923" i="1"/>
  <c r="K2923" i="1"/>
  <c r="A2924" i="1"/>
  <c r="B2924" i="1"/>
  <c r="G2924" i="1"/>
  <c r="K2924" i="1"/>
  <c r="A2925" i="1"/>
  <c r="B2925" i="1"/>
  <c r="G2925" i="1"/>
  <c r="K2925" i="1"/>
  <c r="A2926" i="1"/>
  <c r="B2926" i="1"/>
  <c r="G2926" i="1"/>
  <c r="K2926" i="1"/>
  <c r="A2927" i="1"/>
  <c r="B2927" i="1"/>
  <c r="G2927" i="1"/>
  <c r="K2927" i="1"/>
  <c r="A2928" i="1"/>
  <c r="B2928" i="1"/>
  <c r="G2928" i="1"/>
  <c r="K2928" i="1"/>
  <c r="A2929" i="1"/>
  <c r="B2929" i="1"/>
  <c r="G2929" i="1"/>
  <c r="K2929" i="1"/>
  <c r="A2930" i="1"/>
  <c r="B2930" i="1"/>
  <c r="G2930" i="1"/>
  <c r="K2930" i="1"/>
  <c r="A2931" i="1"/>
  <c r="B2931" i="1"/>
  <c r="G2931" i="1"/>
  <c r="K2931" i="1"/>
  <c r="A2932" i="1"/>
  <c r="B2932" i="1"/>
  <c r="G2932" i="1"/>
  <c r="K2932" i="1"/>
  <c r="A2933" i="1"/>
  <c r="B2933" i="1"/>
  <c r="G2933" i="1"/>
  <c r="K2933" i="1"/>
  <c r="A2934" i="1"/>
  <c r="B2934" i="1"/>
  <c r="G2934" i="1"/>
  <c r="K2934" i="1"/>
  <c r="A2935" i="1"/>
  <c r="B2935" i="1"/>
  <c r="G2935" i="1"/>
  <c r="K2935" i="1"/>
  <c r="A2936" i="1"/>
  <c r="B2936" i="1"/>
  <c r="G2936" i="1"/>
  <c r="K2936" i="1"/>
  <c r="A2937" i="1"/>
  <c r="B2937" i="1"/>
  <c r="G2937" i="1"/>
  <c r="K2937" i="1"/>
  <c r="A2938" i="1"/>
  <c r="B2938" i="1"/>
  <c r="G2938" i="1"/>
  <c r="K2938" i="1"/>
  <c r="A2939" i="1"/>
  <c r="B2939" i="1"/>
  <c r="G2939" i="1"/>
  <c r="K2939" i="1"/>
  <c r="A2940" i="1"/>
  <c r="B2940" i="1"/>
  <c r="G2940" i="1"/>
  <c r="K2940" i="1"/>
  <c r="A2941" i="1"/>
  <c r="B2941" i="1"/>
  <c r="G2941" i="1"/>
  <c r="K2941" i="1"/>
  <c r="A2942" i="1"/>
  <c r="B2942" i="1"/>
  <c r="G2942" i="1"/>
  <c r="K2942" i="1"/>
  <c r="A2943" i="1"/>
  <c r="B2943" i="1"/>
  <c r="G2943" i="1"/>
  <c r="K2943" i="1"/>
  <c r="A2944" i="1"/>
  <c r="B2944" i="1"/>
  <c r="G2944" i="1"/>
  <c r="K2944" i="1"/>
  <c r="A2945" i="1"/>
  <c r="B2945" i="1"/>
  <c r="G2945" i="1"/>
  <c r="K2945" i="1"/>
  <c r="A2946" i="1"/>
  <c r="B2946" i="1"/>
  <c r="G2946" i="1"/>
  <c r="K2946" i="1"/>
  <c r="A2947" i="1"/>
  <c r="B2947" i="1"/>
  <c r="G2947" i="1"/>
  <c r="K2947" i="1"/>
  <c r="A2948" i="1"/>
  <c r="B2948" i="1"/>
  <c r="G2948" i="1"/>
  <c r="K2948" i="1"/>
  <c r="A2949" i="1"/>
  <c r="B2949" i="1"/>
  <c r="G2949" i="1"/>
  <c r="K2949" i="1"/>
  <c r="A2950" i="1"/>
  <c r="B2950" i="1"/>
  <c r="G2950" i="1"/>
  <c r="K2950" i="1"/>
  <c r="A2951" i="1"/>
  <c r="B2951" i="1"/>
  <c r="G2951" i="1"/>
  <c r="K2951" i="1"/>
  <c r="A2952" i="1"/>
  <c r="B2952" i="1"/>
  <c r="G2952" i="1"/>
  <c r="K2952" i="1"/>
  <c r="A2953" i="1"/>
  <c r="B2953" i="1"/>
  <c r="G2953" i="1"/>
  <c r="K2953" i="1"/>
  <c r="A2954" i="1"/>
  <c r="B2954" i="1"/>
  <c r="G2954" i="1"/>
  <c r="K2954" i="1"/>
  <c r="A2955" i="1"/>
  <c r="B2955" i="1"/>
  <c r="G2955" i="1"/>
  <c r="K2955" i="1"/>
  <c r="A2956" i="1"/>
  <c r="B2956" i="1"/>
  <c r="G2956" i="1"/>
  <c r="K2956" i="1"/>
  <c r="A2957" i="1"/>
  <c r="B2957" i="1"/>
  <c r="G2957" i="1"/>
  <c r="K2957" i="1"/>
  <c r="A2958" i="1"/>
  <c r="B2958" i="1"/>
  <c r="G2958" i="1"/>
  <c r="K2958" i="1"/>
  <c r="A2959" i="1"/>
  <c r="B2959" i="1"/>
  <c r="G2959" i="1"/>
  <c r="K2959" i="1"/>
  <c r="A2960" i="1"/>
  <c r="B2960" i="1"/>
  <c r="G2960" i="1"/>
  <c r="K2960" i="1"/>
  <c r="A2961" i="1"/>
  <c r="B2961" i="1"/>
  <c r="G2961" i="1"/>
  <c r="K2961" i="1"/>
  <c r="A2962" i="1"/>
  <c r="B2962" i="1"/>
  <c r="G2962" i="1"/>
  <c r="K2962" i="1"/>
  <c r="A2963" i="1"/>
  <c r="B2963" i="1"/>
  <c r="G2963" i="1"/>
  <c r="K2963" i="1"/>
  <c r="A2964" i="1"/>
  <c r="B2964" i="1"/>
  <c r="G2964" i="1"/>
  <c r="K2964" i="1"/>
  <c r="A2965" i="1"/>
  <c r="B2965" i="1"/>
  <c r="G2965" i="1"/>
  <c r="K2965" i="1"/>
  <c r="A2966" i="1"/>
  <c r="B2966" i="1"/>
  <c r="G2966" i="1"/>
  <c r="K2966" i="1"/>
  <c r="A2967" i="1"/>
  <c r="B2967" i="1"/>
  <c r="G2967" i="1"/>
  <c r="K2967" i="1"/>
  <c r="A2968" i="1"/>
  <c r="B2968" i="1"/>
  <c r="G2968" i="1"/>
  <c r="K2968" i="1"/>
  <c r="A2969" i="1"/>
  <c r="B2969" i="1"/>
  <c r="G2969" i="1"/>
  <c r="K2969" i="1"/>
  <c r="A2970" i="1"/>
  <c r="B2970" i="1"/>
  <c r="G2970" i="1"/>
  <c r="K2970" i="1"/>
  <c r="A2971" i="1"/>
  <c r="B2971" i="1"/>
  <c r="G2971" i="1"/>
  <c r="K2971" i="1"/>
  <c r="A2972" i="1"/>
  <c r="B2972" i="1"/>
  <c r="G2972" i="1"/>
  <c r="K2972" i="1"/>
  <c r="A2973" i="1"/>
  <c r="B2973" i="1"/>
  <c r="G2973" i="1"/>
  <c r="K2973" i="1"/>
  <c r="A2974" i="1"/>
  <c r="B2974" i="1"/>
  <c r="G2974" i="1"/>
  <c r="K2974" i="1"/>
  <c r="A2975" i="1"/>
  <c r="B2975" i="1"/>
  <c r="G2975" i="1"/>
  <c r="K2975" i="1"/>
  <c r="A2976" i="1"/>
  <c r="B2976" i="1"/>
  <c r="G2976" i="1"/>
  <c r="K2976" i="1"/>
  <c r="A2977" i="1"/>
  <c r="B2977" i="1"/>
  <c r="G2977" i="1"/>
  <c r="K2977" i="1"/>
  <c r="A2978" i="1"/>
  <c r="B2978" i="1"/>
  <c r="G2978" i="1"/>
  <c r="K2978" i="1"/>
  <c r="A2979" i="1"/>
  <c r="B2979" i="1"/>
  <c r="G2979" i="1"/>
  <c r="K2979" i="1"/>
  <c r="A2980" i="1"/>
  <c r="B2980" i="1"/>
  <c r="G2980" i="1"/>
  <c r="K2980" i="1"/>
  <c r="A2981" i="1"/>
  <c r="B2981" i="1"/>
  <c r="G2981" i="1"/>
  <c r="K2981" i="1"/>
  <c r="A2982" i="1"/>
  <c r="B2982" i="1"/>
  <c r="G2982" i="1"/>
  <c r="K2982" i="1"/>
  <c r="A2983" i="1"/>
  <c r="B2983" i="1"/>
  <c r="G2983" i="1"/>
  <c r="K2983" i="1"/>
  <c r="A2984" i="1"/>
  <c r="B2984" i="1"/>
  <c r="G2984" i="1"/>
  <c r="K2984" i="1"/>
  <c r="A2985" i="1"/>
  <c r="B2985" i="1"/>
  <c r="G2985" i="1"/>
  <c r="K2985" i="1"/>
  <c r="A2986" i="1"/>
  <c r="B2986" i="1"/>
  <c r="G2986" i="1"/>
  <c r="K2986" i="1"/>
  <c r="A2987" i="1"/>
  <c r="B2987" i="1"/>
  <c r="G2987" i="1"/>
  <c r="K2987" i="1"/>
  <c r="A2988" i="1"/>
  <c r="B2988" i="1"/>
  <c r="G2988" i="1"/>
  <c r="K2988" i="1"/>
  <c r="A2989" i="1"/>
  <c r="B2989" i="1"/>
  <c r="G2989" i="1"/>
  <c r="K2989" i="1"/>
  <c r="A2990" i="1"/>
  <c r="B2990" i="1"/>
  <c r="G2990" i="1"/>
  <c r="K2990" i="1"/>
  <c r="A2991" i="1"/>
  <c r="B2991" i="1"/>
  <c r="G2991" i="1"/>
  <c r="K2991" i="1"/>
  <c r="A2992" i="1"/>
  <c r="B2992" i="1"/>
  <c r="G2992" i="1"/>
  <c r="K2992" i="1"/>
  <c r="A2993" i="1"/>
  <c r="B2993" i="1"/>
  <c r="G2993" i="1"/>
  <c r="K2993" i="1"/>
  <c r="A2994" i="1"/>
  <c r="B2994" i="1"/>
  <c r="G2994" i="1"/>
  <c r="K2994" i="1"/>
  <c r="A2995" i="1"/>
  <c r="B2995" i="1"/>
  <c r="G2995" i="1"/>
  <c r="K2995" i="1"/>
  <c r="A2996" i="1"/>
  <c r="B2996" i="1"/>
  <c r="G2996" i="1"/>
  <c r="K2996" i="1"/>
  <c r="A2997" i="1"/>
  <c r="B2997" i="1"/>
  <c r="G2997" i="1"/>
  <c r="K2997" i="1"/>
  <c r="A2998" i="1"/>
  <c r="B2998" i="1"/>
  <c r="G2998" i="1"/>
  <c r="K2998" i="1"/>
  <c r="A2999" i="1"/>
  <c r="B2999" i="1"/>
  <c r="G2999" i="1"/>
  <c r="K2999" i="1"/>
  <c r="A3000" i="1"/>
  <c r="B3000" i="1"/>
  <c r="G3000" i="1"/>
  <c r="K3000" i="1"/>
  <c r="A3001" i="1"/>
  <c r="B3001" i="1"/>
  <c r="G3001" i="1"/>
  <c r="K3001" i="1"/>
  <c r="A3002" i="1"/>
  <c r="B3002" i="1"/>
  <c r="G3002" i="1"/>
  <c r="K3002" i="1"/>
  <c r="A3003" i="1"/>
  <c r="B3003" i="1"/>
  <c r="G3003" i="1"/>
  <c r="K3003" i="1"/>
  <c r="A3004" i="1"/>
  <c r="B3004" i="1"/>
  <c r="G3004" i="1"/>
  <c r="K3004" i="1"/>
  <c r="A3005" i="1"/>
  <c r="B3005" i="1"/>
  <c r="G3005" i="1"/>
  <c r="K3005" i="1"/>
  <c r="A3006" i="1"/>
  <c r="B3006" i="1"/>
  <c r="G3006" i="1"/>
  <c r="K3006" i="1"/>
  <c r="A3007" i="1"/>
  <c r="B3007" i="1"/>
  <c r="G3007" i="1"/>
  <c r="K3007" i="1"/>
  <c r="A3008" i="1"/>
  <c r="B3008" i="1"/>
  <c r="G3008" i="1"/>
  <c r="K3008" i="1"/>
  <c r="A3009" i="1"/>
  <c r="B3009" i="1"/>
  <c r="G3009" i="1"/>
  <c r="K3009" i="1"/>
  <c r="A3010" i="1"/>
  <c r="B3010" i="1"/>
  <c r="G3010" i="1"/>
  <c r="K3010" i="1"/>
  <c r="A3011" i="1"/>
  <c r="B3011" i="1"/>
  <c r="G3011" i="1"/>
  <c r="K3011" i="1"/>
  <c r="A3012" i="1"/>
  <c r="B3012" i="1"/>
  <c r="G3012" i="1"/>
  <c r="K3012" i="1"/>
  <c r="A3013" i="1"/>
  <c r="B3013" i="1"/>
  <c r="G3013" i="1"/>
  <c r="K3013" i="1"/>
  <c r="A3014" i="1"/>
  <c r="B3014" i="1"/>
  <c r="G3014" i="1"/>
  <c r="K3014" i="1"/>
  <c r="A3015" i="1"/>
  <c r="B3015" i="1"/>
  <c r="G3015" i="1"/>
  <c r="K3015" i="1"/>
  <c r="A3016" i="1"/>
  <c r="B3016" i="1"/>
  <c r="G3016" i="1"/>
  <c r="K3016" i="1"/>
  <c r="A3017" i="1"/>
  <c r="B3017" i="1"/>
  <c r="G3017" i="1"/>
  <c r="K3017" i="1"/>
  <c r="A3018" i="1"/>
  <c r="B3018" i="1"/>
  <c r="G3018" i="1"/>
  <c r="K3018" i="1"/>
  <c r="A3019" i="1"/>
  <c r="B3019" i="1"/>
  <c r="G3019" i="1"/>
  <c r="K3019" i="1"/>
  <c r="A3020" i="1"/>
  <c r="B3020" i="1"/>
  <c r="G3020" i="1"/>
  <c r="K3020" i="1"/>
  <c r="A3021" i="1"/>
  <c r="B3021" i="1"/>
  <c r="G3021" i="1"/>
  <c r="K3021" i="1"/>
  <c r="A3022" i="1"/>
  <c r="B3022" i="1"/>
  <c r="G3022" i="1"/>
  <c r="K3022" i="1"/>
  <c r="A3023" i="1"/>
  <c r="B3023" i="1"/>
  <c r="G3023" i="1"/>
  <c r="K3023" i="1"/>
  <c r="A3024" i="1"/>
  <c r="B3024" i="1"/>
  <c r="G3024" i="1"/>
  <c r="K3024" i="1"/>
  <c r="A3025" i="1"/>
  <c r="B3025" i="1"/>
  <c r="G3025" i="1"/>
  <c r="K3025" i="1"/>
  <c r="A3026" i="1"/>
  <c r="B3026" i="1"/>
  <c r="G3026" i="1"/>
  <c r="K3026" i="1"/>
  <c r="A3027" i="1"/>
  <c r="B3027" i="1"/>
  <c r="G3027" i="1"/>
  <c r="K3027" i="1"/>
  <c r="A3028" i="1"/>
  <c r="B3028" i="1"/>
  <c r="G3028" i="1"/>
  <c r="K3028" i="1"/>
  <c r="A3029" i="1"/>
  <c r="B3029" i="1"/>
  <c r="G3029" i="1"/>
  <c r="K3029" i="1"/>
  <c r="A3030" i="1"/>
  <c r="B3030" i="1"/>
  <c r="G3030" i="1"/>
  <c r="K3030" i="1"/>
  <c r="A3031" i="1"/>
  <c r="B3031" i="1"/>
  <c r="G3031" i="1"/>
  <c r="K3031" i="1"/>
  <c r="A3032" i="1"/>
  <c r="B3032" i="1"/>
  <c r="G3032" i="1"/>
  <c r="K3032" i="1"/>
  <c r="A3033" i="1"/>
  <c r="B3033" i="1"/>
  <c r="G3033" i="1"/>
  <c r="K3033" i="1"/>
  <c r="A3034" i="1"/>
  <c r="B3034" i="1"/>
  <c r="G3034" i="1"/>
  <c r="K3034" i="1"/>
  <c r="A3035" i="1"/>
  <c r="B3035" i="1"/>
  <c r="G3035" i="1"/>
  <c r="K3035" i="1"/>
  <c r="A3036" i="1"/>
  <c r="B3036" i="1"/>
  <c r="G3036" i="1"/>
  <c r="K3036" i="1"/>
  <c r="A3037" i="1"/>
  <c r="B3037" i="1"/>
  <c r="G3037" i="1"/>
  <c r="K3037" i="1"/>
  <c r="A3038" i="1"/>
  <c r="B3038" i="1"/>
  <c r="G3038" i="1"/>
  <c r="K3038" i="1"/>
  <c r="A3039" i="1"/>
  <c r="B3039" i="1"/>
  <c r="G3039" i="1"/>
  <c r="K3039" i="1"/>
  <c r="A3040" i="1"/>
  <c r="B3040" i="1"/>
  <c r="G3040" i="1"/>
  <c r="K3040" i="1"/>
  <c r="A3041" i="1"/>
  <c r="B3041" i="1"/>
  <c r="G3041" i="1"/>
  <c r="K3041" i="1"/>
  <c r="A3042" i="1"/>
  <c r="B3042" i="1"/>
  <c r="G3042" i="1"/>
  <c r="K3042" i="1"/>
  <c r="A3043" i="1"/>
  <c r="B3043" i="1"/>
  <c r="G3043" i="1"/>
  <c r="K3043" i="1"/>
  <c r="A3044" i="1"/>
  <c r="B3044" i="1"/>
  <c r="G3044" i="1"/>
  <c r="K3044" i="1"/>
  <c r="A3045" i="1"/>
  <c r="B3045" i="1"/>
  <c r="G3045" i="1"/>
  <c r="K3045" i="1"/>
  <c r="A3046" i="1"/>
  <c r="B3046" i="1"/>
  <c r="G3046" i="1"/>
  <c r="K3046" i="1"/>
  <c r="A3047" i="1"/>
  <c r="B3047" i="1"/>
  <c r="G3047" i="1"/>
  <c r="K3047" i="1"/>
  <c r="A3048" i="1"/>
  <c r="B3048" i="1"/>
  <c r="G3048" i="1"/>
  <c r="K3048" i="1"/>
  <c r="A3049" i="1"/>
  <c r="B3049" i="1"/>
  <c r="G3049" i="1"/>
  <c r="K3049" i="1"/>
  <c r="A3050" i="1"/>
  <c r="B3050" i="1"/>
  <c r="G3050" i="1"/>
  <c r="K3050" i="1"/>
  <c r="A3051" i="1"/>
  <c r="B3051" i="1"/>
  <c r="G3051" i="1"/>
  <c r="K3051" i="1"/>
  <c r="A3052" i="1"/>
  <c r="B3052" i="1"/>
  <c r="G3052" i="1"/>
  <c r="K3052" i="1"/>
  <c r="A3053" i="1"/>
  <c r="B3053" i="1"/>
  <c r="G3053" i="1"/>
  <c r="K3053" i="1"/>
  <c r="A3054" i="1"/>
  <c r="B3054" i="1"/>
  <c r="G3054" i="1"/>
  <c r="K3054" i="1"/>
  <c r="A3055" i="1"/>
  <c r="B3055" i="1"/>
  <c r="G3055" i="1"/>
  <c r="K3055" i="1"/>
  <c r="A3056" i="1"/>
  <c r="B3056" i="1"/>
  <c r="G3056" i="1"/>
  <c r="K3056" i="1"/>
  <c r="A3057" i="1"/>
  <c r="B3057" i="1"/>
  <c r="G3057" i="1"/>
  <c r="K3057" i="1"/>
  <c r="A3058" i="1"/>
  <c r="B3058" i="1"/>
  <c r="G3058" i="1"/>
  <c r="K3058" i="1"/>
  <c r="A3059" i="1"/>
  <c r="B3059" i="1"/>
  <c r="G3059" i="1"/>
  <c r="K3059" i="1"/>
  <c r="A3060" i="1"/>
  <c r="B3060" i="1"/>
  <c r="G3060" i="1"/>
  <c r="K3060" i="1"/>
  <c r="A3061" i="1"/>
  <c r="B3061" i="1"/>
  <c r="G3061" i="1"/>
  <c r="K3061" i="1"/>
  <c r="A3062" i="1"/>
  <c r="B3062" i="1"/>
  <c r="G3062" i="1"/>
  <c r="K3062" i="1"/>
  <c r="A3063" i="1"/>
  <c r="B3063" i="1"/>
  <c r="G3063" i="1"/>
  <c r="K3063" i="1"/>
  <c r="A3064" i="1"/>
  <c r="B3064" i="1"/>
  <c r="G3064" i="1"/>
  <c r="K3064" i="1"/>
  <c r="A3065" i="1"/>
  <c r="B3065" i="1"/>
  <c r="G3065" i="1"/>
  <c r="K3065" i="1"/>
  <c r="A3066" i="1"/>
  <c r="B3066" i="1"/>
  <c r="G3066" i="1"/>
  <c r="K3066" i="1"/>
  <c r="A3067" i="1"/>
  <c r="B3067" i="1"/>
  <c r="G3067" i="1"/>
  <c r="K3067" i="1"/>
  <c r="A3068" i="1"/>
  <c r="B3068" i="1"/>
  <c r="G3068" i="1"/>
  <c r="K3068" i="1"/>
  <c r="A3069" i="1"/>
  <c r="B3069" i="1"/>
  <c r="G3069" i="1"/>
  <c r="K3069" i="1"/>
  <c r="A3070" i="1"/>
  <c r="B3070" i="1"/>
  <c r="G3070" i="1"/>
  <c r="K3070" i="1"/>
  <c r="A3071" i="1"/>
  <c r="B3071" i="1"/>
  <c r="G3071" i="1"/>
  <c r="K3071" i="1"/>
  <c r="A3072" i="1"/>
  <c r="B3072" i="1"/>
  <c r="G3072" i="1"/>
  <c r="K3072" i="1"/>
  <c r="A3073" i="1"/>
  <c r="B3073" i="1"/>
  <c r="G3073" i="1"/>
  <c r="K3073" i="1"/>
  <c r="A3074" i="1"/>
  <c r="B3074" i="1"/>
  <c r="G3074" i="1"/>
  <c r="K3074" i="1"/>
  <c r="A3075" i="1"/>
  <c r="B3075" i="1"/>
  <c r="G3075" i="1"/>
  <c r="K3075" i="1"/>
  <c r="A3076" i="1"/>
  <c r="B3076" i="1"/>
  <c r="G3076" i="1"/>
  <c r="K3076" i="1"/>
  <c r="A3077" i="1"/>
  <c r="B3077" i="1"/>
  <c r="G3077" i="1"/>
  <c r="K3077" i="1"/>
  <c r="A3078" i="1"/>
  <c r="B3078" i="1"/>
  <c r="G3078" i="1"/>
  <c r="K3078" i="1"/>
  <c r="A3079" i="1"/>
  <c r="B3079" i="1"/>
  <c r="G3079" i="1"/>
  <c r="K3079" i="1"/>
  <c r="A3080" i="1"/>
  <c r="B3080" i="1"/>
  <c r="G3080" i="1"/>
  <c r="K3080" i="1"/>
  <c r="A3081" i="1"/>
  <c r="B3081" i="1"/>
  <c r="G3081" i="1"/>
  <c r="K3081" i="1"/>
  <c r="A3082" i="1"/>
  <c r="B3082" i="1"/>
  <c r="G3082" i="1"/>
  <c r="K3082" i="1"/>
  <c r="A3083" i="1"/>
  <c r="B3083" i="1"/>
  <c r="G3083" i="1"/>
  <c r="K3083" i="1"/>
  <c r="A3084" i="1"/>
  <c r="B3084" i="1"/>
  <c r="G3084" i="1"/>
  <c r="K3084" i="1"/>
  <c r="A3085" i="1"/>
  <c r="B3085" i="1"/>
  <c r="G3085" i="1"/>
  <c r="K3085" i="1"/>
  <c r="A3086" i="1"/>
  <c r="B3086" i="1"/>
  <c r="G3086" i="1"/>
  <c r="K3086" i="1"/>
  <c r="A3087" i="1"/>
  <c r="B3087" i="1"/>
  <c r="G3087" i="1"/>
  <c r="K3087" i="1"/>
  <c r="A3088" i="1"/>
  <c r="B3088" i="1"/>
  <c r="G3088" i="1"/>
  <c r="K3088" i="1"/>
  <c r="A3089" i="1"/>
  <c r="B3089" i="1"/>
  <c r="G3089" i="1"/>
  <c r="K3089" i="1"/>
  <c r="A3090" i="1"/>
  <c r="B3090" i="1"/>
  <c r="G3090" i="1"/>
  <c r="K3090" i="1"/>
  <c r="A3091" i="1"/>
  <c r="B3091" i="1"/>
  <c r="G3091" i="1"/>
  <c r="K3091" i="1"/>
  <c r="A3092" i="1"/>
  <c r="B3092" i="1"/>
  <c r="G3092" i="1"/>
  <c r="K3092" i="1"/>
  <c r="A3093" i="1"/>
  <c r="B3093" i="1"/>
  <c r="G3093" i="1"/>
  <c r="K3093" i="1"/>
  <c r="A3094" i="1"/>
  <c r="B3094" i="1"/>
  <c r="G3094" i="1"/>
  <c r="K3094" i="1"/>
  <c r="A3095" i="1"/>
  <c r="B3095" i="1"/>
  <c r="G3095" i="1"/>
  <c r="K3095" i="1"/>
  <c r="A3096" i="1"/>
  <c r="B3096" i="1"/>
  <c r="G3096" i="1"/>
  <c r="K3096" i="1"/>
  <c r="A3097" i="1"/>
  <c r="B3097" i="1"/>
  <c r="G3097" i="1"/>
  <c r="K3097" i="1"/>
  <c r="A3098" i="1"/>
  <c r="B3098" i="1"/>
  <c r="G3098" i="1"/>
  <c r="K3098" i="1"/>
  <c r="A3099" i="1"/>
  <c r="B3099" i="1"/>
  <c r="G3099" i="1"/>
  <c r="K3099" i="1"/>
  <c r="A3100" i="1"/>
  <c r="B3100" i="1"/>
  <c r="G3100" i="1"/>
  <c r="K3100" i="1"/>
  <c r="A3101" i="1"/>
  <c r="B3101" i="1"/>
  <c r="G3101" i="1"/>
  <c r="K3101" i="1"/>
  <c r="A3102" i="1"/>
  <c r="B3102" i="1"/>
  <c r="G3102" i="1"/>
  <c r="K3102" i="1"/>
  <c r="A3103" i="1"/>
  <c r="B3103" i="1"/>
  <c r="G3103" i="1"/>
  <c r="K3103" i="1"/>
  <c r="A3104" i="1"/>
  <c r="B3104" i="1"/>
  <c r="G3104" i="1"/>
  <c r="K3104" i="1"/>
  <c r="A3105" i="1"/>
  <c r="B3105" i="1"/>
  <c r="G3105" i="1"/>
  <c r="K3105" i="1"/>
  <c r="A3106" i="1"/>
  <c r="B3106" i="1"/>
  <c r="G3106" i="1"/>
  <c r="K3106" i="1"/>
  <c r="A3107" i="1"/>
  <c r="B3107" i="1"/>
  <c r="G3107" i="1"/>
  <c r="K3107" i="1"/>
  <c r="A3108" i="1"/>
  <c r="B3108" i="1"/>
  <c r="G3108" i="1"/>
  <c r="K3108" i="1"/>
  <c r="A3109" i="1"/>
  <c r="B3109" i="1"/>
  <c r="G3109" i="1"/>
  <c r="K3109" i="1"/>
  <c r="A3110" i="1"/>
  <c r="B3110" i="1"/>
  <c r="G3110" i="1"/>
  <c r="K3110" i="1"/>
  <c r="A3111" i="1"/>
  <c r="B3111" i="1"/>
  <c r="G3111" i="1"/>
  <c r="K3111" i="1"/>
  <c r="A3112" i="1"/>
  <c r="B3112" i="1"/>
  <c r="G3112" i="1"/>
  <c r="K3112" i="1"/>
  <c r="A3113" i="1"/>
  <c r="B3113" i="1"/>
  <c r="G3113" i="1"/>
  <c r="K3113" i="1"/>
  <c r="A3114" i="1"/>
  <c r="B3114" i="1"/>
  <c r="G3114" i="1"/>
  <c r="K3114" i="1"/>
  <c r="A3115" i="1"/>
  <c r="B3115" i="1"/>
  <c r="G3115" i="1"/>
  <c r="K3115" i="1"/>
  <c r="A3116" i="1"/>
  <c r="B3116" i="1"/>
  <c r="G3116" i="1"/>
  <c r="K3116" i="1"/>
  <c r="A3117" i="1"/>
  <c r="B3117" i="1"/>
  <c r="G3117" i="1"/>
  <c r="K3117" i="1"/>
  <c r="A3118" i="1"/>
  <c r="B3118" i="1"/>
  <c r="G3118" i="1"/>
  <c r="K3118" i="1"/>
  <c r="A3119" i="1"/>
  <c r="B3119" i="1"/>
  <c r="G3119" i="1"/>
  <c r="K3119" i="1"/>
  <c r="A3120" i="1"/>
  <c r="B3120" i="1"/>
  <c r="G3120" i="1"/>
  <c r="K3120" i="1"/>
  <c r="A3121" i="1"/>
  <c r="B3121" i="1"/>
  <c r="G3121" i="1"/>
  <c r="K3121" i="1"/>
  <c r="A3122" i="1"/>
  <c r="B3122" i="1"/>
  <c r="G3122" i="1"/>
  <c r="K3122" i="1"/>
  <c r="A3123" i="1"/>
  <c r="B3123" i="1"/>
  <c r="G3123" i="1"/>
  <c r="K3123" i="1"/>
  <c r="A3124" i="1"/>
  <c r="B3124" i="1"/>
  <c r="G3124" i="1"/>
  <c r="K3124" i="1"/>
  <c r="A3125" i="1"/>
  <c r="B3125" i="1"/>
  <c r="G3125" i="1"/>
  <c r="K3125" i="1"/>
  <c r="A3126" i="1"/>
  <c r="B3126" i="1"/>
  <c r="G3126" i="1"/>
  <c r="K3126" i="1"/>
  <c r="A3127" i="1"/>
  <c r="B3127" i="1"/>
  <c r="G3127" i="1"/>
  <c r="K3127" i="1"/>
  <c r="A3128" i="1"/>
  <c r="B3128" i="1"/>
  <c r="G3128" i="1"/>
  <c r="K3128" i="1"/>
  <c r="A3129" i="1"/>
  <c r="B3129" i="1"/>
  <c r="G3129" i="1"/>
  <c r="K3129" i="1"/>
  <c r="A3130" i="1"/>
  <c r="B3130" i="1"/>
  <c r="G3130" i="1"/>
  <c r="K3130" i="1"/>
  <c r="A3131" i="1"/>
  <c r="B3131" i="1"/>
  <c r="G3131" i="1"/>
  <c r="K3131" i="1"/>
  <c r="A3132" i="1"/>
  <c r="B3132" i="1"/>
  <c r="G3132" i="1"/>
  <c r="K3132" i="1"/>
  <c r="A3133" i="1"/>
  <c r="B3133" i="1"/>
  <c r="G3133" i="1"/>
  <c r="K3133" i="1"/>
  <c r="A3134" i="1"/>
  <c r="B3134" i="1"/>
  <c r="G3134" i="1"/>
  <c r="K3134" i="1"/>
  <c r="A3135" i="1"/>
  <c r="B3135" i="1"/>
  <c r="G3135" i="1"/>
  <c r="K3135" i="1"/>
  <c r="A3136" i="1"/>
  <c r="B3136" i="1"/>
  <c r="G3136" i="1"/>
  <c r="K3136" i="1"/>
  <c r="A3137" i="1"/>
  <c r="B3137" i="1"/>
  <c r="G3137" i="1"/>
  <c r="K3137" i="1"/>
  <c r="A3138" i="1"/>
  <c r="B3138" i="1"/>
  <c r="G3138" i="1"/>
  <c r="K3138" i="1"/>
  <c r="A3139" i="1"/>
  <c r="B3139" i="1"/>
  <c r="G3139" i="1"/>
  <c r="K3139" i="1"/>
  <c r="A3140" i="1"/>
  <c r="B3140" i="1"/>
  <c r="G3140" i="1"/>
  <c r="K3140" i="1"/>
  <c r="A3141" i="1"/>
  <c r="B3141" i="1"/>
  <c r="G3141" i="1"/>
  <c r="K3141" i="1"/>
  <c r="A3142" i="1"/>
  <c r="B3142" i="1"/>
  <c r="G3142" i="1"/>
  <c r="K3142" i="1"/>
  <c r="A3143" i="1"/>
  <c r="B3143" i="1"/>
  <c r="G3143" i="1"/>
  <c r="K3143" i="1"/>
  <c r="A3144" i="1"/>
  <c r="B3144" i="1"/>
  <c r="G3144" i="1"/>
  <c r="K3144" i="1"/>
  <c r="A3145" i="1"/>
  <c r="B3145" i="1"/>
  <c r="G3145" i="1"/>
  <c r="K3145" i="1"/>
  <c r="A3146" i="1"/>
  <c r="B3146" i="1"/>
  <c r="G3146" i="1"/>
  <c r="K3146" i="1"/>
  <c r="A3147" i="1"/>
  <c r="B3147" i="1"/>
  <c r="G3147" i="1"/>
  <c r="K3147" i="1"/>
  <c r="A3148" i="1"/>
  <c r="B3148" i="1"/>
  <c r="G3148" i="1"/>
  <c r="K3148" i="1"/>
  <c r="A3149" i="1"/>
  <c r="B3149" i="1"/>
  <c r="G3149" i="1"/>
  <c r="K3149" i="1"/>
  <c r="A3150" i="1"/>
  <c r="B3150" i="1"/>
  <c r="G3150" i="1"/>
  <c r="K3150" i="1"/>
  <c r="A3151" i="1"/>
  <c r="B3151" i="1"/>
  <c r="G3151" i="1"/>
  <c r="K3151" i="1"/>
  <c r="A3152" i="1"/>
  <c r="B3152" i="1"/>
  <c r="G3152" i="1"/>
  <c r="K3152" i="1"/>
  <c r="A3153" i="1"/>
  <c r="B3153" i="1"/>
  <c r="G3153" i="1"/>
  <c r="K3153" i="1"/>
  <c r="A3154" i="1"/>
  <c r="B3154" i="1"/>
  <c r="G3154" i="1"/>
  <c r="K3154" i="1"/>
  <c r="A3155" i="1"/>
  <c r="B3155" i="1"/>
  <c r="G3155" i="1"/>
  <c r="K3155" i="1"/>
  <c r="A3156" i="1"/>
  <c r="B3156" i="1"/>
  <c r="G3156" i="1"/>
  <c r="K3156" i="1"/>
  <c r="A3157" i="1"/>
  <c r="B3157" i="1"/>
  <c r="G3157" i="1"/>
  <c r="K3157" i="1"/>
  <c r="A3158" i="1"/>
  <c r="B3158" i="1"/>
  <c r="G3158" i="1"/>
  <c r="K3158" i="1"/>
  <c r="A3159" i="1"/>
  <c r="B3159" i="1"/>
  <c r="G3159" i="1"/>
  <c r="K3159" i="1"/>
  <c r="A3160" i="1"/>
  <c r="B3160" i="1"/>
  <c r="G3160" i="1"/>
  <c r="K3160" i="1"/>
  <c r="A3161" i="1"/>
  <c r="B3161" i="1"/>
  <c r="G3161" i="1"/>
  <c r="K3161" i="1"/>
  <c r="A3162" i="1"/>
  <c r="B3162" i="1"/>
  <c r="G3162" i="1"/>
  <c r="K3162" i="1"/>
  <c r="A3163" i="1"/>
  <c r="B3163" i="1"/>
  <c r="G3163" i="1"/>
  <c r="K3163" i="1"/>
  <c r="A3164" i="1"/>
  <c r="B3164" i="1"/>
  <c r="G3164" i="1"/>
  <c r="K3164" i="1"/>
  <c r="A3165" i="1"/>
  <c r="B3165" i="1"/>
  <c r="G3165" i="1"/>
  <c r="K3165" i="1"/>
  <c r="A3166" i="1"/>
  <c r="B3166" i="1"/>
  <c r="G3166" i="1"/>
  <c r="K3166" i="1"/>
  <c r="A3167" i="1"/>
  <c r="B3167" i="1"/>
  <c r="G3167" i="1"/>
  <c r="K3167" i="1"/>
  <c r="A3168" i="1"/>
  <c r="B3168" i="1"/>
  <c r="G3168" i="1"/>
  <c r="K3168" i="1"/>
  <c r="A3169" i="1"/>
  <c r="B3169" i="1"/>
  <c r="G3169" i="1"/>
  <c r="K3169" i="1"/>
  <c r="A3170" i="1"/>
  <c r="B3170" i="1"/>
  <c r="G3170" i="1"/>
  <c r="K3170" i="1"/>
  <c r="A3171" i="1"/>
  <c r="B3171" i="1"/>
  <c r="G3171" i="1"/>
  <c r="K3171" i="1"/>
  <c r="A3172" i="1"/>
  <c r="B3172" i="1"/>
  <c r="G3172" i="1"/>
  <c r="K3172" i="1"/>
  <c r="A3173" i="1"/>
  <c r="B3173" i="1"/>
  <c r="G3173" i="1"/>
  <c r="K3173" i="1"/>
  <c r="A3174" i="1"/>
  <c r="B3174" i="1"/>
  <c r="G3174" i="1"/>
  <c r="K3174" i="1"/>
  <c r="A3175" i="1"/>
  <c r="B3175" i="1"/>
  <c r="G3175" i="1"/>
  <c r="K3175" i="1"/>
  <c r="A3176" i="1"/>
  <c r="B3176" i="1"/>
  <c r="G3176" i="1"/>
  <c r="K3176" i="1"/>
  <c r="A3177" i="1"/>
  <c r="B3177" i="1"/>
  <c r="G3177" i="1"/>
  <c r="K3177" i="1"/>
  <c r="A3178" i="1"/>
  <c r="B3178" i="1"/>
  <c r="G3178" i="1"/>
  <c r="K3178" i="1"/>
  <c r="A3179" i="1"/>
  <c r="B3179" i="1"/>
  <c r="G3179" i="1"/>
  <c r="K3179" i="1"/>
  <c r="A3180" i="1"/>
  <c r="B3180" i="1"/>
  <c r="G3180" i="1"/>
  <c r="K3180" i="1"/>
  <c r="A3181" i="1"/>
  <c r="B3181" i="1"/>
  <c r="G3181" i="1"/>
  <c r="K3181" i="1"/>
  <c r="A3182" i="1"/>
  <c r="B3182" i="1"/>
  <c r="G3182" i="1"/>
  <c r="K3182" i="1"/>
  <c r="A3183" i="1"/>
  <c r="B3183" i="1"/>
  <c r="G3183" i="1"/>
  <c r="K3183" i="1"/>
  <c r="A3184" i="1"/>
  <c r="B3184" i="1"/>
  <c r="G3184" i="1"/>
  <c r="K3184" i="1"/>
  <c r="A3185" i="1"/>
  <c r="B3185" i="1"/>
  <c r="G3185" i="1"/>
  <c r="K3185" i="1"/>
  <c r="A3186" i="1"/>
  <c r="B3186" i="1"/>
  <c r="G3186" i="1"/>
  <c r="K3186" i="1"/>
  <c r="A3187" i="1"/>
  <c r="B3187" i="1"/>
  <c r="G3187" i="1"/>
  <c r="K3187" i="1"/>
  <c r="A3188" i="1"/>
  <c r="B3188" i="1"/>
  <c r="G3188" i="1"/>
  <c r="K3188" i="1"/>
  <c r="A3189" i="1"/>
  <c r="B3189" i="1"/>
  <c r="G3189" i="1"/>
  <c r="K3189" i="1"/>
  <c r="A3190" i="1"/>
  <c r="B3190" i="1"/>
  <c r="G3190" i="1"/>
  <c r="K3190" i="1"/>
  <c r="A3191" i="1"/>
  <c r="B3191" i="1"/>
  <c r="G3191" i="1"/>
  <c r="K3191" i="1"/>
  <c r="A3192" i="1"/>
  <c r="B3192" i="1"/>
  <c r="G3192" i="1"/>
  <c r="K3192" i="1"/>
  <c r="A3193" i="1"/>
  <c r="B3193" i="1"/>
  <c r="G3193" i="1"/>
  <c r="K3193" i="1"/>
  <c r="A3194" i="1"/>
  <c r="B3194" i="1"/>
  <c r="G3194" i="1"/>
  <c r="K3194" i="1"/>
  <c r="A3195" i="1"/>
  <c r="B3195" i="1"/>
  <c r="G3195" i="1"/>
  <c r="K3195" i="1"/>
  <c r="A3196" i="1"/>
  <c r="B3196" i="1"/>
  <c r="G3196" i="1"/>
  <c r="K3196" i="1"/>
  <c r="A3197" i="1"/>
  <c r="B3197" i="1"/>
  <c r="G3197" i="1"/>
  <c r="K3197" i="1"/>
  <c r="A3198" i="1"/>
  <c r="B3198" i="1"/>
  <c r="G3198" i="1"/>
  <c r="K3198" i="1"/>
  <c r="A3199" i="1"/>
  <c r="B3199" i="1"/>
  <c r="G3199" i="1"/>
  <c r="K3199" i="1"/>
  <c r="A3200" i="1"/>
  <c r="B3200" i="1"/>
  <c r="G3200" i="1"/>
  <c r="K3200" i="1"/>
  <c r="A3201" i="1"/>
  <c r="B3201" i="1"/>
  <c r="G3201" i="1"/>
  <c r="K3201" i="1"/>
  <c r="A3202" i="1"/>
  <c r="B3202" i="1"/>
  <c r="G3202" i="1"/>
  <c r="K3202" i="1"/>
  <c r="A3203" i="1"/>
  <c r="B3203" i="1"/>
  <c r="G3203" i="1"/>
  <c r="K3203" i="1"/>
  <c r="A3204" i="1"/>
  <c r="B3204" i="1"/>
  <c r="G3204" i="1"/>
  <c r="K3204" i="1"/>
  <c r="A3205" i="1"/>
  <c r="B3205" i="1"/>
  <c r="G3205" i="1"/>
  <c r="K3205" i="1"/>
  <c r="A3206" i="1"/>
  <c r="B3206" i="1"/>
  <c r="G3206" i="1"/>
  <c r="K3206" i="1"/>
  <c r="A3207" i="1"/>
  <c r="B3207" i="1"/>
  <c r="G3207" i="1"/>
  <c r="K3207" i="1"/>
  <c r="A3208" i="1"/>
  <c r="B3208" i="1"/>
  <c r="G3208" i="1"/>
  <c r="K3208" i="1"/>
  <c r="A3209" i="1"/>
  <c r="B3209" i="1"/>
  <c r="G3209" i="1"/>
  <c r="K3209" i="1"/>
  <c r="A3210" i="1"/>
  <c r="B3210" i="1"/>
  <c r="G3210" i="1"/>
  <c r="K3210" i="1"/>
  <c r="A3211" i="1"/>
  <c r="B3211" i="1"/>
  <c r="G3211" i="1"/>
  <c r="K3211" i="1"/>
  <c r="A3212" i="1"/>
  <c r="B3212" i="1"/>
  <c r="G3212" i="1"/>
  <c r="K3212" i="1"/>
  <c r="A3213" i="1"/>
  <c r="B3213" i="1"/>
  <c r="G3213" i="1"/>
  <c r="K3213" i="1"/>
  <c r="A3214" i="1"/>
  <c r="B3214" i="1"/>
  <c r="G3214" i="1"/>
  <c r="K3214" i="1"/>
  <c r="A3215" i="1"/>
  <c r="B3215" i="1"/>
  <c r="G3215" i="1"/>
  <c r="K3215" i="1"/>
  <c r="A3216" i="1"/>
  <c r="B3216" i="1"/>
  <c r="G3216" i="1"/>
  <c r="K3216" i="1"/>
  <c r="A3217" i="1"/>
  <c r="B3217" i="1"/>
  <c r="G3217" i="1"/>
  <c r="K3217" i="1"/>
  <c r="A3218" i="1"/>
  <c r="B3218" i="1"/>
  <c r="G3218" i="1"/>
  <c r="K3218" i="1"/>
  <c r="A3219" i="1"/>
  <c r="B3219" i="1"/>
  <c r="G3219" i="1"/>
  <c r="K3219" i="1"/>
  <c r="A3220" i="1"/>
  <c r="B3220" i="1"/>
  <c r="G3220" i="1"/>
  <c r="K3220" i="1"/>
  <c r="A3221" i="1"/>
  <c r="B3221" i="1"/>
  <c r="G3221" i="1"/>
  <c r="K3221" i="1"/>
  <c r="A3222" i="1"/>
  <c r="B3222" i="1"/>
  <c r="G3222" i="1"/>
  <c r="K3222" i="1"/>
  <c r="A3223" i="1"/>
  <c r="B3223" i="1"/>
  <c r="G3223" i="1"/>
  <c r="K3223" i="1"/>
  <c r="A3224" i="1"/>
  <c r="B3224" i="1"/>
  <c r="G3224" i="1"/>
  <c r="K3224" i="1"/>
  <c r="A3225" i="1"/>
  <c r="B3225" i="1"/>
  <c r="G3225" i="1"/>
  <c r="K3225" i="1"/>
  <c r="A3226" i="1"/>
  <c r="B3226" i="1"/>
  <c r="G3226" i="1"/>
  <c r="K3226" i="1"/>
  <c r="A3227" i="1"/>
  <c r="B3227" i="1"/>
  <c r="G3227" i="1"/>
  <c r="K3227" i="1"/>
  <c r="A3228" i="1"/>
  <c r="B3228" i="1"/>
  <c r="G3228" i="1"/>
  <c r="K3228" i="1"/>
  <c r="A3229" i="1"/>
  <c r="B3229" i="1"/>
  <c r="G3229" i="1"/>
  <c r="K3229" i="1"/>
  <c r="A3230" i="1"/>
  <c r="B3230" i="1"/>
  <c r="G3230" i="1"/>
  <c r="K3230" i="1"/>
  <c r="A3231" i="1"/>
  <c r="B3231" i="1"/>
  <c r="G3231" i="1"/>
  <c r="K3231" i="1"/>
  <c r="A3232" i="1"/>
  <c r="B3232" i="1"/>
  <c r="G3232" i="1"/>
  <c r="K3232" i="1"/>
  <c r="A3233" i="1"/>
  <c r="B3233" i="1"/>
  <c r="G3233" i="1"/>
  <c r="K3233" i="1"/>
  <c r="A3234" i="1"/>
  <c r="B3234" i="1"/>
  <c r="G3234" i="1"/>
  <c r="K3234" i="1"/>
  <c r="A3235" i="1"/>
  <c r="B3235" i="1"/>
  <c r="G3235" i="1"/>
  <c r="K3235" i="1"/>
  <c r="A3236" i="1"/>
  <c r="B3236" i="1"/>
  <c r="G3236" i="1"/>
  <c r="K3236" i="1"/>
  <c r="A3237" i="1"/>
  <c r="B3237" i="1"/>
  <c r="G3237" i="1"/>
  <c r="K3237" i="1"/>
  <c r="A3238" i="1"/>
  <c r="B3238" i="1"/>
  <c r="G3238" i="1"/>
  <c r="K3238" i="1"/>
  <c r="A3239" i="1"/>
  <c r="B3239" i="1"/>
  <c r="G3239" i="1"/>
  <c r="K3239" i="1"/>
  <c r="A3240" i="1"/>
  <c r="B3240" i="1"/>
  <c r="G3240" i="1"/>
  <c r="K3240" i="1"/>
  <c r="A3241" i="1"/>
  <c r="B3241" i="1"/>
  <c r="G3241" i="1"/>
  <c r="K3241" i="1"/>
  <c r="A3242" i="1"/>
  <c r="B3242" i="1"/>
  <c r="G3242" i="1"/>
  <c r="K3242" i="1"/>
  <c r="A3243" i="1"/>
  <c r="B3243" i="1"/>
  <c r="G3243" i="1"/>
  <c r="K3243" i="1"/>
  <c r="A3244" i="1"/>
  <c r="B3244" i="1"/>
  <c r="G3244" i="1"/>
  <c r="K3244" i="1"/>
  <c r="A3245" i="1"/>
  <c r="B3245" i="1"/>
  <c r="G3245" i="1"/>
  <c r="K3245" i="1"/>
  <c r="A3246" i="1"/>
  <c r="B3246" i="1"/>
  <c r="G3246" i="1"/>
  <c r="K3246" i="1"/>
  <c r="A3247" i="1"/>
  <c r="B3247" i="1"/>
  <c r="G3247" i="1"/>
  <c r="K3247" i="1"/>
  <c r="A3248" i="1"/>
  <c r="B3248" i="1"/>
  <c r="G3248" i="1"/>
  <c r="K3248" i="1"/>
  <c r="A3249" i="1"/>
  <c r="B3249" i="1"/>
  <c r="G3249" i="1"/>
  <c r="K3249" i="1"/>
  <c r="A3250" i="1"/>
  <c r="B3250" i="1"/>
  <c r="G3250" i="1"/>
  <c r="K3250" i="1"/>
  <c r="A3251" i="1"/>
  <c r="B3251" i="1"/>
  <c r="G3251" i="1"/>
  <c r="K3251" i="1"/>
  <c r="A3252" i="1"/>
  <c r="B3252" i="1"/>
  <c r="G3252" i="1"/>
  <c r="K3252" i="1"/>
  <c r="A3253" i="1"/>
  <c r="B3253" i="1"/>
  <c r="G3253" i="1"/>
  <c r="K3253" i="1"/>
  <c r="A3254" i="1"/>
  <c r="B3254" i="1"/>
  <c r="G3254" i="1"/>
  <c r="K3254" i="1"/>
  <c r="A3255" i="1"/>
  <c r="B3255" i="1"/>
  <c r="G3255" i="1"/>
  <c r="K3255" i="1"/>
  <c r="A3256" i="1"/>
  <c r="B3256" i="1"/>
  <c r="G3256" i="1"/>
  <c r="K3256" i="1"/>
  <c r="A3257" i="1"/>
  <c r="B3257" i="1"/>
  <c r="G3257" i="1"/>
  <c r="K3257" i="1"/>
  <c r="A3258" i="1"/>
  <c r="B3258" i="1"/>
  <c r="G3258" i="1"/>
  <c r="K3258" i="1"/>
  <c r="A3259" i="1"/>
  <c r="B3259" i="1"/>
  <c r="G3259" i="1"/>
  <c r="K3259" i="1"/>
  <c r="A3260" i="1"/>
  <c r="B3260" i="1"/>
  <c r="G3260" i="1"/>
  <c r="K3260" i="1"/>
  <c r="A3261" i="1"/>
  <c r="B3261" i="1"/>
  <c r="G3261" i="1"/>
  <c r="K3261" i="1"/>
  <c r="A3262" i="1"/>
  <c r="B3262" i="1"/>
  <c r="G3262" i="1"/>
  <c r="K3262" i="1"/>
  <c r="A3263" i="1"/>
  <c r="B3263" i="1"/>
  <c r="G3263" i="1"/>
  <c r="K3263" i="1"/>
  <c r="A3264" i="1"/>
  <c r="B3264" i="1"/>
  <c r="G3264" i="1"/>
  <c r="K3264" i="1"/>
  <c r="A3265" i="1"/>
  <c r="B3265" i="1"/>
  <c r="G3265" i="1"/>
  <c r="K3265" i="1"/>
  <c r="A3266" i="1"/>
  <c r="B3266" i="1"/>
  <c r="G3266" i="1"/>
  <c r="K3266" i="1"/>
  <c r="A3267" i="1"/>
  <c r="B3267" i="1"/>
  <c r="G3267" i="1"/>
  <c r="K3267" i="1"/>
  <c r="A3268" i="1"/>
  <c r="B3268" i="1"/>
  <c r="G3268" i="1"/>
  <c r="K3268" i="1"/>
  <c r="A3269" i="1"/>
  <c r="B3269" i="1"/>
  <c r="G3269" i="1"/>
  <c r="K3269" i="1"/>
  <c r="A3270" i="1"/>
  <c r="B3270" i="1"/>
  <c r="G3270" i="1"/>
  <c r="K3270" i="1"/>
  <c r="A3271" i="1"/>
  <c r="B3271" i="1"/>
  <c r="G3271" i="1"/>
  <c r="K3271" i="1"/>
  <c r="A3272" i="1"/>
  <c r="B3272" i="1"/>
  <c r="G3272" i="1"/>
  <c r="K3272" i="1"/>
  <c r="A3273" i="1"/>
  <c r="B3273" i="1"/>
  <c r="G3273" i="1"/>
  <c r="K3273" i="1"/>
  <c r="A3274" i="1"/>
  <c r="B3274" i="1"/>
  <c r="G3274" i="1"/>
  <c r="K3274" i="1"/>
  <c r="A3275" i="1"/>
  <c r="B3275" i="1"/>
  <c r="G3275" i="1"/>
  <c r="K3275" i="1"/>
  <c r="A3276" i="1"/>
  <c r="B3276" i="1"/>
  <c r="G3276" i="1"/>
  <c r="K3276" i="1"/>
  <c r="A3277" i="1"/>
  <c r="B3277" i="1"/>
  <c r="G3277" i="1"/>
  <c r="K3277" i="1"/>
  <c r="A3278" i="1"/>
  <c r="B3278" i="1"/>
  <c r="G3278" i="1"/>
  <c r="K3278" i="1"/>
  <c r="A3279" i="1"/>
  <c r="B3279" i="1"/>
  <c r="G3279" i="1"/>
  <c r="K3279" i="1"/>
  <c r="A3280" i="1"/>
  <c r="B3280" i="1"/>
  <c r="G3280" i="1"/>
  <c r="K3280" i="1"/>
  <c r="A3281" i="1"/>
  <c r="B3281" i="1"/>
  <c r="G3281" i="1"/>
  <c r="K3281" i="1"/>
  <c r="A3282" i="1"/>
  <c r="B3282" i="1"/>
  <c r="G3282" i="1"/>
  <c r="K3282" i="1"/>
  <c r="A3283" i="1"/>
  <c r="B3283" i="1"/>
  <c r="G3283" i="1"/>
  <c r="K3283" i="1"/>
  <c r="A3284" i="1"/>
  <c r="B3284" i="1"/>
  <c r="G3284" i="1"/>
  <c r="K3284" i="1"/>
  <c r="A3285" i="1"/>
  <c r="B3285" i="1"/>
  <c r="G3285" i="1"/>
  <c r="K3285" i="1"/>
  <c r="A3286" i="1"/>
  <c r="B3286" i="1"/>
  <c r="G3286" i="1"/>
  <c r="K3286" i="1"/>
  <c r="A3287" i="1"/>
  <c r="B3287" i="1"/>
  <c r="G3287" i="1"/>
  <c r="K3287" i="1"/>
  <c r="A3288" i="1"/>
  <c r="B3288" i="1"/>
  <c r="G3288" i="1"/>
  <c r="K3288" i="1"/>
  <c r="A3289" i="1"/>
  <c r="B3289" i="1"/>
  <c r="G3289" i="1"/>
  <c r="K3289" i="1"/>
  <c r="A3290" i="1"/>
  <c r="B3290" i="1"/>
  <c r="G3290" i="1"/>
  <c r="K3290" i="1"/>
  <c r="A3291" i="1"/>
  <c r="B3291" i="1"/>
  <c r="G3291" i="1"/>
  <c r="K3291" i="1"/>
  <c r="A3292" i="1"/>
  <c r="B3292" i="1"/>
  <c r="G3292" i="1"/>
  <c r="K3292" i="1"/>
  <c r="A3293" i="1"/>
  <c r="B3293" i="1"/>
  <c r="G3293" i="1"/>
  <c r="K3293" i="1"/>
  <c r="A3294" i="1"/>
  <c r="B3294" i="1"/>
  <c r="G3294" i="1"/>
  <c r="K3294" i="1"/>
  <c r="A3295" i="1"/>
  <c r="B3295" i="1"/>
  <c r="G3295" i="1"/>
  <c r="K3295" i="1"/>
  <c r="A3296" i="1"/>
  <c r="B3296" i="1"/>
  <c r="G3296" i="1"/>
  <c r="K3296" i="1"/>
  <c r="A3297" i="1"/>
  <c r="B3297" i="1"/>
  <c r="G3297" i="1"/>
  <c r="K3297" i="1"/>
  <c r="A3298" i="1"/>
  <c r="B3298" i="1"/>
  <c r="G3298" i="1"/>
  <c r="K3298" i="1"/>
  <c r="A3299" i="1"/>
  <c r="B3299" i="1"/>
  <c r="G3299" i="1"/>
  <c r="K3299" i="1"/>
  <c r="A3300" i="1"/>
  <c r="B3300" i="1"/>
  <c r="G3300" i="1"/>
  <c r="K3300" i="1"/>
  <c r="A3301" i="1"/>
  <c r="B3301" i="1"/>
  <c r="G3301" i="1"/>
  <c r="K3301" i="1"/>
  <c r="A3302" i="1"/>
  <c r="B3302" i="1"/>
  <c r="G3302" i="1"/>
  <c r="K3302" i="1"/>
  <c r="A3303" i="1"/>
  <c r="B3303" i="1"/>
  <c r="G3303" i="1"/>
  <c r="K3303" i="1"/>
  <c r="A3304" i="1"/>
  <c r="B3304" i="1"/>
  <c r="G3304" i="1"/>
  <c r="K3304" i="1"/>
  <c r="A3305" i="1"/>
  <c r="B3305" i="1"/>
  <c r="G3305" i="1"/>
  <c r="K3305" i="1"/>
  <c r="A3306" i="1"/>
  <c r="B3306" i="1"/>
  <c r="G3306" i="1"/>
  <c r="K3306" i="1"/>
  <c r="A3307" i="1"/>
  <c r="B3307" i="1"/>
  <c r="G3307" i="1"/>
  <c r="K3307" i="1"/>
  <c r="A3308" i="1"/>
  <c r="B3308" i="1"/>
  <c r="G3308" i="1"/>
  <c r="K3308" i="1"/>
  <c r="A3309" i="1"/>
  <c r="B3309" i="1"/>
  <c r="G3309" i="1"/>
  <c r="K3309" i="1"/>
  <c r="A3310" i="1"/>
  <c r="B3310" i="1"/>
  <c r="G3310" i="1"/>
  <c r="K3310" i="1"/>
  <c r="A3311" i="1"/>
  <c r="B3311" i="1"/>
  <c r="G3311" i="1"/>
  <c r="K3311" i="1"/>
  <c r="A3312" i="1"/>
  <c r="B3312" i="1"/>
  <c r="G3312" i="1"/>
  <c r="K3312" i="1"/>
  <c r="A3313" i="1"/>
  <c r="B3313" i="1"/>
  <c r="G3313" i="1"/>
  <c r="K3313" i="1"/>
  <c r="A3314" i="1"/>
  <c r="B3314" i="1"/>
  <c r="G3314" i="1"/>
  <c r="K3314" i="1"/>
  <c r="A3315" i="1"/>
  <c r="B3315" i="1"/>
  <c r="G3315" i="1"/>
  <c r="K3315" i="1"/>
  <c r="A3316" i="1"/>
  <c r="B3316" i="1"/>
  <c r="G3316" i="1"/>
  <c r="K3316" i="1"/>
  <c r="A3317" i="1"/>
  <c r="B3317" i="1"/>
  <c r="G3317" i="1"/>
  <c r="K3317" i="1"/>
  <c r="A3318" i="1"/>
  <c r="B3318" i="1"/>
  <c r="G3318" i="1"/>
  <c r="K3318" i="1"/>
  <c r="A3319" i="1"/>
  <c r="B3319" i="1"/>
  <c r="G3319" i="1"/>
  <c r="K3319" i="1"/>
  <c r="A3320" i="1"/>
  <c r="B3320" i="1"/>
  <c r="G3320" i="1"/>
  <c r="K3320" i="1"/>
  <c r="A3321" i="1"/>
  <c r="B3321" i="1"/>
  <c r="G3321" i="1"/>
  <c r="K3321" i="1"/>
  <c r="A3322" i="1"/>
  <c r="B3322" i="1"/>
  <c r="G3322" i="1"/>
  <c r="K3322" i="1"/>
  <c r="A3323" i="1"/>
  <c r="B3323" i="1"/>
  <c r="G3323" i="1"/>
  <c r="K3323" i="1"/>
  <c r="A3324" i="1"/>
  <c r="B3324" i="1"/>
  <c r="G3324" i="1"/>
  <c r="K3324" i="1"/>
  <c r="A3325" i="1"/>
  <c r="B3325" i="1"/>
  <c r="G3325" i="1"/>
  <c r="K3325" i="1"/>
  <c r="A3326" i="1"/>
  <c r="B3326" i="1"/>
  <c r="G3326" i="1"/>
  <c r="K3326" i="1"/>
  <c r="A3327" i="1"/>
  <c r="B3327" i="1"/>
  <c r="G3327" i="1"/>
  <c r="K3327" i="1"/>
  <c r="A3328" i="1"/>
  <c r="B3328" i="1"/>
  <c r="G3328" i="1"/>
  <c r="K3328" i="1"/>
  <c r="A3329" i="1"/>
  <c r="B3329" i="1"/>
  <c r="G3329" i="1"/>
  <c r="K3329" i="1"/>
  <c r="A3330" i="1"/>
  <c r="B3330" i="1"/>
  <c r="G3330" i="1"/>
  <c r="K3330" i="1"/>
  <c r="A3331" i="1"/>
  <c r="B3331" i="1"/>
  <c r="G3331" i="1"/>
  <c r="K3331" i="1"/>
  <c r="A3332" i="1"/>
  <c r="B3332" i="1"/>
  <c r="G3332" i="1"/>
  <c r="K3332" i="1"/>
  <c r="A3333" i="1"/>
  <c r="B3333" i="1"/>
  <c r="G3333" i="1"/>
  <c r="K3333" i="1"/>
  <c r="A3334" i="1"/>
  <c r="B3334" i="1"/>
  <c r="G3334" i="1"/>
  <c r="K3334" i="1"/>
  <c r="A3335" i="1"/>
  <c r="B3335" i="1"/>
  <c r="G3335" i="1"/>
  <c r="K3335" i="1"/>
  <c r="A3336" i="1"/>
  <c r="B3336" i="1"/>
  <c r="G3336" i="1"/>
  <c r="K3336" i="1"/>
  <c r="A3337" i="1"/>
  <c r="B3337" i="1"/>
  <c r="G3337" i="1"/>
  <c r="K3337" i="1"/>
  <c r="A3338" i="1"/>
  <c r="B3338" i="1"/>
  <c r="G3338" i="1"/>
  <c r="K3338" i="1"/>
  <c r="A3339" i="1"/>
  <c r="B3339" i="1"/>
  <c r="G3339" i="1"/>
  <c r="K3339" i="1"/>
  <c r="A3340" i="1"/>
  <c r="B3340" i="1"/>
  <c r="G3340" i="1"/>
  <c r="K3340" i="1"/>
  <c r="A3341" i="1"/>
  <c r="B3341" i="1"/>
  <c r="G3341" i="1"/>
  <c r="K3341" i="1"/>
  <c r="A3342" i="1"/>
  <c r="B3342" i="1"/>
  <c r="G3342" i="1"/>
  <c r="K3342" i="1"/>
  <c r="A3343" i="1"/>
  <c r="B3343" i="1"/>
  <c r="G3343" i="1"/>
  <c r="K3343" i="1"/>
  <c r="A3344" i="1"/>
  <c r="B3344" i="1"/>
  <c r="G3344" i="1"/>
  <c r="K3344" i="1"/>
  <c r="A3345" i="1"/>
  <c r="B3345" i="1"/>
  <c r="G3345" i="1"/>
  <c r="K3345" i="1"/>
  <c r="A3346" i="1"/>
  <c r="B3346" i="1"/>
  <c r="G3346" i="1"/>
  <c r="K3346" i="1"/>
  <c r="A3347" i="1"/>
  <c r="B3347" i="1"/>
  <c r="G3347" i="1"/>
  <c r="K3347" i="1"/>
  <c r="A3348" i="1"/>
  <c r="B3348" i="1"/>
  <c r="G3348" i="1"/>
  <c r="K3348" i="1"/>
  <c r="A3349" i="1"/>
  <c r="B3349" i="1"/>
  <c r="G3349" i="1"/>
  <c r="K3349" i="1"/>
  <c r="A3350" i="1"/>
  <c r="B3350" i="1"/>
  <c r="G3350" i="1"/>
  <c r="K3350" i="1"/>
  <c r="A3351" i="1"/>
  <c r="B3351" i="1"/>
  <c r="G3351" i="1"/>
  <c r="K3351" i="1"/>
  <c r="A3352" i="1"/>
  <c r="B3352" i="1"/>
  <c r="G3352" i="1"/>
  <c r="K3352" i="1"/>
  <c r="A3353" i="1"/>
  <c r="B3353" i="1"/>
  <c r="G3353" i="1"/>
  <c r="K3353" i="1"/>
  <c r="A3354" i="1"/>
  <c r="B3354" i="1"/>
  <c r="G3354" i="1"/>
  <c r="K3354" i="1"/>
  <c r="A3355" i="1"/>
  <c r="B3355" i="1"/>
  <c r="G3355" i="1"/>
  <c r="K3355" i="1"/>
  <c r="A3356" i="1"/>
  <c r="B3356" i="1"/>
  <c r="G3356" i="1"/>
  <c r="K3356" i="1"/>
  <c r="A3357" i="1"/>
  <c r="B3357" i="1"/>
  <c r="G3357" i="1"/>
  <c r="K3357" i="1"/>
  <c r="A3358" i="1"/>
  <c r="B3358" i="1"/>
  <c r="G3358" i="1"/>
  <c r="K3358" i="1"/>
  <c r="A3359" i="1"/>
  <c r="B3359" i="1"/>
  <c r="G3359" i="1"/>
  <c r="K3359" i="1"/>
  <c r="A3360" i="1"/>
  <c r="B3360" i="1"/>
  <c r="G3360" i="1"/>
  <c r="K3360" i="1"/>
  <c r="A3361" i="1"/>
  <c r="B3361" i="1"/>
  <c r="G3361" i="1"/>
  <c r="K3361" i="1"/>
  <c r="A3362" i="1"/>
  <c r="B3362" i="1"/>
  <c r="G3362" i="1"/>
  <c r="K3362" i="1"/>
  <c r="A3363" i="1"/>
  <c r="B3363" i="1"/>
  <c r="G3363" i="1"/>
  <c r="K3363" i="1"/>
  <c r="A3364" i="1"/>
  <c r="B3364" i="1"/>
  <c r="G3364" i="1"/>
  <c r="K3364" i="1"/>
  <c r="A3365" i="1"/>
  <c r="B3365" i="1"/>
  <c r="G3365" i="1"/>
  <c r="K3365" i="1"/>
  <c r="A3366" i="1"/>
  <c r="B3366" i="1"/>
  <c r="G3366" i="1"/>
  <c r="K3366" i="1"/>
  <c r="A3367" i="1"/>
  <c r="B3367" i="1"/>
  <c r="G3367" i="1"/>
  <c r="K3367" i="1"/>
  <c r="A3368" i="1"/>
  <c r="B3368" i="1"/>
  <c r="G3368" i="1"/>
  <c r="K3368" i="1"/>
  <c r="A3369" i="1"/>
  <c r="B3369" i="1"/>
  <c r="G3369" i="1"/>
  <c r="K3369" i="1"/>
  <c r="A3370" i="1"/>
  <c r="B3370" i="1"/>
  <c r="G3370" i="1"/>
  <c r="K3370" i="1"/>
  <c r="A3371" i="1"/>
  <c r="B3371" i="1"/>
  <c r="G3371" i="1"/>
  <c r="K3371" i="1"/>
  <c r="A3372" i="1"/>
  <c r="B3372" i="1"/>
  <c r="G3372" i="1"/>
  <c r="K3372" i="1"/>
  <c r="A3373" i="1"/>
  <c r="B3373" i="1"/>
  <c r="G3373" i="1"/>
  <c r="K3373" i="1"/>
  <c r="A3374" i="1"/>
  <c r="B3374" i="1"/>
  <c r="G3374" i="1"/>
  <c r="K3374" i="1"/>
  <c r="A3375" i="1"/>
  <c r="B3375" i="1"/>
  <c r="G3375" i="1"/>
  <c r="K3375" i="1"/>
  <c r="A3376" i="1"/>
  <c r="B3376" i="1"/>
  <c r="G3376" i="1"/>
  <c r="K3376" i="1"/>
  <c r="A3377" i="1"/>
  <c r="B3377" i="1"/>
  <c r="G3377" i="1"/>
  <c r="K3377" i="1"/>
  <c r="A3378" i="1"/>
  <c r="B3378" i="1"/>
  <c r="G3378" i="1"/>
  <c r="K3378" i="1"/>
  <c r="A3379" i="1"/>
  <c r="B3379" i="1"/>
  <c r="G3379" i="1"/>
  <c r="K3379" i="1"/>
  <c r="A3380" i="1"/>
  <c r="B3380" i="1"/>
  <c r="G3380" i="1"/>
  <c r="K3380" i="1"/>
  <c r="A3381" i="1"/>
  <c r="B3381" i="1"/>
  <c r="G3381" i="1"/>
  <c r="K3381" i="1"/>
  <c r="A3382" i="1"/>
  <c r="B3382" i="1"/>
  <c r="G3382" i="1"/>
  <c r="K3382" i="1"/>
  <c r="A3383" i="1"/>
  <c r="B3383" i="1"/>
  <c r="G3383" i="1"/>
  <c r="K3383" i="1"/>
  <c r="A3384" i="1"/>
  <c r="B3384" i="1"/>
  <c r="G3384" i="1"/>
  <c r="K3384" i="1"/>
  <c r="A3385" i="1"/>
  <c r="B3385" i="1"/>
  <c r="G3385" i="1"/>
  <c r="K3385" i="1"/>
  <c r="A3386" i="1"/>
  <c r="B3386" i="1"/>
  <c r="G3386" i="1"/>
  <c r="K3386" i="1"/>
  <c r="A3387" i="1"/>
  <c r="B3387" i="1"/>
  <c r="G3387" i="1"/>
  <c r="K3387" i="1"/>
  <c r="A3388" i="1"/>
  <c r="B3388" i="1"/>
  <c r="G3388" i="1"/>
  <c r="K3388" i="1"/>
  <c r="A3389" i="1"/>
  <c r="B3389" i="1"/>
  <c r="G3389" i="1"/>
  <c r="K3389" i="1"/>
  <c r="A3390" i="1"/>
  <c r="B3390" i="1"/>
  <c r="G3390" i="1"/>
  <c r="K3390" i="1"/>
  <c r="A3391" i="1"/>
  <c r="B3391" i="1"/>
  <c r="G3391" i="1"/>
  <c r="K3391" i="1"/>
  <c r="A3392" i="1"/>
  <c r="B3392" i="1"/>
  <c r="G3392" i="1"/>
  <c r="K3392" i="1"/>
  <c r="A3393" i="1"/>
  <c r="B3393" i="1"/>
  <c r="G3393" i="1"/>
  <c r="K3393" i="1"/>
  <c r="A3394" i="1"/>
  <c r="B3394" i="1"/>
  <c r="G3394" i="1"/>
  <c r="K3394" i="1"/>
  <c r="A3395" i="1"/>
  <c r="B3395" i="1"/>
  <c r="G3395" i="1"/>
  <c r="K3395" i="1"/>
  <c r="A3396" i="1"/>
  <c r="B3396" i="1"/>
  <c r="G3396" i="1"/>
  <c r="K3396" i="1"/>
  <c r="A3397" i="1"/>
  <c r="B3397" i="1"/>
  <c r="G3397" i="1"/>
  <c r="K3397" i="1"/>
  <c r="A3398" i="1"/>
  <c r="B3398" i="1"/>
  <c r="G3398" i="1"/>
  <c r="K3398" i="1"/>
  <c r="A3399" i="1"/>
  <c r="B3399" i="1"/>
  <c r="G3399" i="1"/>
  <c r="K3399" i="1"/>
  <c r="A3400" i="1"/>
  <c r="B3400" i="1"/>
  <c r="G3400" i="1"/>
  <c r="K3400" i="1"/>
  <c r="A3401" i="1"/>
  <c r="B3401" i="1"/>
  <c r="G3401" i="1"/>
  <c r="K3401" i="1"/>
  <c r="A3402" i="1"/>
  <c r="B3402" i="1"/>
  <c r="G3402" i="1"/>
  <c r="K3402" i="1"/>
  <c r="A3403" i="1"/>
  <c r="B3403" i="1"/>
  <c r="G3403" i="1"/>
  <c r="K3403" i="1"/>
  <c r="A3404" i="1"/>
  <c r="B3404" i="1"/>
  <c r="G3404" i="1"/>
  <c r="K3404" i="1"/>
  <c r="A3405" i="1"/>
  <c r="B3405" i="1"/>
  <c r="G3405" i="1"/>
  <c r="K3405" i="1"/>
  <c r="A3406" i="1"/>
  <c r="B3406" i="1"/>
  <c r="G3406" i="1"/>
  <c r="K3406" i="1"/>
  <c r="A3407" i="1"/>
  <c r="B3407" i="1"/>
  <c r="G3407" i="1"/>
  <c r="K3407" i="1"/>
  <c r="A3408" i="1"/>
  <c r="B3408" i="1"/>
  <c r="G3408" i="1"/>
  <c r="K3408" i="1"/>
  <c r="A3409" i="1"/>
  <c r="B3409" i="1"/>
  <c r="G3409" i="1"/>
  <c r="K3409" i="1"/>
  <c r="A3410" i="1"/>
  <c r="B3410" i="1"/>
  <c r="G3410" i="1"/>
  <c r="K3410" i="1"/>
  <c r="A3411" i="1"/>
  <c r="B3411" i="1"/>
  <c r="G3411" i="1"/>
  <c r="K3411" i="1"/>
  <c r="A3412" i="1"/>
  <c r="B3412" i="1"/>
  <c r="G3412" i="1"/>
  <c r="K3412" i="1"/>
  <c r="A3413" i="1"/>
  <c r="B3413" i="1"/>
  <c r="G3413" i="1"/>
  <c r="K3413" i="1"/>
  <c r="A3414" i="1"/>
  <c r="B3414" i="1"/>
  <c r="G3414" i="1"/>
  <c r="K3414" i="1"/>
  <c r="A3415" i="1"/>
  <c r="B3415" i="1"/>
  <c r="G3415" i="1"/>
  <c r="K3415" i="1"/>
  <c r="A3416" i="1"/>
  <c r="B3416" i="1"/>
  <c r="G3416" i="1"/>
  <c r="K3416" i="1"/>
  <c r="A3417" i="1"/>
  <c r="B3417" i="1"/>
  <c r="G3417" i="1"/>
  <c r="K3417" i="1"/>
  <c r="A3418" i="1"/>
  <c r="B3418" i="1"/>
  <c r="G3418" i="1"/>
  <c r="K3418" i="1"/>
  <c r="A3419" i="1"/>
  <c r="B3419" i="1"/>
  <c r="G3419" i="1"/>
  <c r="K3419" i="1"/>
  <c r="A3420" i="1"/>
  <c r="B3420" i="1"/>
  <c r="G3420" i="1"/>
  <c r="K3420" i="1"/>
  <c r="A3421" i="1"/>
  <c r="B3421" i="1"/>
  <c r="G3421" i="1"/>
  <c r="K3421" i="1"/>
  <c r="A3422" i="1"/>
  <c r="B3422" i="1"/>
  <c r="G3422" i="1"/>
  <c r="K3422" i="1"/>
  <c r="A3423" i="1"/>
  <c r="B3423" i="1"/>
  <c r="G3423" i="1"/>
  <c r="K3423" i="1"/>
  <c r="A3424" i="1"/>
  <c r="B3424" i="1"/>
  <c r="G3424" i="1"/>
  <c r="K3424" i="1"/>
  <c r="A3425" i="1"/>
  <c r="B3425" i="1"/>
  <c r="G3425" i="1"/>
  <c r="K3425" i="1"/>
  <c r="A3426" i="1"/>
  <c r="B3426" i="1"/>
  <c r="G3426" i="1"/>
  <c r="K3426" i="1"/>
  <c r="A3427" i="1"/>
  <c r="B3427" i="1"/>
  <c r="G3427" i="1"/>
  <c r="K3427" i="1"/>
  <c r="A3428" i="1"/>
  <c r="B3428" i="1"/>
  <c r="G3428" i="1"/>
  <c r="K3428" i="1"/>
  <c r="A3429" i="1"/>
  <c r="B3429" i="1"/>
  <c r="G3429" i="1"/>
  <c r="K3429" i="1"/>
  <c r="A3430" i="1"/>
  <c r="B3430" i="1"/>
  <c r="G3430" i="1"/>
  <c r="K3430" i="1"/>
  <c r="A3431" i="1"/>
  <c r="B3431" i="1"/>
  <c r="G3431" i="1"/>
  <c r="K3431" i="1"/>
  <c r="A3432" i="1"/>
  <c r="B3432" i="1"/>
  <c r="G3432" i="1"/>
  <c r="K3432" i="1"/>
  <c r="A3433" i="1"/>
  <c r="B3433" i="1"/>
  <c r="G3433" i="1"/>
  <c r="K3433" i="1"/>
  <c r="A3434" i="1"/>
  <c r="B3434" i="1"/>
  <c r="G3434" i="1"/>
  <c r="K3434" i="1"/>
  <c r="A3435" i="1"/>
  <c r="B3435" i="1"/>
  <c r="G3435" i="1"/>
  <c r="K3435" i="1"/>
  <c r="A3436" i="1"/>
  <c r="B3436" i="1"/>
  <c r="G3436" i="1"/>
  <c r="K3436" i="1"/>
  <c r="A3437" i="1"/>
  <c r="B3437" i="1"/>
  <c r="G3437" i="1"/>
  <c r="K3437" i="1"/>
  <c r="A3438" i="1"/>
  <c r="B3438" i="1"/>
  <c r="G3438" i="1"/>
  <c r="K3438" i="1"/>
  <c r="A3439" i="1"/>
  <c r="B3439" i="1"/>
  <c r="G3439" i="1"/>
  <c r="K3439" i="1"/>
  <c r="A3440" i="1"/>
  <c r="B3440" i="1"/>
  <c r="G3440" i="1"/>
  <c r="K3440" i="1"/>
  <c r="A3441" i="1"/>
  <c r="B3441" i="1"/>
  <c r="G3441" i="1"/>
  <c r="K3441" i="1"/>
  <c r="A3442" i="1"/>
  <c r="B3442" i="1"/>
  <c r="G3442" i="1"/>
  <c r="K3442" i="1"/>
  <c r="A3443" i="1"/>
  <c r="B3443" i="1"/>
  <c r="G3443" i="1"/>
  <c r="K3443" i="1"/>
  <c r="A3444" i="1"/>
  <c r="B3444" i="1"/>
  <c r="G3444" i="1"/>
  <c r="K3444" i="1"/>
  <c r="A3445" i="1"/>
  <c r="B3445" i="1"/>
  <c r="G3445" i="1"/>
  <c r="K3445" i="1"/>
  <c r="A3446" i="1"/>
  <c r="B3446" i="1"/>
  <c r="G3446" i="1"/>
  <c r="K3446" i="1"/>
  <c r="A3447" i="1"/>
  <c r="B3447" i="1"/>
  <c r="G3447" i="1"/>
  <c r="K3447" i="1"/>
  <c r="A3448" i="1"/>
  <c r="B3448" i="1"/>
  <c r="G3448" i="1"/>
  <c r="K3448" i="1"/>
  <c r="A3449" i="1"/>
  <c r="B3449" i="1"/>
  <c r="G3449" i="1"/>
  <c r="K3449" i="1"/>
  <c r="A3450" i="1"/>
  <c r="B3450" i="1"/>
  <c r="G3450" i="1"/>
  <c r="K3450" i="1"/>
  <c r="A3451" i="1"/>
  <c r="B3451" i="1"/>
  <c r="G3451" i="1"/>
  <c r="K3451" i="1"/>
  <c r="A3452" i="1"/>
  <c r="B3452" i="1"/>
  <c r="G3452" i="1"/>
  <c r="K3452" i="1"/>
  <c r="A3453" i="1"/>
  <c r="B3453" i="1"/>
  <c r="G3453" i="1"/>
  <c r="K3453" i="1"/>
  <c r="A3454" i="1"/>
  <c r="B3454" i="1"/>
  <c r="G3454" i="1"/>
  <c r="K3454" i="1"/>
  <c r="A3455" i="1"/>
  <c r="B3455" i="1"/>
  <c r="G3455" i="1"/>
  <c r="K3455" i="1"/>
  <c r="A3456" i="1"/>
  <c r="B3456" i="1"/>
  <c r="G3456" i="1"/>
  <c r="K3456" i="1"/>
  <c r="A3457" i="1"/>
  <c r="B3457" i="1"/>
  <c r="G3457" i="1"/>
  <c r="K3457" i="1"/>
  <c r="A3458" i="1"/>
  <c r="B3458" i="1"/>
  <c r="G3458" i="1"/>
  <c r="K3458" i="1"/>
  <c r="A3459" i="1"/>
  <c r="B3459" i="1"/>
  <c r="G3459" i="1"/>
  <c r="K3459" i="1"/>
  <c r="A3460" i="1"/>
  <c r="B3460" i="1"/>
  <c r="G3460" i="1"/>
  <c r="K3460" i="1"/>
  <c r="A3461" i="1"/>
  <c r="B3461" i="1"/>
  <c r="G3461" i="1"/>
  <c r="K3461" i="1"/>
  <c r="A3462" i="1"/>
  <c r="B3462" i="1"/>
  <c r="G3462" i="1"/>
  <c r="K3462" i="1"/>
  <c r="A3463" i="1"/>
  <c r="B3463" i="1"/>
  <c r="G3463" i="1"/>
  <c r="K3463" i="1"/>
  <c r="A3464" i="1"/>
  <c r="B3464" i="1"/>
  <c r="G3464" i="1"/>
  <c r="K3464" i="1"/>
  <c r="A3465" i="1"/>
  <c r="B3465" i="1"/>
  <c r="G3465" i="1"/>
  <c r="K3465" i="1"/>
  <c r="A3466" i="1"/>
  <c r="B3466" i="1"/>
  <c r="G3466" i="1"/>
  <c r="K3466" i="1"/>
  <c r="A3467" i="1"/>
  <c r="B3467" i="1"/>
  <c r="G3467" i="1"/>
  <c r="K3467" i="1"/>
  <c r="A3468" i="1"/>
  <c r="B3468" i="1"/>
  <c r="G3468" i="1"/>
  <c r="K3468" i="1"/>
  <c r="A3469" i="1"/>
  <c r="B3469" i="1"/>
  <c r="G3469" i="1"/>
  <c r="K3469" i="1"/>
  <c r="A3470" i="1"/>
  <c r="B3470" i="1"/>
  <c r="G3470" i="1"/>
  <c r="K3470" i="1"/>
  <c r="A3471" i="1"/>
  <c r="B3471" i="1"/>
  <c r="G3471" i="1"/>
  <c r="K3471" i="1"/>
  <c r="A3472" i="1"/>
  <c r="B3472" i="1"/>
  <c r="G3472" i="1"/>
  <c r="K3472" i="1"/>
  <c r="A3473" i="1"/>
  <c r="B3473" i="1"/>
  <c r="G3473" i="1"/>
  <c r="K3473" i="1"/>
  <c r="A3474" i="1"/>
  <c r="B3474" i="1"/>
  <c r="G3474" i="1"/>
  <c r="K3474" i="1"/>
  <c r="A3475" i="1"/>
  <c r="B3475" i="1"/>
  <c r="G3475" i="1"/>
  <c r="K3475" i="1"/>
  <c r="A3476" i="1"/>
  <c r="B3476" i="1"/>
  <c r="G3476" i="1"/>
  <c r="K3476" i="1"/>
  <c r="A3477" i="1"/>
  <c r="B3477" i="1"/>
  <c r="G3477" i="1"/>
  <c r="K3477" i="1"/>
  <c r="A3478" i="1"/>
  <c r="B3478" i="1"/>
  <c r="G3478" i="1"/>
  <c r="K3478" i="1"/>
  <c r="A3479" i="1"/>
  <c r="B3479" i="1"/>
  <c r="G3479" i="1"/>
  <c r="K3479" i="1"/>
  <c r="A3480" i="1"/>
  <c r="B3480" i="1"/>
  <c r="G3480" i="1"/>
  <c r="K3480" i="1"/>
  <c r="A3481" i="1"/>
  <c r="B3481" i="1"/>
  <c r="G3481" i="1"/>
  <c r="K3481" i="1"/>
  <c r="A3482" i="1"/>
  <c r="B3482" i="1"/>
  <c r="G3482" i="1"/>
  <c r="K3482" i="1"/>
  <c r="A3483" i="1"/>
  <c r="B3483" i="1"/>
  <c r="G3483" i="1"/>
  <c r="K3483" i="1"/>
  <c r="A3484" i="1"/>
  <c r="B3484" i="1"/>
  <c r="G3484" i="1"/>
  <c r="K3484" i="1"/>
  <c r="A3485" i="1"/>
  <c r="B3485" i="1"/>
  <c r="G3485" i="1"/>
  <c r="K3485" i="1"/>
  <c r="A3486" i="1"/>
  <c r="B3486" i="1"/>
  <c r="G3486" i="1"/>
  <c r="K3486" i="1"/>
  <c r="A3487" i="1"/>
  <c r="B3487" i="1"/>
  <c r="G3487" i="1"/>
  <c r="K3487" i="1"/>
  <c r="A3488" i="1"/>
  <c r="B3488" i="1"/>
  <c r="G3488" i="1"/>
  <c r="K3488" i="1"/>
  <c r="A3489" i="1"/>
  <c r="B3489" i="1"/>
  <c r="G3489" i="1"/>
  <c r="K3489" i="1"/>
  <c r="A3490" i="1"/>
  <c r="B3490" i="1"/>
  <c r="G3490" i="1"/>
  <c r="K3490" i="1"/>
  <c r="A3491" i="1"/>
  <c r="B3491" i="1"/>
  <c r="G3491" i="1"/>
  <c r="K3491" i="1"/>
  <c r="A3492" i="1"/>
  <c r="B3492" i="1"/>
  <c r="G3492" i="1"/>
  <c r="K3492" i="1"/>
  <c r="A3493" i="1"/>
  <c r="B3493" i="1"/>
  <c r="G3493" i="1"/>
  <c r="K3493" i="1"/>
  <c r="A3494" i="1"/>
  <c r="B3494" i="1"/>
  <c r="G3494" i="1"/>
  <c r="K3494" i="1"/>
  <c r="A3495" i="1"/>
  <c r="B3495" i="1"/>
  <c r="G3495" i="1"/>
  <c r="K3495" i="1"/>
  <c r="A3496" i="1"/>
  <c r="B3496" i="1"/>
  <c r="G3496" i="1"/>
  <c r="K3496" i="1"/>
  <c r="A3497" i="1"/>
  <c r="B3497" i="1"/>
  <c r="G3497" i="1"/>
  <c r="K3497" i="1"/>
  <c r="A3498" i="1"/>
  <c r="B3498" i="1"/>
  <c r="G3498" i="1"/>
  <c r="K3498" i="1"/>
  <c r="A3499" i="1"/>
  <c r="B3499" i="1"/>
  <c r="G3499" i="1"/>
  <c r="K3499" i="1"/>
  <c r="A3500" i="1"/>
  <c r="B3500" i="1"/>
  <c r="G3500" i="1"/>
  <c r="K3500" i="1"/>
  <c r="A3501" i="1"/>
  <c r="B3501" i="1"/>
  <c r="G3501" i="1"/>
  <c r="K3501" i="1"/>
  <c r="A3502" i="1"/>
  <c r="B3502" i="1"/>
  <c r="G3502" i="1"/>
  <c r="K3502" i="1"/>
  <c r="A3503" i="1"/>
  <c r="B3503" i="1"/>
  <c r="G3503" i="1"/>
  <c r="K3503" i="1"/>
  <c r="A3504" i="1"/>
  <c r="B3504" i="1"/>
  <c r="G3504" i="1"/>
  <c r="K3504" i="1"/>
  <c r="A3505" i="1"/>
  <c r="B3505" i="1"/>
  <c r="G3505" i="1"/>
  <c r="K3505" i="1"/>
  <c r="A3506" i="1"/>
  <c r="B3506" i="1"/>
  <c r="G3506" i="1"/>
  <c r="K3506" i="1"/>
  <c r="A3507" i="1"/>
  <c r="B3507" i="1"/>
  <c r="G3507" i="1"/>
  <c r="K3507" i="1"/>
  <c r="A3508" i="1"/>
  <c r="B3508" i="1"/>
  <c r="G3508" i="1"/>
  <c r="K3508" i="1"/>
  <c r="A3509" i="1"/>
  <c r="B3509" i="1"/>
  <c r="G3509" i="1"/>
  <c r="K3509" i="1"/>
  <c r="A3510" i="1"/>
  <c r="B3510" i="1"/>
  <c r="G3510" i="1"/>
  <c r="K3510" i="1"/>
  <c r="A3511" i="1"/>
  <c r="B3511" i="1"/>
  <c r="G3511" i="1"/>
  <c r="K3511" i="1"/>
  <c r="A3512" i="1"/>
  <c r="B3512" i="1"/>
  <c r="G3512" i="1"/>
  <c r="K3512" i="1"/>
  <c r="A3513" i="1"/>
  <c r="B3513" i="1"/>
  <c r="G3513" i="1"/>
  <c r="K3513" i="1"/>
  <c r="A3514" i="1"/>
  <c r="B3514" i="1"/>
  <c r="G3514" i="1"/>
  <c r="K3514" i="1"/>
  <c r="A3515" i="1"/>
  <c r="B3515" i="1"/>
  <c r="G3515" i="1"/>
  <c r="K3515" i="1"/>
  <c r="A3516" i="1"/>
  <c r="B3516" i="1"/>
  <c r="G3516" i="1"/>
  <c r="K3516" i="1"/>
  <c r="A3517" i="1"/>
  <c r="B3517" i="1"/>
  <c r="G3517" i="1"/>
  <c r="K3517" i="1"/>
  <c r="A3518" i="1"/>
  <c r="B3518" i="1"/>
  <c r="G3518" i="1"/>
  <c r="K3518" i="1"/>
  <c r="A3519" i="1"/>
  <c r="B3519" i="1"/>
  <c r="G3519" i="1"/>
  <c r="K3519" i="1"/>
  <c r="A3520" i="1"/>
  <c r="B3520" i="1"/>
  <c r="G3520" i="1"/>
  <c r="K3520" i="1"/>
  <c r="A3521" i="1"/>
  <c r="B3521" i="1"/>
  <c r="G3521" i="1"/>
  <c r="K3521" i="1"/>
  <c r="A3522" i="1"/>
  <c r="B3522" i="1"/>
  <c r="G3522" i="1"/>
  <c r="K3522" i="1"/>
  <c r="A3523" i="1"/>
  <c r="B3523" i="1"/>
  <c r="G3523" i="1"/>
  <c r="K3523" i="1"/>
  <c r="A3524" i="1"/>
  <c r="B3524" i="1"/>
  <c r="G3524" i="1"/>
  <c r="K3524" i="1"/>
  <c r="A3525" i="1"/>
  <c r="B3525" i="1"/>
  <c r="G3525" i="1"/>
  <c r="K3525" i="1"/>
  <c r="A3526" i="1"/>
  <c r="B3526" i="1"/>
  <c r="G3526" i="1"/>
  <c r="K3526" i="1"/>
  <c r="A3527" i="1"/>
  <c r="B3527" i="1"/>
  <c r="G3527" i="1"/>
  <c r="K3527" i="1"/>
  <c r="A3528" i="1"/>
  <c r="B3528" i="1"/>
  <c r="G3528" i="1"/>
  <c r="K3528" i="1"/>
  <c r="A3529" i="1"/>
  <c r="B3529" i="1"/>
  <c r="G3529" i="1"/>
  <c r="K3529" i="1"/>
  <c r="A3530" i="1"/>
  <c r="B3530" i="1"/>
  <c r="G3530" i="1"/>
  <c r="K3530" i="1"/>
  <c r="A3531" i="1"/>
  <c r="B3531" i="1"/>
  <c r="G3531" i="1"/>
  <c r="K3531" i="1"/>
  <c r="A3532" i="1"/>
  <c r="B3532" i="1"/>
  <c r="G3532" i="1"/>
  <c r="K3532" i="1"/>
  <c r="A3533" i="1"/>
  <c r="B3533" i="1"/>
  <c r="G3533" i="1"/>
  <c r="K3533" i="1"/>
  <c r="A3534" i="1"/>
  <c r="B3534" i="1"/>
  <c r="G3534" i="1"/>
  <c r="K3534" i="1"/>
  <c r="A3535" i="1"/>
  <c r="B3535" i="1"/>
  <c r="G3535" i="1"/>
  <c r="K3535" i="1"/>
  <c r="A3536" i="1"/>
  <c r="B3536" i="1"/>
  <c r="G3536" i="1"/>
  <c r="K3536" i="1"/>
  <c r="A3537" i="1"/>
  <c r="B3537" i="1"/>
  <c r="G3537" i="1"/>
  <c r="K3537" i="1"/>
  <c r="A3538" i="1"/>
  <c r="B3538" i="1"/>
  <c r="G3538" i="1"/>
  <c r="K3538" i="1"/>
  <c r="A3539" i="1"/>
  <c r="B3539" i="1"/>
  <c r="G3539" i="1"/>
  <c r="K3539" i="1"/>
  <c r="A3540" i="1"/>
  <c r="B3540" i="1"/>
  <c r="G3540" i="1"/>
  <c r="K3540" i="1"/>
  <c r="A3541" i="1"/>
  <c r="B3541" i="1"/>
  <c r="G3541" i="1"/>
  <c r="K3541" i="1"/>
  <c r="A3542" i="1"/>
  <c r="B3542" i="1"/>
  <c r="G3542" i="1"/>
  <c r="K3542" i="1"/>
  <c r="A3543" i="1"/>
  <c r="B3543" i="1"/>
  <c r="G3543" i="1"/>
  <c r="K3543" i="1"/>
  <c r="A3544" i="1"/>
  <c r="B3544" i="1"/>
  <c r="G3544" i="1"/>
  <c r="K3544" i="1"/>
  <c r="A3545" i="1"/>
  <c r="B3545" i="1"/>
  <c r="G3545" i="1"/>
  <c r="K3545" i="1"/>
  <c r="A3546" i="1"/>
  <c r="B3546" i="1"/>
  <c r="G3546" i="1"/>
  <c r="K3546" i="1"/>
  <c r="A3547" i="1"/>
  <c r="B3547" i="1"/>
  <c r="G3547" i="1"/>
  <c r="K3547" i="1"/>
  <c r="A3548" i="1"/>
  <c r="B3548" i="1"/>
  <c r="G3548" i="1"/>
  <c r="K3548" i="1"/>
  <c r="A3549" i="1"/>
  <c r="B3549" i="1"/>
  <c r="G3549" i="1"/>
  <c r="K3549" i="1"/>
  <c r="A3550" i="1"/>
  <c r="B3550" i="1"/>
  <c r="G3550" i="1"/>
  <c r="K3550" i="1"/>
  <c r="A3551" i="1"/>
  <c r="B3551" i="1"/>
  <c r="G3551" i="1"/>
  <c r="K3551" i="1"/>
  <c r="A3552" i="1"/>
  <c r="B3552" i="1"/>
  <c r="G3552" i="1"/>
  <c r="K3552" i="1"/>
  <c r="A3553" i="1"/>
  <c r="B3553" i="1"/>
  <c r="G3553" i="1"/>
  <c r="K3553" i="1"/>
  <c r="A3554" i="1"/>
  <c r="B3554" i="1"/>
  <c r="G3554" i="1"/>
  <c r="K3554" i="1"/>
  <c r="A3555" i="1"/>
  <c r="B3555" i="1"/>
  <c r="G3555" i="1"/>
  <c r="K3555" i="1"/>
  <c r="A3556" i="1"/>
  <c r="B3556" i="1"/>
  <c r="G3556" i="1"/>
  <c r="K3556" i="1"/>
  <c r="A3557" i="1"/>
  <c r="B3557" i="1"/>
  <c r="G3557" i="1"/>
  <c r="K3557" i="1"/>
  <c r="A3558" i="1"/>
  <c r="B3558" i="1"/>
  <c r="G3558" i="1"/>
  <c r="K3558" i="1"/>
  <c r="A3559" i="1"/>
  <c r="B3559" i="1"/>
  <c r="G3559" i="1"/>
  <c r="K3559" i="1"/>
  <c r="A3560" i="1"/>
  <c r="B3560" i="1"/>
  <c r="G3560" i="1"/>
  <c r="K3560" i="1"/>
  <c r="A3561" i="1"/>
  <c r="B3561" i="1"/>
  <c r="G3561" i="1"/>
  <c r="K3561" i="1"/>
  <c r="A3562" i="1"/>
  <c r="B3562" i="1"/>
  <c r="G3562" i="1"/>
  <c r="K3562" i="1"/>
  <c r="A3563" i="1"/>
  <c r="B3563" i="1"/>
  <c r="G3563" i="1"/>
  <c r="K3563" i="1"/>
  <c r="A3564" i="1"/>
  <c r="B3564" i="1"/>
  <c r="G3564" i="1"/>
  <c r="K3564" i="1"/>
  <c r="A3565" i="1"/>
  <c r="B3565" i="1"/>
  <c r="G3565" i="1"/>
  <c r="K3565" i="1"/>
  <c r="A3566" i="1"/>
  <c r="B3566" i="1"/>
  <c r="G3566" i="1"/>
  <c r="K3566" i="1"/>
  <c r="A3567" i="1"/>
  <c r="B3567" i="1"/>
  <c r="G3567" i="1"/>
  <c r="K3567" i="1"/>
  <c r="A3568" i="1"/>
  <c r="B3568" i="1"/>
  <c r="G3568" i="1"/>
  <c r="K3568" i="1"/>
  <c r="A3569" i="1"/>
  <c r="B3569" i="1"/>
  <c r="G3569" i="1"/>
  <c r="K3569" i="1"/>
  <c r="A3570" i="1"/>
  <c r="B3570" i="1"/>
  <c r="G3570" i="1"/>
  <c r="K3570" i="1"/>
  <c r="A3571" i="1"/>
  <c r="B3571" i="1"/>
  <c r="G3571" i="1"/>
  <c r="K3571" i="1"/>
  <c r="A3572" i="1"/>
  <c r="B3572" i="1"/>
  <c r="G3572" i="1"/>
  <c r="K3572" i="1"/>
  <c r="A3573" i="1"/>
  <c r="B3573" i="1"/>
  <c r="G3573" i="1"/>
  <c r="K3573" i="1"/>
  <c r="A3574" i="1"/>
  <c r="B3574" i="1"/>
  <c r="G3574" i="1"/>
  <c r="K3574" i="1"/>
  <c r="A3575" i="1"/>
  <c r="B3575" i="1"/>
  <c r="G3575" i="1"/>
  <c r="K3575" i="1"/>
  <c r="A3576" i="1"/>
  <c r="B3576" i="1"/>
  <c r="G3576" i="1"/>
  <c r="K3576" i="1"/>
  <c r="A3577" i="1"/>
  <c r="B3577" i="1"/>
  <c r="G3577" i="1"/>
  <c r="K3577" i="1"/>
  <c r="A3578" i="1"/>
  <c r="B3578" i="1"/>
  <c r="G3578" i="1"/>
  <c r="K3578" i="1"/>
  <c r="A3579" i="1"/>
  <c r="B3579" i="1"/>
  <c r="G3579" i="1"/>
  <c r="K3579" i="1"/>
  <c r="A3580" i="1"/>
  <c r="B3580" i="1"/>
  <c r="G3580" i="1"/>
  <c r="K3580" i="1"/>
  <c r="A3581" i="1"/>
  <c r="B3581" i="1"/>
  <c r="G3581" i="1"/>
  <c r="K3581" i="1"/>
  <c r="A3582" i="1"/>
  <c r="B3582" i="1"/>
  <c r="G3582" i="1"/>
  <c r="K3582" i="1"/>
  <c r="A3583" i="1"/>
  <c r="B3583" i="1"/>
  <c r="G3583" i="1"/>
  <c r="K3583" i="1"/>
  <c r="A3584" i="1"/>
  <c r="B3584" i="1"/>
  <c r="G3584" i="1"/>
  <c r="K3584" i="1"/>
  <c r="A3585" i="1"/>
  <c r="B3585" i="1"/>
  <c r="G3585" i="1"/>
  <c r="K3585" i="1"/>
  <c r="A3586" i="1"/>
  <c r="B3586" i="1"/>
  <c r="G3586" i="1"/>
  <c r="K3586" i="1"/>
  <c r="A3587" i="1"/>
  <c r="B3587" i="1"/>
  <c r="G3587" i="1"/>
  <c r="K3587" i="1"/>
  <c r="A3588" i="1"/>
  <c r="B3588" i="1"/>
  <c r="G3588" i="1"/>
  <c r="K3588" i="1"/>
  <c r="A3589" i="1"/>
  <c r="B3589" i="1"/>
  <c r="G3589" i="1"/>
  <c r="K3589" i="1"/>
  <c r="A3590" i="1"/>
  <c r="B3590" i="1"/>
  <c r="G3590" i="1"/>
  <c r="K3590" i="1"/>
  <c r="A3591" i="1"/>
  <c r="B3591" i="1"/>
  <c r="G3591" i="1"/>
  <c r="K3591" i="1"/>
  <c r="A3592" i="1"/>
  <c r="B3592" i="1"/>
  <c r="G3592" i="1"/>
  <c r="K3592" i="1"/>
  <c r="A3593" i="1"/>
  <c r="B3593" i="1"/>
  <c r="G3593" i="1"/>
  <c r="K3593" i="1"/>
  <c r="A3594" i="1"/>
  <c r="B3594" i="1"/>
  <c r="G3594" i="1"/>
  <c r="K3594" i="1"/>
  <c r="A3595" i="1"/>
  <c r="B3595" i="1"/>
  <c r="G3595" i="1"/>
  <c r="K3595" i="1"/>
  <c r="A3596" i="1"/>
  <c r="B3596" i="1"/>
  <c r="G3596" i="1"/>
  <c r="K3596" i="1"/>
  <c r="A3597" i="1"/>
  <c r="B3597" i="1"/>
  <c r="G3597" i="1"/>
  <c r="K3597" i="1"/>
  <c r="A3598" i="1"/>
  <c r="B3598" i="1"/>
  <c r="G3598" i="1"/>
  <c r="K3598" i="1"/>
  <c r="A3599" i="1"/>
  <c r="B3599" i="1"/>
  <c r="G3599" i="1"/>
  <c r="K3599" i="1"/>
  <c r="A3600" i="1"/>
  <c r="B3600" i="1"/>
  <c r="G3600" i="1"/>
  <c r="K3600" i="1"/>
  <c r="A3601" i="1"/>
  <c r="B3601" i="1"/>
  <c r="G3601" i="1"/>
  <c r="K3601" i="1"/>
  <c r="A3602" i="1"/>
  <c r="B3602" i="1"/>
  <c r="G3602" i="1"/>
  <c r="K3602" i="1"/>
  <c r="A3603" i="1"/>
  <c r="B3603" i="1"/>
  <c r="G3603" i="1"/>
  <c r="K3603" i="1"/>
  <c r="A3604" i="1"/>
  <c r="B3604" i="1"/>
  <c r="G3604" i="1"/>
  <c r="K3604" i="1"/>
  <c r="A3605" i="1"/>
  <c r="B3605" i="1"/>
  <c r="G3605" i="1"/>
  <c r="K3605" i="1"/>
  <c r="A3606" i="1"/>
  <c r="B3606" i="1"/>
  <c r="G3606" i="1"/>
  <c r="K3606" i="1"/>
  <c r="A3607" i="1"/>
  <c r="B3607" i="1"/>
  <c r="G3607" i="1"/>
  <c r="K3607" i="1"/>
  <c r="A3608" i="1"/>
  <c r="B3608" i="1"/>
  <c r="G3608" i="1"/>
  <c r="K3608" i="1"/>
  <c r="A3609" i="1"/>
  <c r="B3609" i="1"/>
  <c r="G3609" i="1"/>
  <c r="K3609" i="1"/>
  <c r="A3610" i="1"/>
  <c r="B3610" i="1"/>
  <c r="G3610" i="1"/>
  <c r="K3610" i="1"/>
  <c r="A3611" i="1"/>
  <c r="B3611" i="1"/>
  <c r="G3611" i="1"/>
  <c r="K3611" i="1"/>
  <c r="A3612" i="1"/>
  <c r="B3612" i="1"/>
  <c r="G3612" i="1"/>
  <c r="K3612" i="1"/>
  <c r="A3613" i="1"/>
  <c r="B3613" i="1"/>
  <c r="G3613" i="1"/>
  <c r="K3613" i="1"/>
  <c r="A3614" i="1"/>
  <c r="B3614" i="1"/>
  <c r="G3614" i="1"/>
  <c r="K3614" i="1"/>
  <c r="A3615" i="1"/>
  <c r="B3615" i="1"/>
  <c r="G3615" i="1"/>
  <c r="K3615" i="1"/>
  <c r="A3616" i="1"/>
  <c r="B3616" i="1"/>
  <c r="G3616" i="1"/>
  <c r="K3616" i="1"/>
  <c r="A3617" i="1"/>
  <c r="B3617" i="1"/>
  <c r="G3617" i="1"/>
  <c r="K3617" i="1"/>
  <c r="A3618" i="1"/>
  <c r="B3618" i="1"/>
  <c r="G3618" i="1"/>
  <c r="K3618" i="1"/>
  <c r="A3619" i="1"/>
  <c r="B3619" i="1"/>
  <c r="G3619" i="1"/>
  <c r="K3619" i="1"/>
  <c r="A3620" i="1"/>
  <c r="B3620" i="1"/>
  <c r="G3620" i="1"/>
  <c r="K3620" i="1"/>
  <c r="A3621" i="1"/>
  <c r="B3621" i="1"/>
  <c r="G3621" i="1"/>
  <c r="K3621" i="1"/>
  <c r="A3622" i="1"/>
  <c r="B3622" i="1"/>
  <c r="G3622" i="1"/>
  <c r="K3622" i="1"/>
  <c r="A3623" i="1"/>
  <c r="B3623" i="1"/>
  <c r="G3623" i="1"/>
  <c r="K3623" i="1"/>
  <c r="A3624" i="1"/>
  <c r="B3624" i="1"/>
  <c r="G3624" i="1"/>
  <c r="K3624" i="1"/>
  <c r="A3625" i="1"/>
  <c r="B3625" i="1"/>
  <c r="G3625" i="1"/>
  <c r="K3625" i="1"/>
  <c r="A3626" i="1"/>
  <c r="B3626" i="1"/>
  <c r="G3626" i="1"/>
  <c r="K3626" i="1"/>
  <c r="A3627" i="1"/>
  <c r="B3627" i="1"/>
  <c r="G3627" i="1"/>
  <c r="K3627" i="1"/>
  <c r="A3628" i="1"/>
  <c r="B3628" i="1"/>
  <c r="G3628" i="1"/>
  <c r="K3628" i="1"/>
  <c r="A3629" i="1"/>
  <c r="B3629" i="1"/>
  <c r="G3629" i="1"/>
  <c r="K3629" i="1"/>
  <c r="A3630" i="1"/>
  <c r="B3630" i="1"/>
  <c r="G3630" i="1"/>
  <c r="K3630" i="1"/>
  <c r="A3631" i="1"/>
  <c r="B3631" i="1"/>
  <c r="G3631" i="1"/>
  <c r="K3631" i="1"/>
  <c r="A3632" i="1"/>
  <c r="B3632" i="1"/>
  <c r="G3632" i="1"/>
  <c r="K3632" i="1"/>
  <c r="A3633" i="1"/>
  <c r="B3633" i="1"/>
  <c r="G3633" i="1"/>
  <c r="K3633" i="1"/>
  <c r="A3634" i="1"/>
  <c r="B3634" i="1"/>
  <c r="G3634" i="1"/>
  <c r="K3634" i="1"/>
  <c r="A3635" i="1"/>
  <c r="B3635" i="1"/>
  <c r="G3635" i="1"/>
  <c r="K3635" i="1"/>
  <c r="A3636" i="1"/>
  <c r="B3636" i="1"/>
  <c r="G3636" i="1"/>
  <c r="K3636" i="1"/>
  <c r="A3637" i="1"/>
  <c r="B3637" i="1"/>
  <c r="G3637" i="1"/>
  <c r="K3637" i="1"/>
  <c r="A3638" i="1"/>
  <c r="B3638" i="1"/>
  <c r="G3638" i="1"/>
  <c r="K3638" i="1"/>
  <c r="A3639" i="1"/>
  <c r="B3639" i="1"/>
  <c r="G3639" i="1"/>
  <c r="K3639" i="1"/>
  <c r="A3640" i="1"/>
  <c r="B3640" i="1"/>
  <c r="G3640" i="1"/>
  <c r="K3640" i="1"/>
  <c r="A3641" i="1"/>
  <c r="B3641" i="1"/>
  <c r="G3641" i="1"/>
  <c r="K3641" i="1"/>
  <c r="A3642" i="1"/>
  <c r="B3642" i="1"/>
  <c r="G3642" i="1"/>
  <c r="K3642" i="1"/>
  <c r="A3643" i="1"/>
  <c r="B3643" i="1"/>
  <c r="G3643" i="1"/>
  <c r="K3643" i="1"/>
  <c r="A3644" i="1"/>
  <c r="B3644" i="1"/>
  <c r="G3644" i="1"/>
  <c r="K3644" i="1"/>
  <c r="A3645" i="1"/>
  <c r="B3645" i="1"/>
  <c r="G3645" i="1"/>
  <c r="K3645" i="1"/>
  <c r="A3646" i="1"/>
  <c r="B3646" i="1"/>
  <c r="G3646" i="1"/>
  <c r="K3646" i="1"/>
  <c r="A3647" i="1"/>
  <c r="B3647" i="1"/>
  <c r="G3647" i="1"/>
  <c r="K3647" i="1"/>
  <c r="A3648" i="1"/>
  <c r="B3648" i="1"/>
  <c r="G3648" i="1"/>
  <c r="K3648" i="1"/>
  <c r="A3649" i="1"/>
  <c r="B3649" i="1"/>
  <c r="G3649" i="1"/>
  <c r="K3649" i="1"/>
  <c r="A3650" i="1"/>
  <c r="B3650" i="1"/>
  <c r="G3650" i="1"/>
  <c r="K3650" i="1"/>
  <c r="A3651" i="1"/>
  <c r="B3651" i="1"/>
  <c r="G3651" i="1"/>
  <c r="K3651" i="1"/>
  <c r="A3652" i="1"/>
  <c r="B3652" i="1"/>
  <c r="G3652" i="1"/>
  <c r="K3652" i="1"/>
  <c r="A3653" i="1"/>
  <c r="B3653" i="1"/>
  <c r="G3653" i="1"/>
  <c r="K3653" i="1"/>
  <c r="A3654" i="1"/>
  <c r="B3654" i="1"/>
  <c r="G3654" i="1"/>
  <c r="K3654" i="1"/>
  <c r="A3655" i="1"/>
  <c r="B3655" i="1"/>
  <c r="G3655" i="1"/>
  <c r="K3655" i="1"/>
  <c r="A3656" i="1"/>
  <c r="B3656" i="1"/>
  <c r="G3656" i="1"/>
  <c r="K3656" i="1"/>
  <c r="A3657" i="1"/>
  <c r="B3657" i="1"/>
  <c r="G3657" i="1"/>
  <c r="K3657" i="1"/>
  <c r="A3658" i="1"/>
  <c r="B3658" i="1"/>
  <c r="G3658" i="1"/>
  <c r="K3658" i="1"/>
  <c r="A3659" i="1"/>
  <c r="B3659" i="1"/>
  <c r="G3659" i="1"/>
  <c r="K3659" i="1"/>
  <c r="A3660" i="1"/>
  <c r="B3660" i="1"/>
  <c r="G3660" i="1"/>
  <c r="K3660" i="1"/>
  <c r="A3661" i="1"/>
  <c r="B3661" i="1"/>
  <c r="G3661" i="1"/>
  <c r="K3661" i="1"/>
  <c r="A3662" i="1"/>
  <c r="B3662" i="1"/>
  <c r="G3662" i="1"/>
  <c r="K3662" i="1"/>
  <c r="A3663" i="1"/>
  <c r="B3663" i="1"/>
  <c r="G3663" i="1"/>
  <c r="K3663" i="1"/>
  <c r="A3664" i="1"/>
  <c r="B3664" i="1"/>
  <c r="G3664" i="1"/>
  <c r="K3664" i="1"/>
  <c r="A3665" i="1"/>
  <c r="B3665" i="1"/>
  <c r="G3665" i="1"/>
  <c r="K3665" i="1"/>
  <c r="A3666" i="1"/>
  <c r="B3666" i="1"/>
  <c r="G3666" i="1"/>
  <c r="K3666" i="1"/>
  <c r="A3667" i="1"/>
  <c r="B3667" i="1"/>
  <c r="G3667" i="1"/>
  <c r="K3667" i="1"/>
  <c r="A3668" i="1"/>
  <c r="B3668" i="1"/>
  <c r="G3668" i="1"/>
  <c r="K3668" i="1"/>
  <c r="A3669" i="1"/>
  <c r="B3669" i="1"/>
  <c r="G3669" i="1"/>
  <c r="K3669" i="1"/>
  <c r="A3670" i="1"/>
  <c r="B3670" i="1"/>
  <c r="G3670" i="1"/>
  <c r="K3670" i="1"/>
  <c r="A3671" i="1"/>
  <c r="B3671" i="1"/>
  <c r="G3671" i="1"/>
  <c r="K3671" i="1"/>
  <c r="A3672" i="1"/>
  <c r="B3672" i="1"/>
  <c r="G3672" i="1"/>
  <c r="K3672" i="1"/>
  <c r="A3673" i="1"/>
  <c r="B3673" i="1"/>
  <c r="G3673" i="1"/>
  <c r="K3673" i="1"/>
  <c r="A3674" i="1"/>
  <c r="B3674" i="1"/>
  <c r="G3674" i="1"/>
  <c r="K3674" i="1"/>
  <c r="A3675" i="1"/>
  <c r="B3675" i="1"/>
  <c r="G3675" i="1"/>
  <c r="K3675" i="1"/>
  <c r="A3676" i="1"/>
  <c r="B3676" i="1"/>
  <c r="G3676" i="1"/>
  <c r="K3676" i="1"/>
  <c r="A3677" i="1"/>
  <c r="B3677" i="1"/>
  <c r="G3677" i="1"/>
  <c r="K3677" i="1"/>
  <c r="A3678" i="1"/>
  <c r="B3678" i="1"/>
  <c r="G3678" i="1"/>
  <c r="K3678" i="1"/>
  <c r="A3679" i="1"/>
  <c r="B3679" i="1"/>
  <c r="G3679" i="1"/>
  <c r="K3679" i="1"/>
  <c r="A3680" i="1"/>
  <c r="B3680" i="1"/>
  <c r="G3680" i="1"/>
  <c r="K3680" i="1"/>
  <c r="A3681" i="1"/>
  <c r="B3681" i="1"/>
  <c r="G3681" i="1"/>
  <c r="K3681" i="1"/>
  <c r="A3682" i="1"/>
  <c r="B3682" i="1"/>
  <c r="G3682" i="1"/>
  <c r="K3682" i="1"/>
  <c r="A3683" i="1"/>
  <c r="B3683" i="1"/>
  <c r="G3683" i="1"/>
  <c r="K3683" i="1"/>
  <c r="A3684" i="1"/>
  <c r="B3684" i="1"/>
  <c r="G3684" i="1"/>
  <c r="K3684" i="1"/>
  <c r="A3685" i="1"/>
  <c r="B3685" i="1"/>
  <c r="G3685" i="1"/>
  <c r="K3685" i="1"/>
  <c r="A3686" i="1"/>
  <c r="B3686" i="1"/>
  <c r="G3686" i="1"/>
  <c r="K3686" i="1"/>
  <c r="A3687" i="1"/>
  <c r="B3687" i="1"/>
  <c r="G3687" i="1"/>
  <c r="K3687" i="1"/>
  <c r="A3688" i="1"/>
  <c r="B3688" i="1"/>
  <c r="G3688" i="1"/>
  <c r="K3688" i="1"/>
  <c r="A3689" i="1"/>
  <c r="B3689" i="1"/>
  <c r="G3689" i="1"/>
  <c r="K3689" i="1"/>
  <c r="A3690" i="1"/>
  <c r="B3690" i="1"/>
  <c r="G3690" i="1"/>
  <c r="K3690" i="1"/>
  <c r="A3691" i="1"/>
  <c r="B3691" i="1"/>
  <c r="G3691" i="1"/>
  <c r="K3691" i="1"/>
  <c r="A3692" i="1"/>
  <c r="B3692" i="1"/>
  <c r="G3692" i="1"/>
  <c r="K3692" i="1"/>
  <c r="A3693" i="1"/>
  <c r="B3693" i="1"/>
  <c r="G3693" i="1"/>
  <c r="K3693" i="1"/>
  <c r="A3694" i="1"/>
  <c r="B3694" i="1"/>
  <c r="G3694" i="1"/>
  <c r="K3694" i="1"/>
  <c r="A3695" i="1"/>
  <c r="B3695" i="1"/>
  <c r="G3695" i="1"/>
  <c r="K3695" i="1"/>
  <c r="A3696" i="1"/>
  <c r="B3696" i="1"/>
  <c r="G3696" i="1"/>
  <c r="K3696" i="1"/>
  <c r="A3697" i="1"/>
  <c r="B3697" i="1"/>
  <c r="G3697" i="1"/>
  <c r="K3697" i="1"/>
  <c r="A3698" i="1"/>
  <c r="B3698" i="1"/>
  <c r="G3698" i="1"/>
  <c r="K3698" i="1"/>
  <c r="A3699" i="1"/>
  <c r="B3699" i="1"/>
  <c r="G3699" i="1"/>
  <c r="K3699" i="1"/>
  <c r="A3700" i="1"/>
  <c r="B3700" i="1"/>
  <c r="G3700" i="1"/>
  <c r="K3700" i="1"/>
  <c r="A3701" i="1"/>
  <c r="B3701" i="1"/>
  <c r="G3701" i="1"/>
  <c r="K3701" i="1"/>
  <c r="A3702" i="1"/>
  <c r="B3702" i="1"/>
  <c r="G3702" i="1"/>
  <c r="K3702" i="1"/>
  <c r="A3703" i="1"/>
  <c r="B3703" i="1"/>
  <c r="G3703" i="1"/>
  <c r="K3703" i="1"/>
  <c r="A3704" i="1"/>
  <c r="B3704" i="1"/>
  <c r="G3704" i="1"/>
  <c r="K3704" i="1"/>
  <c r="A3705" i="1"/>
  <c r="B3705" i="1"/>
  <c r="G3705" i="1"/>
  <c r="K3705" i="1"/>
  <c r="A3706" i="1"/>
  <c r="B3706" i="1"/>
  <c r="G3706" i="1"/>
  <c r="K3706" i="1"/>
  <c r="A3707" i="1"/>
  <c r="B3707" i="1"/>
  <c r="G3707" i="1"/>
  <c r="K3707" i="1"/>
  <c r="A3708" i="1"/>
  <c r="B3708" i="1"/>
  <c r="G3708" i="1"/>
  <c r="K3708" i="1"/>
  <c r="A3709" i="1"/>
  <c r="B3709" i="1"/>
  <c r="G3709" i="1"/>
  <c r="K3709" i="1"/>
  <c r="A3710" i="1"/>
  <c r="B3710" i="1"/>
  <c r="G3710" i="1"/>
  <c r="K3710" i="1"/>
  <c r="A3711" i="1"/>
  <c r="B3711" i="1"/>
  <c r="G3711" i="1"/>
  <c r="K3711" i="1"/>
  <c r="A3712" i="1"/>
  <c r="B3712" i="1"/>
  <c r="G3712" i="1"/>
  <c r="K3712" i="1"/>
  <c r="A3713" i="1"/>
  <c r="B3713" i="1"/>
  <c r="G3713" i="1"/>
  <c r="K3713" i="1"/>
  <c r="A3714" i="1"/>
  <c r="B3714" i="1"/>
  <c r="G3714" i="1"/>
  <c r="K3714" i="1"/>
  <c r="A3715" i="1"/>
  <c r="B3715" i="1"/>
  <c r="G3715" i="1"/>
  <c r="K3715" i="1"/>
  <c r="A3716" i="1"/>
  <c r="B3716" i="1"/>
  <c r="G3716" i="1"/>
  <c r="K3716" i="1"/>
  <c r="A3717" i="1"/>
  <c r="B3717" i="1"/>
  <c r="G3717" i="1"/>
  <c r="K3717" i="1"/>
  <c r="A3718" i="1"/>
  <c r="B3718" i="1"/>
  <c r="G3718" i="1"/>
  <c r="K3718" i="1"/>
  <c r="A3719" i="1"/>
  <c r="B3719" i="1"/>
  <c r="G3719" i="1"/>
  <c r="K3719" i="1"/>
  <c r="A3720" i="1"/>
  <c r="B3720" i="1"/>
  <c r="G3720" i="1"/>
  <c r="K3720" i="1"/>
  <c r="A3721" i="1"/>
  <c r="B3721" i="1"/>
  <c r="G3721" i="1"/>
  <c r="K3721" i="1"/>
  <c r="A3722" i="1"/>
  <c r="B3722" i="1"/>
  <c r="G3722" i="1"/>
  <c r="K3722" i="1"/>
  <c r="A3723" i="1"/>
  <c r="B3723" i="1"/>
  <c r="G3723" i="1"/>
  <c r="K3723" i="1"/>
  <c r="A3724" i="1"/>
  <c r="B3724" i="1"/>
  <c r="G3724" i="1"/>
  <c r="K3724" i="1"/>
  <c r="A3725" i="1"/>
  <c r="B3725" i="1"/>
  <c r="G3725" i="1"/>
  <c r="K3725" i="1"/>
  <c r="A3726" i="1"/>
  <c r="B3726" i="1"/>
  <c r="G3726" i="1"/>
  <c r="K3726" i="1"/>
  <c r="A3727" i="1"/>
  <c r="B3727" i="1"/>
  <c r="G3727" i="1"/>
  <c r="K3727" i="1"/>
  <c r="A3728" i="1"/>
  <c r="B3728" i="1"/>
  <c r="G3728" i="1"/>
  <c r="K3728" i="1"/>
  <c r="A3729" i="1"/>
  <c r="B3729" i="1"/>
  <c r="G3729" i="1"/>
  <c r="K3729" i="1"/>
  <c r="A3730" i="1"/>
  <c r="B3730" i="1"/>
  <c r="G3730" i="1"/>
  <c r="K3730" i="1"/>
  <c r="A3731" i="1"/>
  <c r="B3731" i="1"/>
  <c r="G3731" i="1"/>
  <c r="K3731" i="1"/>
  <c r="A3732" i="1"/>
  <c r="B3732" i="1"/>
  <c r="G3732" i="1"/>
  <c r="K3732" i="1"/>
  <c r="A3733" i="1"/>
  <c r="B3733" i="1"/>
  <c r="G3733" i="1"/>
  <c r="K3733" i="1"/>
  <c r="A3734" i="1"/>
  <c r="B3734" i="1"/>
  <c r="G3734" i="1"/>
  <c r="K3734" i="1"/>
  <c r="A3735" i="1"/>
  <c r="B3735" i="1"/>
  <c r="G3735" i="1"/>
  <c r="K3735" i="1"/>
  <c r="A3736" i="1"/>
  <c r="B3736" i="1"/>
  <c r="G3736" i="1"/>
  <c r="K3736" i="1"/>
  <c r="A3737" i="1"/>
  <c r="B3737" i="1"/>
  <c r="G3737" i="1"/>
  <c r="K3737" i="1"/>
  <c r="A3738" i="1"/>
  <c r="B3738" i="1"/>
  <c r="G3738" i="1"/>
  <c r="K3738" i="1"/>
  <c r="A3739" i="1"/>
  <c r="B3739" i="1"/>
  <c r="G3739" i="1"/>
  <c r="K3739" i="1"/>
  <c r="A3740" i="1"/>
  <c r="B3740" i="1"/>
  <c r="G3740" i="1"/>
  <c r="K3740" i="1"/>
  <c r="A3741" i="1"/>
  <c r="B3741" i="1"/>
  <c r="G3741" i="1"/>
  <c r="K3741" i="1"/>
  <c r="A3742" i="1"/>
  <c r="B3742" i="1"/>
  <c r="G3742" i="1"/>
  <c r="K3742" i="1"/>
  <c r="A3743" i="1"/>
  <c r="B3743" i="1"/>
  <c r="G3743" i="1"/>
  <c r="K3743" i="1"/>
  <c r="A3744" i="1"/>
  <c r="B3744" i="1"/>
  <c r="G3744" i="1"/>
  <c r="K3744" i="1"/>
  <c r="A3745" i="1"/>
  <c r="B3745" i="1"/>
  <c r="G3745" i="1"/>
  <c r="K3745" i="1"/>
  <c r="A3746" i="1"/>
  <c r="B3746" i="1"/>
  <c r="G3746" i="1"/>
  <c r="K3746" i="1"/>
  <c r="A3747" i="1"/>
  <c r="B3747" i="1"/>
  <c r="G3747" i="1"/>
  <c r="K3747" i="1"/>
  <c r="A3748" i="1"/>
  <c r="B3748" i="1"/>
  <c r="G3748" i="1"/>
  <c r="K3748" i="1"/>
  <c r="A3749" i="1"/>
  <c r="B3749" i="1"/>
  <c r="G3749" i="1"/>
  <c r="K3749" i="1"/>
  <c r="A3750" i="1"/>
  <c r="B3750" i="1"/>
  <c r="G3750" i="1"/>
  <c r="K3750" i="1"/>
  <c r="A3751" i="1"/>
  <c r="B3751" i="1"/>
  <c r="G3751" i="1"/>
  <c r="K3751" i="1"/>
  <c r="A3752" i="1"/>
  <c r="B3752" i="1"/>
  <c r="G3752" i="1"/>
  <c r="K3752" i="1"/>
  <c r="A3753" i="1"/>
  <c r="B3753" i="1"/>
  <c r="G3753" i="1"/>
  <c r="K3753" i="1"/>
  <c r="A3754" i="1"/>
  <c r="B3754" i="1"/>
  <c r="G3754" i="1"/>
  <c r="K3754" i="1"/>
  <c r="A3755" i="1"/>
  <c r="B3755" i="1"/>
  <c r="G3755" i="1"/>
  <c r="K3755" i="1"/>
  <c r="A3756" i="1"/>
  <c r="B3756" i="1"/>
  <c r="G3756" i="1"/>
  <c r="K3756" i="1"/>
  <c r="A3757" i="1"/>
  <c r="B3757" i="1"/>
  <c r="G3757" i="1"/>
  <c r="K3757" i="1"/>
  <c r="A3758" i="1"/>
  <c r="B3758" i="1"/>
  <c r="G3758" i="1"/>
  <c r="K3758" i="1"/>
  <c r="A3759" i="1"/>
  <c r="B3759" i="1"/>
  <c r="G3759" i="1"/>
  <c r="K3759" i="1"/>
  <c r="A3760" i="1"/>
  <c r="B3760" i="1"/>
  <c r="G3760" i="1"/>
  <c r="K3760" i="1"/>
  <c r="A3761" i="1"/>
  <c r="B3761" i="1"/>
  <c r="G3761" i="1"/>
  <c r="K3761" i="1"/>
  <c r="A3762" i="1"/>
  <c r="B3762" i="1"/>
  <c r="G3762" i="1"/>
  <c r="K3762" i="1"/>
  <c r="A3763" i="1"/>
  <c r="B3763" i="1"/>
  <c r="G3763" i="1"/>
  <c r="K3763" i="1"/>
  <c r="A3764" i="1"/>
  <c r="B3764" i="1"/>
  <c r="G3764" i="1"/>
  <c r="K3764" i="1"/>
  <c r="A3765" i="1"/>
  <c r="B3765" i="1"/>
  <c r="G3765" i="1"/>
  <c r="K3765" i="1"/>
  <c r="A3766" i="1"/>
  <c r="B3766" i="1"/>
  <c r="G3766" i="1"/>
  <c r="K3766" i="1"/>
  <c r="A3767" i="1"/>
  <c r="B3767" i="1"/>
  <c r="G3767" i="1"/>
  <c r="K3767" i="1"/>
  <c r="A3768" i="1"/>
  <c r="B3768" i="1"/>
  <c r="G3768" i="1"/>
  <c r="K3768" i="1"/>
  <c r="A3769" i="1"/>
  <c r="B3769" i="1"/>
  <c r="G3769" i="1"/>
  <c r="K3769" i="1"/>
  <c r="A3770" i="1"/>
  <c r="B3770" i="1"/>
  <c r="G3770" i="1"/>
  <c r="K3770" i="1"/>
  <c r="A3771" i="1"/>
  <c r="B3771" i="1"/>
  <c r="G3771" i="1"/>
  <c r="K3771" i="1"/>
  <c r="A3772" i="1"/>
  <c r="B3772" i="1"/>
  <c r="G3772" i="1"/>
  <c r="K3772" i="1"/>
  <c r="A3773" i="1"/>
  <c r="B3773" i="1"/>
  <c r="G3773" i="1"/>
  <c r="K3773" i="1"/>
  <c r="A3774" i="1"/>
  <c r="B3774" i="1"/>
  <c r="G3774" i="1"/>
  <c r="K3774" i="1"/>
  <c r="A3775" i="1"/>
  <c r="B3775" i="1"/>
  <c r="G3775" i="1"/>
  <c r="K3775" i="1"/>
  <c r="A3776" i="1"/>
  <c r="B3776" i="1"/>
  <c r="G3776" i="1"/>
  <c r="K3776" i="1"/>
  <c r="A3777" i="1"/>
  <c r="B3777" i="1"/>
  <c r="G3777" i="1"/>
  <c r="K3777" i="1"/>
  <c r="A3778" i="1"/>
  <c r="B3778" i="1"/>
  <c r="G3778" i="1"/>
  <c r="K3778" i="1"/>
  <c r="A3779" i="1"/>
  <c r="B3779" i="1"/>
  <c r="G3779" i="1"/>
  <c r="K3779" i="1"/>
  <c r="A3780" i="1"/>
  <c r="B3780" i="1"/>
  <c r="G3780" i="1"/>
  <c r="K3780" i="1"/>
  <c r="A3781" i="1"/>
  <c r="B3781" i="1"/>
  <c r="G3781" i="1"/>
  <c r="K3781" i="1"/>
  <c r="A3782" i="1"/>
  <c r="B3782" i="1"/>
  <c r="G3782" i="1"/>
  <c r="K3782" i="1"/>
  <c r="A3783" i="1"/>
  <c r="B3783" i="1"/>
  <c r="G3783" i="1"/>
  <c r="K3783" i="1"/>
  <c r="A3784" i="1"/>
  <c r="B3784" i="1"/>
  <c r="G3784" i="1"/>
  <c r="K3784" i="1"/>
  <c r="A3785" i="1"/>
  <c r="B3785" i="1"/>
  <c r="G3785" i="1"/>
  <c r="K3785" i="1"/>
  <c r="A3786" i="1"/>
  <c r="B3786" i="1"/>
  <c r="G3786" i="1"/>
  <c r="K3786" i="1"/>
  <c r="A3787" i="1"/>
  <c r="B3787" i="1"/>
  <c r="G3787" i="1"/>
  <c r="K3787" i="1"/>
  <c r="A3788" i="1"/>
  <c r="B3788" i="1"/>
  <c r="G3788" i="1"/>
  <c r="K3788" i="1"/>
  <c r="A3789" i="1"/>
  <c r="B3789" i="1"/>
  <c r="G3789" i="1"/>
  <c r="K3789" i="1"/>
  <c r="A3790" i="1"/>
  <c r="B3790" i="1"/>
  <c r="G3790" i="1"/>
  <c r="K3790" i="1"/>
  <c r="A3791" i="1"/>
  <c r="B3791" i="1"/>
  <c r="G3791" i="1"/>
  <c r="K3791" i="1"/>
  <c r="A3792" i="1"/>
  <c r="B3792" i="1"/>
  <c r="G3792" i="1"/>
  <c r="K3792" i="1"/>
  <c r="A3793" i="1"/>
  <c r="B3793" i="1"/>
  <c r="G3793" i="1"/>
  <c r="K3793" i="1"/>
  <c r="A3794" i="1"/>
  <c r="B3794" i="1"/>
  <c r="G3794" i="1"/>
  <c r="K3794" i="1"/>
  <c r="A3795" i="1"/>
  <c r="B3795" i="1"/>
  <c r="G3795" i="1"/>
  <c r="K3795" i="1"/>
  <c r="A3796" i="1"/>
  <c r="B3796" i="1"/>
  <c r="G3796" i="1"/>
  <c r="K3796" i="1"/>
  <c r="A3797" i="1"/>
  <c r="B3797" i="1"/>
  <c r="G3797" i="1"/>
  <c r="K3797" i="1"/>
  <c r="A3798" i="1"/>
  <c r="B3798" i="1"/>
  <c r="G3798" i="1"/>
  <c r="K3798" i="1"/>
  <c r="A3799" i="1"/>
  <c r="B3799" i="1"/>
  <c r="G3799" i="1"/>
  <c r="K3799" i="1"/>
  <c r="A3800" i="1"/>
  <c r="B3800" i="1"/>
  <c r="G3800" i="1"/>
  <c r="K3800" i="1"/>
  <c r="A3801" i="1"/>
  <c r="B3801" i="1"/>
  <c r="G3801" i="1"/>
  <c r="K3801" i="1"/>
  <c r="A3802" i="1"/>
  <c r="B3802" i="1"/>
  <c r="G3802" i="1"/>
  <c r="K3802" i="1"/>
  <c r="A3803" i="1"/>
  <c r="B3803" i="1"/>
  <c r="G3803" i="1"/>
  <c r="K3803" i="1"/>
  <c r="A3804" i="1"/>
  <c r="B3804" i="1"/>
  <c r="G3804" i="1"/>
  <c r="K3804" i="1"/>
  <c r="A3805" i="1"/>
  <c r="B3805" i="1"/>
  <c r="G3805" i="1"/>
  <c r="K3805" i="1"/>
  <c r="A3806" i="1"/>
  <c r="B3806" i="1"/>
  <c r="G3806" i="1"/>
  <c r="K3806" i="1"/>
  <c r="A3807" i="1"/>
  <c r="B3807" i="1"/>
  <c r="G3807" i="1"/>
  <c r="K3807" i="1"/>
  <c r="A3808" i="1"/>
  <c r="B3808" i="1"/>
  <c r="G3808" i="1"/>
  <c r="K3808" i="1"/>
  <c r="A3809" i="1"/>
  <c r="B3809" i="1"/>
  <c r="G3809" i="1"/>
  <c r="K3809" i="1"/>
  <c r="A3810" i="1"/>
  <c r="B3810" i="1"/>
  <c r="G3810" i="1"/>
  <c r="K3810" i="1"/>
  <c r="A3811" i="1"/>
  <c r="B3811" i="1"/>
  <c r="G3811" i="1"/>
  <c r="K3811" i="1"/>
  <c r="A3812" i="1"/>
  <c r="B3812" i="1"/>
  <c r="G3812" i="1"/>
  <c r="K3812" i="1"/>
  <c r="A3813" i="1"/>
  <c r="B3813" i="1"/>
  <c r="G3813" i="1"/>
  <c r="K3813" i="1"/>
  <c r="A3814" i="1"/>
  <c r="B3814" i="1"/>
  <c r="G3814" i="1"/>
  <c r="K3814" i="1"/>
  <c r="A3815" i="1"/>
  <c r="B3815" i="1"/>
  <c r="G3815" i="1"/>
  <c r="K3815" i="1"/>
  <c r="A3816" i="1"/>
  <c r="B3816" i="1"/>
  <c r="G3816" i="1"/>
  <c r="K3816" i="1"/>
  <c r="A3817" i="1"/>
  <c r="B3817" i="1"/>
  <c r="G3817" i="1"/>
  <c r="K3817" i="1"/>
  <c r="A3818" i="1"/>
  <c r="B3818" i="1"/>
  <c r="G3818" i="1"/>
  <c r="K3818" i="1"/>
  <c r="A3819" i="1"/>
  <c r="B3819" i="1"/>
  <c r="G3819" i="1"/>
  <c r="K3819" i="1"/>
  <c r="A3820" i="1"/>
  <c r="B3820" i="1"/>
  <c r="G3820" i="1"/>
  <c r="K3820" i="1"/>
  <c r="A3821" i="1"/>
  <c r="B3821" i="1"/>
  <c r="G3821" i="1"/>
  <c r="K3821" i="1"/>
  <c r="A3822" i="1"/>
  <c r="B3822" i="1"/>
  <c r="G3822" i="1"/>
  <c r="K3822" i="1"/>
  <c r="A3823" i="1"/>
  <c r="B3823" i="1"/>
  <c r="G3823" i="1"/>
  <c r="K3823" i="1"/>
  <c r="A3824" i="1"/>
  <c r="B3824" i="1"/>
  <c r="G3824" i="1"/>
  <c r="K3824" i="1"/>
  <c r="A3825" i="1"/>
  <c r="B3825" i="1"/>
  <c r="G3825" i="1"/>
  <c r="K3825" i="1"/>
  <c r="A3826" i="1"/>
  <c r="B3826" i="1"/>
  <c r="G3826" i="1"/>
  <c r="K3826" i="1"/>
  <c r="A3827" i="1"/>
  <c r="B3827" i="1"/>
  <c r="G3827" i="1"/>
  <c r="K3827" i="1"/>
  <c r="A3828" i="1"/>
  <c r="B3828" i="1"/>
  <c r="G3828" i="1"/>
  <c r="K3828" i="1"/>
  <c r="A3829" i="1"/>
  <c r="B3829" i="1"/>
  <c r="G3829" i="1"/>
  <c r="K3829" i="1"/>
  <c r="A3830" i="1"/>
  <c r="B3830" i="1"/>
  <c r="G3830" i="1"/>
  <c r="K3830" i="1"/>
  <c r="A3831" i="1"/>
  <c r="B3831" i="1"/>
  <c r="G3831" i="1"/>
  <c r="K3831" i="1"/>
  <c r="A3832" i="1"/>
  <c r="B3832" i="1"/>
  <c r="G3832" i="1"/>
  <c r="K3832" i="1"/>
  <c r="A3833" i="1"/>
  <c r="B3833" i="1"/>
  <c r="G3833" i="1"/>
  <c r="K3833" i="1"/>
  <c r="A3834" i="1"/>
  <c r="B3834" i="1"/>
  <c r="G3834" i="1"/>
  <c r="K3834" i="1"/>
  <c r="A3835" i="1"/>
  <c r="B3835" i="1"/>
  <c r="G3835" i="1"/>
  <c r="K3835" i="1"/>
  <c r="A3836" i="1"/>
  <c r="B3836" i="1"/>
  <c r="G3836" i="1"/>
  <c r="K3836" i="1"/>
  <c r="A3837" i="1"/>
  <c r="B3837" i="1"/>
  <c r="G3837" i="1"/>
  <c r="K3837" i="1"/>
  <c r="A3838" i="1"/>
  <c r="B3838" i="1"/>
  <c r="G3838" i="1"/>
  <c r="K3838" i="1"/>
  <c r="A3839" i="1"/>
  <c r="B3839" i="1"/>
  <c r="G3839" i="1"/>
  <c r="K3839" i="1"/>
  <c r="A3840" i="1"/>
  <c r="B3840" i="1"/>
  <c r="G3840" i="1"/>
  <c r="K3840" i="1"/>
  <c r="A3841" i="1"/>
  <c r="B3841" i="1"/>
  <c r="G3841" i="1"/>
  <c r="K3841" i="1"/>
  <c r="A3842" i="1"/>
  <c r="B3842" i="1"/>
  <c r="G3842" i="1"/>
  <c r="K3842" i="1"/>
  <c r="A3843" i="1"/>
  <c r="B3843" i="1"/>
  <c r="G3843" i="1"/>
  <c r="K3843" i="1"/>
  <c r="A3844" i="1"/>
  <c r="B3844" i="1"/>
  <c r="G3844" i="1"/>
  <c r="K3844" i="1"/>
  <c r="A3845" i="1"/>
  <c r="B3845" i="1"/>
  <c r="G3845" i="1"/>
  <c r="K3845" i="1"/>
  <c r="A3846" i="1"/>
  <c r="B3846" i="1"/>
  <c r="G3846" i="1"/>
  <c r="K3846" i="1"/>
  <c r="A3847" i="1"/>
  <c r="B3847" i="1"/>
  <c r="G3847" i="1"/>
  <c r="K3847" i="1"/>
  <c r="A3848" i="1"/>
  <c r="B3848" i="1"/>
  <c r="G3848" i="1"/>
  <c r="K3848" i="1"/>
  <c r="A3849" i="1"/>
  <c r="B3849" i="1"/>
  <c r="G3849" i="1"/>
  <c r="K3849" i="1"/>
  <c r="A3850" i="1"/>
  <c r="B3850" i="1"/>
  <c r="G3850" i="1"/>
  <c r="K3850" i="1"/>
  <c r="A3851" i="1"/>
  <c r="B3851" i="1"/>
  <c r="G3851" i="1"/>
  <c r="K3851" i="1"/>
  <c r="A3852" i="1"/>
  <c r="B3852" i="1"/>
  <c r="G3852" i="1"/>
  <c r="K3852" i="1"/>
  <c r="A3853" i="1"/>
  <c r="B3853" i="1"/>
  <c r="G3853" i="1"/>
  <c r="K3853" i="1"/>
  <c r="A3854" i="1"/>
  <c r="B3854" i="1"/>
  <c r="G3854" i="1"/>
  <c r="K3854" i="1"/>
  <c r="A3855" i="1"/>
  <c r="B3855" i="1"/>
  <c r="G3855" i="1"/>
  <c r="K3855" i="1"/>
  <c r="A3856" i="1"/>
  <c r="B3856" i="1"/>
  <c r="G3856" i="1"/>
  <c r="K3856" i="1"/>
  <c r="A3857" i="1"/>
  <c r="B3857" i="1"/>
  <c r="G3857" i="1"/>
  <c r="K3857" i="1"/>
  <c r="A3858" i="1"/>
  <c r="B3858" i="1"/>
  <c r="G3858" i="1"/>
  <c r="K3858" i="1"/>
  <c r="A3859" i="1"/>
  <c r="B3859" i="1"/>
  <c r="G3859" i="1"/>
  <c r="K3859" i="1"/>
  <c r="A3860" i="1"/>
  <c r="B3860" i="1"/>
  <c r="G3860" i="1"/>
  <c r="K3860" i="1"/>
  <c r="A3861" i="1"/>
  <c r="B3861" i="1"/>
  <c r="G3861" i="1"/>
  <c r="K3861" i="1"/>
  <c r="A3862" i="1"/>
  <c r="B3862" i="1"/>
  <c r="G3862" i="1"/>
  <c r="K3862" i="1"/>
  <c r="A3863" i="1"/>
  <c r="B3863" i="1"/>
  <c r="G3863" i="1"/>
  <c r="K3863" i="1"/>
  <c r="A3864" i="1"/>
  <c r="B3864" i="1"/>
  <c r="G3864" i="1"/>
  <c r="K3864" i="1"/>
  <c r="A3865" i="1"/>
  <c r="B3865" i="1"/>
  <c r="G3865" i="1"/>
  <c r="K3865" i="1"/>
  <c r="A3866" i="1"/>
  <c r="B3866" i="1"/>
  <c r="G3866" i="1"/>
  <c r="K3866" i="1"/>
  <c r="A3867" i="1"/>
  <c r="B3867" i="1"/>
  <c r="G3867" i="1"/>
  <c r="K3867" i="1"/>
  <c r="A3868" i="1"/>
  <c r="B3868" i="1"/>
  <c r="G3868" i="1"/>
  <c r="K3868" i="1"/>
  <c r="A3869" i="1"/>
  <c r="B3869" i="1"/>
  <c r="G3869" i="1"/>
  <c r="K3869" i="1"/>
  <c r="A3870" i="1"/>
  <c r="B3870" i="1"/>
  <c r="G3870" i="1"/>
  <c r="K3870" i="1"/>
  <c r="A3871" i="1"/>
  <c r="B3871" i="1"/>
  <c r="G3871" i="1"/>
  <c r="K3871" i="1"/>
  <c r="A3872" i="1"/>
  <c r="B3872" i="1"/>
  <c r="G3872" i="1"/>
  <c r="K3872" i="1"/>
  <c r="A3873" i="1"/>
  <c r="B3873" i="1"/>
  <c r="G3873" i="1"/>
  <c r="K3873" i="1"/>
  <c r="A3874" i="1"/>
  <c r="B3874" i="1"/>
  <c r="G3874" i="1"/>
  <c r="K3874" i="1"/>
  <c r="A3875" i="1"/>
  <c r="B3875" i="1"/>
  <c r="G3875" i="1"/>
  <c r="K3875" i="1"/>
  <c r="A3876" i="1"/>
  <c r="B3876" i="1"/>
  <c r="G3876" i="1"/>
  <c r="K3876" i="1"/>
  <c r="A3877" i="1"/>
  <c r="B3877" i="1"/>
  <c r="G3877" i="1"/>
  <c r="K3877" i="1"/>
  <c r="A3878" i="1"/>
  <c r="B3878" i="1"/>
  <c r="G3878" i="1"/>
  <c r="K3878" i="1"/>
  <c r="A3879" i="1"/>
  <c r="B3879" i="1"/>
  <c r="G3879" i="1"/>
  <c r="K3879" i="1"/>
  <c r="A3880" i="1"/>
  <c r="B3880" i="1"/>
  <c r="G3880" i="1"/>
  <c r="K3880" i="1"/>
  <c r="A3881" i="1"/>
  <c r="B3881" i="1"/>
  <c r="G3881" i="1"/>
  <c r="K3881" i="1"/>
  <c r="A3882" i="1"/>
  <c r="B3882" i="1"/>
  <c r="G3882" i="1"/>
  <c r="K3882" i="1"/>
  <c r="A3883" i="1"/>
  <c r="B3883" i="1"/>
  <c r="G3883" i="1"/>
  <c r="K3883" i="1"/>
  <c r="A3884" i="1"/>
  <c r="B3884" i="1"/>
  <c r="G3884" i="1"/>
  <c r="K3884" i="1"/>
  <c r="A3885" i="1"/>
  <c r="B3885" i="1"/>
  <c r="G3885" i="1"/>
  <c r="K3885" i="1"/>
  <c r="A3886" i="1"/>
  <c r="B3886" i="1"/>
  <c r="G3886" i="1"/>
  <c r="K3886" i="1"/>
  <c r="A3887" i="1"/>
  <c r="B3887" i="1"/>
  <c r="G3887" i="1"/>
  <c r="K3887" i="1"/>
  <c r="A3888" i="1"/>
  <c r="B3888" i="1"/>
  <c r="G3888" i="1"/>
  <c r="K3888" i="1"/>
  <c r="A3889" i="1"/>
  <c r="B3889" i="1"/>
  <c r="G3889" i="1"/>
  <c r="K3889" i="1"/>
  <c r="A3890" i="1"/>
  <c r="B3890" i="1"/>
  <c r="G3890" i="1"/>
  <c r="K3890" i="1"/>
  <c r="A3891" i="1"/>
  <c r="B3891" i="1"/>
  <c r="G3891" i="1"/>
  <c r="K3891" i="1"/>
  <c r="A3892" i="1"/>
  <c r="B3892" i="1"/>
  <c r="G3892" i="1"/>
  <c r="K3892" i="1"/>
  <c r="A3893" i="1"/>
  <c r="B3893" i="1"/>
  <c r="G3893" i="1"/>
  <c r="K3893" i="1"/>
  <c r="A3894" i="1"/>
  <c r="B3894" i="1"/>
  <c r="G3894" i="1"/>
  <c r="K3894" i="1"/>
  <c r="A3895" i="1"/>
  <c r="B3895" i="1"/>
  <c r="G3895" i="1"/>
  <c r="K3895" i="1"/>
  <c r="A3896" i="1"/>
  <c r="B3896" i="1"/>
  <c r="G3896" i="1"/>
  <c r="K3896" i="1"/>
  <c r="A3897" i="1"/>
  <c r="B3897" i="1"/>
  <c r="G3897" i="1"/>
  <c r="K3897" i="1"/>
  <c r="A3898" i="1"/>
  <c r="B3898" i="1"/>
  <c r="G3898" i="1"/>
  <c r="K3898" i="1"/>
  <c r="A3899" i="1"/>
  <c r="B3899" i="1"/>
  <c r="G3899" i="1"/>
  <c r="K3899" i="1"/>
  <c r="A3900" i="1"/>
  <c r="B3900" i="1"/>
  <c r="G3900" i="1"/>
  <c r="K3900" i="1"/>
  <c r="A3901" i="1"/>
  <c r="B3901" i="1"/>
  <c r="G3901" i="1"/>
  <c r="K3901" i="1"/>
  <c r="A3902" i="1"/>
  <c r="B3902" i="1"/>
  <c r="G3902" i="1"/>
  <c r="K3902" i="1"/>
  <c r="A3903" i="1"/>
  <c r="B3903" i="1"/>
  <c r="G3903" i="1"/>
  <c r="K3903" i="1"/>
  <c r="A3904" i="1"/>
  <c r="B3904" i="1"/>
  <c r="G3904" i="1"/>
  <c r="K3904" i="1"/>
  <c r="A3905" i="1"/>
  <c r="B3905" i="1"/>
  <c r="G3905" i="1"/>
  <c r="K3905" i="1"/>
  <c r="A3906" i="1"/>
  <c r="B3906" i="1"/>
  <c r="G3906" i="1"/>
  <c r="K3906" i="1"/>
  <c r="A3907" i="1"/>
  <c r="B3907" i="1"/>
  <c r="G3907" i="1"/>
  <c r="K3907" i="1"/>
  <c r="A3908" i="1"/>
  <c r="B3908" i="1"/>
  <c r="G3908" i="1"/>
  <c r="K3908" i="1"/>
  <c r="A3909" i="1"/>
  <c r="B3909" i="1"/>
  <c r="G3909" i="1"/>
  <c r="K3909" i="1"/>
  <c r="A3910" i="1"/>
  <c r="B3910" i="1"/>
  <c r="G3910" i="1"/>
  <c r="K3910" i="1"/>
  <c r="A3911" i="1"/>
  <c r="B3911" i="1"/>
  <c r="G3911" i="1"/>
  <c r="K3911" i="1"/>
  <c r="A3912" i="1"/>
  <c r="B3912" i="1"/>
  <c r="G3912" i="1"/>
  <c r="K3912" i="1"/>
  <c r="A3913" i="1"/>
  <c r="B3913" i="1"/>
  <c r="G3913" i="1"/>
  <c r="K3913" i="1"/>
  <c r="A3914" i="1"/>
  <c r="B3914" i="1"/>
  <c r="G3914" i="1"/>
  <c r="K3914" i="1"/>
  <c r="A3915" i="1"/>
  <c r="B3915" i="1"/>
  <c r="G3915" i="1"/>
  <c r="K3915" i="1"/>
  <c r="A3916" i="1"/>
  <c r="B3916" i="1"/>
  <c r="G3916" i="1"/>
  <c r="K3916" i="1"/>
  <c r="A3917" i="1"/>
  <c r="B3917" i="1"/>
  <c r="G3917" i="1"/>
  <c r="K3917" i="1"/>
  <c r="A3918" i="1"/>
  <c r="B3918" i="1"/>
  <c r="G3918" i="1"/>
  <c r="K3918" i="1"/>
  <c r="A3919" i="1"/>
  <c r="B3919" i="1"/>
  <c r="G3919" i="1"/>
  <c r="K3919" i="1"/>
  <c r="A3920" i="1"/>
  <c r="B3920" i="1"/>
  <c r="G3920" i="1"/>
  <c r="K3920" i="1"/>
  <c r="A3921" i="1"/>
  <c r="B3921" i="1"/>
  <c r="G3921" i="1"/>
  <c r="K3921" i="1"/>
  <c r="A3922" i="1"/>
  <c r="B3922" i="1"/>
  <c r="G3922" i="1"/>
  <c r="K3922" i="1"/>
  <c r="A3923" i="1"/>
  <c r="B3923" i="1"/>
  <c r="G3923" i="1"/>
  <c r="K3923" i="1"/>
  <c r="A3924" i="1"/>
  <c r="B3924" i="1"/>
  <c r="G3924" i="1"/>
  <c r="K3924" i="1"/>
  <c r="A3925" i="1"/>
  <c r="B3925" i="1"/>
  <c r="G3925" i="1"/>
  <c r="K3925" i="1"/>
  <c r="A3926" i="1"/>
  <c r="B3926" i="1"/>
  <c r="G3926" i="1"/>
  <c r="K3926" i="1"/>
  <c r="A3927" i="1"/>
  <c r="B3927" i="1"/>
  <c r="G3927" i="1"/>
  <c r="K3927" i="1"/>
  <c r="A3928" i="1"/>
  <c r="B3928" i="1"/>
  <c r="G3928" i="1"/>
  <c r="K3928" i="1"/>
  <c r="A3929" i="1"/>
  <c r="B3929" i="1"/>
  <c r="G3929" i="1"/>
  <c r="K3929" i="1"/>
  <c r="A3930" i="1"/>
  <c r="B3930" i="1"/>
  <c r="G3930" i="1"/>
  <c r="K3930" i="1"/>
  <c r="A3931" i="1"/>
  <c r="B3931" i="1"/>
  <c r="G3931" i="1"/>
  <c r="K3931" i="1"/>
  <c r="A3932" i="1"/>
  <c r="B3932" i="1"/>
  <c r="G3932" i="1"/>
  <c r="K3932" i="1"/>
  <c r="A3933" i="1"/>
  <c r="B3933" i="1"/>
  <c r="G3933" i="1"/>
  <c r="K3933" i="1"/>
  <c r="A3934" i="1"/>
  <c r="B3934" i="1"/>
  <c r="G3934" i="1"/>
  <c r="K3934" i="1"/>
  <c r="A3935" i="1"/>
  <c r="B3935" i="1"/>
  <c r="G3935" i="1"/>
  <c r="K3935" i="1"/>
  <c r="A3936" i="1"/>
  <c r="B3936" i="1"/>
  <c r="G3936" i="1"/>
  <c r="K3936" i="1"/>
  <c r="A3937" i="1"/>
  <c r="B3937" i="1"/>
  <c r="G3937" i="1"/>
  <c r="K3937" i="1"/>
  <c r="A3938" i="1"/>
  <c r="B3938" i="1"/>
  <c r="G3938" i="1"/>
  <c r="K3938" i="1"/>
  <c r="A3939" i="1"/>
  <c r="B3939" i="1"/>
  <c r="G3939" i="1"/>
  <c r="K3939" i="1"/>
  <c r="A3940" i="1"/>
  <c r="B3940" i="1"/>
  <c r="G3940" i="1"/>
  <c r="K3940" i="1"/>
  <c r="A3941" i="1"/>
  <c r="B3941" i="1"/>
  <c r="G3941" i="1"/>
  <c r="K3941" i="1"/>
  <c r="A3942" i="1"/>
  <c r="B3942" i="1"/>
  <c r="G3942" i="1"/>
  <c r="K3942" i="1"/>
  <c r="A3943" i="1"/>
  <c r="B3943" i="1"/>
  <c r="G3943" i="1"/>
  <c r="K3943" i="1"/>
  <c r="A3944" i="1"/>
  <c r="B3944" i="1"/>
  <c r="G3944" i="1"/>
  <c r="K3944" i="1"/>
  <c r="A3945" i="1"/>
  <c r="B3945" i="1"/>
  <c r="G3945" i="1"/>
  <c r="K3945" i="1"/>
  <c r="A3946" i="1"/>
  <c r="B3946" i="1"/>
  <c r="G3946" i="1"/>
  <c r="K3946" i="1"/>
  <c r="A3947" i="1"/>
  <c r="B3947" i="1"/>
  <c r="G3947" i="1"/>
  <c r="K3947" i="1"/>
  <c r="A3948" i="1"/>
  <c r="B3948" i="1"/>
  <c r="G3948" i="1"/>
  <c r="K3948" i="1"/>
  <c r="A3949" i="1"/>
  <c r="B3949" i="1"/>
  <c r="G3949" i="1"/>
  <c r="K3949" i="1"/>
  <c r="A3950" i="1"/>
  <c r="B3950" i="1"/>
  <c r="G3950" i="1"/>
  <c r="K3950" i="1"/>
  <c r="A3951" i="1"/>
  <c r="B3951" i="1"/>
  <c r="G3951" i="1"/>
  <c r="K3951" i="1"/>
  <c r="A3952" i="1"/>
  <c r="B3952" i="1"/>
  <c r="G3952" i="1"/>
  <c r="K3952" i="1"/>
  <c r="A3953" i="1"/>
  <c r="B3953" i="1"/>
  <c r="G3953" i="1"/>
  <c r="K3953" i="1"/>
  <c r="A3954" i="1"/>
  <c r="B3954" i="1"/>
  <c r="G3954" i="1"/>
  <c r="K3954" i="1"/>
  <c r="A3955" i="1"/>
  <c r="B3955" i="1"/>
  <c r="G3955" i="1"/>
  <c r="K3955" i="1"/>
  <c r="A3956" i="1"/>
  <c r="B3956" i="1"/>
  <c r="G3956" i="1"/>
  <c r="K3956" i="1"/>
  <c r="A3957" i="1"/>
  <c r="B3957" i="1"/>
  <c r="G3957" i="1"/>
  <c r="K3957" i="1"/>
  <c r="A3958" i="1"/>
  <c r="B3958" i="1"/>
  <c r="G3958" i="1"/>
  <c r="K3958" i="1"/>
  <c r="A3959" i="1"/>
  <c r="B3959" i="1"/>
  <c r="G3959" i="1"/>
  <c r="K3959" i="1"/>
  <c r="A3960" i="1"/>
  <c r="B3960" i="1"/>
  <c r="G3960" i="1"/>
  <c r="K3960" i="1"/>
  <c r="A3961" i="1"/>
  <c r="B3961" i="1"/>
  <c r="G3961" i="1"/>
  <c r="K3961" i="1"/>
  <c r="A3962" i="1"/>
  <c r="B3962" i="1"/>
  <c r="G3962" i="1"/>
  <c r="K3962" i="1"/>
  <c r="A3963" i="1"/>
  <c r="B3963" i="1"/>
  <c r="G3963" i="1"/>
  <c r="K3963" i="1"/>
  <c r="A3964" i="1"/>
  <c r="B3964" i="1"/>
  <c r="G3964" i="1"/>
  <c r="K3964" i="1"/>
  <c r="A3965" i="1"/>
  <c r="B3965" i="1"/>
  <c r="G3965" i="1"/>
  <c r="K3965" i="1"/>
  <c r="A3966" i="1"/>
  <c r="B3966" i="1"/>
  <c r="G3966" i="1"/>
  <c r="K3966" i="1"/>
  <c r="A3967" i="1"/>
  <c r="B3967" i="1"/>
  <c r="G3967" i="1"/>
  <c r="K3967" i="1"/>
  <c r="A3968" i="1"/>
  <c r="B3968" i="1"/>
  <c r="G3968" i="1"/>
  <c r="K3968" i="1"/>
  <c r="A3969" i="1"/>
  <c r="B3969" i="1"/>
  <c r="G3969" i="1"/>
  <c r="K3969" i="1"/>
  <c r="A3970" i="1"/>
  <c r="B3970" i="1"/>
  <c r="G3970" i="1"/>
  <c r="K3970" i="1"/>
  <c r="A3971" i="1"/>
  <c r="B3971" i="1"/>
  <c r="G3971" i="1"/>
  <c r="K3971" i="1"/>
  <c r="A3972" i="1"/>
  <c r="B3972" i="1"/>
  <c r="G3972" i="1"/>
  <c r="K3972" i="1"/>
  <c r="A3973" i="1"/>
  <c r="B3973" i="1"/>
  <c r="G3973" i="1"/>
  <c r="K3973" i="1"/>
  <c r="A3974" i="1"/>
  <c r="B3974" i="1"/>
  <c r="G3974" i="1"/>
  <c r="K3974" i="1"/>
  <c r="A3975" i="1"/>
  <c r="B3975" i="1"/>
  <c r="G3975" i="1"/>
  <c r="K3975" i="1"/>
  <c r="A3976" i="1"/>
  <c r="B3976" i="1"/>
  <c r="G3976" i="1"/>
  <c r="K3976" i="1"/>
  <c r="A3977" i="1"/>
  <c r="B3977" i="1"/>
  <c r="G3977" i="1"/>
  <c r="K3977" i="1"/>
  <c r="A3978" i="1"/>
  <c r="B3978" i="1"/>
  <c r="G3978" i="1"/>
  <c r="K3978" i="1"/>
  <c r="A3979" i="1"/>
  <c r="B3979" i="1"/>
  <c r="G3979" i="1"/>
  <c r="K3979" i="1"/>
  <c r="A3980" i="1"/>
  <c r="B3980" i="1"/>
  <c r="G3980" i="1"/>
  <c r="K3980" i="1"/>
  <c r="A3981" i="1"/>
  <c r="B3981" i="1"/>
  <c r="G3981" i="1"/>
  <c r="K3981" i="1"/>
  <c r="A3982" i="1"/>
  <c r="B3982" i="1"/>
  <c r="G3982" i="1"/>
  <c r="K3982" i="1"/>
  <c r="A3983" i="1"/>
  <c r="B3983" i="1"/>
  <c r="G3983" i="1"/>
  <c r="K3983" i="1"/>
  <c r="A3984" i="1"/>
  <c r="B3984" i="1"/>
  <c r="G3984" i="1"/>
  <c r="K3984" i="1"/>
  <c r="A3985" i="1"/>
  <c r="B3985" i="1"/>
  <c r="G3985" i="1"/>
  <c r="K3985" i="1"/>
  <c r="A3986" i="1"/>
  <c r="B3986" i="1"/>
  <c r="G3986" i="1"/>
  <c r="K3986" i="1"/>
  <c r="A3987" i="1"/>
  <c r="B3987" i="1"/>
  <c r="G3987" i="1"/>
  <c r="K3987" i="1"/>
  <c r="A3988" i="1"/>
  <c r="B3988" i="1"/>
  <c r="G3988" i="1"/>
  <c r="K3988" i="1"/>
  <c r="A3989" i="1"/>
  <c r="B3989" i="1"/>
  <c r="G3989" i="1"/>
  <c r="K3989" i="1"/>
  <c r="A3990" i="1"/>
  <c r="B3990" i="1"/>
  <c r="G3990" i="1"/>
  <c r="K3990" i="1"/>
  <c r="A3991" i="1"/>
  <c r="B3991" i="1"/>
  <c r="G3991" i="1"/>
  <c r="K3991" i="1"/>
  <c r="A3992" i="1"/>
  <c r="B3992" i="1"/>
  <c r="G3992" i="1"/>
  <c r="K3992" i="1"/>
  <c r="A3993" i="1"/>
  <c r="B3993" i="1"/>
  <c r="G3993" i="1"/>
  <c r="K3993" i="1"/>
  <c r="A3994" i="1"/>
  <c r="B3994" i="1"/>
  <c r="G3994" i="1"/>
  <c r="K3994" i="1"/>
  <c r="A3995" i="1"/>
  <c r="B3995" i="1"/>
  <c r="G3995" i="1"/>
  <c r="K3995" i="1"/>
  <c r="A3996" i="1"/>
  <c r="B3996" i="1"/>
  <c r="G3996" i="1"/>
  <c r="K3996" i="1"/>
  <c r="A3997" i="1"/>
  <c r="B3997" i="1"/>
  <c r="G3997" i="1"/>
  <c r="K3997" i="1"/>
  <c r="A3998" i="1"/>
  <c r="B3998" i="1"/>
  <c r="G3998" i="1"/>
  <c r="K3998" i="1"/>
  <c r="A3999" i="1"/>
  <c r="B3999" i="1"/>
  <c r="G3999" i="1"/>
  <c r="K3999" i="1"/>
  <c r="A4000" i="1"/>
  <c r="B4000" i="1"/>
  <c r="G4000" i="1"/>
  <c r="K4000" i="1"/>
  <c r="A4001" i="1"/>
  <c r="B4001" i="1"/>
  <c r="G4001" i="1"/>
  <c r="K4001" i="1"/>
  <c r="A4002" i="1"/>
  <c r="B4002" i="1"/>
  <c r="G4002" i="1"/>
  <c r="K4002" i="1"/>
  <c r="A4003" i="1"/>
  <c r="B4003" i="1"/>
  <c r="G4003" i="1"/>
  <c r="K4003" i="1"/>
  <c r="A4004" i="1"/>
  <c r="B4004" i="1"/>
  <c r="G4004" i="1"/>
  <c r="K4004" i="1"/>
  <c r="A4005" i="1"/>
  <c r="B4005" i="1"/>
  <c r="G4005" i="1"/>
  <c r="K4005" i="1"/>
  <c r="A4006" i="1"/>
  <c r="B4006" i="1"/>
  <c r="G4006" i="1"/>
  <c r="K4006" i="1"/>
  <c r="A4007" i="1"/>
  <c r="B4007" i="1"/>
  <c r="G4007" i="1"/>
  <c r="K4007" i="1"/>
  <c r="A4008" i="1"/>
  <c r="B4008" i="1"/>
  <c r="G4008" i="1"/>
  <c r="K4008" i="1"/>
  <c r="A4009" i="1"/>
  <c r="B4009" i="1"/>
  <c r="G4009" i="1"/>
  <c r="K4009" i="1"/>
  <c r="A4010" i="1"/>
  <c r="B4010" i="1"/>
  <c r="G4010" i="1"/>
  <c r="K4010" i="1"/>
  <c r="A4011" i="1"/>
  <c r="B4011" i="1"/>
  <c r="G4011" i="1"/>
  <c r="K4011" i="1"/>
  <c r="A4012" i="1"/>
  <c r="B4012" i="1"/>
  <c r="G4012" i="1"/>
  <c r="K4012" i="1"/>
  <c r="A4013" i="1"/>
  <c r="B4013" i="1"/>
  <c r="G4013" i="1"/>
  <c r="K4013" i="1"/>
  <c r="A4014" i="1"/>
  <c r="B4014" i="1"/>
  <c r="G4014" i="1"/>
  <c r="K4014" i="1"/>
  <c r="A4015" i="1"/>
  <c r="B4015" i="1"/>
  <c r="G4015" i="1"/>
  <c r="K4015" i="1"/>
  <c r="A4016" i="1"/>
  <c r="B4016" i="1"/>
  <c r="G4016" i="1"/>
  <c r="K4016" i="1"/>
  <c r="A4017" i="1"/>
  <c r="B4017" i="1"/>
  <c r="G4017" i="1"/>
  <c r="K4017" i="1"/>
  <c r="A4018" i="1"/>
  <c r="B4018" i="1"/>
  <c r="G4018" i="1"/>
  <c r="K4018" i="1"/>
  <c r="A4019" i="1"/>
  <c r="B4019" i="1"/>
  <c r="G4019" i="1"/>
  <c r="K4019" i="1"/>
  <c r="A4020" i="1"/>
  <c r="B4020" i="1"/>
  <c r="G4020" i="1"/>
  <c r="K4020" i="1"/>
  <c r="A4021" i="1"/>
  <c r="B4021" i="1"/>
  <c r="G4021" i="1"/>
  <c r="K4021" i="1"/>
  <c r="A4022" i="1"/>
  <c r="B4022" i="1"/>
  <c r="G4022" i="1"/>
  <c r="K4022" i="1"/>
  <c r="A4023" i="1"/>
  <c r="B4023" i="1"/>
  <c r="G4023" i="1"/>
  <c r="K4023" i="1"/>
  <c r="A4024" i="1"/>
  <c r="B4024" i="1"/>
  <c r="G4024" i="1"/>
  <c r="K4024" i="1"/>
  <c r="A4025" i="1"/>
  <c r="B4025" i="1"/>
  <c r="G4025" i="1"/>
  <c r="K4025" i="1"/>
  <c r="A4026" i="1"/>
  <c r="B4026" i="1"/>
  <c r="G4026" i="1"/>
  <c r="K4026" i="1"/>
  <c r="A4027" i="1"/>
  <c r="B4027" i="1"/>
  <c r="G4027" i="1"/>
  <c r="K4027" i="1"/>
  <c r="A4028" i="1"/>
  <c r="B4028" i="1"/>
  <c r="G4028" i="1"/>
  <c r="K4028" i="1"/>
  <c r="A4029" i="1"/>
  <c r="B4029" i="1"/>
  <c r="G4029" i="1"/>
  <c r="K4029" i="1"/>
  <c r="A4030" i="1"/>
  <c r="B4030" i="1"/>
  <c r="G4030" i="1"/>
  <c r="K4030" i="1"/>
  <c r="A4031" i="1"/>
  <c r="B4031" i="1"/>
  <c r="G4031" i="1"/>
  <c r="K4031" i="1"/>
  <c r="A4032" i="1"/>
  <c r="B4032" i="1"/>
  <c r="G4032" i="1"/>
  <c r="K4032" i="1"/>
  <c r="A4033" i="1"/>
  <c r="B4033" i="1"/>
  <c r="G4033" i="1"/>
  <c r="K4033" i="1"/>
  <c r="A4034" i="1"/>
  <c r="B4034" i="1"/>
  <c r="G4034" i="1"/>
  <c r="K4034" i="1"/>
  <c r="A4035" i="1"/>
  <c r="B4035" i="1"/>
  <c r="G4035" i="1"/>
  <c r="K4035" i="1"/>
  <c r="A4036" i="1"/>
  <c r="B4036" i="1"/>
  <c r="G4036" i="1"/>
  <c r="K4036" i="1"/>
  <c r="A4037" i="1"/>
  <c r="B4037" i="1"/>
  <c r="G4037" i="1"/>
  <c r="K4037" i="1"/>
  <c r="A4038" i="1"/>
  <c r="B4038" i="1"/>
  <c r="G4038" i="1"/>
  <c r="K4038" i="1"/>
  <c r="A4039" i="1"/>
  <c r="B4039" i="1"/>
  <c r="G4039" i="1"/>
  <c r="K4039" i="1"/>
  <c r="A4040" i="1"/>
  <c r="B4040" i="1"/>
  <c r="G4040" i="1"/>
  <c r="K4040" i="1"/>
  <c r="A4041" i="1"/>
  <c r="B4041" i="1"/>
  <c r="G4041" i="1"/>
  <c r="K4041" i="1"/>
  <c r="A4042" i="1"/>
  <c r="B4042" i="1"/>
  <c r="G4042" i="1"/>
  <c r="K4042" i="1"/>
  <c r="A4043" i="1"/>
  <c r="B4043" i="1"/>
  <c r="G4043" i="1"/>
  <c r="K4043" i="1"/>
  <c r="A4044" i="1"/>
  <c r="B4044" i="1"/>
  <c r="G4044" i="1"/>
  <c r="K4044" i="1"/>
  <c r="A4045" i="1"/>
  <c r="B4045" i="1"/>
  <c r="G4045" i="1"/>
  <c r="K4045" i="1"/>
  <c r="A4046" i="1"/>
  <c r="B4046" i="1"/>
  <c r="G4046" i="1"/>
  <c r="K4046" i="1"/>
  <c r="A4047" i="1"/>
  <c r="B4047" i="1"/>
  <c r="G4047" i="1"/>
  <c r="K4047" i="1"/>
  <c r="A4048" i="1"/>
  <c r="B4048" i="1"/>
  <c r="G4048" i="1"/>
  <c r="K4048" i="1"/>
  <c r="A4049" i="1"/>
  <c r="B4049" i="1"/>
  <c r="G4049" i="1"/>
  <c r="K4049" i="1"/>
  <c r="A4050" i="1"/>
  <c r="B4050" i="1"/>
  <c r="G4050" i="1"/>
  <c r="K4050" i="1"/>
  <c r="A4051" i="1"/>
  <c r="B4051" i="1"/>
  <c r="G4051" i="1"/>
  <c r="K4051" i="1"/>
  <c r="A4052" i="1"/>
  <c r="B4052" i="1"/>
  <c r="G4052" i="1"/>
  <c r="K4052" i="1"/>
  <c r="A4053" i="1"/>
  <c r="B4053" i="1"/>
  <c r="G4053" i="1"/>
  <c r="K4053" i="1"/>
  <c r="A4054" i="1"/>
  <c r="B4054" i="1"/>
  <c r="G4054" i="1"/>
  <c r="K4054" i="1"/>
  <c r="A4055" i="1"/>
  <c r="B4055" i="1"/>
  <c r="G4055" i="1"/>
  <c r="K4055" i="1"/>
  <c r="A4056" i="1"/>
  <c r="B4056" i="1"/>
  <c r="G4056" i="1"/>
  <c r="K4056" i="1"/>
  <c r="A4057" i="1"/>
  <c r="B4057" i="1"/>
  <c r="G4057" i="1"/>
  <c r="K4057" i="1"/>
  <c r="A4058" i="1"/>
  <c r="B4058" i="1"/>
  <c r="G4058" i="1"/>
  <c r="K4058" i="1"/>
  <c r="A4059" i="1"/>
  <c r="B4059" i="1"/>
  <c r="G4059" i="1"/>
  <c r="K4059" i="1"/>
  <c r="A4060" i="1"/>
  <c r="B4060" i="1"/>
  <c r="G4060" i="1"/>
  <c r="K4060" i="1"/>
  <c r="A4061" i="1"/>
  <c r="B4061" i="1"/>
  <c r="G4061" i="1"/>
  <c r="K4061" i="1"/>
  <c r="A4062" i="1"/>
  <c r="B4062" i="1"/>
  <c r="G4062" i="1"/>
  <c r="K4062" i="1"/>
  <c r="A4063" i="1"/>
  <c r="B4063" i="1"/>
  <c r="G4063" i="1"/>
  <c r="K4063" i="1"/>
  <c r="A4064" i="1"/>
  <c r="B4064" i="1"/>
  <c r="G4064" i="1"/>
  <c r="K4064" i="1"/>
  <c r="A4065" i="1"/>
  <c r="B4065" i="1"/>
  <c r="G4065" i="1"/>
  <c r="K4065" i="1"/>
  <c r="A4066" i="1"/>
  <c r="B4066" i="1"/>
  <c r="G4066" i="1"/>
  <c r="K4066" i="1"/>
  <c r="A4067" i="1"/>
  <c r="B4067" i="1"/>
  <c r="G4067" i="1"/>
  <c r="K4067" i="1"/>
  <c r="A4068" i="1"/>
  <c r="B4068" i="1"/>
  <c r="G4068" i="1"/>
  <c r="K4068" i="1"/>
  <c r="A4069" i="1"/>
  <c r="B4069" i="1"/>
  <c r="G4069" i="1"/>
  <c r="K4069" i="1"/>
  <c r="A4070" i="1"/>
  <c r="B4070" i="1"/>
  <c r="G4070" i="1"/>
  <c r="K4070" i="1"/>
  <c r="A4071" i="1"/>
  <c r="B4071" i="1"/>
  <c r="G4071" i="1"/>
  <c r="K4071" i="1"/>
  <c r="A4072" i="1"/>
  <c r="B4072" i="1"/>
  <c r="G4072" i="1"/>
  <c r="K4072" i="1"/>
  <c r="A4073" i="1"/>
  <c r="B4073" i="1"/>
  <c r="G4073" i="1"/>
  <c r="K4073" i="1"/>
  <c r="A4074" i="1"/>
  <c r="B4074" i="1"/>
  <c r="G4074" i="1"/>
  <c r="K4074" i="1"/>
  <c r="A4075" i="1"/>
  <c r="B4075" i="1"/>
  <c r="G4075" i="1"/>
  <c r="K4075" i="1"/>
  <c r="A4076" i="1"/>
  <c r="B4076" i="1"/>
  <c r="G4076" i="1"/>
  <c r="K4076" i="1"/>
  <c r="A4077" i="1"/>
  <c r="B4077" i="1"/>
  <c r="G4077" i="1"/>
  <c r="K4077" i="1"/>
  <c r="A4078" i="1"/>
  <c r="B4078" i="1"/>
  <c r="G4078" i="1"/>
  <c r="K4078" i="1"/>
  <c r="A4079" i="1"/>
  <c r="B4079" i="1"/>
  <c r="G4079" i="1"/>
  <c r="K4079" i="1"/>
  <c r="A4080" i="1"/>
  <c r="B4080" i="1"/>
  <c r="G4080" i="1"/>
  <c r="K4080" i="1"/>
  <c r="A4081" i="1"/>
  <c r="B4081" i="1"/>
  <c r="G4081" i="1"/>
  <c r="K4081" i="1"/>
  <c r="A4082" i="1"/>
  <c r="B4082" i="1"/>
  <c r="G4082" i="1"/>
  <c r="K4082" i="1"/>
  <c r="A4083" i="1"/>
  <c r="B4083" i="1"/>
  <c r="G4083" i="1"/>
  <c r="K4083" i="1"/>
  <c r="A4084" i="1"/>
  <c r="B4084" i="1"/>
  <c r="G4084" i="1"/>
  <c r="K4084" i="1"/>
  <c r="A4085" i="1"/>
  <c r="B4085" i="1"/>
  <c r="G4085" i="1"/>
  <c r="K4085" i="1"/>
  <c r="A4086" i="1"/>
  <c r="B4086" i="1"/>
  <c r="G4086" i="1"/>
  <c r="K4086" i="1"/>
  <c r="A4087" i="1"/>
  <c r="B4087" i="1"/>
  <c r="G4087" i="1"/>
  <c r="K4087" i="1"/>
  <c r="A4088" i="1"/>
  <c r="B4088" i="1"/>
  <c r="G4088" i="1"/>
  <c r="K4088" i="1"/>
  <c r="A4089" i="1"/>
  <c r="B4089" i="1"/>
  <c r="G4089" i="1"/>
  <c r="K4089" i="1"/>
  <c r="A4090" i="1"/>
  <c r="B4090" i="1"/>
  <c r="G4090" i="1"/>
  <c r="K4090" i="1"/>
  <c r="A4091" i="1"/>
  <c r="B4091" i="1"/>
  <c r="G4091" i="1"/>
  <c r="K4091" i="1"/>
  <c r="A4092" i="1"/>
  <c r="B4092" i="1"/>
  <c r="G4092" i="1"/>
  <c r="K4092" i="1"/>
  <c r="A4093" i="1"/>
  <c r="B4093" i="1"/>
  <c r="G4093" i="1"/>
  <c r="K4093" i="1"/>
  <c r="A4094" i="1"/>
  <c r="B4094" i="1"/>
  <c r="G4094" i="1"/>
  <c r="K4094" i="1"/>
  <c r="A4095" i="1"/>
  <c r="B4095" i="1"/>
  <c r="G4095" i="1"/>
  <c r="K4095" i="1"/>
  <c r="A4096" i="1"/>
  <c r="B4096" i="1"/>
  <c r="G4096" i="1"/>
  <c r="K4096" i="1"/>
  <c r="A4097" i="1"/>
  <c r="B4097" i="1"/>
  <c r="G4097" i="1"/>
  <c r="K4097" i="1"/>
  <c r="A4098" i="1"/>
  <c r="B4098" i="1"/>
  <c r="G4098" i="1"/>
  <c r="K4098" i="1"/>
  <c r="A4099" i="1"/>
  <c r="B4099" i="1"/>
  <c r="G4099" i="1"/>
  <c r="K4099" i="1"/>
  <c r="A4100" i="1"/>
  <c r="B4100" i="1"/>
  <c r="G4100" i="1"/>
  <c r="K4100" i="1"/>
  <c r="A4101" i="1"/>
  <c r="B4101" i="1"/>
  <c r="G4101" i="1"/>
  <c r="K4101" i="1"/>
  <c r="A4102" i="1"/>
  <c r="B4102" i="1"/>
  <c r="G4102" i="1"/>
  <c r="K4102" i="1"/>
  <c r="A4103" i="1"/>
  <c r="B4103" i="1"/>
  <c r="G4103" i="1"/>
  <c r="K4103" i="1"/>
  <c r="A4104" i="1"/>
  <c r="B4104" i="1"/>
  <c r="G4104" i="1"/>
  <c r="K4104" i="1"/>
  <c r="A4105" i="1"/>
  <c r="B4105" i="1"/>
  <c r="G4105" i="1"/>
  <c r="K4105" i="1"/>
  <c r="A4106" i="1"/>
  <c r="B4106" i="1"/>
  <c r="G4106" i="1"/>
  <c r="K4106" i="1"/>
  <c r="A4107" i="1"/>
  <c r="B4107" i="1"/>
  <c r="G4107" i="1"/>
  <c r="K4107" i="1"/>
  <c r="A4108" i="1"/>
  <c r="B4108" i="1"/>
  <c r="G4108" i="1"/>
  <c r="K4108" i="1"/>
  <c r="A4109" i="1"/>
  <c r="B4109" i="1"/>
  <c r="G4109" i="1"/>
  <c r="K4109" i="1"/>
  <c r="A4110" i="1"/>
  <c r="B4110" i="1"/>
  <c r="G4110" i="1"/>
  <c r="K4110" i="1"/>
  <c r="A4111" i="1"/>
  <c r="B4111" i="1"/>
  <c r="G4111" i="1"/>
  <c r="K4111" i="1"/>
  <c r="A4112" i="1"/>
  <c r="B4112" i="1"/>
  <c r="G4112" i="1"/>
  <c r="K4112" i="1"/>
  <c r="A4113" i="1"/>
  <c r="B4113" i="1"/>
  <c r="G4113" i="1"/>
  <c r="K4113" i="1"/>
  <c r="A4114" i="1"/>
  <c r="B4114" i="1"/>
  <c r="G4114" i="1"/>
  <c r="K4114" i="1"/>
  <c r="A4115" i="1"/>
  <c r="B4115" i="1"/>
  <c r="G4115" i="1"/>
  <c r="K4115" i="1"/>
  <c r="A4116" i="1"/>
  <c r="B4116" i="1"/>
  <c r="G4116" i="1"/>
  <c r="K4116" i="1"/>
  <c r="A4117" i="1"/>
  <c r="B4117" i="1"/>
  <c r="G4117" i="1"/>
  <c r="K4117" i="1"/>
  <c r="A4118" i="1"/>
  <c r="B4118" i="1"/>
  <c r="G4118" i="1"/>
  <c r="K4118" i="1"/>
  <c r="A4119" i="1"/>
  <c r="B4119" i="1"/>
  <c r="G4119" i="1"/>
  <c r="K4119" i="1"/>
  <c r="A4120" i="1"/>
  <c r="B4120" i="1"/>
  <c r="G4120" i="1"/>
  <c r="K4120" i="1"/>
  <c r="A4121" i="1"/>
  <c r="B4121" i="1"/>
  <c r="G4121" i="1"/>
  <c r="K4121" i="1"/>
  <c r="A4122" i="1"/>
  <c r="B4122" i="1"/>
  <c r="G4122" i="1"/>
  <c r="K4122" i="1"/>
  <c r="A4123" i="1"/>
  <c r="B4123" i="1"/>
  <c r="G4123" i="1"/>
  <c r="K4123" i="1"/>
  <c r="A4124" i="1"/>
  <c r="B4124" i="1"/>
  <c r="G4124" i="1"/>
  <c r="K4124" i="1"/>
  <c r="A4125" i="1"/>
  <c r="B4125" i="1"/>
  <c r="G4125" i="1"/>
  <c r="K4125" i="1"/>
  <c r="A4126" i="1"/>
  <c r="B4126" i="1"/>
  <c r="G4126" i="1"/>
  <c r="K4126" i="1"/>
  <c r="A4127" i="1"/>
  <c r="B4127" i="1"/>
  <c r="G4127" i="1"/>
  <c r="K4127" i="1"/>
  <c r="A4128" i="1"/>
  <c r="B4128" i="1"/>
  <c r="G4128" i="1"/>
  <c r="K4128" i="1"/>
  <c r="A4129" i="1"/>
  <c r="B4129" i="1"/>
  <c r="G4129" i="1"/>
  <c r="K4129" i="1"/>
  <c r="A4130" i="1"/>
  <c r="B4130" i="1"/>
  <c r="G4130" i="1"/>
  <c r="K4130" i="1"/>
  <c r="A4131" i="1"/>
  <c r="B4131" i="1"/>
  <c r="G4131" i="1"/>
  <c r="K4131" i="1"/>
  <c r="A4132" i="1"/>
  <c r="B4132" i="1"/>
  <c r="G4132" i="1"/>
  <c r="K4132" i="1"/>
  <c r="A4133" i="1"/>
  <c r="B4133" i="1"/>
  <c r="G4133" i="1"/>
  <c r="K4133" i="1"/>
  <c r="A4134" i="1"/>
  <c r="B4134" i="1"/>
  <c r="G4134" i="1"/>
  <c r="K4134" i="1"/>
  <c r="A4135" i="1"/>
  <c r="B4135" i="1"/>
  <c r="G4135" i="1"/>
  <c r="K4135" i="1"/>
  <c r="A4136" i="1"/>
  <c r="B4136" i="1"/>
  <c r="G4136" i="1"/>
  <c r="K4136" i="1"/>
  <c r="A4137" i="1"/>
  <c r="B4137" i="1"/>
  <c r="G4137" i="1"/>
  <c r="K4137" i="1"/>
  <c r="A4138" i="1"/>
  <c r="B4138" i="1"/>
  <c r="G4138" i="1"/>
  <c r="K4138" i="1"/>
  <c r="A4139" i="1"/>
  <c r="B4139" i="1"/>
  <c r="G4139" i="1"/>
  <c r="K4139" i="1"/>
  <c r="A4140" i="1"/>
  <c r="B4140" i="1"/>
  <c r="G4140" i="1"/>
  <c r="K4140" i="1"/>
  <c r="A4141" i="1"/>
  <c r="B4141" i="1"/>
  <c r="G4141" i="1"/>
  <c r="K4141" i="1"/>
  <c r="A4142" i="1"/>
  <c r="B4142" i="1"/>
  <c r="G4142" i="1"/>
  <c r="K4142" i="1"/>
  <c r="A4143" i="1"/>
  <c r="B4143" i="1"/>
  <c r="G4143" i="1"/>
  <c r="K4143" i="1"/>
  <c r="A4144" i="1"/>
  <c r="B4144" i="1"/>
  <c r="G4144" i="1"/>
  <c r="K4144" i="1"/>
  <c r="A4145" i="1"/>
  <c r="B4145" i="1"/>
  <c r="G4145" i="1"/>
  <c r="K4145" i="1"/>
  <c r="A4146" i="1"/>
  <c r="B4146" i="1"/>
  <c r="G4146" i="1"/>
  <c r="K4146" i="1"/>
  <c r="A4147" i="1"/>
  <c r="B4147" i="1"/>
  <c r="G4147" i="1"/>
  <c r="K4147" i="1"/>
  <c r="A4148" i="1"/>
  <c r="B4148" i="1"/>
  <c r="G4148" i="1"/>
  <c r="K4148" i="1"/>
  <c r="A4149" i="1"/>
  <c r="B4149" i="1"/>
  <c r="G4149" i="1"/>
  <c r="K4149" i="1"/>
  <c r="A4150" i="1"/>
  <c r="B4150" i="1"/>
  <c r="G4150" i="1"/>
  <c r="K4150" i="1"/>
  <c r="A4151" i="1"/>
  <c r="B4151" i="1"/>
  <c r="G4151" i="1"/>
  <c r="K4151" i="1"/>
  <c r="A4152" i="1"/>
  <c r="B4152" i="1"/>
  <c r="G4152" i="1"/>
  <c r="K4152" i="1"/>
  <c r="A4153" i="1"/>
  <c r="B4153" i="1"/>
  <c r="G4153" i="1"/>
  <c r="K4153" i="1"/>
  <c r="A4154" i="1"/>
  <c r="B4154" i="1"/>
  <c r="G4154" i="1"/>
  <c r="K4154" i="1"/>
  <c r="A4155" i="1"/>
  <c r="B4155" i="1"/>
  <c r="G4155" i="1"/>
  <c r="K4155" i="1"/>
  <c r="A4156" i="1"/>
  <c r="B4156" i="1"/>
  <c r="G4156" i="1"/>
  <c r="K4156" i="1"/>
  <c r="A4157" i="1"/>
  <c r="B4157" i="1"/>
  <c r="G4157" i="1"/>
  <c r="K4157" i="1"/>
  <c r="A4158" i="1"/>
  <c r="B4158" i="1"/>
  <c r="G4158" i="1"/>
  <c r="K4158" i="1"/>
  <c r="A4159" i="1"/>
  <c r="B4159" i="1"/>
  <c r="G4159" i="1"/>
  <c r="K4159" i="1"/>
  <c r="A4160" i="1"/>
  <c r="B4160" i="1"/>
  <c r="G4160" i="1"/>
  <c r="K4160" i="1"/>
  <c r="A4161" i="1"/>
  <c r="B4161" i="1"/>
  <c r="G4161" i="1"/>
  <c r="K4161" i="1"/>
  <c r="A4162" i="1"/>
  <c r="B4162" i="1"/>
  <c r="G4162" i="1"/>
  <c r="K4162" i="1"/>
  <c r="A4163" i="1"/>
  <c r="B4163" i="1"/>
  <c r="G4163" i="1"/>
  <c r="K4163" i="1"/>
  <c r="A4164" i="1"/>
  <c r="B4164" i="1"/>
  <c r="G4164" i="1"/>
  <c r="K4164" i="1"/>
  <c r="A4165" i="1"/>
  <c r="B4165" i="1"/>
  <c r="G4165" i="1"/>
  <c r="K4165" i="1"/>
  <c r="A4166" i="1"/>
  <c r="B4166" i="1"/>
  <c r="G4166" i="1"/>
  <c r="K4166" i="1"/>
  <c r="A4167" i="1"/>
  <c r="B4167" i="1"/>
  <c r="G4167" i="1"/>
  <c r="K4167" i="1"/>
  <c r="A4168" i="1"/>
  <c r="B4168" i="1"/>
  <c r="G4168" i="1"/>
  <c r="K4168" i="1"/>
  <c r="A4169" i="1"/>
  <c r="B4169" i="1"/>
  <c r="G4169" i="1"/>
  <c r="K4169" i="1"/>
  <c r="A4170" i="1"/>
  <c r="B4170" i="1"/>
  <c r="G4170" i="1"/>
  <c r="K4170" i="1"/>
  <c r="A4171" i="1"/>
  <c r="B4171" i="1"/>
  <c r="G4171" i="1"/>
  <c r="K4171" i="1"/>
  <c r="A4172" i="1"/>
  <c r="B4172" i="1"/>
  <c r="G4172" i="1"/>
  <c r="K4172" i="1"/>
  <c r="A4173" i="1"/>
  <c r="B4173" i="1"/>
  <c r="G4173" i="1"/>
  <c r="K4173" i="1"/>
  <c r="A4174" i="1"/>
  <c r="B4174" i="1"/>
  <c r="G4174" i="1"/>
  <c r="K4174" i="1"/>
  <c r="A4175" i="1"/>
  <c r="B4175" i="1"/>
  <c r="G4175" i="1"/>
  <c r="K4175" i="1"/>
  <c r="A4176" i="1"/>
  <c r="B4176" i="1"/>
  <c r="G4176" i="1"/>
  <c r="K4176" i="1"/>
  <c r="A4177" i="1"/>
  <c r="B4177" i="1"/>
  <c r="G4177" i="1"/>
  <c r="K4177" i="1"/>
  <c r="A4178" i="1"/>
  <c r="B4178" i="1"/>
  <c r="G4178" i="1"/>
  <c r="K4178" i="1"/>
  <c r="A4179" i="1"/>
  <c r="B4179" i="1"/>
  <c r="G4179" i="1"/>
  <c r="K4179" i="1"/>
  <c r="A4180" i="1"/>
  <c r="B4180" i="1"/>
  <c r="G4180" i="1"/>
  <c r="K4180" i="1"/>
  <c r="A4181" i="1"/>
  <c r="B4181" i="1"/>
  <c r="G4181" i="1"/>
  <c r="K4181" i="1"/>
  <c r="A4182" i="1"/>
  <c r="B4182" i="1"/>
  <c r="G4182" i="1"/>
  <c r="K4182" i="1"/>
  <c r="A4183" i="1"/>
  <c r="B4183" i="1"/>
  <c r="G4183" i="1"/>
  <c r="K4183" i="1"/>
  <c r="A4184" i="1"/>
  <c r="B4184" i="1"/>
  <c r="G4184" i="1"/>
  <c r="K4184" i="1"/>
  <c r="A4185" i="1"/>
  <c r="B4185" i="1"/>
  <c r="G4185" i="1"/>
  <c r="K4185" i="1"/>
  <c r="A4186" i="1"/>
  <c r="B4186" i="1"/>
  <c r="G4186" i="1"/>
  <c r="K4186" i="1"/>
  <c r="A4187" i="1"/>
  <c r="B4187" i="1"/>
  <c r="G4187" i="1"/>
  <c r="K4187" i="1"/>
  <c r="A4188" i="1"/>
  <c r="B4188" i="1"/>
  <c r="G4188" i="1"/>
  <c r="K4188" i="1"/>
  <c r="A4189" i="1"/>
  <c r="B4189" i="1"/>
  <c r="G4189" i="1"/>
  <c r="K4189" i="1"/>
  <c r="A4190" i="1"/>
  <c r="B4190" i="1"/>
  <c r="G4190" i="1"/>
  <c r="K4190" i="1"/>
  <c r="A4191" i="1"/>
  <c r="B4191" i="1"/>
  <c r="G4191" i="1"/>
  <c r="K4191" i="1"/>
  <c r="A4192" i="1"/>
  <c r="B4192" i="1"/>
  <c r="G4192" i="1"/>
  <c r="K4192" i="1"/>
  <c r="A4193" i="1"/>
  <c r="B4193" i="1"/>
  <c r="G4193" i="1"/>
  <c r="K4193" i="1"/>
  <c r="A4194" i="1"/>
  <c r="B4194" i="1"/>
  <c r="G4194" i="1"/>
  <c r="K4194" i="1"/>
  <c r="A4195" i="1"/>
  <c r="B4195" i="1"/>
  <c r="G4195" i="1"/>
  <c r="K4195" i="1"/>
  <c r="A4196" i="1"/>
  <c r="B4196" i="1"/>
  <c r="G4196" i="1"/>
  <c r="K4196" i="1"/>
  <c r="A4197" i="1"/>
  <c r="B4197" i="1"/>
  <c r="G4197" i="1"/>
  <c r="K4197" i="1"/>
  <c r="A4198" i="1"/>
  <c r="B4198" i="1"/>
  <c r="G4198" i="1"/>
  <c r="K4198" i="1"/>
  <c r="A4199" i="1"/>
  <c r="B4199" i="1"/>
  <c r="G4199" i="1"/>
  <c r="K4199" i="1"/>
  <c r="A4200" i="1"/>
  <c r="B4200" i="1"/>
  <c r="G4200" i="1"/>
  <c r="K4200" i="1"/>
  <c r="A4201" i="1"/>
  <c r="B4201" i="1"/>
  <c r="G4201" i="1"/>
  <c r="K4201" i="1"/>
  <c r="A4202" i="1"/>
  <c r="B4202" i="1"/>
  <c r="G4202" i="1"/>
  <c r="K4202" i="1"/>
  <c r="A4203" i="1"/>
  <c r="B4203" i="1"/>
  <c r="G4203" i="1"/>
  <c r="K4203" i="1"/>
  <c r="A4204" i="1"/>
  <c r="B4204" i="1"/>
  <c r="G4204" i="1"/>
  <c r="K4204" i="1"/>
  <c r="A4205" i="1"/>
  <c r="B4205" i="1"/>
  <c r="G4205" i="1"/>
  <c r="K4205" i="1"/>
  <c r="A4206" i="1"/>
  <c r="B4206" i="1"/>
  <c r="G4206" i="1"/>
  <c r="K4206" i="1"/>
  <c r="A4207" i="1"/>
  <c r="B4207" i="1"/>
  <c r="G4207" i="1"/>
  <c r="K4207" i="1"/>
  <c r="A4208" i="1"/>
  <c r="B4208" i="1"/>
  <c r="G4208" i="1"/>
  <c r="K4208" i="1"/>
  <c r="A4209" i="1"/>
  <c r="B4209" i="1"/>
  <c r="G4209" i="1"/>
  <c r="K4209" i="1"/>
  <c r="A4210" i="1"/>
  <c r="B4210" i="1"/>
  <c r="G4210" i="1"/>
  <c r="K4210" i="1"/>
  <c r="A4211" i="1"/>
  <c r="B4211" i="1"/>
  <c r="G4211" i="1"/>
  <c r="K4211" i="1"/>
  <c r="A4212" i="1"/>
  <c r="B4212" i="1"/>
  <c r="G4212" i="1"/>
  <c r="K4212" i="1"/>
  <c r="A4213" i="1"/>
  <c r="B4213" i="1"/>
  <c r="G4213" i="1"/>
  <c r="K4213" i="1"/>
  <c r="A4214" i="1"/>
  <c r="B4214" i="1"/>
  <c r="G4214" i="1"/>
  <c r="K4214" i="1"/>
  <c r="A4215" i="1"/>
  <c r="B4215" i="1"/>
  <c r="G4215" i="1"/>
  <c r="K4215" i="1"/>
  <c r="A4216" i="1"/>
  <c r="B4216" i="1"/>
  <c r="G4216" i="1"/>
  <c r="K4216" i="1"/>
  <c r="A4217" i="1"/>
  <c r="B4217" i="1"/>
  <c r="G4217" i="1"/>
  <c r="K4217" i="1"/>
  <c r="A4218" i="1"/>
  <c r="B4218" i="1"/>
  <c r="G4218" i="1"/>
  <c r="K4218" i="1"/>
  <c r="A4219" i="1"/>
  <c r="B4219" i="1"/>
  <c r="G4219" i="1"/>
  <c r="K4219" i="1"/>
  <c r="A4220" i="1"/>
  <c r="B4220" i="1"/>
  <c r="G4220" i="1"/>
  <c r="K4220" i="1"/>
  <c r="A4221" i="1"/>
  <c r="B4221" i="1"/>
  <c r="G4221" i="1"/>
  <c r="K4221" i="1"/>
  <c r="A4222" i="1"/>
  <c r="B4222" i="1"/>
  <c r="G4222" i="1"/>
  <c r="K4222" i="1"/>
  <c r="A4223" i="1"/>
  <c r="B4223" i="1"/>
  <c r="G4223" i="1"/>
  <c r="K4223" i="1"/>
  <c r="A4224" i="1"/>
  <c r="B4224" i="1"/>
  <c r="G4224" i="1"/>
  <c r="K4224" i="1"/>
  <c r="A4225" i="1"/>
  <c r="B4225" i="1"/>
  <c r="G4225" i="1"/>
  <c r="K4225" i="1"/>
  <c r="A4226" i="1"/>
  <c r="B4226" i="1"/>
  <c r="G4226" i="1"/>
  <c r="K4226" i="1"/>
  <c r="A4227" i="1"/>
  <c r="B4227" i="1"/>
  <c r="G4227" i="1"/>
  <c r="K4227" i="1"/>
  <c r="A4228" i="1"/>
  <c r="B4228" i="1"/>
  <c r="G4228" i="1"/>
  <c r="K4228" i="1"/>
  <c r="A4229" i="1"/>
  <c r="B4229" i="1"/>
  <c r="G4229" i="1"/>
  <c r="K4229" i="1"/>
  <c r="A4230" i="1"/>
  <c r="B4230" i="1"/>
  <c r="G4230" i="1"/>
  <c r="K4230" i="1"/>
  <c r="A4231" i="1"/>
  <c r="B4231" i="1"/>
  <c r="G4231" i="1"/>
  <c r="K4231" i="1"/>
  <c r="A4232" i="1"/>
  <c r="B4232" i="1"/>
  <c r="G4232" i="1"/>
  <c r="K4232" i="1"/>
  <c r="A4233" i="1"/>
  <c r="B4233" i="1"/>
  <c r="G4233" i="1"/>
  <c r="K4233" i="1"/>
  <c r="A4234" i="1"/>
  <c r="B4234" i="1"/>
  <c r="G4234" i="1"/>
  <c r="K4234" i="1"/>
  <c r="A4235" i="1"/>
  <c r="B4235" i="1"/>
  <c r="G4235" i="1"/>
  <c r="K4235" i="1"/>
  <c r="A4236" i="1"/>
  <c r="B4236" i="1"/>
  <c r="G4236" i="1"/>
  <c r="K4236" i="1"/>
  <c r="A4237" i="1"/>
  <c r="B4237" i="1"/>
  <c r="G4237" i="1"/>
  <c r="K4237" i="1"/>
  <c r="A4238" i="1"/>
  <c r="B4238" i="1"/>
  <c r="G4238" i="1"/>
  <c r="K4238" i="1"/>
  <c r="A4239" i="1"/>
  <c r="B4239" i="1"/>
  <c r="G4239" i="1"/>
  <c r="K4239" i="1"/>
  <c r="A4240" i="1"/>
  <c r="B4240" i="1"/>
  <c r="G4240" i="1"/>
  <c r="K4240" i="1"/>
  <c r="A4241" i="1"/>
  <c r="B4241" i="1"/>
  <c r="G4241" i="1"/>
  <c r="K4241" i="1"/>
  <c r="A4242" i="1"/>
  <c r="B4242" i="1"/>
  <c r="G4242" i="1"/>
  <c r="K4242" i="1"/>
  <c r="A4243" i="1"/>
  <c r="B4243" i="1"/>
  <c r="G4243" i="1"/>
  <c r="K4243" i="1"/>
  <c r="A4244" i="1"/>
  <c r="B4244" i="1"/>
  <c r="G4244" i="1"/>
  <c r="K4244" i="1"/>
  <c r="A4245" i="1"/>
  <c r="B4245" i="1"/>
  <c r="G4245" i="1"/>
  <c r="K4245" i="1"/>
  <c r="A4246" i="1"/>
  <c r="B4246" i="1"/>
  <c r="G4246" i="1"/>
  <c r="K4246" i="1"/>
  <c r="A4247" i="1"/>
  <c r="B4247" i="1"/>
  <c r="G4247" i="1"/>
  <c r="K4247" i="1"/>
  <c r="A4248" i="1"/>
  <c r="B4248" i="1"/>
  <c r="G4248" i="1"/>
  <c r="K4248" i="1"/>
  <c r="A4249" i="1"/>
  <c r="B4249" i="1"/>
  <c r="G4249" i="1"/>
  <c r="K4249" i="1"/>
  <c r="A4250" i="1"/>
  <c r="B4250" i="1"/>
  <c r="G4250" i="1"/>
  <c r="K4250" i="1"/>
  <c r="A4251" i="1"/>
  <c r="B4251" i="1"/>
  <c r="G4251" i="1"/>
  <c r="K4251" i="1"/>
  <c r="A4252" i="1"/>
  <c r="B4252" i="1"/>
  <c r="G4252" i="1"/>
  <c r="K4252" i="1"/>
  <c r="A4253" i="1"/>
  <c r="B4253" i="1"/>
  <c r="G4253" i="1"/>
  <c r="K4253" i="1"/>
  <c r="A4254" i="1"/>
  <c r="B4254" i="1"/>
  <c r="G4254" i="1"/>
  <c r="K4254" i="1"/>
  <c r="A4255" i="1"/>
  <c r="B4255" i="1"/>
  <c r="G4255" i="1"/>
  <c r="K4255" i="1"/>
  <c r="A4256" i="1"/>
  <c r="B4256" i="1"/>
  <c r="G4256" i="1"/>
  <c r="K4256" i="1"/>
  <c r="A4257" i="1"/>
  <c r="B4257" i="1"/>
  <c r="G4257" i="1"/>
  <c r="K4257" i="1"/>
  <c r="A4258" i="1"/>
  <c r="B4258" i="1"/>
  <c r="G4258" i="1"/>
  <c r="K4258" i="1"/>
  <c r="A4259" i="1"/>
  <c r="B4259" i="1"/>
  <c r="G4259" i="1"/>
  <c r="K4259" i="1"/>
  <c r="A4260" i="1"/>
  <c r="B4260" i="1"/>
  <c r="G4260" i="1"/>
  <c r="K4260" i="1"/>
  <c r="A4261" i="1"/>
  <c r="B4261" i="1"/>
  <c r="G4261" i="1"/>
  <c r="K4261" i="1"/>
  <c r="A4262" i="1"/>
  <c r="B4262" i="1"/>
  <c r="G4262" i="1"/>
  <c r="K4262" i="1"/>
  <c r="A4263" i="1"/>
  <c r="B4263" i="1"/>
  <c r="G4263" i="1"/>
  <c r="K4263" i="1"/>
  <c r="A4264" i="1"/>
  <c r="B4264" i="1"/>
  <c r="G4264" i="1"/>
  <c r="K4264" i="1"/>
  <c r="A4265" i="1"/>
  <c r="B4265" i="1"/>
  <c r="G4265" i="1"/>
  <c r="K4265" i="1"/>
  <c r="A4266" i="1"/>
  <c r="B4266" i="1"/>
  <c r="G4266" i="1"/>
  <c r="K4266" i="1"/>
  <c r="A4267" i="1"/>
  <c r="B4267" i="1"/>
  <c r="G4267" i="1"/>
  <c r="K4267" i="1"/>
  <c r="A4268" i="1"/>
  <c r="B4268" i="1"/>
  <c r="G4268" i="1"/>
  <c r="K4268" i="1"/>
  <c r="A4269" i="1"/>
  <c r="B4269" i="1"/>
  <c r="G4269" i="1"/>
  <c r="K4269" i="1"/>
  <c r="A4270" i="1"/>
  <c r="B4270" i="1"/>
  <c r="G4270" i="1"/>
  <c r="K4270" i="1"/>
  <c r="A4271" i="1"/>
  <c r="B4271" i="1"/>
  <c r="G4271" i="1"/>
  <c r="K4271" i="1"/>
  <c r="A4272" i="1"/>
  <c r="B4272" i="1"/>
  <c r="G4272" i="1"/>
  <c r="K4272" i="1"/>
  <c r="A4273" i="1"/>
  <c r="B4273" i="1"/>
  <c r="G4273" i="1"/>
  <c r="K4273" i="1"/>
  <c r="A4274" i="1"/>
  <c r="B4274" i="1"/>
  <c r="G4274" i="1"/>
  <c r="K4274" i="1"/>
  <c r="A4275" i="1"/>
  <c r="B4275" i="1"/>
  <c r="G4275" i="1"/>
  <c r="K4275" i="1"/>
  <c r="A4276" i="1"/>
  <c r="B4276" i="1"/>
  <c r="G4276" i="1"/>
  <c r="K4276" i="1"/>
  <c r="A4277" i="1"/>
  <c r="B4277" i="1"/>
  <c r="G4277" i="1"/>
  <c r="K4277" i="1"/>
  <c r="A4278" i="1"/>
  <c r="B4278" i="1"/>
  <c r="G4278" i="1"/>
  <c r="K4278" i="1"/>
  <c r="A4279" i="1"/>
  <c r="B4279" i="1"/>
  <c r="G4279" i="1"/>
  <c r="K4279" i="1"/>
  <c r="A4280" i="1"/>
  <c r="B4280" i="1"/>
  <c r="G4280" i="1"/>
  <c r="K4280" i="1"/>
  <c r="A4281" i="1"/>
  <c r="B4281" i="1"/>
  <c r="G4281" i="1"/>
  <c r="K4281" i="1"/>
  <c r="A4282" i="1"/>
  <c r="B4282" i="1"/>
  <c r="G4282" i="1"/>
  <c r="K4282" i="1"/>
  <c r="A4283" i="1"/>
  <c r="B4283" i="1"/>
  <c r="G4283" i="1"/>
  <c r="K4283" i="1"/>
  <c r="A4284" i="1"/>
  <c r="B4284" i="1"/>
  <c r="G4284" i="1"/>
  <c r="K4284" i="1"/>
  <c r="A4285" i="1"/>
  <c r="B4285" i="1"/>
  <c r="G4285" i="1"/>
  <c r="K4285" i="1"/>
  <c r="A4286" i="1"/>
  <c r="B4286" i="1"/>
  <c r="G4286" i="1"/>
  <c r="K4286" i="1"/>
  <c r="A4287" i="1"/>
  <c r="B4287" i="1"/>
  <c r="G4287" i="1"/>
  <c r="K4287" i="1"/>
  <c r="A4288" i="1"/>
  <c r="B4288" i="1"/>
  <c r="G4288" i="1"/>
  <c r="K4288" i="1"/>
  <c r="A4289" i="1"/>
  <c r="B4289" i="1"/>
  <c r="G4289" i="1"/>
  <c r="K4289" i="1"/>
  <c r="A4290" i="1"/>
  <c r="B4290" i="1"/>
  <c r="G4290" i="1"/>
  <c r="K4290" i="1"/>
  <c r="A4291" i="1"/>
  <c r="B4291" i="1"/>
  <c r="G4291" i="1"/>
  <c r="K4291" i="1"/>
  <c r="A4292" i="1"/>
  <c r="B4292" i="1"/>
  <c r="G4292" i="1"/>
  <c r="K4292" i="1"/>
  <c r="A4293" i="1"/>
  <c r="B4293" i="1"/>
  <c r="G4293" i="1"/>
  <c r="K4293" i="1"/>
  <c r="A4294" i="1"/>
  <c r="B4294" i="1"/>
  <c r="G4294" i="1"/>
  <c r="K4294" i="1"/>
  <c r="A4295" i="1"/>
  <c r="B4295" i="1"/>
  <c r="G4295" i="1"/>
  <c r="K4295" i="1"/>
  <c r="A4296" i="1"/>
  <c r="B4296" i="1"/>
  <c r="G4296" i="1"/>
  <c r="K4296" i="1"/>
  <c r="A4297" i="1"/>
  <c r="B4297" i="1"/>
  <c r="G4297" i="1"/>
  <c r="K4297" i="1"/>
  <c r="A4298" i="1"/>
  <c r="B4298" i="1"/>
  <c r="G4298" i="1"/>
  <c r="K4298" i="1"/>
  <c r="A4299" i="1"/>
  <c r="B4299" i="1"/>
  <c r="G4299" i="1"/>
  <c r="K4299" i="1"/>
  <c r="A4300" i="1"/>
  <c r="B4300" i="1"/>
  <c r="G4300" i="1"/>
  <c r="K4300" i="1"/>
  <c r="A4301" i="1"/>
  <c r="B4301" i="1"/>
  <c r="G4301" i="1"/>
  <c r="K4301" i="1"/>
  <c r="A4302" i="1"/>
  <c r="B4302" i="1"/>
  <c r="G4302" i="1"/>
  <c r="K4302" i="1"/>
  <c r="A4303" i="1"/>
  <c r="B4303" i="1"/>
  <c r="G4303" i="1"/>
  <c r="K4303" i="1"/>
  <c r="A4304" i="1"/>
  <c r="B4304" i="1"/>
  <c r="G4304" i="1"/>
  <c r="K4304" i="1"/>
  <c r="A4305" i="1"/>
  <c r="B4305" i="1"/>
  <c r="G4305" i="1"/>
  <c r="K4305" i="1"/>
  <c r="A4306" i="1"/>
  <c r="B4306" i="1"/>
  <c r="G4306" i="1"/>
  <c r="K4306" i="1"/>
  <c r="A4307" i="1"/>
  <c r="B4307" i="1"/>
  <c r="G4307" i="1"/>
  <c r="K4307" i="1"/>
  <c r="A4308" i="1"/>
  <c r="B4308" i="1"/>
  <c r="G4308" i="1"/>
  <c r="K4308" i="1"/>
  <c r="A4309" i="1"/>
  <c r="B4309" i="1"/>
  <c r="G4309" i="1"/>
  <c r="K4309" i="1"/>
  <c r="A4310" i="1"/>
  <c r="B4310" i="1"/>
  <c r="G4310" i="1"/>
  <c r="K4310" i="1"/>
  <c r="A4311" i="1"/>
  <c r="B4311" i="1"/>
  <c r="G4311" i="1"/>
  <c r="K4311" i="1"/>
  <c r="A4312" i="1"/>
  <c r="B4312" i="1"/>
  <c r="G4312" i="1"/>
  <c r="K4312" i="1"/>
  <c r="A4313" i="1"/>
  <c r="B4313" i="1"/>
  <c r="G4313" i="1"/>
  <c r="K4313" i="1"/>
  <c r="A4314" i="1"/>
  <c r="B4314" i="1"/>
  <c r="G4314" i="1"/>
  <c r="K4314" i="1"/>
  <c r="A4315" i="1"/>
  <c r="B4315" i="1"/>
  <c r="G4315" i="1"/>
  <c r="K4315" i="1"/>
  <c r="A4316" i="1"/>
  <c r="B4316" i="1"/>
  <c r="G4316" i="1"/>
  <c r="K4316" i="1"/>
  <c r="A4317" i="1"/>
  <c r="B4317" i="1"/>
  <c r="G4317" i="1"/>
  <c r="K4317" i="1"/>
  <c r="A4318" i="1"/>
  <c r="B4318" i="1"/>
  <c r="G4318" i="1"/>
  <c r="K4318" i="1"/>
  <c r="A4319" i="1"/>
  <c r="B4319" i="1"/>
  <c r="G4319" i="1"/>
  <c r="K4319" i="1"/>
  <c r="A4320" i="1"/>
  <c r="B4320" i="1"/>
  <c r="G4320" i="1"/>
  <c r="K4320" i="1"/>
  <c r="A4321" i="1"/>
  <c r="B4321" i="1"/>
  <c r="G4321" i="1"/>
  <c r="K4321" i="1"/>
  <c r="A4322" i="1"/>
  <c r="B4322" i="1"/>
  <c r="G4322" i="1"/>
  <c r="K4322" i="1"/>
  <c r="A4323" i="1"/>
  <c r="B4323" i="1"/>
  <c r="G4323" i="1"/>
  <c r="K4323" i="1"/>
  <c r="A4324" i="1"/>
  <c r="B4324" i="1"/>
  <c r="G4324" i="1"/>
  <c r="K4324" i="1"/>
  <c r="A4325" i="1"/>
  <c r="B4325" i="1"/>
  <c r="G4325" i="1"/>
  <c r="K4325" i="1"/>
  <c r="A4326" i="1"/>
  <c r="B4326" i="1"/>
  <c r="G4326" i="1"/>
  <c r="K4326" i="1"/>
  <c r="A4327" i="1"/>
  <c r="B4327" i="1"/>
  <c r="G4327" i="1"/>
  <c r="K4327" i="1"/>
  <c r="A4328" i="1"/>
  <c r="B4328" i="1"/>
  <c r="G4328" i="1"/>
  <c r="K4328" i="1"/>
  <c r="A4329" i="1"/>
  <c r="B4329" i="1"/>
  <c r="G4329" i="1"/>
  <c r="K4329" i="1"/>
  <c r="A4330" i="1"/>
  <c r="B4330" i="1"/>
  <c r="G4330" i="1"/>
  <c r="K4330" i="1"/>
  <c r="A4331" i="1"/>
  <c r="B4331" i="1"/>
  <c r="G4331" i="1"/>
  <c r="K4331" i="1"/>
  <c r="A4332" i="1"/>
  <c r="B4332" i="1"/>
  <c r="G4332" i="1"/>
  <c r="K4332" i="1"/>
  <c r="A4333" i="1"/>
  <c r="B4333" i="1"/>
  <c r="G4333" i="1"/>
  <c r="K4333" i="1"/>
  <c r="A4334" i="1"/>
  <c r="B4334" i="1"/>
  <c r="G4334" i="1"/>
  <c r="K4334" i="1"/>
  <c r="A4335" i="1"/>
  <c r="B4335" i="1"/>
  <c r="G4335" i="1"/>
  <c r="K4335" i="1"/>
  <c r="A4336" i="1"/>
  <c r="B4336" i="1"/>
  <c r="G4336" i="1"/>
  <c r="K4336" i="1"/>
  <c r="A4337" i="1"/>
  <c r="B4337" i="1"/>
  <c r="G4337" i="1"/>
  <c r="K4337" i="1"/>
  <c r="A4338" i="1"/>
  <c r="B4338" i="1"/>
  <c r="G4338" i="1"/>
  <c r="K4338" i="1"/>
  <c r="A4339" i="1"/>
  <c r="B4339" i="1"/>
  <c r="G4339" i="1"/>
  <c r="K4339" i="1"/>
  <c r="A4340" i="1"/>
  <c r="B4340" i="1"/>
  <c r="G4340" i="1"/>
  <c r="K4340" i="1"/>
  <c r="A4341" i="1"/>
  <c r="B4341" i="1"/>
  <c r="G4341" i="1"/>
  <c r="K4341" i="1"/>
  <c r="A4342" i="1"/>
  <c r="B4342" i="1"/>
  <c r="G4342" i="1"/>
  <c r="K4342" i="1"/>
  <c r="A4343" i="1"/>
  <c r="B4343" i="1"/>
  <c r="G4343" i="1"/>
  <c r="K4343" i="1"/>
  <c r="A4344" i="1"/>
  <c r="B4344" i="1"/>
  <c r="G4344" i="1"/>
  <c r="K4344" i="1"/>
  <c r="A4345" i="1"/>
  <c r="B4345" i="1"/>
  <c r="G4345" i="1"/>
  <c r="K4345" i="1"/>
  <c r="A4346" i="1"/>
  <c r="B4346" i="1"/>
  <c r="G4346" i="1"/>
  <c r="K4346" i="1"/>
  <c r="A4347" i="1"/>
  <c r="B4347" i="1"/>
  <c r="G4347" i="1"/>
  <c r="K4347" i="1"/>
  <c r="A4348" i="1"/>
  <c r="B4348" i="1"/>
  <c r="G4348" i="1"/>
  <c r="K4348" i="1"/>
  <c r="A4349" i="1"/>
  <c r="B4349" i="1"/>
  <c r="G4349" i="1"/>
  <c r="K4349" i="1"/>
  <c r="A4350" i="1"/>
  <c r="B4350" i="1"/>
  <c r="G4350" i="1"/>
  <c r="K4350" i="1"/>
  <c r="A4351" i="1"/>
  <c r="B4351" i="1"/>
  <c r="G4351" i="1"/>
  <c r="K4351" i="1"/>
  <c r="A4352" i="1"/>
  <c r="B4352" i="1"/>
  <c r="G4352" i="1"/>
  <c r="K4352" i="1"/>
  <c r="A4353" i="1"/>
  <c r="B4353" i="1"/>
  <c r="G4353" i="1"/>
  <c r="K4353" i="1"/>
  <c r="A4354" i="1"/>
  <c r="B4354" i="1"/>
  <c r="G4354" i="1"/>
  <c r="K4354" i="1"/>
  <c r="A4355" i="1"/>
  <c r="B4355" i="1"/>
  <c r="G4355" i="1"/>
  <c r="K4355" i="1"/>
  <c r="A4356" i="1"/>
  <c r="B4356" i="1"/>
  <c r="G4356" i="1"/>
  <c r="K4356" i="1"/>
  <c r="A4357" i="1"/>
  <c r="B4357" i="1"/>
  <c r="G4357" i="1"/>
  <c r="K4357" i="1"/>
  <c r="A4358" i="1"/>
  <c r="B4358" i="1"/>
  <c r="G4358" i="1"/>
  <c r="K4358" i="1"/>
  <c r="A4359" i="1"/>
  <c r="B4359" i="1"/>
  <c r="G4359" i="1"/>
  <c r="K4359" i="1"/>
  <c r="A4360" i="1"/>
  <c r="B4360" i="1"/>
  <c r="G4360" i="1"/>
  <c r="K4360" i="1"/>
  <c r="A4361" i="1"/>
  <c r="B4361" i="1"/>
  <c r="G4361" i="1"/>
  <c r="K4361" i="1"/>
  <c r="A4362" i="1"/>
  <c r="B4362" i="1"/>
  <c r="G4362" i="1"/>
  <c r="K4362" i="1"/>
  <c r="A4363" i="1"/>
  <c r="B4363" i="1"/>
  <c r="G4363" i="1"/>
  <c r="K4363" i="1"/>
  <c r="A4364" i="1"/>
  <c r="B4364" i="1"/>
  <c r="G4364" i="1"/>
  <c r="K4364" i="1"/>
  <c r="A4365" i="1"/>
  <c r="B4365" i="1"/>
  <c r="G4365" i="1"/>
  <c r="K4365" i="1"/>
  <c r="A4366" i="1"/>
  <c r="B4366" i="1"/>
  <c r="G4366" i="1"/>
  <c r="K4366" i="1"/>
  <c r="A4367" i="1"/>
  <c r="B4367" i="1"/>
  <c r="G4367" i="1"/>
  <c r="K4367" i="1"/>
  <c r="A4368" i="1"/>
  <c r="B4368" i="1"/>
  <c r="G4368" i="1"/>
  <c r="K4368" i="1"/>
  <c r="A4369" i="1"/>
  <c r="B4369" i="1"/>
  <c r="G4369" i="1"/>
  <c r="K4369" i="1"/>
  <c r="A4370" i="1"/>
  <c r="B4370" i="1"/>
  <c r="G4370" i="1"/>
  <c r="K4370" i="1"/>
  <c r="A4371" i="1"/>
  <c r="B4371" i="1"/>
  <c r="G4371" i="1"/>
  <c r="K4371" i="1"/>
  <c r="A4372" i="1"/>
  <c r="B4372" i="1"/>
  <c r="G4372" i="1"/>
  <c r="K4372" i="1"/>
  <c r="A4373" i="1"/>
  <c r="B4373" i="1"/>
  <c r="G4373" i="1"/>
  <c r="K4373" i="1"/>
  <c r="A4374" i="1"/>
  <c r="B4374" i="1"/>
  <c r="G4374" i="1"/>
  <c r="K4374" i="1"/>
  <c r="A4375" i="1"/>
  <c r="B4375" i="1"/>
  <c r="G4375" i="1"/>
  <c r="K4375" i="1"/>
  <c r="A4376" i="1"/>
  <c r="B4376" i="1"/>
  <c r="G4376" i="1"/>
  <c r="K4376" i="1"/>
  <c r="A4377" i="1"/>
  <c r="B4377" i="1"/>
  <c r="G4377" i="1"/>
  <c r="K4377" i="1"/>
  <c r="A4378" i="1"/>
  <c r="B4378" i="1"/>
  <c r="G4378" i="1"/>
  <c r="K4378" i="1"/>
  <c r="A4379" i="1"/>
  <c r="B4379" i="1"/>
  <c r="G4379" i="1"/>
  <c r="K4379" i="1"/>
  <c r="A4380" i="1"/>
  <c r="B4380" i="1"/>
  <c r="G4380" i="1"/>
  <c r="K4380" i="1"/>
  <c r="A4381" i="1"/>
  <c r="B4381" i="1"/>
  <c r="G4381" i="1"/>
  <c r="K4381" i="1"/>
  <c r="A4382" i="1"/>
  <c r="B4382" i="1"/>
  <c r="G4382" i="1"/>
  <c r="K4382" i="1"/>
  <c r="A4383" i="1"/>
  <c r="B4383" i="1"/>
  <c r="G4383" i="1"/>
  <c r="K4383" i="1"/>
  <c r="A4384" i="1"/>
  <c r="B4384" i="1"/>
  <c r="G4384" i="1"/>
  <c r="K4384" i="1"/>
  <c r="A4385" i="1"/>
  <c r="B4385" i="1"/>
  <c r="G4385" i="1"/>
  <c r="K4385" i="1"/>
  <c r="A4386" i="1"/>
  <c r="B4386" i="1"/>
  <c r="G4386" i="1"/>
  <c r="K4386" i="1"/>
  <c r="A4387" i="1"/>
  <c r="B4387" i="1"/>
  <c r="G4387" i="1"/>
  <c r="K4387" i="1"/>
  <c r="A4388" i="1"/>
  <c r="B4388" i="1"/>
  <c r="G4388" i="1"/>
  <c r="K4388" i="1"/>
  <c r="A4389" i="1"/>
  <c r="B4389" i="1"/>
  <c r="G4389" i="1"/>
  <c r="K4389" i="1"/>
  <c r="A4390" i="1"/>
  <c r="B4390" i="1"/>
  <c r="G4390" i="1"/>
  <c r="K4390" i="1"/>
  <c r="A4391" i="1"/>
  <c r="B4391" i="1"/>
  <c r="G4391" i="1"/>
  <c r="K4391" i="1"/>
  <c r="A4392" i="1"/>
  <c r="B4392" i="1"/>
  <c r="G4392" i="1"/>
  <c r="K4392" i="1"/>
  <c r="A4393" i="1"/>
  <c r="B4393" i="1"/>
  <c r="G4393" i="1"/>
  <c r="K4393" i="1"/>
  <c r="A4394" i="1"/>
  <c r="B4394" i="1"/>
  <c r="G4394" i="1"/>
  <c r="K4394" i="1"/>
  <c r="A4395" i="1"/>
  <c r="B4395" i="1"/>
  <c r="G4395" i="1"/>
  <c r="K4395" i="1"/>
  <c r="A4396" i="1"/>
  <c r="B4396" i="1"/>
  <c r="G4396" i="1"/>
  <c r="K4396" i="1"/>
  <c r="A4397" i="1"/>
  <c r="B4397" i="1"/>
  <c r="G4397" i="1"/>
  <c r="K4397" i="1"/>
  <c r="A4398" i="1"/>
  <c r="B4398" i="1"/>
  <c r="G4398" i="1"/>
  <c r="K4398" i="1"/>
  <c r="A4399" i="1"/>
  <c r="B4399" i="1"/>
  <c r="G4399" i="1"/>
  <c r="K4399" i="1"/>
  <c r="A4400" i="1"/>
  <c r="B4400" i="1"/>
  <c r="G4400" i="1"/>
  <c r="K4400" i="1"/>
  <c r="A4401" i="1"/>
  <c r="B4401" i="1"/>
  <c r="G4401" i="1"/>
  <c r="K4401" i="1"/>
  <c r="A4402" i="1"/>
  <c r="B4402" i="1"/>
  <c r="G4402" i="1"/>
  <c r="K4402" i="1"/>
  <c r="A4403" i="1"/>
  <c r="B4403" i="1"/>
  <c r="G4403" i="1"/>
  <c r="K4403" i="1"/>
  <c r="A4404" i="1"/>
  <c r="B4404" i="1"/>
  <c r="G4404" i="1"/>
  <c r="K4404" i="1"/>
  <c r="A4405" i="1"/>
  <c r="B4405" i="1"/>
  <c r="G4405" i="1"/>
  <c r="K4405" i="1"/>
  <c r="A4406" i="1"/>
  <c r="B4406" i="1"/>
  <c r="G4406" i="1"/>
  <c r="K4406" i="1"/>
  <c r="A4407" i="1"/>
  <c r="B4407" i="1"/>
  <c r="G4407" i="1"/>
  <c r="K4407" i="1"/>
  <c r="A4408" i="1"/>
  <c r="B4408" i="1"/>
  <c r="G4408" i="1"/>
  <c r="K4408" i="1"/>
  <c r="A4409" i="1"/>
  <c r="B4409" i="1"/>
  <c r="G4409" i="1"/>
  <c r="K4409" i="1"/>
  <c r="A4410" i="1"/>
  <c r="B4410" i="1"/>
  <c r="G4410" i="1"/>
  <c r="K4410" i="1"/>
  <c r="A4411" i="1"/>
  <c r="B4411" i="1"/>
  <c r="G4411" i="1"/>
  <c r="K4411" i="1"/>
  <c r="A4412" i="1"/>
  <c r="B4412" i="1"/>
  <c r="G4412" i="1"/>
  <c r="K4412" i="1"/>
  <c r="A4413" i="1"/>
  <c r="B4413" i="1"/>
  <c r="G4413" i="1"/>
  <c r="K4413" i="1"/>
  <c r="A4414" i="1"/>
  <c r="B4414" i="1"/>
  <c r="G4414" i="1"/>
  <c r="K4414" i="1"/>
  <c r="A4415" i="1"/>
  <c r="B4415" i="1"/>
  <c r="G4415" i="1"/>
  <c r="K4415" i="1"/>
  <c r="A4416" i="1"/>
  <c r="B4416" i="1"/>
  <c r="G4416" i="1"/>
  <c r="K4416" i="1"/>
  <c r="A4417" i="1"/>
  <c r="B4417" i="1"/>
  <c r="G4417" i="1"/>
  <c r="K4417" i="1"/>
  <c r="A4418" i="1"/>
  <c r="B4418" i="1"/>
  <c r="G4418" i="1"/>
  <c r="K4418" i="1"/>
  <c r="A4419" i="1"/>
  <c r="B4419" i="1"/>
  <c r="G4419" i="1"/>
  <c r="K4419" i="1"/>
  <c r="A4420" i="1"/>
  <c r="B4420" i="1"/>
  <c r="G4420" i="1"/>
  <c r="K4420" i="1"/>
  <c r="A4421" i="1"/>
  <c r="B4421" i="1"/>
  <c r="G4421" i="1"/>
  <c r="K4421" i="1"/>
  <c r="A4422" i="1"/>
  <c r="B4422" i="1"/>
  <c r="G4422" i="1"/>
  <c r="K4422" i="1"/>
  <c r="A4423" i="1"/>
  <c r="B4423" i="1"/>
  <c r="G4423" i="1"/>
  <c r="K4423" i="1"/>
  <c r="A4424" i="1"/>
  <c r="B4424" i="1"/>
  <c r="G4424" i="1"/>
  <c r="K4424" i="1"/>
  <c r="A4425" i="1"/>
  <c r="B4425" i="1"/>
  <c r="G4425" i="1"/>
  <c r="K4425" i="1"/>
  <c r="A4426" i="1"/>
  <c r="B4426" i="1"/>
  <c r="G4426" i="1"/>
  <c r="K4426" i="1"/>
  <c r="A4427" i="1"/>
  <c r="B4427" i="1"/>
  <c r="G4427" i="1"/>
  <c r="K4427" i="1"/>
  <c r="A4428" i="1"/>
  <c r="B4428" i="1"/>
  <c r="G4428" i="1"/>
  <c r="K4428" i="1"/>
  <c r="A4429" i="1"/>
  <c r="B4429" i="1"/>
  <c r="G4429" i="1"/>
  <c r="K4429" i="1"/>
  <c r="A4430" i="1"/>
  <c r="B4430" i="1"/>
  <c r="G4430" i="1"/>
  <c r="K4430" i="1"/>
  <c r="A4431" i="1"/>
  <c r="B4431" i="1"/>
  <c r="G4431" i="1"/>
  <c r="K4431" i="1"/>
  <c r="A4432" i="1"/>
  <c r="B4432" i="1"/>
  <c r="G4432" i="1"/>
  <c r="K4432" i="1"/>
  <c r="A4433" i="1"/>
  <c r="B4433" i="1"/>
  <c r="G4433" i="1"/>
  <c r="K4433" i="1"/>
  <c r="A4434" i="1"/>
  <c r="B4434" i="1"/>
  <c r="G4434" i="1"/>
  <c r="K4434" i="1"/>
  <c r="A4435" i="1"/>
  <c r="B4435" i="1"/>
  <c r="G4435" i="1"/>
  <c r="K4435" i="1"/>
  <c r="A4436" i="1"/>
  <c r="B4436" i="1"/>
  <c r="G4436" i="1"/>
  <c r="K4436" i="1"/>
  <c r="A4437" i="1"/>
  <c r="B4437" i="1"/>
  <c r="G4437" i="1"/>
  <c r="K4437" i="1"/>
  <c r="A4438" i="1"/>
  <c r="B4438" i="1"/>
  <c r="G4438" i="1"/>
  <c r="K4438" i="1"/>
  <c r="A4439" i="1"/>
  <c r="B4439" i="1"/>
  <c r="G4439" i="1"/>
  <c r="K4439" i="1"/>
  <c r="A4440" i="1"/>
  <c r="B4440" i="1"/>
  <c r="G4440" i="1"/>
  <c r="K4440" i="1"/>
  <c r="A4441" i="1"/>
  <c r="B4441" i="1"/>
  <c r="G4441" i="1"/>
  <c r="K4441" i="1"/>
  <c r="A4442" i="1"/>
  <c r="B4442" i="1"/>
  <c r="G4442" i="1"/>
  <c r="K4442" i="1"/>
  <c r="A4443" i="1"/>
  <c r="B4443" i="1"/>
  <c r="G4443" i="1"/>
  <c r="K4443" i="1"/>
  <c r="A4444" i="1"/>
  <c r="B4444" i="1"/>
  <c r="G4444" i="1"/>
  <c r="K4444" i="1"/>
  <c r="A4445" i="1"/>
  <c r="B4445" i="1"/>
  <c r="G4445" i="1"/>
  <c r="K4445" i="1"/>
  <c r="A4446" i="1"/>
  <c r="B4446" i="1"/>
  <c r="G4446" i="1"/>
  <c r="K4446" i="1"/>
  <c r="A4447" i="1"/>
  <c r="B4447" i="1"/>
  <c r="G4447" i="1"/>
  <c r="K4447" i="1"/>
  <c r="A4448" i="1"/>
  <c r="B4448" i="1"/>
  <c r="G4448" i="1"/>
  <c r="K4448" i="1"/>
  <c r="A4449" i="1"/>
  <c r="B4449" i="1"/>
  <c r="G4449" i="1"/>
  <c r="K4449" i="1"/>
  <c r="A4450" i="1"/>
  <c r="B4450" i="1"/>
  <c r="G4450" i="1"/>
  <c r="K4450" i="1"/>
  <c r="A4451" i="1"/>
  <c r="B4451" i="1"/>
  <c r="G4451" i="1"/>
  <c r="K4451" i="1"/>
  <c r="A4452" i="1"/>
  <c r="B4452" i="1"/>
  <c r="G4452" i="1"/>
  <c r="K4452" i="1"/>
  <c r="A4453" i="1"/>
  <c r="B4453" i="1"/>
  <c r="G4453" i="1"/>
  <c r="K4453" i="1"/>
  <c r="A4454" i="1"/>
  <c r="B4454" i="1"/>
  <c r="G4454" i="1"/>
  <c r="K4454" i="1"/>
  <c r="A4455" i="1"/>
  <c r="B4455" i="1"/>
  <c r="G4455" i="1"/>
  <c r="K4455" i="1"/>
  <c r="A4456" i="1"/>
  <c r="B4456" i="1"/>
  <c r="G4456" i="1"/>
  <c r="K4456" i="1"/>
  <c r="A4457" i="1"/>
  <c r="B4457" i="1"/>
  <c r="G4457" i="1"/>
  <c r="K4457" i="1"/>
  <c r="A4458" i="1"/>
  <c r="B4458" i="1"/>
  <c r="G4458" i="1"/>
  <c r="K4458" i="1"/>
  <c r="A4459" i="1"/>
  <c r="B4459" i="1"/>
  <c r="G4459" i="1"/>
  <c r="K4459" i="1"/>
  <c r="A4460" i="1"/>
  <c r="B4460" i="1"/>
  <c r="G4460" i="1"/>
  <c r="K4460" i="1"/>
  <c r="A4461" i="1"/>
  <c r="B4461" i="1"/>
  <c r="G4461" i="1"/>
  <c r="K4461" i="1"/>
  <c r="A4462" i="1"/>
  <c r="B4462" i="1"/>
  <c r="G4462" i="1"/>
  <c r="K4462" i="1"/>
  <c r="A4463" i="1"/>
  <c r="B4463" i="1"/>
  <c r="G4463" i="1"/>
  <c r="K4463" i="1"/>
  <c r="A4464" i="1"/>
  <c r="B4464" i="1"/>
  <c r="G4464" i="1"/>
  <c r="K4464" i="1"/>
  <c r="A4465" i="1"/>
  <c r="B4465" i="1"/>
  <c r="G4465" i="1"/>
  <c r="K4465" i="1"/>
  <c r="A4466" i="1"/>
  <c r="B4466" i="1"/>
  <c r="G4466" i="1"/>
  <c r="K4466" i="1"/>
  <c r="A4467" i="1"/>
  <c r="B4467" i="1"/>
  <c r="G4467" i="1"/>
  <c r="K4467" i="1"/>
  <c r="A4468" i="1"/>
  <c r="B4468" i="1"/>
  <c r="G4468" i="1"/>
  <c r="K4468" i="1"/>
  <c r="A4469" i="1"/>
  <c r="B4469" i="1"/>
  <c r="G4469" i="1"/>
  <c r="K4469" i="1"/>
  <c r="A4470" i="1"/>
  <c r="B4470" i="1"/>
  <c r="G4470" i="1"/>
  <c r="K4470" i="1"/>
  <c r="A4471" i="1"/>
  <c r="B4471" i="1"/>
  <c r="G4471" i="1"/>
  <c r="K4471" i="1"/>
  <c r="A4472" i="1"/>
  <c r="B4472" i="1"/>
  <c r="G4472" i="1"/>
  <c r="K4472" i="1"/>
  <c r="A4473" i="1"/>
  <c r="B4473" i="1"/>
  <c r="G4473" i="1"/>
  <c r="K4473" i="1"/>
  <c r="A4474" i="1"/>
  <c r="B4474" i="1"/>
  <c r="G4474" i="1"/>
  <c r="K4474" i="1"/>
  <c r="A4475" i="1"/>
  <c r="B4475" i="1"/>
  <c r="G4475" i="1"/>
  <c r="K4475" i="1"/>
  <c r="A4476" i="1"/>
  <c r="B4476" i="1"/>
  <c r="G4476" i="1"/>
  <c r="K4476" i="1"/>
  <c r="A4477" i="1"/>
  <c r="B4477" i="1"/>
  <c r="G4477" i="1"/>
  <c r="K4477" i="1"/>
  <c r="A4478" i="1"/>
  <c r="B4478" i="1"/>
  <c r="G4478" i="1"/>
  <c r="K4478" i="1"/>
  <c r="A4479" i="1"/>
  <c r="B4479" i="1"/>
  <c r="G4479" i="1"/>
  <c r="K4479" i="1"/>
  <c r="A4480" i="1"/>
  <c r="B4480" i="1"/>
  <c r="G4480" i="1"/>
  <c r="K4480" i="1"/>
  <c r="A4481" i="1"/>
  <c r="B4481" i="1"/>
  <c r="G4481" i="1"/>
  <c r="K4481" i="1"/>
  <c r="A4482" i="1"/>
  <c r="B4482" i="1"/>
  <c r="G4482" i="1"/>
  <c r="K4482" i="1"/>
  <c r="A4483" i="1"/>
  <c r="B4483" i="1"/>
  <c r="G4483" i="1"/>
  <c r="K4483" i="1"/>
  <c r="A4484" i="1"/>
  <c r="B4484" i="1"/>
  <c r="G4484" i="1"/>
  <c r="K4484" i="1"/>
  <c r="A4485" i="1"/>
  <c r="B4485" i="1"/>
  <c r="G4485" i="1"/>
  <c r="K4485" i="1"/>
  <c r="A4486" i="1"/>
  <c r="B4486" i="1"/>
  <c r="G4486" i="1"/>
  <c r="K4486" i="1"/>
  <c r="A4487" i="1"/>
  <c r="B4487" i="1"/>
  <c r="G4487" i="1"/>
  <c r="K4487" i="1"/>
  <c r="A4488" i="1"/>
  <c r="B4488" i="1"/>
  <c r="G4488" i="1"/>
  <c r="K4488" i="1"/>
  <c r="A4489" i="1"/>
  <c r="B4489" i="1"/>
  <c r="G4489" i="1"/>
  <c r="K4489" i="1"/>
  <c r="A4490" i="1"/>
  <c r="B4490" i="1"/>
  <c r="G4490" i="1"/>
  <c r="K4490" i="1"/>
  <c r="A4491" i="1"/>
  <c r="B4491" i="1"/>
  <c r="G4491" i="1"/>
  <c r="K4491" i="1"/>
  <c r="A4492" i="1"/>
  <c r="B4492" i="1"/>
  <c r="G4492" i="1"/>
  <c r="K4492" i="1"/>
  <c r="A4493" i="1"/>
  <c r="B4493" i="1"/>
  <c r="G4493" i="1"/>
  <c r="K4493" i="1"/>
  <c r="A4494" i="1"/>
  <c r="B4494" i="1"/>
  <c r="G4494" i="1"/>
  <c r="K4494" i="1"/>
  <c r="A4495" i="1"/>
  <c r="B4495" i="1"/>
  <c r="G4495" i="1"/>
  <c r="K4495" i="1"/>
  <c r="A4496" i="1"/>
  <c r="B4496" i="1"/>
  <c r="G4496" i="1"/>
  <c r="K4496" i="1"/>
  <c r="A4497" i="1"/>
  <c r="B4497" i="1"/>
  <c r="G4497" i="1"/>
  <c r="K4497" i="1"/>
  <c r="A4498" i="1"/>
  <c r="B4498" i="1"/>
  <c r="G4498" i="1"/>
  <c r="K4498" i="1"/>
  <c r="A4499" i="1"/>
  <c r="B4499" i="1"/>
  <c r="G4499" i="1"/>
  <c r="K4499" i="1"/>
  <c r="A4500" i="1"/>
  <c r="B4500" i="1"/>
  <c r="G4500" i="1"/>
  <c r="K4500" i="1"/>
  <c r="A4501" i="1"/>
  <c r="B4501" i="1"/>
  <c r="G4501" i="1"/>
  <c r="K4501" i="1"/>
  <c r="A4502" i="1"/>
  <c r="B4502" i="1"/>
  <c r="G4502" i="1"/>
  <c r="K4502" i="1"/>
  <c r="A4503" i="1"/>
  <c r="B4503" i="1"/>
  <c r="G4503" i="1"/>
  <c r="K4503" i="1"/>
  <c r="A4504" i="1"/>
  <c r="B4504" i="1"/>
  <c r="G4504" i="1"/>
  <c r="K4504" i="1"/>
  <c r="A4505" i="1"/>
  <c r="B4505" i="1"/>
  <c r="G4505" i="1"/>
  <c r="K4505" i="1"/>
  <c r="A4506" i="1"/>
  <c r="B4506" i="1"/>
  <c r="G4506" i="1"/>
  <c r="K4506" i="1"/>
  <c r="A4507" i="1"/>
  <c r="B4507" i="1"/>
  <c r="G4507" i="1"/>
  <c r="K4507" i="1"/>
  <c r="A4508" i="1"/>
  <c r="B4508" i="1"/>
  <c r="G4508" i="1"/>
  <c r="K4508" i="1"/>
  <c r="A4509" i="1"/>
  <c r="B4509" i="1"/>
  <c r="G4509" i="1"/>
  <c r="K4509" i="1"/>
  <c r="A4510" i="1"/>
  <c r="B4510" i="1"/>
  <c r="G4510" i="1"/>
  <c r="K4510" i="1"/>
  <c r="A4511" i="1"/>
  <c r="B4511" i="1"/>
  <c r="G4511" i="1"/>
  <c r="K4511" i="1"/>
  <c r="A4512" i="1"/>
  <c r="B4512" i="1"/>
  <c r="G4512" i="1"/>
  <c r="K4512" i="1"/>
  <c r="A4513" i="1"/>
  <c r="B4513" i="1"/>
  <c r="G4513" i="1"/>
  <c r="K4513" i="1"/>
  <c r="A4514" i="1"/>
  <c r="B4514" i="1"/>
  <c r="G4514" i="1"/>
  <c r="K4514" i="1"/>
  <c r="A4515" i="1"/>
  <c r="B4515" i="1"/>
  <c r="G4515" i="1"/>
  <c r="K4515" i="1"/>
  <c r="A4516" i="1"/>
  <c r="B4516" i="1"/>
  <c r="G4516" i="1"/>
  <c r="K4516" i="1"/>
  <c r="A4517" i="1"/>
  <c r="B4517" i="1"/>
  <c r="G4517" i="1"/>
  <c r="K4517" i="1"/>
  <c r="A4518" i="1"/>
  <c r="B4518" i="1"/>
  <c r="G4518" i="1"/>
  <c r="K4518" i="1"/>
  <c r="A4519" i="1"/>
  <c r="B4519" i="1"/>
  <c r="G4519" i="1"/>
  <c r="K4519" i="1"/>
  <c r="A4520" i="1"/>
  <c r="B4520" i="1"/>
  <c r="G4520" i="1"/>
  <c r="K4520" i="1"/>
  <c r="A4521" i="1"/>
  <c r="B4521" i="1"/>
  <c r="G4521" i="1"/>
  <c r="K4521" i="1"/>
  <c r="A4522" i="1"/>
  <c r="B4522" i="1"/>
  <c r="G4522" i="1"/>
  <c r="K4522" i="1"/>
  <c r="A4523" i="1"/>
  <c r="B4523" i="1"/>
  <c r="G4523" i="1"/>
  <c r="K4523" i="1"/>
  <c r="A4524" i="1"/>
  <c r="B4524" i="1"/>
  <c r="G4524" i="1"/>
  <c r="K4524" i="1"/>
  <c r="A4525" i="1"/>
  <c r="B4525" i="1"/>
  <c r="G4525" i="1"/>
  <c r="K4525" i="1"/>
  <c r="A4526" i="1"/>
  <c r="B4526" i="1"/>
  <c r="G4526" i="1"/>
  <c r="K4526" i="1"/>
  <c r="A4527" i="1"/>
  <c r="B4527" i="1"/>
  <c r="G4527" i="1"/>
  <c r="K4527" i="1"/>
  <c r="A4528" i="1"/>
  <c r="B4528" i="1"/>
  <c r="G4528" i="1"/>
  <c r="K4528" i="1"/>
  <c r="A4529" i="1"/>
  <c r="B4529" i="1"/>
  <c r="G4529" i="1"/>
  <c r="K4529" i="1"/>
  <c r="A4530" i="1"/>
  <c r="B4530" i="1"/>
  <c r="G4530" i="1"/>
  <c r="K4530" i="1"/>
  <c r="A4531" i="1"/>
  <c r="B4531" i="1"/>
  <c r="G4531" i="1"/>
  <c r="K4531" i="1"/>
  <c r="A4532" i="1"/>
  <c r="B4532" i="1"/>
  <c r="G4532" i="1"/>
  <c r="K4532" i="1"/>
  <c r="A4533" i="1"/>
  <c r="B4533" i="1"/>
  <c r="G4533" i="1"/>
  <c r="K4533" i="1"/>
  <c r="A4534" i="1"/>
  <c r="B4534" i="1"/>
  <c r="G4534" i="1"/>
  <c r="K4534" i="1"/>
  <c r="A4535" i="1"/>
  <c r="B4535" i="1"/>
  <c r="G4535" i="1"/>
  <c r="K4535" i="1"/>
  <c r="A4536" i="1"/>
  <c r="B4536" i="1"/>
  <c r="G4536" i="1"/>
  <c r="K4536" i="1"/>
  <c r="A4537" i="1"/>
  <c r="B4537" i="1"/>
  <c r="G4537" i="1"/>
  <c r="K4537" i="1"/>
  <c r="A4538" i="1"/>
  <c r="B4538" i="1"/>
  <c r="G4538" i="1"/>
  <c r="K4538" i="1"/>
  <c r="A4539" i="1"/>
  <c r="B4539" i="1"/>
  <c r="G4539" i="1"/>
  <c r="K4539" i="1"/>
  <c r="A4540" i="1"/>
  <c r="B4540" i="1"/>
  <c r="G4540" i="1"/>
  <c r="K4540" i="1"/>
  <c r="A4541" i="1"/>
  <c r="B4541" i="1"/>
  <c r="G4541" i="1"/>
  <c r="K4541" i="1"/>
  <c r="A4542" i="1"/>
  <c r="B4542" i="1"/>
  <c r="G4542" i="1"/>
  <c r="K4542" i="1"/>
  <c r="A4543" i="1"/>
  <c r="B4543" i="1"/>
  <c r="G4543" i="1"/>
  <c r="K4543" i="1"/>
  <c r="A4544" i="1"/>
  <c r="B4544" i="1"/>
  <c r="G4544" i="1"/>
  <c r="K4544" i="1"/>
  <c r="A4545" i="1"/>
  <c r="B4545" i="1"/>
  <c r="G4545" i="1"/>
  <c r="K4545" i="1"/>
  <c r="A4546" i="1"/>
  <c r="B4546" i="1"/>
  <c r="G4546" i="1"/>
  <c r="K4546" i="1"/>
  <c r="A4547" i="1"/>
  <c r="B4547" i="1"/>
  <c r="G4547" i="1"/>
  <c r="K4547" i="1"/>
  <c r="A4548" i="1"/>
  <c r="B4548" i="1"/>
  <c r="G4548" i="1"/>
  <c r="K4548" i="1"/>
  <c r="A4549" i="1"/>
  <c r="B4549" i="1"/>
  <c r="G4549" i="1"/>
  <c r="K4549" i="1"/>
  <c r="A4550" i="1"/>
  <c r="B4550" i="1"/>
  <c r="G4550" i="1"/>
  <c r="K4550" i="1"/>
  <c r="A4551" i="1"/>
  <c r="B4551" i="1"/>
  <c r="G4551" i="1"/>
  <c r="K4551" i="1"/>
  <c r="A4552" i="1"/>
  <c r="B4552" i="1"/>
  <c r="G4552" i="1"/>
  <c r="K4552" i="1"/>
  <c r="A4553" i="1"/>
  <c r="B4553" i="1"/>
  <c r="G4553" i="1"/>
  <c r="K4553" i="1"/>
  <c r="A4554" i="1"/>
  <c r="B4554" i="1"/>
  <c r="G4554" i="1"/>
  <c r="K4554" i="1"/>
  <c r="A4555" i="1"/>
  <c r="B4555" i="1"/>
  <c r="G4555" i="1"/>
  <c r="K4555" i="1"/>
  <c r="A4556" i="1"/>
  <c r="B4556" i="1"/>
  <c r="G4556" i="1"/>
  <c r="K4556" i="1"/>
  <c r="A4557" i="1"/>
  <c r="B4557" i="1"/>
  <c r="G4557" i="1"/>
  <c r="K4557" i="1"/>
  <c r="A4558" i="1"/>
  <c r="B4558" i="1"/>
  <c r="G4558" i="1"/>
  <c r="K4558" i="1"/>
  <c r="A4559" i="1"/>
  <c r="B4559" i="1"/>
  <c r="G4559" i="1"/>
  <c r="K4559" i="1"/>
  <c r="A4560" i="1"/>
  <c r="B4560" i="1"/>
  <c r="G4560" i="1"/>
  <c r="K4560" i="1"/>
  <c r="A4561" i="1"/>
  <c r="B4561" i="1"/>
  <c r="G4561" i="1"/>
  <c r="K4561" i="1"/>
  <c r="A4562" i="1"/>
  <c r="B4562" i="1"/>
  <c r="G4562" i="1"/>
  <c r="K4562" i="1"/>
  <c r="A4563" i="1"/>
  <c r="B4563" i="1"/>
  <c r="G4563" i="1"/>
  <c r="K4563" i="1"/>
  <c r="A4564" i="1"/>
  <c r="B4564" i="1"/>
  <c r="G4564" i="1"/>
  <c r="K4564" i="1"/>
  <c r="A4565" i="1"/>
  <c r="B4565" i="1"/>
  <c r="G4565" i="1"/>
  <c r="K4565" i="1"/>
  <c r="A4566" i="1"/>
  <c r="B4566" i="1"/>
  <c r="G4566" i="1"/>
  <c r="K4566" i="1"/>
  <c r="A4567" i="1"/>
  <c r="B4567" i="1"/>
  <c r="G4567" i="1"/>
  <c r="K4567" i="1"/>
  <c r="A4568" i="1"/>
  <c r="B4568" i="1"/>
  <c r="G4568" i="1"/>
  <c r="K4568" i="1"/>
  <c r="A4569" i="1"/>
  <c r="B4569" i="1"/>
  <c r="G4569" i="1"/>
  <c r="K4569" i="1"/>
  <c r="A4570" i="1"/>
  <c r="B4570" i="1"/>
  <c r="G4570" i="1"/>
  <c r="K4570" i="1"/>
  <c r="A4571" i="1"/>
  <c r="B4571" i="1"/>
  <c r="G4571" i="1"/>
  <c r="K4571" i="1"/>
  <c r="A4572" i="1"/>
  <c r="B4572" i="1"/>
  <c r="G4572" i="1"/>
  <c r="K4572" i="1"/>
  <c r="A4573" i="1"/>
  <c r="B4573" i="1"/>
  <c r="G4573" i="1"/>
  <c r="K4573" i="1"/>
  <c r="A4574" i="1"/>
  <c r="B4574" i="1"/>
  <c r="G4574" i="1"/>
  <c r="K4574" i="1"/>
  <c r="A4575" i="1"/>
  <c r="B4575" i="1"/>
  <c r="G4575" i="1"/>
  <c r="K4575" i="1"/>
  <c r="A4576" i="1"/>
  <c r="B4576" i="1"/>
  <c r="G4576" i="1"/>
  <c r="K4576" i="1"/>
  <c r="A4577" i="1"/>
  <c r="B4577" i="1"/>
  <c r="G4577" i="1"/>
  <c r="K4577" i="1"/>
  <c r="A4578" i="1"/>
  <c r="B4578" i="1"/>
  <c r="G4578" i="1"/>
  <c r="K4578" i="1"/>
  <c r="A4579" i="1"/>
  <c r="B4579" i="1"/>
  <c r="G4579" i="1"/>
  <c r="K4579" i="1"/>
  <c r="A4580" i="1"/>
  <c r="B4580" i="1"/>
  <c r="G4580" i="1"/>
  <c r="K4580" i="1"/>
  <c r="A4581" i="1"/>
  <c r="B4581" i="1"/>
  <c r="G4581" i="1"/>
  <c r="K4581" i="1"/>
  <c r="A4582" i="1"/>
  <c r="B4582" i="1"/>
  <c r="G4582" i="1"/>
  <c r="K4582" i="1"/>
  <c r="A4583" i="1"/>
  <c r="B4583" i="1"/>
  <c r="G4583" i="1"/>
  <c r="K4583" i="1"/>
  <c r="A4584" i="1"/>
  <c r="B4584" i="1"/>
  <c r="G4584" i="1"/>
  <c r="K4584" i="1"/>
  <c r="A4585" i="1"/>
  <c r="B4585" i="1"/>
  <c r="G4585" i="1"/>
  <c r="K4585" i="1"/>
  <c r="A4586" i="1"/>
  <c r="B4586" i="1"/>
  <c r="G4586" i="1"/>
  <c r="K4586" i="1"/>
  <c r="A4587" i="1"/>
  <c r="B4587" i="1"/>
  <c r="G4587" i="1"/>
  <c r="K4587" i="1"/>
  <c r="A4588" i="1"/>
  <c r="B4588" i="1"/>
  <c r="G4588" i="1"/>
  <c r="K4588" i="1"/>
  <c r="A4589" i="1"/>
  <c r="B4589" i="1"/>
  <c r="G4589" i="1"/>
  <c r="K4589" i="1"/>
  <c r="A4590" i="1"/>
  <c r="B4590" i="1"/>
  <c r="G4590" i="1"/>
  <c r="K4590" i="1"/>
  <c r="A4591" i="1"/>
  <c r="B4591" i="1"/>
  <c r="G4591" i="1"/>
  <c r="K4591" i="1"/>
  <c r="A4592" i="1"/>
  <c r="B4592" i="1"/>
  <c r="G4592" i="1"/>
  <c r="K4592" i="1"/>
  <c r="A4593" i="1"/>
  <c r="B4593" i="1"/>
  <c r="G4593" i="1"/>
  <c r="K4593" i="1"/>
  <c r="A4594" i="1"/>
  <c r="B4594" i="1"/>
  <c r="G4594" i="1"/>
  <c r="K4594" i="1"/>
  <c r="A4595" i="1"/>
  <c r="B4595" i="1"/>
  <c r="G4595" i="1"/>
  <c r="K4595" i="1"/>
  <c r="A4596" i="1"/>
  <c r="B4596" i="1"/>
  <c r="G4596" i="1"/>
  <c r="K4596" i="1"/>
  <c r="A4597" i="1"/>
  <c r="B4597" i="1"/>
  <c r="G4597" i="1"/>
  <c r="K4597" i="1"/>
  <c r="A4598" i="1"/>
  <c r="B4598" i="1"/>
  <c r="G4598" i="1"/>
  <c r="K4598" i="1"/>
  <c r="A4599" i="1"/>
  <c r="B4599" i="1"/>
  <c r="G4599" i="1"/>
  <c r="K4599" i="1"/>
  <c r="A4600" i="1"/>
  <c r="B4600" i="1"/>
  <c r="G4600" i="1"/>
  <c r="K4600" i="1"/>
  <c r="A4601" i="1"/>
  <c r="B4601" i="1"/>
  <c r="G4601" i="1"/>
  <c r="K4601" i="1"/>
  <c r="A4602" i="1"/>
  <c r="B4602" i="1"/>
  <c r="G4602" i="1"/>
  <c r="K4602" i="1"/>
  <c r="A4603" i="1"/>
  <c r="B4603" i="1"/>
  <c r="G4603" i="1"/>
  <c r="K4603" i="1"/>
  <c r="A4604" i="1"/>
  <c r="B4604" i="1"/>
  <c r="G4604" i="1"/>
  <c r="K4604" i="1"/>
  <c r="A4605" i="1"/>
  <c r="B4605" i="1"/>
  <c r="G4605" i="1"/>
  <c r="K4605" i="1"/>
  <c r="A4606" i="1"/>
  <c r="B4606" i="1"/>
  <c r="G4606" i="1"/>
  <c r="K4606" i="1"/>
  <c r="A4607" i="1"/>
  <c r="B4607" i="1"/>
  <c r="G4607" i="1"/>
  <c r="K4607" i="1"/>
  <c r="A4608" i="1"/>
  <c r="B4608" i="1"/>
  <c r="G4608" i="1"/>
  <c r="K4608" i="1"/>
  <c r="A4609" i="1"/>
  <c r="B4609" i="1"/>
  <c r="G4609" i="1"/>
  <c r="K4609" i="1"/>
  <c r="A4610" i="1"/>
  <c r="B4610" i="1"/>
  <c r="G4610" i="1"/>
  <c r="K4610" i="1"/>
  <c r="A4611" i="1"/>
  <c r="B4611" i="1"/>
  <c r="G4611" i="1"/>
  <c r="K4611" i="1"/>
  <c r="A4612" i="1"/>
  <c r="B4612" i="1"/>
  <c r="G4612" i="1"/>
  <c r="K4612" i="1"/>
  <c r="A4613" i="1"/>
  <c r="B4613" i="1"/>
  <c r="G4613" i="1"/>
  <c r="K4613" i="1"/>
  <c r="A4614" i="1"/>
  <c r="B4614" i="1"/>
  <c r="G4614" i="1"/>
  <c r="K4614" i="1"/>
  <c r="A4615" i="1"/>
  <c r="B4615" i="1"/>
  <c r="G4615" i="1"/>
  <c r="K4615" i="1"/>
  <c r="A4616" i="1"/>
  <c r="B4616" i="1"/>
  <c r="G4616" i="1"/>
  <c r="K4616" i="1"/>
  <c r="A4617" i="1"/>
  <c r="B4617" i="1"/>
  <c r="G4617" i="1"/>
  <c r="K4617" i="1"/>
  <c r="A4618" i="1"/>
  <c r="B4618" i="1"/>
  <c r="G4618" i="1"/>
  <c r="K4618" i="1"/>
  <c r="A4619" i="1"/>
  <c r="B4619" i="1"/>
  <c r="G4619" i="1"/>
  <c r="K4619" i="1"/>
  <c r="A4620" i="1"/>
  <c r="B4620" i="1"/>
  <c r="G4620" i="1"/>
  <c r="K4620" i="1"/>
  <c r="A4621" i="1"/>
  <c r="B4621" i="1"/>
  <c r="G4621" i="1"/>
  <c r="K4621" i="1"/>
  <c r="A4622" i="1"/>
  <c r="B4622" i="1"/>
  <c r="G4622" i="1"/>
  <c r="K4622" i="1"/>
  <c r="A4623" i="1"/>
  <c r="B4623" i="1"/>
  <c r="G4623" i="1"/>
  <c r="K4623" i="1"/>
  <c r="A4624" i="1"/>
  <c r="B4624" i="1"/>
  <c r="G4624" i="1"/>
  <c r="K4624" i="1"/>
  <c r="A4625" i="1"/>
  <c r="B4625" i="1"/>
  <c r="G4625" i="1"/>
  <c r="K4625" i="1"/>
  <c r="A4626" i="1"/>
  <c r="B4626" i="1"/>
  <c r="G4626" i="1"/>
  <c r="K4626" i="1"/>
  <c r="A4627" i="1"/>
  <c r="B4627" i="1"/>
  <c r="G4627" i="1"/>
  <c r="K4627" i="1"/>
  <c r="A4628" i="1"/>
  <c r="B4628" i="1"/>
  <c r="G4628" i="1"/>
  <c r="K4628" i="1"/>
  <c r="A4629" i="1"/>
  <c r="B4629" i="1"/>
  <c r="G4629" i="1"/>
  <c r="K4629" i="1"/>
  <c r="A4630" i="1"/>
  <c r="B4630" i="1"/>
  <c r="G4630" i="1"/>
  <c r="K4630" i="1"/>
  <c r="A4631" i="1"/>
  <c r="B4631" i="1"/>
  <c r="G4631" i="1"/>
  <c r="K4631" i="1"/>
  <c r="A4632" i="1"/>
  <c r="B4632" i="1"/>
  <c r="G4632" i="1"/>
  <c r="K4632" i="1"/>
  <c r="A4633" i="1"/>
  <c r="B4633" i="1"/>
  <c r="G4633" i="1"/>
  <c r="K4633" i="1"/>
  <c r="A4634" i="1"/>
  <c r="B4634" i="1"/>
  <c r="G4634" i="1"/>
  <c r="K4634" i="1"/>
  <c r="A4635" i="1"/>
  <c r="B4635" i="1"/>
  <c r="G4635" i="1"/>
  <c r="K4635" i="1"/>
  <c r="A4636" i="1"/>
  <c r="B4636" i="1"/>
  <c r="G4636" i="1"/>
  <c r="K4636" i="1"/>
  <c r="A4637" i="1"/>
  <c r="B4637" i="1"/>
  <c r="G4637" i="1"/>
  <c r="K4637" i="1"/>
  <c r="A4638" i="1"/>
  <c r="B4638" i="1"/>
  <c r="G4638" i="1"/>
  <c r="K4638" i="1"/>
  <c r="A4639" i="1"/>
  <c r="B4639" i="1"/>
  <c r="G4639" i="1"/>
  <c r="K4639" i="1"/>
  <c r="A4640" i="1"/>
  <c r="B4640" i="1"/>
  <c r="G4640" i="1"/>
  <c r="K4640" i="1"/>
  <c r="A4641" i="1"/>
  <c r="B4641" i="1"/>
  <c r="G4641" i="1"/>
  <c r="K4641" i="1"/>
  <c r="A4642" i="1"/>
  <c r="B4642" i="1"/>
  <c r="G4642" i="1"/>
  <c r="K4642" i="1"/>
  <c r="A4643" i="1"/>
  <c r="B4643" i="1"/>
  <c r="G4643" i="1"/>
  <c r="K4643" i="1"/>
  <c r="A4644" i="1"/>
  <c r="B4644" i="1"/>
  <c r="G4644" i="1"/>
  <c r="K4644" i="1"/>
  <c r="A4645" i="1"/>
  <c r="B4645" i="1"/>
  <c r="G4645" i="1"/>
  <c r="K4645" i="1"/>
  <c r="A4646" i="1"/>
  <c r="B4646" i="1"/>
  <c r="G4646" i="1"/>
  <c r="K4646" i="1"/>
  <c r="A4647" i="1"/>
  <c r="B4647" i="1"/>
  <c r="G4647" i="1"/>
  <c r="K4647" i="1"/>
  <c r="A4648" i="1"/>
  <c r="B4648" i="1"/>
  <c r="G4648" i="1"/>
  <c r="K4648" i="1"/>
  <c r="A4649" i="1"/>
  <c r="B4649" i="1"/>
  <c r="G4649" i="1"/>
  <c r="K4649" i="1"/>
  <c r="A4650" i="1"/>
  <c r="B4650" i="1"/>
  <c r="G4650" i="1"/>
  <c r="K4650" i="1"/>
  <c r="A4651" i="1"/>
  <c r="B4651" i="1"/>
  <c r="G4651" i="1"/>
  <c r="K4651" i="1"/>
  <c r="A4652" i="1"/>
  <c r="B4652" i="1"/>
  <c r="G4652" i="1"/>
  <c r="K4652" i="1"/>
  <c r="A4653" i="1"/>
  <c r="B4653" i="1"/>
  <c r="G4653" i="1"/>
  <c r="K4653" i="1"/>
  <c r="A4654" i="1"/>
  <c r="B4654" i="1"/>
  <c r="G4654" i="1"/>
  <c r="K4654" i="1"/>
  <c r="A4655" i="1"/>
  <c r="B4655" i="1"/>
  <c r="G4655" i="1"/>
  <c r="K4655" i="1"/>
  <c r="A4656" i="1"/>
  <c r="B4656" i="1"/>
  <c r="G4656" i="1"/>
  <c r="K4656" i="1"/>
  <c r="A4657" i="1"/>
  <c r="B4657" i="1"/>
  <c r="G4657" i="1"/>
  <c r="K4657" i="1"/>
  <c r="A4658" i="1"/>
  <c r="B4658" i="1"/>
  <c r="G4658" i="1"/>
  <c r="K4658" i="1"/>
  <c r="A4659" i="1"/>
  <c r="B4659" i="1"/>
  <c r="G4659" i="1"/>
  <c r="K4659" i="1"/>
  <c r="A4660" i="1"/>
  <c r="B4660" i="1"/>
  <c r="G4660" i="1"/>
  <c r="K4660" i="1"/>
  <c r="A4661" i="1"/>
  <c r="B4661" i="1"/>
  <c r="G4661" i="1"/>
  <c r="K4661" i="1"/>
  <c r="A4662" i="1"/>
  <c r="B4662" i="1"/>
  <c r="G4662" i="1"/>
  <c r="K4662" i="1"/>
  <c r="A4663" i="1"/>
  <c r="B4663" i="1"/>
  <c r="G4663" i="1"/>
  <c r="K4663" i="1"/>
  <c r="A4664" i="1"/>
  <c r="B4664" i="1"/>
  <c r="G4664" i="1"/>
  <c r="K4664" i="1"/>
  <c r="A4665" i="1"/>
  <c r="B4665" i="1"/>
  <c r="G4665" i="1"/>
  <c r="K4665" i="1"/>
  <c r="A4666" i="1"/>
  <c r="B4666" i="1"/>
  <c r="G4666" i="1"/>
  <c r="K4666" i="1"/>
  <c r="A4667" i="1"/>
  <c r="B4667" i="1"/>
  <c r="G4667" i="1"/>
  <c r="K4667" i="1"/>
  <c r="A4668" i="1"/>
  <c r="B4668" i="1"/>
  <c r="G4668" i="1"/>
  <c r="K4668" i="1"/>
  <c r="A4669" i="1"/>
  <c r="B4669" i="1"/>
  <c r="G4669" i="1"/>
  <c r="K4669" i="1"/>
  <c r="A4670" i="1"/>
  <c r="B4670" i="1"/>
  <c r="G4670" i="1"/>
  <c r="K4670" i="1"/>
  <c r="A4671" i="1"/>
  <c r="B4671" i="1"/>
  <c r="G4671" i="1"/>
  <c r="K4671" i="1"/>
  <c r="A4672" i="1"/>
  <c r="B4672" i="1"/>
  <c r="G4672" i="1"/>
  <c r="K4672" i="1"/>
  <c r="A4673" i="1"/>
  <c r="B4673" i="1"/>
  <c r="G4673" i="1"/>
  <c r="K4673" i="1"/>
  <c r="A4674" i="1"/>
  <c r="B4674" i="1"/>
  <c r="G4674" i="1"/>
  <c r="K4674" i="1"/>
  <c r="A4675" i="1"/>
  <c r="B4675" i="1"/>
  <c r="G4675" i="1"/>
  <c r="K4675" i="1"/>
  <c r="A4676" i="1"/>
  <c r="B4676" i="1"/>
  <c r="G4676" i="1"/>
  <c r="K4676" i="1"/>
  <c r="A4677" i="1"/>
  <c r="B4677" i="1"/>
  <c r="G4677" i="1"/>
  <c r="K4677" i="1"/>
  <c r="A4678" i="1"/>
  <c r="B4678" i="1"/>
  <c r="G4678" i="1"/>
  <c r="K4678" i="1"/>
  <c r="A4679" i="1"/>
  <c r="B4679" i="1"/>
  <c r="G4679" i="1"/>
  <c r="K4679" i="1"/>
  <c r="A4680" i="1"/>
  <c r="B4680" i="1"/>
  <c r="G4680" i="1"/>
  <c r="K4680" i="1"/>
  <c r="A4681" i="1"/>
  <c r="B4681" i="1"/>
  <c r="G4681" i="1"/>
  <c r="K4681" i="1"/>
  <c r="A4682" i="1"/>
  <c r="B4682" i="1"/>
  <c r="G4682" i="1"/>
  <c r="K4682" i="1"/>
  <c r="A4683" i="1"/>
  <c r="B4683" i="1"/>
  <c r="G4683" i="1"/>
  <c r="K4683" i="1"/>
  <c r="A4684" i="1"/>
  <c r="B4684" i="1"/>
  <c r="G4684" i="1"/>
  <c r="K4684" i="1"/>
  <c r="A4685" i="1"/>
  <c r="B4685" i="1"/>
  <c r="G4685" i="1"/>
  <c r="K4685" i="1"/>
  <c r="A4686" i="1"/>
  <c r="B4686" i="1"/>
  <c r="G4686" i="1"/>
  <c r="K4686" i="1"/>
  <c r="A4687" i="1"/>
  <c r="B4687" i="1"/>
  <c r="G4687" i="1"/>
  <c r="K4687" i="1"/>
  <c r="A4688" i="1"/>
  <c r="B4688" i="1"/>
  <c r="G4688" i="1"/>
  <c r="K4688" i="1"/>
  <c r="A4689" i="1"/>
  <c r="B4689" i="1"/>
  <c r="G4689" i="1"/>
  <c r="K4689" i="1"/>
  <c r="A4690" i="1"/>
  <c r="B4690" i="1"/>
  <c r="G4690" i="1"/>
  <c r="K4690" i="1"/>
  <c r="A4691" i="1"/>
  <c r="B4691" i="1"/>
  <c r="G4691" i="1"/>
  <c r="K4691" i="1"/>
  <c r="A4692" i="1"/>
  <c r="B4692" i="1"/>
  <c r="G4692" i="1"/>
  <c r="K4692" i="1"/>
  <c r="A4693" i="1"/>
  <c r="B4693" i="1"/>
  <c r="G4693" i="1"/>
  <c r="K4693" i="1"/>
  <c r="A4694" i="1"/>
  <c r="B4694" i="1"/>
  <c r="G4694" i="1"/>
  <c r="K4694" i="1"/>
  <c r="A4695" i="1"/>
  <c r="B4695" i="1"/>
  <c r="G4695" i="1"/>
  <c r="K4695" i="1"/>
  <c r="A4696" i="1"/>
  <c r="B4696" i="1"/>
  <c r="G4696" i="1"/>
  <c r="K4696" i="1"/>
  <c r="A4697" i="1"/>
  <c r="B4697" i="1"/>
  <c r="G4697" i="1"/>
  <c r="K4697" i="1"/>
  <c r="A4698" i="1"/>
  <c r="B4698" i="1"/>
  <c r="G4698" i="1"/>
  <c r="K4698" i="1"/>
  <c r="A4699" i="1"/>
  <c r="B4699" i="1"/>
  <c r="G4699" i="1"/>
  <c r="K4699" i="1"/>
  <c r="A4700" i="1"/>
  <c r="B4700" i="1"/>
  <c r="G4700" i="1"/>
  <c r="K4700" i="1"/>
  <c r="A4701" i="1"/>
  <c r="B4701" i="1"/>
  <c r="G4701" i="1"/>
  <c r="K4701" i="1"/>
  <c r="A4702" i="1"/>
  <c r="B4702" i="1"/>
  <c r="G4702" i="1"/>
  <c r="K4702" i="1"/>
  <c r="A4703" i="1"/>
  <c r="B4703" i="1"/>
  <c r="G4703" i="1"/>
  <c r="K4703" i="1"/>
  <c r="A4704" i="1"/>
  <c r="B4704" i="1"/>
  <c r="G4704" i="1"/>
  <c r="K4704" i="1"/>
  <c r="A4705" i="1"/>
  <c r="B4705" i="1"/>
  <c r="G4705" i="1"/>
  <c r="K4705" i="1"/>
  <c r="A4706" i="1"/>
  <c r="B4706" i="1"/>
  <c r="G4706" i="1"/>
  <c r="K4706" i="1"/>
  <c r="A4707" i="1"/>
  <c r="B4707" i="1"/>
  <c r="G4707" i="1"/>
  <c r="K4707" i="1"/>
  <c r="A4708" i="1"/>
  <c r="B4708" i="1"/>
  <c r="G4708" i="1"/>
  <c r="K4708" i="1"/>
  <c r="A4709" i="1"/>
  <c r="B4709" i="1"/>
  <c r="G4709" i="1"/>
  <c r="K4709" i="1"/>
  <c r="A4710" i="1"/>
  <c r="B4710" i="1"/>
  <c r="G4710" i="1"/>
  <c r="K4710" i="1"/>
  <c r="A4711" i="1"/>
  <c r="B4711" i="1"/>
  <c r="G4711" i="1"/>
  <c r="K4711" i="1"/>
  <c r="A4712" i="1"/>
  <c r="B4712" i="1"/>
  <c r="G4712" i="1"/>
  <c r="K4712" i="1"/>
  <c r="A4713" i="1"/>
  <c r="B4713" i="1"/>
  <c r="G4713" i="1"/>
  <c r="K4713" i="1"/>
  <c r="A4714" i="1"/>
  <c r="B4714" i="1"/>
  <c r="G4714" i="1"/>
  <c r="K4714" i="1"/>
  <c r="A4715" i="1"/>
  <c r="B4715" i="1"/>
  <c r="G4715" i="1"/>
  <c r="K4715" i="1"/>
  <c r="A4716" i="1"/>
  <c r="B4716" i="1"/>
  <c r="G4716" i="1"/>
  <c r="K4716" i="1"/>
  <c r="A4717" i="1"/>
  <c r="B4717" i="1"/>
  <c r="G4717" i="1"/>
  <c r="K4717" i="1"/>
  <c r="A4718" i="1"/>
  <c r="B4718" i="1"/>
  <c r="G4718" i="1"/>
  <c r="K4718" i="1"/>
  <c r="A4719" i="1"/>
  <c r="B4719" i="1"/>
  <c r="G4719" i="1"/>
  <c r="K4719" i="1"/>
  <c r="A4720" i="1"/>
  <c r="B4720" i="1"/>
  <c r="G4720" i="1"/>
  <c r="K4720" i="1"/>
  <c r="A4721" i="1"/>
  <c r="B4721" i="1"/>
  <c r="G4721" i="1"/>
  <c r="K4721" i="1"/>
  <c r="A4722" i="1"/>
  <c r="B4722" i="1"/>
  <c r="G4722" i="1"/>
  <c r="K4722" i="1"/>
  <c r="A4723" i="1"/>
  <c r="B4723" i="1"/>
  <c r="G4723" i="1"/>
  <c r="K4723" i="1"/>
  <c r="A4724" i="1"/>
  <c r="B4724" i="1"/>
  <c r="G4724" i="1"/>
  <c r="K4724" i="1"/>
  <c r="A4725" i="1"/>
  <c r="B4725" i="1"/>
  <c r="G4725" i="1"/>
  <c r="K4725" i="1"/>
  <c r="A4726" i="1"/>
  <c r="B4726" i="1"/>
  <c r="G4726" i="1"/>
  <c r="K4726" i="1"/>
  <c r="A4727" i="1"/>
  <c r="B4727" i="1"/>
  <c r="G4727" i="1"/>
  <c r="K4727" i="1"/>
  <c r="A4728" i="1"/>
  <c r="B4728" i="1"/>
  <c r="G4728" i="1"/>
  <c r="K4728" i="1"/>
  <c r="A4729" i="1"/>
  <c r="B4729" i="1"/>
  <c r="G4729" i="1"/>
  <c r="K4729" i="1"/>
  <c r="A4730" i="1"/>
  <c r="B4730" i="1"/>
  <c r="G4730" i="1"/>
  <c r="K4730" i="1"/>
  <c r="A4731" i="1"/>
  <c r="B4731" i="1"/>
  <c r="G4731" i="1"/>
  <c r="K4731" i="1"/>
  <c r="A4732" i="1"/>
  <c r="B4732" i="1"/>
  <c r="G4732" i="1"/>
  <c r="K4732" i="1"/>
  <c r="A4733" i="1"/>
  <c r="B4733" i="1"/>
  <c r="G4733" i="1"/>
  <c r="K4733" i="1"/>
  <c r="A4734" i="1"/>
  <c r="B4734" i="1"/>
  <c r="G4734" i="1"/>
  <c r="K4734" i="1"/>
  <c r="A4735" i="1"/>
  <c r="B4735" i="1"/>
  <c r="G4735" i="1"/>
  <c r="K4735" i="1"/>
  <c r="A4736" i="1"/>
  <c r="B4736" i="1"/>
  <c r="G4736" i="1"/>
  <c r="K4736" i="1"/>
  <c r="A4737" i="1"/>
  <c r="B4737" i="1"/>
  <c r="G4737" i="1"/>
  <c r="K4737" i="1"/>
  <c r="A4738" i="1"/>
  <c r="B4738" i="1"/>
  <c r="G4738" i="1"/>
  <c r="K4738" i="1"/>
  <c r="A4739" i="1"/>
  <c r="B4739" i="1"/>
  <c r="G4739" i="1"/>
  <c r="K4739" i="1"/>
  <c r="A4740" i="1"/>
  <c r="B4740" i="1"/>
  <c r="G4740" i="1"/>
  <c r="K4740" i="1"/>
  <c r="A4741" i="1"/>
  <c r="B4741" i="1"/>
  <c r="G4741" i="1"/>
  <c r="K4741" i="1"/>
  <c r="A4742" i="1"/>
  <c r="B4742" i="1"/>
  <c r="G4742" i="1"/>
  <c r="K4742" i="1"/>
  <c r="A4743" i="1"/>
  <c r="B4743" i="1"/>
  <c r="G4743" i="1"/>
  <c r="K4743" i="1"/>
  <c r="A4744" i="1"/>
  <c r="B4744" i="1"/>
  <c r="G4744" i="1"/>
  <c r="K4744" i="1"/>
  <c r="A4745" i="1"/>
  <c r="B4745" i="1"/>
  <c r="G4745" i="1"/>
  <c r="K4745" i="1"/>
  <c r="A4746" i="1"/>
  <c r="B4746" i="1"/>
  <c r="G4746" i="1"/>
  <c r="K4746" i="1"/>
  <c r="A4747" i="1"/>
  <c r="B4747" i="1"/>
  <c r="G4747" i="1"/>
  <c r="K4747" i="1"/>
  <c r="A4748" i="1"/>
  <c r="B4748" i="1"/>
  <c r="G4748" i="1"/>
  <c r="K4748" i="1"/>
  <c r="A4749" i="1"/>
  <c r="B4749" i="1"/>
  <c r="G4749" i="1"/>
  <c r="K4749" i="1"/>
  <c r="A4750" i="1"/>
  <c r="B4750" i="1"/>
  <c r="G4750" i="1"/>
  <c r="K4750" i="1"/>
  <c r="A4751" i="1"/>
  <c r="B4751" i="1"/>
  <c r="G4751" i="1"/>
  <c r="K4751" i="1"/>
  <c r="A4752" i="1"/>
  <c r="B4752" i="1"/>
  <c r="G4752" i="1"/>
  <c r="K4752" i="1"/>
  <c r="A4753" i="1"/>
  <c r="B4753" i="1"/>
  <c r="G4753" i="1"/>
  <c r="K4753" i="1"/>
  <c r="A4754" i="1"/>
  <c r="B4754" i="1"/>
  <c r="G4754" i="1"/>
  <c r="K4754" i="1"/>
  <c r="A4755" i="1"/>
  <c r="B4755" i="1"/>
  <c r="G4755" i="1"/>
  <c r="K4755" i="1"/>
  <c r="A4756" i="1"/>
  <c r="B4756" i="1"/>
  <c r="G4756" i="1"/>
  <c r="K4756" i="1"/>
  <c r="A4757" i="1"/>
  <c r="B4757" i="1"/>
  <c r="G4757" i="1"/>
  <c r="K4757" i="1"/>
  <c r="A4758" i="1"/>
  <c r="B4758" i="1"/>
  <c r="G4758" i="1"/>
  <c r="K4758" i="1"/>
  <c r="A4759" i="1"/>
  <c r="B4759" i="1"/>
  <c r="G4759" i="1"/>
  <c r="K4759" i="1"/>
  <c r="A4760" i="1"/>
  <c r="B4760" i="1"/>
  <c r="G4760" i="1"/>
  <c r="K4760" i="1"/>
  <c r="A4761" i="1"/>
  <c r="B4761" i="1"/>
  <c r="G4761" i="1"/>
  <c r="K4761" i="1"/>
  <c r="A4762" i="1"/>
  <c r="B4762" i="1"/>
  <c r="G4762" i="1"/>
  <c r="K4762" i="1"/>
  <c r="A4763" i="1"/>
  <c r="B4763" i="1"/>
  <c r="G4763" i="1"/>
  <c r="K4763" i="1"/>
  <c r="A4764" i="1"/>
  <c r="B4764" i="1"/>
  <c r="G4764" i="1"/>
  <c r="K4764" i="1"/>
  <c r="A4765" i="1"/>
  <c r="B4765" i="1"/>
  <c r="G4765" i="1"/>
  <c r="K4765" i="1"/>
  <c r="A4766" i="1"/>
  <c r="B4766" i="1"/>
  <c r="G4766" i="1"/>
  <c r="K4766" i="1"/>
  <c r="A4767" i="1"/>
  <c r="B4767" i="1"/>
  <c r="G4767" i="1"/>
  <c r="K4767" i="1"/>
  <c r="A4768" i="1"/>
  <c r="B4768" i="1"/>
  <c r="G4768" i="1"/>
  <c r="K4768" i="1"/>
  <c r="A4769" i="1"/>
  <c r="B4769" i="1"/>
  <c r="G4769" i="1"/>
  <c r="K4769" i="1"/>
  <c r="A4770" i="1"/>
  <c r="B4770" i="1"/>
  <c r="G4770" i="1"/>
  <c r="K4770" i="1"/>
  <c r="A4771" i="1"/>
  <c r="B4771" i="1"/>
  <c r="G4771" i="1"/>
  <c r="K4771" i="1"/>
  <c r="A4772" i="1"/>
  <c r="B4772" i="1"/>
  <c r="G4772" i="1"/>
  <c r="K4772" i="1"/>
  <c r="A4773" i="1"/>
  <c r="B4773" i="1"/>
  <c r="G4773" i="1"/>
  <c r="K4773" i="1"/>
  <c r="A4774" i="1"/>
  <c r="B4774" i="1"/>
  <c r="G4774" i="1"/>
  <c r="K4774" i="1"/>
  <c r="A4775" i="1"/>
  <c r="B4775" i="1"/>
  <c r="G4775" i="1"/>
  <c r="K4775" i="1"/>
  <c r="A4776" i="1"/>
  <c r="B4776" i="1"/>
  <c r="G4776" i="1"/>
  <c r="K4776" i="1"/>
  <c r="A4777" i="1"/>
  <c r="B4777" i="1"/>
  <c r="G4777" i="1"/>
  <c r="K4777" i="1"/>
  <c r="A4778" i="1"/>
  <c r="B4778" i="1"/>
  <c r="G4778" i="1"/>
  <c r="K4778" i="1"/>
  <c r="A4779" i="1"/>
  <c r="B4779" i="1"/>
  <c r="G4779" i="1"/>
  <c r="K4779" i="1"/>
  <c r="A4780" i="1"/>
  <c r="B4780" i="1"/>
  <c r="G4780" i="1"/>
  <c r="K4780" i="1"/>
  <c r="A4781" i="1"/>
  <c r="B4781" i="1"/>
  <c r="G4781" i="1"/>
  <c r="K4781" i="1"/>
  <c r="A4782" i="1"/>
  <c r="B4782" i="1"/>
  <c r="G4782" i="1"/>
  <c r="K4782" i="1"/>
  <c r="A4783" i="1"/>
  <c r="B4783" i="1"/>
  <c r="G4783" i="1"/>
  <c r="K4783" i="1"/>
  <c r="A4784" i="1"/>
  <c r="B4784" i="1"/>
  <c r="G4784" i="1"/>
  <c r="K4784" i="1"/>
  <c r="A4785" i="1"/>
  <c r="B4785" i="1"/>
  <c r="G4785" i="1"/>
  <c r="K4785" i="1"/>
  <c r="A4786" i="1"/>
  <c r="B4786" i="1"/>
  <c r="G4786" i="1"/>
  <c r="K4786" i="1"/>
  <c r="A4787" i="1"/>
  <c r="B4787" i="1"/>
  <c r="G4787" i="1"/>
  <c r="K4787" i="1"/>
  <c r="A4788" i="1"/>
  <c r="B4788" i="1"/>
  <c r="G4788" i="1"/>
  <c r="K4788" i="1"/>
  <c r="A4789" i="1"/>
  <c r="B4789" i="1"/>
  <c r="G4789" i="1"/>
  <c r="K4789" i="1"/>
  <c r="A4790" i="1"/>
  <c r="B4790" i="1"/>
  <c r="G4790" i="1"/>
  <c r="K4790" i="1"/>
  <c r="A4791" i="1"/>
  <c r="B4791" i="1"/>
  <c r="G4791" i="1"/>
  <c r="K4791" i="1"/>
  <c r="A4792" i="1"/>
  <c r="B4792" i="1"/>
  <c r="G4792" i="1"/>
  <c r="K4792" i="1"/>
  <c r="A4793" i="1"/>
  <c r="B4793" i="1"/>
  <c r="G4793" i="1"/>
  <c r="K4793" i="1"/>
  <c r="A4794" i="1"/>
  <c r="B4794" i="1"/>
  <c r="G4794" i="1"/>
  <c r="K4794" i="1"/>
  <c r="A4795" i="1"/>
  <c r="B4795" i="1"/>
  <c r="G4795" i="1"/>
  <c r="K4795" i="1"/>
  <c r="A4796" i="1"/>
  <c r="B4796" i="1"/>
  <c r="G4796" i="1"/>
  <c r="K4796" i="1"/>
  <c r="A4797" i="1"/>
  <c r="B4797" i="1"/>
  <c r="G4797" i="1"/>
  <c r="K4797" i="1"/>
  <c r="A4798" i="1"/>
  <c r="B4798" i="1"/>
  <c r="G4798" i="1"/>
  <c r="K4798" i="1"/>
  <c r="A4799" i="1"/>
  <c r="B4799" i="1"/>
  <c r="G4799" i="1"/>
  <c r="K4799" i="1"/>
  <c r="A4800" i="1"/>
  <c r="B4800" i="1"/>
  <c r="G4800" i="1"/>
  <c r="K4800" i="1"/>
  <c r="A4801" i="1"/>
  <c r="B4801" i="1"/>
  <c r="G4801" i="1"/>
  <c r="K4801" i="1"/>
  <c r="A4802" i="1"/>
  <c r="B4802" i="1"/>
  <c r="G4802" i="1"/>
  <c r="K4802" i="1"/>
  <c r="A4803" i="1"/>
  <c r="B4803" i="1"/>
  <c r="G4803" i="1"/>
  <c r="K4803" i="1"/>
  <c r="A4804" i="1"/>
  <c r="B4804" i="1"/>
  <c r="G4804" i="1"/>
  <c r="K4804" i="1"/>
  <c r="A4805" i="1"/>
  <c r="B4805" i="1"/>
  <c r="G4805" i="1"/>
  <c r="K4805" i="1"/>
  <c r="A4806" i="1"/>
  <c r="B4806" i="1"/>
  <c r="G4806" i="1"/>
  <c r="K4806" i="1"/>
  <c r="A4807" i="1"/>
  <c r="B4807" i="1"/>
  <c r="G4807" i="1"/>
  <c r="K4807" i="1"/>
  <c r="A4808" i="1"/>
  <c r="B4808" i="1"/>
  <c r="G4808" i="1"/>
  <c r="K4808" i="1"/>
  <c r="A4809" i="1"/>
  <c r="B4809" i="1"/>
  <c r="G4809" i="1"/>
  <c r="K4809" i="1"/>
  <c r="A4810" i="1"/>
  <c r="B4810" i="1"/>
  <c r="G4810" i="1"/>
  <c r="K4810" i="1"/>
  <c r="A4811" i="1"/>
  <c r="B4811" i="1"/>
  <c r="G4811" i="1"/>
  <c r="K4811" i="1"/>
  <c r="A4812" i="1"/>
  <c r="B4812" i="1"/>
  <c r="G4812" i="1"/>
  <c r="K4812" i="1"/>
  <c r="A4813" i="1"/>
  <c r="B4813" i="1"/>
  <c r="G4813" i="1"/>
  <c r="K4813" i="1"/>
  <c r="A4814" i="1"/>
  <c r="B4814" i="1"/>
  <c r="G4814" i="1"/>
  <c r="K4814" i="1"/>
  <c r="A4815" i="1"/>
  <c r="B4815" i="1"/>
  <c r="G4815" i="1"/>
  <c r="K4815" i="1"/>
  <c r="A4816" i="1"/>
  <c r="B4816" i="1"/>
  <c r="G4816" i="1"/>
  <c r="K4816" i="1"/>
  <c r="A4817" i="1"/>
  <c r="B4817" i="1"/>
  <c r="G4817" i="1"/>
  <c r="K4817" i="1"/>
  <c r="A4818" i="1"/>
  <c r="B4818" i="1"/>
  <c r="G4818" i="1"/>
  <c r="K4818" i="1"/>
  <c r="A4819" i="1"/>
  <c r="B4819" i="1"/>
  <c r="G4819" i="1"/>
  <c r="K4819" i="1"/>
  <c r="A4820" i="1"/>
  <c r="B4820" i="1"/>
  <c r="G4820" i="1"/>
  <c r="K4820" i="1"/>
  <c r="A4821" i="1"/>
  <c r="B4821" i="1"/>
  <c r="G4821" i="1"/>
  <c r="K4821" i="1"/>
  <c r="A4822" i="1"/>
  <c r="B4822" i="1"/>
  <c r="G4822" i="1"/>
  <c r="K4822" i="1"/>
  <c r="A4823" i="1"/>
  <c r="B4823" i="1"/>
  <c r="G4823" i="1"/>
  <c r="K4823" i="1"/>
  <c r="A4824" i="1"/>
  <c r="B4824" i="1"/>
  <c r="G4824" i="1"/>
  <c r="K4824" i="1"/>
  <c r="A4825" i="1"/>
  <c r="B4825" i="1"/>
  <c r="G4825" i="1"/>
  <c r="K4825" i="1"/>
  <c r="A4826" i="1"/>
  <c r="B4826" i="1"/>
  <c r="G4826" i="1"/>
  <c r="K4826" i="1"/>
  <c r="A4827" i="1"/>
  <c r="B4827" i="1"/>
  <c r="G4827" i="1"/>
  <c r="K4827" i="1"/>
  <c r="A4828" i="1"/>
  <c r="B4828" i="1"/>
  <c r="G4828" i="1"/>
  <c r="K4828" i="1"/>
  <c r="A4829" i="1"/>
  <c r="B4829" i="1"/>
  <c r="G4829" i="1"/>
  <c r="K4829" i="1"/>
  <c r="A4830" i="1"/>
  <c r="B4830" i="1"/>
  <c r="G4830" i="1"/>
  <c r="K4830" i="1"/>
  <c r="A4831" i="1"/>
  <c r="B4831" i="1"/>
  <c r="G4831" i="1"/>
  <c r="K4831" i="1"/>
  <c r="A4832" i="1"/>
  <c r="B4832" i="1"/>
  <c r="G4832" i="1"/>
  <c r="K4832" i="1"/>
  <c r="A4833" i="1"/>
  <c r="B4833" i="1"/>
  <c r="G4833" i="1"/>
  <c r="K4833" i="1"/>
  <c r="A4834" i="1"/>
  <c r="B4834" i="1"/>
  <c r="G4834" i="1"/>
  <c r="K4834" i="1"/>
  <c r="A4835" i="1"/>
  <c r="B4835" i="1"/>
  <c r="G4835" i="1"/>
  <c r="K4835" i="1"/>
  <c r="A4836" i="1"/>
  <c r="B4836" i="1"/>
  <c r="G4836" i="1"/>
  <c r="K4836" i="1"/>
  <c r="A4837" i="1"/>
  <c r="B4837" i="1"/>
  <c r="G4837" i="1"/>
  <c r="K4837" i="1"/>
  <c r="A4838" i="1"/>
  <c r="B4838" i="1"/>
  <c r="G4838" i="1"/>
  <c r="K4838" i="1"/>
  <c r="A4839" i="1"/>
  <c r="B4839" i="1"/>
  <c r="G4839" i="1"/>
  <c r="K4839" i="1"/>
  <c r="A4840" i="1"/>
  <c r="B4840" i="1"/>
  <c r="G4840" i="1"/>
  <c r="K4840" i="1"/>
  <c r="A4841" i="1"/>
  <c r="B4841" i="1"/>
  <c r="G4841" i="1"/>
  <c r="K4841" i="1"/>
  <c r="A4842" i="1"/>
  <c r="B4842" i="1"/>
  <c r="G4842" i="1"/>
  <c r="K4842" i="1"/>
  <c r="A4843" i="1"/>
  <c r="B4843" i="1"/>
  <c r="G4843" i="1"/>
  <c r="K4843" i="1"/>
  <c r="A4844" i="1"/>
  <c r="B4844" i="1"/>
  <c r="G4844" i="1"/>
  <c r="K4844" i="1"/>
  <c r="A4845" i="1"/>
  <c r="B4845" i="1"/>
  <c r="G4845" i="1"/>
  <c r="K4845" i="1"/>
  <c r="A4846" i="1"/>
  <c r="B4846" i="1"/>
  <c r="G4846" i="1"/>
  <c r="K4846" i="1"/>
  <c r="A4847" i="1"/>
  <c r="B4847" i="1"/>
  <c r="G4847" i="1"/>
  <c r="K4847" i="1"/>
  <c r="A4848" i="1"/>
  <c r="B4848" i="1"/>
  <c r="G4848" i="1"/>
  <c r="K4848" i="1"/>
  <c r="A4849" i="1"/>
  <c r="B4849" i="1"/>
  <c r="G4849" i="1"/>
  <c r="K4849" i="1"/>
  <c r="A4850" i="1"/>
  <c r="B4850" i="1"/>
  <c r="G4850" i="1"/>
  <c r="K4850" i="1"/>
  <c r="A4851" i="1"/>
  <c r="B4851" i="1"/>
  <c r="G4851" i="1"/>
  <c r="K4851" i="1"/>
  <c r="A4852" i="1"/>
  <c r="B4852" i="1"/>
  <c r="G4852" i="1"/>
  <c r="K4852" i="1"/>
  <c r="A4853" i="1"/>
  <c r="B4853" i="1"/>
  <c r="G4853" i="1"/>
  <c r="K4853" i="1"/>
  <c r="A4854" i="1"/>
  <c r="B4854" i="1"/>
  <c r="G4854" i="1"/>
  <c r="K4854" i="1"/>
  <c r="A4855" i="1"/>
  <c r="B4855" i="1"/>
  <c r="G4855" i="1"/>
  <c r="K4855" i="1"/>
  <c r="A4856" i="1"/>
  <c r="B4856" i="1"/>
  <c r="G4856" i="1"/>
  <c r="K4856" i="1"/>
  <c r="A4857" i="1"/>
  <c r="B4857" i="1"/>
  <c r="G4857" i="1"/>
  <c r="K4857" i="1"/>
  <c r="A4858" i="1"/>
  <c r="B4858" i="1"/>
  <c r="G4858" i="1"/>
  <c r="K4858" i="1"/>
  <c r="A4859" i="1"/>
  <c r="B4859" i="1"/>
  <c r="G4859" i="1"/>
  <c r="K4859" i="1"/>
  <c r="A4860" i="1"/>
  <c r="B4860" i="1"/>
  <c r="G4860" i="1"/>
  <c r="K4860" i="1"/>
  <c r="A4861" i="1"/>
  <c r="B4861" i="1"/>
  <c r="G4861" i="1"/>
  <c r="K4861" i="1"/>
  <c r="A4862" i="1"/>
  <c r="B4862" i="1"/>
  <c r="G4862" i="1"/>
  <c r="K4862" i="1"/>
  <c r="A4863" i="1"/>
  <c r="B4863" i="1"/>
  <c r="G4863" i="1"/>
  <c r="K4863" i="1"/>
  <c r="A4864" i="1"/>
  <c r="B4864" i="1"/>
  <c r="G4864" i="1"/>
  <c r="K4864" i="1"/>
  <c r="A4865" i="1"/>
  <c r="B4865" i="1"/>
  <c r="G4865" i="1"/>
  <c r="K4865" i="1"/>
  <c r="A4866" i="1"/>
  <c r="B4866" i="1"/>
  <c r="G4866" i="1"/>
  <c r="K4866" i="1"/>
  <c r="A4867" i="1"/>
  <c r="B4867" i="1"/>
  <c r="G4867" i="1"/>
  <c r="K4867" i="1"/>
  <c r="A4868" i="1"/>
  <c r="B4868" i="1"/>
  <c r="G4868" i="1"/>
  <c r="K4868" i="1"/>
  <c r="A4869" i="1"/>
  <c r="B4869" i="1"/>
  <c r="G4869" i="1"/>
  <c r="K4869" i="1"/>
  <c r="A4870" i="1"/>
  <c r="B4870" i="1"/>
  <c r="G4870" i="1"/>
  <c r="K4870" i="1"/>
  <c r="A4871" i="1"/>
  <c r="B4871" i="1"/>
  <c r="G4871" i="1"/>
  <c r="K4871" i="1"/>
  <c r="A4872" i="1"/>
  <c r="B4872" i="1"/>
  <c r="G4872" i="1"/>
  <c r="K4872" i="1"/>
  <c r="A4873" i="1"/>
  <c r="B4873" i="1"/>
  <c r="G4873" i="1"/>
  <c r="K4873" i="1"/>
  <c r="A4874" i="1"/>
  <c r="B4874" i="1"/>
  <c r="G4874" i="1"/>
  <c r="K4874" i="1"/>
  <c r="A4875" i="1"/>
  <c r="B4875" i="1"/>
  <c r="G4875" i="1"/>
  <c r="K4875" i="1"/>
  <c r="A4876" i="1"/>
  <c r="B4876" i="1"/>
  <c r="G4876" i="1"/>
  <c r="K4876" i="1"/>
  <c r="A4877" i="1"/>
  <c r="B4877" i="1"/>
  <c r="G4877" i="1"/>
  <c r="K4877" i="1"/>
  <c r="A4878" i="1"/>
  <c r="B4878" i="1"/>
  <c r="G4878" i="1"/>
  <c r="K4878" i="1"/>
  <c r="A4879" i="1"/>
  <c r="B4879" i="1"/>
  <c r="G4879" i="1"/>
  <c r="K4879" i="1"/>
  <c r="A4880" i="1"/>
  <c r="B4880" i="1"/>
  <c r="G4880" i="1"/>
  <c r="K4880" i="1"/>
  <c r="A4881" i="1"/>
  <c r="B4881" i="1"/>
  <c r="G4881" i="1"/>
  <c r="K4881" i="1"/>
  <c r="A4882" i="1"/>
  <c r="B4882" i="1"/>
  <c r="G4882" i="1"/>
  <c r="K4882" i="1"/>
  <c r="A4883" i="1"/>
  <c r="B4883" i="1"/>
  <c r="G4883" i="1"/>
  <c r="K4883" i="1"/>
  <c r="A4884" i="1"/>
  <c r="B4884" i="1"/>
  <c r="G4884" i="1"/>
  <c r="K4884" i="1"/>
  <c r="A4885" i="1"/>
  <c r="B4885" i="1"/>
  <c r="G4885" i="1"/>
  <c r="K4885" i="1"/>
  <c r="A4886" i="1"/>
  <c r="B4886" i="1"/>
  <c r="G4886" i="1"/>
  <c r="K4886" i="1"/>
  <c r="A4887" i="1"/>
  <c r="B4887" i="1"/>
  <c r="G4887" i="1"/>
  <c r="K4887" i="1"/>
  <c r="A4888" i="1"/>
  <c r="B4888" i="1"/>
  <c r="G4888" i="1"/>
  <c r="K4888" i="1"/>
  <c r="A4889" i="1"/>
  <c r="B4889" i="1"/>
  <c r="G4889" i="1"/>
  <c r="K4889" i="1"/>
  <c r="A4890" i="1"/>
  <c r="B4890" i="1"/>
  <c r="G4890" i="1"/>
  <c r="K4890" i="1"/>
  <c r="A4891" i="1"/>
  <c r="B4891" i="1"/>
  <c r="G4891" i="1"/>
  <c r="K4891" i="1"/>
  <c r="A4892" i="1"/>
  <c r="B4892" i="1"/>
  <c r="G4892" i="1"/>
  <c r="K4892" i="1"/>
  <c r="A4893" i="1"/>
  <c r="B4893" i="1"/>
  <c r="G4893" i="1"/>
  <c r="K4893" i="1"/>
  <c r="A4894" i="1"/>
  <c r="B4894" i="1"/>
  <c r="G4894" i="1"/>
  <c r="K4894" i="1"/>
  <c r="A4895" i="1"/>
  <c r="B4895" i="1"/>
  <c r="G4895" i="1"/>
  <c r="K4895" i="1"/>
  <c r="A4896" i="1"/>
  <c r="B4896" i="1"/>
  <c r="G4896" i="1"/>
  <c r="K4896" i="1"/>
  <c r="A4897" i="1"/>
  <c r="B4897" i="1"/>
  <c r="G4897" i="1"/>
  <c r="K4897" i="1"/>
  <c r="A4898" i="1"/>
  <c r="B4898" i="1"/>
  <c r="G4898" i="1"/>
  <c r="K4898" i="1"/>
  <c r="A4899" i="1"/>
  <c r="B4899" i="1"/>
  <c r="G4899" i="1"/>
  <c r="K4899" i="1"/>
  <c r="A4900" i="1"/>
  <c r="B4900" i="1"/>
  <c r="G4900" i="1"/>
  <c r="K4900" i="1"/>
  <c r="A4901" i="1"/>
  <c r="B4901" i="1"/>
  <c r="G4901" i="1"/>
  <c r="K4901" i="1"/>
  <c r="A4902" i="1"/>
  <c r="B4902" i="1"/>
  <c r="G4902" i="1"/>
  <c r="K4902" i="1"/>
  <c r="A4903" i="1"/>
  <c r="B4903" i="1"/>
  <c r="G4903" i="1"/>
  <c r="K4903" i="1"/>
  <c r="A4904" i="1"/>
  <c r="B4904" i="1"/>
  <c r="G4904" i="1"/>
  <c r="K4904" i="1"/>
  <c r="A4905" i="1"/>
  <c r="B4905" i="1"/>
  <c r="G4905" i="1"/>
  <c r="K4905" i="1"/>
  <c r="A4906" i="1"/>
  <c r="B4906" i="1"/>
  <c r="G4906" i="1"/>
  <c r="K4906" i="1"/>
  <c r="A4907" i="1"/>
  <c r="B4907" i="1"/>
  <c r="G4907" i="1"/>
  <c r="K4907" i="1"/>
  <c r="A4908" i="1"/>
  <c r="B4908" i="1"/>
  <c r="G4908" i="1"/>
  <c r="K4908" i="1"/>
  <c r="A4909" i="1"/>
  <c r="B4909" i="1"/>
  <c r="G4909" i="1"/>
  <c r="K4909" i="1"/>
  <c r="A4910" i="1"/>
  <c r="B4910" i="1"/>
  <c r="G4910" i="1"/>
  <c r="K4910" i="1"/>
  <c r="A4911" i="1"/>
  <c r="B4911" i="1"/>
  <c r="G4911" i="1"/>
  <c r="K4911" i="1"/>
  <c r="A4912" i="1"/>
  <c r="B4912" i="1"/>
  <c r="G4912" i="1"/>
  <c r="K4912" i="1"/>
  <c r="A4913" i="1"/>
  <c r="B4913" i="1"/>
  <c r="G4913" i="1"/>
  <c r="K4913" i="1"/>
  <c r="A4914" i="1"/>
  <c r="B4914" i="1"/>
  <c r="G4914" i="1"/>
  <c r="K4914" i="1"/>
  <c r="A4915" i="1"/>
  <c r="B4915" i="1"/>
  <c r="G4915" i="1"/>
  <c r="K4915" i="1"/>
  <c r="A4916" i="1"/>
  <c r="B4916" i="1"/>
  <c r="G4916" i="1"/>
  <c r="K4916" i="1"/>
  <c r="A4917" i="1"/>
  <c r="B4917" i="1"/>
  <c r="G4917" i="1"/>
  <c r="K4917" i="1"/>
  <c r="A4918" i="1"/>
  <c r="B4918" i="1"/>
  <c r="G4918" i="1"/>
  <c r="K4918" i="1"/>
  <c r="A4919" i="1"/>
  <c r="B4919" i="1"/>
  <c r="G4919" i="1"/>
  <c r="K4919" i="1"/>
  <c r="A4920" i="1"/>
  <c r="B4920" i="1"/>
  <c r="G4920" i="1"/>
  <c r="K4920" i="1"/>
  <c r="A4921" i="1"/>
  <c r="B4921" i="1"/>
  <c r="G4921" i="1"/>
  <c r="K4921" i="1"/>
  <c r="A4922" i="1"/>
  <c r="B4922" i="1"/>
  <c r="G4922" i="1"/>
  <c r="K4922" i="1"/>
  <c r="A4923" i="1"/>
  <c r="B4923" i="1"/>
  <c r="G4923" i="1"/>
  <c r="K4923" i="1"/>
  <c r="A4924" i="1"/>
  <c r="B4924" i="1"/>
  <c r="G4924" i="1"/>
  <c r="K4924" i="1"/>
  <c r="A4925" i="1"/>
  <c r="B4925" i="1"/>
  <c r="G4925" i="1"/>
  <c r="K4925" i="1"/>
  <c r="A4926" i="1"/>
  <c r="B4926" i="1"/>
  <c r="G4926" i="1"/>
  <c r="K4926" i="1"/>
  <c r="A4927" i="1"/>
  <c r="B4927" i="1"/>
  <c r="G4927" i="1"/>
  <c r="K4927" i="1"/>
  <c r="A4928" i="1"/>
  <c r="B4928" i="1"/>
  <c r="G4928" i="1"/>
  <c r="K4928" i="1"/>
  <c r="A4929" i="1"/>
  <c r="B4929" i="1"/>
  <c r="G4929" i="1"/>
  <c r="K4929" i="1"/>
  <c r="A4930" i="1"/>
  <c r="B4930" i="1"/>
  <c r="G4930" i="1"/>
  <c r="K4930" i="1"/>
  <c r="A4931" i="1"/>
  <c r="B4931" i="1"/>
  <c r="G4931" i="1"/>
  <c r="K4931" i="1"/>
  <c r="A4932" i="1"/>
  <c r="B4932" i="1"/>
  <c r="G4932" i="1"/>
  <c r="K4932" i="1"/>
  <c r="A4933" i="1"/>
  <c r="B4933" i="1"/>
  <c r="G4933" i="1"/>
  <c r="K4933" i="1"/>
  <c r="A4934" i="1"/>
  <c r="B4934" i="1"/>
  <c r="G4934" i="1"/>
  <c r="K4934" i="1"/>
  <c r="A4935" i="1"/>
  <c r="B4935" i="1"/>
  <c r="G4935" i="1"/>
  <c r="K4935" i="1"/>
  <c r="A4936" i="1"/>
  <c r="B4936" i="1"/>
  <c r="G4936" i="1"/>
  <c r="K4936" i="1"/>
  <c r="A4937" i="1"/>
  <c r="B4937" i="1"/>
  <c r="G4937" i="1"/>
  <c r="K4937" i="1"/>
  <c r="A4938" i="1"/>
  <c r="B4938" i="1"/>
  <c r="G4938" i="1"/>
  <c r="K4938" i="1"/>
  <c r="A4939" i="1"/>
  <c r="B4939" i="1"/>
  <c r="G4939" i="1"/>
  <c r="K4939" i="1"/>
  <c r="A4940" i="1"/>
  <c r="B4940" i="1"/>
  <c r="G4940" i="1"/>
  <c r="K4940" i="1"/>
  <c r="A4941" i="1"/>
  <c r="B4941" i="1"/>
  <c r="G4941" i="1"/>
  <c r="K4941" i="1"/>
  <c r="A4942" i="1"/>
  <c r="B4942" i="1"/>
  <c r="G4942" i="1"/>
  <c r="K4942" i="1"/>
  <c r="A4943" i="1"/>
  <c r="B4943" i="1"/>
  <c r="G4943" i="1"/>
  <c r="K4943" i="1"/>
  <c r="A4944" i="1"/>
  <c r="B4944" i="1"/>
  <c r="G4944" i="1"/>
  <c r="K4944" i="1"/>
  <c r="A4945" i="1"/>
  <c r="B4945" i="1"/>
  <c r="G4945" i="1"/>
  <c r="K4945" i="1"/>
  <c r="A4946" i="1"/>
  <c r="B4946" i="1"/>
  <c r="G4946" i="1"/>
  <c r="K4946" i="1"/>
  <c r="A4947" i="1"/>
  <c r="B4947" i="1"/>
  <c r="G4947" i="1"/>
  <c r="K4947" i="1"/>
  <c r="A4948" i="1"/>
  <c r="B4948" i="1"/>
  <c r="G4948" i="1"/>
  <c r="K4948" i="1"/>
  <c r="A4949" i="1"/>
  <c r="B4949" i="1"/>
  <c r="G4949" i="1"/>
  <c r="K4949" i="1"/>
  <c r="A4950" i="1"/>
  <c r="B4950" i="1"/>
  <c r="G4950" i="1"/>
  <c r="K4950" i="1"/>
  <c r="A4951" i="1"/>
  <c r="B4951" i="1"/>
  <c r="G4951" i="1"/>
  <c r="K4951" i="1"/>
  <c r="A4952" i="1"/>
  <c r="B4952" i="1"/>
  <c r="G4952" i="1"/>
  <c r="K4952" i="1"/>
  <c r="A4953" i="1"/>
  <c r="B4953" i="1"/>
  <c r="G4953" i="1"/>
  <c r="K4953" i="1"/>
  <c r="A4954" i="1"/>
  <c r="B4954" i="1"/>
  <c r="G4954" i="1"/>
  <c r="K4954" i="1"/>
  <c r="A4955" i="1"/>
  <c r="B4955" i="1"/>
  <c r="G4955" i="1"/>
  <c r="K4955" i="1"/>
  <c r="A4956" i="1"/>
  <c r="B4956" i="1"/>
  <c r="G4956" i="1"/>
  <c r="K4956" i="1"/>
  <c r="A4957" i="1"/>
  <c r="B4957" i="1"/>
  <c r="G4957" i="1"/>
  <c r="K4957" i="1"/>
  <c r="A4958" i="1"/>
  <c r="B4958" i="1"/>
  <c r="G4958" i="1"/>
  <c r="K4958" i="1"/>
  <c r="A4959" i="1"/>
  <c r="B4959" i="1"/>
  <c r="G4959" i="1"/>
  <c r="K4959" i="1"/>
  <c r="A4960" i="1"/>
  <c r="B4960" i="1"/>
  <c r="G4960" i="1"/>
  <c r="K4960" i="1"/>
  <c r="A4961" i="1"/>
  <c r="B4961" i="1"/>
  <c r="G4961" i="1"/>
  <c r="K4961" i="1"/>
  <c r="A4962" i="1"/>
  <c r="B4962" i="1"/>
  <c r="G4962" i="1"/>
  <c r="K4962" i="1"/>
  <c r="A4963" i="1"/>
  <c r="B4963" i="1"/>
  <c r="G4963" i="1"/>
  <c r="K4963" i="1"/>
  <c r="A4964" i="1"/>
  <c r="B4964" i="1"/>
  <c r="G4964" i="1"/>
  <c r="K4964" i="1"/>
  <c r="A4965" i="1"/>
  <c r="B4965" i="1"/>
  <c r="G4965" i="1"/>
  <c r="K4965" i="1"/>
  <c r="A4966" i="1"/>
  <c r="B4966" i="1"/>
  <c r="G4966" i="1"/>
  <c r="K4966" i="1"/>
  <c r="A4967" i="1"/>
  <c r="B4967" i="1"/>
  <c r="G4967" i="1"/>
  <c r="K4967" i="1"/>
  <c r="A4968" i="1"/>
  <c r="B4968" i="1"/>
  <c r="G4968" i="1"/>
  <c r="K4968" i="1"/>
  <c r="A4969" i="1"/>
  <c r="B4969" i="1"/>
  <c r="G4969" i="1"/>
  <c r="K4969" i="1"/>
  <c r="A4970" i="1"/>
  <c r="B4970" i="1"/>
  <c r="G4970" i="1"/>
  <c r="K4970" i="1"/>
  <c r="A4971" i="1"/>
  <c r="B4971" i="1"/>
  <c r="G4971" i="1"/>
  <c r="K4971" i="1"/>
  <c r="A4972" i="1"/>
  <c r="B4972" i="1"/>
  <c r="G4972" i="1"/>
  <c r="K4972" i="1"/>
  <c r="A4973" i="1"/>
  <c r="B4973" i="1"/>
  <c r="G4973" i="1"/>
  <c r="K4973" i="1"/>
  <c r="A4974" i="1"/>
  <c r="B4974" i="1"/>
  <c r="G4974" i="1"/>
  <c r="K4974" i="1"/>
  <c r="A4975" i="1"/>
  <c r="B4975" i="1"/>
  <c r="G4975" i="1"/>
  <c r="K4975" i="1"/>
  <c r="A4976" i="1"/>
  <c r="B4976" i="1"/>
  <c r="G4976" i="1"/>
  <c r="K4976" i="1"/>
  <c r="A4977" i="1"/>
  <c r="B4977" i="1"/>
  <c r="G4977" i="1"/>
  <c r="K4977" i="1"/>
  <c r="A4978" i="1"/>
  <c r="B4978" i="1"/>
  <c r="G4978" i="1"/>
  <c r="K4978" i="1"/>
  <c r="A4979" i="1"/>
  <c r="B4979" i="1"/>
  <c r="G4979" i="1"/>
  <c r="K4979" i="1"/>
  <c r="A4980" i="1"/>
  <c r="B4980" i="1"/>
  <c r="G4980" i="1"/>
  <c r="K4980" i="1"/>
  <c r="A4981" i="1"/>
  <c r="B4981" i="1"/>
  <c r="G4981" i="1"/>
  <c r="K4981" i="1"/>
  <c r="A4982" i="1"/>
  <c r="B4982" i="1"/>
  <c r="G4982" i="1"/>
  <c r="K4982" i="1"/>
  <c r="A4983" i="1"/>
  <c r="B4983" i="1"/>
  <c r="G4983" i="1"/>
  <c r="K4983" i="1"/>
  <c r="A4984" i="1"/>
  <c r="B4984" i="1"/>
  <c r="G4984" i="1"/>
  <c r="K4984" i="1"/>
  <c r="A4985" i="1"/>
  <c r="B4985" i="1"/>
  <c r="G4985" i="1"/>
  <c r="K4985" i="1"/>
  <c r="A4986" i="1"/>
  <c r="B4986" i="1"/>
  <c r="G4986" i="1"/>
  <c r="K4986" i="1"/>
  <c r="A4987" i="1"/>
  <c r="B4987" i="1"/>
  <c r="G4987" i="1"/>
  <c r="K4987" i="1"/>
  <c r="A4988" i="1"/>
  <c r="B4988" i="1"/>
  <c r="G4988" i="1"/>
  <c r="K4988" i="1"/>
  <c r="A4989" i="1"/>
  <c r="B4989" i="1"/>
  <c r="G4989" i="1"/>
  <c r="K4989" i="1"/>
  <c r="A4990" i="1"/>
  <c r="B4990" i="1"/>
  <c r="G4990" i="1"/>
  <c r="K4990" i="1"/>
  <c r="A4991" i="1"/>
  <c r="B4991" i="1"/>
  <c r="G4991" i="1"/>
  <c r="K4991" i="1"/>
  <c r="A4992" i="1"/>
  <c r="B4992" i="1"/>
  <c r="G4992" i="1"/>
  <c r="K4992" i="1"/>
  <c r="A4993" i="1"/>
  <c r="B4993" i="1"/>
  <c r="G4993" i="1"/>
  <c r="K4993" i="1"/>
  <c r="A4994" i="1"/>
  <c r="B4994" i="1"/>
  <c r="G4994" i="1"/>
  <c r="K4994" i="1"/>
  <c r="A4995" i="1"/>
  <c r="B4995" i="1"/>
  <c r="G4995" i="1"/>
  <c r="K4995" i="1"/>
  <c r="A4996" i="1"/>
  <c r="B4996" i="1"/>
  <c r="G4996" i="1"/>
  <c r="K4996" i="1"/>
  <c r="A4997" i="1"/>
  <c r="B4997" i="1"/>
  <c r="G4997" i="1"/>
  <c r="K4997" i="1"/>
  <c r="A4998" i="1"/>
  <c r="B4998" i="1"/>
  <c r="G4998" i="1"/>
  <c r="K4998" i="1"/>
  <c r="A4999" i="1"/>
  <c r="B4999" i="1"/>
  <c r="G4999" i="1"/>
  <c r="K4999" i="1"/>
  <c r="A5000" i="1"/>
  <c r="B5000" i="1"/>
  <c r="G5000" i="1"/>
  <c r="K5000" i="1"/>
  <c r="A5001" i="1"/>
  <c r="B5001" i="1"/>
  <c r="G5001" i="1"/>
  <c r="K5001" i="1"/>
  <c r="A5002" i="1"/>
  <c r="B5002" i="1"/>
  <c r="G5002" i="1"/>
  <c r="K5002" i="1"/>
  <c r="A5003" i="1"/>
  <c r="B5003" i="1"/>
  <c r="G5003" i="1"/>
  <c r="K5003" i="1"/>
  <c r="A5004" i="1"/>
  <c r="B5004" i="1"/>
  <c r="G5004" i="1"/>
  <c r="K5004" i="1"/>
  <c r="A5005" i="1"/>
  <c r="B5005" i="1"/>
  <c r="G5005" i="1"/>
  <c r="K5005" i="1"/>
  <c r="A5006" i="1"/>
  <c r="B5006" i="1"/>
  <c r="G5006" i="1"/>
  <c r="K5006" i="1"/>
  <c r="A5007" i="1"/>
  <c r="B5007" i="1"/>
  <c r="G5007" i="1"/>
  <c r="K5007" i="1"/>
  <c r="A5008" i="1"/>
  <c r="B5008" i="1"/>
  <c r="G5008" i="1"/>
  <c r="K5008" i="1"/>
  <c r="A5009" i="1"/>
  <c r="B5009" i="1"/>
  <c r="G5009" i="1"/>
  <c r="K5009" i="1"/>
  <c r="A5010" i="1"/>
  <c r="B5010" i="1"/>
  <c r="G5010" i="1"/>
  <c r="K5010" i="1"/>
  <c r="A5011" i="1"/>
  <c r="B5011" i="1"/>
  <c r="G5011" i="1"/>
  <c r="K5011" i="1"/>
  <c r="A5012" i="1"/>
  <c r="B5012" i="1"/>
  <c r="G5012" i="1"/>
  <c r="K5012" i="1"/>
  <c r="A5013" i="1"/>
  <c r="B5013" i="1"/>
  <c r="G5013" i="1"/>
  <c r="K5013" i="1"/>
  <c r="A5014" i="1"/>
  <c r="B5014" i="1"/>
  <c r="G5014" i="1"/>
  <c r="K5014" i="1"/>
  <c r="A5015" i="1"/>
  <c r="B5015" i="1"/>
  <c r="G5015" i="1"/>
  <c r="K5015" i="1"/>
  <c r="A5016" i="1"/>
  <c r="B5016" i="1"/>
  <c r="G5016" i="1"/>
  <c r="K5016" i="1"/>
  <c r="A5017" i="1"/>
  <c r="B5017" i="1"/>
  <c r="G5017" i="1"/>
  <c r="K5017" i="1"/>
  <c r="A5018" i="1"/>
  <c r="B5018" i="1"/>
  <c r="G5018" i="1"/>
  <c r="K5018" i="1"/>
  <c r="A5019" i="1"/>
  <c r="B5019" i="1"/>
  <c r="G5019" i="1"/>
  <c r="K5019" i="1"/>
  <c r="A5020" i="1"/>
  <c r="B5020" i="1"/>
  <c r="G5020" i="1"/>
  <c r="K5020" i="1"/>
  <c r="A5021" i="1"/>
  <c r="B5021" i="1"/>
  <c r="G5021" i="1"/>
  <c r="K5021" i="1"/>
  <c r="A5022" i="1"/>
  <c r="B5022" i="1"/>
  <c r="G5022" i="1"/>
  <c r="K5022" i="1"/>
  <c r="A5023" i="1"/>
  <c r="B5023" i="1"/>
  <c r="G5023" i="1"/>
  <c r="K5023" i="1"/>
  <c r="A5024" i="1"/>
  <c r="B5024" i="1"/>
  <c r="G5024" i="1"/>
  <c r="K5024" i="1"/>
  <c r="A5025" i="1"/>
  <c r="B5025" i="1"/>
  <c r="G5025" i="1"/>
  <c r="K5025" i="1"/>
  <c r="A5026" i="1"/>
  <c r="B5026" i="1"/>
  <c r="G5026" i="1"/>
  <c r="K5026" i="1"/>
  <c r="A5027" i="1"/>
  <c r="B5027" i="1"/>
  <c r="G5027" i="1"/>
  <c r="K5027" i="1"/>
  <c r="A5028" i="1"/>
  <c r="B5028" i="1"/>
  <c r="G5028" i="1"/>
  <c r="K5028" i="1"/>
  <c r="A5029" i="1"/>
  <c r="B5029" i="1"/>
  <c r="G5029" i="1"/>
  <c r="K5029" i="1"/>
  <c r="A5030" i="1"/>
  <c r="B5030" i="1"/>
  <c r="G5030" i="1"/>
  <c r="K5030" i="1"/>
  <c r="A5031" i="1"/>
  <c r="B5031" i="1"/>
  <c r="G5031" i="1"/>
  <c r="K5031" i="1"/>
  <c r="A5032" i="1"/>
  <c r="B5032" i="1"/>
  <c r="G5032" i="1"/>
  <c r="K5032" i="1"/>
  <c r="A5033" i="1"/>
  <c r="B5033" i="1"/>
  <c r="G5033" i="1"/>
  <c r="K5033" i="1"/>
  <c r="A5034" i="1"/>
  <c r="B5034" i="1"/>
  <c r="G5034" i="1"/>
  <c r="K5034" i="1"/>
  <c r="A5035" i="1"/>
  <c r="B5035" i="1"/>
  <c r="G5035" i="1"/>
  <c r="K5035" i="1"/>
  <c r="A5036" i="1"/>
  <c r="B5036" i="1"/>
  <c r="G5036" i="1"/>
  <c r="K5036" i="1"/>
  <c r="A5037" i="1"/>
  <c r="B5037" i="1"/>
  <c r="G5037" i="1"/>
  <c r="K5037" i="1"/>
  <c r="A5038" i="1"/>
  <c r="B5038" i="1"/>
  <c r="G5038" i="1"/>
  <c r="K5038" i="1"/>
  <c r="A5039" i="1"/>
  <c r="B5039" i="1"/>
  <c r="G5039" i="1"/>
  <c r="K5039" i="1"/>
  <c r="A5040" i="1"/>
  <c r="B5040" i="1"/>
  <c r="G5040" i="1"/>
  <c r="K5040" i="1"/>
  <c r="A5041" i="1"/>
  <c r="B5041" i="1"/>
  <c r="G5041" i="1"/>
  <c r="K5041" i="1"/>
  <c r="A5042" i="1"/>
  <c r="B5042" i="1"/>
  <c r="G5042" i="1"/>
  <c r="K5042" i="1"/>
  <c r="A5043" i="1"/>
  <c r="B5043" i="1"/>
  <c r="G5043" i="1"/>
  <c r="K5043" i="1"/>
  <c r="A5044" i="1"/>
  <c r="B5044" i="1"/>
  <c r="G5044" i="1"/>
  <c r="K5044" i="1"/>
  <c r="A5045" i="1"/>
  <c r="B5045" i="1"/>
  <c r="G5045" i="1"/>
  <c r="K5045" i="1"/>
  <c r="A5046" i="1"/>
  <c r="B5046" i="1"/>
  <c r="G5046" i="1"/>
  <c r="K5046" i="1"/>
  <c r="A5047" i="1"/>
  <c r="B5047" i="1"/>
  <c r="G5047" i="1"/>
  <c r="K5047" i="1"/>
  <c r="A5048" i="1"/>
  <c r="B5048" i="1"/>
  <c r="G5048" i="1"/>
  <c r="K5048" i="1"/>
  <c r="A5049" i="1"/>
  <c r="B5049" i="1"/>
  <c r="G5049" i="1"/>
  <c r="K5049" i="1"/>
  <c r="A5050" i="1"/>
  <c r="B5050" i="1"/>
  <c r="G5050" i="1"/>
  <c r="K5050" i="1"/>
  <c r="A5051" i="1"/>
  <c r="B5051" i="1"/>
  <c r="G5051" i="1"/>
  <c r="K5051" i="1"/>
  <c r="A5052" i="1"/>
  <c r="B5052" i="1"/>
  <c r="G5052" i="1"/>
  <c r="K5052" i="1"/>
  <c r="A5053" i="1"/>
  <c r="B5053" i="1"/>
  <c r="G5053" i="1"/>
  <c r="K5053" i="1"/>
  <c r="A5054" i="1"/>
  <c r="B5054" i="1"/>
  <c r="G5054" i="1"/>
  <c r="K5054" i="1"/>
  <c r="A5055" i="1"/>
  <c r="B5055" i="1"/>
  <c r="G5055" i="1"/>
  <c r="K5055" i="1"/>
  <c r="A5056" i="1"/>
  <c r="B5056" i="1"/>
  <c r="G5056" i="1"/>
  <c r="K5056" i="1"/>
  <c r="A5057" i="1"/>
  <c r="B5057" i="1"/>
  <c r="G5057" i="1"/>
  <c r="K5057" i="1"/>
  <c r="A5058" i="1"/>
  <c r="B5058" i="1"/>
  <c r="G5058" i="1"/>
  <c r="K5058" i="1"/>
  <c r="A5059" i="1"/>
  <c r="B5059" i="1"/>
  <c r="G5059" i="1"/>
  <c r="K5059" i="1"/>
  <c r="A5060" i="1"/>
  <c r="B5060" i="1"/>
  <c r="G5060" i="1"/>
  <c r="K5060" i="1"/>
  <c r="A5061" i="1"/>
  <c r="B5061" i="1"/>
  <c r="G5061" i="1"/>
  <c r="K5061" i="1"/>
  <c r="A5062" i="1"/>
  <c r="B5062" i="1"/>
  <c r="G5062" i="1"/>
  <c r="K5062" i="1"/>
  <c r="A5063" i="1"/>
  <c r="B5063" i="1"/>
  <c r="G5063" i="1"/>
  <c r="K5063" i="1"/>
  <c r="A5064" i="1"/>
  <c r="B5064" i="1"/>
  <c r="G5064" i="1"/>
  <c r="K5064" i="1"/>
  <c r="A5065" i="1"/>
  <c r="B5065" i="1"/>
  <c r="G5065" i="1"/>
  <c r="K5065" i="1"/>
  <c r="A5066" i="1"/>
  <c r="B5066" i="1"/>
  <c r="G5066" i="1"/>
  <c r="K5066" i="1"/>
  <c r="A5067" i="1"/>
  <c r="B5067" i="1"/>
  <c r="G5067" i="1"/>
  <c r="K5067" i="1"/>
  <c r="A5068" i="1"/>
  <c r="B5068" i="1"/>
  <c r="G5068" i="1"/>
  <c r="K5068" i="1"/>
  <c r="A5069" i="1"/>
  <c r="B5069" i="1"/>
  <c r="G5069" i="1"/>
  <c r="K5069" i="1"/>
  <c r="A5070" i="1"/>
  <c r="B5070" i="1"/>
  <c r="G5070" i="1"/>
  <c r="K5070" i="1"/>
  <c r="A5071" i="1"/>
  <c r="B5071" i="1"/>
  <c r="G5071" i="1"/>
  <c r="K5071" i="1"/>
  <c r="A5072" i="1"/>
  <c r="B5072" i="1"/>
  <c r="G5072" i="1"/>
  <c r="K5072" i="1"/>
  <c r="A5073" i="1"/>
  <c r="B5073" i="1"/>
  <c r="G5073" i="1"/>
  <c r="K5073" i="1"/>
  <c r="A5074" i="1"/>
  <c r="B5074" i="1"/>
  <c r="G5074" i="1"/>
  <c r="K5074" i="1"/>
  <c r="A5075" i="1"/>
  <c r="B5075" i="1"/>
  <c r="G5075" i="1"/>
  <c r="K5075" i="1"/>
  <c r="A5076" i="1"/>
  <c r="B5076" i="1"/>
  <c r="G5076" i="1"/>
  <c r="K5076" i="1"/>
  <c r="A5077" i="1"/>
  <c r="B5077" i="1"/>
  <c r="G5077" i="1"/>
  <c r="K5077" i="1"/>
  <c r="A5078" i="1"/>
  <c r="B5078" i="1"/>
  <c r="G5078" i="1"/>
  <c r="K5078" i="1"/>
  <c r="A5079" i="1"/>
  <c r="B5079" i="1"/>
  <c r="G5079" i="1"/>
  <c r="K5079" i="1"/>
  <c r="A5080" i="1"/>
  <c r="B5080" i="1"/>
  <c r="G5080" i="1"/>
  <c r="K5080" i="1"/>
  <c r="A5081" i="1"/>
  <c r="B5081" i="1"/>
  <c r="G5081" i="1"/>
  <c r="K5081" i="1"/>
  <c r="A5082" i="1"/>
  <c r="B5082" i="1"/>
  <c r="G5082" i="1"/>
  <c r="K5082" i="1"/>
  <c r="A5083" i="1"/>
  <c r="B5083" i="1"/>
  <c r="G5083" i="1"/>
  <c r="K5083" i="1"/>
  <c r="A5084" i="1"/>
  <c r="B5084" i="1"/>
  <c r="G5084" i="1"/>
  <c r="K5084" i="1"/>
  <c r="A5085" i="1"/>
  <c r="B5085" i="1"/>
  <c r="G5085" i="1"/>
  <c r="K5085" i="1"/>
  <c r="A5086" i="1"/>
  <c r="B5086" i="1"/>
  <c r="G5086" i="1"/>
  <c r="K5086" i="1"/>
  <c r="A5087" i="1"/>
  <c r="B5087" i="1"/>
  <c r="G5087" i="1"/>
  <c r="K5087" i="1"/>
  <c r="A5088" i="1"/>
  <c r="B5088" i="1"/>
  <c r="G5088" i="1"/>
  <c r="K5088" i="1"/>
  <c r="A5089" i="1"/>
  <c r="B5089" i="1"/>
  <c r="G5089" i="1"/>
  <c r="K5089" i="1"/>
  <c r="A5090" i="1"/>
  <c r="B5090" i="1"/>
  <c r="G5090" i="1"/>
  <c r="K5090" i="1"/>
  <c r="A5091" i="1"/>
  <c r="B5091" i="1"/>
  <c r="G5091" i="1"/>
  <c r="K5091" i="1"/>
  <c r="A5092" i="1"/>
  <c r="B5092" i="1"/>
  <c r="G5092" i="1"/>
  <c r="K5092" i="1"/>
  <c r="A5093" i="1"/>
  <c r="B5093" i="1"/>
  <c r="G5093" i="1"/>
  <c r="K5093" i="1"/>
  <c r="A5094" i="1"/>
  <c r="B5094" i="1"/>
  <c r="G5094" i="1"/>
  <c r="K5094" i="1"/>
  <c r="A5095" i="1"/>
  <c r="B5095" i="1"/>
  <c r="G5095" i="1"/>
  <c r="K5095" i="1"/>
  <c r="A5096" i="1"/>
  <c r="B5096" i="1"/>
  <c r="G5096" i="1"/>
  <c r="K5096" i="1"/>
  <c r="A5097" i="1"/>
  <c r="B5097" i="1"/>
  <c r="G5097" i="1"/>
  <c r="K5097" i="1"/>
  <c r="A5098" i="1"/>
  <c r="B5098" i="1"/>
  <c r="G5098" i="1"/>
  <c r="K5098" i="1"/>
  <c r="A5099" i="1"/>
  <c r="B5099" i="1"/>
  <c r="G5099" i="1"/>
  <c r="K5099" i="1"/>
  <c r="A5100" i="1"/>
  <c r="B5100" i="1"/>
  <c r="G5100" i="1"/>
  <c r="K5100" i="1"/>
  <c r="A5101" i="1"/>
  <c r="B5101" i="1"/>
  <c r="G5101" i="1"/>
  <c r="K5101" i="1"/>
  <c r="A5102" i="1"/>
  <c r="B5102" i="1"/>
  <c r="G5102" i="1"/>
  <c r="K5102" i="1"/>
  <c r="A5103" i="1"/>
  <c r="B5103" i="1"/>
  <c r="G5103" i="1"/>
  <c r="K5103" i="1"/>
  <c r="A5104" i="1"/>
  <c r="B5104" i="1"/>
  <c r="G5104" i="1"/>
  <c r="K5104" i="1"/>
  <c r="A5105" i="1"/>
  <c r="B5105" i="1"/>
  <c r="G5105" i="1"/>
  <c r="K5105" i="1"/>
  <c r="A5106" i="1"/>
  <c r="B5106" i="1"/>
  <c r="G5106" i="1"/>
  <c r="K5106" i="1"/>
  <c r="A5107" i="1"/>
  <c r="B5107" i="1"/>
  <c r="G5107" i="1"/>
  <c r="K5107" i="1"/>
  <c r="A5108" i="1"/>
  <c r="B5108" i="1"/>
  <c r="G5108" i="1"/>
  <c r="K5108" i="1"/>
  <c r="A5109" i="1"/>
  <c r="B5109" i="1"/>
  <c r="G5109" i="1"/>
  <c r="K5109" i="1"/>
  <c r="A5110" i="1"/>
  <c r="B5110" i="1"/>
  <c r="G5110" i="1"/>
  <c r="K5110" i="1"/>
  <c r="A5111" i="1"/>
  <c r="B5111" i="1"/>
  <c r="G5111" i="1"/>
  <c r="K5111" i="1"/>
  <c r="A5112" i="1"/>
  <c r="B5112" i="1"/>
  <c r="G5112" i="1"/>
  <c r="K5112" i="1"/>
  <c r="A5113" i="1"/>
  <c r="B5113" i="1"/>
  <c r="G5113" i="1"/>
  <c r="K5113" i="1"/>
  <c r="A5114" i="1"/>
  <c r="B5114" i="1"/>
  <c r="G5114" i="1"/>
  <c r="K5114" i="1"/>
  <c r="A5115" i="1"/>
  <c r="B5115" i="1"/>
  <c r="G5115" i="1"/>
  <c r="K5115" i="1"/>
  <c r="A5116" i="1"/>
  <c r="B5116" i="1"/>
  <c r="G5116" i="1"/>
  <c r="K5116" i="1"/>
  <c r="A5117" i="1"/>
  <c r="B5117" i="1"/>
  <c r="G5117" i="1"/>
  <c r="K5117" i="1"/>
  <c r="A5118" i="1"/>
  <c r="B5118" i="1"/>
  <c r="G5118" i="1"/>
  <c r="K5118" i="1"/>
  <c r="A5119" i="1"/>
  <c r="B5119" i="1"/>
  <c r="G5119" i="1"/>
  <c r="K5119" i="1"/>
  <c r="A5120" i="1"/>
  <c r="B5120" i="1"/>
  <c r="G5120" i="1"/>
  <c r="K5120" i="1"/>
  <c r="A5121" i="1"/>
  <c r="B5121" i="1"/>
  <c r="G5121" i="1"/>
  <c r="K5121" i="1"/>
  <c r="A5122" i="1"/>
  <c r="B5122" i="1"/>
  <c r="G5122" i="1"/>
  <c r="K5122" i="1"/>
  <c r="A5123" i="1"/>
  <c r="B5123" i="1"/>
  <c r="G5123" i="1"/>
  <c r="K5123" i="1"/>
  <c r="A5124" i="1"/>
  <c r="B5124" i="1"/>
  <c r="G5124" i="1"/>
  <c r="K5124" i="1"/>
  <c r="A5125" i="1"/>
  <c r="B5125" i="1"/>
  <c r="G5125" i="1"/>
  <c r="K5125" i="1"/>
  <c r="A5126" i="1"/>
  <c r="B5126" i="1"/>
  <c r="G5126" i="1"/>
  <c r="K5126" i="1"/>
  <c r="A5127" i="1"/>
  <c r="B5127" i="1"/>
  <c r="G5127" i="1"/>
  <c r="K5127" i="1"/>
  <c r="A5128" i="1"/>
  <c r="B5128" i="1"/>
  <c r="G5128" i="1"/>
  <c r="K5128" i="1"/>
  <c r="A5129" i="1"/>
  <c r="B5129" i="1"/>
  <c r="G5129" i="1"/>
  <c r="K5129" i="1"/>
  <c r="A5130" i="1"/>
  <c r="B5130" i="1"/>
  <c r="G5130" i="1"/>
  <c r="K5130" i="1"/>
  <c r="A5131" i="1"/>
  <c r="B5131" i="1"/>
  <c r="G5131" i="1"/>
  <c r="K5131" i="1"/>
  <c r="A5132" i="1"/>
  <c r="B5132" i="1"/>
  <c r="G5132" i="1"/>
  <c r="K5132" i="1"/>
  <c r="A5133" i="1"/>
  <c r="B5133" i="1"/>
  <c r="G5133" i="1"/>
  <c r="K5133" i="1"/>
  <c r="A5134" i="1"/>
  <c r="B5134" i="1"/>
  <c r="G5134" i="1"/>
  <c r="K5134" i="1"/>
  <c r="A5135" i="1"/>
  <c r="B5135" i="1"/>
  <c r="G5135" i="1"/>
  <c r="K5135" i="1"/>
  <c r="A5136" i="1"/>
  <c r="B5136" i="1"/>
  <c r="G5136" i="1"/>
  <c r="K5136" i="1"/>
  <c r="A5137" i="1"/>
  <c r="B5137" i="1"/>
  <c r="G5137" i="1"/>
  <c r="K5137" i="1"/>
  <c r="A5138" i="1"/>
  <c r="B5138" i="1"/>
  <c r="G5138" i="1"/>
  <c r="K5138" i="1"/>
  <c r="A5139" i="1"/>
  <c r="B5139" i="1"/>
  <c r="G5139" i="1"/>
  <c r="K5139" i="1"/>
  <c r="A5140" i="1"/>
  <c r="B5140" i="1"/>
  <c r="G5140" i="1"/>
  <c r="K5140" i="1"/>
  <c r="A5141" i="1"/>
  <c r="B5141" i="1"/>
  <c r="G5141" i="1"/>
  <c r="K5141" i="1"/>
  <c r="A5142" i="1"/>
  <c r="B5142" i="1"/>
  <c r="G5142" i="1"/>
  <c r="K5142" i="1"/>
  <c r="A5143" i="1"/>
  <c r="B5143" i="1"/>
  <c r="G5143" i="1"/>
  <c r="K5143" i="1"/>
  <c r="A5144" i="1"/>
  <c r="B5144" i="1"/>
  <c r="G5144" i="1"/>
  <c r="K5144" i="1"/>
  <c r="A5145" i="1"/>
  <c r="B5145" i="1"/>
  <c r="G5145" i="1"/>
  <c r="K5145" i="1"/>
  <c r="A5146" i="1"/>
  <c r="B5146" i="1"/>
  <c r="G5146" i="1"/>
  <c r="K5146" i="1"/>
  <c r="A5147" i="1"/>
  <c r="B5147" i="1"/>
  <c r="G5147" i="1"/>
  <c r="K5147" i="1"/>
  <c r="A5148" i="1"/>
  <c r="B5148" i="1"/>
  <c r="G5148" i="1"/>
  <c r="K5148" i="1"/>
  <c r="A5149" i="1"/>
  <c r="B5149" i="1"/>
  <c r="G5149" i="1"/>
  <c r="K5149" i="1"/>
  <c r="A5150" i="1"/>
  <c r="B5150" i="1"/>
  <c r="G5150" i="1"/>
  <c r="K5150" i="1"/>
  <c r="A5151" i="1"/>
  <c r="B5151" i="1"/>
  <c r="G5151" i="1"/>
  <c r="K5151" i="1"/>
  <c r="A5152" i="1"/>
  <c r="B5152" i="1"/>
  <c r="G5152" i="1"/>
  <c r="K5152" i="1"/>
  <c r="A5153" i="1"/>
  <c r="B5153" i="1"/>
  <c r="G5153" i="1"/>
  <c r="K5153" i="1"/>
  <c r="A5154" i="1"/>
  <c r="B5154" i="1"/>
  <c r="G5154" i="1"/>
  <c r="K5154" i="1"/>
  <c r="A5155" i="1"/>
  <c r="B5155" i="1"/>
  <c r="G5155" i="1"/>
  <c r="K5155" i="1"/>
  <c r="A5156" i="1"/>
  <c r="B5156" i="1"/>
  <c r="G5156" i="1"/>
  <c r="K5156" i="1"/>
  <c r="A5157" i="1"/>
  <c r="B5157" i="1"/>
  <c r="G5157" i="1"/>
  <c r="K5157" i="1"/>
  <c r="A5158" i="1"/>
  <c r="B5158" i="1"/>
  <c r="G5158" i="1"/>
  <c r="K5158" i="1"/>
  <c r="A5159" i="1"/>
  <c r="B5159" i="1"/>
  <c r="G5159" i="1"/>
  <c r="K5159" i="1"/>
  <c r="A5160" i="1"/>
  <c r="B5160" i="1"/>
  <c r="G5160" i="1"/>
  <c r="K5160" i="1"/>
  <c r="A5161" i="1"/>
  <c r="B5161" i="1"/>
  <c r="G5161" i="1"/>
  <c r="K5161" i="1"/>
  <c r="A5162" i="1"/>
  <c r="B5162" i="1"/>
  <c r="G5162" i="1"/>
  <c r="K5162" i="1"/>
  <c r="A5163" i="1"/>
  <c r="B5163" i="1"/>
  <c r="G5163" i="1"/>
  <c r="K5163" i="1"/>
  <c r="A5164" i="1"/>
  <c r="B5164" i="1"/>
  <c r="G5164" i="1"/>
  <c r="K5164" i="1"/>
  <c r="A5165" i="1"/>
  <c r="B5165" i="1"/>
  <c r="G5165" i="1"/>
  <c r="K5165" i="1"/>
  <c r="A5166" i="1"/>
  <c r="B5166" i="1"/>
  <c r="G5166" i="1"/>
  <c r="K5166" i="1"/>
  <c r="A5167" i="1"/>
  <c r="B5167" i="1"/>
  <c r="G5167" i="1"/>
  <c r="K5167" i="1"/>
  <c r="A5168" i="1"/>
  <c r="B5168" i="1"/>
  <c r="G5168" i="1"/>
  <c r="K5168" i="1"/>
  <c r="A5169" i="1"/>
  <c r="B5169" i="1"/>
  <c r="G5169" i="1"/>
  <c r="K5169" i="1"/>
  <c r="A5170" i="1"/>
  <c r="B5170" i="1"/>
  <c r="G5170" i="1"/>
  <c r="K5170" i="1"/>
  <c r="A5171" i="1"/>
  <c r="B5171" i="1"/>
  <c r="G5171" i="1"/>
  <c r="K5171" i="1"/>
  <c r="A5172" i="1"/>
  <c r="B5172" i="1"/>
  <c r="G5172" i="1"/>
  <c r="K5172" i="1"/>
  <c r="A5173" i="1"/>
  <c r="B5173" i="1"/>
  <c r="G5173" i="1"/>
  <c r="K5173" i="1"/>
  <c r="A5174" i="1"/>
  <c r="B5174" i="1"/>
  <c r="G5174" i="1"/>
  <c r="K5174" i="1"/>
  <c r="A5175" i="1"/>
  <c r="B5175" i="1"/>
  <c r="G5175" i="1"/>
  <c r="K5175" i="1"/>
  <c r="A5176" i="1"/>
  <c r="B5176" i="1"/>
  <c r="G5176" i="1"/>
  <c r="K5176" i="1"/>
  <c r="A5177" i="1"/>
  <c r="B5177" i="1"/>
  <c r="G5177" i="1"/>
  <c r="K5177" i="1"/>
  <c r="A5178" i="1"/>
  <c r="B5178" i="1"/>
  <c r="G5178" i="1"/>
  <c r="K5178" i="1"/>
  <c r="A5179" i="1"/>
  <c r="B5179" i="1"/>
  <c r="G5179" i="1"/>
  <c r="K5179" i="1"/>
  <c r="A5180" i="1"/>
  <c r="B5180" i="1"/>
  <c r="G5180" i="1"/>
  <c r="K5180" i="1"/>
  <c r="A5181" i="1"/>
  <c r="B5181" i="1"/>
  <c r="G5181" i="1"/>
  <c r="K5181" i="1"/>
  <c r="A5182" i="1"/>
  <c r="B5182" i="1"/>
  <c r="G5182" i="1"/>
  <c r="K5182" i="1"/>
  <c r="A5183" i="1"/>
  <c r="B5183" i="1"/>
  <c r="G5183" i="1"/>
  <c r="K5183" i="1"/>
  <c r="A5184" i="1"/>
  <c r="B5184" i="1"/>
  <c r="G5184" i="1"/>
  <c r="K5184" i="1"/>
  <c r="A5185" i="1"/>
  <c r="B5185" i="1"/>
  <c r="G5185" i="1"/>
  <c r="K5185" i="1"/>
  <c r="A5186" i="1"/>
  <c r="B5186" i="1"/>
  <c r="G5186" i="1"/>
  <c r="K5186" i="1"/>
  <c r="A5187" i="1"/>
  <c r="B5187" i="1"/>
  <c r="G5187" i="1"/>
  <c r="K5187" i="1"/>
  <c r="A5188" i="1"/>
  <c r="B5188" i="1"/>
  <c r="G5188" i="1"/>
  <c r="K5188" i="1"/>
  <c r="A5189" i="1"/>
  <c r="B5189" i="1"/>
  <c r="G5189" i="1"/>
  <c r="K5189" i="1"/>
  <c r="A5190" i="1"/>
  <c r="B5190" i="1"/>
  <c r="G5190" i="1"/>
  <c r="K5190" i="1"/>
  <c r="A5191" i="1"/>
  <c r="B5191" i="1"/>
  <c r="G5191" i="1"/>
  <c r="K5191" i="1"/>
  <c r="A5192" i="1"/>
  <c r="B5192" i="1"/>
  <c r="G5192" i="1"/>
  <c r="K5192" i="1"/>
  <c r="A5193" i="1"/>
  <c r="B5193" i="1"/>
  <c r="G5193" i="1"/>
  <c r="K5193" i="1"/>
  <c r="A5194" i="1"/>
  <c r="B5194" i="1"/>
  <c r="G5194" i="1"/>
  <c r="K5194" i="1"/>
  <c r="A5195" i="1"/>
  <c r="B5195" i="1"/>
  <c r="G5195" i="1"/>
  <c r="K5195" i="1"/>
  <c r="A5196" i="1"/>
  <c r="B5196" i="1"/>
  <c r="G5196" i="1"/>
  <c r="K5196" i="1"/>
  <c r="A5197" i="1"/>
  <c r="B5197" i="1"/>
  <c r="G5197" i="1"/>
  <c r="K5197" i="1"/>
  <c r="A5198" i="1"/>
  <c r="B5198" i="1"/>
  <c r="G5198" i="1"/>
  <c r="K5198" i="1"/>
  <c r="A5199" i="1"/>
  <c r="B5199" i="1"/>
  <c r="G5199" i="1"/>
  <c r="K5199" i="1"/>
  <c r="A5200" i="1"/>
  <c r="B5200" i="1"/>
  <c r="G5200" i="1"/>
  <c r="K5200" i="1"/>
  <c r="A5201" i="1"/>
  <c r="B5201" i="1"/>
  <c r="G5201" i="1"/>
  <c r="K5201" i="1"/>
  <c r="A5202" i="1"/>
  <c r="B5202" i="1"/>
  <c r="G5202" i="1"/>
  <c r="K5202" i="1"/>
  <c r="A5203" i="1"/>
  <c r="B5203" i="1"/>
  <c r="G5203" i="1"/>
  <c r="K5203" i="1"/>
  <c r="A5204" i="1"/>
  <c r="B5204" i="1"/>
  <c r="G5204" i="1"/>
  <c r="K5204" i="1"/>
  <c r="A5205" i="1"/>
  <c r="B5205" i="1"/>
  <c r="G5205" i="1"/>
  <c r="K5205" i="1"/>
  <c r="A5206" i="1"/>
  <c r="B5206" i="1"/>
  <c r="G5206" i="1"/>
  <c r="K5206" i="1"/>
  <c r="A5207" i="1"/>
  <c r="B5207" i="1"/>
  <c r="G5207" i="1"/>
  <c r="K5207" i="1"/>
  <c r="A5208" i="1"/>
  <c r="B5208" i="1"/>
  <c r="G5208" i="1"/>
  <c r="K5208" i="1"/>
  <c r="A5209" i="1"/>
  <c r="B5209" i="1"/>
  <c r="G5209" i="1"/>
  <c r="K5209" i="1"/>
  <c r="A5210" i="1"/>
  <c r="B5210" i="1"/>
  <c r="G5210" i="1"/>
  <c r="K5210" i="1"/>
  <c r="A5211" i="1"/>
  <c r="B5211" i="1"/>
  <c r="G5211" i="1"/>
  <c r="K5211" i="1"/>
  <c r="A5212" i="1"/>
  <c r="B5212" i="1"/>
  <c r="G5212" i="1"/>
  <c r="K5212" i="1"/>
  <c r="A5213" i="1"/>
  <c r="B5213" i="1"/>
  <c r="G5213" i="1"/>
  <c r="K5213" i="1"/>
  <c r="A5214" i="1"/>
  <c r="B5214" i="1"/>
  <c r="G5214" i="1"/>
  <c r="K5214" i="1"/>
  <c r="A5215" i="1"/>
  <c r="B5215" i="1"/>
  <c r="G5215" i="1"/>
  <c r="K5215" i="1"/>
  <c r="A5216" i="1"/>
  <c r="B5216" i="1"/>
  <c r="G5216" i="1"/>
  <c r="K5216" i="1"/>
  <c r="A5217" i="1"/>
  <c r="B5217" i="1"/>
  <c r="G5217" i="1"/>
  <c r="K5217" i="1"/>
  <c r="A5218" i="1"/>
  <c r="B5218" i="1"/>
  <c r="G5218" i="1"/>
  <c r="K5218" i="1"/>
  <c r="A5219" i="1"/>
  <c r="B5219" i="1"/>
  <c r="G5219" i="1"/>
  <c r="K5219" i="1"/>
  <c r="A5220" i="1"/>
  <c r="B5220" i="1"/>
  <c r="G5220" i="1"/>
  <c r="K5220" i="1"/>
  <c r="A5221" i="1"/>
  <c r="B5221" i="1"/>
  <c r="G5221" i="1"/>
  <c r="K5221" i="1"/>
  <c r="A5222" i="1"/>
  <c r="B5222" i="1"/>
  <c r="G5222" i="1"/>
  <c r="K5222" i="1"/>
  <c r="A5223" i="1"/>
  <c r="B5223" i="1"/>
  <c r="G5223" i="1"/>
  <c r="K5223" i="1"/>
  <c r="A5224" i="1"/>
  <c r="B5224" i="1"/>
  <c r="G5224" i="1"/>
  <c r="K5224" i="1"/>
  <c r="A5225" i="1"/>
  <c r="B5225" i="1"/>
  <c r="G5225" i="1"/>
  <c r="K5225" i="1"/>
  <c r="A5226" i="1"/>
  <c r="B5226" i="1"/>
  <c r="G5226" i="1"/>
  <c r="K5226" i="1"/>
  <c r="A5227" i="1"/>
  <c r="B5227" i="1"/>
  <c r="G5227" i="1"/>
  <c r="K5227" i="1"/>
  <c r="A5228" i="1"/>
  <c r="B5228" i="1"/>
  <c r="G5228" i="1"/>
  <c r="K5228" i="1"/>
  <c r="A5229" i="1"/>
  <c r="B5229" i="1"/>
  <c r="G5229" i="1"/>
  <c r="K5229" i="1"/>
  <c r="A5230" i="1"/>
  <c r="B5230" i="1"/>
  <c r="G5230" i="1"/>
  <c r="K5230" i="1"/>
  <c r="A5231" i="1"/>
  <c r="B5231" i="1"/>
  <c r="G5231" i="1"/>
  <c r="K5231" i="1"/>
  <c r="A5232" i="1"/>
  <c r="B5232" i="1"/>
  <c r="G5232" i="1"/>
  <c r="K5232" i="1"/>
  <c r="A5233" i="1"/>
  <c r="B5233" i="1"/>
  <c r="G5233" i="1"/>
  <c r="K5233" i="1"/>
  <c r="A5234" i="1"/>
  <c r="B5234" i="1"/>
  <c r="G5234" i="1"/>
  <c r="K5234" i="1"/>
  <c r="A5235" i="1"/>
  <c r="B5235" i="1"/>
  <c r="G5235" i="1"/>
  <c r="K5235" i="1"/>
  <c r="A5236" i="1"/>
  <c r="B5236" i="1"/>
  <c r="G5236" i="1"/>
  <c r="K5236" i="1"/>
  <c r="A5237" i="1"/>
  <c r="B5237" i="1"/>
  <c r="G5237" i="1"/>
  <c r="K5237" i="1"/>
  <c r="A5238" i="1"/>
  <c r="B5238" i="1"/>
  <c r="G5238" i="1"/>
  <c r="K5238" i="1"/>
  <c r="A5239" i="1"/>
  <c r="B5239" i="1"/>
  <c r="G5239" i="1"/>
  <c r="K5239" i="1"/>
  <c r="A5240" i="1"/>
  <c r="B5240" i="1"/>
  <c r="G5240" i="1"/>
  <c r="K5240" i="1"/>
  <c r="A5241" i="1"/>
  <c r="B5241" i="1"/>
  <c r="G5241" i="1"/>
  <c r="K5241" i="1"/>
  <c r="A5242" i="1"/>
  <c r="B5242" i="1"/>
  <c r="G5242" i="1"/>
  <c r="K5242" i="1"/>
  <c r="A5243" i="1"/>
  <c r="B5243" i="1"/>
  <c r="G5243" i="1"/>
  <c r="K5243" i="1"/>
  <c r="A5244" i="1"/>
  <c r="B5244" i="1"/>
  <c r="G5244" i="1"/>
  <c r="K5244" i="1"/>
  <c r="A5245" i="1"/>
  <c r="B5245" i="1"/>
  <c r="G5245" i="1"/>
  <c r="K5245" i="1"/>
  <c r="A5246" i="1"/>
  <c r="B5246" i="1"/>
  <c r="G5246" i="1"/>
  <c r="K5246" i="1"/>
  <c r="A5247" i="1"/>
  <c r="B5247" i="1"/>
  <c r="G5247" i="1"/>
  <c r="K5247" i="1"/>
  <c r="A5248" i="1"/>
  <c r="B5248" i="1"/>
  <c r="G5248" i="1"/>
  <c r="K5248" i="1"/>
  <c r="A5249" i="1"/>
  <c r="B5249" i="1"/>
  <c r="G5249" i="1"/>
  <c r="K5249" i="1"/>
  <c r="A5250" i="1"/>
  <c r="B5250" i="1"/>
  <c r="G5250" i="1"/>
  <c r="K5250" i="1"/>
  <c r="A5251" i="1"/>
  <c r="B5251" i="1"/>
  <c r="G5251" i="1"/>
  <c r="K5251" i="1"/>
  <c r="A5252" i="1"/>
  <c r="B5252" i="1"/>
  <c r="G5252" i="1"/>
  <c r="K5252" i="1"/>
  <c r="A5253" i="1"/>
  <c r="B5253" i="1"/>
  <c r="G5253" i="1"/>
  <c r="K5253" i="1"/>
  <c r="A5254" i="1"/>
  <c r="B5254" i="1"/>
  <c r="G5254" i="1"/>
  <c r="K5254" i="1"/>
  <c r="A5255" i="1"/>
  <c r="B5255" i="1"/>
  <c r="G5255" i="1"/>
  <c r="K5255" i="1"/>
  <c r="A5256" i="1"/>
  <c r="B5256" i="1"/>
  <c r="G5256" i="1"/>
  <c r="K5256" i="1"/>
  <c r="A5257" i="1"/>
  <c r="B5257" i="1"/>
  <c r="G5257" i="1"/>
  <c r="K5257" i="1"/>
  <c r="A5258" i="1"/>
  <c r="B5258" i="1"/>
  <c r="G5258" i="1"/>
  <c r="K5258" i="1"/>
  <c r="A5259" i="1"/>
  <c r="B5259" i="1"/>
  <c r="G5259" i="1"/>
  <c r="K5259" i="1"/>
  <c r="A5260" i="1"/>
  <c r="B5260" i="1"/>
  <c r="G5260" i="1"/>
  <c r="K5260" i="1"/>
  <c r="A5261" i="1"/>
  <c r="B5261" i="1"/>
  <c r="G5261" i="1"/>
  <c r="K5261" i="1"/>
  <c r="A5262" i="1"/>
  <c r="B5262" i="1"/>
  <c r="G5262" i="1"/>
  <c r="K5262" i="1"/>
  <c r="A5263" i="1"/>
  <c r="B5263" i="1"/>
  <c r="G5263" i="1"/>
  <c r="K5263" i="1"/>
  <c r="A5264" i="1"/>
  <c r="B5264" i="1"/>
  <c r="G5264" i="1"/>
  <c r="K5264" i="1"/>
  <c r="A5265" i="1"/>
  <c r="B5265" i="1"/>
  <c r="G5265" i="1"/>
  <c r="K5265" i="1"/>
  <c r="A5266" i="1"/>
  <c r="B5266" i="1"/>
  <c r="G5266" i="1"/>
  <c r="K5266" i="1"/>
  <c r="A5267" i="1"/>
  <c r="B5267" i="1"/>
  <c r="G5267" i="1"/>
  <c r="K5267" i="1"/>
  <c r="A5268" i="1"/>
  <c r="B5268" i="1"/>
  <c r="G5268" i="1"/>
  <c r="K5268" i="1"/>
  <c r="A5269" i="1"/>
  <c r="B5269" i="1"/>
  <c r="G5269" i="1"/>
  <c r="K5269" i="1"/>
  <c r="A5270" i="1"/>
  <c r="B5270" i="1"/>
  <c r="G5270" i="1"/>
  <c r="K5270" i="1"/>
  <c r="A5271" i="1"/>
  <c r="B5271" i="1"/>
  <c r="G5271" i="1"/>
  <c r="K5271" i="1"/>
  <c r="A5272" i="1"/>
  <c r="B5272" i="1"/>
  <c r="G5272" i="1"/>
  <c r="K5272" i="1"/>
  <c r="A5273" i="1"/>
  <c r="B5273" i="1"/>
  <c r="G5273" i="1"/>
  <c r="K5273" i="1"/>
  <c r="A5274" i="1"/>
  <c r="B5274" i="1"/>
  <c r="G5274" i="1"/>
  <c r="K5274" i="1"/>
  <c r="A5275" i="1"/>
  <c r="B5275" i="1"/>
  <c r="G5275" i="1"/>
  <c r="K5275" i="1"/>
  <c r="A5276" i="1"/>
  <c r="B5276" i="1"/>
  <c r="G5276" i="1"/>
  <c r="K5276" i="1"/>
  <c r="A5277" i="1"/>
  <c r="B5277" i="1"/>
  <c r="G5277" i="1"/>
  <c r="K5277" i="1"/>
  <c r="A5278" i="1"/>
  <c r="B5278" i="1"/>
  <c r="G5278" i="1"/>
  <c r="K5278" i="1"/>
  <c r="A5279" i="1"/>
  <c r="B5279" i="1"/>
  <c r="G5279" i="1"/>
  <c r="K5279" i="1"/>
  <c r="A5280" i="1"/>
  <c r="B5280" i="1"/>
  <c r="G5280" i="1"/>
  <c r="K5280" i="1"/>
  <c r="A5281" i="1"/>
  <c r="B5281" i="1"/>
  <c r="G5281" i="1"/>
  <c r="K5281" i="1"/>
  <c r="A5282" i="1"/>
  <c r="B5282" i="1"/>
  <c r="G5282" i="1"/>
  <c r="K5282" i="1"/>
  <c r="A5283" i="1"/>
  <c r="B5283" i="1"/>
  <c r="G5283" i="1"/>
  <c r="K5283" i="1"/>
  <c r="A5284" i="1"/>
  <c r="B5284" i="1"/>
  <c r="G5284" i="1"/>
  <c r="K5284" i="1"/>
  <c r="A5285" i="1"/>
  <c r="B5285" i="1"/>
  <c r="G5285" i="1"/>
  <c r="K5285" i="1"/>
  <c r="A5286" i="1"/>
  <c r="B5286" i="1"/>
  <c r="G5286" i="1"/>
  <c r="K5286" i="1"/>
  <c r="A5287" i="1"/>
  <c r="B5287" i="1"/>
  <c r="G5287" i="1"/>
  <c r="K5287" i="1"/>
  <c r="A5288" i="1"/>
  <c r="B5288" i="1"/>
  <c r="G5288" i="1"/>
  <c r="K5288" i="1"/>
  <c r="A5289" i="1"/>
  <c r="B5289" i="1"/>
  <c r="G5289" i="1"/>
  <c r="K5289" i="1"/>
  <c r="A5290" i="1"/>
  <c r="B5290" i="1"/>
  <c r="G5290" i="1"/>
  <c r="K5290" i="1"/>
  <c r="A5291" i="1"/>
  <c r="B5291" i="1"/>
  <c r="G5291" i="1"/>
  <c r="K5291" i="1"/>
  <c r="A5292" i="1"/>
  <c r="B5292" i="1"/>
  <c r="G5292" i="1"/>
  <c r="K5292" i="1"/>
  <c r="A5293" i="1"/>
  <c r="B5293" i="1"/>
  <c r="G5293" i="1"/>
  <c r="K5293" i="1"/>
  <c r="A5294" i="1"/>
  <c r="B5294" i="1"/>
  <c r="G5294" i="1"/>
  <c r="K5294" i="1"/>
  <c r="A5295" i="1"/>
  <c r="B5295" i="1"/>
  <c r="G5295" i="1"/>
  <c r="K5295" i="1"/>
  <c r="A5296" i="1"/>
  <c r="B5296" i="1"/>
  <c r="G5296" i="1"/>
  <c r="K5296" i="1"/>
  <c r="A5297" i="1"/>
  <c r="B5297" i="1"/>
  <c r="G5297" i="1"/>
  <c r="K5297" i="1"/>
  <c r="A5298" i="1"/>
  <c r="B5298" i="1"/>
  <c r="G5298" i="1"/>
  <c r="K5298" i="1"/>
  <c r="A5299" i="1"/>
  <c r="B5299" i="1"/>
  <c r="G5299" i="1"/>
  <c r="K5299" i="1"/>
  <c r="A5300" i="1"/>
  <c r="B5300" i="1"/>
  <c r="G5300" i="1"/>
  <c r="K5300" i="1"/>
  <c r="A5301" i="1"/>
  <c r="B5301" i="1"/>
  <c r="G5301" i="1"/>
  <c r="K5301" i="1"/>
  <c r="A5302" i="1"/>
  <c r="B5302" i="1"/>
  <c r="G5302" i="1"/>
  <c r="K5302" i="1"/>
  <c r="A5303" i="1"/>
  <c r="B5303" i="1"/>
  <c r="G5303" i="1"/>
  <c r="K5303" i="1"/>
  <c r="A5304" i="1"/>
  <c r="B5304" i="1"/>
  <c r="G5304" i="1"/>
  <c r="K5304" i="1"/>
  <c r="A5305" i="1"/>
  <c r="B5305" i="1"/>
  <c r="G5305" i="1"/>
  <c r="K5305" i="1"/>
  <c r="A5306" i="1"/>
  <c r="B5306" i="1"/>
  <c r="G5306" i="1"/>
  <c r="K5306" i="1"/>
  <c r="A5307" i="1"/>
  <c r="B5307" i="1"/>
  <c r="G5307" i="1"/>
  <c r="K5307" i="1"/>
  <c r="A5308" i="1"/>
  <c r="B5308" i="1"/>
  <c r="G5308" i="1"/>
  <c r="K5308" i="1"/>
  <c r="A5309" i="1"/>
  <c r="B5309" i="1"/>
  <c r="G5309" i="1"/>
  <c r="K5309" i="1"/>
  <c r="A5310" i="1"/>
  <c r="B5310" i="1"/>
  <c r="G5310" i="1"/>
  <c r="K5310" i="1"/>
  <c r="A5311" i="1"/>
  <c r="B5311" i="1"/>
  <c r="G5311" i="1"/>
  <c r="K5311" i="1"/>
  <c r="A5312" i="1"/>
  <c r="B5312" i="1"/>
  <c r="G5312" i="1"/>
  <c r="K5312" i="1"/>
  <c r="A5313" i="1"/>
  <c r="B5313" i="1"/>
  <c r="G5313" i="1"/>
  <c r="K5313" i="1"/>
  <c r="A5314" i="1"/>
  <c r="B5314" i="1"/>
  <c r="G5314" i="1"/>
  <c r="K5314" i="1"/>
  <c r="A5315" i="1"/>
  <c r="B5315" i="1"/>
  <c r="G5315" i="1"/>
  <c r="K5315" i="1"/>
  <c r="A5316" i="1"/>
  <c r="B5316" i="1"/>
  <c r="G5316" i="1"/>
  <c r="K5316" i="1"/>
  <c r="A5317" i="1"/>
  <c r="B5317" i="1"/>
  <c r="G5317" i="1"/>
  <c r="K5317" i="1"/>
  <c r="A5318" i="1"/>
  <c r="B5318" i="1"/>
  <c r="G5318" i="1"/>
  <c r="K5318" i="1"/>
  <c r="A5319" i="1"/>
  <c r="B5319" i="1"/>
  <c r="G5319" i="1"/>
  <c r="K5319" i="1"/>
  <c r="A5320" i="1"/>
  <c r="B5320" i="1"/>
  <c r="G5320" i="1"/>
  <c r="K5320" i="1"/>
  <c r="A5321" i="1"/>
  <c r="B5321" i="1"/>
  <c r="G5321" i="1"/>
  <c r="K5321" i="1"/>
  <c r="A5322" i="1"/>
  <c r="B5322" i="1"/>
  <c r="G5322" i="1"/>
  <c r="K5322" i="1"/>
  <c r="A5323" i="1"/>
  <c r="B5323" i="1"/>
  <c r="G5323" i="1"/>
  <c r="K5323" i="1"/>
  <c r="A5324" i="1"/>
  <c r="B5324" i="1"/>
  <c r="G5324" i="1"/>
  <c r="K5324" i="1"/>
  <c r="A5325" i="1"/>
  <c r="B5325" i="1"/>
  <c r="G5325" i="1"/>
  <c r="K5325" i="1"/>
  <c r="A5326" i="1"/>
  <c r="B5326" i="1"/>
  <c r="G5326" i="1"/>
  <c r="K5326" i="1"/>
  <c r="A5327" i="1"/>
  <c r="B5327" i="1"/>
  <c r="G5327" i="1"/>
  <c r="K5327" i="1"/>
  <c r="A5328" i="1"/>
  <c r="B5328" i="1"/>
  <c r="G5328" i="1"/>
  <c r="K5328" i="1"/>
  <c r="A5329" i="1"/>
  <c r="B5329" i="1"/>
  <c r="G5329" i="1"/>
  <c r="K5329" i="1"/>
  <c r="A5330" i="1"/>
  <c r="B5330" i="1"/>
  <c r="G5330" i="1"/>
  <c r="K5330" i="1"/>
  <c r="A5331" i="1"/>
  <c r="B5331" i="1"/>
  <c r="G5331" i="1"/>
  <c r="K5331" i="1"/>
  <c r="A5332" i="1"/>
  <c r="B5332" i="1"/>
  <c r="G5332" i="1"/>
  <c r="K5332" i="1"/>
  <c r="A5333" i="1"/>
  <c r="B5333" i="1"/>
  <c r="G5333" i="1"/>
  <c r="K5333" i="1"/>
  <c r="A5334" i="1"/>
  <c r="B5334" i="1"/>
  <c r="G5334" i="1"/>
  <c r="K5334" i="1"/>
  <c r="A5335" i="1"/>
  <c r="B5335" i="1"/>
  <c r="G5335" i="1"/>
  <c r="K5335" i="1"/>
  <c r="A5336" i="1"/>
  <c r="B5336" i="1"/>
  <c r="G5336" i="1"/>
  <c r="K5336" i="1"/>
  <c r="A5337" i="1"/>
  <c r="B5337" i="1"/>
  <c r="G5337" i="1"/>
  <c r="K5337" i="1"/>
  <c r="A5338" i="1"/>
  <c r="B5338" i="1"/>
  <c r="G5338" i="1"/>
  <c r="K5338" i="1"/>
  <c r="A5339" i="1"/>
  <c r="B5339" i="1"/>
  <c r="G5339" i="1"/>
  <c r="K5339" i="1"/>
  <c r="A5340" i="1"/>
  <c r="B5340" i="1"/>
  <c r="G5340" i="1"/>
  <c r="K5340" i="1"/>
  <c r="A5341" i="1"/>
  <c r="B5341" i="1"/>
  <c r="G5341" i="1"/>
  <c r="K5341" i="1"/>
  <c r="A5342" i="1"/>
  <c r="B5342" i="1"/>
  <c r="G5342" i="1"/>
  <c r="K5342" i="1"/>
  <c r="A5343" i="1"/>
  <c r="B5343" i="1"/>
  <c r="G5343" i="1"/>
  <c r="K5343" i="1"/>
  <c r="A5344" i="1"/>
  <c r="B5344" i="1"/>
  <c r="G5344" i="1"/>
  <c r="K5344" i="1"/>
  <c r="A5345" i="1"/>
  <c r="B5345" i="1"/>
  <c r="G5345" i="1"/>
  <c r="K5345" i="1"/>
  <c r="A5346" i="1"/>
  <c r="B5346" i="1"/>
  <c r="G5346" i="1"/>
  <c r="K5346" i="1"/>
  <c r="A5347" i="1"/>
  <c r="B5347" i="1"/>
  <c r="G5347" i="1"/>
  <c r="K5347" i="1"/>
  <c r="A5348" i="1"/>
  <c r="B5348" i="1"/>
  <c r="G5348" i="1"/>
  <c r="K5348" i="1"/>
  <c r="A5349" i="1"/>
  <c r="B5349" i="1"/>
  <c r="G5349" i="1"/>
  <c r="K5349" i="1"/>
  <c r="A5350" i="1"/>
  <c r="B5350" i="1"/>
  <c r="G5350" i="1"/>
  <c r="K5350" i="1"/>
  <c r="A5351" i="1"/>
  <c r="B5351" i="1"/>
  <c r="G5351" i="1"/>
  <c r="K5351" i="1"/>
  <c r="A5352" i="1"/>
  <c r="B5352" i="1"/>
  <c r="G5352" i="1"/>
  <c r="K5352" i="1"/>
  <c r="A5353" i="1"/>
  <c r="B5353" i="1"/>
  <c r="G5353" i="1"/>
  <c r="K5353" i="1"/>
  <c r="A5354" i="1"/>
  <c r="B5354" i="1"/>
  <c r="G5354" i="1"/>
  <c r="K5354" i="1"/>
  <c r="A5355" i="1"/>
  <c r="B5355" i="1"/>
  <c r="G5355" i="1"/>
  <c r="K5355" i="1"/>
  <c r="A5356" i="1"/>
  <c r="B5356" i="1"/>
  <c r="G5356" i="1"/>
  <c r="K5356" i="1"/>
  <c r="A5357" i="1"/>
  <c r="B5357" i="1"/>
  <c r="G5357" i="1"/>
  <c r="K5357" i="1"/>
  <c r="A5358" i="1"/>
  <c r="B5358" i="1"/>
  <c r="G5358" i="1"/>
  <c r="K5358" i="1"/>
  <c r="A5359" i="1"/>
  <c r="B5359" i="1"/>
  <c r="G5359" i="1"/>
  <c r="K5359" i="1"/>
  <c r="A5360" i="1"/>
  <c r="B5360" i="1"/>
  <c r="G5360" i="1"/>
  <c r="K5360" i="1"/>
  <c r="A5361" i="1"/>
  <c r="B5361" i="1"/>
  <c r="G5361" i="1"/>
  <c r="K5361" i="1"/>
  <c r="A5362" i="1"/>
  <c r="B5362" i="1"/>
  <c r="G5362" i="1"/>
  <c r="K5362" i="1"/>
  <c r="A5363" i="1"/>
  <c r="B5363" i="1"/>
  <c r="G5363" i="1"/>
  <c r="K5363" i="1"/>
  <c r="A5364" i="1"/>
  <c r="B5364" i="1"/>
  <c r="G5364" i="1"/>
  <c r="K5364" i="1"/>
  <c r="A5365" i="1"/>
  <c r="B5365" i="1"/>
  <c r="G5365" i="1"/>
  <c r="K5365" i="1"/>
  <c r="A5366" i="1"/>
  <c r="B5366" i="1"/>
  <c r="G5366" i="1"/>
  <c r="K5366" i="1"/>
  <c r="A5367" i="1"/>
  <c r="B5367" i="1"/>
  <c r="G5367" i="1"/>
  <c r="K5367" i="1"/>
  <c r="A5368" i="1"/>
  <c r="B5368" i="1"/>
  <c r="G5368" i="1"/>
  <c r="K5368" i="1"/>
  <c r="A5369" i="1"/>
  <c r="B5369" i="1"/>
  <c r="G5369" i="1"/>
  <c r="K5369" i="1"/>
  <c r="A5370" i="1"/>
  <c r="B5370" i="1"/>
  <c r="G5370" i="1"/>
  <c r="K5370" i="1"/>
  <c r="A5371" i="1"/>
  <c r="B5371" i="1"/>
  <c r="G5371" i="1"/>
  <c r="K5371" i="1"/>
  <c r="A5372" i="1"/>
  <c r="B5372" i="1"/>
  <c r="G5372" i="1"/>
  <c r="K5372" i="1"/>
  <c r="A5373" i="1"/>
  <c r="B5373" i="1"/>
  <c r="G5373" i="1"/>
  <c r="K5373" i="1"/>
  <c r="A5374" i="1"/>
  <c r="B5374" i="1"/>
  <c r="G5374" i="1"/>
  <c r="K5374" i="1"/>
  <c r="A5375" i="1"/>
  <c r="B5375" i="1"/>
  <c r="G5375" i="1"/>
  <c r="K5375" i="1"/>
  <c r="A5376" i="1"/>
  <c r="B5376" i="1"/>
  <c r="G5376" i="1"/>
  <c r="K5376" i="1"/>
  <c r="A5377" i="1"/>
  <c r="B5377" i="1"/>
  <c r="G5377" i="1"/>
  <c r="K5377" i="1"/>
  <c r="A5378" i="1"/>
  <c r="B5378" i="1"/>
  <c r="G5378" i="1"/>
  <c r="K5378" i="1"/>
  <c r="A5379" i="1"/>
  <c r="B5379" i="1"/>
  <c r="G5379" i="1"/>
  <c r="K5379" i="1"/>
  <c r="A5380" i="1"/>
  <c r="B5380" i="1"/>
  <c r="G5380" i="1"/>
  <c r="K5380" i="1"/>
  <c r="A5381" i="1"/>
  <c r="B5381" i="1"/>
  <c r="G5381" i="1"/>
  <c r="K5381" i="1"/>
  <c r="A5382" i="1"/>
  <c r="B5382" i="1"/>
  <c r="G5382" i="1"/>
  <c r="K5382" i="1"/>
  <c r="A5383" i="1"/>
  <c r="B5383" i="1"/>
  <c r="G5383" i="1"/>
  <c r="K5383" i="1"/>
  <c r="A5384" i="1"/>
  <c r="B5384" i="1"/>
  <c r="G5384" i="1"/>
  <c r="K5384" i="1"/>
  <c r="A5385" i="1"/>
  <c r="B5385" i="1"/>
  <c r="G5385" i="1"/>
  <c r="K5385" i="1"/>
  <c r="A5386" i="1"/>
  <c r="B5386" i="1"/>
  <c r="G5386" i="1"/>
  <c r="K5386" i="1"/>
  <c r="A5387" i="1"/>
  <c r="B5387" i="1"/>
  <c r="G5387" i="1"/>
  <c r="K5387" i="1"/>
  <c r="A5388" i="1"/>
  <c r="B5388" i="1"/>
  <c r="G5388" i="1"/>
  <c r="K5388" i="1"/>
  <c r="A5389" i="1"/>
  <c r="B5389" i="1"/>
  <c r="G5389" i="1"/>
  <c r="K5389" i="1"/>
  <c r="A5390" i="1"/>
  <c r="B5390" i="1"/>
  <c r="G5390" i="1"/>
  <c r="K5390" i="1"/>
  <c r="A5391" i="1"/>
  <c r="B5391" i="1"/>
  <c r="G5391" i="1"/>
  <c r="K5391" i="1"/>
  <c r="A5392" i="1"/>
  <c r="B5392" i="1"/>
  <c r="G5392" i="1"/>
  <c r="K5392" i="1"/>
  <c r="A5393" i="1"/>
  <c r="B5393" i="1"/>
  <c r="G5393" i="1"/>
  <c r="K5393" i="1"/>
  <c r="A5394" i="1"/>
  <c r="B5394" i="1"/>
  <c r="G5394" i="1"/>
  <c r="K5394" i="1"/>
  <c r="A5395" i="1"/>
  <c r="B5395" i="1"/>
  <c r="G5395" i="1"/>
  <c r="K5395" i="1"/>
  <c r="A5396" i="1"/>
  <c r="B5396" i="1"/>
  <c r="G5396" i="1"/>
  <c r="K5396" i="1"/>
  <c r="A5397" i="1"/>
  <c r="B5397" i="1"/>
  <c r="G5397" i="1"/>
  <c r="K5397" i="1"/>
  <c r="A5398" i="1"/>
  <c r="B5398" i="1"/>
  <c r="G5398" i="1"/>
  <c r="K5398" i="1"/>
  <c r="A5399" i="1"/>
  <c r="B5399" i="1"/>
  <c r="G5399" i="1"/>
  <c r="K5399" i="1"/>
  <c r="A5400" i="1"/>
  <c r="B5400" i="1"/>
  <c r="G5400" i="1"/>
  <c r="K5400" i="1"/>
  <c r="A5401" i="1"/>
  <c r="B5401" i="1"/>
  <c r="G5401" i="1"/>
  <c r="K5401" i="1"/>
  <c r="A5402" i="1"/>
  <c r="B5402" i="1"/>
  <c r="G5402" i="1"/>
  <c r="K5402" i="1"/>
  <c r="A5403" i="1"/>
  <c r="B5403" i="1"/>
  <c r="G5403" i="1"/>
  <c r="K5403" i="1"/>
  <c r="A5404" i="1"/>
  <c r="B5404" i="1"/>
  <c r="G5404" i="1"/>
  <c r="K5404" i="1"/>
  <c r="A5405" i="1"/>
  <c r="B5405" i="1"/>
  <c r="G5405" i="1"/>
  <c r="K5405" i="1"/>
  <c r="A5406" i="1"/>
  <c r="B5406" i="1"/>
  <c r="G5406" i="1"/>
  <c r="K5406" i="1"/>
  <c r="A5407" i="1"/>
  <c r="B5407" i="1"/>
  <c r="G5407" i="1"/>
  <c r="K5407" i="1"/>
  <c r="A5408" i="1"/>
  <c r="B5408" i="1"/>
  <c r="G5408" i="1"/>
  <c r="K5408" i="1"/>
  <c r="A5409" i="1"/>
  <c r="B5409" i="1"/>
  <c r="G5409" i="1"/>
  <c r="K5409" i="1"/>
  <c r="A5410" i="1"/>
  <c r="B5410" i="1"/>
  <c r="G5410" i="1"/>
  <c r="K5410" i="1"/>
  <c r="A5411" i="1"/>
  <c r="B5411" i="1"/>
  <c r="G5411" i="1"/>
  <c r="K5411" i="1"/>
  <c r="A5412" i="1"/>
  <c r="B5412" i="1"/>
  <c r="G5412" i="1"/>
  <c r="K5412" i="1"/>
  <c r="A5413" i="1"/>
  <c r="B5413" i="1"/>
  <c r="G5413" i="1"/>
  <c r="K5413" i="1"/>
  <c r="A5414" i="1"/>
  <c r="B5414" i="1"/>
  <c r="G5414" i="1"/>
  <c r="K5414" i="1"/>
  <c r="A5415" i="1"/>
  <c r="B5415" i="1"/>
  <c r="G5415" i="1"/>
  <c r="K5415" i="1"/>
  <c r="A5416" i="1"/>
  <c r="B5416" i="1"/>
  <c r="G5416" i="1"/>
  <c r="K5416" i="1"/>
  <c r="A5417" i="1"/>
  <c r="B5417" i="1"/>
  <c r="G5417" i="1"/>
  <c r="K5417" i="1"/>
  <c r="A5418" i="1"/>
  <c r="B5418" i="1"/>
  <c r="G5418" i="1"/>
  <c r="K5418" i="1"/>
  <c r="A5419" i="1"/>
  <c r="B5419" i="1"/>
  <c r="G5419" i="1"/>
  <c r="K5419" i="1"/>
  <c r="A5420" i="1"/>
  <c r="B5420" i="1"/>
  <c r="G5420" i="1"/>
  <c r="K5420" i="1"/>
  <c r="A5421" i="1"/>
  <c r="B5421" i="1"/>
  <c r="G5421" i="1"/>
  <c r="K5421" i="1"/>
  <c r="A5422" i="1"/>
  <c r="B5422" i="1"/>
  <c r="G5422" i="1"/>
  <c r="K5422" i="1"/>
  <c r="A5423" i="1"/>
  <c r="B5423" i="1"/>
  <c r="G5423" i="1"/>
  <c r="K5423" i="1"/>
  <c r="A5424" i="1"/>
  <c r="B5424" i="1"/>
  <c r="G5424" i="1"/>
  <c r="K5424" i="1"/>
  <c r="A5425" i="1"/>
  <c r="B5425" i="1"/>
  <c r="G5425" i="1"/>
  <c r="K5425" i="1"/>
  <c r="A5426" i="1"/>
  <c r="B5426" i="1"/>
  <c r="G5426" i="1"/>
  <c r="K5426" i="1"/>
  <c r="A5427" i="1"/>
  <c r="B5427" i="1"/>
  <c r="G5427" i="1"/>
  <c r="K5427" i="1"/>
  <c r="A5428" i="1"/>
  <c r="B5428" i="1"/>
  <c r="G5428" i="1"/>
  <c r="K5428" i="1"/>
  <c r="A5429" i="1"/>
  <c r="B5429" i="1"/>
  <c r="G5429" i="1"/>
  <c r="K5429" i="1"/>
  <c r="A5430" i="1"/>
  <c r="B5430" i="1"/>
  <c r="G5430" i="1"/>
  <c r="K5430" i="1"/>
  <c r="A5431" i="1"/>
  <c r="B5431" i="1"/>
  <c r="G5431" i="1"/>
  <c r="K5431" i="1"/>
  <c r="A5432" i="1"/>
  <c r="B5432" i="1"/>
  <c r="G5432" i="1"/>
  <c r="K5432" i="1"/>
  <c r="A5433" i="1"/>
  <c r="B5433" i="1"/>
  <c r="G5433" i="1"/>
  <c r="K5433" i="1"/>
  <c r="A5434" i="1"/>
  <c r="B5434" i="1"/>
  <c r="G5434" i="1"/>
  <c r="K5434" i="1"/>
  <c r="A5435" i="1"/>
  <c r="B5435" i="1"/>
  <c r="G5435" i="1"/>
  <c r="K5435" i="1"/>
  <c r="A5436" i="1"/>
  <c r="B5436" i="1"/>
  <c r="G5436" i="1"/>
  <c r="K5436" i="1"/>
  <c r="A5437" i="1"/>
  <c r="B5437" i="1"/>
  <c r="G5437" i="1"/>
  <c r="K5437" i="1"/>
  <c r="A5438" i="1"/>
  <c r="B5438" i="1"/>
  <c r="G5438" i="1"/>
  <c r="K5438" i="1"/>
  <c r="A5439" i="1"/>
  <c r="B5439" i="1"/>
  <c r="G5439" i="1"/>
  <c r="K5439" i="1"/>
  <c r="A5440" i="1"/>
  <c r="B5440" i="1"/>
  <c r="G5440" i="1"/>
  <c r="K5440" i="1"/>
  <c r="A5441" i="1"/>
  <c r="B5441" i="1"/>
  <c r="G5441" i="1"/>
  <c r="K5441" i="1"/>
  <c r="A5442" i="1"/>
  <c r="B5442" i="1"/>
  <c r="G5442" i="1"/>
  <c r="K5442" i="1"/>
  <c r="A5443" i="1"/>
  <c r="B5443" i="1"/>
  <c r="G5443" i="1"/>
  <c r="K5443" i="1"/>
  <c r="A5444" i="1"/>
  <c r="B5444" i="1"/>
  <c r="G5444" i="1"/>
  <c r="K5444" i="1"/>
  <c r="A5445" i="1"/>
  <c r="B5445" i="1"/>
  <c r="G5445" i="1"/>
  <c r="K5445" i="1"/>
  <c r="A5446" i="1"/>
  <c r="B5446" i="1"/>
  <c r="G5446" i="1"/>
  <c r="K5446" i="1"/>
  <c r="A5447" i="1"/>
  <c r="B5447" i="1"/>
  <c r="G5447" i="1"/>
  <c r="K5447" i="1"/>
  <c r="A5448" i="1"/>
  <c r="B5448" i="1"/>
  <c r="G5448" i="1"/>
  <c r="K5448" i="1"/>
  <c r="A5449" i="1"/>
  <c r="B5449" i="1"/>
  <c r="G5449" i="1"/>
  <c r="K5449" i="1"/>
  <c r="A5450" i="1"/>
  <c r="B5450" i="1"/>
  <c r="G5450" i="1"/>
  <c r="K5450" i="1"/>
  <c r="A5451" i="1"/>
  <c r="B5451" i="1"/>
  <c r="G5451" i="1"/>
  <c r="K5451" i="1"/>
  <c r="A5452" i="1"/>
  <c r="B5452" i="1"/>
  <c r="G5452" i="1"/>
  <c r="K5452" i="1"/>
  <c r="A5453" i="1"/>
  <c r="B5453" i="1"/>
  <c r="G5453" i="1"/>
  <c r="K5453" i="1"/>
  <c r="A5454" i="1"/>
  <c r="B5454" i="1"/>
  <c r="G5454" i="1"/>
  <c r="K5454" i="1"/>
  <c r="A5455" i="1"/>
  <c r="B5455" i="1"/>
  <c r="G5455" i="1"/>
  <c r="K5455" i="1"/>
  <c r="A5456" i="1"/>
  <c r="B5456" i="1"/>
  <c r="G5456" i="1"/>
  <c r="K5456" i="1"/>
  <c r="A5457" i="1"/>
  <c r="B5457" i="1"/>
  <c r="G5457" i="1"/>
  <c r="K5457" i="1"/>
  <c r="A5458" i="1"/>
  <c r="B5458" i="1"/>
  <c r="G5458" i="1"/>
  <c r="K5458" i="1"/>
  <c r="A5459" i="1"/>
  <c r="B5459" i="1"/>
  <c r="G5459" i="1"/>
  <c r="K5459" i="1"/>
  <c r="A5460" i="1"/>
  <c r="B5460" i="1"/>
  <c r="G5460" i="1"/>
  <c r="K5460" i="1"/>
  <c r="A5461" i="1"/>
  <c r="B5461" i="1"/>
  <c r="G5461" i="1"/>
  <c r="K5461" i="1"/>
  <c r="A5462" i="1"/>
  <c r="B5462" i="1"/>
  <c r="G5462" i="1"/>
  <c r="K5462" i="1"/>
  <c r="A5463" i="1"/>
  <c r="B5463" i="1"/>
  <c r="G5463" i="1"/>
  <c r="K5463" i="1"/>
  <c r="A5464" i="1"/>
  <c r="B5464" i="1"/>
  <c r="G5464" i="1"/>
  <c r="K5464" i="1"/>
  <c r="A5465" i="1"/>
  <c r="B5465" i="1"/>
  <c r="G5465" i="1"/>
  <c r="K5465" i="1"/>
  <c r="A5466" i="1"/>
  <c r="B5466" i="1"/>
  <c r="G5466" i="1"/>
  <c r="K5466" i="1"/>
  <c r="A5467" i="1"/>
  <c r="B5467" i="1"/>
  <c r="G5467" i="1"/>
  <c r="K5467" i="1"/>
  <c r="A5468" i="1"/>
  <c r="B5468" i="1"/>
  <c r="G5468" i="1"/>
  <c r="K5468" i="1"/>
  <c r="A5469" i="1"/>
  <c r="B5469" i="1"/>
  <c r="G5469" i="1"/>
  <c r="K5469" i="1"/>
  <c r="A5470" i="1"/>
  <c r="B5470" i="1"/>
  <c r="G5470" i="1"/>
  <c r="K5470" i="1"/>
  <c r="A5471" i="1"/>
  <c r="B5471" i="1"/>
  <c r="G5471" i="1"/>
  <c r="K5471" i="1"/>
  <c r="A5472" i="1"/>
  <c r="B5472" i="1"/>
  <c r="G5472" i="1"/>
  <c r="K5472" i="1"/>
  <c r="A5473" i="1"/>
  <c r="B5473" i="1"/>
  <c r="G5473" i="1"/>
  <c r="K5473" i="1"/>
  <c r="A5474" i="1"/>
  <c r="B5474" i="1"/>
  <c r="G5474" i="1"/>
  <c r="K5474" i="1"/>
  <c r="A5475" i="1"/>
  <c r="B5475" i="1"/>
  <c r="G5475" i="1"/>
  <c r="K5475" i="1"/>
  <c r="A5476" i="1"/>
  <c r="B5476" i="1"/>
  <c r="G5476" i="1"/>
  <c r="K5476" i="1"/>
  <c r="A5477" i="1"/>
  <c r="B5477" i="1"/>
  <c r="G5477" i="1"/>
  <c r="K5477" i="1"/>
  <c r="A5478" i="1"/>
  <c r="B5478" i="1"/>
  <c r="G5478" i="1"/>
  <c r="K5478" i="1"/>
  <c r="A5479" i="1"/>
  <c r="B5479" i="1"/>
  <c r="G5479" i="1"/>
  <c r="K5479" i="1"/>
  <c r="A5480" i="1"/>
  <c r="B5480" i="1"/>
  <c r="G5480" i="1"/>
  <c r="K5480" i="1"/>
  <c r="A5481" i="1"/>
  <c r="B5481" i="1"/>
  <c r="G5481" i="1"/>
  <c r="K5481" i="1"/>
  <c r="A5482" i="1"/>
  <c r="B5482" i="1"/>
  <c r="G5482" i="1"/>
  <c r="K5482" i="1"/>
  <c r="A5483" i="1"/>
  <c r="B5483" i="1"/>
  <c r="G5483" i="1"/>
  <c r="K5483" i="1"/>
  <c r="A5484" i="1"/>
  <c r="B5484" i="1"/>
  <c r="G5484" i="1"/>
  <c r="K5484" i="1"/>
  <c r="A5485" i="1"/>
  <c r="B5485" i="1"/>
  <c r="G5485" i="1"/>
  <c r="K5485" i="1"/>
  <c r="A5486" i="1"/>
  <c r="B5486" i="1"/>
  <c r="G5486" i="1"/>
  <c r="K5486" i="1"/>
  <c r="A5487" i="1"/>
  <c r="B5487" i="1"/>
  <c r="G5487" i="1"/>
  <c r="K5487" i="1"/>
  <c r="A5488" i="1"/>
  <c r="B5488" i="1"/>
  <c r="G5488" i="1"/>
  <c r="K5488" i="1"/>
  <c r="A5489" i="1"/>
  <c r="B5489" i="1"/>
  <c r="G5489" i="1"/>
  <c r="K5489" i="1"/>
  <c r="A5490" i="1"/>
  <c r="B5490" i="1"/>
  <c r="G5490" i="1"/>
  <c r="K5490" i="1"/>
  <c r="A5491" i="1"/>
  <c r="B5491" i="1"/>
  <c r="G5491" i="1"/>
  <c r="K5491" i="1"/>
  <c r="A5492" i="1"/>
  <c r="B5492" i="1"/>
  <c r="G5492" i="1"/>
  <c r="K5492" i="1"/>
  <c r="A5493" i="1"/>
  <c r="B5493" i="1"/>
  <c r="G5493" i="1"/>
  <c r="K5493" i="1"/>
  <c r="A5494" i="1"/>
  <c r="B5494" i="1"/>
  <c r="G5494" i="1"/>
  <c r="K5494" i="1"/>
  <c r="A5495" i="1"/>
  <c r="B5495" i="1"/>
  <c r="G5495" i="1"/>
  <c r="K5495" i="1"/>
  <c r="A5496" i="1"/>
  <c r="B5496" i="1"/>
  <c r="G5496" i="1"/>
  <c r="K5496" i="1"/>
  <c r="A5497" i="1"/>
  <c r="B5497" i="1"/>
  <c r="G5497" i="1"/>
  <c r="K5497" i="1"/>
  <c r="A5498" i="1"/>
  <c r="B5498" i="1"/>
  <c r="G5498" i="1"/>
  <c r="K5498" i="1"/>
  <c r="A5499" i="1"/>
  <c r="B5499" i="1"/>
  <c r="G5499" i="1"/>
  <c r="K5499" i="1"/>
  <c r="A5500" i="1"/>
  <c r="B5500" i="1"/>
  <c r="G5500" i="1"/>
  <c r="K5500" i="1"/>
  <c r="A5501" i="1"/>
  <c r="B5501" i="1"/>
  <c r="G5501" i="1"/>
  <c r="K5501" i="1"/>
  <c r="A5502" i="1"/>
  <c r="B5502" i="1"/>
  <c r="G5502" i="1"/>
  <c r="K5502" i="1"/>
  <c r="A5503" i="1"/>
  <c r="B5503" i="1"/>
  <c r="G5503" i="1"/>
  <c r="K5503" i="1"/>
  <c r="A5504" i="1"/>
  <c r="B5504" i="1"/>
  <c r="G5504" i="1"/>
  <c r="K5504" i="1"/>
  <c r="A5505" i="1"/>
  <c r="B5505" i="1"/>
  <c r="G5505" i="1"/>
  <c r="K5505" i="1"/>
  <c r="A5506" i="1"/>
  <c r="B5506" i="1"/>
  <c r="G5506" i="1"/>
  <c r="K5506" i="1"/>
  <c r="A5507" i="1"/>
  <c r="B5507" i="1"/>
  <c r="G5507" i="1"/>
  <c r="K5507" i="1"/>
  <c r="A5508" i="1"/>
  <c r="B5508" i="1"/>
  <c r="G5508" i="1"/>
  <c r="K5508" i="1"/>
  <c r="A5509" i="1"/>
  <c r="B5509" i="1"/>
  <c r="G5509" i="1"/>
  <c r="K5509" i="1"/>
  <c r="A5510" i="1"/>
  <c r="B5510" i="1"/>
  <c r="G5510" i="1"/>
  <c r="K5510" i="1"/>
  <c r="A5511" i="1"/>
  <c r="B5511" i="1"/>
  <c r="G5511" i="1"/>
  <c r="K5511" i="1"/>
  <c r="A5512" i="1"/>
  <c r="B5512" i="1"/>
  <c r="G5512" i="1"/>
  <c r="K5512" i="1"/>
  <c r="A5513" i="1"/>
  <c r="B5513" i="1"/>
  <c r="G5513" i="1"/>
  <c r="K5513" i="1"/>
  <c r="A5514" i="1"/>
  <c r="B5514" i="1"/>
  <c r="G5514" i="1"/>
  <c r="K5514" i="1"/>
  <c r="A5515" i="1"/>
  <c r="B5515" i="1"/>
  <c r="G5515" i="1"/>
  <c r="K5515" i="1"/>
  <c r="A5516" i="1"/>
  <c r="B5516" i="1"/>
  <c r="G5516" i="1"/>
  <c r="K5516" i="1"/>
  <c r="A5517" i="1"/>
  <c r="B5517" i="1"/>
  <c r="G5517" i="1"/>
  <c r="K5517" i="1"/>
  <c r="A5518" i="1"/>
  <c r="B5518" i="1"/>
  <c r="G5518" i="1"/>
  <c r="K5518" i="1"/>
  <c r="A5519" i="1"/>
  <c r="B5519" i="1"/>
  <c r="G5519" i="1"/>
  <c r="K5519" i="1"/>
  <c r="A5520" i="1"/>
  <c r="B5520" i="1"/>
  <c r="G5520" i="1"/>
  <c r="K5520" i="1"/>
  <c r="A5521" i="1"/>
  <c r="B5521" i="1"/>
  <c r="G5521" i="1"/>
  <c r="K5521" i="1"/>
  <c r="A5522" i="1"/>
  <c r="B5522" i="1"/>
  <c r="G5522" i="1"/>
  <c r="K5522" i="1"/>
  <c r="A5523" i="1"/>
  <c r="B5523" i="1"/>
  <c r="G5523" i="1"/>
  <c r="K5523" i="1"/>
  <c r="A5524" i="1"/>
  <c r="B5524" i="1"/>
  <c r="G5524" i="1"/>
  <c r="K5524" i="1"/>
  <c r="A5525" i="1"/>
  <c r="B5525" i="1"/>
  <c r="G5525" i="1"/>
  <c r="K5525" i="1"/>
  <c r="A5526" i="1"/>
  <c r="B5526" i="1"/>
  <c r="G5526" i="1"/>
  <c r="K5526" i="1"/>
  <c r="A5527" i="1"/>
  <c r="B5527" i="1"/>
  <c r="G5527" i="1"/>
  <c r="K5527" i="1"/>
  <c r="A5528" i="1"/>
  <c r="B5528" i="1"/>
  <c r="G5528" i="1"/>
  <c r="K5528" i="1"/>
  <c r="A5529" i="1"/>
  <c r="B5529" i="1"/>
  <c r="G5529" i="1"/>
  <c r="K5529" i="1"/>
  <c r="A5530" i="1"/>
  <c r="B5530" i="1"/>
  <c r="G5530" i="1"/>
  <c r="K5530" i="1"/>
  <c r="A5531" i="1"/>
  <c r="B5531" i="1"/>
  <c r="G5531" i="1"/>
  <c r="K5531" i="1"/>
  <c r="A5532" i="1"/>
  <c r="B5532" i="1"/>
  <c r="G5532" i="1"/>
  <c r="K5532" i="1"/>
  <c r="A5533" i="1"/>
  <c r="B5533" i="1"/>
  <c r="G5533" i="1"/>
  <c r="K5533" i="1"/>
  <c r="A5534" i="1"/>
  <c r="B5534" i="1"/>
  <c r="G5534" i="1"/>
  <c r="K5534" i="1"/>
  <c r="A5535" i="1"/>
  <c r="B5535" i="1"/>
  <c r="G5535" i="1"/>
  <c r="K5535" i="1"/>
  <c r="A5536" i="1"/>
  <c r="B5536" i="1"/>
  <c r="G5536" i="1"/>
  <c r="K5536" i="1"/>
  <c r="A5537" i="1"/>
  <c r="B5537" i="1"/>
  <c r="G5537" i="1"/>
  <c r="K5537" i="1"/>
  <c r="A5538" i="1"/>
  <c r="B5538" i="1"/>
  <c r="G5538" i="1"/>
  <c r="K5538" i="1"/>
  <c r="A5539" i="1"/>
  <c r="B5539" i="1"/>
  <c r="G5539" i="1"/>
  <c r="K5539" i="1"/>
  <c r="A5540" i="1"/>
  <c r="B5540" i="1"/>
  <c r="G5540" i="1"/>
  <c r="K5540" i="1"/>
  <c r="A5541" i="1"/>
  <c r="B5541" i="1"/>
  <c r="G5541" i="1"/>
  <c r="K5541" i="1"/>
  <c r="A5542" i="1"/>
  <c r="B5542" i="1"/>
  <c r="G5542" i="1"/>
  <c r="K5542" i="1"/>
  <c r="A5543" i="1"/>
  <c r="B5543" i="1"/>
  <c r="G5543" i="1"/>
  <c r="K5543" i="1"/>
  <c r="A5544" i="1"/>
  <c r="B5544" i="1"/>
  <c r="G5544" i="1"/>
  <c r="K5544" i="1"/>
  <c r="A5545" i="1"/>
  <c r="B5545" i="1"/>
  <c r="G5545" i="1"/>
  <c r="K5545" i="1"/>
  <c r="A5546" i="1"/>
  <c r="B5546" i="1"/>
  <c r="G5546" i="1"/>
  <c r="K5546" i="1"/>
  <c r="A5547" i="1"/>
  <c r="B5547" i="1"/>
  <c r="G5547" i="1"/>
  <c r="K5547" i="1"/>
  <c r="A5548" i="1"/>
  <c r="B5548" i="1"/>
  <c r="G5548" i="1"/>
  <c r="K5548" i="1"/>
  <c r="A5549" i="1"/>
  <c r="B5549" i="1"/>
  <c r="G5549" i="1"/>
  <c r="K5549" i="1"/>
  <c r="A5550" i="1"/>
  <c r="B5550" i="1"/>
  <c r="G5550" i="1"/>
  <c r="K5550" i="1"/>
  <c r="A5551" i="1"/>
  <c r="B5551" i="1"/>
  <c r="G5551" i="1"/>
  <c r="K5551" i="1"/>
  <c r="A5552" i="1"/>
  <c r="B5552" i="1"/>
  <c r="G5552" i="1"/>
  <c r="K5552" i="1"/>
  <c r="A5553" i="1"/>
  <c r="B5553" i="1"/>
  <c r="G5553" i="1"/>
  <c r="K5553" i="1"/>
  <c r="A5554" i="1"/>
  <c r="B5554" i="1"/>
  <c r="G5554" i="1"/>
  <c r="K5554" i="1"/>
  <c r="A5555" i="1"/>
  <c r="B5555" i="1"/>
  <c r="G5555" i="1"/>
  <c r="K5555" i="1"/>
  <c r="A5556" i="1"/>
  <c r="B5556" i="1"/>
  <c r="G5556" i="1"/>
  <c r="K5556" i="1"/>
  <c r="A5557" i="1"/>
  <c r="B5557" i="1"/>
  <c r="G5557" i="1"/>
  <c r="K5557" i="1"/>
  <c r="A5558" i="1"/>
  <c r="B5558" i="1"/>
  <c r="G5558" i="1"/>
  <c r="K5558" i="1"/>
  <c r="A5559" i="1"/>
  <c r="B5559" i="1"/>
  <c r="G5559" i="1"/>
  <c r="K5559" i="1"/>
  <c r="A5560" i="1"/>
  <c r="B5560" i="1"/>
  <c r="G5560" i="1"/>
  <c r="K5560" i="1"/>
  <c r="A5561" i="1"/>
  <c r="B5561" i="1"/>
  <c r="G5561" i="1"/>
  <c r="K5561" i="1"/>
  <c r="A5562" i="1"/>
  <c r="B5562" i="1"/>
  <c r="G5562" i="1"/>
  <c r="K5562" i="1"/>
  <c r="A5563" i="1"/>
  <c r="B5563" i="1"/>
  <c r="G5563" i="1"/>
  <c r="K5563" i="1"/>
  <c r="A5564" i="1"/>
  <c r="B5564" i="1"/>
  <c r="G5564" i="1"/>
  <c r="K5564" i="1"/>
  <c r="A5565" i="1"/>
  <c r="B5565" i="1"/>
  <c r="G5565" i="1"/>
  <c r="K5565" i="1"/>
  <c r="A5566" i="1"/>
  <c r="B5566" i="1"/>
  <c r="G5566" i="1"/>
  <c r="K5566" i="1"/>
  <c r="A5567" i="1"/>
  <c r="B5567" i="1"/>
  <c r="G5567" i="1"/>
  <c r="K5567" i="1"/>
  <c r="A5568" i="1"/>
  <c r="B5568" i="1"/>
  <c r="G5568" i="1"/>
  <c r="K5568" i="1"/>
  <c r="A5569" i="1"/>
  <c r="B5569" i="1"/>
  <c r="G5569" i="1"/>
  <c r="K5569" i="1"/>
  <c r="A5570" i="1"/>
  <c r="B5570" i="1"/>
  <c r="G5570" i="1"/>
  <c r="K5570" i="1"/>
  <c r="A5571" i="1"/>
  <c r="B5571" i="1"/>
  <c r="G5571" i="1"/>
  <c r="K5571" i="1"/>
  <c r="A5572" i="1"/>
  <c r="B5572" i="1"/>
  <c r="G5572" i="1"/>
  <c r="K5572" i="1"/>
  <c r="A5573" i="1"/>
  <c r="B5573" i="1"/>
  <c r="G5573" i="1"/>
  <c r="K5573" i="1"/>
  <c r="A5574" i="1"/>
  <c r="B5574" i="1"/>
  <c r="G5574" i="1"/>
  <c r="K5574" i="1"/>
  <c r="A5575" i="1"/>
  <c r="B5575" i="1"/>
  <c r="G5575" i="1"/>
  <c r="K5575" i="1"/>
  <c r="A5576" i="1"/>
  <c r="B5576" i="1"/>
  <c r="G5576" i="1"/>
  <c r="K5576" i="1"/>
  <c r="A5577" i="1"/>
  <c r="B5577" i="1"/>
  <c r="G5577" i="1"/>
  <c r="K5577" i="1"/>
  <c r="A5578" i="1"/>
  <c r="B5578" i="1"/>
  <c r="G5578" i="1"/>
  <c r="K5578" i="1"/>
  <c r="A5579" i="1"/>
  <c r="B5579" i="1"/>
  <c r="G5579" i="1"/>
  <c r="K5579" i="1"/>
  <c r="A5580" i="1"/>
  <c r="B5580" i="1"/>
  <c r="G5580" i="1"/>
  <c r="K5580" i="1"/>
  <c r="A5581" i="1"/>
  <c r="B5581" i="1"/>
  <c r="G5581" i="1"/>
  <c r="K5581" i="1"/>
  <c r="A5582" i="1"/>
  <c r="B5582" i="1"/>
  <c r="G5582" i="1"/>
  <c r="K5582" i="1"/>
  <c r="A5583" i="1"/>
  <c r="B5583" i="1"/>
  <c r="G5583" i="1"/>
  <c r="K5583" i="1"/>
  <c r="A5584" i="1"/>
  <c r="B5584" i="1"/>
  <c r="G5584" i="1"/>
  <c r="K5584" i="1"/>
  <c r="A5585" i="1"/>
  <c r="B5585" i="1"/>
  <c r="G5585" i="1"/>
  <c r="K5585" i="1"/>
  <c r="A5586" i="1"/>
  <c r="B5586" i="1"/>
  <c r="G5586" i="1"/>
  <c r="K5586" i="1"/>
  <c r="A5587" i="1"/>
  <c r="B5587" i="1"/>
  <c r="G5587" i="1"/>
  <c r="K5587" i="1"/>
  <c r="A5588" i="1"/>
  <c r="B5588" i="1"/>
  <c r="G5588" i="1"/>
  <c r="K5588" i="1"/>
  <c r="A5589" i="1"/>
  <c r="B5589" i="1"/>
  <c r="G5589" i="1"/>
  <c r="K5589" i="1"/>
  <c r="A5590" i="1"/>
  <c r="B5590" i="1"/>
  <c r="G5590" i="1"/>
  <c r="K5590" i="1"/>
  <c r="A5591" i="1"/>
  <c r="B5591" i="1"/>
  <c r="G5591" i="1"/>
  <c r="K5591" i="1"/>
  <c r="A5592" i="1"/>
  <c r="B5592" i="1"/>
  <c r="G5592" i="1"/>
  <c r="K5592" i="1"/>
  <c r="A5593" i="1"/>
  <c r="B5593" i="1"/>
  <c r="G5593" i="1"/>
  <c r="K5593" i="1"/>
  <c r="A5594" i="1"/>
  <c r="B5594" i="1"/>
  <c r="G5594" i="1"/>
  <c r="K5594" i="1"/>
  <c r="A5595" i="1"/>
  <c r="B5595" i="1"/>
  <c r="G5595" i="1"/>
  <c r="K5595" i="1"/>
  <c r="A5596" i="1"/>
  <c r="B5596" i="1"/>
  <c r="G5596" i="1"/>
  <c r="K5596" i="1"/>
  <c r="A5597" i="1"/>
  <c r="B5597" i="1"/>
  <c r="G5597" i="1"/>
  <c r="K5597" i="1"/>
  <c r="A5598" i="1"/>
  <c r="B5598" i="1"/>
  <c r="G5598" i="1"/>
  <c r="K5598" i="1"/>
  <c r="A5599" i="1"/>
  <c r="B5599" i="1"/>
  <c r="G5599" i="1"/>
  <c r="K5599" i="1"/>
  <c r="A5600" i="1"/>
  <c r="B5600" i="1"/>
  <c r="G5600" i="1"/>
  <c r="K5600" i="1"/>
  <c r="A5601" i="1"/>
  <c r="B5601" i="1"/>
  <c r="G5601" i="1"/>
  <c r="K5601" i="1"/>
  <c r="A5602" i="1"/>
  <c r="B5602" i="1"/>
  <c r="G5602" i="1"/>
  <c r="K5602" i="1"/>
  <c r="A5603" i="1"/>
  <c r="B5603" i="1"/>
  <c r="G5603" i="1"/>
  <c r="K5603" i="1"/>
  <c r="A5604" i="1"/>
  <c r="B5604" i="1"/>
  <c r="G5604" i="1"/>
  <c r="K5604" i="1"/>
  <c r="A5605" i="1"/>
  <c r="B5605" i="1"/>
  <c r="G5605" i="1"/>
  <c r="K5605" i="1"/>
  <c r="A5606" i="1"/>
  <c r="B5606" i="1"/>
  <c r="G5606" i="1"/>
  <c r="K5606" i="1"/>
  <c r="A5607" i="1"/>
  <c r="B5607" i="1"/>
  <c r="G5607" i="1"/>
  <c r="K5607" i="1"/>
  <c r="A5608" i="1"/>
  <c r="B5608" i="1"/>
  <c r="G5608" i="1"/>
  <c r="K5608" i="1"/>
  <c r="A5609" i="1"/>
  <c r="B5609" i="1"/>
  <c r="G5609" i="1"/>
  <c r="K5609" i="1"/>
  <c r="A5610" i="1"/>
  <c r="B5610" i="1"/>
  <c r="G5610" i="1"/>
  <c r="K5610" i="1"/>
  <c r="A5611" i="1"/>
  <c r="B5611" i="1"/>
  <c r="G5611" i="1"/>
  <c r="K5611" i="1"/>
  <c r="A5612" i="1"/>
  <c r="B5612" i="1"/>
  <c r="G5612" i="1"/>
  <c r="K5612" i="1"/>
  <c r="A5613" i="1"/>
  <c r="B5613" i="1"/>
  <c r="G5613" i="1"/>
  <c r="K5613" i="1"/>
  <c r="A5614" i="1"/>
  <c r="B5614" i="1"/>
  <c r="G5614" i="1"/>
  <c r="K5614" i="1"/>
  <c r="A5615" i="1"/>
  <c r="B5615" i="1"/>
  <c r="G5615" i="1"/>
  <c r="K5615" i="1"/>
  <c r="A5616" i="1"/>
  <c r="B5616" i="1"/>
  <c r="G5616" i="1"/>
  <c r="K5616" i="1"/>
  <c r="A5617" i="1"/>
  <c r="B5617" i="1"/>
  <c r="G5617" i="1"/>
  <c r="K5617" i="1"/>
  <c r="A5618" i="1"/>
  <c r="B5618" i="1"/>
  <c r="G5618" i="1"/>
  <c r="K5618" i="1"/>
  <c r="A5619" i="1"/>
  <c r="B5619" i="1"/>
  <c r="G5619" i="1"/>
  <c r="K5619" i="1"/>
  <c r="A5620" i="1"/>
  <c r="B5620" i="1"/>
  <c r="G5620" i="1"/>
  <c r="K5620" i="1"/>
  <c r="A5621" i="1"/>
  <c r="B5621" i="1"/>
  <c r="G5621" i="1"/>
  <c r="K5621" i="1"/>
  <c r="A5622" i="1"/>
  <c r="B5622" i="1"/>
  <c r="G5622" i="1"/>
  <c r="K5622" i="1"/>
  <c r="A5623" i="1"/>
  <c r="B5623" i="1"/>
  <c r="G5623" i="1"/>
  <c r="K5623" i="1"/>
  <c r="A5624" i="1"/>
  <c r="B5624" i="1"/>
  <c r="G5624" i="1"/>
  <c r="K5624" i="1"/>
  <c r="A5625" i="1"/>
  <c r="B5625" i="1"/>
  <c r="G5625" i="1"/>
  <c r="K5625" i="1"/>
  <c r="A5626" i="1"/>
  <c r="B5626" i="1"/>
  <c r="G5626" i="1"/>
  <c r="K5626" i="1"/>
  <c r="A5627" i="1"/>
  <c r="B5627" i="1"/>
  <c r="G5627" i="1"/>
  <c r="K5627" i="1"/>
  <c r="A5628" i="1"/>
  <c r="B5628" i="1"/>
  <c r="G5628" i="1"/>
  <c r="K5628" i="1"/>
  <c r="A5629" i="1"/>
  <c r="B5629" i="1"/>
  <c r="G5629" i="1"/>
  <c r="K5629" i="1"/>
  <c r="A5630" i="1"/>
  <c r="B5630" i="1"/>
  <c r="G5630" i="1"/>
  <c r="K5630" i="1"/>
  <c r="A5631" i="1"/>
  <c r="B5631" i="1"/>
  <c r="G5631" i="1"/>
  <c r="K5631" i="1"/>
  <c r="A5632" i="1"/>
  <c r="B5632" i="1"/>
  <c r="G5632" i="1"/>
  <c r="K5632" i="1"/>
  <c r="A5633" i="1"/>
  <c r="B5633" i="1"/>
  <c r="G5633" i="1"/>
  <c r="K5633" i="1"/>
  <c r="A5634" i="1"/>
  <c r="B5634" i="1"/>
  <c r="G5634" i="1"/>
  <c r="K5634" i="1"/>
  <c r="A5635" i="1"/>
  <c r="B5635" i="1"/>
  <c r="G5635" i="1"/>
  <c r="K5635" i="1"/>
  <c r="A5636" i="1"/>
  <c r="B5636" i="1"/>
  <c r="G5636" i="1"/>
  <c r="K5636" i="1"/>
  <c r="A5637" i="1"/>
  <c r="B5637" i="1"/>
  <c r="G5637" i="1"/>
  <c r="K5637" i="1"/>
  <c r="A5638" i="1"/>
  <c r="B5638" i="1"/>
  <c r="G5638" i="1"/>
  <c r="K5638" i="1"/>
  <c r="A5639" i="1"/>
  <c r="B5639" i="1"/>
  <c r="G5639" i="1"/>
  <c r="K5639" i="1"/>
  <c r="A5640" i="1"/>
  <c r="B5640" i="1"/>
  <c r="G5640" i="1"/>
  <c r="K5640" i="1"/>
  <c r="A5641" i="1"/>
  <c r="B5641" i="1"/>
  <c r="G5641" i="1"/>
  <c r="K5641" i="1"/>
  <c r="A5642" i="1"/>
  <c r="B5642" i="1"/>
  <c r="G5642" i="1"/>
  <c r="K5642" i="1"/>
  <c r="A5643" i="1"/>
  <c r="B5643" i="1"/>
  <c r="G5643" i="1"/>
  <c r="K5643" i="1"/>
  <c r="A5644" i="1"/>
  <c r="B5644" i="1"/>
  <c r="G5644" i="1"/>
  <c r="K5644" i="1"/>
  <c r="A5645" i="1"/>
  <c r="B5645" i="1"/>
  <c r="G5645" i="1"/>
  <c r="K5645" i="1"/>
  <c r="A5646" i="1"/>
  <c r="B5646" i="1"/>
  <c r="G5646" i="1"/>
  <c r="K5646" i="1"/>
  <c r="A5647" i="1"/>
  <c r="B5647" i="1"/>
  <c r="G5647" i="1"/>
  <c r="K5647" i="1"/>
  <c r="A5648" i="1"/>
  <c r="B5648" i="1"/>
  <c r="G5648" i="1"/>
  <c r="K5648" i="1"/>
  <c r="A5649" i="1"/>
  <c r="B5649" i="1"/>
  <c r="G5649" i="1"/>
  <c r="K5649" i="1"/>
  <c r="A5650" i="1"/>
  <c r="B5650" i="1"/>
  <c r="G5650" i="1"/>
  <c r="K5650" i="1"/>
  <c r="A5651" i="1"/>
  <c r="B5651" i="1"/>
  <c r="G5651" i="1"/>
  <c r="K5651" i="1"/>
  <c r="A5652" i="1"/>
  <c r="B5652" i="1"/>
  <c r="G5652" i="1"/>
  <c r="K5652" i="1"/>
  <c r="A5653" i="1"/>
  <c r="B5653" i="1"/>
  <c r="G5653" i="1"/>
  <c r="K5653" i="1"/>
  <c r="A5654" i="1"/>
  <c r="B5654" i="1"/>
  <c r="G5654" i="1"/>
  <c r="K5654" i="1"/>
  <c r="A5655" i="1"/>
  <c r="B5655" i="1"/>
  <c r="G5655" i="1"/>
  <c r="K5655" i="1"/>
  <c r="A5656" i="1"/>
  <c r="B5656" i="1"/>
  <c r="G5656" i="1"/>
  <c r="K5656" i="1"/>
  <c r="A5657" i="1"/>
  <c r="B5657" i="1"/>
  <c r="G5657" i="1"/>
  <c r="K5657" i="1"/>
  <c r="A5658" i="1"/>
  <c r="B5658" i="1"/>
  <c r="G5658" i="1"/>
  <c r="K5658" i="1"/>
  <c r="A5659" i="1"/>
  <c r="B5659" i="1"/>
  <c r="G5659" i="1"/>
  <c r="K5659" i="1"/>
  <c r="A5660" i="1"/>
  <c r="B5660" i="1"/>
  <c r="G5660" i="1"/>
  <c r="K5660" i="1"/>
  <c r="A5661" i="1"/>
  <c r="B5661" i="1"/>
  <c r="G5661" i="1"/>
  <c r="K5661" i="1"/>
  <c r="A5662" i="1"/>
  <c r="B5662" i="1"/>
  <c r="G5662" i="1"/>
  <c r="K5662" i="1"/>
  <c r="A5663" i="1"/>
  <c r="B5663" i="1"/>
  <c r="G5663" i="1"/>
  <c r="K5663" i="1"/>
  <c r="A5664" i="1"/>
  <c r="B5664" i="1"/>
  <c r="G5664" i="1"/>
  <c r="K5664" i="1"/>
  <c r="A5665" i="1"/>
  <c r="B5665" i="1"/>
  <c r="G5665" i="1"/>
  <c r="K5665" i="1"/>
  <c r="A5666" i="1"/>
  <c r="B5666" i="1"/>
  <c r="G5666" i="1"/>
  <c r="K5666" i="1"/>
  <c r="A5667" i="1"/>
  <c r="B5667" i="1"/>
  <c r="G5667" i="1"/>
  <c r="K5667" i="1"/>
  <c r="A5668" i="1"/>
  <c r="B5668" i="1"/>
  <c r="G5668" i="1"/>
  <c r="K5668" i="1"/>
  <c r="A5669" i="1"/>
  <c r="B5669" i="1"/>
  <c r="G5669" i="1"/>
  <c r="K5669" i="1"/>
  <c r="A5670" i="1"/>
  <c r="B5670" i="1"/>
  <c r="G5670" i="1"/>
  <c r="K5670" i="1"/>
  <c r="A5671" i="1"/>
  <c r="B5671" i="1"/>
  <c r="G5671" i="1"/>
  <c r="K5671" i="1"/>
  <c r="A5672" i="1"/>
  <c r="B5672" i="1"/>
  <c r="G5672" i="1"/>
  <c r="K5672" i="1"/>
  <c r="A5673" i="1"/>
  <c r="B5673" i="1"/>
  <c r="G5673" i="1"/>
  <c r="K5673" i="1"/>
  <c r="A5674" i="1"/>
  <c r="B5674" i="1"/>
  <c r="G5674" i="1"/>
  <c r="K5674" i="1"/>
  <c r="A5675" i="1"/>
  <c r="B5675" i="1"/>
  <c r="G5675" i="1"/>
  <c r="K5675" i="1"/>
  <c r="A5676" i="1"/>
  <c r="B5676" i="1"/>
  <c r="G5676" i="1"/>
  <c r="K5676" i="1"/>
  <c r="A5677" i="1"/>
  <c r="B5677" i="1"/>
  <c r="G5677" i="1"/>
  <c r="K5677" i="1"/>
  <c r="A5678" i="1"/>
  <c r="B5678" i="1"/>
  <c r="G5678" i="1"/>
  <c r="K5678" i="1"/>
  <c r="A5679" i="1"/>
  <c r="B5679" i="1"/>
  <c r="G5679" i="1"/>
  <c r="K5679" i="1"/>
  <c r="A5680" i="1"/>
  <c r="B5680" i="1"/>
  <c r="G5680" i="1"/>
  <c r="K5680" i="1"/>
  <c r="A5681" i="1"/>
  <c r="B5681" i="1"/>
  <c r="G5681" i="1"/>
  <c r="K5681" i="1"/>
  <c r="A5682" i="1"/>
  <c r="B5682" i="1"/>
  <c r="G5682" i="1"/>
  <c r="K5682" i="1"/>
  <c r="A5683" i="1"/>
  <c r="B5683" i="1"/>
  <c r="G5683" i="1"/>
  <c r="K5683" i="1"/>
  <c r="A5684" i="1"/>
  <c r="B5684" i="1"/>
  <c r="G5684" i="1"/>
  <c r="K5684" i="1"/>
  <c r="A5685" i="1"/>
  <c r="B5685" i="1"/>
  <c r="G5685" i="1"/>
  <c r="K5685" i="1"/>
  <c r="A5686" i="1"/>
  <c r="B5686" i="1"/>
  <c r="G5686" i="1"/>
  <c r="K5686" i="1"/>
  <c r="A5687" i="1"/>
  <c r="B5687" i="1"/>
  <c r="G5687" i="1"/>
  <c r="K5687" i="1"/>
  <c r="A5688" i="1"/>
  <c r="B5688" i="1"/>
  <c r="G5688" i="1"/>
  <c r="K5688" i="1"/>
  <c r="A5689" i="1"/>
  <c r="B5689" i="1"/>
  <c r="G5689" i="1"/>
  <c r="K5689" i="1"/>
  <c r="A5690" i="1"/>
  <c r="B5690" i="1"/>
  <c r="G5690" i="1"/>
  <c r="K5690" i="1"/>
  <c r="A5691" i="1"/>
  <c r="B5691" i="1"/>
  <c r="G5691" i="1"/>
  <c r="K5691" i="1"/>
  <c r="A5692" i="1"/>
  <c r="B5692" i="1"/>
  <c r="G5692" i="1"/>
  <c r="K5692" i="1"/>
  <c r="A5693" i="1"/>
  <c r="B5693" i="1"/>
  <c r="G5693" i="1"/>
  <c r="K5693" i="1"/>
  <c r="A5694" i="1"/>
  <c r="B5694" i="1"/>
  <c r="G5694" i="1"/>
  <c r="K5694" i="1"/>
  <c r="A5695" i="1"/>
  <c r="B5695" i="1"/>
  <c r="G5695" i="1"/>
  <c r="K5695" i="1"/>
  <c r="A5696" i="1"/>
  <c r="B5696" i="1"/>
  <c r="G5696" i="1"/>
  <c r="K5696" i="1"/>
  <c r="A5697" i="1"/>
  <c r="B5697" i="1"/>
  <c r="G5697" i="1"/>
  <c r="K5697" i="1"/>
  <c r="A5698" i="1"/>
  <c r="B5698" i="1"/>
  <c r="G5698" i="1"/>
  <c r="K5698" i="1"/>
  <c r="A5699" i="1"/>
  <c r="B5699" i="1"/>
  <c r="G5699" i="1"/>
  <c r="K5699" i="1"/>
  <c r="A5700" i="1"/>
  <c r="B5700" i="1"/>
  <c r="G5700" i="1"/>
  <c r="K5700" i="1"/>
  <c r="A5701" i="1"/>
  <c r="B5701" i="1"/>
  <c r="G5701" i="1"/>
  <c r="K5701" i="1"/>
  <c r="A5702" i="1"/>
  <c r="B5702" i="1"/>
  <c r="G5702" i="1"/>
  <c r="K5702" i="1"/>
  <c r="A5703" i="1"/>
  <c r="B5703" i="1"/>
  <c r="G5703" i="1"/>
  <c r="K5703" i="1"/>
  <c r="A5704" i="1"/>
  <c r="B5704" i="1"/>
  <c r="G5704" i="1"/>
  <c r="K5704" i="1"/>
  <c r="A5705" i="1"/>
  <c r="B5705" i="1"/>
  <c r="G5705" i="1"/>
  <c r="K5705" i="1"/>
  <c r="A5706" i="1"/>
  <c r="B5706" i="1"/>
  <c r="G5706" i="1"/>
  <c r="K5706" i="1"/>
  <c r="A5707" i="1"/>
  <c r="B5707" i="1"/>
  <c r="G5707" i="1"/>
  <c r="K5707" i="1"/>
  <c r="A5708" i="1"/>
  <c r="B5708" i="1"/>
  <c r="G5708" i="1"/>
  <c r="K5708" i="1"/>
  <c r="A5709" i="1"/>
  <c r="B5709" i="1"/>
  <c r="G5709" i="1"/>
  <c r="K5709" i="1"/>
  <c r="A5710" i="1"/>
  <c r="B5710" i="1"/>
  <c r="G5710" i="1"/>
  <c r="K5710" i="1"/>
  <c r="A5711" i="1"/>
  <c r="B5711" i="1"/>
  <c r="G5711" i="1"/>
  <c r="K5711" i="1"/>
  <c r="A5712" i="1"/>
  <c r="B5712" i="1"/>
  <c r="G5712" i="1"/>
  <c r="K5712" i="1"/>
  <c r="A5713" i="1"/>
  <c r="B5713" i="1"/>
  <c r="G5713" i="1"/>
  <c r="K5713" i="1"/>
  <c r="A5714" i="1"/>
  <c r="B5714" i="1"/>
  <c r="G5714" i="1"/>
  <c r="K5714" i="1"/>
  <c r="A5715" i="1"/>
  <c r="B5715" i="1"/>
  <c r="G5715" i="1"/>
  <c r="K5715" i="1"/>
  <c r="A5716" i="1"/>
  <c r="B5716" i="1"/>
  <c r="G5716" i="1"/>
  <c r="K5716" i="1"/>
  <c r="A5717" i="1"/>
  <c r="B5717" i="1"/>
  <c r="G5717" i="1"/>
  <c r="K5717" i="1"/>
  <c r="A5718" i="1"/>
  <c r="B5718" i="1"/>
  <c r="G5718" i="1"/>
  <c r="K5718" i="1"/>
  <c r="A5719" i="1"/>
  <c r="B5719" i="1"/>
  <c r="G5719" i="1"/>
  <c r="K5719" i="1"/>
  <c r="A5720" i="1"/>
  <c r="B5720" i="1"/>
  <c r="G5720" i="1"/>
  <c r="K5720" i="1"/>
  <c r="A5721" i="1"/>
  <c r="B5721" i="1"/>
  <c r="G5721" i="1"/>
  <c r="K5721" i="1"/>
  <c r="A5722" i="1"/>
  <c r="B5722" i="1"/>
  <c r="G5722" i="1"/>
  <c r="K5722" i="1"/>
  <c r="A5723" i="1"/>
  <c r="B5723" i="1"/>
  <c r="G5723" i="1"/>
  <c r="K5723" i="1"/>
  <c r="A5724" i="1"/>
  <c r="B5724" i="1"/>
  <c r="G5724" i="1"/>
  <c r="K5724" i="1"/>
  <c r="A5725" i="1"/>
  <c r="B5725" i="1"/>
  <c r="G5725" i="1"/>
  <c r="K5725" i="1"/>
  <c r="A5726" i="1"/>
  <c r="B5726" i="1"/>
  <c r="G5726" i="1"/>
  <c r="K5726" i="1"/>
  <c r="A5727" i="1"/>
  <c r="B5727" i="1"/>
  <c r="G5727" i="1"/>
  <c r="K5727" i="1"/>
  <c r="A5728" i="1"/>
  <c r="B5728" i="1"/>
  <c r="G5728" i="1"/>
  <c r="K5728" i="1"/>
  <c r="A5729" i="1"/>
  <c r="B5729" i="1"/>
  <c r="G5729" i="1"/>
  <c r="K5729" i="1"/>
  <c r="A5730" i="1"/>
  <c r="B5730" i="1"/>
  <c r="G5730" i="1"/>
  <c r="K5730" i="1"/>
  <c r="A5731" i="1"/>
  <c r="B5731" i="1"/>
  <c r="G5731" i="1"/>
  <c r="K5731" i="1"/>
  <c r="A5732" i="1"/>
  <c r="B5732" i="1"/>
  <c r="G5732" i="1"/>
  <c r="K5732" i="1"/>
  <c r="A5733" i="1"/>
  <c r="B5733" i="1"/>
  <c r="G5733" i="1"/>
  <c r="K5733" i="1"/>
  <c r="A5734" i="1"/>
  <c r="B5734" i="1"/>
  <c r="G5734" i="1"/>
  <c r="K5734" i="1"/>
  <c r="A5735" i="1"/>
  <c r="B5735" i="1"/>
  <c r="G5735" i="1"/>
  <c r="K5735" i="1"/>
  <c r="A5736" i="1"/>
  <c r="B5736" i="1"/>
  <c r="G5736" i="1"/>
  <c r="K5736" i="1"/>
  <c r="A5737" i="1"/>
  <c r="B5737" i="1"/>
  <c r="G5737" i="1"/>
  <c r="K5737" i="1"/>
  <c r="A5738" i="1"/>
  <c r="B5738" i="1"/>
  <c r="G5738" i="1"/>
  <c r="K5738" i="1"/>
  <c r="A5739" i="1"/>
  <c r="B5739" i="1"/>
  <c r="G5739" i="1"/>
  <c r="K5739" i="1"/>
  <c r="A5740" i="1"/>
  <c r="B5740" i="1"/>
  <c r="G5740" i="1"/>
  <c r="K5740" i="1"/>
  <c r="A5741" i="1"/>
  <c r="B5741" i="1"/>
  <c r="G5741" i="1"/>
  <c r="K5741" i="1"/>
  <c r="A5742" i="1"/>
  <c r="B5742" i="1"/>
  <c r="G5742" i="1"/>
  <c r="K5742" i="1"/>
  <c r="A5743" i="1"/>
  <c r="B5743" i="1"/>
  <c r="G5743" i="1"/>
  <c r="K5743" i="1"/>
  <c r="A5744" i="1"/>
  <c r="B5744" i="1"/>
  <c r="G5744" i="1"/>
  <c r="K5744" i="1"/>
  <c r="A5745" i="1"/>
  <c r="B5745" i="1"/>
  <c r="G5745" i="1"/>
  <c r="K5745" i="1"/>
  <c r="A5746" i="1"/>
  <c r="B5746" i="1"/>
  <c r="G5746" i="1"/>
  <c r="K5746" i="1"/>
  <c r="A5747" i="1"/>
  <c r="B5747" i="1"/>
  <c r="G5747" i="1"/>
  <c r="K5747" i="1"/>
  <c r="A5748" i="1"/>
  <c r="B5748" i="1"/>
  <c r="G5748" i="1"/>
  <c r="K5748" i="1"/>
  <c r="A5749" i="1"/>
  <c r="B5749" i="1"/>
  <c r="G5749" i="1"/>
  <c r="K5749" i="1"/>
  <c r="A5750" i="1"/>
  <c r="B5750" i="1"/>
  <c r="G5750" i="1"/>
  <c r="K5750" i="1"/>
  <c r="A5751" i="1"/>
  <c r="B5751" i="1"/>
  <c r="G5751" i="1"/>
  <c r="K5751" i="1"/>
  <c r="A5752" i="1"/>
  <c r="B5752" i="1"/>
  <c r="G5752" i="1"/>
  <c r="K5752" i="1"/>
  <c r="A5753" i="1"/>
  <c r="B5753" i="1"/>
  <c r="G5753" i="1"/>
  <c r="K5753" i="1"/>
  <c r="A5754" i="1"/>
  <c r="B5754" i="1"/>
  <c r="G5754" i="1"/>
  <c r="K5754" i="1"/>
  <c r="A5755" i="1"/>
  <c r="B5755" i="1"/>
  <c r="G5755" i="1"/>
  <c r="K5755" i="1"/>
  <c r="A5756" i="1"/>
  <c r="B5756" i="1"/>
  <c r="G5756" i="1"/>
  <c r="K5756" i="1"/>
  <c r="A5757" i="1"/>
  <c r="B5757" i="1"/>
  <c r="G5757" i="1"/>
  <c r="K5757" i="1"/>
  <c r="A5758" i="1"/>
  <c r="B5758" i="1"/>
  <c r="G5758" i="1"/>
  <c r="K5758" i="1"/>
  <c r="A5759" i="1"/>
  <c r="B5759" i="1"/>
  <c r="G5759" i="1"/>
  <c r="K5759" i="1"/>
  <c r="A5760" i="1"/>
  <c r="B5760" i="1"/>
  <c r="G5760" i="1"/>
  <c r="K5760" i="1"/>
  <c r="A5761" i="1"/>
  <c r="B5761" i="1"/>
  <c r="G5761" i="1"/>
  <c r="K5761" i="1"/>
  <c r="A5762" i="1"/>
  <c r="B5762" i="1"/>
  <c r="G5762" i="1"/>
  <c r="K5762" i="1"/>
  <c r="A5763" i="1"/>
  <c r="B5763" i="1"/>
  <c r="G5763" i="1"/>
  <c r="K5763" i="1"/>
  <c r="A5764" i="1"/>
  <c r="B5764" i="1"/>
  <c r="G5764" i="1"/>
  <c r="K5764" i="1"/>
  <c r="A5765" i="1"/>
  <c r="B5765" i="1"/>
  <c r="G5765" i="1"/>
  <c r="K5765" i="1"/>
  <c r="A5766" i="1"/>
  <c r="B5766" i="1"/>
  <c r="G5766" i="1"/>
  <c r="K5766" i="1"/>
  <c r="A5767" i="1"/>
  <c r="B5767" i="1"/>
  <c r="G5767" i="1"/>
  <c r="K5767" i="1"/>
  <c r="A5768" i="1"/>
  <c r="B5768" i="1"/>
  <c r="G5768" i="1"/>
  <c r="K5768" i="1"/>
  <c r="A5769" i="1"/>
  <c r="B5769" i="1"/>
  <c r="G5769" i="1"/>
  <c r="K5769" i="1"/>
  <c r="A5770" i="1"/>
  <c r="B5770" i="1"/>
  <c r="G5770" i="1"/>
  <c r="K5770" i="1"/>
  <c r="A5771" i="1"/>
  <c r="B5771" i="1"/>
  <c r="G5771" i="1"/>
  <c r="K5771" i="1"/>
  <c r="A5772" i="1"/>
  <c r="B5772" i="1"/>
  <c r="G5772" i="1"/>
  <c r="K5772" i="1"/>
  <c r="A5773" i="1"/>
  <c r="B5773" i="1"/>
  <c r="G5773" i="1"/>
  <c r="K5773" i="1"/>
  <c r="A5774" i="1"/>
  <c r="B5774" i="1"/>
  <c r="G5774" i="1"/>
  <c r="K5774" i="1"/>
  <c r="A5775" i="1"/>
  <c r="B5775" i="1"/>
  <c r="G5775" i="1"/>
  <c r="K5775" i="1"/>
  <c r="A5776" i="1"/>
  <c r="B5776" i="1"/>
  <c r="G5776" i="1"/>
  <c r="K5776" i="1"/>
  <c r="A5777" i="1"/>
  <c r="B5777" i="1"/>
  <c r="G5777" i="1"/>
  <c r="K5777" i="1"/>
  <c r="A5778" i="1"/>
  <c r="B5778" i="1"/>
  <c r="G5778" i="1"/>
  <c r="K5778" i="1"/>
  <c r="A5779" i="1"/>
  <c r="B5779" i="1"/>
  <c r="G5779" i="1"/>
  <c r="K5779" i="1"/>
  <c r="A5780" i="1"/>
  <c r="B5780" i="1"/>
  <c r="G5780" i="1"/>
  <c r="K5780" i="1"/>
  <c r="A5781" i="1"/>
  <c r="B5781" i="1"/>
  <c r="G5781" i="1"/>
  <c r="K5781" i="1"/>
  <c r="A5782" i="1"/>
  <c r="B5782" i="1"/>
  <c r="G5782" i="1"/>
  <c r="K5782" i="1"/>
  <c r="A5783" i="1"/>
  <c r="B5783" i="1"/>
  <c r="G5783" i="1"/>
  <c r="K5783" i="1"/>
  <c r="A5784" i="1"/>
  <c r="B5784" i="1"/>
  <c r="G5784" i="1"/>
  <c r="K5784" i="1"/>
  <c r="A5785" i="1"/>
  <c r="B5785" i="1"/>
  <c r="G5785" i="1"/>
  <c r="K5785" i="1"/>
  <c r="A5786" i="1"/>
  <c r="B5786" i="1"/>
  <c r="G5786" i="1"/>
  <c r="K5786" i="1"/>
  <c r="A5787" i="1"/>
  <c r="B5787" i="1"/>
  <c r="G5787" i="1"/>
  <c r="K5787" i="1"/>
  <c r="A5788" i="1"/>
  <c r="B5788" i="1"/>
  <c r="G5788" i="1"/>
  <c r="K5788" i="1"/>
  <c r="A5789" i="1"/>
  <c r="B5789" i="1"/>
  <c r="G5789" i="1"/>
  <c r="K5789" i="1"/>
  <c r="A5790" i="1"/>
  <c r="B5790" i="1"/>
  <c r="G5790" i="1"/>
  <c r="K5790" i="1"/>
  <c r="A5791" i="1"/>
  <c r="B5791" i="1"/>
  <c r="G5791" i="1"/>
  <c r="K5791" i="1"/>
  <c r="A5792" i="1"/>
  <c r="B5792" i="1"/>
  <c r="G5792" i="1"/>
  <c r="K5792" i="1"/>
  <c r="A5793" i="1"/>
  <c r="B5793" i="1"/>
  <c r="G5793" i="1"/>
  <c r="K5793" i="1"/>
  <c r="A5794" i="1"/>
  <c r="B5794" i="1"/>
  <c r="G5794" i="1"/>
  <c r="K5794" i="1"/>
  <c r="A5795" i="1"/>
  <c r="B5795" i="1"/>
  <c r="G5795" i="1"/>
  <c r="K5795" i="1"/>
  <c r="A5796" i="1"/>
  <c r="B5796" i="1"/>
  <c r="G5796" i="1"/>
  <c r="K5796" i="1"/>
  <c r="A5797" i="1"/>
  <c r="B5797" i="1"/>
  <c r="G5797" i="1"/>
  <c r="K5797" i="1"/>
  <c r="A5798" i="1"/>
  <c r="B5798" i="1"/>
  <c r="G5798" i="1"/>
  <c r="K5798" i="1"/>
  <c r="A5799" i="1"/>
  <c r="B5799" i="1"/>
  <c r="G5799" i="1"/>
  <c r="K5799" i="1"/>
  <c r="A5800" i="1"/>
  <c r="B5800" i="1"/>
  <c r="G5800" i="1"/>
  <c r="K5800" i="1"/>
  <c r="A5801" i="1"/>
  <c r="B5801" i="1"/>
  <c r="G5801" i="1"/>
  <c r="K5801" i="1"/>
  <c r="A5802" i="1"/>
  <c r="B5802" i="1"/>
  <c r="G5802" i="1"/>
  <c r="K5802" i="1"/>
  <c r="A5803" i="1"/>
  <c r="B5803" i="1"/>
  <c r="G5803" i="1"/>
  <c r="K5803" i="1"/>
  <c r="A5804" i="1"/>
  <c r="B5804" i="1"/>
  <c r="G5804" i="1"/>
  <c r="K5804" i="1"/>
  <c r="A5805" i="1"/>
  <c r="B5805" i="1"/>
  <c r="G5805" i="1"/>
  <c r="K5805" i="1"/>
  <c r="A5806" i="1"/>
  <c r="B5806" i="1"/>
  <c r="G5806" i="1"/>
  <c r="K5806" i="1"/>
  <c r="A5807" i="1"/>
  <c r="B5807" i="1"/>
  <c r="G5807" i="1"/>
  <c r="K5807" i="1"/>
  <c r="A5808" i="1"/>
  <c r="B5808" i="1"/>
  <c r="G5808" i="1"/>
  <c r="K5808" i="1"/>
  <c r="A5809" i="1"/>
  <c r="B5809" i="1"/>
  <c r="G5809" i="1"/>
  <c r="K5809" i="1"/>
  <c r="A5810" i="1"/>
  <c r="B5810" i="1"/>
  <c r="G5810" i="1"/>
  <c r="K5810" i="1"/>
  <c r="A5811" i="1"/>
  <c r="B5811" i="1"/>
  <c r="G5811" i="1"/>
  <c r="K5811" i="1"/>
  <c r="A5812" i="1"/>
  <c r="B5812" i="1"/>
  <c r="G5812" i="1"/>
  <c r="K5812" i="1"/>
  <c r="A5813" i="1"/>
  <c r="B5813" i="1"/>
  <c r="G5813" i="1"/>
  <c r="K5813" i="1"/>
  <c r="A5814" i="1"/>
  <c r="B5814" i="1"/>
  <c r="G5814" i="1"/>
  <c r="K5814" i="1"/>
  <c r="A5815" i="1"/>
  <c r="B5815" i="1"/>
  <c r="G5815" i="1"/>
  <c r="K5815" i="1"/>
  <c r="A5816" i="1"/>
  <c r="B5816" i="1"/>
  <c r="G5816" i="1"/>
  <c r="K5816" i="1"/>
  <c r="A5817" i="1"/>
  <c r="B5817" i="1"/>
  <c r="G5817" i="1"/>
  <c r="K5817" i="1"/>
  <c r="A5818" i="1"/>
  <c r="B5818" i="1"/>
  <c r="G5818" i="1"/>
  <c r="K5818" i="1"/>
  <c r="A5819" i="1"/>
  <c r="B5819" i="1"/>
  <c r="G5819" i="1"/>
  <c r="K5819" i="1"/>
  <c r="A5820" i="1"/>
  <c r="B5820" i="1"/>
  <c r="G5820" i="1"/>
  <c r="K5820" i="1"/>
  <c r="A5821" i="1"/>
  <c r="B5821" i="1"/>
  <c r="G5821" i="1"/>
  <c r="K5821" i="1"/>
  <c r="A5822" i="1"/>
  <c r="B5822" i="1"/>
  <c r="G5822" i="1"/>
  <c r="K5822" i="1"/>
  <c r="A5823" i="1"/>
  <c r="B5823" i="1"/>
  <c r="G5823" i="1"/>
  <c r="K5823" i="1"/>
  <c r="A5824" i="1"/>
  <c r="B5824" i="1"/>
  <c r="G5824" i="1"/>
  <c r="K5824" i="1"/>
  <c r="A5825" i="1"/>
  <c r="B5825" i="1"/>
  <c r="G5825" i="1"/>
  <c r="K5825" i="1"/>
  <c r="A5826" i="1"/>
  <c r="B5826" i="1"/>
  <c r="G5826" i="1"/>
  <c r="K5826" i="1"/>
  <c r="A5827" i="1"/>
  <c r="B5827" i="1"/>
  <c r="G5827" i="1"/>
  <c r="K5827" i="1"/>
  <c r="A5828" i="1"/>
  <c r="B5828" i="1"/>
  <c r="G5828" i="1"/>
  <c r="K5828" i="1"/>
  <c r="A5829" i="1"/>
  <c r="B5829" i="1"/>
  <c r="G5829" i="1"/>
  <c r="K5829" i="1"/>
  <c r="A5830" i="1"/>
  <c r="B5830" i="1"/>
  <c r="G5830" i="1"/>
  <c r="K5830" i="1"/>
  <c r="A5831" i="1"/>
  <c r="B5831" i="1"/>
  <c r="G5831" i="1"/>
  <c r="K5831" i="1"/>
  <c r="A5832" i="1"/>
  <c r="B5832" i="1"/>
  <c r="G5832" i="1"/>
  <c r="K5832" i="1"/>
  <c r="A5833" i="1"/>
  <c r="B5833" i="1"/>
  <c r="G5833" i="1"/>
  <c r="K5833" i="1"/>
  <c r="A5834" i="1"/>
  <c r="B5834" i="1"/>
  <c r="G5834" i="1"/>
  <c r="K5834" i="1"/>
  <c r="A5835" i="1"/>
  <c r="B5835" i="1"/>
  <c r="G5835" i="1"/>
  <c r="K5835" i="1"/>
  <c r="A5836" i="1"/>
  <c r="B5836" i="1"/>
  <c r="G5836" i="1"/>
  <c r="K5836" i="1"/>
  <c r="A5837" i="1"/>
  <c r="B5837" i="1"/>
  <c r="G5837" i="1"/>
  <c r="K5837" i="1"/>
  <c r="A5838" i="1"/>
  <c r="B5838" i="1"/>
  <c r="G5838" i="1"/>
  <c r="K5838" i="1"/>
  <c r="A5839" i="1"/>
  <c r="B5839" i="1"/>
  <c r="G5839" i="1"/>
  <c r="K5839" i="1"/>
  <c r="A5840" i="1"/>
  <c r="B5840" i="1"/>
  <c r="G5840" i="1"/>
  <c r="K5840" i="1"/>
  <c r="A5841" i="1"/>
  <c r="B5841" i="1"/>
  <c r="G5841" i="1"/>
  <c r="K5841" i="1"/>
  <c r="A5842" i="1"/>
  <c r="B5842" i="1"/>
  <c r="G5842" i="1"/>
  <c r="K5842" i="1"/>
  <c r="A5843" i="1"/>
  <c r="B5843" i="1"/>
  <c r="G5843" i="1"/>
  <c r="K5843" i="1"/>
  <c r="A5844" i="1"/>
  <c r="B5844" i="1"/>
  <c r="G5844" i="1"/>
  <c r="K5844" i="1"/>
  <c r="A5845" i="1"/>
  <c r="B5845" i="1"/>
  <c r="G5845" i="1"/>
  <c r="K5845" i="1"/>
  <c r="A5846" i="1"/>
  <c r="B5846" i="1"/>
  <c r="G5846" i="1"/>
  <c r="K5846" i="1"/>
  <c r="A5847" i="1"/>
  <c r="B5847" i="1"/>
  <c r="G5847" i="1"/>
  <c r="K5847" i="1"/>
  <c r="A5848" i="1"/>
  <c r="B5848" i="1"/>
  <c r="G5848" i="1"/>
  <c r="K5848" i="1"/>
  <c r="A5849" i="1"/>
  <c r="B5849" i="1"/>
  <c r="G5849" i="1"/>
  <c r="K5849" i="1"/>
  <c r="A5850" i="1"/>
  <c r="B5850" i="1"/>
  <c r="G5850" i="1"/>
  <c r="K5850" i="1"/>
  <c r="A5851" i="1"/>
  <c r="B5851" i="1"/>
  <c r="G5851" i="1"/>
  <c r="K5851" i="1"/>
  <c r="A5852" i="1"/>
  <c r="B5852" i="1"/>
  <c r="G5852" i="1"/>
  <c r="K5852" i="1"/>
  <c r="A5853" i="1"/>
  <c r="B5853" i="1"/>
  <c r="G5853" i="1"/>
  <c r="K5853" i="1"/>
  <c r="A5854" i="1"/>
  <c r="B5854" i="1"/>
  <c r="G5854" i="1"/>
  <c r="K5854" i="1"/>
  <c r="A5855" i="1"/>
  <c r="B5855" i="1"/>
  <c r="G5855" i="1"/>
  <c r="K5855" i="1"/>
  <c r="A5856" i="1"/>
  <c r="B5856" i="1"/>
  <c r="G5856" i="1"/>
  <c r="K5856" i="1"/>
  <c r="A5857" i="1"/>
  <c r="B5857" i="1"/>
  <c r="G5857" i="1"/>
  <c r="K5857" i="1"/>
  <c r="A5858" i="1"/>
  <c r="B5858" i="1"/>
  <c r="G5858" i="1"/>
  <c r="K5858" i="1"/>
  <c r="A5859" i="1"/>
  <c r="B5859" i="1"/>
  <c r="G5859" i="1"/>
  <c r="K5859" i="1"/>
  <c r="A5860" i="1"/>
  <c r="B5860" i="1"/>
  <c r="G5860" i="1"/>
  <c r="K5860" i="1"/>
  <c r="A5861" i="1"/>
  <c r="B5861" i="1"/>
  <c r="G5861" i="1"/>
  <c r="K5861" i="1"/>
  <c r="A5862" i="1"/>
  <c r="B5862" i="1"/>
  <c r="G5862" i="1"/>
  <c r="K5862" i="1"/>
  <c r="A5863" i="1"/>
  <c r="B5863" i="1"/>
  <c r="G5863" i="1"/>
  <c r="K5863" i="1"/>
  <c r="A5864" i="1"/>
  <c r="B5864" i="1"/>
  <c r="G5864" i="1"/>
  <c r="K5864" i="1"/>
  <c r="A5865" i="1"/>
  <c r="B5865" i="1"/>
  <c r="G5865" i="1"/>
  <c r="K5865" i="1"/>
  <c r="A5866" i="1"/>
  <c r="B5866" i="1"/>
  <c r="G5866" i="1"/>
  <c r="K5866" i="1"/>
  <c r="A5867" i="1"/>
  <c r="B5867" i="1"/>
  <c r="G5867" i="1"/>
  <c r="K5867" i="1"/>
  <c r="A5868" i="1"/>
  <c r="B5868" i="1"/>
  <c r="G5868" i="1"/>
  <c r="K5868" i="1"/>
  <c r="A5869" i="1"/>
  <c r="B5869" i="1"/>
  <c r="G5869" i="1"/>
  <c r="K5869" i="1"/>
  <c r="A5870" i="1"/>
  <c r="B5870" i="1"/>
  <c r="G5870" i="1"/>
  <c r="K5870" i="1"/>
  <c r="A5871" i="1"/>
  <c r="B5871" i="1"/>
  <c r="G5871" i="1"/>
  <c r="K5871" i="1"/>
  <c r="A5872" i="1"/>
  <c r="B5872" i="1"/>
  <c r="G5872" i="1"/>
  <c r="K5872" i="1"/>
  <c r="A5873" i="1"/>
  <c r="B5873" i="1"/>
  <c r="G5873" i="1"/>
  <c r="K5873" i="1"/>
  <c r="A5874" i="1"/>
  <c r="B5874" i="1"/>
  <c r="G5874" i="1"/>
  <c r="K5874" i="1"/>
  <c r="A5875" i="1"/>
  <c r="B5875" i="1"/>
  <c r="G5875" i="1"/>
  <c r="K5875" i="1"/>
  <c r="A5876" i="1"/>
  <c r="B5876" i="1"/>
  <c r="G5876" i="1"/>
  <c r="K5876" i="1"/>
  <c r="A5877" i="1"/>
  <c r="B5877" i="1"/>
  <c r="G5877" i="1"/>
  <c r="K5877" i="1"/>
  <c r="A5878" i="1"/>
  <c r="B5878" i="1"/>
  <c r="G5878" i="1"/>
  <c r="K5878" i="1"/>
  <c r="A5879" i="1"/>
  <c r="B5879" i="1"/>
  <c r="G5879" i="1"/>
  <c r="K5879" i="1"/>
  <c r="A5880" i="1"/>
  <c r="B5880" i="1"/>
  <c r="G5880" i="1"/>
  <c r="K5880" i="1"/>
  <c r="A5881" i="1"/>
  <c r="B5881" i="1"/>
  <c r="G5881" i="1"/>
  <c r="K5881" i="1"/>
  <c r="A5882" i="1"/>
  <c r="B5882" i="1"/>
  <c r="G5882" i="1"/>
  <c r="K5882" i="1"/>
  <c r="A5883" i="1"/>
  <c r="B5883" i="1"/>
  <c r="G5883" i="1"/>
  <c r="K5883" i="1"/>
  <c r="A5884" i="1"/>
  <c r="B5884" i="1"/>
  <c r="G5884" i="1"/>
  <c r="K5884" i="1"/>
  <c r="A5885" i="1"/>
  <c r="B5885" i="1"/>
  <c r="G5885" i="1"/>
  <c r="K5885" i="1"/>
  <c r="A5886" i="1"/>
  <c r="B5886" i="1"/>
  <c r="G5886" i="1"/>
  <c r="K5886" i="1"/>
  <c r="A5887" i="1"/>
  <c r="B5887" i="1"/>
  <c r="G5887" i="1"/>
  <c r="K5887" i="1"/>
  <c r="A5888" i="1"/>
  <c r="B5888" i="1"/>
  <c r="G5888" i="1"/>
  <c r="K5888" i="1"/>
  <c r="A5889" i="1"/>
  <c r="B5889" i="1"/>
  <c r="G5889" i="1"/>
  <c r="K5889" i="1"/>
  <c r="A5890" i="1"/>
  <c r="B5890" i="1"/>
  <c r="G5890" i="1"/>
  <c r="K5890" i="1"/>
  <c r="A5891" i="1"/>
  <c r="B5891" i="1"/>
  <c r="G5891" i="1"/>
  <c r="K5891" i="1"/>
  <c r="A5892" i="1"/>
  <c r="B5892" i="1"/>
  <c r="G5892" i="1"/>
  <c r="K5892" i="1"/>
  <c r="A5893" i="1"/>
  <c r="B5893" i="1"/>
  <c r="G5893" i="1"/>
  <c r="K5893" i="1"/>
  <c r="A5894" i="1"/>
  <c r="B5894" i="1"/>
  <c r="G5894" i="1"/>
  <c r="K5894" i="1"/>
  <c r="A5895" i="1"/>
  <c r="B5895" i="1"/>
  <c r="G5895" i="1"/>
  <c r="K5895" i="1"/>
  <c r="A5896" i="1"/>
  <c r="B5896" i="1"/>
  <c r="G5896" i="1"/>
  <c r="K5896" i="1"/>
  <c r="A5897" i="1"/>
  <c r="B5897" i="1"/>
  <c r="G5897" i="1"/>
  <c r="K5897" i="1"/>
  <c r="A5898" i="1"/>
  <c r="B5898" i="1"/>
  <c r="G5898" i="1"/>
  <c r="K5898" i="1"/>
  <c r="A5899" i="1"/>
  <c r="B5899" i="1"/>
  <c r="G5899" i="1"/>
  <c r="K5899" i="1"/>
  <c r="A5900" i="1"/>
  <c r="B5900" i="1"/>
  <c r="G5900" i="1"/>
  <c r="K5900" i="1"/>
  <c r="A5901" i="1"/>
  <c r="B5901" i="1"/>
  <c r="G5901" i="1"/>
  <c r="K5901" i="1"/>
  <c r="A5902" i="1"/>
  <c r="B5902" i="1"/>
  <c r="G5902" i="1"/>
  <c r="K5902" i="1"/>
  <c r="A5903" i="1"/>
  <c r="B5903" i="1"/>
  <c r="G5903" i="1"/>
  <c r="K5903" i="1"/>
  <c r="A5904" i="1"/>
  <c r="B5904" i="1"/>
  <c r="G5904" i="1"/>
  <c r="K5904" i="1"/>
  <c r="A5905" i="1"/>
  <c r="B5905" i="1"/>
  <c r="G5905" i="1"/>
  <c r="K5905" i="1"/>
  <c r="A5906" i="1"/>
  <c r="B5906" i="1"/>
  <c r="G5906" i="1"/>
  <c r="K5906" i="1"/>
  <c r="A5907" i="1"/>
  <c r="B5907" i="1"/>
  <c r="G5907" i="1"/>
  <c r="K5907" i="1"/>
  <c r="A5908" i="1"/>
  <c r="B5908" i="1"/>
  <c r="G5908" i="1"/>
  <c r="K5908" i="1"/>
  <c r="A5909" i="1"/>
  <c r="B5909" i="1"/>
  <c r="G5909" i="1"/>
  <c r="K5909" i="1"/>
  <c r="A5910" i="1"/>
  <c r="B5910" i="1"/>
  <c r="G5910" i="1"/>
  <c r="K5910" i="1"/>
  <c r="A5911" i="1"/>
  <c r="B5911" i="1"/>
  <c r="G5911" i="1"/>
  <c r="K5911" i="1"/>
  <c r="A5912" i="1"/>
  <c r="B5912" i="1"/>
  <c r="G5912" i="1"/>
  <c r="K5912" i="1"/>
  <c r="A5913" i="1"/>
  <c r="B5913" i="1"/>
  <c r="G5913" i="1"/>
  <c r="K5913" i="1"/>
  <c r="A5914" i="1"/>
  <c r="B5914" i="1"/>
  <c r="G5914" i="1"/>
  <c r="K5914" i="1"/>
  <c r="A5915" i="1"/>
  <c r="B5915" i="1"/>
  <c r="G5915" i="1"/>
  <c r="K5915" i="1"/>
  <c r="A5916" i="1"/>
  <c r="B5916" i="1"/>
  <c r="G5916" i="1"/>
  <c r="K5916" i="1"/>
  <c r="A5917" i="1"/>
  <c r="B5917" i="1"/>
  <c r="G5917" i="1"/>
  <c r="K5917" i="1"/>
  <c r="A5918" i="1"/>
  <c r="B5918" i="1"/>
  <c r="G5918" i="1"/>
  <c r="K5918" i="1"/>
  <c r="A5919" i="1"/>
  <c r="B5919" i="1"/>
  <c r="G5919" i="1"/>
  <c r="K5919" i="1"/>
  <c r="A5920" i="1"/>
  <c r="B5920" i="1"/>
  <c r="G5920" i="1"/>
  <c r="K5920" i="1"/>
  <c r="A5921" i="1"/>
  <c r="B5921" i="1"/>
  <c r="G5921" i="1"/>
  <c r="K5921" i="1"/>
  <c r="A5922" i="1"/>
  <c r="B5922" i="1"/>
  <c r="G5922" i="1"/>
  <c r="K5922" i="1"/>
  <c r="A5923" i="1"/>
  <c r="B5923" i="1"/>
  <c r="G5923" i="1"/>
  <c r="K5923" i="1"/>
  <c r="A5924" i="1"/>
  <c r="B5924" i="1"/>
  <c r="G5924" i="1"/>
  <c r="K5924" i="1"/>
  <c r="A5925" i="1"/>
  <c r="B5925" i="1"/>
  <c r="G5925" i="1"/>
  <c r="K5925" i="1"/>
  <c r="A5926" i="1"/>
  <c r="B5926" i="1"/>
  <c r="G5926" i="1"/>
  <c r="K5926" i="1"/>
  <c r="A5927" i="1"/>
  <c r="B5927" i="1"/>
  <c r="G5927" i="1"/>
  <c r="K5927" i="1"/>
  <c r="A5928" i="1"/>
  <c r="B5928" i="1"/>
  <c r="G5928" i="1"/>
  <c r="K5928" i="1"/>
  <c r="A5929" i="1"/>
  <c r="B5929" i="1"/>
  <c r="G5929" i="1"/>
  <c r="K5929" i="1"/>
  <c r="A5930" i="1"/>
  <c r="B5930" i="1"/>
  <c r="G5930" i="1"/>
  <c r="K5930" i="1"/>
  <c r="A5931" i="1"/>
  <c r="B5931" i="1"/>
  <c r="G5931" i="1"/>
  <c r="K5931" i="1"/>
  <c r="A5932" i="1"/>
  <c r="B5932" i="1"/>
  <c r="G5932" i="1"/>
  <c r="K5932" i="1"/>
  <c r="A5933" i="1"/>
  <c r="B5933" i="1"/>
  <c r="G5933" i="1"/>
  <c r="K5933" i="1"/>
  <c r="A5934" i="1"/>
  <c r="B5934" i="1"/>
  <c r="G5934" i="1"/>
  <c r="K5934" i="1"/>
  <c r="A5935" i="1"/>
  <c r="B5935" i="1"/>
  <c r="G5935" i="1"/>
  <c r="K5935" i="1"/>
  <c r="A5936" i="1"/>
  <c r="B5936" i="1"/>
  <c r="G5936" i="1"/>
  <c r="K5936" i="1"/>
  <c r="A5937" i="1"/>
  <c r="B5937" i="1"/>
  <c r="G5937" i="1"/>
  <c r="K5937" i="1"/>
  <c r="A5938" i="1"/>
  <c r="B5938" i="1"/>
  <c r="G5938" i="1"/>
  <c r="K5938" i="1"/>
  <c r="A5939" i="1"/>
  <c r="B5939" i="1"/>
  <c r="G5939" i="1"/>
  <c r="K5939" i="1"/>
  <c r="A5940" i="1"/>
  <c r="B5940" i="1"/>
  <c r="G5940" i="1"/>
  <c r="K5940" i="1"/>
  <c r="A5941" i="1"/>
  <c r="B5941" i="1"/>
  <c r="G5941" i="1"/>
  <c r="K5941" i="1"/>
  <c r="A5942" i="1"/>
  <c r="B5942" i="1"/>
  <c r="G5942" i="1"/>
  <c r="K5942" i="1"/>
  <c r="A5943" i="1"/>
  <c r="B5943" i="1"/>
  <c r="G5943" i="1"/>
  <c r="K5943" i="1"/>
  <c r="A5944" i="1"/>
  <c r="B5944" i="1"/>
  <c r="G5944" i="1"/>
  <c r="K5944" i="1"/>
  <c r="A5945" i="1"/>
  <c r="B5945" i="1"/>
  <c r="G5945" i="1"/>
  <c r="K5945" i="1"/>
  <c r="A5946" i="1"/>
  <c r="B5946" i="1"/>
  <c r="G5946" i="1"/>
  <c r="K5946" i="1"/>
  <c r="A5947" i="1"/>
  <c r="B5947" i="1"/>
  <c r="G5947" i="1"/>
  <c r="K5947" i="1"/>
  <c r="A5948" i="1"/>
  <c r="B5948" i="1"/>
  <c r="G5948" i="1"/>
  <c r="K5948" i="1"/>
  <c r="A5949" i="1"/>
  <c r="B5949" i="1"/>
  <c r="G5949" i="1"/>
  <c r="K5949" i="1"/>
  <c r="A5950" i="1"/>
  <c r="B5950" i="1"/>
  <c r="G5950" i="1"/>
  <c r="K5950" i="1"/>
  <c r="A5951" i="1"/>
  <c r="B5951" i="1"/>
  <c r="G5951" i="1"/>
  <c r="K5951" i="1"/>
  <c r="A5952" i="1"/>
  <c r="B5952" i="1"/>
  <c r="G5952" i="1"/>
  <c r="K5952" i="1"/>
  <c r="A5953" i="1"/>
  <c r="B5953" i="1"/>
  <c r="G5953" i="1"/>
  <c r="K5953" i="1"/>
  <c r="A5954" i="1"/>
  <c r="B5954" i="1"/>
  <c r="G5954" i="1"/>
  <c r="K5954" i="1"/>
  <c r="A5955" i="1"/>
  <c r="B5955" i="1"/>
  <c r="G5955" i="1"/>
  <c r="K5955" i="1"/>
  <c r="A5956" i="1"/>
  <c r="B5956" i="1"/>
  <c r="G5956" i="1"/>
  <c r="K5956" i="1"/>
  <c r="A5957" i="1"/>
  <c r="B5957" i="1"/>
  <c r="G5957" i="1"/>
  <c r="K5957" i="1"/>
  <c r="A5958" i="1"/>
  <c r="B5958" i="1"/>
  <c r="G5958" i="1"/>
  <c r="K5958" i="1"/>
  <c r="A5959" i="1"/>
  <c r="B5959" i="1"/>
  <c r="G5959" i="1"/>
  <c r="K5959" i="1"/>
  <c r="A5960" i="1"/>
  <c r="B5960" i="1"/>
  <c r="G5960" i="1"/>
  <c r="K5960" i="1"/>
  <c r="A5961" i="1"/>
  <c r="B5961" i="1"/>
  <c r="G5961" i="1"/>
  <c r="K5961" i="1"/>
  <c r="A5962" i="1"/>
  <c r="B5962" i="1"/>
  <c r="G5962" i="1"/>
  <c r="K5962" i="1"/>
  <c r="A5963" i="1"/>
  <c r="B5963" i="1"/>
  <c r="G5963" i="1"/>
  <c r="K5963" i="1"/>
  <c r="A5964" i="1"/>
  <c r="B5964" i="1"/>
  <c r="G5964" i="1"/>
  <c r="K5964" i="1"/>
  <c r="A5965" i="1"/>
  <c r="B5965" i="1"/>
  <c r="G5965" i="1"/>
  <c r="K5965" i="1"/>
  <c r="A5966" i="1"/>
  <c r="B5966" i="1"/>
  <c r="G5966" i="1"/>
  <c r="K5966" i="1"/>
  <c r="A5967" i="1"/>
  <c r="B5967" i="1"/>
  <c r="G5967" i="1"/>
  <c r="K5967" i="1"/>
  <c r="A5968" i="1"/>
  <c r="B5968" i="1"/>
  <c r="G5968" i="1"/>
  <c r="K5968" i="1"/>
  <c r="A5969" i="1"/>
  <c r="B5969" i="1"/>
  <c r="G5969" i="1"/>
  <c r="K5969" i="1"/>
  <c r="A5970" i="1"/>
  <c r="B5970" i="1"/>
  <c r="G5970" i="1"/>
  <c r="K5970" i="1"/>
  <c r="A5971" i="1"/>
  <c r="B5971" i="1"/>
  <c r="G5971" i="1"/>
  <c r="K5971" i="1"/>
  <c r="A5972" i="1"/>
  <c r="B5972" i="1"/>
  <c r="G5972" i="1"/>
  <c r="K5972" i="1"/>
  <c r="A5973" i="1"/>
  <c r="B5973" i="1"/>
  <c r="G5973" i="1"/>
  <c r="K5973" i="1"/>
  <c r="A5974" i="1"/>
  <c r="B5974" i="1"/>
  <c r="G5974" i="1"/>
  <c r="K5974" i="1"/>
  <c r="A5975" i="1"/>
  <c r="B5975" i="1"/>
  <c r="G5975" i="1"/>
  <c r="K5975" i="1"/>
  <c r="A5976" i="1"/>
  <c r="B5976" i="1"/>
  <c r="G5976" i="1"/>
  <c r="K5976" i="1"/>
  <c r="A5977" i="1"/>
  <c r="B5977" i="1"/>
  <c r="G5977" i="1"/>
  <c r="K5977" i="1"/>
  <c r="A5978" i="1"/>
  <c r="B5978" i="1"/>
  <c r="G5978" i="1"/>
  <c r="K5978" i="1"/>
  <c r="A5979" i="1"/>
  <c r="B5979" i="1"/>
  <c r="G5979" i="1"/>
  <c r="K5979" i="1"/>
  <c r="A5980" i="1"/>
  <c r="B5980" i="1"/>
  <c r="G5980" i="1"/>
  <c r="K5980" i="1"/>
  <c r="A5981" i="1"/>
  <c r="B5981" i="1"/>
  <c r="G5981" i="1"/>
  <c r="K5981" i="1"/>
  <c r="A5982" i="1"/>
  <c r="B5982" i="1"/>
  <c r="G5982" i="1"/>
  <c r="K5982" i="1"/>
  <c r="A5983" i="1"/>
  <c r="B5983" i="1"/>
  <c r="G5983" i="1"/>
  <c r="K5983" i="1"/>
  <c r="A5984" i="1"/>
  <c r="B5984" i="1"/>
  <c r="G5984" i="1"/>
  <c r="K5984" i="1"/>
  <c r="A5985" i="1"/>
  <c r="B5985" i="1"/>
  <c r="G5985" i="1"/>
  <c r="K5985" i="1"/>
  <c r="A5986" i="1"/>
  <c r="B5986" i="1"/>
  <c r="G5986" i="1"/>
  <c r="K5986" i="1"/>
  <c r="A5987" i="1"/>
  <c r="B5987" i="1"/>
  <c r="G5987" i="1"/>
  <c r="K5987" i="1"/>
  <c r="A5988" i="1"/>
  <c r="B5988" i="1"/>
  <c r="G5988" i="1"/>
  <c r="K5988" i="1"/>
  <c r="A5989" i="1"/>
  <c r="B5989" i="1"/>
  <c r="G5989" i="1"/>
  <c r="K5989" i="1"/>
  <c r="A5990" i="1"/>
  <c r="B5990" i="1"/>
  <c r="G5990" i="1"/>
  <c r="K5990" i="1"/>
  <c r="A5991" i="1"/>
  <c r="B5991" i="1"/>
  <c r="G5991" i="1"/>
  <c r="K5991" i="1"/>
  <c r="A5992" i="1"/>
  <c r="B5992" i="1"/>
  <c r="G5992" i="1"/>
  <c r="K5992" i="1"/>
  <c r="A5993" i="1"/>
  <c r="B5993" i="1"/>
  <c r="G5993" i="1"/>
  <c r="K5993" i="1"/>
  <c r="A5994" i="1"/>
  <c r="B5994" i="1"/>
  <c r="G5994" i="1"/>
  <c r="K5994" i="1"/>
  <c r="A5995" i="1"/>
  <c r="B5995" i="1"/>
  <c r="G5995" i="1"/>
  <c r="K5995" i="1"/>
  <c r="A5996" i="1"/>
  <c r="B5996" i="1"/>
  <c r="G5996" i="1"/>
  <c r="K5996" i="1"/>
  <c r="A5997" i="1"/>
  <c r="B5997" i="1"/>
  <c r="G5997" i="1"/>
  <c r="K5997" i="1"/>
  <c r="A5998" i="1"/>
  <c r="B5998" i="1"/>
  <c r="G5998" i="1"/>
  <c r="K5998" i="1"/>
  <c r="A5999" i="1"/>
  <c r="B5999" i="1"/>
  <c r="G5999" i="1"/>
  <c r="K5999" i="1"/>
  <c r="A6000" i="1"/>
  <c r="B6000" i="1"/>
  <c r="G6000" i="1"/>
  <c r="K6000" i="1"/>
  <c r="A6001" i="1"/>
  <c r="B6001" i="1"/>
  <c r="G6001" i="1"/>
  <c r="K6001" i="1"/>
  <c r="A6002" i="1"/>
  <c r="B6002" i="1"/>
  <c r="G6002" i="1"/>
  <c r="K6002" i="1"/>
  <c r="A6003" i="1"/>
  <c r="B6003" i="1"/>
  <c r="G6003" i="1"/>
  <c r="K6003" i="1"/>
  <c r="A6004" i="1"/>
  <c r="B6004" i="1"/>
  <c r="G6004" i="1"/>
  <c r="K6004" i="1"/>
  <c r="A6005" i="1"/>
  <c r="B6005" i="1"/>
  <c r="G6005" i="1"/>
  <c r="K6005" i="1"/>
  <c r="A6006" i="1"/>
  <c r="B6006" i="1"/>
  <c r="G6006" i="1"/>
  <c r="K6006" i="1"/>
  <c r="A6007" i="1"/>
  <c r="B6007" i="1"/>
  <c r="G6007" i="1"/>
  <c r="K6007" i="1"/>
  <c r="A6008" i="1"/>
  <c r="B6008" i="1"/>
  <c r="G6008" i="1"/>
  <c r="K6008" i="1"/>
  <c r="A6009" i="1"/>
  <c r="B6009" i="1"/>
  <c r="G6009" i="1"/>
  <c r="K6009" i="1"/>
  <c r="A6010" i="1"/>
  <c r="B6010" i="1"/>
  <c r="G6010" i="1"/>
  <c r="K6010" i="1"/>
  <c r="A6011" i="1"/>
  <c r="B6011" i="1"/>
  <c r="G6011" i="1"/>
  <c r="K6011" i="1"/>
  <c r="A6012" i="1"/>
  <c r="B6012" i="1"/>
  <c r="G6012" i="1"/>
  <c r="K6012" i="1"/>
  <c r="A6013" i="1"/>
  <c r="B6013" i="1"/>
  <c r="G6013" i="1"/>
  <c r="K6013" i="1"/>
  <c r="A6014" i="1"/>
  <c r="B6014" i="1"/>
  <c r="G6014" i="1"/>
  <c r="K6014" i="1"/>
  <c r="A6015" i="1"/>
  <c r="B6015" i="1"/>
  <c r="G6015" i="1"/>
  <c r="K6015" i="1"/>
  <c r="A6016" i="1"/>
  <c r="B6016" i="1"/>
  <c r="G6016" i="1"/>
  <c r="K6016" i="1"/>
  <c r="A6017" i="1"/>
  <c r="B6017" i="1"/>
  <c r="G6017" i="1"/>
  <c r="K6017" i="1"/>
  <c r="A6018" i="1"/>
  <c r="B6018" i="1"/>
  <c r="G6018" i="1"/>
  <c r="K6018" i="1"/>
  <c r="A6019" i="1"/>
  <c r="B6019" i="1"/>
  <c r="G6019" i="1"/>
  <c r="K6019" i="1"/>
  <c r="A6020" i="1"/>
  <c r="B6020" i="1"/>
  <c r="G6020" i="1"/>
  <c r="K6020" i="1"/>
  <c r="A6021" i="1"/>
  <c r="B6021" i="1"/>
  <c r="G6021" i="1"/>
  <c r="K6021" i="1"/>
  <c r="A6022" i="1"/>
  <c r="B6022" i="1"/>
  <c r="G6022" i="1"/>
  <c r="K6022" i="1"/>
  <c r="A6023" i="1"/>
  <c r="B6023" i="1"/>
  <c r="G6023" i="1"/>
  <c r="K6023" i="1"/>
  <c r="A6024" i="1"/>
  <c r="B6024" i="1"/>
  <c r="G6024" i="1"/>
  <c r="K6024" i="1"/>
  <c r="A6025" i="1"/>
  <c r="B6025" i="1"/>
  <c r="G6025" i="1"/>
  <c r="K6025" i="1"/>
  <c r="A6026" i="1"/>
  <c r="B6026" i="1"/>
  <c r="G6026" i="1"/>
  <c r="K6026" i="1"/>
  <c r="A6027" i="1"/>
  <c r="B6027" i="1"/>
  <c r="G6027" i="1"/>
  <c r="K6027" i="1"/>
  <c r="A6028" i="1"/>
  <c r="B6028" i="1"/>
  <c r="G6028" i="1"/>
  <c r="K6028" i="1"/>
  <c r="A6029" i="1"/>
  <c r="B6029" i="1"/>
  <c r="G6029" i="1"/>
  <c r="K6029" i="1"/>
  <c r="A6030" i="1"/>
  <c r="B6030" i="1"/>
  <c r="G6030" i="1"/>
  <c r="K6030" i="1"/>
  <c r="A6031" i="1"/>
  <c r="B6031" i="1"/>
  <c r="G6031" i="1"/>
  <c r="K6031" i="1"/>
  <c r="A6032" i="1"/>
  <c r="B6032" i="1"/>
  <c r="G6032" i="1"/>
  <c r="K6032" i="1"/>
  <c r="A6033" i="1"/>
  <c r="B6033" i="1"/>
  <c r="G6033" i="1"/>
  <c r="K6033" i="1"/>
  <c r="A6034" i="1"/>
  <c r="B6034" i="1"/>
  <c r="G6034" i="1"/>
  <c r="K6034" i="1"/>
  <c r="A6035" i="1"/>
  <c r="B6035" i="1"/>
  <c r="G6035" i="1"/>
  <c r="K6035" i="1"/>
  <c r="A6036" i="1"/>
  <c r="B6036" i="1"/>
  <c r="G6036" i="1"/>
  <c r="K6036" i="1"/>
  <c r="A6037" i="1"/>
  <c r="B6037" i="1"/>
  <c r="G6037" i="1"/>
  <c r="K6037" i="1"/>
  <c r="A6038" i="1"/>
  <c r="B6038" i="1"/>
  <c r="G6038" i="1"/>
  <c r="K6038" i="1"/>
  <c r="A6039" i="1"/>
  <c r="B6039" i="1"/>
  <c r="G6039" i="1"/>
  <c r="K6039" i="1"/>
  <c r="A6040" i="1"/>
  <c r="B6040" i="1"/>
  <c r="G6040" i="1"/>
  <c r="K6040" i="1"/>
  <c r="A6041" i="1"/>
  <c r="B6041" i="1"/>
  <c r="G6041" i="1"/>
  <c r="K6041" i="1"/>
  <c r="A6042" i="1"/>
  <c r="B6042" i="1"/>
  <c r="G6042" i="1"/>
  <c r="K6042" i="1"/>
  <c r="A6043" i="1"/>
  <c r="B6043" i="1"/>
  <c r="G6043" i="1"/>
  <c r="K6043" i="1"/>
  <c r="A6044" i="1"/>
  <c r="B6044" i="1"/>
  <c r="G6044" i="1"/>
  <c r="K6044" i="1"/>
  <c r="A6045" i="1"/>
  <c r="B6045" i="1"/>
  <c r="G6045" i="1"/>
  <c r="K6045" i="1"/>
  <c r="A6046" i="1"/>
  <c r="B6046" i="1"/>
  <c r="G6046" i="1"/>
  <c r="K6046" i="1"/>
  <c r="A6047" i="1"/>
  <c r="B6047" i="1"/>
  <c r="G6047" i="1"/>
  <c r="K6047" i="1"/>
  <c r="A6048" i="1"/>
  <c r="B6048" i="1"/>
  <c r="G6048" i="1"/>
  <c r="K6048" i="1"/>
  <c r="A6049" i="1"/>
  <c r="B6049" i="1"/>
  <c r="G6049" i="1"/>
  <c r="K6049" i="1"/>
  <c r="A6050" i="1"/>
  <c r="B6050" i="1"/>
  <c r="G6050" i="1"/>
  <c r="K6050" i="1"/>
  <c r="A6051" i="1"/>
  <c r="B6051" i="1"/>
  <c r="G6051" i="1"/>
  <c r="K6051" i="1"/>
  <c r="A6052" i="1"/>
  <c r="B6052" i="1"/>
  <c r="G6052" i="1"/>
  <c r="K6052" i="1"/>
  <c r="A6053" i="1"/>
  <c r="B6053" i="1"/>
  <c r="G6053" i="1"/>
  <c r="K6053" i="1"/>
  <c r="A6054" i="1"/>
  <c r="B6054" i="1"/>
  <c r="G6054" i="1"/>
  <c r="K6054" i="1"/>
  <c r="A6055" i="1"/>
  <c r="B6055" i="1"/>
  <c r="G6055" i="1"/>
  <c r="K6055" i="1"/>
  <c r="A6056" i="1"/>
  <c r="B6056" i="1"/>
  <c r="G6056" i="1"/>
  <c r="K6056" i="1"/>
  <c r="A6057" i="1"/>
  <c r="B6057" i="1"/>
  <c r="G6057" i="1"/>
  <c r="K6057" i="1"/>
  <c r="A6058" i="1"/>
  <c r="B6058" i="1"/>
  <c r="G6058" i="1"/>
  <c r="K6058" i="1"/>
  <c r="A6059" i="1"/>
  <c r="B6059" i="1"/>
  <c r="G6059" i="1"/>
  <c r="K6059" i="1"/>
  <c r="A6060" i="1"/>
  <c r="B6060" i="1"/>
  <c r="G6060" i="1"/>
  <c r="K6060" i="1"/>
  <c r="A6061" i="1"/>
  <c r="B6061" i="1"/>
  <c r="G6061" i="1"/>
  <c r="K6061" i="1"/>
  <c r="A6062" i="1"/>
  <c r="B6062" i="1"/>
  <c r="G6062" i="1"/>
  <c r="K6062" i="1"/>
  <c r="A6063" i="1"/>
  <c r="B6063" i="1"/>
  <c r="G6063" i="1"/>
  <c r="K6063" i="1"/>
  <c r="A6064" i="1"/>
  <c r="B6064" i="1"/>
  <c r="G6064" i="1"/>
  <c r="K6064" i="1"/>
  <c r="A6065" i="1"/>
  <c r="B6065" i="1"/>
  <c r="G6065" i="1"/>
  <c r="K6065" i="1"/>
  <c r="A6066" i="1"/>
  <c r="B6066" i="1"/>
  <c r="G6066" i="1"/>
  <c r="K6066" i="1"/>
  <c r="A6067" i="1"/>
  <c r="B6067" i="1"/>
  <c r="G6067" i="1"/>
  <c r="K6067" i="1"/>
  <c r="A6068" i="1"/>
  <c r="B6068" i="1"/>
  <c r="G6068" i="1"/>
  <c r="K6068" i="1"/>
  <c r="A6069" i="1"/>
  <c r="B6069" i="1"/>
  <c r="G6069" i="1"/>
  <c r="K6069" i="1"/>
  <c r="A6070" i="1"/>
  <c r="B6070" i="1"/>
  <c r="G6070" i="1"/>
  <c r="K6070" i="1"/>
  <c r="A6071" i="1"/>
  <c r="B6071" i="1"/>
  <c r="G6071" i="1"/>
  <c r="K6071" i="1"/>
  <c r="A6072" i="1"/>
  <c r="B6072" i="1"/>
  <c r="G6072" i="1"/>
  <c r="K6072" i="1"/>
  <c r="A6073" i="1"/>
  <c r="B6073" i="1"/>
  <c r="G6073" i="1"/>
  <c r="K6073" i="1"/>
  <c r="A6074" i="1"/>
  <c r="B6074" i="1"/>
  <c r="G6074" i="1"/>
  <c r="K6074" i="1"/>
  <c r="A6075" i="1"/>
  <c r="B6075" i="1"/>
  <c r="G6075" i="1"/>
  <c r="K6075" i="1"/>
  <c r="A6076" i="1"/>
  <c r="B6076" i="1"/>
  <c r="G6076" i="1"/>
  <c r="K6076" i="1"/>
  <c r="A6077" i="1"/>
  <c r="B6077" i="1"/>
  <c r="G6077" i="1"/>
  <c r="K6077" i="1"/>
  <c r="A6078" i="1"/>
  <c r="B6078" i="1"/>
  <c r="G6078" i="1"/>
  <c r="K6078" i="1"/>
  <c r="A6079" i="1"/>
  <c r="B6079" i="1"/>
  <c r="G6079" i="1"/>
  <c r="K6079" i="1"/>
  <c r="A6080" i="1"/>
  <c r="B6080" i="1"/>
  <c r="G6080" i="1"/>
  <c r="K6080" i="1"/>
  <c r="A6081" i="1"/>
  <c r="B6081" i="1"/>
  <c r="G6081" i="1"/>
  <c r="K6081" i="1"/>
  <c r="A6082" i="1"/>
  <c r="B6082" i="1"/>
  <c r="G6082" i="1"/>
  <c r="K6082" i="1"/>
  <c r="A6083" i="1"/>
  <c r="B6083" i="1"/>
  <c r="G6083" i="1"/>
  <c r="K6083" i="1"/>
  <c r="A6084" i="1"/>
  <c r="B6084" i="1"/>
  <c r="G6084" i="1"/>
  <c r="K6084" i="1"/>
  <c r="A6085" i="1"/>
  <c r="B6085" i="1"/>
  <c r="G6085" i="1"/>
  <c r="K6085" i="1"/>
  <c r="A6086" i="1"/>
  <c r="B6086" i="1"/>
  <c r="G6086" i="1"/>
  <c r="K6086" i="1"/>
  <c r="A6087" i="1"/>
  <c r="B6087" i="1"/>
  <c r="G6087" i="1"/>
  <c r="K6087" i="1"/>
  <c r="A6088" i="1"/>
  <c r="B6088" i="1"/>
  <c r="G6088" i="1"/>
  <c r="K6088" i="1"/>
  <c r="A6089" i="1"/>
  <c r="B6089" i="1"/>
  <c r="G6089" i="1"/>
  <c r="K6089" i="1"/>
  <c r="A6090" i="1"/>
  <c r="B6090" i="1"/>
  <c r="G6090" i="1"/>
  <c r="K6090" i="1"/>
  <c r="A6091" i="1"/>
  <c r="B6091" i="1"/>
  <c r="G6091" i="1"/>
  <c r="K6091" i="1"/>
  <c r="A6092" i="1"/>
  <c r="B6092" i="1"/>
  <c r="G6092" i="1"/>
  <c r="K6092" i="1"/>
  <c r="A6093" i="1"/>
  <c r="B6093" i="1"/>
  <c r="G6093" i="1"/>
  <c r="K6093" i="1"/>
  <c r="A6094" i="1"/>
  <c r="B6094" i="1"/>
  <c r="G6094" i="1"/>
  <c r="K6094" i="1"/>
  <c r="A6095" i="1"/>
  <c r="B6095" i="1"/>
  <c r="G6095" i="1"/>
  <c r="K6095" i="1"/>
  <c r="A6096" i="1"/>
  <c r="B6096" i="1"/>
  <c r="G6096" i="1"/>
  <c r="K6096" i="1"/>
  <c r="A6097" i="1"/>
  <c r="B6097" i="1"/>
  <c r="G6097" i="1"/>
  <c r="K6097" i="1"/>
  <c r="A6098" i="1"/>
  <c r="B6098" i="1"/>
  <c r="G6098" i="1"/>
  <c r="K6098" i="1"/>
  <c r="A6099" i="1"/>
  <c r="B6099" i="1"/>
  <c r="G6099" i="1"/>
  <c r="K6099" i="1"/>
  <c r="A6100" i="1"/>
  <c r="B6100" i="1"/>
  <c r="G6100" i="1"/>
  <c r="K6100" i="1"/>
  <c r="A6101" i="1"/>
  <c r="B6101" i="1"/>
  <c r="G6101" i="1"/>
  <c r="K6101" i="1"/>
  <c r="A6102" i="1"/>
  <c r="B6102" i="1"/>
  <c r="G6102" i="1"/>
  <c r="K6102" i="1"/>
  <c r="A6103" i="1"/>
  <c r="B6103" i="1"/>
  <c r="G6103" i="1"/>
  <c r="K6103" i="1"/>
  <c r="A6104" i="1"/>
  <c r="B6104" i="1"/>
  <c r="G6104" i="1"/>
  <c r="K6104" i="1"/>
  <c r="A6105" i="1"/>
  <c r="B6105" i="1"/>
  <c r="G6105" i="1"/>
  <c r="K6105" i="1"/>
  <c r="A6106" i="1"/>
  <c r="B6106" i="1"/>
  <c r="G6106" i="1"/>
  <c r="K6106" i="1"/>
  <c r="A6107" i="1"/>
  <c r="B6107" i="1"/>
  <c r="G6107" i="1"/>
  <c r="K6107" i="1"/>
  <c r="A6108" i="1"/>
  <c r="B6108" i="1"/>
  <c r="G6108" i="1"/>
  <c r="K6108" i="1"/>
  <c r="A6109" i="1"/>
  <c r="B6109" i="1"/>
  <c r="G6109" i="1"/>
  <c r="K6109" i="1"/>
  <c r="A6110" i="1"/>
  <c r="B6110" i="1"/>
  <c r="G6110" i="1"/>
  <c r="K6110" i="1"/>
  <c r="A6111" i="1"/>
  <c r="B6111" i="1"/>
  <c r="G6111" i="1"/>
  <c r="K6111" i="1"/>
  <c r="A6112" i="1"/>
  <c r="B6112" i="1"/>
  <c r="G6112" i="1"/>
  <c r="K6112" i="1"/>
  <c r="A6113" i="1"/>
  <c r="B6113" i="1"/>
  <c r="G6113" i="1"/>
  <c r="K6113" i="1"/>
  <c r="A6114" i="1"/>
  <c r="B6114" i="1"/>
  <c r="G6114" i="1"/>
  <c r="K6114" i="1"/>
  <c r="A6115" i="1"/>
  <c r="B6115" i="1"/>
  <c r="G6115" i="1"/>
  <c r="K6115" i="1"/>
  <c r="A6116" i="1"/>
  <c r="B6116" i="1"/>
  <c r="G6116" i="1"/>
  <c r="K6116" i="1"/>
  <c r="A6117" i="1"/>
  <c r="B6117" i="1"/>
  <c r="G6117" i="1"/>
  <c r="K6117" i="1"/>
  <c r="A6118" i="1"/>
  <c r="B6118" i="1"/>
  <c r="G6118" i="1"/>
  <c r="K6118" i="1"/>
  <c r="A6119" i="1"/>
  <c r="B6119" i="1"/>
  <c r="G6119" i="1"/>
  <c r="K6119" i="1"/>
  <c r="A6120" i="1"/>
  <c r="B6120" i="1"/>
  <c r="G6120" i="1"/>
  <c r="K6120" i="1"/>
  <c r="A6121" i="1"/>
  <c r="B6121" i="1"/>
  <c r="G6121" i="1"/>
  <c r="K6121" i="1"/>
  <c r="A6122" i="1"/>
  <c r="B6122" i="1"/>
  <c r="G6122" i="1"/>
  <c r="K6122" i="1"/>
  <c r="A6123" i="1"/>
  <c r="B6123" i="1"/>
  <c r="G6123" i="1"/>
  <c r="K6123" i="1"/>
  <c r="A6124" i="1"/>
  <c r="B6124" i="1"/>
  <c r="G6124" i="1"/>
  <c r="K6124" i="1"/>
  <c r="A6125" i="1"/>
  <c r="B6125" i="1"/>
  <c r="G6125" i="1"/>
  <c r="K6125" i="1"/>
  <c r="A6126" i="1"/>
  <c r="B6126" i="1"/>
  <c r="G6126" i="1"/>
  <c r="K6126" i="1"/>
  <c r="A6127" i="1"/>
  <c r="B6127" i="1"/>
  <c r="G6127" i="1"/>
  <c r="K6127" i="1"/>
  <c r="A6128" i="1"/>
  <c r="B6128" i="1"/>
  <c r="G6128" i="1"/>
  <c r="K6128" i="1"/>
  <c r="A6129" i="1"/>
  <c r="B6129" i="1"/>
  <c r="G6129" i="1"/>
  <c r="K6129" i="1"/>
  <c r="A6130" i="1"/>
  <c r="B6130" i="1"/>
  <c r="G6130" i="1"/>
  <c r="K6130" i="1"/>
  <c r="A6131" i="1"/>
  <c r="B6131" i="1"/>
  <c r="G6131" i="1"/>
  <c r="K6131" i="1"/>
  <c r="A6132" i="1"/>
  <c r="B6132" i="1"/>
  <c r="G6132" i="1"/>
  <c r="K6132" i="1"/>
  <c r="A6133" i="1"/>
  <c r="B6133" i="1"/>
  <c r="G6133" i="1"/>
  <c r="K6133" i="1"/>
  <c r="A6134" i="1"/>
  <c r="B6134" i="1"/>
  <c r="G6134" i="1"/>
  <c r="K6134" i="1"/>
  <c r="A6135" i="1"/>
  <c r="B6135" i="1"/>
  <c r="G6135" i="1"/>
  <c r="K6135" i="1"/>
  <c r="A6136" i="1"/>
  <c r="B6136" i="1"/>
  <c r="G6136" i="1"/>
  <c r="K6136" i="1"/>
  <c r="A6137" i="1"/>
  <c r="B6137" i="1"/>
  <c r="G6137" i="1"/>
  <c r="K6137" i="1"/>
  <c r="A6138" i="1"/>
  <c r="B6138" i="1"/>
  <c r="G6138" i="1"/>
  <c r="K6138" i="1"/>
  <c r="A6139" i="1"/>
  <c r="B6139" i="1"/>
  <c r="G6139" i="1"/>
  <c r="K6139" i="1"/>
  <c r="A6140" i="1"/>
  <c r="B6140" i="1"/>
  <c r="G6140" i="1"/>
  <c r="K6140" i="1"/>
  <c r="A6141" i="1"/>
  <c r="B6141" i="1"/>
  <c r="G6141" i="1"/>
  <c r="K6141" i="1"/>
  <c r="A6142" i="1"/>
  <c r="B6142" i="1"/>
  <c r="G6142" i="1"/>
  <c r="K6142" i="1"/>
  <c r="A6143" i="1"/>
  <c r="B6143" i="1"/>
  <c r="G6143" i="1"/>
  <c r="K6143" i="1"/>
  <c r="A6144" i="1"/>
  <c r="B6144" i="1"/>
  <c r="G6144" i="1"/>
  <c r="K6144" i="1"/>
  <c r="A6145" i="1"/>
  <c r="B6145" i="1"/>
  <c r="G6145" i="1"/>
  <c r="K6145" i="1"/>
  <c r="A6146" i="1"/>
  <c r="B6146" i="1"/>
  <c r="G6146" i="1"/>
  <c r="K6146" i="1"/>
  <c r="A6147" i="1"/>
  <c r="B6147" i="1"/>
  <c r="G6147" i="1"/>
  <c r="K6147" i="1"/>
  <c r="A6148" i="1"/>
  <c r="B6148" i="1"/>
  <c r="G6148" i="1"/>
  <c r="K6148" i="1"/>
  <c r="A6149" i="1"/>
  <c r="B6149" i="1"/>
  <c r="G6149" i="1"/>
  <c r="K6149" i="1"/>
  <c r="A6150" i="1"/>
  <c r="B6150" i="1"/>
  <c r="G6150" i="1"/>
  <c r="K6150" i="1"/>
  <c r="A6151" i="1"/>
  <c r="B6151" i="1"/>
  <c r="G6151" i="1"/>
  <c r="K6151" i="1"/>
  <c r="A6152" i="1"/>
  <c r="B6152" i="1"/>
  <c r="G6152" i="1"/>
  <c r="K6152" i="1"/>
  <c r="A6153" i="1"/>
  <c r="B6153" i="1"/>
  <c r="G6153" i="1"/>
  <c r="K6153" i="1"/>
  <c r="A6154" i="1"/>
  <c r="B6154" i="1"/>
  <c r="G6154" i="1"/>
  <c r="K6154" i="1"/>
  <c r="A6155" i="1"/>
  <c r="B6155" i="1"/>
  <c r="G6155" i="1"/>
  <c r="K6155" i="1"/>
  <c r="A6156" i="1"/>
  <c r="B6156" i="1"/>
  <c r="G6156" i="1"/>
  <c r="K6156" i="1"/>
  <c r="A6157" i="1"/>
  <c r="B6157" i="1"/>
  <c r="G6157" i="1"/>
  <c r="K6157" i="1"/>
  <c r="A6158" i="1"/>
  <c r="B6158" i="1"/>
  <c r="G6158" i="1"/>
  <c r="K6158" i="1"/>
  <c r="A6159" i="1"/>
  <c r="B6159" i="1"/>
  <c r="G6159" i="1"/>
  <c r="K6159" i="1"/>
  <c r="A6160" i="1"/>
  <c r="B6160" i="1"/>
  <c r="G6160" i="1"/>
  <c r="K6160" i="1"/>
  <c r="A6161" i="1"/>
  <c r="B6161" i="1"/>
  <c r="G6161" i="1"/>
  <c r="K6161" i="1"/>
  <c r="A6162" i="1"/>
  <c r="B6162" i="1"/>
  <c r="G6162" i="1"/>
  <c r="K6162" i="1"/>
  <c r="A6163" i="1"/>
  <c r="B6163" i="1"/>
  <c r="G6163" i="1"/>
  <c r="K6163" i="1"/>
  <c r="A6164" i="1"/>
  <c r="B6164" i="1"/>
  <c r="G6164" i="1"/>
  <c r="K6164" i="1"/>
  <c r="A6165" i="1"/>
  <c r="B6165" i="1"/>
  <c r="G6165" i="1"/>
  <c r="K6165" i="1"/>
  <c r="A6166" i="1"/>
  <c r="B6166" i="1"/>
  <c r="G6166" i="1"/>
  <c r="K6166" i="1"/>
  <c r="A6167" i="1"/>
  <c r="B6167" i="1"/>
  <c r="G6167" i="1"/>
  <c r="K6167" i="1"/>
  <c r="A6168" i="1"/>
  <c r="B6168" i="1"/>
  <c r="G6168" i="1"/>
  <c r="K6168" i="1"/>
  <c r="A6169" i="1"/>
  <c r="B6169" i="1"/>
  <c r="G6169" i="1"/>
  <c r="K6169" i="1"/>
  <c r="A6170" i="1"/>
  <c r="B6170" i="1"/>
  <c r="G6170" i="1"/>
  <c r="K6170" i="1"/>
  <c r="A6171" i="1"/>
  <c r="B6171" i="1"/>
  <c r="G6171" i="1"/>
  <c r="K6171" i="1"/>
  <c r="A6172" i="1"/>
  <c r="B6172" i="1"/>
  <c r="G6172" i="1"/>
  <c r="K6172" i="1"/>
  <c r="A6173" i="1"/>
  <c r="B6173" i="1"/>
  <c r="G6173" i="1"/>
  <c r="K6173" i="1"/>
  <c r="A6174" i="1"/>
  <c r="B6174" i="1"/>
  <c r="G6174" i="1"/>
  <c r="K6174" i="1"/>
  <c r="A6175" i="1"/>
  <c r="B6175" i="1"/>
  <c r="G6175" i="1"/>
  <c r="K6175" i="1"/>
  <c r="A6176" i="1"/>
  <c r="B6176" i="1"/>
  <c r="G6176" i="1"/>
  <c r="K6176" i="1"/>
  <c r="A6177" i="1"/>
  <c r="B6177" i="1"/>
  <c r="G6177" i="1"/>
  <c r="K6177" i="1"/>
  <c r="A6178" i="1"/>
  <c r="B6178" i="1"/>
  <c r="G6178" i="1"/>
  <c r="K6178" i="1"/>
  <c r="A6179" i="1"/>
  <c r="B6179" i="1"/>
  <c r="G6179" i="1"/>
  <c r="K6179" i="1"/>
  <c r="A6180" i="1"/>
  <c r="B6180" i="1"/>
  <c r="G6180" i="1"/>
  <c r="K6180" i="1"/>
  <c r="A6181" i="1"/>
  <c r="B6181" i="1"/>
  <c r="G6181" i="1"/>
  <c r="K6181" i="1"/>
  <c r="A6182" i="1"/>
  <c r="B6182" i="1"/>
  <c r="G6182" i="1"/>
  <c r="K6182" i="1"/>
  <c r="A6183" i="1"/>
  <c r="B6183" i="1"/>
  <c r="G6183" i="1"/>
  <c r="K6183" i="1"/>
  <c r="A6184" i="1"/>
  <c r="B6184" i="1"/>
  <c r="G6184" i="1"/>
  <c r="K6184" i="1"/>
  <c r="A6185" i="1"/>
  <c r="B6185" i="1"/>
  <c r="G6185" i="1"/>
  <c r="K6185" i="1"/>
  <c r="A6186" i="1"/>
  <c r="B6186" i="1"/>
  <c r="G6186" i="1"/>
  <c r="K6186" i="1"/>
  <c r="A6187" i="1"/>
  <c r="B6187" i="1"/>
  <c r="G6187" i="1"/>
  <c r="K6187" i="1"/>
  <c r="A6188" i="1"/>
  <c r="B6188" i="1"/>
  <c r="G6188" i="1"/>
  <c r="K6188" i="1"/>
  <c r="A6189" i="1"/>
  <c r="B6189" i="1"/>
  <c r="G6189" i="1"/>
  <c r="K6189" i="1"/>
  <c r="A6190" i="1"/>
  <c r="B6190" i="1"/>
  <c r="G6190" i="1"/>
  <c r="K6190" i="1"/>
  <c r="A6191" i="1"/>
  <c r="B6191" i="1"/>
  <c r="G6191" i="1"/>
  <c r="K6191" i="1"/>
  <c r="A6192" i="1"/>
  <c r="B6192" i="1"/>
  <c r="G6192" i="1"/>
  <c r="K6192" i="1"/>
  <c r="A6193" i="1"/>
  <c r="B6193" i="1"/>
  <c r="G6193" i="1"/>
  <c r="K6193" i="1"/>
  <c r="A6194" i="1"/>
  <c r="B6194" i="1"/>
  <c r="G6194" i="1"/>
  <c r="K6194" i="1"/>
  <c r="A6195" i="1"/>
  <c r="B6195" i="1"/>
  <c r="G6195" i="1"/>
  <c r="K6195" i="1"/>
  <c r="A6196" i="1"/>
  <c r="B6196" i="1"/>
  <c r="G6196" i="1"/>
  <c r="K6196" i="1"/>
  <c r="A6197" i="1"/>
  <c r="B6197" i="1"/>
  <c r="G6197" i="1"/>
  <c r="K6197" i="1"/>
  <c r="A6198" i="1"/>
  <c r="B6198" i="1"/>
  <c r="G6198" i="1"/>
  <c r="K6198" i="1"/>
  <c r="A6199" i="1"/>
  <c r="B6199" i="1"/>
  <c r="G6199" i="1"/>
  <c r="K6199" i="1"/>
  <c r="A6200" i="1"/>
  <c r="B6200" i="1"/>
  <c r="G6200" i="1"/>
  <c r="K6200" i="1"/>
  <c r="A6201" i="1"/>
  <c r="B6201" i="1"/>
  <c r="G6201" i="1"/>
  <c r="K6201" i="1"/>
  <c r="A6202" i="1"/>
  <c r="B6202" i="1"/>
  <c r="G6202" i="1"/>
  <c r="K6202" i="1"/>
  <c r="A6203" i="1"/>
  <c r="B6203" i="1"/>
  <c r="G6203" i="1"/>
  <c r="K6203" i="1"/>
  <c r="A6204" i="1"/>
  <c r="B6204" i="1"/>
  <c r="G6204" i="1"/>
  <c r="K6204" i="1"/>
  <c r="A6205" i="1"/>
  <c r="B6205" i="1"/>
  <c r="G6205" i="1"/>
  <c r="K6205" i="1"/>
  <c r="A6206" i="1"/>
  <c r="B6206" i="1"/>
  <c r="G6206" i="1"/>
  <c r="K6206" i="1"/>
  <c r="A6207" i="1"/>
  <c r="B6207" i="1"/>
  <c r="G6207" i="1"/>
  <c r="K6207" i="1"/>
  <c r="A6208" i="1"/>
  <c r="B6208" i="1"/>
  <c r="G6208" i="1"/>
  <c r="K6208" i="1"/>
  <c r="A6209" i="1"/>
  <c r="B6209" i="1"/>
  <c r="G6209" i="1"/>
  <c r="K6209" i="1"/>
  <c r="A6210" i="1"/>
  <c r="B6210" i="1"/>
  <c r="G6210" i="1"/>
  <c r="K6210" i="1"/>
  <c r="A6211" i="1"/>
  <c r="B6211" i="1"/>
  <c r="G6211" i="1"/>
  <c r="K6211" i="1"/>
  <c r="A6212" i="1"/>
  <c r="B6212" i="1"/>
  <c r="G6212" i="1"/>
  <c r="K6212" i="1"/>
  <c r="A6213" i="1"/>
  <c r="B6213" i="1"/>
  <c r="G6213" i="1"/>
  <c r="K6213" i="1"/>
  <c r="A6214" i="1"/>
  <c r="B6214" i="1"/>
  <c r="G6214" i="1"/>
  <c r="K6214" i="1"/>
  <c r="A6215" i="1"/>
  <c r="B6215" i="1"/>
  <c r="G6215" i="1"/>
  <c r="K6215" i="1"/>
  <c r="A6216" i="1"/>
  <c r="B6216" i="1"/>
  <c r="G6216" i="1"/>
  <c r="K6216" i="1"/>
  <c r="A6217" i="1"/>
  <c r="B6217" i="1"/>
  <c r="G6217" i="1"/>
  <c r="K6217" i="1"/>
  <c r="A6218" i="1"/>
  <c r="B6218" i="1"/>
  <c r="G6218" i="1"/>
  <c r="K6218" i="1"/>
  <c r="A6219" i="1"/>
  <c r="B6219" i="1"/>
  <c r="G6219" i="1"/>
  <c r="K6219" i="1"/>
  <c r="A6220" i="1"/>
  <c r="B6220" i="1"/>
  <c r="G6220" i="1"/>
  <c r="K6220" i="1"/>
  <c r="A6221" i="1"/>
  <c r="B6221" i="1"/>
  <c r="G6221" i="1"/>
  <c r="K6221" i="1"/>
  <c r="A6222" i="1"/>
  <c r="B6222" i="1"/>
  <c r="G6222" i="1"/>
  <c r="K6222" i="1"/>
  <c r="A6223" i="1"/>
  <c r="B6223" i="1"/>
  <c r="G6223" i="1"/>
  <c r="K6223" i="1"/>
  <c r="A6224" i="1"/>
  <c r="B6224" i="1"/>
  <c r="G6224" i="1"/>
  <c r="K6224" i="1"/>
  <c r="A6225" i="1"/>
  <c r="B6225" i="1"/>
  <c r="G6225" i="1"/>
  <c r="K6225" i="1"/>
  <c r="A6226" i="1"/>
  <c r="B6226" i="1"/>
  <c r="G6226" i="1"/>
  <c r="K6226" i="1"/>
  <c r="A6227" i="1"/>
  <c r="B6227" i="1"/>
  <c r="G6227" i="1"/>
  <c r="K6227" i="1"/>
  <c r="A6228" i="1"/>
  <c r="B6228" i="1"/>
  <c r="G6228" i="1"/>
  <c r="K6228" i="1"/>
  <c r="A6229" i="1"/>
  <c r="B6229" i="1"/>
  <c r="G6229" i="1"/>
  <c r="K6229" i="1"/>
  <c r="A6230" i="1"/>
  <c r="B6230" i="1"/>
  <c r="G6230" i="1"/>
  <c r="K6230" i="1"/>
  <c r="A6231" i="1"/>
  <c r="B6231" i="1"/>
  <c r="G6231" i="1"/>
  <c r="K6231" i="1"/>
  <c r="A6232" i="1"/>
  <c r="B6232" i="1"/>
  <c r="G6232" i="1"/>
  <c r="K6232" i="1"/>
  <c r="A6233" i="1"/>
  <c r="B6233" i="1"/>
  <c r="G6233" i="1"/>
  <c r="K6233" i="1"/>
  <c r="A6234" i="1"/>
  <c r="B6234" i="1"/>
  <c r="G6234" i="1"/>
  <c r="K6234" i="1"/>
  <c r="A6235" i="1"/>
  <c r="B6235" i="1"/>
  <c r="G6235" i="1"/>
  <c r="K6235" i="1"/>
  <c r="A6236" i="1"/>
  <c r="B6236" i="1"/>
  <c r="G6236" i="1"/>
  <c r="K6236" i="1"/>
  <c r="A6237" i="1"/>
  <c r="B6237" i="1"/>
  <c r="G6237" i="1"/>
  <c r="K6237" i="1"/>
  <c r="A6238" i="1"/>
  <c r="B6238" i="1"/>
  <c r="G6238" i="1"/>
  <c r="K6238" i="1"/>
  <c r="A6239" i="1"/>
  <c r="B6239" i="1"/>
  <c r="G6239" i="1"/>
  <c r="K6239" i="1"/>
  <c r="A6240" i="1"/>
  <c r="B6240" i="1"/>
  <c r="G6240" i="1"/>
  <c r="K6240" i="1"/>
  <c r="A6241" i="1"/>
  <c r="B6241" i="1"/>
  <c r="G6241" i="1"/>
  <c r="K6241" i="1"/>
  <c r="A6242" i="1"/>
  <c r="B6242" i="1"/>
  <c r="G6242" i="1"/>
  <c r="K6242" i="1"/>
  <c r="A6243" i="1"/>
  <c r="B6243" i="1"/>
  <c r="G6243" i="1"/>
  <c r="K6243" i="1"/>
  <c r="A6244" i="1"/>
  <c r="B6244" i="1"/>
  <c r="G6244" i="1"/>
  <c r="K6244" i="1"/>
  <c r="A6245" i="1"/>
  <c r="B6245" i="1"/>
  <c r="G6245" i="1"/>
  <c r="K6245" i="1"/>
  <c r="A6246" i="1"/>
  <c r="B6246" i="1"/>
  <c r="G6246" i="1"/>
  <c r="K6246" i="1"/>
  <c r="A6247" i="1"/>
  <c r="B6247" i="1"/>
  <c r="G6247" i="1"/>
  <c r="K6247" i="1"/>
  <c r="A6248" i="1"/>
  <c r="B6248" i="1"/>
  <c r="G6248" i="1"/>
  <c r="K6248" i="1"/>
  <c r="A6249" i="1"/>
  <c r="B6249" i="1"/>
  <c r="G6249" i="1"/>
  <c r="K6249" i="1"/>
  <c r="A6250" i="1"/>
  <c r="B6250" i="1"/>
  <c r="G6250" i="1"/>
  <c r="K6250" i="1"/>
  <c r="A6251" i="1"/>
  <c r="B6251" i="1"/>
  <c r="G6251" i="1"/>
  <c r="K6251" i="1"/>
  <c r="A6252" i="1"/>
  <c r="B6252" i="1"/>
  <c r="G6252" i="1"/>
  <c r="K6252" i="1"/>
  <c r="A6253" i="1"/>
  <c r="B6253" i="1"/>
  <c r="G6253" i="1"/>
  <c r="K6253" i="1"/>
  <c r="A6254" i="1"/>
  <c r="B6254" i="1"/>
  <c r="G6254" i="1"/>
  <c r="K6254" i="1"/>
  <c r="A6255" i="1"/>
  <c r="B6255" i="1"/>
  <c r="G6255" i="1"/>
  <c r="K6255" i="1"/>
  <c r="A6256" i="1"/>
  <c r="B6256" i="1"/>
  <c r="G6256" i="1"/>
  <c r="K6256" i="1"/>
  <c r="A6257" i="1"/>
  <c r="B6257" i="1"/>
  <c r="G6257" i="1"/>
  <c r="K6257" i="1"/>
  <c r="A6258" i="1"/>
  <c r="B6258" i="1"/>
  <c r="G6258" i="1"/>
  <c r="K6258" i="1"/>
  <c r="A6259" i="1"/>
  <c r="B6259" i="1"/>
  <c r="G6259" i="1"/>
  <c r="K6259" i="1"/>
  <c r="A6260" i="1"/>
  <c r="B6260" i="1"/>
  <c r="G6260" i="1"/>
  <c r="K6260" i="1"/>
  <c r="A6261" i="1"/>
  <c r="B6261" i="1"/>
  <c r="G6261" i="1"/>
  <c r="K6261" i="1"/>
  <c r="A6262" i="1"/>
  <c r="B6262" i="1"/>
  <c r="G6262" i="1"/>
  <c r="K6262" i="1"/>
  <c r="A6263" i="1"/>
  <c r="B6263" i="1"/>
  <c r="G6263" i="1"/>
  <c r="K6263" i="1"/>
  <c r="A6264" i="1"/>
  <c r="B6264" i="1"/>
  <c r="G6264" i="1"/>
  <c r="K6264" i="1"/>
  <c r="A6265" i="1"/>
  <c r="B6265" i="1"/>
  <c r="G6265" i="1"/>
  <c r="K6265" i="1"/>
  <c r="A6266" i="1"/>
  <c r="B6266" i="1"/>
  <c r="G6266" i="1"/>
  <c r="K6266" i="1"/>
  <c r="A6267" i="1"/>
  <c r="B6267" i="1"/>
  <c r="G6267" i="1"/>
  <c r="K6267" i="1"/>
  <c r="A6268" i="1"/>
  <c r="B6268" i="1"/>
  <c r="G6268" i="1"/>
  <c r="K6268" i="1"/>
  <c r="A6269" i="1"/>
  <c r="B6269" i="1"/>
  <c r="G6269" i="1"/>
  <c r="K6269" i="1"/>
  <c r="A6270" i="1"/>
  <c r="B6270" i="1"/>
  <c r="G6270" i="1"/>
  <c r="K6270" i="1"/>
  <c r="A6271" i="1"/>
  <c r="B6271" i="1"/>
  <c r="G6271" i="1"/>
  <c r="K6271" i="1"/>
  <c r="A6272" i="1"/>
  <c r="B6272" i="1"/>
  <c r="G6272" i="1"/>
  <c r="K6272" i="1"/>
  <c r="A6273" i="1"/>
  <c r="B6273" i="1"/>
  <c r="G6273" i="1"/>
  <c r="K6273" i="1"/>
  <c r="A6274" i="1"/>
  <c r="B6274" i="1"/>
  <c r="G6274" i="1"/>
  <c r="K6274" i="1"/>
  <c r="A6275" i="1"/>
  <c r="B6275" i="1"/>
  <c r="G6275" i="1"/>
  <c r="K6275" i="1"/>
  <c r="A6276" i="1"/>
  <c r="B6276" i="1"/>
  <c r="G6276" i="1"/>
  <c r="K6276" i="1"/>
  <c r="A6277" i="1"/>
  <c r="B6277" i="1"/>
  <c r="G6277" i="1"/>
  <c r="K6277" i="1"/>
  <c r="A6278" i="1"/>
  <c r="B6278" i="1"/>
  <c r="G6278" i="1"/>
  <c r="K6278" i="1"/>
  <c r="A6279" i="1"/>
  <c r="B6279" i="1"/>
  <c r="G6279" i="1"/>
  <c r="K6279" i="1"/>
  <c r="A6280" i="1"/>
  <c r="B6280" i="1"/>
  <c r="G6280" i="1"/>
  <c r="K6280" i="1"/>
  <c r="A6281" i="1"/>
  <c r="B6281" i="1"/>
  <c r="G6281" i="1"/>
  <c r="K6281" i="1"/>
  <c r="A6282" i="1"/>
  <c r="B6282" i="1"/>
  <c r="G6282" i="1"/>
  <c r="K6282" i="1"/>
  <c r="A6283" i="1"/>
  <c r="B6283" i="1"/>
  <c r="G6283" i="1"/>
  <c r="K6283" i="1"/>
  <c r="A6284" i="1"/>
  <c r="B6284" i="1"/>
  <c r="G6284" i="1"/>
  <c r="K6284" i="1"/>
  <c r="A6285" i="1"/>
  <c r="B6285" i="1"/>
  <c r="G6285" i="1"/>
  <c r="K6285" i="1"/>
  <c r="A6286" i="1"/>
  <c r="B6286" i="1"/>
  <c r="G6286" i="1"/>
  <c r="K6286" i="1"/>
  <c r="A6287" i="1"/>
  <c r="B6287" i="1"/>
  <c r="G6287" i="1"/>
  <c r="K6287" i="1"/>
  <c r="A6288" i="1"/>
  <c r="B6288" i="1"/>
  <c r="G6288" i="1"/>
  <c r="K6288" i="1"/>
  <c r="A6289" i="1"/>
  <c r="B6289" i="1"/>
  <c r="G6289" i="1"/>
  <c r="K6289" i="1"/>
  <c r="A6290" i="1"/>
  <c r="B6290" i="1"/>
  <c r="G6290" i="1"/>
  <c r="K6290" i="1"/>
  <c r="A6291" i="1"/>
  <c r="B6291" i="1"/>
  <c r="G6291" i="1"/>
  <c r="K6291" i="1"/>
  <c r="A6292" i="1"/>
  <c r="B6292" i="1"/>
  <c r="G6292" i="1"/>
  <c r="K6292" i="1"/>
  <c r="A6293" i="1"/>
  <c r="B6293" i="1"/>
  <c r="G6293" i="1"/>
  <c r="K6293" i="1"/>
  <c r="A6294" i="1"/>
  <c r="B6294" i="1"/>
  <c r="G6294" i="1"/>
  <c r="K6294" i="1"/>
  <c r="A6295" i="1"/>
  <c r="B6295" i="1"/>
  <c r="G6295" i="1"/>
  <c r="K6295" i="1"/>
  <c r="A6296" i="1"/>
  <c r="B6296" i="1"/>
  <c r="G6296" i="1"/>
  <c r="K6296" i="1"/>
  <c r="A6297" i="1"/>
  <c r="B6297" i="1"/>
  <c r="G6297" i="1"/>
  <c r="K6297" i="1"/>
  <c r="A6298" i="1"/>
  <c r="B6298" i="1"/>
  <c r="G6298" i="1"/>
  <c r="K6298" i="1"/>
  <c r="A6299" i="1"/>
  <c r="B6299" i="1"/>
  <c r="G6299" i="1"/>
  <c r="K6299" i="1"/>
  <c r="A6300" i="1"/>
  <c r="B6300" i="1"/>
  <c r="G6300" i="1"/>
  <c r="K6300" i="1"/>
  <c r="A6301" i="1"/>
  <c r="B6301" i="1"/>
  <c r="G6301" i="1"/>
  <c r="K6301" i="1"/>
  <c r="A6302" i="1"/>
  <c r="B6302" i="1"/>
  <c r="G6302" i="1"/>
  <c r="K6302" i="1"/>
  <c r="A6303" i="1"/>
  <c r="B6303" i="1"/>
  <c r="G6303" i="1"/>
  <c r="K6303" i="1"/>
  <c r="A6304" i="1"/>
  <c r="B6304" i="1"/>
  <c r="G6304" i="1"/>
  <c r="K6304" i="1"/>
  <c r="A6305" i="1"/>
  <c r="B6305" i="1"/>
  <c r="G6305" i="1"/>
  <c r="K6305" i="1"/>
  <c r="A6306" i="1"/>
  <c r="B6306" i="1"/>
  <c r="G6306" i="1"/>
  <c r="K6306" i="1"/>
  <c r="A6307" i="1"/>
  <c r="B6307" i="1"/>
  <c r="G6307" i="1"/>
  <c r="K6307" i="1"/>
  <c r="A6308" i="1"/>
  <c r="B6308" i="1"/>
  <c r="G6308" i="1"/>
  <c r="K6308" i="1"/>
  <c r="A6309" i="1"/>
  <c r="B6309" i="1"/>
  <c r="G6309" i="1"/>
  <c r="K6309" i="1"/>
  <c r="A6310" i="1"/>
  <c r="B6310" i="1"/>
  <c r="G6310" i="1"/>
  <c r="K6310" i="1"/>
  <c r="A6311" i="1"/>
  <c r="B6311" i="1"/>
  <c r="G6311" i="1"/>
  <c r="K6311" i="1"/>
  <c r="A6312" i="1"/>
  <c r="B6312" i="1"/>
  <c r="G6312" i="1"/>
  <c r="K6312" i="1"/>
  <c r="A6313" i="1"/>
  <c r="B6313" i="1"/>
  <c r="G6313" i="1"/>
  <c r="K6313" i="1"/>
  <c r="A6314" i="1"/>
  <c r="B6314" i="1"/>
  <c r="G6314" i="1"/>
  <c r="K6314" i="1"/>
  <c r="A6315" i="1"/>
  <c r="B6315" i="1"/>
  <c r="G6315" i="1"/>
  <c r="K6315" i="1"/>
  <c r="A6316" i="1"/>
  <c r="B6316" i="1"/>
  <c r="G6316" i="1"/>
  <c r="K6316" i="1"/>
  <c r="A6317" i="1"/>
  <c r="B6317" i="1"/>
  <c r="G6317" i="1"/>
  <c r="K6317" i="1"/>
  <c r="A6318" i="1"/>
  <c r="B6318" i="1"/>
  <c r="G6318" i="1"/>
  <c r="K6318" i="1"/>
  <c r="A6319" i="1"/>
  <c r="B6319" i="1"/>
  <c r="G6319" i="1"/>
  <c r="K6319" i="1"/>
  <c r="A6320" i="1"/>
  <c r="B6320" i="1"/>
  <c r="G6320" i="1"/>
  <c r="K6320" i="1"/>
  <c r="A6321" i="1"/>
  <c r="B6321" i="1"/>
  <c r="G6321" i="1"/>
  <c r="K6321" i="1"/>
  <c r="A6322" i="1"/>
  <c r="B6322" i="1"/>
  <c r="G6322" i="1"/>
  <c r="K6322" i="1"/>
  <c r="A6323" i="1"/>
  <c r="B6323" i="1"/>
  <c r="G6323" i="1"/>
  <c r="K6323" i="1"/>
  <c r="A6324" i="1"/>
  <c r="B6324" i="1"/>
  <c r="G6324" i="1"/>
  <c r="K6324" i="1"/>
  <c r="A6325" i="1"/>
  <c r="B6325" i="1"/>
  <c r="G6325" i="1"/>
  <c r="K6325" i="1"/>
  <c r="A6326" i="1"/>
  <c r="B6326" i="1"/>
  <c r="G6326" i="1"/>
  <c r="K6326" i="1"/>
  <c r="A6327" i="1"/>
  <c r="B6327" i="1"/>
  <c r="G6327" i="1"/>
  <c r="K6327" i="1"/>
  <c r="A6328" i="1"/>
  <c r="B6328" i="1"/>
  <c r="G6328" i="1"/>
  <c r="K6328" i="1"/>
  <c r="A6329" i="1"/>
  <c r="B6329" i="1"/>
  <c r="G6329" i="1"/>
  <c r="K6329" i="1"/>
  <c r="A6330" i="1"/>
  <c r="B6330" i="1"/>
  <c r="G6330" i="1"/>
  <c r="K6330" i="1"/>
  <c r="A6331" i="1"/>
  <c r="B6331" i="1"/>
  <c r="G6331" i="1"/>
  <c r="K6331" i="1"/>
  <c r="A6332" i="1"/>
  <c r="B6332" i="1"/>
  <c r="G6332" i="1"/>
  <c r="K6332" i="1"/>
  <c r="A6333" i="1"/>
  <c r="B6333" i="1"/>
  <c r="G6333" i="1"/>
  <c r="K6333" i="1"/>
  <c r="A6334" i="1"/>
  <c r="B6334" i="1"/>
  <c r="G6334" i="1"/>
  <c r="K6334" i="1"/>
  <c r="A6335" i="1"/>
  <c r="B6335" i="1"/>
  <c r="G6335" i="1"/>
  <c r="K6335" i="1"/>
  <c r="A6336" i="1"/>
  <c r="B6336" i="1"/>
  <c r="G6336" i="1"/>
  <c r="K6336" i="1"/>
  <c r="A6337" i="1"/>
  <c r="B6337" i="1"/>
  <c r="G6337" i="1"/>
  <c r="K6337" i="1"/>
  <c r="A6338" i="1"/>
  <c r="B6338" i="1"/>
  <c r="G6338" i="1"/>
  <c r="K6338" i="1"/>
  <c r="A6339" i="1"/>
  <c r="B6339" i="1"/>
  <c r="G6339" i="1"/>
  <c r="K6339" i="1"/>
  <c r="A6340" i="1"/>
  <c r="B6340" i="1"/>
  <c r="G6340" i="1"/>
  <c r="K6340" i="1"/>
  <c r="A6341" i="1"/>
  <c r="B6341" i="1"/>
  <c r="G6341" i="1"/>
  <c r="K6341" i="1"/>
  <c r="A6342" i="1"/>
  <c r="B6342" i="1"/>
  <c r="G6342" i="1"/>
  <c r="K6342" i="1"/>
  <c r="A6343" i="1"/>
  <c r="B6343" i="1"/>
  <c r="G6343" i="1"/>
  <c r="K6343" i="1"/>
  <c r="A6344" i="1"/>
  <c r="B6344" i="1"/>
  <c r="G6344" i="1"/>
  <c r="K6344" i="1"/>
  <c r="A6345" i="1"/>
  <c r="B6345" i="1"/>
  <c r="G6345" i="1"/>
  <c r="K6345" i="1"/>
  <c r="A6346" i="1"/>
  <c r="B6346" i="1"/>
  <c r="G6346" i="1"/>
  <c r="K6346" i="1"/>
  <c r="A6347" i="1"/>
  <c r="B6347" i="1"/>
  <c r="G6347" i="1"/>
  <c r="K6347" i="1"/>
  <c r="A6348" i="1"/>
  <c r="B6348" i="1"/>
  <c r="G6348" i="1"/>
  <c r="K6348" i="1"/>
  <c r="A6349" i="1"/>
  <c r="B6349" i="1"/>
  <c r="G6349" i="1"/>
  <c r="K6349" i="1"/>
  <c r="A6350" i="1"/>
  <c r="B6350" i="1"/>
  <c r="G6350" i="1"/>
  <c r="K6350" i="1"/>
  <c r="A6351" i="1"/>
  <c r="B6351" i="1"/>
  <c r="G6351" i="1"/>
  <c r="K6351" i="1"/>
  <c r="A6352" i="1"/>
  <c r="B6352" i="1"/>
  <c r="G6352" i="1"/>
  <c r="K6352" i="1"/>
  <c r="A6353" i="1"/>
  <c r="B6353" i="1"/>
  <c r="G6353" i="1"/>
  <c r="K6353" i="1"/>
  <c r="A6354" i="1"/>
  <c r="B6354" i="1"/>
  <c r="G6354" i="1"/>
  <c r="K6354" i="1"/>
  <c r="A6355" i="1"/>
  <c r="B6355" i="1"/>
  <c r="G6355" i="1"/>
  <c r="K6355" i="1"/>
  <c r="A6356" i="1"/>
  <c r="B6356" i="1"/>
  <c r="G6356" i="1"/>
  <c r="K6356" i="1"/>
  <c r="A6357" i="1"/>
  <c r="B6357" i="1"/>
  <c r="G6357" i="1"/>
  <c r="K6357" i="1"/>
  <c r="A6358" i="1"/>
  <c r="B6358" i="1"/>
  <c r="G6358" i="1"/>
  <c r="K6358" i="1"/>
  <c r="A6359" i="1"/>
  <c r="B6359" i="1"/>
  <c r="G6359" i="1"/>
  <c r="K6359" i="1"/>
  <c r="A6360" i="1"/>
  <c r="B6360" i="1"/>
  <c r="G6360" i="1"/>
  <c r="K6360" i="1"/>
  <c r="A6361" i="1"/>
  <c r="B6361" i="1"/>
  <c r="G6361" i="1"/>
  <c r="K6361" i="1"/>
  <c r="A6362" i="1"/>
  <c r="B6362" i="1"/>
  <c r="G6362" i="1"/>
  <c r="K6362" i="1"/>
  <c r="A6363" i="1"/>
  <c r="B6363" i="1"/>
  <c r="G6363" i="1"/>
  <c r="K6363" i="1"/>
  <c r="A6364" i="1"/>
  <c r="B6364" i="1"/>
  <c r="G6364" i="1"/>
  <c r="K6364" i="1"/>
  <c r="A6365" i="1"/>
  <c r="B6365" i="1"/>
  <c r="G6365" i="1"/>
  <c r="K6365" i="1"/>
  <c r="A6366" i="1"/>
  <c r="B6366" i="1"/>
  <c r="G6366" i="1"/>
  <c r="K6366" i="1"/>
  <c r="A6367" i="1"/>
  <c r="B6367" i="1"/>
  <c r="G6367" i="1"/>
  <c r="K6367" i="1"/>
  <c r="A6368" i="1"/>
  <c r="B6368" i="1"/>
  <c r="G6368" i="1"/>
  <c r="K6368" i="1"/>
  <c r="A6369" i="1"/>
  <c r="B6369" i="1"/>
  <c r="G6369" i="1"/>
  <c r="K6369" i="1"/>
  <c r="A6370" i="1"/>
  <c r="B6370" i="1"/>
  <c r="G6370" i="1"/>
  <c r="K6370" i="1"/>
  <c r="A6371" i="1"/>
  <c r="B6371" i="1"/>
  <c r="G6371" i="1"/>
  <c r="K6371" i="1"/>
  <c r="A6372" i="1"/>
  <c r="B6372" i="1"/>
  <c r="G6372" i="1"/>
  <c r="K6372" i="1"/>
  <c r="A6373" i="1"/>
  <c r="B6373" i="1"/>
  <c r="G6373" i="1"/>
  <c r="K6373" i="1"/>
  <c r="A6374" i="1"/>
  <c r="B6374" i="1"/>
  <c r="G6374" i="1"/>
  <c r="K6374" i="1"/>
  <c r="A6375" i="1"/>
  <c r="B6375" i="1"/>
  <c r="G6375" i="1"/>
  <c r="K6375" i="1"/>
  <c r="A6376" i="1"/>
  <c r="B6376" i="1"/>
  <c r="G6376" i="1"/>
  <c r="K6376" i="1"/>
  <c r="A6377" i="1"/>
  <c r="B6377" i="1"/>
  <c r="G6377" i="1"/>
  <c r="K6377" i="1"/>
  <c r="A6378" i="1"/>
  <c r="B6378" i="1"/>
  <c r="G6378" i="1"/>
  <c r="K6378" i="1"/>
  <c r="A6379" i="1"/>
  <c r="B6379" i="1"/>
  <c r="G6379" i="1"/>
  <c r="K6379" i="1"/>
  <c r="A6380" i="1"/>
  <c r="B6380" i="1"/>
  <c r="G6380" i="1"/>
  <c r="K6380" i="1"/>
  <c r="A6381" i="1"/>
  <c r="B6381" i="1"/>
  <c r="G6381" i="1"/>
  <c r="K6381" i="1"/>
  <c r="A6382" i="1"/>
  <c r="B6382" i="1"/>
  <c r="G6382" i="1"/>
  <c r="K6382" i="1"/>
  <c r="A6383" i="1"/>
  <c r="B6383" i="1"/>
  <c r="G6383" i="1"/>
  <c r="K6383" i="1"/>
  <c r="A6384" i="1"/>
  <c r="B6384" i="1"/>
  <c r="G6384" i="1"/>
  <c r="K6384" i="1"/>
  <c r="A6385" i="1"/>
  <c r="B6385" i="1"/>
  <c r="G6385" i="1"/>
  <c r="K6385" i="1"/>
  <c r="A6386" i="1"/>
  <c r="B6386" i="1"/>
  <c r="G6386" i="1"/>
  <c r="K6386" i="1"/>
  <c r="A6387" i="1"/>
  <c r="B6387" i="1"/>
  <c r="G6387" i="1"/>
  <c r="K6387" i="1"/>
  <c r="A6388" i="1"/>
  <c r="B6388" i="1"/>
  <c r="G6388" i="1"/>
  <c r="K6388" i="1"/>
  <c r="A6389" i="1"/>
  <c r="B6389" i="1"/>
  <c r="G6389" i="1"/>
  <c r="K6389" i="1"/>
  <c r="A6390" i="1"/>
  <c r="B6390" i="1"/>
  <c r="G6390" i="1"/>
  <c r="K6390" i="1"/>
  <c r="A6391" i="1"/>
  <c r="B6391" i="1"/>
  <c r="G6391" i="1"/>
  <c r="K6391" i="1"/>
  <c r="A6392" i="1"/>
  <c r="B6392" i="1"/>
  <c r="G6392" i="1"/>
  <c r="K6392" i="1"/>
  <c r="A6393" i="1"/>
  <c r="B6393" i="1"/>
  <c r="G6393" i="1"/>
  <c r="K6393" i="1"/>
  <c r="A6394" i="1"/>
  <c r="B6394" i="1"/>
  <c r="G6394" i="1"/>
  <c r="K6394" i="1"/>
  <c r="A6395" i="1"/>
  <c r="B6395" i="1"/>
  <c r="G6395" i="1"/>
  <c r="K6395" i="1"/>
  <c r="A6396" i="1"/>
  <c r="B6396" i="1"/>
  <c r="G6396" i="1"/>
  <c r="K6396" i="1"/>
  <c r="A6397" i="1"/>
  <c r="B6397" i="1"/>
  <c r="G6397" i="1"/>
  <c r="K6397" i="1"/>
  <c r="A6398" i="1"/>
  <c r="B6398" i="1"/>
  <c r="G6398" i="1"/>
  <c r="K6398" i="1"/>
  <c r="A6399" i="1"/>
  <c r="B6399" i="1"/>
  <c r="G6399" i="1"/>
  <c r="K6399" i="1"/>
  <c r="A6400" i="1"/>
  <c r="B6400" i="1"/>
  <c r="G6400" i="1"/>
  <c r="K6400" i="1"/>
  <c r="A6401" i="1"/>
  <c r="B6401" i="1"/>
  <c r="G6401" i="1"/>
  <c r="K6401" i="1"/>
  <c r="A6402" i="1"/>
  <c r="B6402" i="1"/>
  <c r="G6402" i="1"/>
  <c r="K6402" i="1"/>
  <c r="A6403" i="1"/>
  <c r="B6403" i="1"/>
  <c r="G6403" i="1"/>
  <c r="K6403" i="1"/>
  <c r="A6404" i="1"/>
  <c r="B6404" i="1"/>
  <c r="G6404" i="1"/>
  <c r="K6404" i="1"/>
  <c r="A6405" i="1"/>
  <c r="B6405" i="1"/>
  <c r="G6405" i="1"/>
  <c r="K6405" i="1"/>
  <c r="A6406" i="1"/>
  <c r="B6406" i="1"/>
  <c r="G6406" i="1"/>
  <c r="K6406" i="1"/>
  <c r="A6407" i="1"/>
  <c r="B6407" i="1"/>
  <c r="G6407" i="1"/>
  <c r="K6407" i="1"/>
  <c r="A6408" i="1"/>
  <c r="B6408" i="1"/>
  <c r="G6408" i="1"/>
  <c r="K6408" i="1"/>
  <c r="A6409" i="1"/>
  <c r="B6409" i="1"/>
  <c r="G6409" i="1"/>
  <c r="K6409" i="1"/>
  <c r="A6410" i="1"/>
  <c r="B6410" i="1"/>
  <c r="G6410" i="1"/>
  <c r="K6410" i="1"/>
  <c r="A6411" i="1"/>
  <c r="B6411" i="1"/>
  <c r="G6411" i="1"/>
  <c r="K6411" i="1"/>
  <c r="A6412" i="1"/>
  <c r="B6412" i="1"/>
  <c r="G6412" i="1"/>
  <c r="K6412" i="1"/>
  <c r="A6413" i="1"/>
  <c r="B6413" i="1"/>
  <c r="G6413" i="1"/>
  <c r="K6413" i="1"/>
  <c r="A6414" i="1"/>
  <c r="B6414" i="1"/>
  <c r="G6414" i="1"/>
  <c r="K6414" i="1"/>
  <c r="A6415" i="1"/>
  <c r="B6415" i="1"/>
  <c r="G6415" i="1"/>
  <c r="K6415" i="1"/>
  <c r="A6416" i="1"/>
  <c r="B6416" i="1"/>
  <c r="G6416" i="1"/>
  <c r="K6416" i="1"/>
  <c r="A6417" i="1"/>
  <c r="B6417" i="1"/>
  <c r="G6417" i="1"/>
  <c r="K6417" i="1"/>
  <c r="A6418" i="1"/>
  <c r="B6418" i="1"/>
  <c r="G6418" i="1"/>
  <c r="K6418" i="1"/>
  <c r="A6419" i="1"/>
  <c r="B6419" i="1"/>
  <c r="G6419" i="1"/>
  <c r="K6419" i="1"/>
  <c r="A6420" i="1"/>
  <c r="B6420" i="1"/>
  <c r="G6420" i="1"/>
  <c r="K6420" i="1"/>
  <c r="A6421" i="1"/>
  <c r="B6421" i="1"/>
  <c r="G6421" i="1"/>
  <c r="K6421" i="1"/>
  <c r="A6422" i="1"/>
  <c r="B6422" i="1"/>
  <c r="G6422" i="1"/>
  <c r="K6422" i="1"/>
  <c r="A6423" i="1"/>
  <c r="B6423" i="1"/>
  <c r="G6423" i="1"/>
  <c r="K6423" i="1"/>
  <c r="A6424" i="1"/>
  <c r="B6424" i="1"/>
  <c r="G6424" i="1"/>
  <c r="K6424" i="1"/>
  <c r="A6425" i="1"/>
  <c r="B6425" i="1"/>
  <c r="G6425" i="1"/>
  <c r="K6425" i="1"/>
  <c r="A6426" i="1"/>
  <c r="B6426" i="1"/>
  <c r="G6426" i="1"/>
  <c r="K6426" i="1"/>
  <c r="A6427" i="1"/>
  <c r="B6427" i="1"/>
  <c r="G6427" i="1"/>
  <c r="K6427" i="1"/>
  <c r="A6428" i="1"/>
  <c r="B6428" i="1"/>
  <c r="G6428" i="1"/>
  <c r="K6428" i="1"/>
  <c r="A6429" i="1"/>
  <c r="B6429" i="1"/>
  <c r="G6429" i="1"/>
  <c r="K6429" i="1"/>
  <c r="A6430" i="1"/>
  <c r="B6430" i="1"/>
  <c r="G6430" i="1"/>
  <c r="K6430" i="1"/>
  <c r="A6431" i="1"/>
  <c r="B6431" i="1"/>
  <c r="G6431" i="1"/>
  <c r="K6431" i="1"/>
  <c r="A6432" i="1"/>
  <c r="B6432" i="1"/>
  <c r="G6432" i="1"/>
  <c r="K6432" i="1"/>
  <c r="A6433" i="1"/>
  <c r="B6433" i="1"/>
  <c r="G6433" i="1"/>
  <c r="K6433" i="1"/>
  <c r="A6434" i="1"/>
  <c r="B6434" i="1"/>
  <c r="G6434" i="1"/>
  <c r="K6434" i="1"/>
  <c r="A6435" i="1"/>
  <c r="B6435" i="1"/>
  <c r="G6435" i="1"/>
  <c r="K6435" i="1"/>
  <c r="A6436" i="1"/>
  <c r="B6436" i="1"/>
  <c r="G6436" i="1"/>
  <c r="K6436" i="1"/>
  <c r="A6437" i="1"/>
  <c r="B6437" i="1"/>
  <c r="G6437" i="1"/>
  <c r="K6437" i="1"/>
  <c r="A6438" i="1"/>
  <c r="B6438" i="1"/>
  <c r="G6438" i="1"/>
  <c r="K6438" i="1"/>
  <c r="A6439" i="1"/>
  <c r="B6439" i="1"/>
  <c r="G6439" i="1"/>
  <c r="K6439" i="1"/>
  <c r="A6440" i="1"/>
  <c r="B6440" i="1"/>
  <c r="G6440" i="1"/>
  <c r="K6440" i="1"/>
  <c r="A6441" i="1"/>
  <c r="B6441" i="1"/>
  <c r="G6441" i="1"/>
  <c r="K6441" i="1"/>
  <c r="A6442" i="1"/>
  <c r="B6442" i="1"/>
  <c r="G6442" i="1"/>
  <c r="K6442" i="1"/>
  <c r="A6443" i="1"/>
  <c r="B6443" i="1"/>
  <c r="G6443" i="1"/>
  <c r="K6443" i="1"/>
  <c r="A6444" i="1"/>
  <c r="B6444" i="1"/>
  <c r="G6444" i="1"/>
  <c r="K6444" i="1"/>
  <c r="A6445" i="1"/>
  <c r="B6445" i="1"/>
  <c r="G6445" i="1"/>
  <c r="K6445" i="1"/>
  <c r="A6446" i="1"/>
  <c r="B6446" i="1"/>
  <c r="G6446" i="1"/>
  <c r="K6446" i="1"/>
  <c r="A6447" i="1"/>
  <c r="B6447" i="1"/>
  <c r="G6447" i="1"/>
  <c r="K6447" i="1"/>
  <c r="A6448" i="1"/>
  <c r="B6448" i="1"/>
  <c r="G6448" i="1"/>
  <c r="K6448" i="1"/>
  <c r="A6449" i="1"/>
  <c r="B6449" i="1"/>
  <c r="G6449" i="1"/>
  <c r="K6449" i="1"/>
  <c r="A6450" i="1"/>
  <c r="B6450" i="1"/>
  <c r="G6450" i="1"/>
  <c r="K6450" i="1"/>
  <c r="A6451" i="1"/>
  <c r="B6451" i="1"/>
  <c r="G6451" i="1"/>
  <c r="K6451" i="1"/>
  <c r="A6452" i="1"/>
  <c r="B6452" i="1"/>
  <c r="G6452" i="1"/>
  <c r="K6452" i="1"/>
  <c r="A6453" i="1"/>
  <c r="B6453" i="1"/>
  <c r="G6453" i="1"/>
  <c r="K6453" i="1"/>
  <c r="A6454" i="1"/>
  <c r="B6454" i="1"/>
  <c r="G6454" i="1"/>
  <c r="K6454" i="1"/>
  <c r="A6455" i="1"/>
  <c r="B6455" i="1"/>
  <c r="G6455" i="1"/>
  <c r="K6455" i="1"/>
  <c r="A6456" i="1"/>
  <c r="B6456" i="1"/>
  <c r="G6456" i="1"/>
  <c r="K6456" i="1"/>
  <c r="A6457" i="1"/>
  <c r="B6457" i="1"/>
  <c r="G6457" i="1"/>
  <c r="K6457" i="1"/>
  <c r="A6458" i="1"/>
  <c r="B6458" i="1"/>
  <c r="G6458" i="1"/>
  <c r="K6458" i="1"/>
  <c r="A6459" i="1"/>
  <c r="B6459" i="1"/>
  <c r="G6459" i="1"/>
  <c r="K6459" i="1"/>
  <c r="A6460" i="1"/>
  <c r="B6460" i="1"/>
  <c r="G6460" i="1"/>
  <c r="K6460" i="1"/>
  <c r="A6461" i="1"/>
  <c r="B6461" i="1"/>
  <c r="G6461" i="1"/>
  <c r="K6461" i="1"/>
  <c r="A6462" i="1"/>
  <c r="B6462" i="1"/>
  <c r="G6462" i="1"/>
  <c r="K6462" i="1"/>
  <c r="A6463" i="1"/>
  <c r="B6463" i="1"/>
  <c r="G6463" i="1"/>
  <c r="K6463" i="1"/>
  <c r="A6464" i="1"/>
  <c r="B6464" i="1"/>
  <c r="G6464" i="1"/>
  <c r="K6464" i="1"/>
  <c r="A6465" i="1"/>
  <c r="B6465" i="1"/>
  <c r="G6465" i="1"/>
  <c r="K6465" i="1"/>
  <c r="A6466" i="1"/>
  <c r="B6466" i="1"/>
  <c r="G6466" i="1"/>
  <c r="K6466" i="1"/>
  <c r="A6467" i="1"/>
  <c r="B6467" i="1"/>
  <c r="G6467" i="1"/>
  <c r="K6467" i="1"/>
  <c r="A6468" i="1"/>
  <c r="B6468" i="1"/>
  <c r="G6468" i="1"/>
  <c r="K6468" i="1"/>
  <c r="A6469" i="1"/>
  <c r="B6469" i="1"/>
  <c r="G6469" i="1"/>
  <c r="K6469" i="1"/>
  <c r="A6470" i="1"/>
  <c r="B6470" i="1"/>
  <c r="G6470" i="1"/>
  <c r="K6470" i="1"/>
  <c r="A6471" i="1"/>
  <c r="B6471" i="1"/>
  <c r="G6471" i="1"/>
  <c r="K6471" i="1"/>
  <c r="A6472" i="1"/>
  <c r="B6472" i="1"/>
  <c r="G6472" i="1"/>
  <c r="K6472" i="1"/>
  <c r="A6473" i="1"/>
  <c r="B6473" i="1"/>
  <c r="G6473" i="1"/>
  <c r="K6473" i="1"/>
  <c r="A6474" i="1"/>
  <c r="B6474" i="1"/>
  <c r="G6474" i="1"/>
  <c r="K6474" i="1"/>
  <c r="A6475" i="1"/>
  <c r="B6475" i="1"/>
  <c r="G6475" i="1"/>
  <c r="K6475" i="1"/>
  <c r="A6476" i="1"/>
  <c r="B6476" i="1"/>
  <c r="G6476" i="1"/>
  <c r="K6476" i="1"/>
  <c r="A6477" i="1"/>
  <c r="B6477" i="1"/>
  <c r="G6477" i="1"/>
  <c r="K6477" i="1"/>
  <c r="A6478" i="1"/>
  <c r="B6478" i="1"/>
  <c r="G6478" i="1"/>
  <c r="K6478" i="1"/>
  <c r="A6479" i="1"/>
  <c r="B6479" i="1"/>
  <c r="G6479" i="1"/>
  <c r="K6479" i="1"/>
  <c r="A6480" i="1"/>
  <c r="B6480" i="1"/>
  <c r="G6480" i="1"/>
  <c r="K6480" i="1"/>
  <c r="A6481" i="1"/>
  <c r="B6481" i="1"/>
  <c r="G6481" i="1"/>
  <c r="K6481" i="1"/>
  <c r="A6482" i="1"/>
  <c r="B6482" i="1"/>
  <c r="G6482" i="1"/>
  <c r="K6482" i="1"/>
  <c r="A6483" i="1"/>
  <c r="B6483" i="1"/>
  <c r="G6483" i="1"/>
  <c r="K6483" i="1"/>
  <c r="A6484" i="1"/>
  <c r="B6484" i="1"/>
  <c r="G6484" i="1"/>
  <c r="K6484" i="1"/>
  <c r="A6485" i="1"/>
  <c r="B6485" i="1"/>
  <c r="G6485" i="1"/>
  <c r="K6485" i="1"/>
  <c r="A6486" i="1"/>
  <c r="B6486" i="1"/>
  <c r="G6486" i="1"/>
  <c r="K6486" i="1"/>
  <c r="A6487" i="1"/>
  <c r="B6487" i="1"/>
  <c r="G6487" i="1"/>
  <c r="K6487" i="1"/>
  <c r="A6488" i="1"/>
  <c r="B6488" i="1"/>
  <c r="G6488" i="1"/>
  <c r="K6488" i="1"/>
  <c r="A6489" i="1"/>
  <c r="B6489" i="1"/>
  <c r="G6489" i="1"/>
  <c r="K6489" i="1"/>
  <c r="A6490" i="1"/>
  <c r="B6490" i="1"/>
  <c r="G6490" i="1"/>
  <c r="K6490" i="1"/>
  <c r="A6491" i="1"/>
  <c r="B6491" i="1"/>
  <c r="G6491" i="1"/>
  <c r="K6491" i="1"/>
  <c r="A6492" i="1"/>
  <c r="B6492" i="1"/>
  <c r="G6492" i="1"/>
  <c r="K6492" i="1"/>
  <c r="A6493" i="1"/>
  <c r="B6493" i="1"/>
  <c r="G6493" i="1"/>
  <c r="K6493" i="1"/>
  <c r="A6494" i="1"/>
  <c r="B6494" i="1"/>
  <c r="G6494" i="1"/>
  <c r="K6494" i="1"/>
  <c r="A6495" i="1"/>
  <c r="B6495" i="1"/>
  <c r="G6495" i="1"/>
  <c r="K6495" i="1"/>
  <c r="A6496" i="1"/>
  <c r="B6496" i="1"/>
  <c r="G6496" i="1"/>
  <c r="K6496" i="1"/>
  <c r="A6497" i="1"/>
  <c r="B6497" i="1"/>
  <c r="G6497" i="1"/>
  <c r="K6497" i="1"/>
  <c r="A6498" i="1"/>
  <c r="B6498" i="1"/>
  <c r="G6498" i="1"/>
  <c r="K6498" i="1"/>
  <c r="A6499" i="1"/>
  <c r="B6499" i="1"/>
  <c r="G6499" i="1"/>
  <c r="K6499" i="1"/>
  <c r="A6500" i="1"/>
  <c r="B6500" i="1"/>
  <c r="G6500" i="1"/>
  <c r="K6500" i="1"/>
  <c r="A6501" i="1"/>
  <c r="B6501" i="1"/>
  <c r="G6501" i="1"/>
  <c r="K6501" i="1"/>
  <c r="A6502" i="1"/>
  <c r="B6502" i="1"/>
  <c r="G6502" i="1"/>
  <c r="K6502" i="1"/>
  <c r="A6503" i="1"/>
  <c r="B6503" i="1"/>
  <c r="G6503" i="1"/>
  <c r="K6503" i="1"/>
  <c r="A6504" i="1"/>
  <c r="B6504" i="1"/>
  <c r="G6504" i="1"/>
  <c r="K6504" i="1"/>
  <c r="A6505" i="1"/>
  <c r="B6505" i="1"/>
  <c r="G6505" i="1"/>
  <c r="K6505" i="1"/>
  <c r="A6506" i="1"/>
  <c r="B6506" i="1"/>
  <c r="G6506" i="1"/>
  <c r="K6506" i="1"/>
  <c r="A6507" i="1"/>
  <c r="B6507" i="1"/>
  <c r="G6507" i="1"/>
  <c r="K6507" i="1"/>
  <c r="A6508" i="1"/>
  <c r="B6508" i="1"/>
  <c r="G6508" i="1"/>
  <c r="K6508" i="1"/>
  <c r="A6509" i="1"/>
  <c r="B6509" i="1"/>
  <c r="G6509" i="1"/>
  <c r="K6509" i="1"/>
  <c r="A6510" i="1"/>
  <c r="B6510" i="1"/>
  <c r="G6510" i="1"/>
  <c r="K6510" i="1"/>
  <c r="A6511" i="1"/>
  <c r="B6511" i="1"/>
  <c r="G6511" i="1"/>
  <c r="K6511" i="1"/>
  <c r="A6512" i="1"/>
  <c r="B6512" i="1"/>
  <c r="G6512" i="1"/>
  <c r="K6512" i="1"/>
  <c r="A6513" i="1"/>
  <c r="B6513" i="1"/>
  <c r="G6513" i="1"/>
  <c r="K6513" i="1"/>
  <c r="A6514" i="1"/>
  <c r="B6514" i="1"/>
  <c r="G6514" i="1"/>
  <c r="K6514" i="1"/>
  <c r="A6515" i="1"/>
  <c r="B6515" i="1"/>
  <c r="G6515" i="1"/>
  <c r="K6515" i="1"/>
  <c r="A6516" i="1"/>
  <c r="B6516" i="1"/>
  <c r="G6516" i="1"/>
  <c r="K6516" i="1"/>
  <c r="A6517" i="1"/>
  <c r="B6517" i="1"/>
  <c r="G6517" i="1"/>
  <c r="K6517" i="1"/>
  <c r="A6518" i="1"/>
  <c r="B6518" i="1"/>
  <c r="G6518" i="1"/>
  <c r="K6518" i="1"/>
  <c r="A6519" i="1"/>
  <c r="B6519" i="1"/>
  <c r="G6519" i="1"/>
  <c r="K6519" i="1"/>
  <c r="A6520" i="1"/>
  <c r="B6520" i="1"/>
  <c r="G6520" i="1"/>
  <c r="K6520" i="1"/>
  <c r="A6521" i="1"/>
  <c r="B6521" i="1"/>
  <c r="G6521" i="1"/>
  <c r="K6521" i="1"/>
  <c r="A6522" i="1"/>
  <c r="B6522" i="1"/>
  <c r="G6522" i="1"/>
  <c r="K6522" i="1"/>
  <c r="A6523" i="1"/>
  <c r="B6523" i="1"/>
  <c r="G6523" i="1"/>
  <c r="K6523" i="1"/>
  <c r="A6524" i="1"/>
  <c r="B6524" i="1"/>
  <c r="G6524" i="1"/>
  <c r="K6524" i="1"/>
  <c r="A6525" i="1"/>
  <c r="B6525" i="1"/>
  <c r="G6525" i="1"/>
  <c r="K6525" i="1"/>
  <c r="A6526" i="1"/>
  <c r="B6526" i="1"/>
  <c r="G6526" i="1"/>
  <c r="K6526" i="1"/>
  <c r="A6527" i="1"/>
  <c r="B6527" i="1"/>
  <c r="G6527" i="1"/>
  <c r="K6527" i="1"/>
  <c r="A6528" i="1"/>
  <c r="B6528" i="1"/>
  <c r="G6528" i="1"/>
  <c r="K6528" i="1"/>
  <c r="A6529" i="1"/>
  <c r="B6529" i="1"/>
  <c r="G6529" i="1"/>
  <c r="K6529" i="1"/>
  <c r="A6530" i="1"/>
  <c r="B6530" i="1"/>
  <c r="G6530" i="1"/>
  <c r="K6530" i="1"/>
  <c r="A6531" i="1"/>
  <c r="B6531" i="1"/>
  <c r="G6531" i="1"/>
  <c r="K6531" i="1"/>
  <c r="A6532" i="1"/>
  <c r="B6532" i="1"/>
  <c r="G6532" i="1"/>
  <c r="K6532" i="1"/>
  <c r="A6533" i="1"/>
  <c r="B6533" i="1"/>
  <c r="G6533" i="1"/>
  <c r="K6533" i="1"/>
  <c r="A6534" i="1"/>
  <c r="B6534" i="1"/>
  <c r="G6534" i="1"/>
  <c r="K6534" i="1"/>
  <c r="A6535" i="1"/>
  <c r="B6535" i="1"/>
  <c r="G6535" i="1"/>
  <c r="K6535" i="1"/>
  <c r="A6536" i="1"/>
  <c r="B6536" i="1"/>
  <c r="G6536" i="1"/>
  <c r="K6536" i="1"/>
  <c r="A6537" i="1"/>
  <c r="B6537" i="1"/>
  <c r="G6537" i="1"/>
  <c r="K6537" i="1"/>
  <c r="A6538" i="1"/>
  <c r="B6538" i="1"/>
  <c r="G6538" i="1"/>
  <c r="K6538" i="1"/>
  <c r="A6539" i="1"/>
  <c r="B6539" i="1"/>
  <c r="G6539" i="1"/>
  <c r="K6539" i="1"/>
  <c r="A6540" i="1"/>
  <c r="B6540" i="1"/>
  <c r="G6540" i="1"/>
  <c r="K6540" i="1"/>
  <c r="A6541" i="1"/>
  <c r="B6541" i="1"/>
  <c r="G6541" i="1"/>
  <c r="K6541" i="1"/>
  <c r="A6542" i="1"/>
  <c r="B6542" i="1"/>
  <c r="G6542" i="1"/>
  <c r="K6542" i="1"/>
  <c r="A6543" i="1"/>
  <c r="B6543" i="1"/>
  <c r="G6543" i="1"/>
  <c r="K6543" i="1"/>
  <c r="A6544" i="1"/>
  <c r="B6544" i="1"/>
  <c r="G6544" i="1"/>
  <c r="K6544" i="1"/>
  <c r="A6545" i="1"/>
  <c r="B6545" i="1"/>
  <c r="G6545" i="1"/>
  <c r="K6545" i="1"/>
  <c r="A6546" i="1"/>
  <c r="B6546" i="1"/>
  <c r="G6546" i="1"/>
  <c r="K6546" i="1"/>
  <c r="A6547" i="1"/>
  <c r="B6547" i="1"/>
  <c r="G6547" i="1"/>
  <c r="K6547" i="1"/>
  <c r="A6548" i="1"/>
  <c r="B6548" i="1"/>
  <c r="G6548" i="1"/>
  <c r="K6548" i="1"/>
  <c r="A6549" i="1"/>
  <c r="B6549" i="1"/>
  <c r="G6549" i="1"/>
  <c r="K6549" i="1"/>
  <c r="A6550" i="1"/>
  <c r="B6550" i="1"/>
  <c r="G6550" i="1"/>
  <c r="K6550" i="1"/>
  <c r="A6551" i="1"/>
  <c r="B6551" i="1"/>
  <c r="G6551" i="1"/>
  <c r="K6551" i="1"/>
  <c r="A6552" i="1"/>
  <c r="B6552" i="1"/>
  <c r="G6552" i="1"/>
  <c r="K6552" i="1"/>
  <c r="A6553" i="1"/>
  <c r="B6553" i="1"/>
  <c r="G6553" i="1"/>
  <c r="K6553" i="1"/>
  <c r="A6554" i="1"/>
  <c r="B6554" i="1"/>
  <c r="G6554" i="1"/>
  <c r="K6554" i="1"/>
  <c r="A6555" i="1"/>
  <c r="B6555" i="1"/>
  <c r="G6555" i="1"/>
  <c r="K6555" i="1"/>
  <c r="A6556" i="1"/>
  <c r="B6556" i="1"/>
  <c r="G6556" i="1"/>
  <c r="K6556" i="1"/>
  <c r="A6557" i="1"/>
  <c r="B6557" i="1"/>
  <c r="G6557" i="1"/>
  <c r="K6557" i="1"/>
  <c r="A6558" i="1"/>
  <c r="B6558" i="1"/>
  <c r="G6558" i="1"/>
  <c r="K6558" i="1"/>
  <c r="A6559" i="1"/>
  <c r="B6559" i="1"/>
  <c r="G6559" i="1"/>
  <c r="K6559" i="1"/>
  <c r="A6560" i="1"/>
  <c r="B6560" i="1"/>
  <c r="G6560" i="1"/>
  <c r="K6560" i="1"/>
  <c r="A6561" i="1"/>
  <c r="B6561" i="1"/>
  <c r="G6561" i="1"/>
  <c r="K6561" i="1"/>
  <c r="A6562" i="1"/>
  <c r="B6562" i="1"/>
  <c r="G6562" i="1"/>
  <c r="K6562" i="1"/>
  <c r="A6563" i="1"/>
  <c r="B6563" i="1"/>
  <c r="G6563" i="1"/>
  <c r="K6563" i="1"/>
  <c r="A6564" i="1"/>
  <c r="B6564" i="1"/>
  <c r="G6564" i="1"/>
  <c r="K6564" i="1"/>
  <c r="A6565" i="1"/>
  <c r="B6565" i="1"/>
  <c r="G6565" i="1"/>
  <c r="K6565" i="1"/>
  <c r="A6566" i="1"/>
  <c r="B6566" i="1"/>
  <c r="G6566" i="1"/>
  <c r="K6566" i="1"/>
  <c r="A6567" i="1"/>
  <c r="B6567" i="1"/>
  <c r="G6567" i="1"/>
  <c r="K6567" i="1"/>
  <c r="A6568" i="1"/>
  <c r="B6568" i="1"/>
  <c r="G6568" i="1"/>
  <c r="K6568" i="1"/>
  <c r="A6569" i="1"/>
  <c r="B6569" i="1"/>
  <c r="G6569" i="1"/>
  <c r="K6569" i="1"/>
  <c r="A6570" i="1"/>
  <c r="B6570" i="1"/>
  <c r="G6570" i="1"/>
  <c r="K6570" i="1"/>
  <c r="A6571" i="1"/>
  <c r="B6571" i="1"/>
  <c r="G6571" i="1"/>
  <c r="K6571" i="1"/>
  <c r="A6572" i="1"/>
  <c r="B6572" i="1"/>
  <c r="G6572" i="1"/>
  <c r="K6572" i="1"/>
  <c r="A6573" i="1"/>
  <c r="B6573" i="1"/>
  <c r="G6573" i="1"/>
  <c r="K6573" i="1"/>
  <c r="A6574" i="1"/>
  <c r="B6574" i="1"/>
  <c r="G6574" i="1"/>
  <c r="K6574" i="1"/>
  <c r="A6575" i="1"/>
  <c r="B6575" i="1"/>
  <c r="G6575" i="1"/>
  <c r="K6575" i="1"/>
  <c r="A6576" i="1"/>
  <c r="B6576" i="1"/>
  <c r="G6576" i="1"/>
  <c r="K6576" i="1"/>
  <c r="A6577" i="1"/>
  <c r="B6577" i="1"/>
  <c r="G6577" i="1"/>
  <c r="K6577" i="1"/>
  <c r="A6578" i="1"/>
  <c r="B6578" i="1"/>
  <c r="G6578" i="1"/>
  <c r="K6578" i="1"/>
  <c r="A6579" i="1"/>
  <c r="B6579" i="1"/>
  <c r="G6579" i="1"/>
  <c r="K6579" i="1"/>
  <c r="A6580" i="1"/>
  <c r="B6580" i="1"/>
  <c r="G6580" i="1"/>
  <c r="K6580" i="1"/>
  <c r="A6581" i="1"/>
  <c r="B6581" i="1"/>
  <c r="G6581" i="1"/>
  <c r="K6581" i="1"/>
  <c r="A6582" i="1"/>
  <c r="B6582" i="1"/>
  <c r="G6582" i="1"/>
  <c r="K6582" i="1"/>
  <c r="A6583" i="1"/>
  <c r="B6583" i="1"/>
  <c r="G6583" i="1"/>
  <c r="K6583" i="1"/>
  <c r="A6584" i="1"/>
  <c r="B6584" i="1"/>
  <c r="G6584" i="1"/>
  <c r="K6584" i="1"/>
  <c r="A6585" i="1"/>
  <c r="B6585" i="1"/>
  <c r="G6585" i="1"/>
  <c r="K6585" i="1"/>
  <c r="A6586" i="1"/>
  <c r="B6586" i="1"/>
  <c r="G6586" i="1"/>
  <c r="K6586" i="1"/>
  <c r="A6587" i="1"/>
  <c r="B6587" i="1"/>
  <c r="G6587" i="1"/>
  <c r="K6587" i="1"/>
  <c r="A6588" i="1"/>
  <c r="B6588" i="1"/>
  <c r="G6588" i="1"/>
  <c r="K6588" i="1"/>
  <c r="A6589" i="1"/>
  <c r="B6589" i="1"/>
  <c r="G6589" i="1"/>
  <c r="K6589" i="1"/>
  <c r="A6590" i="1"/>
  <c r="B6590" i="1"/>
  <c r="G6590" i="1"/>
  <c r="K6590" i="1"/>
  <c r="A6591" i="1"/>
  <c r="B6591" i="1"/>
  <c r="G6591" i="1"/>
  <c r="K6591" i="1"/>
  <c r="A6592" i="1"/>
  <c r="B6592" i="1"/>
  <c r="G6592" i="1"/>
  <c r="K6592" i="1"/>
  <c r="A6593" i="1"/>
  <c r="B6593" i="1"/>
  <c r="G6593" i="1"/>
  <c r="K6593" i="1"/>
  <c r="A6594" i="1"/>
  <c r="B6594" i="1"/>
  <c r="G6594" i="1"/>
  <c r="K6594" i="1"/>
  <c r="A6595" i="1"/>
  <c r="B6595" i="1"/>
  <c r="G6595" i="1"/>
  <c r="K6595" i="1"/>
  <c r="A6596" i="1"/>
  <c r="B6596" i="1"/>
  <c r="G6596" i="1"/>
  <c r="K6596" i="1"/>
  <c r="A6597" i="1"/>
  <c r="B6597" i="1"/>
  <c r="G6597" i="1"/>
  <c r="K6597" i="1"/>
  <c r="A6598" i="1"/>
  <c r="B6598" i="1"/>
  <c r="G6598" i="1"/>
  <c r="K6598" i="1"/>
  <c r="A6599" i="1"/>
  <c r="B6599" i="1"/>
  <c r="G6599" i="1"/>
  <c r="K6599" i="1"/>
  <c r="A6600" i="1"/>
  <c r="B6600" i="1"/>
  <c r="G6600" i="1"/>
  <c r="K6600" i="1"/>
  <c r="A6601" i="1"/>
  <c r="B6601" i="1"/>
  <c r="G6601" i="1"/>
  <c r="K6601" i="1"/>
  <c r="A6602" i="1"/>
  <c r="B6602" i="1"/>
  <c r="G6602" i="1"/>
  <c r="K6602" i="1"/>
  <c r="A6603" i="1"/>
  <c r="B6603" i="1"/>
  <c r="G6603" i="1"/>
  <c r="K6603" i="1"/>
  <c r="A6604" i="1"/>
  <c r="B6604" i="1"/>
  <c r="G6604" i="1"/>
  <c r="K6604" i="1"/>
  <c r="A6605" i="1"/>
  <c r="B6605" i="1"/>
  <c r="G6605" i="1"/>
  <c r="K6605" i="1"/>
  <c r="A6606" i="1"/>
  <c r="B6606" i="1"/>
  <c r="G6606" i="1"/>
  <c r="K6606" i="1"/>
  <c r="A6607" i="1"/>
  <c r="B6607" i="1"/>
  <c r="G6607" i="1"/>
  <c r="K6607" i="1"/>
  <c r="A6608" i="1"/>
  <c r="B6608" i="1"/>
  <c r="G6608" i="1"/>
  <c r="K6608" i="1"/>
  <c r="A6609" i="1"/>
  <c r="B6609" i="1"/>
  <c r="G6609" i="1"/>
  <c r="K6609" i="1"/>
  <c r="A6610" i="1"/>
  <c r="B6610" i="1"/>
  <c r="G6610" i="1"/>
  <c r="K6610" i="1"/>
  <c r="A6611" i="1"/>
  <c r="B6611" i="1"/>
  <c r="G6611" i="1"/>
  <c r="K6611" i="1"/>
  <c r="A6612" i="1"/>
  <c r="B6612" i="1"/>
  <c r="G6612" i="1"/>
  <c r="K6612" i="1"/>
  <c r="A6613" i="1"/>
  <c r="B6613" i="1"/>
  <c r="G6613" i="1"/>
  <c r="K6613" i="1"/>
  <c r="A6614" i="1"/>
  <c r="B6614" i="1"/>
  <c r="G6614" i="1"/>
  <c r="K6614" i="1"/>
  <c r="A6615" i="1"/>
  <c r="B6615" i="1"/>
  <c r="G6615" i="1"/>
  <c r="K6615" i="1"/>
  <c r="A6616" i="1"/>
  <c r="B6616" i="1"/>
  <c r="G6616" i="1"/>
  <c r="K6616" i="1"/>
  <c r="A6617" i="1"/>
  <c r="B6617" i="1"/>
  <c r="G6617" i="1"/>
  <c r="K6617" i="1"/>
  <c r="A6618" i="1"/>
  <c r="B6618" i="1"/>
  <c r="G6618" i="1"/>
  <c r="K6618" i="1"/>
  <c r="A6619" i="1"/>
  <c r="B6619" i="1"/>
  <c r="G6619" i="1"/>
  <c r="K6619" i="1"/>
  <c r="A6620" i="1"/>
  <c r="B6620" i="1"/>
  <c r="G6620" i="1"/>
  <c r="K6620" i="1"/>
  <c r="A6621" i="1"/>
  <c r="B6621" i="1"/>
  <c r="G6621" i="1"/>
  <c r="K6621" i="1"/>
  <c r="A6622" i="1"/>
  <c r="B6622" i="1"/>
  <c r="G6622" i="1"/>
  <c r="K6622" i="1"/>
  <c r="A6623" i="1"/>
  <c r="B6623" i="1"/>
  <c r="G6623" i="1"/>
  <c r="K6623" i="1"/>
  <c r="A6624" i="1"/>
  <c r="B6624" i="1"/>
  <c r="G6624" i="1"/>
  <c r="K6624" i="1"/>
  <c r="A6625" i="1"/>
  <c r="B6625" i="1"/>
  <c r="G6625" i="1"/>
  <c r="K6625" i="1"/>
  <c r="A6626" i="1"/>
  <c r="B6626" i="1"/>
  <c r="G6626" i="1"/>
  <c r="K6626" i="1"/>
  <c r="A6627" i="1"/>
  <c r="B6627" i="1"/>
  <c r="G6627" i="1"/>
  <c r="K6627" i="1"/>
  <c r="A6628" i="1"/>
  <c r="B6628" i="1"/>
  <c r="G6628" i="1"/>
  <c r="K6628" i="1"/>
  <c r="A6629" i="1"/>
  <c r="B6629" i="1"/>
  <c r="G6629" i="1"/>
  <c r="K6629" i="1"/>
  <c r="A6630" i="1"/>
  <c r="B6630" i="1"/>
  <c r="G6630" i="1"/>
  <c r="K6630" i="1"/>
  <c r="A6631" i="1"/>
  <c r="B6631" i="1"/>
  <c r="G6631" i="1"/>
  <c r="K6631" i="1"/>
  <c r="A6632" i="1"/>
  <c r="B6632" i="1"/>
  <c r="G6632" i="1"/>
  <c r="K6632" i="1"/>
  <c r="A6633" i="1"/>
  <c r="B6633" i="1"/>
  <c r="G6633" i="1"/>
  <c r="K6633" i="1"/>
  <c r="A6634" i="1"/>
  <c r="B6634" i="1"/>
  <c r="G6634" i="1"/>
  <c r="K6634" i="1"/>
  <c r="A6635" i="1"/>
  <c r="B6635" i="1"/>
  <c r="G6635" i="1"/>
  <c r="K6635" i="1"/>
  <c r="A6636" i="1"/>
  <c r="B6636" i="1"/>
  <c r="G6636" i="1"/>
  <c r="K6636" i="1"/>
  <c r="A6637" i="1"/>
  <c r="B6637" i="1"/>
  <c r="G6637" i="1"/>
  <c r="K6637" i="1"/>
  <c r="A6638" i="1"/>
  <c r="B6638" i="1"/>
  <c r="G6638" i="1"/>
  <c r="K6638" i="1"/>
  <c r="A6639" i="1"/>
  <c r="B6639" i="1"/>
  <c r="G6639" i="1"/>
  <c r="K6639" i="1"/>
  <c r="A6640" i="1"/>
  <c r="B6640" i="1"/>
  <c r="G6640" i="1"/>
  <c r="K6640" i="1"/>
  <c r="A6641" i="1"/>
  <c r="B6641" i="1"/>
  <c r="G6641" i="1"/>
  <c r="K6641" i="1"/>
  <c r="A6642" i="1"/>
  <c r="B6642" i="1"/>
  <c r="G6642" i="1"/>
  <c r="K6642" i="1"/>
  <c r="A6643" i="1"/>
  <c r="B6643" i="1"/>
  <c r="G6643" i="1"/>
  <c r="K6643" i="1"/>
  <c r="A6644" i="1"/>
  <c r="B6644" i="1"/>
  <c r="G6644" i="1"/>
  <c r="K6644" i="1"/>
  <c r="A6645" i="1"/>
  <c r="B6645" i="1"/>
  <c r="G6645" i="1"/>
  <c r="K6645" i="1"/>
  <c r="A6646" i="1"/>
  <c r="B6646" i="1"/>
  <c r="G6646" i="1"/>
  <c r="K6646" i="1"/>
  <c r="A6647" i="1"/>
  <c r="B6647" i="1"/>
  <c r="G6647" i="1"/>
  <c r="K6647" i="1"/>
  <c r="A6648" i="1"/>
  <c r="B6648" i="1"/>
  <c r="G6648" i="1"/>
  <c r="K6648" i="1"/>
  <c r="A6649" i="1"/>
  <c r="B6649" i="1"/>
  <c r="G6649" i="1"/>
  <c r="K6649" i="1"/>
  <c r="A6650" i="1"/>
  <c r="B6650" i="1"/>
  <c r="G6650" i="1"/>
  <c r="K6650" i="1"/>
  <c r="A6651" i="1"/>
  <c r="B6651" i="1"/>
  <c r="G6651" i="1"/>
  <c r="K6651" i="1"/>
  <c r="A6652" i="1"/>
  <c r="B6652" i="1"/>
  <c r="G6652" i="1"/>
  <c r="K6652" i="1"/>
  <c r="A6653" i="1"/>
  <c r="B6653" i="1"/>
  <c r="G6653" i="1"/>
  <c r="K6653" i="1"/>
  <c r="A6654" i="1"/>
  <c r="B6654" i="1"/>
  <c r="G6654" i="1"/>
  <c r="K6654" i="1"/>
  <c r="A6655" i="1"/>
  <c r="B6655" i="1"/>
  <c r="G6655" i="1"/>
  <c r="K6655" i="1"/>
  <c r="A6656" i="1"/>
  <c r="B6656" i="1"/>
  <c r="G6656" i="1"/>
  <c r="K6656" i="1"/>
  <c r="A6657" i="1"/>
  <c r="B6657" i="1"/>
  <c r="G6657" i="1"/>
  <c r="K6657" i="1"/>
  <c r="A6658" i="1"/>
  <c r="B6658" i="1"/>
  <c r="G6658" i="1"/>
  <c r="K6658" i="1"/>
  <c r="A6659" i="1"/>
  <c r="B6659" i="1"/>
  <c r="G6659" i="1"/>
  <c r="K6659" i="1"/>
  <c r="A6660" i="1"/>
  <c r="B6660" i="1"/>
  <c r="G6660" i="1"/>
  <c r="K6660" i="1"/>
  <c r="A6661" i="1"/>
  <c r="B6661" i="1"/>
  <c r="G6661" i="1"/>
  <c r="K6661" i="1"/>
  <c r="A6662" i="1"/>
  <c r="B6662" i="1"/>
  <c r="G6662" i="1"/>
  <c r="K6662" i="1"/>
  <c r="A6663" i="1"/>
  <c r="B6663" i="1"/>
  <c r="G6663" i="1"/>
  <c r="K6663" i="1"/>
  <c r="A6664" i="1"/>
  <c r="B6664" i="1"/>
  <c r="G6664" i="1"/>
  <c r="K6664" i="1"/>
  <c r="A6665" i="1"/>
  <c r="B6665" i="1"/>
  <c r="G6665" i="1"/>
  <c r="K6665" i="1"/>
  <c r="A6666" i="1"/>
  <c r="B6666" i="1"/>
  <c r="G6666" i="1"/>
  <c r="K6666" i="1"/>
  <c r="A6667" i="1"/>
  <c r="B6667" i="1"/>
  <c r="G6667" i="1"/>
  <c r="K6667" i="1"/>
  <c r="A6668" i="1"/>
  <c r="B6668" i="1"/>
  <c r="G6668" i="1"/>
  <c r="K6668" i="1"/>
  <c r="A6669" i="1"/>
  <c r="B6669" i="1"/>
  <c r="G6669" i="1"/>
  <c r="K6669" i="1"/>
  <c r="A6670" i="1"/>
  <c r="B6670" i="1"/>
  <c r="G6670" i="1"/>
  <c r="K6670" i="1"/>
  <c r="A6671" i="1"/>
  <c r="B6671" i="1"/>
  <c r="G6671" i="1"/>
  <c r="K6671" i="1"/>
  <c r="A6672" i="1"/>
  <c r="B6672" i="1"/>
  <c r="G6672" i="1"/>
  <c r="K6672" i="1"/>
  <c r="A6673" i="1"/>
  <c r="B6673" i="1"/>
  <c r="G6673" i="1"/>
  <c r="K6673" i="1"/>
  <c r="A6674" i="1"/>
  <c r="B6674" i="1"/>
  <c r="G6674" i="1"/>
  <c r="K6674" i="1"/>
  <c r="A6675" i="1"/>
  <c r="B6675" i="1"/>
  <c r="G6675" i="1"/>
  <c r="K6675" i="1"/>
  <c r="A6676" i="1"/>
  <c r="B6676" i="1"/>
  <c r="G6676" i="1"/>
  <c r="K6676" i="1"/>
  <c r="A6677" i="1"/>
  <c r="B6677" i="1"/>
  <c r="G6677" i="1"/>
  <c r="K6677" i="1"/>
  <c r="A6678" i="1"/>
  <c r="B6678" i="1"/>
  <c r="G6678" i="1"/>
  <c r="K6678" i="1"/>
  <c r="A6679" i="1"/>
  <c r="B6679" i="1"/>
  <c r="G6679" i="1"/>
  <c r="K6679" i="1"/>
  <c r="A6680" i="1"/>
  <c r="B6680" i="1"/>
  <c r="G6680" i="1"/>
  <c r="K6680" i="1"/>
  <c r="A6681" i="1"/>
  <c r="B6681" i="1"/>
  <c r="G6681" i="1"/>
  <c r="K6681" i="1"/>
  <c r="A6682" i="1"/>
  <c r="B6682" i="1"/>
  <c r="G6682" i="1"/>
  <c r="K6682" i="1"/>
  <c r="A6683" i="1"/>
  <c r="B6683" i="1"/>
  <c r="G6683" i="1"/>
  <c r="K6683" i="1"/>
  <c r="A6684" i="1"/>
  <c r="B6684" i="1"/>
  <c r="G6684" i="1"/>
  <c r="K6684" i="1"/>
  <c r="A6685" i="1"/>
  <c r="B6685" i="1"/>
  <c r="G6685" i="1"/>
  <c r="K6685" i="1"/>
  <c r="A6686" i="1"/>
  <c r="B6686" i="1"/>
  <c r="G6686" i="1"/>
  <c r="K6686" i="1"/>
  <c r="A6687" i="1"/>
  <c r="B6687" i="1"/>
  <c r="G6687" i="1"/>
  <c r="K6687" i="1"/>
  <c r="A6688" i="1"/>
  <c r="B6688" i="1"/>
  <c r="G6688" i="1"/>
  <c r="K6688" i="1"/>
  <c r="A6689" i="1"/>
  <c r="B6689" i="1"/>
  <c r="G6689" i="1"/>
  <c r="K6689" i="1"/>
  <c r="A6690" i="1"/>
  <c r="B6690" i="1"/>
  <c r="G6690" i="1"/>
  <c r="K6690" i="1"/>
  <c r="A6691" i="1"/>
  <c r="B6691" i="1"/>
  <c r="G6691" i="1"/>
  <c r="K6691" i="1"/>
  <c r="A6692" i="1"/>
  <c r="B6692" i="1"/>
  <c r="G6692" i="1"/>
  <c r="K6692" i="1"/>
  <c r="A6693" i="1"/>
  <c r="B6693" i="1"/>
  <c r="G6693" i="1"/>
  <c r="K6693" i="1"/>
  <c r="A6694" i="1"/>
  <c r="B6694" i="1"/>
  <c r="G6694" i="1"/>
  <c r="K6694" i="1"/>
  <c r="A6695" i="1"/>
  <c r="B6695" i="1"/>
  <c r="G6695" i="1"/>
  <c r="K6695" i="1"/>
  <c r="A6696" i="1"/>
  <c r="B6696" i="1"/>
  <c r="G6696" i="1"/>
  <c r="K6696" i="1"/>
  <c r="A6697" i="1"/>
  <c r="B6697" i="1"/>
  <c r="G6697" i="1"/>
  <c r="K6697" i="1"/>
  <c r="A6698" i="1"/>
  <c r="B6698" i="1"/>
  <c r="G6698" i="1"/>
  <c r="K6698" i="1"/>
  <c r="A6699" i="1"/>
  <c r="B6699" i="1"/>
  <c r="G6699" i="1"/>
  <c r="K6699" i="1"/>
  <c r="A6700" i="1"/>
  <c r="B6700" i="1"/>
  <c r="G6700" i="1"/>
  <c r="K6700" i="1"/>
  <c r="A6701" i="1"/>
  <c r="B6701" i="1"/>
  <c r="G6701" i="1"/>
  <c r="K6701" i="1"/>
  <c r="A6702" i="1"/>
  <c r="B6702" i="1"/>
  <c r="G6702" i="1"/>
  <c r="K6702" i="1"/>
  <c r="A6703" i="1"/>
  <c r="B6703" i="1"/>
  <c r="G6703" i="1"/>
  <c r="K6703" i="1"/>
  <c r="A6704" i="1"/>
  <c r="B6704" i="1"/>
  <c r="G6704" i="1"/>
  <c r="K6704" i="1"/>
  <c r="A6705" i="1"/>
  <c r="B6705" i="1"/>
  <c r="G6705" i="1"/>
  <c r="K6705" i="1"/>
  <c r="A6706" i="1"/>
  <c r="B6706" i="1"/>
  <c r="G6706" i="1"/>
  <c r="K6706" i="1"/>
  <c r="A6707" i="1"/>
  <c r="B6707" i="1"/>
  <c r="G6707" i="1"/>
  <c r="K6707" i="1"/>
  <c r="A6708" i="1"/>
  <c r="B6708" i="1"/>
  <c r="G6708" i="1"/>
  <c r="K6708" i="1"/>
  <c r="A6709" i="1"/>
  <c r="B6709" i="1"/>
  <c r="G6709" i="1"/>
  <c r="K6709" i="1"/>
  <c r="A6710" i="1"/>
  <c r="B6710" i="1"/>
  <c r="G6710" i="1"/>
  <c r="K6710" i="1"/>
  <c r="A6711" i="1"/>
  <c r="B6711" i="1"/>
  <c r="G6711" i="1"/>
  <c r="K6711" i="1"/>
  <c r="A6712" i="1"/>
  <c r="B6712" i="1"/>
  <c r="G6712" i="1"/>
  <c r="K6712" i="1"/>
  <c r="A6713" i="1"/>
  <c r="B6713" i="1"/>
  <c r="G6713" i="1"/>
  <c r="K6713" i="1"/>
  <c r="A6714" i="1"/>
  <c r="B6714" i="1"/>
  <c r="G6714" i="1"/>
  <c r="K6714" i="1"/>
  <c r="A6715" i="1"/>
  <c r="B6715" i="1"/>
  <c r="G6715" i="1"/>
  <c r="K6715" i="1"/>
  <c r="A6716" i="1"/>
  <c r="B6716" i="1"/>
  <c r="G6716" i="1"/>
  <c r="K6716" i="1"/>
  <c r="A6717" i="1"/>
  <c r="B6717" i="1"/>
  <c r="G6717" i="1"/>
  <c r="K6717" i="1"/>
  <c r="A6718" i="1"/>
  <c r="B6718" i="1"/>
  <c r="G6718" i="1"/>
  <c r="K6718" i="1"/>
  <c r="A6719" i="1"/>
  <c r="B6719" i="1"/>
  <c r="G6719" i="1"/>
  <c r="K6719" i="1"/>
  <c r="A6720" i="1"/>
  <c r="B6720" i="1"/>
  <c r="G6720" i="1"/>
  <c r="K6720" i="1"/>
  <c r="A6721" i="1"/>
  <c r="B6721" i="1"/>
  <c r="G6721" i="1"/>
  <c r="K6721" i="1"/>
  <c r="A6722" i="1"/>
  <c r="B6722" i="1"/>
  <c r="G6722" i="1"/>
  <c r="K6722" i="1"/>
  <c r="A6723" i="1"/>
  <c r="B6723" i="1"/>
  <c r="G6723" i="1"/>
  <c r="K6723" i="1"/>
  <c r="A6724" i="1"/>
  <c r="B6724" i="1"/>
  <c r="G6724" i="1"/>
  <c r="K6724" i="1"/>
  <c r="A6725" i="1"/>
  <c r="B6725" i="1"/>
  <c r="G6725" i="1"/>
  <c r="K6725" i="1"/>
  <c r="A6726" i="1"/>
  <c r="B6726" i="1"/>
  <c r="G6726" i="1"/>
  <c r="K6726" i="1"/>
  <c r="A6727" i="1"/>
  <c r="B6727" i="1"/>
  <c r="G6727" i="1"/>
  <c r="K6727" i="1"/>
  <c r="A6728" i="1"/>
  <c r="B6728" i="1"/>
  <c r="G6728" i="1"/>
  <c r="K6728" i="1"/>
  <c r="A6729" i="1"/>
  <c r="B6729" i="1"/>
  <c r="G6729" i="1"/>
  <c r="K6729" i="1"/>
  <c r="A6730" i="1"/>
  <c r="B6730" i="1"/>
  <c r="G6730" i="1"/>
  <c r="K6730" i="1"/>
  <c r="A6731" i="1"/>
  <c r="B6731" i="1"/>
  <c r="G6731" i="1"/>
  <c r="K6731" i="1"/>
  <c r="A6732" i="1"/>
  <c r="B6732" i="1"/>
  <c r="G6732" i="1"/>
  <c r="K6732" i="1"/>
  <c r="A6733" i="1"/>
  <c r="B6733" i="1"/>
  <c r="G6733" i="1"/>
  <c r="K6733" i="1"/>
  <c r="A6734" i="1"/>
  <c r="B6734" i="1"/>
  <c r="G6734" i="1"/>
  <c r="K6734" i="1"/>
  <c r="A6735" i="1"/>
  <c r="B6735" i="1"/>
  <c r="G6735" i="1"/>
  <c r="K6735" i="1"/>
  <c r="A6736" i="1"/>
  <c r="B6736" i="1"/>
  <c r="G6736" i="1"/>
  <c r="K6736" i="1"/>
  <c r="A6737" i="1"/>
  <c r="B6737" i="1"/>
  <c r="G6737" i="1"/>
  <c r="K6737" i="1"/>
  <c r="A6738" i="1"/>
  <c r="B6738" i="1"/>
  <c r="G6738" i="1"/>
  <c r="K6738" i="1"/>
  <c r="A6739" i="1"/>
  <c r="B6739" i="1"/>
  <c r="G6739" i="1"/>
  <c r="K6739" i="1"/>
  <c r="A6740" i="1"/>
  <c r="B6740" i="1"/>
  <c r="G6740" i="1"/>
  <c r="K6740" i="1"/>
  <c r="A6741" i="1"/>
  <c r="B6741" i="1"/>
  <c r="G6741" i="1"/>
  <c r="K6741" i="1"/>
  <c r="A6742" i="1"/>
  <c r="B6742" i="1"/>
  <c r="G6742" i="1"/>
  <c r="K6742" i="1"/>
  <c r="A6743" i="1"/>
  <c r="B6743" i="1"/>
  <c r="G6743" i="1"/>
  <c r="K6743" i="1"/>
  <c r="A6744" i="1"/>
  <c r="B6744" i="1"/>
  <c r="G6744" i="1"/>
  <c r="K6744" i="1"/>
  <c r="A6745" i="1"/>
  <c r="B6745" i="1"/>
  <c r="G6745" i="1"/>
  <c r="K6745" i="1"/>
  <c r="A6746" i="1"/>
  <c r="B6746" i="1"/>
  <c r="G6746" i="1"/>
  <c r="K6746" i="1"/>
  <c r="A6747" i="1"/>
  <c r="B6747" i="1"/>
  <c r="G6747" i="1"/>
  <c r="K6747" i="1"/>
  <c r="A6748" i="1"/>
  <c r="B6748" i="1"/>
  <c r="G6748" i="1"/>
  <c r="K6748" i="1"/>
  <c r="A6749" i="1"/>
  <c r="B6749" i="1"/>
  <c r="G6749" i="1"/>
  <c r="K6749" i="1"/>
  <c r="A6750" i="1"/>
  <c r="B6750" i="1"/>
  <c r="G6750" i="1"/>
  <c r="K6750" i="1"/>
  <c r="A6751" i="1"/>
  <c r="B6751" i="1"/>
  <c r="G6751" i="1"/>
  <c r="K6751" i="1"/>
  <c r="A6752" i="1"/>
  <c r="B6752" i="1"/>
  <c r="G6752" i="1"/>
  <c r="K6752" i="1"/>
  <c r="A6753" i="1"/>
  <c r="B6753" i="1"/>
  <c r="G6753" i="1"/>
  <c r="K6753" i="1"/>
  <c r="A6754" i="1"/>
  <c r="B6754" i="1"/>
  <c r="G6754" i="1"/>
  <c r="K6754" i="1"/>
  <c r="A6755" i="1"/>
  <c r="B6755" i="1"/>
  <c r="G6755" i="1"/>
  <c r="K6755" i="1"/>
  <c r="A6756" i="1"/>
  <c r="B6756" i="1"/>
  <c r="G6756" i="1"/>
  <c r="K6756" i="1"/>
  <c r="A6757" i="1"/>
  <c r="B6757" i="1"/>
  <c r="G6757" i="1"/>
  <c r="K6757" i="1"/>
  <c r="A6758" i="1"/>
  <c r="B6758" i="1"/>
  <c r="G6758" i="1"/>
  <c r="K6758" i="1"/>
  <c r="A6759" i="1"/>
  <c r="B6759" i="1"/>
  <c r="G6759" i="1"/>
  <c r="K6759" i="1"/>
  <c r="A6760" i="1"/>
  <c r="B6760" i="1"/>
  <c r="G6760" i="1"/>
  <c r="K6760" i="1"/>
  <c r="A6761" i="1"/>
  <c r="B6761" i="1"/>
  <c r="G6761" i="1"/>
  <c r="K6761" i="1"/>
  <c r="A6762" i="1"/>
  <c r="B6762" i="1"/>
  <c r="G6762" i="1"/>
  <c r="K6762" i="1"/>
  <c r="A6763" i="1"/>
  <c r="B6763" i="1"/>
  <c r="G6763" i="1"/>
  <c r="K6763" i="1"/>
  <c r="A6764" i="1"/>
  <c r="B6764" i="1"/>
  <c r="G6764" i="1"/>
  <c r="K6764" i="1"/>
  <c r="A6765" i="1"/>
  <c r="B6765" i="1"/>
  <c r="G6765" i="1"/>
  <c r="K6765" i="1"/>
  <c r="A6766" i="1"/>
  <c r="B6766" i="1"/>
  <c r="G6766" i="1"/>
  <c r="K6766" i="1"/>
  <c r="A6767" i="1"/>
  <c r="B6767" i="1"/>
  <c r="G6767" i="1"/>
  <c r="K6767" i="1"/>
  <c r="A6768" i="1"/>
  <c r="B6768" i="1"/>
  <c r="G6768" i="1"/>
  <c r="K6768" i="1"/>
  <c r="A6769" i="1"/>
  <c r="B6769" i="1"/>
  <c r="G6769" i="1"/>
  <c r="K6769" i="1"/>
  <c r="A6770" i="1"/>
  <c r="B6770" i="1"/>
  <c r="G6770" i="1"/>
  <c r="K6770" i="1"/>
  <c r="A6771" i="1"/>
  <c r="B6771" i="1"/>
  <c r="G6771" i="1"/>
  <c r="K6771" i="1"/>
  <c r="A6772" i="1"/>
  <c r="B6772" i="1"/>
  <c r="G6772" i="1"/>
  <c r="K6772" i="1"/>
  <c r="A6773" i="1"/>
  <c r="B6773" i="1"/>
  <c r="G6773" i="1"/>
  <c r="K6773" i="1"/>
  <c r="A6774" i="1"/>
  <c r="B6774" i="1"/>
  <c r="G6774" i="1"/>
  <c r="K6774" i="1"/>
  <c r="A6775" i="1"/>
  <c r="B6775" i="1"/>
  <c r="G6775" i="1"/>
  <c r="K6775" i="1"/>
  <c r="A6776" i="1"/>
  <c r="B6776" i="1"/>
  <c r="G6776" i="1"/>
  <c r="K6776" i="1"/>
  <c r="A6777" i="1"/>
  <c r="B6777" i="1"/>
  <c r="G6777" i="1"/>
  <c r="K6777" i="1"/>
  <c r="A6778" i="1"/>
  <c r="B6778" i="1"/>
  <c r="G6778" i="1"/>
  <c r="K6778" i="1"/>
  <c r="A6779" i="1"/>
  <c r="B6779" i="1"/>
  <c r="G6779" i="1"/>
  <c r="K6779" i="1"/>
  <c r="A6780" i="1"/>
  <c r="B6780" i="1"/>
  <c r="G6780" i="1"/>
  <c r="K6780" i="1"/>
  <c r="A6781" i="1"/>
  <c r="B6781" i="1"/>
  <c r="G6781" i="1"/>
  <c r="K6781" i="1"/>
  <c r="A6782" i="1"/>
  <c r="B6782" i="1"/>
  <c r="G6782" i="1"/>
  <c r="K6782" i="1"/>
  <c r="A6783" i="1"/>
  <c r="B6783" i="1"/>
  <c r="G6783" i="1"/>
  <c r="K6783" i="1"/>
  <c r="A6784" i="1"/>
  <c r="B6784" i="1"/>
  <c r="G6784" i="1"/>
  <c r="K6784" i="1"/>
  <c r="A6785" i="1"/>
  <c r="B6785" i="1"/>
  <c r="G6785" i="1"/>
  <c r="K6785" i="1"/>
  <c r="A6786" i="1"/>
  <c r="B6786" i="1"/>
  <c r="G6786" i="1"/>
  <c r="K6786" i="1"/>
  <c r="A6787" i="1"/>
  <c r="B6787" i="1"/>
  <c r="G6787" i="1"/>
  <c r="K6787" i="1"/>
  <c r="A6788" i="1"/>
  <c r="B6788" i="1"/>
  <c r="G6788" i="1"/>
  <c r="K6788" i="1"/>
  <c r="A6789" i="1"/>
  <c r="B6789" i="1"/>
  <c r="G6789" i="1"/>
  <c r="K6789" i="1"/>
  <c r="A6790" i="1"/>
  <c r="B6790" i="1"/>
  <c r="G6790" i="1"/>
  <c r="K6790" i="1"/>
  <c r="A6791" i="1"/>
  <c r="B6791" i="1"/>
  <c r="G6791" i="1"/>
  <c r="K6791" i="1"/>
  <c r="A6792" i="1"/>
  <c r="B6792" i="1"/>
  <c r="G6792" i="1"/>
  <c r="K6792" i="1"/>
  <c r="A6793" i="1"/>
  <c r="B6793" i="1"/>
  <c r="G6793" i="1"/>
  <c r="K6793" i="1"/>
  <c r="A6794" i="1"/>
  <c r="B6794" i="1"/>
  <c r="G6794" i="1"/>
  <c r="K6794" i="1"/>
  <c r="A6795" i="1"/>
  <c r="B6795" i="1"/>
  <c r="G6795" i="1"/>
  <c r="K6795" i="1"/>
  <c r="A6796" i="1"/>
  <c r="B6796" i="1"/>
  <c r="G6796" i="1"/>
  <c r="K6796" i="1"/>
  <c r="A6797" i="1"/>
  <c r="B6797" i="1"/>
  <c r="G6797" i="1"/>
  <c r="K6797" i="1"/>
  <c r="A6798" i="1"/>
  <c r="B6798" i="1"/>
  <c r="G6798" i="1"/>
  <c r="K6798" i="1"/>
  <c r="A6799" i="1"/>
  <c r="B6799" i="1"/>
  <c r="G6799" i="1"/>
  <c r="K6799" i="1"/>
  <c r="A6800" i="1"/>
  <c r="B6800" i="1"/>
  <c r="G6800" i="1"/>
  <c r="K6800" i="1"/>
  <c r="A6801" i="1"/>
  <c r="B6801" i="1"/>
  <c r="G6801" i="1"/>
  <c r="K6801" i="1"/>
  <c r="A6802" i="1"/>
  <c r="B6802" i="1"/>
  <c r="G6802" i="1"/>
  <c r="K6802" i="1"/>
  <c r="A6803" i="1"/>
  <c r="B6803" i="1"/>
  <c r="G6803" i="1"/>
  <c r="K6803" i="1"/>
  <c r="A6804" i="1"/>
  <c r="B6804" i="1"/>
  <c r="G6804" i="1"/>
  <c r="K6804" i="1"/>
  <c r="A6805" i="1"/>
  <c r="B6805" i="1"/>
  <c r="G6805" i="1"/>
  <c r="K6805" i="1"/>
  <c r="A6806" i="1"/>
  <c r="B6806" i="1"/>
  <c r="G6806" i="1"/>
  <c r="K6806" i="1"/>
  <c r="A6807" i="1"/>
  <c r="B6807" i="1"/>
  <c r="G6807" i="1"/>
  <c r="K6807" i="1"/>
  <c r="A6808" i="1"/>
  <c r="B6808" i="1"/>
  <c r="G6808" i="1"/>
  <c r="K6808" i="1"/>
  <c r="A6809" i="1"/>
  <c r="B6809" i="1"/>
  <c r="G6809" i="1"/>
  <c r="K6809" i="1"/>
  <c r="A6810" i="1"/>
  <c r="B6810" i="1"/>
  <c r="G6810" i="1"/>
  <c r="K6810" i="1"/>
  <c r="A6811" i="1"/>
  <c r="B6811" i="1"/>
  <c r="G6811" i="1"/>
  <c r="K6811" i="1"/>
  <c r="A6812" i="1"/>
  <c r="B6812" i="1"/>
  <c r="G6812" i="1"/>
  <c r="K6812" i="1"/>
  <c r="A6813" i="1"/>
  <c r="B6813" i="1"/>
  <c r="G6813" i="1"/>
  <c r="K6813" i="1"/>
  <c r="A6814" i="1"/>
  <c r="B6814" i="1"/>
  <c r="G6814" i="1"/>
  <c r="K6814" i="1"/>
  <c r="A6815" i="1"/>
  <c r="B6815" i="1"/>
  <c r="G6815" i="1"/>
  <c r="K6815" i="1"/>
  <c r="A6816" i="1"/>
  <c r="B6816" i="1"/>
  <c r="G6816" i="1"/>
  <c r="K6816" i="1"/>
  <c r="A6817" i="1"/>
  <c r="B6817" i="1"/>
  <c r="G6817" i="1"/>
  <c r="K6817" i="1"/>
  <c r="A6818" i="1"/>
  <c r="B6818" i="1"/>
  <c r="G6818" i="1"/>
  <c r="K6818" i="1"/>
  <c r="A6819" i="1"/>
  <c r="B6819" i="1"/>
  <c r="G6819" i="1"/>
  <c r="K6819" i="1"/>
  <c r="A6820" i="1"/>
  <c r="B6820" i="1"/>
  <c r="G6820" i="1"/>
  <c r="K6820" i="1"/>
  <c r="A6821" i="1"/>
  <c r="B6821" i="1"/>
  <c r="G6821" i="1"/>
  <c r="K6821" i="1"/>
  <c r="A6822" i="1"/>
  <c r="B6822" i="1"/>
  <c r="G6822" i="1"/>
  <c r="K6822" i="1"/>
  <c r="A6823" i="1"/>
  <c r="B6823" i="1"/>
  <c r="G6823" i="1"/>
  <c r="K6823" i="1"/>
  <c r="A6824" i="1"/>
  <c r="B6824" i="1"/>
  <c r="G6824" i="1"/>
  <c r="K6824" i="1"/>
  <c r="A6825" i="1"/>
  <c r="B6825" i="1"/>
  <c r="G6825" i="1"/>
  <c r="K6825" i="1"/>
  <c r="A6826" i="1"/>
  <c r="B6826" i="1"/>
  <c r="G6826" i="1"/>
  <c r="K6826" i="1"/>
  <c r="A6827" i="1"/>
  <c r="B6827" i="1"/>
  <c r="G6827" i="1"/>
  <c r="K6827" i="1"/>
  <c r="A6828" i="1"/>
  <c r="B6828" i="1"/>
  <c r="G6828" i="1"/>
  <c r="K6828" i="1"/>
  <c r="A6829" i="1"/>
  <c r="B6829" i="1"/>
  <c r="G6829" i="1"/>
  <c r="K6829" i="1"/>
  <c r="A6830" i="1"/>
  <c r="B6830" i="1"/>
  <c r="G6830" i="1"/>
  <c r="K6830" i="1"/>
  <c r="A6831" i="1"/>
  <c r="B6831" i="1"/>
  <c r="G6831" i="1"/>
  <c r="K6831" i="1"/>
  <c r="A6832" i="1"/>
  <c r="B6832" i="1"/>
  <c r="G6832" i="1"/>
  <c r="K6832" i="1"/>
  <c r="A6833" i="1"/>
  <c r="B6833" i="1"/>
  <c r="G6833" i="1"/>
  <c r="K6833" i="1"/>
  <c r="A6834" i="1"/>
  <c r="B6834" i="1"/>
  <c r="G6834" i="1"/>
  <c r="K6834" i="1"/>
  <c r="A6835" i="1"/>
  <c r="B6835" i="1"/>
  <c r="G6835" i="1"/>
  <c r="K6835" i="1"/>
  <c r="A6836" i="1"/>
  <c r="B6836" i="1"/>
  <c r="G6836" i="1"/>
  <c r="K6836" i="1"/>
  <c r="A6837" i="1"/>
  <c r="B6837" i="1"/>
  <c r="G6837" i="1"/>
  <c r="K6837" i="1"/>
  <c r="A6838" i="1"/>
  <c r="B6838" i="1"/>
  <c r="G6838" i="1"/>
  <c r="K6838" i="1"/>
  <c r="A6839" i="1"/>
  <c r="B6839" i="1"/>
  <c r="G6839" i="1"/>
  <c r="K6839" i="1"/>
  <c r="A6840" i="1"/>
  <c r="B6840" i="1"/>
  <c r="G6840" i="1"/>
  <c r="K6840" i="1"/>
  <c r="A6841" i="1"/>
  <c r="B6841" i="1"/>
  <c r="G6841" i="1"/>
  <c r="K6841" i="1"/>
  <c r="A6842" i="1"/>
  <c r="B6842" i="1"/>
  <c r="G6842" i="1"/>
  <c r="K6842" i="1"/>
  <c r="A6843" i="1"/>
  <c r="B6843" i="1"/>
  <c r="G6843" i="1"/>
  <c r="K6843" i="1"/>
  <c r="A6844" i="1"/>
  <c r="B6844" i="1"/>
  <c r="G6844" i="1"/>
  <c r="K6844" i="1"/>
  <c r="A6845" i="1"/>
  <c r="B6845" i="1"/>
  <c r="G6845" i="1"/>
  <c r="K6845" i="1"/>
  <c r="A6846" i="1"/>
  <c r="B6846" i="1"/>
  <c r="G6846" i="1"/>
  <c r="K6846" i="1"/>
  <c r="A6847" i="1"/>
  <c r="B6847" i="1"/>
  <c r="G6847" i="1"/>
  <c r="K6847" i="1"/>
  <c r="A6848" i="1"/>
  <c r="B6848" i="1"/>
  <c r="G6848" i="1"/>
  <c r="K6848" i="1"/>
  <c r="A6849" i="1"/>
  <c r="B6849" i="1"/>
  <c r="G6849" i="1"/>
  <c r="K6849" i="1"/>
  <c r="A6850" i="1"/>
  <c r="B6850" i="1"/>
  <c r="G6850" i="1"/>
  <c r="K6850" i="1"/>
  <c r="A6851" i="1"/>
  <c r="B6851" i="1"/>
  <c r="G6851" i="1"/>
  <c r="K6851" i="1"/>
  <c r="A6852" i="1"/>
  <c r="B6852" i="1"/>
  <c r="G6852" i="1"/>
  <c r="K6852" i="1"/>
  <c r="A6853" i="1"/>
  <c r="B6853" i="1"/>
  <c r="G6853" i="1"/>
  <c r="K6853" i="1"/>
  <c r="A6854" i="1"/>
  <c r="B6854" i="1"/>
  <c r="G6854" i="1"/>
  <c r="K6854" i="1"/>
  <c r="A6855" i="1"/>
  <c r="B6855" i="1"/>
  <c r="G6855" i="1"/>
  <c r="K6855" i="1"/>
  <c r="A6856" i="1"/>
  <c r="B6856" i="1"/>
  <c r="G6856" i="1"/>
  <c r="K6856" i="1"/>
  <c r="A6857" i="1"/>
  <c r="B6857" i="1"/>
  <c r="G6857" i="1"/>
  <c r="K6857" i="1"/>
  <c r="A6858" i="1"/>
  <c r="B6858" i="1"/>
  <c r="G6858" i="1"/>
  <c r="K6858" i="1"/>
  <c r="A6859" i="1"/>
  <c r="B6859" i="1"/>
  <c r="G6859" i="1"/>
  <c r="K6859" i="1"/>
  <c r="A6860" i="1"/>
  <c r="B6860" i="1"/>
  <c r="G6860" i="1"/>
  <c r="K6860" i="1"/>
  <c r="A6861" i="1"/>
  <c r="B6861" i="1"/>
  <c r="G6861" i="1"/>
  <c r="K6861" i="1"/>
  <c r="A6862" i="1"/>
  <c r="B6862" i="1"/>
  <c r="G6862" i="1"/>
  <c r="K6862" i="1"/>
  <c r="A6863" i="1"/>
  <c r="B6863" i="1"/>
  <c r="G6863" i="1"/>
  <c r="K6863" i="1"/>
  <c r="A6864" i="1"/>
  <c r="B6864" i="1"/>
  <c r="G6864" i="1"/>
  <c r="K6864" i="1"/>
  <c r="A6865" i="1"/>
  <c r="B6865" i="1"/>
  <c r="G6865" i="1"/>
  <c r="K6865" i="1"/>
  <c r="A6866" i="1"/>
  <c r="B6866" i="1"/>
  <c r="G6866" i="1"/>
  <c r="K6866" i="1"/>
  <c r="A6867" i="1"/>
  <c r="B6867" i="1"/>
  <c r="G6867" i="1"/>
  <c r="K6867" i="1"/>
  <c r="A6868" i="1"/>
  <c r="B6868" i="1"/>
  <c r="G6868" i="1"/>
  <c r="K6868" i="1"/>
  <c r="A6869" i="1"/>
  <c r="B6869" i="1"/>
  <c r="G6869" i="1"/>
  <c r="K6869" i="1"/>
  <c r="A6870" i="1"/>
  <c r="B6870" i="1"/>
  <c r="G6870" i="1"/>
  <c r="K6870" i="1"/>
  <c r="A6871" i="1"/>
  <c r="B6871" i="1"/>
  <c r="G6871" i="1"/>
  <c r="K6871" i="1"/>
  <c r="A6872" i="1"/>
  <c r="B6872" i="1"/>
  <c r="G6872" i="1"/>
  <c r="K6872" i="1"/>
  <c r="A6873" i="1"/>
  <c r="B6873" i="1"/>
  <c r="G6873" i="1"/>
  <c r="K6873" i="1"/>
  <c r="A6874" i="1"/>
  <c r="B6874" i="1"/>
  <c r="G6874" i="1"/>
  <c r="K6874" i="1"/>
  <c r="A6875" i="1"/>
  <c r="B6875" i="1"/>
  <c r="G6875" i="1"/>
  <c r="K6875" i="1"/>
  <c r="A6876" i="1"/>
  <c r="B6876" i="1"/>
  <c r="G6876" i="1"/>
  <c r="K6876" i="1"/>
  <c r="A6877" i="1"/>
  <c r="B6877" i="1"/>
  <c r="G6877" i="1"/>
  <c r="K6877" i="1"/>
  <c r="A6878" i="1"/>
  <c r="B6878" i="1"/>
  <c r="G6878" i="1"/>
  <c r="K6878" i="1"/>
  <c r="A6879" i="1"/>
  <c r="B6879" i="1"/>
  <c r="G6879" i="1"/>
  <c r="K6879" i="1"/>
  <c r="A6880" i="1"/>
  <c r="B6880" i="1"/>
  <c r="G6880" i="1"/>
  <c r="K6880" i="1"/>
  <c r="A6881" i="1"/>
  <c r="B6881" i="1"/>
  <c r="G6881" i="1"/>
  <c r="K6881" i="1"/>
  <c r="A6882" i="1"/>
  <c r="B6882" i="1"/>
  <c r="G6882" i="1"/>
  <c r="K6882" i="1"/>
  <c r="A6883" i="1"/>
  <c r="B6883" i="1"/>
  <c r="G6883" i="1"/>
  <c r="K6883" i="1"/>
  <c r="A6884" i="1"/>
  <c r="B6884" i="1"/>
  <c r="G6884" i="1"/>
  <c r="K6884" i="1"/>
  <c r="A6885" i="1"/>
  <c r="B6885" i="1"/>
  <c r="G6885" i="1"/>
  <c r="K6885" i="1"/>
  <c r="A6886" i="1"/>
  <c r="B6886" i="1"/>
  <c r="G6886" i="1"/>
  <c r="K6886" i="1"/>
  <c r="A6887" i="1"/>
  <c r="B6887" i="1"/>
  <c r="G6887" i="1"/>
  <c r="K6887" i="1"/>
  <c r="A6888" i="1"/>
  <c r="B6888" i="1"/>
  <c r="G6888" i="1"/>
  <c r="K6888" i="1"/>
  <c r="A6889" i="1"/>
  <c r="B6889" i="1"/>
  <c r="G6889" i="1"/>
  <c r="K6889" i="1"/>
  <c r="A6890" i="1"/>
  <c r="B6890" i="1"/>
  <c r="G6890" i="1"/>
  <c r="K6890" i="1"/>
  <c r="A6891" i="1"/>
  <c r="B6891" i="1"/>
  <c r="G6891" i="1"/>
  <c r="K6891" i="1"/>
  <c r="A6892" i="1"/>
  <c r="B6892" i="1"/>
  <c r="G6892" i="1"/>
  <c r="K6892" i="1"/>
  <c r="A6893" i="1"/>
  <c r="B6893" i="1"/>
  <c r="G6893" i="1"/>
  <c r="K6893" i="1"/>
  <c r="A6894" i="1"/>
  <c r="B6894" i="1"/>
  <c r="G6894" i="1"/>
  <c r="K6894" i="1"/>
  <c r="A6895" i="1"/>
  <c r="B6895" i="1"/>
  <c r="G6895" i="1"/>
  <c r="K6895" i="1"/>
  <c r="A6896" i="1"/>
  <c r="B6896" i="1"/>
  <c r="G6896" i="1"/>
  <c r="K6896" i="1"/>
  <c r="A6897" i="1"/>
  <c r="B6897" i="1"/>
  <c r="G6897" i="1"/>
  <c r="K6897" i="1"/>
  <c r="A6898" i="1"/>
  <c r="B6898" i="1"/>
  <c r="G6898" i="1"/>
  <c r="K6898" i="1"/>
  <c r="A6899" i="1"/>
  <c r="B6899" i="1"/>
  <c r="G6899" i="1"/>
  <c r="K6899" i="1"/>
  <c r="A6900" i="1"/>
  <c r="B6900" i="1"/>
  <c r="G6900" i="1"/>
  <c r="K6900" i="1"/>
  <c r="A6901" i="1"/>
  <c r="B6901" i="1"/>
  <c r="G6901" i="1"/>
  <c r="K6901" i="1"/>
  <c r="A6902" i="1"/>
  <c r="B6902" i="1"/>
  <c r="G6902" i="1"/>
  <c r="K6902" i="1"/>
  <c r="A6903" i="1"/>
  <c r="B6903" i="1"/>
  <c r="G6903" i="1"/>
  <c r="K6903" i="1"/>
  <c r="A6904" i="1"/>
  <c r="B6904" i="1"/>
  <c r="G6904" i="1"/>
  <c r="K6904" i="1"/>
  <c r="A6905" i="1"/>
  <c r="B6905" i="1"/>
  <c r="G6905" i="1"/>
  <c r="K6905" i="1"/>
  <c r="A6906" i="1"/>
  <c r="B6906" i="1"/>
  <c r="G6906" i="1"/>
  <c r="K6906" i="1"/>
  <c r="A6907" i="1"/>
  <c r="B6907" i="1"/>
  <c r="G6907" i="1"/>
  <c r="K6907" i="1"/>
  <c r="A6908" i="1"/>
  <c r="B6908" i="1"/>
  <c r="G6908" i="1"/>
  <c r="K6908" i="1"/>
  <c r="A6909" i="1"/>
  <c r="B6909" i="1"/>
  <c r="G6909" i="1"/>
  <c r="K6909" i="1"/>
  <c r="A6910" i="1"/>
  <c r="B6910" i="1"/>
  <c r="G6910" i="1"/>
  <c r="K6910" i="1"/>
  <c r="A6911" i="1"/>
  <c r="B6911" i="1"/>
  <c r="G6911" i="1"/>
  <c r="K6911" i="1"/>
  <c r="A6912" i="1"/>
  <c r="B6912" i="1"/>
  <c r="G6912" i="1"/>
  <c r="K6912" i="1"/>
  <c r="A6913" i="1"/>
  <c r="B6913" i="1"/>
  <c r="G6913" i="1"/>
  <c r="K6913" i="1"/>
  <c r="A6914" i="1"/>
  <c r="B6914" i="1"/>
  <c r="G6914" i="1"/>
  <c r="K6914" i="1"/>
  <c r="A6915" i="1"/>
  <c r="B6915" i="1"/>
  <c r="G6915" i="1"/>
  <c r="K6915" i="1"/>
  <c r="A6916" i="1"/>
  <c r="B6916" i="1"/>
  <c r="G6916" i="1"/>
  <c r="K6916" i="1"/>
  <c r="A6917" i="1"/>
  <c r="B6917" i="1"/>
  <c r="G6917" i="1"/>
  <c r="K6917" i="1"/>
  <c r="A6918" i="1"/>
  <c r="B6918" i="1"/>
  <c r="G6918" i="1"/>
  <c r="K6918" i="1"/>
  <c r="A6919" i="1"/>
  <c r="B6919" i="1"/>
  <c r="G6919" i="1"/>
  <c r="K6919" i="1"/>
  <c r="A6920" i="1"/>
  <c r="B6920" i="1"/>
  <c r="G6920" i="1"/>
  <c r="K6920" i="1"/>
  <c r="A6921" i="1"/>
  <c r="B6921" i="1"/>
  <c r="G6921" i="1"/>
  <c r="K6921" i="1"/>
  <c r="A6922" i="1"/>
  <c r="B6922" i="1"/>
  <c r="G6922" i="1"/>
  <c r="K6922" i="1"/>
  <c r="A6923" i="1"/>
  <c r="B6923" i="1"/>
  <c r="G6923" i="1"/>
  <c r="K6923" i="1"/>
  <c r="A6924" i="1"/>
  <c r="B6924" i="1"/>
  <c r="G6924" i="1"/>
  <c r="K6924" i="1"/>
  <c r="A6925" i="1"/>
  <c r="B6925" i="1"/>
  <c r="G6925" i="1"/>
  <c r="K6925" i="1"/>
  <c r="A6926" i="1"/>
  <c r="B6926" i="1"/>
  <c r="G6926" i="1"/>
  <c r="K6926" i="1"/>
  <c r="A6927" i="1"/>
  <c r="B6927" i="1"/>
  <c r="G6927" i="1"/>
  <c r="K6927" i="1"/>
  <c r="A6928" i="1"/>
  <c r="B6928" i="1"/>
  <c r="G6928" i="1"/>
  <c r="K6928" i="1"/>
  <c r="A6929" i="1"/>
  <c r="B6929" i="1"/>
  <c r="G6929" i="1"/>
  <c r="K6929" i="1"/>
  <c r="A6930" i="1"/>
  <c r="B6930" i="1"/>
  <c r="G6930" i="1"/>
  <c r="K6930" i="1"/>
  <c r="A6931" i="1"/>
  <c r="B6931" i="1"/>
  <c r="G6931" i="1"/>
  <c r="K6931" i="1"/>
  <c r="A6932" i="1"/>
  <c r="B6932" i="1"/>
  <c r="G6932" i="1"/>
  <c r="K6932" i="1"/>
  <c r="A6933" i="1"/>
  <c r="B6933" i="1"/>
  <c r="G6933" i="1"/>
  <c r="K6933" i="1"/>
  <c r="A6934" i="1"/>
  <c r="B6934" i="1"/>
  <c r="G6934" i="1"/>
  <c r="K6934" i="1"/>
  <c r="A6935" i="1"/>
  <c r="B6935" i="1"/>
  <c r="G6935" i="1"/>
  <c r="K6935" i="1"/>
  <c r="A6936" i="1"/>
  <c r="B6936" i="1"/>
  <c r="G6936" i="1"/>
  <c r="K6936" i="1"/>
  <c r="A6937" i="1"/>
  <c r="B6937" i="1"/>
  <c r="G6937" i="1"/>
  <c r="K6937" i="1"/>
  <c r="A6938" i="1"/>
  <c r="B6938" i="1"/>
  <c r="G6938" i="1"/>
  <c r="K6938" i="1"/>
  <c r="A6939" i="1"/>
  <c r="B6939" i="1"/>
  <c r="G6939" i="1"/>
  <c r="K6939" i="1"/>
  <c r="A6940" i="1"/>
  <c r="B6940" i="1"/>
  <c r="G6940" i="1"/>
  <c r="K6940" i="1"/>
  <c r="A6941" i="1"/>
  <c r="B6941" i="1"/>
  <c r="G6941" i="1"/>
  <c r="K6941" i="1"/>
  <c r="A6942" i="1"/>
  <c r="B6942" i="1"/>
  <c r="G6942" i="1"/>
  <c r="K6942" i="1"/>
  <c r="A6943" i="1"/>
  <c r="B6943" i="1"/>
  <c r="G6943" i="1"/>
  <c r="K6943" i="1"/>
  <c r="A6944" i="1"/>
  <c r="B6944" i="1"/>
  <c r="G6944" i="1"/>
  <c r="K6944" i="1"/>
  <c r="A6945" i="1"/>
  <c r="B6945" i="1"/>
  <c r="G6945" i="1"/>
  <c r="K6945" i="1"/>
  <c r="A6946" i="1"/>
  <c r="B6946" i="1"/>
  <c r="G6946" i="1"/>
  <c r="K6946" i="1"/>
  <c r="A6947" i="1"/>
  <c r="B6947" i="1"/>
  <c r="G6947" i="1"/>
  <c r="K6947" i="1"/>
  <c r="A6948" i="1"/>
  <c r="B6948" i="1"/>
  <c r="G6948" i="1"/>
  <c r="K6948" i="1"/>
  <c r="A6949" i="1"/>
  <c r="B6949" i="1"/>
  <c r="G6949" i="1"/>
  <c r="K6949" i="1"/>
  <c r="A6950" i="1"/>
  <c r="B6950" i="1"/>
  <c r="G6950" i="1"/>
  <c r="K6950" i="1"/>
  <c r="A6951" i="1"/>
  <c r="B6951" i="1"/>
  <c r="G6951" i="1"/>
  <c r="K6951" i="1"/>
  <c r="A6952" i="1"/>
  <c r="B6952" i="1"/>
  <c r="G6952" i="1"/>
  <c r="K6952" i="1"/>
  <c r="A6953" i="1"/>
  <c r="B6953" i="1"/>
  <c r="G6953" i="1"/>
  <c r="K6953" i="1"/>
  <c r="A6954" i="1"/>
  <c r="B6954" i="1"/>
  <c r="G6954" i="1"/>
  <c r="K6954" i="1"/>
  <c r="A6955" i="1"/>
  <c r="B6955" i="1"/>
  <c r="G6955" i="1"/>
  <c r="K6955" i="1"/>
  <c r="A6956" i="1"/>
  <c r="B6956" i="1"/>
  <c r="G6956" i="1"/>
  <c r="K6956" i="1"/>
  <c r="A6957" i="1"/>
  <c r="B6957" i="1"/>
  <c r="G6957" i="1"/>
  <c r="K6957" i="1"/>
  <c r="A6958" i="1"/>
  <c r="B6958" i="1"/>
  <c r="G6958" i="1"/>
  <c r="K6958" i="1"/>
  <c r="A6959" i="1"/>
  <c r="B6959" i="1"/>
  <c r="G6959" i="1"/>
  <c r="K6959" i="1"/>
  <c r="A6960" i="1"/>
  <c r="B6960" i="1"/>
  <c r="G6960" i="1"/>
  <c r="K6960" i="1"/>
  <c r="A6961" i="1"/>
  <c r="B6961" i="1"/>
  <c r="G6961" i="1"/>
  <c r="K6961" i="1"/>
  <c r="A6962" i="1"/>
  <c r="B6962" i="1"/>
  <c r="G6962" i="1"/>
  <c r="K6962" i="1"/>
  <c r="A6963" i="1"/>
  <c r="B6963" i="1"/>
  <c r="G6963" i="1"/>
  <c r="K6963" i="1"/>
  <c r="A6964" i="1"/>
  <c r="B6964" i="1"/>
  <c r="G6964" i="1"/>
  <c r="K6964" i="1"/>
  <c r="A6965" i="1"/>
  <c r="B6965" i="1"/>
  <c r="G6965" i="1"/>
  <c r="K6965" i="1"/>
  <c r="A6966" i="1"/>
  <c r="B6966" i="1"/>
  <c r="G6966" i="1"/>
  <c r="K6966" i="1"/>
  <c r="A6967" i="1"/>
  <c r="B6967" i="1"/>
  <c r="G6967" i="1"/>
  <c r="K6967" i="1"/>
  <c r="A6968" i="1"/>
  <c r="B6968" i="1"/>
  <c r="G6968" i="1"/>
  <c r="K6968" i="1"/>
  <c r="A6969" i="1"/>
  <c r="B6969" i="1"/>
  <c r="G6969" i="1"/>
  <c r="K6969" i="1"/>
  <c r="A6970" i="1"/>
  <c r="B6970" i="1"/>
  <c r="G6970" i="1"/>
  <c r="K6970" i="1"/>
  <c r="A6971" i="1"/>
  <c r="B6971" i="1"/>
  <c r="G6971" i="1"/>
  <c r="K6971" i="1"/>
  <c r="A6972" i="1"/>
  <c r="B6972" i="1"/>
  <c r="G6972" i="1"/>
  <c r="K6972" i="1"/>
  <c r="A6973" i="1"/>
  <c r="B6973" i="1"/>
  <c r="G6973" i="1"/>
  <c r="K6973" i="1"/>
  <c r="A6974" i="1"/>
  <c r="B6974" i="1"/>
  <c r="G6974" i="1"/>
  <c r="K6974" i="1"/>
  <c r="A6975" i="1"/>
  <c r="B6975" i="1"/>
  <c r="G6975" i="1"/>
  <c r="K6975" i="1"/>
  <c r="A6976" i="1"/>
  <c r="B6976" i="1"/>
  <c r="G6976" i="1"/>
  <c r="K6976" i="1"/>
  <c r="A6977" i="1"/>
  <c r="B6977" i="1"/>
  <c r="G6977" i="1"/>
  <c r="K6977" i="1"/>
  <c r="A6978" i="1"/>
  <c r="B6978" i="1"/>
  <c r="G6978" i="1"/>
  <c r="K6978" i="1"/>
  <c r="A6979" i="1"/>
  <c r="B6979" i="1"/>
  <c r="G6979" i="1"/>
  <c r="K6979" i="1"/>
  <c r="A6980" i="1"/>
  <c r="B6980" i="1"/>
  <c r="G6980" i="1"/>
  <c r="K6980" i="1"/>
  <c r="A6981" i="1"/>
  <c r="B6981" i="1"/>
  <c r="G6981" i="1"/>
  <c r="K6981" i="1"/>
  <c r="A6982" i="1"/>
  <c r="B6982" i="1"/>
  <c r="G6982" i="1"/>
  <c r="K6982" i="1"/>
  <c r="A6983" i="1"/>
  <c r="B6983" i="1"/>
  <c r="G6983" i="1"/>
  <c r="K6983" i="1"/>
  <c r="A6984" i="1"/>
  <c r="B6984" i="1"/>
  <c r="G6984" i="1"/>
  <c r="K6984" i="1"/>
  <c r="A6985" i="1"/>
  <c r="B6985" i="1"/>
  <c r="G6985" i="1"/>
  <c r="K6985" i="1"/>
  <c r="A6986" i="1"/>
  <c r="B6986" i="1"/>
  <c r="G6986" i="1"/>
  <c r="K6986" i="1"/>
  <c r="A6987" i="1"/>
  <c r="B6987" i="1"/>
  <c r="G6987" i="1"/>
  <c r="K6987" i="1"/>
  <c r="A6988" i="1"/>
  <c r="B6988" i="1"/>
  <c r="G6988" i="1"/>
  <c r="K6988" i="1"/>
  <c r="A6989" i="1"/>
  <c r="B6989" i="1"/>
  <c r="G6989" i="1"/>
  <c r="K6989" i="1"/>
  <c r="A6990" i="1"/>
  <c r="B6990" i="1"/>
  <c r="G6990" i="1"/>
  <c r="K6990" i="1"/>
  <c r="A6991" i="1"/>
  <c r="B6991" i="1"/>
  <c r="G6991" i="1"/>
  <c r="K6991" i="1"/>
  <c r="A6992" i="1"/>
  <c r="B6992" i="1"/>
  <c r="G6992" i="1"/>
  <c r="K6992" i="1"/>
  <c r="A6993" i="1"/>
  <c r="B6993" i="1"/>
  <c r="G6993" i="1"/>
  <c r="K6993" i="1"/>
  <c r="A6994" i="1"/>
  <c r="B6994" i="1"/>
  <c r="G6994" i="1"/>
  <c r="K6994" i="1"/>
  <c r="A6995" i="1"/>
  <c r="B6995" i="1"/>
  <c r="G6995" i="1"/>
  <c r="K6995" i="1"/>
  <c r="A6996" i="1"/>
  <c r="B6996" i="1"/>
  <c r="G6996" i="1"/>
  <c r="K6996" i="1"/>
  <c r="A6997" i="1"/>
  <c r="B6997" i="1"/>
  <c r="G6997" i="1"/>
  <c r="K6997" i="1"/>
  <c r="A6998" i="1"/>
  <c r="B6998" i="1"/>
  <c r="G6998" i="1"/>
  <c r="K6998" i="1"/>
  <c r="A6999" i="1"/>
  <c r="B6999" i="1"/>
  <c r="G6999" i="1"/>
  <c r="K6999" i="1"/>
  <c r="A7000" i="1"/>
  <c r="B7000" i="1"/>
  <c r="G7000" i="1"/>
  <c r="K7000" i="1"/>
  <c r="A7001" i="1"/>
  <c r="B7001" i="1"/>
  <c r="G7001" i="1"/>
  <c r="K7001" i="1"/>
  <c r="A7002" i="1"/>
  <c r="B7002" i="1"/>
  <c r="G7002" i="1"/>
  <c r="K7002" i="1"/>
  <c r="A7003" i="1"/>
  <c r="B7003" i="1"/>
  <c r="G7003" i="1"/>
  <c r="K7003" i="1"/>
  <c r="A7004" i="1"/>
  <c r="B7004" i="1"/>
  <c r="G7004" i="1"/>
  <c r="K7004" i="1"/>
  <c r="A7005" i="1"/>
  <c r="B7005" i="1"/>
  <c r="G7005" i="1"/>
  <c r="K7005" i="1"/>
  <c r="A7006" i="1"/>
  <c r="B7006" i="1"/>
  <c r="G7006" i="1"/>
  <c r="K7006" i="1"/>
  <c r="A7007" i="1"/>
  <c r="B7007" i="1"/>
  <c r="G7007" i="1"/>
  <c r="K7007" i="1"/>
  <c r="A7008" i="1"/>
  <c r="B7008" i="1"/>
  <c r="G7008" i="1"/>
  <c r="K7008" i="1"/>
  <c r="A7009" i="1"/>
  <c r="B7009" i="1"/>
  <c r="G7009" i="1"/>
  <c r="K7009" i="1"/>
  <c r="A7010" i="1"/>
  <c r="B7010" i="1"/>
  <c r="G7010" i="1"/>
  <c r="K7010" i="1"/>
  <c r="A7011" i="1"/>
  <c r="B7011" i="1"/>
  <c r="G7011" i="1"/>
  <c r="K7011" i="1"/>
  <c r="A7012" i="1"/>
  <c r="B7012" i="1"/>
  <c r="G7012" i="1"/>
  <c r="K7012" i="1"/>
  <c r="A7013" i="1"/>
  <c r="B7013" i="1"/>
  <c r="G7013" i="1"/>
  <c r="K7013" i="1"/>
  <c r="A7014" i="1"/>
  <c r="B7014" i="1"/>
  <c r="G7014" i="1"/>
  <c r="K7014" i="1"/>
  <c r="A7015" i="1"/>
  <c r="B7015" i="1"/>
  <c r="G7015" i="1"/>
  <c r="K7015" i="1"/>
  <c r="A7016" i="1"/>
  <c r="B7016" i="1"/>
  <c r="G7016" i="1"/>
  <c r="K7016" i="1"/>
  <c r="A7017" i="1"/>
  <c r="B7017" i="1"/>
  <c r="G7017" i="1"/>
  <c r="K7017" i="1"/>
  <c r="A7018" i="1"/>
  <c r="B7018" i="1"/>
  <c r="G7018" i="1"/>
  <c r="K7018" i="1"/>
  <c r="A7019" i="1"/>
  <c r="B7019" i="1"/>
  <c r="G7019" i="1"/>
  <c r="K7019" i="1"/>
  <c r="A7020" i="1"/>
  <c r="B7020" i="1"/>
  <c r="G7020" i="1"/>
  <c r="K7020" i="1"/>
  <c r="A7021" i="1"/>
  <c r="B7021" i="1"/>
  <c r="G7021" i="1"/>
  <c r="K7021" i="1"/>
  <c r="A7022" i="1"/>
  <c r="B7022" i="1"/>
  <c r="G7022" i="1"/>
  <c r="K7022" i="1"/>
  <c r="A7023" i="1"/>
  <c r="B7023" i="1"/>
  <c r="G7023" i="1"/>
  <c r="K7023" i="1"/>
  <c r="A7024" i="1"/>
  <c r="B7024" i="1"/>
  <c r="G7024" i="1"/>
  <c r="K7024" i="1"/>
  <c r="A7025" i="1"/>
  <c r="B7025" i="1"/>
  <c r="G7025" i="1"/>
  <c r="K7025" i="1"/>
  <c r="A7026" i="1"/>
  <c r="B7026" i="1"/>
  <c r="G7026" i="1"/>
  <c r="K7026" i="1"/>
  <c r="A7027" i="1"/>
  <c r="B7027" i="1"/>
  <c r="G7027" i="1"/>
  <c r="K7027" i="1"/>
  <c r="A7028" i="1"/>
  <c r="B7028" i="1"/>
  <c r="G7028" i="1"/>
  <c r="K7028" i="1"/>
  <c r="A7029" i="1"/>
  <c r="B7029" i="1"/>
  <c r="G7029" i="1"/>
  <c r="K7029" i="1"/>
  <c r="A7030" i="1"/>
  <c r="B7030" i="1"/>
  <c r="G7030" i="1"/>
  <c r="K7030" i="1"/>
  <c r="A7031" i="1"/>
  <c r="B7031" i="1"/>
  <c r="G7031" i="1"/>
  <c r="K7031" i="1"/>
  <c r="A7032" i="1"/>
  <c r="B7032" i="1"/>
  <c r="G7032" i="1"/>
  <c r="K7032" i="1"/>
  <c r="A7033" i="1"/>
  <c r="B7033" i="1"/>
  <c r="G7033" i="1"/>
  <c r="K7033" i="1"/>
  <c r="A7034" i="1"/>
  <c r="B7034" i="1"/>
  <c r="G7034" i="1"/>
  <c r="K7034" i="1"/>
  <c r="A7035" i="1"/>
  <c r="B7035" i="1"/>
  <c r="G7035" i="1"/>
  <c r="K7035" i="1"/>
  <c r="A7036" i="1"/>
  <c r="B7036" i="1"/>
  <c r="G7036" i="1"/>
  <c r="K7036" i="1"/>
  <c r="A7037" i="1"/>
  <c r="B7037" i="1"/>
  <c r="G7037" i="1"/>
  <c r="K7037" i="1"/>
  <c r="A7038" i="1"/>
  <c r="B7038" i="1"/>
  <c r="G7038" i="1"/>
  <c r="K7038" i="1"/>
  <c r="A7039" i="1"/>
  <c r="B7039" i="1"/>
  <c r="G7039" i="1"/>
  <c r="K7039" i="1"/>
  <c r="A7040" i="1"/>
  <c r="B7040" i="1"/>
  <c r="G7040" i="1"/>
  <c r="K7040" i="1"/>
  <c r="A7041" i="1"/>
  <c r="B7041" i="1"/>
  <c r="G7041" i="1"/>
  <c r="K7041" i="1"/>
  <c r="A7042" i="1"/>
  <c r="B7042" i="1"/>
  <c r="G7042" i="1"/>
  <c r="K7042" i="1"/>
  <c r="A7043" i="1"/>
  <c r="B7043" i="1"/>
  <c r="G7043" i="1"/>
  <c r="K7043" i="1"/>
  <c r="A7044" i="1"/>
  <c r="B7044" i="1"/>
  <c r="G7044" i="1"/>
  <c r="K7044" i="1"/>
  <c r="A7045" i="1"/>
  <c r="B7045" i="1"/>
  <c r="G7045" i="1"/>
  <c r="K7045" i="1"/>
  <c r="A7046" i="1"/>
  <c r="B7046" i="1"/>
  <c r="G7046" i="1"/>
  <c r="K7046" i="1"/>
  <c r="A7047" i="1"/>
  <c r="B7047" i="1"/>
  <c r="G7047" i="1"/>
  <c r="K7047" i="1"/>
  <c r="A7048" i="1"/>
  <c r="B7048" i="1"/>
  <c r="G7048" i="1"/>
  <c r="K7048" i="1"/>
  <c r="A7049" i="1"/>
  <c r="B7049" i="1"/>
  <c r="G7049" i="1"/>
  <c r="K7049" i="1"/>
  <c r="A7050" i="1"/>
  <c r="B7050" i="1"/>
  <c r="G7050" i="1"/>
  <c r="K7050" i="1"/>
  <c r="A7051" i="1"/>
  <c r="B7051" i="1"/>
  <c r="G7051" i="1"/>
  <c r="K7051" i="1"/>
  <c r="A7052" i="1"/>
  <c r="B7052" i="1"/>
  <c r="G7052" i="1"/>
  <c r="K7052" i="1"/>
  <c r="A7053" i="1"/>
  <c r="B7053" i="1"/>
  <c r="G7053" i="1"/>
  <c r="K7053" i="1"/>
  <c r="A7054" i="1"/>
  <c r="B7054" i="1"/>
  <c r="G7054" i="1"/>
  <c r="K7054" i="1"/>
  <c r="A7055" i="1"/>
  <c r="B7055" i="1"/>
  <c r="G7055" i="1"/>
  <c r="K7055" i="1"/>
  <c r="A7056" i="1"/>
  <c r="B7056" i="1"/>
  <c r="G7056" i="1"/>
  <c r="K7056" i="1"/>
  <c r="A7057" i="1"/>
  <c r="B7057" i="1"/>
  <c r="G7057" i="1"/>
  <c r="K7057" i="1"/>
  <c r="A7058" i="1"/>
  <c r="B7058" i="1"/>
  <c r="G7058" i="1"/>
  <c r="K7058" i="1"/>
  <c r="A7059" i="1"/>
  <c r="B7059" i="1"/>
  <c r="G7059" i="1"/>
  <c r="K7059" i="1"/>
  <c r="A7060" i="1"/>
  <c r="B7060" i="1"/>
  <c r="G7060" i="1"/>
  <c r="K7060" i="1"/>
  <c r="A7061" i="1"/>
  <c r="B7061" i="1"/>
  <c r="G7061" i="1"/>
  <c r="K7061" i="1"/>
  <c r="A7062" i="1"/>
  <c r="B7062" i="1"/>
  <c r="G7062" i="1"/>
  <c r="K7062" i="1"/>
  <c r="A7063" i="1"/>
  <c r="B7063" i="1"/>
  <c r="G7063" i="1"/>
  <c r="K7063" i="1"/>
  <c r="A7064" i="1"/>
  <c r="B7064" i="1"/>
  <c r="G7064" i="1"/>
  <c r="K7064" i="1"/>
  <c r="A7065" i="1"/>
  <c r="B7065" i="1"/>
  <c r="G7065" i="1"/>
  <c r="K7065" i="1"/>
  <c r="A7066" i="1"/>
  <c r="B7066" i="1"/>
  <c r="G7066" i="1"/>
  <c r="K7066" i="1"/>
  <c r="A7067" i="1"/>
  <c r="B7067" i="1"/>
  <c r="G7067" i="1"/>
  <c r="K7067" i="1"/>
  <c r="A7068" i="1"/>
  <c r="B7068" i="1"/>
  <c r="G7068" i="1"/>
  <c r="K7068" i="1"/>
  <c r="A7069" i="1"/>
  <c r="B7069" i="1"/>
  <c r="G7069" i="1"/>
  <c r="K7069" i="1"/>
  <c r="A7070" i="1"/>
  <c r="B7070" i="1"/>
  <c r="G7070" i="1"/>
  <c r="K7070" i="1"/>
  <c r="A7071" i="1"/>
  <c r="B7071" i="1"/>
  <c r="G7071" i="1"/>
  <c r="K7071" i="1"/>
  <c r="A7072" i="1"/>
  <c r="B7072" i="1"/>
  <c r="G7072" i="1"/>
  <c r="K7072" i="1"/>
  <c r="A7073" i="1"/>
  <c r="B7073" i="1"/>
  <c r="G7073" i="1"/>
  <c r="K7073" i="1"/>
  <c r="A7074" i="1"/>
  <c r="B7074" i="1"/>
  <c r="G7074" i="1"/>
  <c r="K7074" i="1"/>
  <c r="A7075" i="1"/>
  <c r="B7075" i="1"/>
  <c r="G7075" i="1"/>
  <c r="K7075" i="1"/>
  <c r="A7076" i="1"/>
  <c r="B7076" i="1"/>
  <c r="G7076" i="1"/>
  <c r="K7076" i="1"/>
  <c r="A7077" i="1"/>
  <c r="B7077" i="1"/>
  <c r="G7077" i="1"/>
  <c r="K7077" i="1"/>
  <c r="A7078" i="1"/>
  <c r="B7078" i="1"/>
  <c r="G7078" i="1"/>
  <c r="K7078" i="1"/>
  <c r="A7079" i="1"/>
  <c r="B7079" i="1"/>
  <c r="G7079" i="1"/>
  <c r="K7079" i="1"/>
  <c r="A7080" i="1"/>
  <c r="B7080" i="1"/>
  <c r="G7080" i="1"/>
  <c r="K7080" i="1"/>
  <c r="A7081" i="1"/>
  <c r="B7081" i="1"/>
  <c r="G7081" i="1"/>
  <c r="K7081" i="1"/>
  <c r="A7082" i="1"/>
  <c r="B7082" i="1"/>
  <c r="G7082" i="1"/>
  <c r="K7082" i="1"/>
  <c r="A7083" i="1"/>
  <c r="B7083" i="1"/>
  <c r="G7083" i="1"/>
  <c r="K7083" i="1"/>
  <c r="A7084" i="1"/>
  <c r="B7084" i="1"/>
  <c r="G7084" i="1"/>
  <c r="K7084" i="1"/>
  <c r="A7085" i="1"/>
  <c r="B7085" i="1"/>
  <c r="G7085" i="1"/>
  <c r="K7085" i="1"/>
  <c r="A7086" i="1"/>
  <c r="B7086" i="1"/>
  <c r="G7086" i="1"/>
  <c r="K7086" i="1"/>
  <c r="A7087" i="1"/>
  <c r="B7087" i="1"/>
  <c r="G7087" i="1"/>
  <c r="K7087" i="1"/>
  <c r="A7088" i="1"/>
  <c r="B7088" i="1"/>
  <c r="G7088" i="1"/>
  <c r="K7088" i="1"/>
  <c r="A7089" i="1"/>
  <c r="B7089" i="1"/>
  <c r="G7089" i="1"/>
  <c r="K7089" i="1"/>
  <c r="A7090" i="1"/>
  <c r="B7090" i="1"/>
  <c r="G7090" i="1"/>
  <c r="K7090" i="1"/>
  <c r="A7091" i="1"/>
  <c r="B7091" i="1"/>
  <c r="G7091" i="1"/>
  <c r="K7091" i="1"/>
  <c r="A7092" i="1"/>
  <c r="B7092" i="1"/>
  <c r="G7092" i="1"/>
  <c r="K7092" i="1"/>
  <c r="A7093" i="1"/>
  <c r="B7093" i="1"/>
  <c r="G7093" i="1"/>
  <c r="K7093" i="1"/>
  <c r="A7094" i="1"/>
  <c r="B7094" i="1"/>
  <c r="G7094" i="1"/>
  <c r="K7094" i="1"/>
  <c r="A7095" i="1"/>
  <c r="B7095" i="1"/>
  <c r="G7095" i="1"/>
  <c r="K7095" i="1"/>
  <c r="A7096" i="1"/>
  <c r="B7096" i="1"/>
  <c r="G7096" i="1"/>
  <c r="K7096" i="1"/>
  <c r="A7097" i="1"/>
  <c r="B7097" i="1"/>
  <c r="G7097" i="1"/>
  <c r="K7097" i="1"/>
  <c r="A7098" i="1"/>
  <c r="B7098" i="1"/>
  <c r="G7098" i="1"/>
  <c r="K7098" i="1"/>
  <c r="A7099" i="1"/>
  <c r="B7099" i="1"/>
  <c r="G7099" i="1"/>
  <c r="K7099" i="1"/>
  <c r="A7100" i="1"/>
  <c r="B7100" i="1"/>
  <c r="G7100" i="1"/>
  <c r="K7100" i="1"/>
  <c r="A7101" i="1"/>
  <c r="B7101" i="1"/>
  <c r="G7101" i="1"/>
  <c r="K7101" i="1"/>
  <c r="A7102" i="1"/>
  <c r="B7102" i="1"/>
  <c r="G7102" i="1"/>
  <c r="K7102" i="1"/>
  <c r="A7103" i="1"/>
  <c r="B7103" i="1"/>
  <c r="G7103" i="1"/>
  <c r="K7103" i="1"/>
  <c r="A7104" i="1"/>
  <c r="B7104" i="1"/>
  <c r="G7104" i="1"/>
  <c r="K7104" i="1"/>
  <c r="A7105" i="1"/>
  <c r="B7105" i="1"/>
  <c r="G7105" i="1"/>
  <c r="K7105" i="1"/>
  <c r="A7106" i="1"/>
  <c r="B7106" i="1"/>
  <c r="G7106" i="1"/>
  <c r="K7106" i="1"/>
  <c r="A7107" i="1"/>
  <c r="B7107" i="1"/>
  <c r="G7107" i="1"/>
  <c r="K7107" i="1"/>
  <c r="A7108" i="1"/>
  <c r="B7108" i="1"/>
  <c r="G7108" i="1"/>
  <c r="K7108" i="1"/>
  <c r="A7109" i="1"/>
  <c r="B7109" i="1"/>
  <c r="G7109" i="1"/>
  <c r="K7109" i="1"/>
  <c r="A7110" i="1"/>
  <c r="B7110" i="1"/>
  <c r="G7110" i="1"/>
  <c r="K7110" i="1"/>
  <c r="A7111" i="1"/>
  <c r="B7111" i="1"/>
  <c r="G7111" i="1"/>
  <c r="K7111" i="1"/>
  <c r="A7112" i="1"/>
  <c r="B7112" i="1"/>
  <c r="G7112" i="1"/>
  <c r="K7112" i="1"/>
  <c r="A7113" i="1"/>
  <c r="B7113" i="1"/>
  <c r="G7113" i="1"/>
  <c r="K7113" i="1"/>
  <c r="A7114" i="1"/>
  <c r="B7114" i="1"/>
  <c r="G7114" i="1"/>
  <c r="K7114" i="1"/>
  <c r="A7115" i="1"/>
  <c r="B7115" i="1"/>
  <c r="G7115" i="1"/>
  <c r="K7115" i="1"/>
  <c r="A7116" i="1"/>
  <c r="B7116" i="1"/>
  <c r="G7116" i="1"/>
  <c r="K7116" i="1"/>
  <c r="A7117" i="1"/>
  <c r="B7117" i="1"/>
  <c r="G7117" i="1"/>
  <c r="K7117" i="1"/>
  <c r="A7118" i="1"/>
  <c r="B7118" i="1"/>
  <c r="G7118" i="1"/>
  <c r="K7118" i="1"/>
  <c r="A7119" i="1"/>
  <c r="B7119" i="1"/>
  <c r="G7119" i="1"/>
  <c r="K7119" i="1"/>
  <c r="A7120" i="1"/>
  <c r="B7120" i="1"/>
  <c r="G7120" i="1"/>
  <c r="K7120" i="1"/>
  <c r="A7121" i="1"/>
  <c r="B7121" i="1"/>
  <c r="G7121" i="1"/>
  <c r="K7121" i="1"/>
  <c r="A7122" i="1"/>
  <c r="B7122" i="1"/>
  <c r="G7122" i="1"/>
  <c r="K7122" i="1"/>
  <c r="A7123" i="1"/>
  <c r="B7123" i="1"/>
  <c r="G7123" i="1"/>
  <c r="K7123" i="1"/>
  <c r="A7124" i="1"/>
  <c r="B7124" i="1"/>
  <c r="G7124" i="1"/>
  <c r="K7124" i="1"/>
  <c r="A7125" i="1"/>
  <c r="B7125" i="1"/>
  <c r="G7125" i="1"/>
  <c r="K7125" i="1"/>
  <c r="A7126" i="1"/>
  <c r="B7126" i="1"/>
  <c r="G7126" i="1"/>
  <c r="K7126" i="1"/>
  <c r="A7127" i="1"/>
  <c r="B7127" i="1"/>
  <c r="G7127" i="1"/>
  <c r="K7127" i="1"/>
  <c r="A7128" i="1"/>
  <c r="B7128" i="1"/>
  <c r="G7128" i="1"/>
  <c r="K7128" i="1"/>
  <c r="A7129" i="1"/>
  <c r="B7129" i="1"/>
  <c r="G7129" i="1"/>
  <c r="K7129" i="1"/>
  <c r="A7130" i="1"/>
  <c r="B7130" i="1"/>
  <c r="G7130" i="1"/>
  <c r="K7130" i="1"/>
  <c r="A7131" i="1"/>
  <c r="B7131" i="1"/>
  <c r="G7131" i="1"/>
  <c r="K7131" i="1"/>
  <c r="A7132" i="1"/>
  <c r="B7132" i="1"/>
  <c r="G7132" i="1"/>
  <c r="K7132" i="1"/>
  <c r="A7133" i="1"/>
  <c r="B7133" i="1"/>
  <c r="G7133" i="1"/>
  <c r="K7133" i="1"/>
  <c r="A7134" i="1"/>
  <c r="B7134" i="1"/>
  <c r="G7134" i="1"/>
  <c r="K7134" i="1"/>
  <c r="A7135" i="1"/>
  <c r="B7135" i="1"/>
  <c r="G7135" i="1"/>
  <c r="K7135" i="1"/>
  <c r="A7136" i="1"/>
  <c r="B7136" i="1"/>
  <c r="G7136" i="1"/>
  <c r="K7136" i="1"/>
  <c r="A7137" i="1"/>
  <c r="B7137" i="1"/>
  <c r="G7137" i="1"/>
  <c r="K7137" i="1"/>
  <c r="A7138" i="1"/>
  <c r="B7138" i="1"/>
  <c r="G7138" i="1"/>
  <c r="K7138" i="1"/>
  <c r="A7139" i="1"/>
  <c r="B7139" i="1"/>
  <c r="G7139" i="1"/>
  <c r="K7139" i="1"/>
  <c r="A7140" i="1"/>
  <c r="B7140" i="1"/>
  <c r="G7140" i="1"/>
  <c r="K7140" i="1"/>
  <c r="A7141" i="1"/>
  <c r="B7141" i="1"/>
  <c r="G7141" i="1"/>
  <c r="K7141" i="1"/>
  <c r="A7142" i="1"/>
  <c r="B7142" i="1"/>
  <c r="G7142" i="1"/>
  <c r="K7142" i="1"/>
  <c r="A7143" i="1"/>
  <c r="B7143" i="1"/>
  <c r="G7143" i="1"/>
  <c r="K7143" i="1"/>
  <c r="A7144" i="1"/>
  <c r="B7144" i="1"/>
  <c r="G7144" i="1"/>
  <c r="K7144" i="1"/>
  <c r="A7145" i="1"/>
  <c r="B7145" i="1"/>
  <c r="G7145" i="1"/>
  <c r="K7145" i="1"/>
  <c r="A7146" i="1"/>
  <c r="B7146" i="1"/>
  <c r="G7146" i="1"/>
  <c r="K7146" i="1"/>
  <c r="A7147" i="1"/>
  <c r="B7147" i="1"/>
  <c r="G7147" i="1"/>
  <c r="K7147" i="1"/>
  <c r="A7148" i="1"/>
  <c r="B7148" i="1"/>
  <c r="G7148" i="1"/>
  <c r="K7148" i="1"/>
  <c r="A7149" i="1"/>
  <c r="B7149" i="1"/>
  <c r="G7149" i="1"/>
  <c r="K7149" i="1"/>
  <c r="A7150" i="1"/>
  <c r="B7150" i="1"/>
  <c r="G7150" i="1"/>
  <c r="K7150" i="1"/>
  <c r="A7151" i="1"/>
  <c r="B7151" i="1"/>
  <c r="G7151" i="1"/>
  <c r="K7151" i="1"/>
  <c r="A7152" i="1"/>
  <c r="B7152" i="1"/>
  <c r="G7152" i="1"/>
  <c r="K7152" i="1"/>
  <c r="A7153" i="1"/>
  <c r="B7153" i="1"/>
  <c r="G7153" i="1"/>
  <c r="K7153" i="1"/>
  <c r="A7154" i="1"/>
  <c r="B7154" i="1"/>
  <c r="G7154" i="1"/>
  <c r="K7154" i="1"/>
  <c r="A7155" i="1"/>
  <c r="B7155" i="1"/>
  <c r="G7155" i="1"/>
  <c r="K7155" i="1"/>
  <c r="A7156" i="1"/>
  <c r="B7156" i="1"/>
  <c r="G7156" i="1"/>
  <c r="K7156" i="1"/>
  <c r="A7157" i="1"/>
  <c r="B7157" i="1"/>
  <c r="G7157" i="1"/>
  <c r="K7157" i="1"/>
  <c r="A7158" i="1"/>
  <c r="B7158" i="1"/>
  <c r="G7158" i="1"/>
  <c r="K7158" i="1"/>
  <c r="A7159" i="1"/>
  <c r="B7159" i="1"/>
  <c r="G7159" i="1"/>
  <c r="K7159" i="1"/>
  <c r="A7160" i="1"/>
  <c r="B7160" i="1"/>
  <c r="G7160" i="1"/>
  <c r="K7160" i="1"/>
  <c r="A7161" i="1"/>
  <c r="B7161" i="1"/>
  <c r="G7161" i="1"/>
  <c r="K7161" i="1"/>
  <c r="A7162" i="1"/>
  <c r="B7162" i="1"/>
  <c r="G7162" i="1"/>
  <c r="K7162" i="1"/>
  <c r="A7163" i="1"/>
  <c r="B7163" i="1"/>
  <c r="G7163" i="1"/>
  <c r="K7163" i="1"/>
  <c r="A7164" i="1"/>
  <c r="B7164" i="1"/>
  <c r="G7164" i="1"/>
  <c r="K7164" i="1"/>
  <c r="A7165" i="1"/>
  <c r="B7165" i="1"/>
  <c r="G7165" i="1"/>
  <c r="K7165" i="1"/>
  <c r="A7166" i="1"/>
  <c r="B7166" i="1"/>
  <c r="G7166" i="1"/>
  <c r="K7166" i="1"/>
  <c r="A7167" i="1"/>
  <c r="B7167" i="1"/>
  <c r="G7167" i="1"/>
  <c r="K7167" i="1"/>
  <c r="A7168" i="1"/>
  <c r="B7168" i="1"/>
  <c r="G7168" i="1"/>
  <c r="K7168" i="1"/>
  <c r="A7169" i="1"/>
  <c r="B7169" i="1"/>
  <c r="G7169" i="1"/>
  <c r="K7169" i="1"/>
  <c r="A7170" i="1"/>
  <c r="B7170" i="1"/>
  <c r="G7170" i="1"/>
  <c r="K7170" i="1"/>
  <c r="A7171" i="1"/>
  <c r="B7171" i="1"/>
  <c r="G7171" i="1"/>
  <c r="K7171" i="1"/>
  <c r="A7172" i="1"/>
  <c r="B7172" i="1"/>
  <c r="G7172" i="1"/>
  <c r="K7172" i="1"/>
  <c r="A7173" i="1"/>
  <c r="B7173" i="1"/>
  <c r="G7173" i="1"/>
  <c r="K7173" i="1"/>
  <c r="A7174" i="1"/>
  <c r="B7174" i="1"/>
  <c r="G7174" i="1"/>
  <c r="K7174" i="1"/>
  <c r="A7175" i="1"/>
  <c r="B7175" i="1"/>
  <c r="G7175" i="1"/>
  <c r="K7175" i="1"/>
  <c r="A7176" i="1"/>
  <c r="B7176" i="1"/>
  <c r="G7176" i="1"/>
  <c r="K7176" i="1"/>
  <c r="A7177" i="1"/>
  <c r="B7177" i="1"/>
  <c r="G7177" i="1"/>
  <c r="K7177" i="1"/>
  <c r="A7178" i="1"/>
  <c r="B7178" i="1"/>
  <c r="G7178" i="1"/>
  <c r="K7178" i="1"/>
  <c r="A7179" i="1"/>
  <c r="B7179" i="1"/>
  <c r="G7179" i="1"/>
  <c r="K7179" i="1"/>
  <c r="A7180" i="1"/>
  <c r="B7180" i="1"/>
  <c r="G7180" i="1"/>
  <c r="K7180" i="1"/>
  <c r="A7181" i="1"/>
  <c r="B7181" i="1"/>
  <c r="G7181" i="1"/>
  <c r="K7181" i="1"/>
  <c r="A7182" i="1"/>
  <c r="B7182" i="1"/>
  <c r="G7182" i="1"/>
  <c r="K7182" i="1"/>
  <c r="A7183" i="1"/>
  <c r="B7183" i="1"/>
  <c r="G7183" i="1"/>
  <c r="K7183" i="1"/>
  <c r="A7184" i="1"/>
  <c r="B7184" i="1"/>
  <c r="G7184" i="1"/>
  <c r="K7184" i="1"/>
  <c r="A7185" i="1"/>
  <c r="B7185" i="1"/>
  <c r="G7185" i="1"/>
  <c r="K7185" i="1"/>
  <c r="A7186" i="1"/>
  <c r="B7186" i="1"/>
  <c r="G7186" i="1"/>
  <c r="K7186" i="1"/>
  <c r="A7187" i="1"/>
  <c r="B7187" i="1"/>
  <c r="G7187" i="1"/>
  <c r="K7187" i="1"/>
  <c r="A7188" i="1"/>
  <c r="B7188" i="1"/>
  <c r="G7188" i="1"/>
  <c r="K7188" i="1"/>
  <c r="A7189" i="1"/>
  <c r="B7189" i="1"/>
  <c r="G7189" i="1"/>
  <c r="K7189" i="1"/>
  <c r="A7190" i="1"/>
  <c r="B7190" i="1"/>
  <c r="G7190" i="1"/>
  <c r="K7190" i="1"/>
  <c r="A7191" i="1"/>
  <c r="B7191" i="1"/>
  <c r="G7191" i="1"/>
  <c r="K7191" i="1"/>
  <c r="A7192" i="1"/>
  <c r="B7192" i="1"/>
  <c r="G7192" i="1"/>
  <c r="K7192" i="1"/>
  <c r="A7193" i="1"/>
  <c r="B7193" i="1"/>
  <c r="G7193" i="1"/>
  <c r="K7193" i="1"/>
  <c r="A7194" i="1"/>
  <c r="B7194" i="1"/>
  <c r="G7194" i="1"/>
  <c r="K7194" i="1"/>
  <c r="A7195" i="1"/>
  <c r="B7195" i="1"/>
  <c r="G7195" i="1"/>
  <c r="K7195" i="1"/>
  <c r="A7196" i="1"/>
  <c r="B7196" i="1"/>
  <c r="G7196" i="1"/>
  <c r="K7196" i="1"/>
  <c r="A7197" i="1"/>
  <c r="B7197" i="1"/>
  <c r="G7197" i="1"/>
  <c r="K7197" i="1"/>
  <c r="A7198" i="1"/>
  <c r="B7198" i="1"/>
  <c r="G7198" i="1"/>
  <c r="K7198" i="1"/>
  <c r="A7199" i="1"/>
  <c r="B7199" i="1"/>
  <c r="G7199" i="1"/>
  <c r="K7199" i="1"/>
  <c r="A7200" i="1"/>
  <c r="B7200" i="1"/>
  <c r="G7200" i="1"/>
  <c r="K7200" i="1"/>
  <c r="A7201" i="1"/>
  <c r="B7201" i="1"/>
  <c r="G7201" i="1"/>
  <c r="K7201" i="1"/>
  <c r="A7202" i="1"/>
  <c r="B7202" i="1"/>
  <c r="G7202" i="1"/>
  <c r="K7202" i="1"/>
  <c r="A7203" i="1"/>
  <c r="B7203" i="1"/>
  <c r="G7203" i="1"/>
  <c r="K7203" i="1"/>
  <c r="A7204" i="1"/>
  <c r="B7204" i="1"/>
  <c r="G7204" i="1"/>
  <c r="K7204" i="1"/>
  <c r="A7205" i="1"/>
  <c r="B7205" i="1"/>
  <c r="G7205" i="1"/>
  <c r="K7205" i="1"/>
  <c r="A7206" i="1"/>
  <c r="B7206" i="1"/>
  <c r="G7206" i="1"/>
  <c r="K7206" i="1"/>
  <c r="A7207" i="1"/>
  <c r="B7207" i="1"/>
  <c r="G7207" i="1"/>
  <c r="K7207" i="1"/>
  <c r="A7208" i="1"/>
  <c r="B7208" i="1"/>
  <c r="G7208" i="1"/>
  <c r="K7208" i="1"/>
  <c r="A7209" i="1"/>
  <c r="B7209" i="1"/>
  <c r="G7209" i="1"/>
  <c r="K7209" i="1"/>
  <c r="A7210" i="1"/>
  <c r="B7210" i="1"/>
  <c r="G7210" i="1"/>
  <c r="K7210" i="1"/>
  <c r="A7211" i="1"/>
  <c r="B7211" i="1"/>
  <c r="G7211" i="1"/>
  <c r="K7211" i="1"/>
  <c r="A7212" i="1"/>
  <c r="B7212" i="1"/>
  <c r="G7212" i="1"/>
  <c r="K7212" i="1"/>
  <c r="A7213" i="1"/>
  <c r="B7213" i="1"/>
  <c r="G7213" i="1"/>
  <c r="K7213" i="1"/>
  <c r="A7214" i="1"/>
  <c r="B7214" i="1"/>
  <c r="G7214" i="1"/>
  <c r="K7214" i="1"/>
  <c r="A7215" i="1"/>
  <c r="B7215" i="1"/>
  <c r="G7215" i="1"/>
  <c r="K7215" i="1"/>
  <c r="A7216" i="1"/>
  <c r="B7216" i="1"/>
  <c r="G7216" i="1"/>
  <c r="K7216" i="1"/>
  <c r="A7217" i="1"/>
  <c r="B7217" i="1"/>
  <c r="G7217" i="1"/>
  <c r="K7217" i="1"/>
  <c r="A7218" i="1"/>
  <c r="B7218" i="1"/>
  <c r="G7218" i="1"/>
  <c r="K7218" i="1"/>
  <c r="A7219" i="1"/>
  <c r="B7219" i="1"/>
  <c r="G7219" i="1"/>
  <c r="K7219" i="1"/>
  <c r="A7220" i="1"/>
  <c r="B7220" i="1"/>
  <c r="G7220" i="1"/>
  <c r="K7220" i="1"/>
  <c r="A7221" i="1"/>
  <c r="B7221" i="1"/>
  <c r="G7221" i="1"/>
  <c r="K7221" i="1"/>
  <c r="A7222" i="1"/>
  <c r="B7222" i="1"/>
  <c r="G7222" i="1"/>
  <c r="K7222" i="1"/>
  <c r="A7223" i="1"/>
  <c r="B7223" i="1"/>
  <c r="G7223" i="1"/>
  <c r="K7223" i="1"/>
  <c r="A7224" i="1"/>
  <c r="B7224" i="1"/>
  <c r="G7224" i="1"/>
  <c r="K7224" i="1"/>
  <c r="A7225" i="1"/>
  <c r="B7225" i="1"/>
  <c r="G7225" i="1"/>
  <c r="K7225" i="1"/>
  <c r="A7226" i="1"/>
  <c r="B7226" i="1"/>
  <c r="G7226" i="1"/>
  <c r="K7226" i="1"/>
  <c r="A7227" i="1"/>
  <c r="B7227" i="1"/>
  <c r="G7227" i="1"/>
  <c r="K7227" i="1"/>
  <c r="A7228" i="1"/>
  <c r="B7228" i="1"/>
  <c r="G7228" i="1"/>
  <c r="K7228" i="1"/>
  <c r="A7229" i="1"/>
  <c r="B7229" i="1"/>
  <c r="G7229" i="1"/>
  <c r="K7229" i="1"/>
  <c r="A7230" i="1"/>
  <c r="B7230" i="1"/>
  <c r="G7230" i="1"/>
  <c r="K7230" i="1"/>
  <c r="A7231" i="1"/>
  <c r="B7231" i="1"/>
  <c r="G7231" i="1"/>
  <c r="K7231" i="1"/>
  <c r="A7232" i="1"/>
  <c r="B7232" i="1"/>
  <c r="G7232" i="1"/>
  <c r="K7232" i="1"/>
  <c r="A7233" i="1"/>
  <c r="B7233" i="1"/>
  <c r="G7233" i="1"/>
  <c r="K7233" i="1"/>
  <c r="A7234" i="1"/>
  <c r="B7234" i="1"/>
  <c r="G7234" i="1"/>
  <c r="K7234" i="1"/>
  <c r="A7235" i="1"/>
  <c r="B7235" i="1"/>
  <c r="G7235" i="1"/>
  <c r="K7235" i="1"/>
  <c r="A7236" i="1"/>
  <c r="B7236" i="1"/>
  <c r="G7236" i="1"/>
  <c r="K7236" i="1"/>
  <c r="A7237" i="1"/>
  <c r="B7237" i="1"/>
  <c r="G7237" i="1"/>
  <c r="K7237" i="1"/>
  <c r="A7238" i="1"/>
  <c r="B7238" i="1"/>
  <c r="G7238" i="1"/>
  <c r="K7238" i="1"/>
  <c r="A7239" i="1"/>
  <c r="B7239" i="1"/>
  <c r="G7239" i="1"/>
  <c r="K7239" i="1"/>
  <c r="A7240" i="1"/>
  <c r="B7240" i="1"/>
  <c r="G7240" i="1"/>
  <c r="K7240" i="1"/>
  <c r="A7241" i="1"/>
  <c r="B7241" i="1"/>
  <c r="G7241" i="1"/>
  <c r="K7241" i="1"/>
  <c r="A7242" i="1"/>
  <c r="B7242" i="1"/>
  <c r="G7242" i="1"/>
  <c r="K7242" i="1"/>
  <c r="A7243" i="1"/>
  <c r="B7243" i="1"/>
  <c r="G7243" i="1"/>
  <c r="K7243" i="1"/>
  <c r="A7244" i="1"/>
  <c r="B7244" i="1"/>
  <c r="G7244" i="1"/>
  <c r="K7244" i="1"/>
  <c r="A7245" i="1"/>
  <c r="B7245" i="1"/>
  <c r="G7245" i="1"/>
  <c r="K7245" i="1"/>
  <c r="A7246" i="1"/>
  <c r="B7246" i="1"/>
  <c r="G7246" i="1"/>
  <c r="K7246" i="1"/>
  <c r="A7247" i="1"/>
  <c r="B7247" i="1"/>
  <c r="G7247" i="1"/>
  <c r="K7247" i="1"/>
  <c r="A7248" i="1"/>
  <c r="B7248" i="1"/>
  <c r="G7248" i="1"/>
  <c r="K7248" i="1"/>
  <c r="A7249" i="1"/>
  <c r="B7249" i="1"/>
  <c r="G7249" i="1"/>
  <c r="K7249" i="1"/>
  <c r="A7250" i="1"/>
  <c r="B7250" i="1"/>
  <c r="G7250" i="1"/>
  <c r="K7250" i="1"/>
  <c r="A7251" i="1"/>
  <c r="B7251" i="1"/>
  <c r="G7251" i="1"/>
  <c r="K7251" i="1"/>
  <c r="A7252" i="1"/>
  <c r="B7252" i="1"/>
  <c r="G7252" i="1"/>
  <c r="K7252" i="1"/>
  <c r="A7253" i="1"/>
  <c r="B7253" i="1"/>
  <c r="G7253" i="1"/>
  <c r="K7253" i="1"/>
  <c r="A7254" i="1"/>
  <c r="B7254" i="1"/>
  <c r="G7254" i="1"/>
  <c r="K7254" i="1"/>
  <c r="A7255" i="1"/>
  <c r="B7255" i="1"/>
  <c r="G7255" i="1"/>
  <c r="K7255" i="1"/>
  <c r="A7256" i="1"/>
  <c r="B7256" i="1"/>
  <c r="G7256" i="1"/>
  <c r="K7256" i="1"/>
  <c r="A7257" i="1"/>
  <c r="B7257" i="1"/>
  <c r="G7257" i="1"/>
  <c r="K7257" i="1"/>
  <c r="A7258" i="1"/>
  <c r="B7258" i="1"/>
  <c r="G7258" i="1"/>
  <c r="K7258" i="1"/>
  <c r="A7259" i="1"/>
  <c r="B7259" i="1"/>
  <c r="G7259" i="1"/>
  <c r="K7259" i="1"/>
  <c r="A7260" i="1"/>
  <c r="B7260" i="1"/>
  <c r="G7260" i="1"/>
  <c r="K7260" i="1"/>
  <c r="A7261" i="1"/>
  <c r="B7261" i="1"/>
  <c r="G7261" i="1"/>
  <c r="K7261" i="1"/>
  <c r="A7262" i="1"/>
  <c r="B7262" i="1"/>
  <c r="G7262" i="1"/>
  <c r="K7262" i="1"/>
  <c r="A7263" i="1"/>
  <c r="B7263" i="1"/>
  <c r="G7263" i="1"/>
  <c r="K7263" i="1"/>
  <c r="A7264" i="1"/>
  <c r="B7264" i="1"/>
  <c r="G7264" i="1"/>
  <c r="K7264" i="1"/>
  <c r="A7265" i="1"/>
  <c r="B7265" i="1"/>
  <c r="G7265" i="1"/>
  <c r="K7265" i="1"/>
  <c r="A7266" i="1"/>
  <c r="B7266" i="1"/>
  <c r="G7266" i="1"/>
  <c r="K7266" i="1"/>
  <c r="A7267" i="1"/>
  <c r="B7267" i="1"/>
  <c r="G7267" i="1"/>
  <c r="K7267" i="1"/>
  <c r="A7268" i="1"/>
  <c r="B7268" i="1"/>
  <c r="G7268" i="1"/>
  <c r="K7268" i="1"/>
  <c r="A7269" i="1"/>
  <c r="B7269" i="1"/>
  <c r="G7269" i="1"/>
  <c r="K7269" i="1"/>
  <c r="A7270" i="1"/>
  <c r="B7270" i="1"/>
  <c r="G7270" i="1"/>
  <c r="K7270" i="1"/>
  <c r="A7271" i="1"/>
  <c r="B7271" i="1"/>
  <c r="G7271" i="1"/>
  <c r="K7271" i="1"/>
  <c r="A7272" i="1"/>
  <c r="B7272" i="1"/>
  <c r="G7272" i="1"/>
  <c r="K7272" i="1"/>
  <c r="A7273" i="1"/>
  <c r="B7273" i="1"/>
  <c r="G7273" i="1"/>
  <c r="K7273" i="1"/>
  <c r="A7274" i="1"/>
  <c r="B7274" i="1"/>
  <c r="G7274" i="1"/>
  <c r="K7274" i="1"/>
  <c r="A7275" i="1"/>
  <c r="B7275" i="1"/>
  <c r="G7275" i="1"/>
  <c r="K7275" i="1"/>
  <c r="A7276" i="1"/>
  <c r="B7276" i="1"/>
  <c r="G7276" i="1"/>
  <c r="K7276" i="1"/>
  <c r="A7277" i="1"/>
  <c r="B7277" i="1"/>
  <c r="G7277" i="1"/>
  <c r="K7277" i="1"/>
  <c r="A7278" i="1"/>
  <c r="B7278" i="1"/>
  <c r="G7278" i="1"/>
  <c r="K7278" i="1"/>
  <c r="A7279" i="1"/>
  <c r="B7279" i="1"/>
  <c r="G7279" i="1"/>
  <c r="K7279" i="1"/>
  <c r="A7280" i="1"/>
  <c r="B7280" i="1"/>
  <c r="G7280" i="1"/>
  <c r="K7280" i="1"/>
  <c r="A7281" i="1"/>
  <c r="B7281" i="1"/>
  <c r="G7281" i="1"/>
  <c r="K7281" i="1"/>
  <c r="A7282" i="1"/>
  <c r="B7282" i="1"/>
  <c r="G7282" i="1"/>
  <c r="K7282" i="1"/>
  <c r="A7283" i="1"/>
  <c r="B7283" i="1"/>
  <c r="G7283" i="1"/>
  <c r="K7283" i="1"/>
  <c r="A7284" i="1"/>
  <c r="B7284" i="1"/>
  <c r="G7284" i="1"/>
  <c r="K7284" i="1"/>
  <c r="A7285" i="1"/>
  <c r="B7285" i="1"/>
  <c r="G7285" i="1"/>
  <c r="K7285" i="1"/>
  <c r="A7286" i="1"/>
  <c r="B7286" i="1"/>
  <c r="G7286" i="1"/>
  <c r="K7286" i="1"/>
  <c r="A7287" i="1"/>
  <c r="B7287" i="1"/>
  <c r="G7287" i="1"/>
  <c r="K7287" i="1"/>
  <c r="A7288" i="1"/>
  <c r="B7288" i="1"/>
  <c r="G7288" i="1"/>
  <c r="K7288" i="1"/>
  <c r="A7289" i="1"/>
  <c r="B7289" i="1"/>
  <c r="G7289" i="1"/>
  <c r="K7289" i="1"/>
  <c r="A7290" i="1"/>
  <c r="B7290" i="1"/>
  <c r="G7290" i="1"/>
  <c r="K7290" i="1"/>
  <c r="A7291" i="1"/>
  <c r="B7291" i="1"/>
  <c r="G7291" i="1"/>
  <c r="K7291" i="1"/>
  <c r="A7292" i="1"/>
  <c r="B7292" i="1"/>
  <c r="G7292" i="1"/>
  <c r="K7292" i="1"/>
  <c r="A7293" i="1"/>
  <c r="B7293" i="1"/>
  <c r="G7293" i="1"/>
  <c r="K7293" i="1"/>
  <c r="A7294" i="1"/>
  <c r="B7294" i="1"/>
  <c r="G7294" i="1"/>
  <c r="K7294" i="1"/>
  <c r="A7295" i="1"/>
  <c r="B7295" i="1"/>
  <c r="G7295" i="1"/>
  <c r="K7295" i="1"/>
  <c r="A7296" i="1"/>
  <c r="B7296" i="1"/>
  <c r="G7296" i="1"/>
  <c r="K7296" i="1"/>
  <c r="A7297" i="1"/>
  <c r="B7297" i="1"/>
  <c r="G7297" i="1"/>
  <c r="K7297" i="1"/>
  <c r="A7298" i="1"/>
  <c r="B7298" i="1"/>
  <c r="G7298" i="1"/>
  <c r="K7298" i="1"/>
  <c r="A7299" i="1"/>
  <c r="B7299" i="1"/>
  <c r="G7299" i="1"/>
  <c r="K7299" i="1"/>
  <c r="A7300" i="1"/>
  <c r="B7300" i="1"/>
  <c r="G7300" i="1"/>
  <c r="K7300" i="1"/>
  <c r="A7301" i="1"/>
  <c r="B7301" i="1"/>
  <c r="G7301" i="1"/>
  <c r="K7301" i="1"/>
  <c r="A7302" i="1"/>
  <c r="B7302" i="1"/>
  <c r="G7302" i="1"/>
  <c r="K7302" i="1"/>
  <c r="A7303" i="1"/>
  <c r="B7303" i="1"/>
  <c r="G7303" i="1"/>
  <c r="K7303" i="1"/>
  <c r="A7304" i="1"/>
  <c r="B7304" i="1"/>
  <c r="G7304" i="1"/>
  <c r="K7304" i="1"/>
  <c r="A7305" i="1"/>
  <c r="B7305" i="1"/>
  <c r="G7305" i="1"/>
  <c r="K7305" i="1"/>
  <c r="A7306" i="1"/>
  <c r="B7306" i="1"/>
  <c r="G7306" i="1"/>
  <c r="K7306" i="1"/>
  <c r="A7307" i="1"/>
  <c r="B7307" i="1"/>
  <c r="G7307" i="1"/>
  <c r="K7307" i="1"/>
  <c r="A7308" i="1"/>
  <c r="B7308" i="1"/>
  <c r="G7308" i="1"/>
  <c r="K7308" i="1"/>
  <c r="A7309" i="1"/>
  <c r="B7309" i="1"/>
  <c r="G7309" i="1"/>
  <c r="K7309" i="1"/>
  <c r="A7310" i="1"/>
  <c r="B7310" i="1"/>
  <c r="G7310" i="1"/>
  <c r="K7310" i="1"/>
  <c r="A7311" i="1"/>
  <c r="B7311" i="1"/>
  <c r="G7311" i="1"/>
  <c r="K7311" i="1"/>
  <c r="A7312" i="1"/>
  <c r="B7312" i="1"/>
  <c r="G7312" i="1"/>
  <c r="K7312" i="1"/>
  <c r="A7313" i="1"/>
  <c r="B7313" i="1"/>
  <c r="G7313" i="1"/>
  <c r="K7313" i="1"/>
  <c r="A7314" i="1"/>
  <c r="B7314" i="1"/>
  <c r="G7314" i="1"/>
  <c r="K7314" i="1"/>
  <c r="A7315" i="1"/>
  <c r="B7315" i="1"/>
  <c r="G7315" i="1"/>
  <c r="K7315" i="1"/>
  <c r="A7316" i="1"/>
  <c r="B7316" i="1"/>
  <c r="G7316" i="1"/>
  <c r="K7316" i="1"/>
  <c r="A7317" i="1"/>
  <c r="B7317" i="1"/>
  <c r="G7317" i="1"/>
  <c r="K7317" i="1"/>
  <c r="A7318" i="1"/>
  <c r="B7318" i="1"/>
  <c r="G7318" i="1"/>
  <c r="K7318" i="1"/>
  <c r="A7319" i="1"/>
  <c r="B7319" i="1"/>
  <c r="G7319" i="1"/>
  <c r="K7319" i="1"/>
  <c r="A7320" i="1"/>
  <c r="B7320" i="1"/>
  <c r="G7320" i="1"/>
  <c r="K7320" i="1"/>
  <c r="A7321" i="1"/>
  <c r="B7321" i="1"/>
  <c r="G7321" i="1"/>
  <c r="K7321" i="1"/>
  <c r="A7322" i="1"/>
  <c r="B7322" i="1"/>
  <c r="G7322" i="1"/>
  <c r="K7322" i="1"/>
  <c r="A7323" i="1"/>
  <c r="B7323" i="1"/>
  <c r="G7323" i="1"/>
  <c r="K7323" i="1"/>
  <c r="A7324" i="1"/>
  <c r="B7324" i="1"/>
  <c r="G7324" i="1"/>
  <c r="K7324" i="1"/>
  <c r="A7325" i="1"/>
  <c r="B7325" i="1"/>
  <c r="G7325" i="1"/>
  <c r="K7325" i="1"/>
  <c r="A7326" i="1"/>
  <c r="B7326" i="1"/>
  <c r="G7326" i="1"/>
  <c r="K7326" i="1"/>
  <c r="A7327" i="1"/>
  <c r="B7327" i="1"/>
  <c r="G7327" i="1"/>
  <c r="K7327" i="1"/>
  <c r="A7328" i="1"/>
  <c r="B7328" i="1"/>
  <c r="G7328" i="1"/>
  <c r="K7328" i="1"/>
  <c r="A7329" i="1"/>
  <c r="B7329" i="1"/>
  <c r="G7329" i="1"/>
  <c r="K7329" i="1"/>
  <c r="A7330" i="1"/>
  <c r="B7330" i="1"/>
  <c r="G7330" i="1"/>
  <c r="K7330" i="1"/>
  <c r="A7331" i="1"/>
  <c r="B7331" i="1"/>
  <c r="G7331" i="1"/>
  <c r="K7331" i="1"/>
  <c r="A7332" i="1"/>
  <c r="B7332" i="1"/>
  <c r="G7332" i="1"/>
  <c r="K7332" i="1"/>
  <c r="A7333" i="1"/>
  <c r="B7333" i="1"/>
  <c r="G7333" i="1"/>
  <c r="K7333" i="1"/>
  <c r="A7334" i="1"/>
  <c r="B7334" i="1"/>
  <c r="G7334" i="1"/>
  <c r="K7334" i="1"/>
  <c r="A7335" i="1"/>
  <c r="B7335" i="1"/>
  <c r="G7335" i="1"/>
  <c r="K7335" i="1"/>
  <c r="A7336" i="1"/>
  <c r="B7336" i="1"/>
  <c r="G7336" i="1"/>
  <c r="K7336" i="1"/>
  <c r="A7337" i="1"/>
  <c r="B7337" i="1"/>
  <c r="G7337" i="1"/>
  <c r="K7337" i="1"/>
  <c r="A7338" i="1"/>
  <c r="B7338" i="1"/>
  <c r="G7338" i="1"/>
  <c r="K7338" i="1"/>
  <c r="A7339" i="1"/>
  <c r="B7339" i="1"/>
  <c r="G7339" i="1"/>
  <c r="K7339" i="1"/>
  <c r="A7340" i="1"/>
  <c r="B7340" i="1"/>
  <c r="G7340" i="1"/>
  <c r="K7340" i="1"/>
  <c r="A7341" i="1"/>
  <c r="B7341" i="1"/>
  <c r="G7341" i="1"/>
  <c r="K7341" i="1"/>
  <c r="A7342" i="1"/>
  <c r="B7342" i="1"/>
  <c r="G7342" i="1"/>
  <c r="K7342" i="1"/>
  <c r="A7343" i="1"/>
  <c r="B7343" i="1"/>
  <c r="G7343" i="1"/>
  <c r="K7343" i="1"/>
  <c r="A7344" i="1"/>
  <c r="B7344" i="1"/>
  <c r="G7344" i="1"/>
  <c r="K7344" i="1"/>
  <c r="A7345" i="1"/>
  <c r="B7345" i="1"/>
  <c r="G7345" i="1"/>
  <c r="K7345" i="1"/>
  <c r="A7346" i="1"/>
  <c r="B7346" i="1"/>
  <c r="G7346" i="1"/>
  <c r="K7346" i="1"/>
  <c r="A7347" i="1"/>
  <c r="B7347" i="1"/>
  <c r="G7347" i="1"/>
  <c r="K7347" i="1"/>
  <c r="A7348" i="1"/>
  <c r="B7348" i="1"/>
  <c r="G7348" i="1"/>
  <c r="K7348" i="1"/>
  <c r="A7349" i="1"/>
  <c r="B7349" i="1"/>
  <c r="G7349" i="1"/>
  <c r="K7349" i="1"/>
  <c r="A7350" i="1"/>
  <c r="B7350" i="1"/>
  <c r="G7350" i="1"/>
  <c r="K7350" i="1"/>
  <c r="A7351" i="1"/>
  <c r="B7351" i="1"/>
  <c r="G7351" i="1"/>
  <c r="K7351" i="1"/>
  <c r="A7352" i="1"/>
  <c r="B7352" i="1"/>
  <c r="G7352" i="1"/>
  <c r="K7352" i="1"/>
  <c r="A7353" i="1"/>
  <c r="B7353" i="1"/>
  <c r="G7353" i="1"/>
  <c r="K7353" i="1"/>
  <c r="A7354" i="1"/>
  <c r="B7354" i="1"/>
  <c r="G7354" i="1"/>
  <c r="K7354" i="1"/>
  <c r="A7355" i="1"/>
  <c r="B7355" i="1"/>
  <c r="G7355" i="1"/>
  <c r="K7355" i="1"/>
  <c r="A7356" i="1"/>
  <c r="B7356" i="1"/>
  <c r="G7356" i="1"/>
  <c r="K7356" i="1"/>
  <c r="A7357" i="1"/>
  <c r="B7357" i="1"/>
  <c r="G7357" i="1"/>
  <c r="K7357" i="1"/>
  <c r="A7358" i="1"/>
  <c r="B7358" i="1"/>
  <c r="G7358" i="1"/>
  <c r="K7358" i="1"/>
  <c r="A7359" i="1"/>
  <c r="B7359" i="1"/>
  <c r="G7359" i="1"/>
  <c r="K7359" i="1"/>
  <c r="A7360" i="1"/>
  <c r="B7360" i="1"/>
  <c r="G7360" i="1"/>
  <c r="K7360" i="1"/>
  <c r="A7361" i="1"/>
  <c r="B7361" i="1"/>
  <c r="G7361" i="1"/>
  <c r="K7361" i="1"/>
  <c r="A7362" i="1"/>
  <c r="B7362" i="1"/>
  <c r="G7362" i="1"/>
  <c r="K7362" i="1"/>
  <c r="A7363" i="1"/>
  <c r="B7363" i="1"/>
  <c r="G7363" i="1"/>
  <c r="K7363" i="1"/>
  <c r="A7364" i="1"/>
  <c r="B7364" i="1"/>
  <c r="G7364" i="1"/>
  <c r="K7364" i="1"/>
  <c r="A7365" i="1"/>
  <c r="B7365" i="1"/>
  <c r="G7365" i="1"/>
  <c r="K7365" i="1"/>
  <c r="A7366" i="1"/>
  <c r="B7366" i="1"/>
  <c r="G7366" i="1"/>
  <c r="K7366" i="1"/>
  <c r="A7367" i="1"/>
  <c r="B7367" i="1"/>
  <c r="G7367" i="1"/>
  <c r="K7367" i="1"/>
  <c r="A7368" i="1"/>
  <c r="B7368" i="1"/>
  <c r="G7368" i="1"/>
  <c r="K7368" i="1"/>
  <c r="A7369" i="1"/>
  <c r="B7369" i="1"/>
  <c r="G7369" i="1"/>
  <c r="K7369" i="1"/>
  <c r="A7370" i="1"/>
  <c r="B7370" i="1"/>
  <c r="G7370" i="1"/>
  <c r="K7370" i="1"/>
  <c r="A7371" i="1"/>
  <c r="B7371" i="1"/>
  <c r="G7371" i="1"/>
  <c r="K7371" i="1"/>
  <c r="A7372" i="1"/>
  <c r="B7372" i="1"/>
  <c r="G7372" i="1"/>
  <c r="K7372" i="1"/>
  <c r="A7373" i="1"/>
  <c r="B7373" i="1"/>
  <c r="G7373" i="1"/>
  <c r="K7373" i="1"/>
  <c r="A7374" i="1"/>
  <c r="B7374" i="1"/>
  <c r="G7374" i="1"/>
  <c r="K7374" i="1"/>
  <c r="A7375" i="1"/>
  <c r="B7375" i="1"/>
  <c r="G7375" i="1"/>
  <c r="K7375" i="1"/>
  <c r="A7376" i="1"/>
  <c r="B7376" i="1"/>
  <c r="G7376" i="1"/>
  <c r="K7376" i="1"/>
  <c r="A7377" i="1"/>
  <c r="B7377" i="1"/>
  <c r="G7377" i="1"/>
  <c r="K7377" i="1"/>
  <c r="A7378" i="1"/>
  <c r="B7378" i="1"/>
  <c r="G7378" i="1"/>
  <c r="K7378" i="1"/>
  <c r="A7379" i="1"/>
  <c r="B7379" i="1"/>
  <c r="G7379" i="1"/>
  <c r="K7379" i="1"/>
  <c r="A7380" i="1"/>
  <c r="B7380" i="1"/>
  <c r="G7380" i="1"/>
  <c r="K7380" i="1"/>
  <c r="A7381" i="1"/>
  <c r="B7381" i="1"/>
  <c r="G7381" i="1"/>
  <c r="K7381" i="1"/>
  <c r="A7382" i="1"/>
  <c r="B7382" i="1"/>
  <c r="G7382" i="1"/>
  <c r="K7382" i="1"/>
  <c r="A7383" i="1"/>
  <c r="B7383" i="1"/>
  <c r="G7383" i="1"/>
  <c r="K7383" i="1"/>
  <c r="A7384" i="1"/>
  <c r="B7384" i="1"/>
  <c r="G7384" i="1"/>
  <c r="K7384" i="1"/>
  <c r="A7385" i="1"/>
  <c r="B7385" i="1"/>
  <c r="G7385" i="1"/>
  <c r="K7385" i="1"/>
  <c r="A7386" i="1"/>
  <c r="B7386" i="1"/>
  <c r="G7386" i="1"/>
  <c r="K7386" i="1"/>
  <c r="A7387" i="1"/>
  <c r="B7387" i="1"/>
  <c r="G7387" i="1"/>
  <c r="K7387" i="1"/>
  <c r="A7388" i="1"/>
  <c r="B7388" i="1"/>
  <c r="G7388" i="1"/>
  <c r="K7388" i="1"/>
  <c r="A7389" i="1"/>
  <c r="B7389" i="1"/>
  <c r="G7389" i="1"/>
  <c r="K7389" i="1"/>
  <c r="A7390" i="1"/>
  <c r="B7390" i="1"/>
  <c r="G7390" i="1"/>
  <c r="K7390" i="1"/>
  <c r="A7391" i="1"/>
  <c r="B7391" i="1"/>
  <c r="G7391" i="1"/>
  <c r="K7391" i="1"/>
  <c r="A7392" i="1"/>
  <c r="B7392" i="1"/>
  <c r="G7392" i="1"/>
  <c r="K7392" i="1"/>
  <c r="A7393" i="1"/>
  <c r="B7393" i="1"/>
  <c r="G7393" i="1"/>
  <c r="K7393" i="1"/>
  <c r="A7394" i="1"/>
  <c r="B7394" i="1"/>
  <c r="G7394" i="1"/>
  <c r="K7394" i="1"/>
  <c r="A7395" i="1"/>
  <c r="B7395" i="1"/>
  <c r="G7395" i="1"/>
  <c r="K7395" i="1"/>
  <c r="A7396" i="1"/>
  <c r="B7396" i="1"/>
  <c r="G7396" i="1"/>
  <c r="K7396" i="1"/>
  <c r="A7397" i="1"/>
  <c r="B7397" i="1"/>
  <c r="G7397" i="1"/>
  <c r="K7397" i="1"/>
  <c r="A7398" i="1"/>
  <c r="B7398" i="1"/>
  <c r="G7398" i="1"/>
  <c r="K7398" i="1"/>
  <c r="A7399" i="1"/>
  <c r="B7399" i="1"/>
  <c r="G7399" i="1"/>
  <c r="K7399" i="1"/>
  <c r="A7400" i="1"/>
  <c r="B7400" i="1"/>
  <c r="G7400" i="1"/>
  <c r="K7400" i="1"/>
  <c r="A7401" i="1"/>
  <c r="B7401" i="1"/>
  <c r="G7401" i="1"/>
  <c r="K7401" i="1"/>
  <c r="A7402" i="1"/>
  <c r="B7402" i="1"/>
  <c r="G7402" i="1"/>
  <c r="K7402" i="1"/>
  <c r="A7403" i="1"/>
  <c r="B7403" i="1"/>
  <c r="G7403" i="1"/>
  <c r="K7403" i="1"/>
  <c r="A7404" i="1"/>
  <c r="B7404" i="1"/>
  <c r="G7404" i="1"/>
  <c r="K7404" i="1"/>
  <c r="A7405" i="1"/>
  <c r="B7405" i="1"/>
  <c r="G7405" i="1"/>
  <c r="K7405" i="1"/>
  <c r="A7406" i="1"/>
  <c r="B7406" i="1"/>
  <c r="G7406" i="1"/>
  <c r="K7406" i="1"/>
  <c r="A7407" i="1"/>
  <c r="B7407" i="1"/>
  <c r="G7407" i="1"/>
  <c r="K7407" i="1"/>
  <c r="A7408" i="1"/>
  <c r="B7408" i="1"/>
  <c r="G7408" i="1"/>
  <c r="K7408" i="1"/>
  <c r="A7409" i="1"/>
  <c r="B7409" i="1"/>
  <c r="G7409" i="1"/>
  <c r="K7409" i="1"/>
  <c r="A7410" i="1"/>
  <c r="B7410" i="1"/>
  <c r="G7410" i="1"/>
  <c r="K7410" i="1"/>
  <c r="A7411" i="1"/>
  <c r="B7411" i="1"/>
  <c r="G7411" i="1"/>
  <c r="K7411" i="1"/>
  <c r="A7412" i="1"/>
  <c r="B7412" i="1"/>
  <c r="G7412" i="1"/>
  <c r="K7412" i="1"/>
  <c r="A7413" i="1"/>
  <c r="B7413" i="1"/>
  <c r="G7413" i="1"/>
  <c r="K7413" i="1"/>
  <c r="A7414" i="1"/>
  <c r="B7414" i="1"/>
  <c r="G7414" i="1"/>
  <c r="K7414" i="1"/>
  <c r="A7415" i="1"/>
  <c r="B7415" i="1"/>
  <c r="G7415" i="1"/>
  <c r="K7415" i="1"/>
  <c r="A7416" i="1"/>
  <c r="B7416" i="1"/>
  <c r="G7416" i="1"/>
  <c r="K7416" i="1"/>
  <c r="A7417" i="1"/>
  <c r="B7417" i="1"/>
  <c r="G7417" i="1"/>
  <c r="K7417" i="1"/>
  <c r="A7418" i="1"/>
  <c r="B7418" i="1"/>
  <c r="G7418" i="1"/>
  <c r="K7418" i="1"/>
  <c r="A7419" i="1"/>
  <c r="B7419" i="1"/>
  <c r="G7419" i="1"/>
  <c r="K7419" i="1"/>
  <c r="A7420" i="1"/>
  <c r="B7420" i="1"/>
  <c r="G7420" i="1"/>
  <c r="K7420" i="1"/>
  <c r="A7421" i="1"/>
  <c r="B7421" i="1"/>
  <c r="G7421" i="1"/>
  <c r="K7421" i="1"/>
  <c r="A7422" i="1"/>
  <c r="B7422" i="1"/>
  <c r="G7422" i="1"/>
  <c r="K7422" i="1"/>
  <c r="A7423" i="1"/>
  <c r="B7423" i="1"/>
  <c r="G7423" i="1"/>
  <c r="K7423" i="1"/>
  <c r="A7424" i="1"/>
  <c r="B7424" i="1"/>
  <c r="G7424" i="1"/>
  <c r="K7424" i="1"/>
  <c r="A7425" i="1"/>
  <c r="B7425" i="1"/>
  <c r="G7425" i="1"/>
  <c r="K7425" i="1"/>
  <c r="A7426" i="1"/>
  <c r="B7426" i="1"/>
  <c r="G7426" i="1"/>
  <c r="K7426" i="1"/>
  <c r="A7427" i="1"/>
  <c r="B7427" i="1"/>
  <c r="G7427" i="1"/>
  <c r="K7427" i="1"/>
  <c r="A7428" i="1"/>
  <c r="B7428" i="1"/>
  <c r="G7428" i="1"/>
  <c r="K7428" i="1"/>
  <c r="A7429" i="1"/>
  <c r="B7429" i="1"/>
  <c r="G7429" i="1"/>
  <c r="K7429" i="1"/>
  <c r="A7430" i="1"/>
  <c r="B7430" i="1"/>
  <c r="G7430" i="1"/>
  <c r="K7430" i="1"/>
  <c r="A7431" i="1"/>
  <c r="B7431" i="1"/>
  <c r="G7431" i="1"/>
  <c r="K7431" i="1"/>
  <c r="A7432" i="1"/>
  <c r="B7432" i="1"/>
  <c r="G7432" i="1"/>
  <c r="K7432" i="1"/>
  <c r="A7433" i="1"/>
  <c r="B7433" i="1"/>
  <c r="G7433" i="1"/>
  <c r="K7433" i="1"/>
  <c r="A7434" i="1"/>
  <c r="B7434" i="1"/>
  <c r="G7434" i="1"/>
  <c r="K7434" i="1"/>
  <c r="A7435" i="1"/>
  <c r="B7435" i="1"/>
  <c r="G7435" i="1"/>
  <c r="K7435" i="1"/>
  <c r="A7436" i="1"/>
  <c r="B7436" i="1"/>
  <c r="G7436" i="1"/>
  <c r="K7436" i="1"/>
  <c r="A7437" i="1"/>
  <c r="B7437" i="1"/>
  <c r="G7437" i="1"/>
  <c r="K7437" i="1"/>
  <c r="A7438" i="1"/>
  <c r="B7438" i="1"/>
  <c r="G7438" i="1"/>
  <c r="K7438" i="1"/>
  <c r="A7439" i="1"/>
  <c r="B7439" i="1"/>
  <c r="G7439" i="1"/>
  <c r="K7439" i="1"/>
  <c r="A7440" i="1"/>
  <c r="B7440" i="1"/>
  <c r="G7440" i="1"/>
  <c r="K7440" i="1"/>
  <c r="A7441" i="1"/>
  <c r="B7441" i="1"/>
  <c r="G7441" i="1"/>
  <c r="K7441" i="1"/>
  <c r="A7442" i="1"/>
  <c r="B7442" i="1"/>
  <c r="G7442" i="1"/>
  <c r="K7442" i="1"/>
  <c r="A7443" i="1"/>
  <c r="B7443" i="1"/>
  <c r="G7443" i="1"/>
  <c r="K7443" i="1"/>
  <c r="A7444" i="1"/>
  <c r="B7444" i="1"/>
  <c r="G7444" i="1"/>
  <c r="K7444" i="1"/>
  <c r="A7445" i="1"/>
  <c r="B7445" i="1"/>
  <c r="G7445" i="1"/>
  <c r="K7445" i="1"/>
  <c r="A7446" i="1"/>
  <c r="B7446" i="1"/>
  <c r="G7446" i="1"/>
  <c r="K7446" i="1"/>
  <c r="A7447" i="1"/>
  <c r="B7447" i="1"/>
  <c r="G7447" i="1"/>
  <c r="K7447" i="1"/>
  <c r="A7448" i="1"/>
  <c r="B7448" i="1"/>
  <c r="G7448" i="1"/>
  <c r="K7448" i="1"/>
  <c r="A7449" i="1"/>
  <c r="B7449" i="1"/>
  <c r="G7449" i="1"/>
  <c r="K7449" i="1"/>
  <c r="A7450" i="1"/>
  <c r="B7450" i="1"/>
  <c r="G7450" i="1"/>
  <c r="K7450" i="1"/>
  <c r="A7451" i="1"/>
  <c r="B7451" i="1"/>
  <c r="G7451" i="1"/>
  <c r="K7451" i="1"/>
  <c r="A7452" i="1"/>
  <c r="B7452" i="1"/>
  <c r="G7452" i="1"/>
  <c r="K7452" i="1"/>
  <c r="A7453" i="1"/>
  <c r="B7453" i="1"/>
  <c r="G7453" i="1"/>
  <c r="K7453" i="1"/>
  <c r="A7454" i="1"/>
  <c r="B7454" i="1"/>
  <c r="G7454" i="1"/>
  <c r="K7454" i="1"/>
  <c r="A7455" i="1"/>
  <c r="B7455" i="1"/>
  <c r="G7455" i="1"/>
  <c r="K7455" i="1"/>
  <c r="A7456" i="1"/>
  <c r="B7456" i="1"/>
  <c r="G7456" i="1"/>
  <c r="K7456" i="1"/>
  <c r="A7457" i="1"/>
  <c r="B7457" i="1"/>
  <c r="G7457" i="1"/>
  <c r="K7457" i="1"/>
  <c r="A7458" i="1"/>
  <c r="B7458" i="1"/>
  <c r="G7458" i="1"/>
  <c r="K7458" i="1"/>
  <c r="A7459" i="1"/>
  <c r="B7459" i="1"/>
  <c r="G7459" i="1"/>
  <c r="K7459" i="1"/>
  <c r="A7460" i="1"/>
  <c r="B7460" i="1"/>
  <c r="G7460" i="1"/>
  <c r="K7460" i="1"/>
  <c r="A7461" i="1"/>
  <c r="B7461" i="1"/>
  <c r="G7461" i="1"/>
  <c r="K7461" i="1"/>
  <c r="A7462" i="1"/>
  <c r="B7462" i="1"/>
  <c r="G7462" i="1"/>
  <c r="K7462" i="1"/>
  <c r="A7463" i="1"/>
  <c r="B7463" i="1"/>
  <c r="G7463" i="1"/>
  <c r="K7463" i="1"/>
  <c r="A7464" i="1"/>
  <c r="B7464" i="1"/>
  <c r="G7464" i="1"/>
  <c r="K7464" i="1"/>
  <c r="A7465" i="1"/>
  <c r="B7465" i="1"/>
  <c r="G7465" i="1"/>
  <c r="K7465" i="1"/>
  <c r="A7466" i="1"/>
  <c r="B7466" i="1"/>
  <c r="G7466" i="1"/>
  <c r="K7466" i="1"/>
  <c r="A7467" i="1"/>
  <c r="B7467" i="1"/>
  <c r="G7467" i="1"/>
  <c r="K7467" i="1"/>
  <c r="A7468" i="1"/>
  <c r="B7468" i="1"/>
  <c r="G7468" i="1"/>
  <c r="K7468" i="1"/>
  <c r="A7469" i="1"/>
  <c r="B7469" i="1"/>
  <c r="G7469" i="1"/>
  <c r="K7469" i="1"/>
  <c r="A7470" i="1"/>
  <c r="B7470" i="1"/>
  <c r="G7470" i="1"/>
  <c r="K7470" i="1"/>
  <c r="A7471" i="1"/>
  <c r="B7471" i="1"/>
  <c r="G7471" i="1"/>
  <c r="K7471" i="1"/>
  <c r="A7472" i="1"/>
  <c r="B7472" i="1"/>
  <c r="G7472" i="1"/>
  <c r="K7472" i="1"/>
  <c r="A7473" i="1"/>
  <c r="B7473" i="1"/>
  <c r="G7473" i="1"/>
  <c r="K7473" i="1"/>
  <c r="A7474" i="1"/>
  <c r="B7474" i="1"/>
  <c r="G7474" i="1"/>
  <c r="K7474" i="1"/>
  <c r="A7475" i="1"/>
  <c r="B7475" i="1"/>
  <c r="G7475" i="1"/>
  <c r="K7475" i="1"/>
  <c r="A7476" i="1"/>
  <c r="B7476" i="1"/>
  <c r="G7476" i="1"/>
  <c r="K7476" i="1"/>
  <c r="A7477" i="1"/>
  <c r="B7477" i="1"/>
  <c r="G7477" i="1"/>
  <c r="K7477" i="1"/>
  <c r="A7478" i="1"/>
  <c r="B7478" i="1"/>
  <c r="G7478" i="1"/>
  <c r="K7478" i="1"/>
  <c r="A7479" i="1"/>
  <c r="B7479" i="1"/>
  <c r="G7479" i="1"/>
  <c r="K7479" i="1"/>
  <c r="A7480" i="1"/>
  <c r="B7480" i="1"/>
  <c r="G7480" i="1"/>
  <c r="K7480" i="1"/>
  <c r="A7481" i="1"/>
  <c r="B7481" i="1"/>
  <c r="G7481" i="1"/>
  <c r="K7481" i="1"/>
  <c r="A7482" i="1"/>
  <c r="B7482" i="1"/>
  <c r="G7482" i="1"/>
  <c r="K7482" i="1"/>
  <c r="A7483" i="1"/>
  <c r="B7483" i="1"/>
  <c r="G7483" i="1"/>
  <c r="K7483" i="1"/>
  <c r="A7484" i="1"/>
  <c r="B7484" i="1"/>
  <c r="G7484" i="1"/>
  <c r="K7484" i="1"/>
  <c r="A7485" i="1"/>
  <c r="B7485" i="1"/>
  <c r="G7485" i="1"/>
  <c r="K7485" i="1"/>
  <c r="A7486" i="1"/>
  <c r="B7486" i="1"/>
  <c r="G7486" i="1"/>
  <c r="K7486" i="1"/>
  <c r="A7487" i="1"/>
  <c r="B7487" i="1"/>
  <c r="G7487" i="1"/>
  <c r="K7487" i="1"/>
  <c r="A7488" i="1"/>
  <c r="B7488" i="1"/>
  <c r="G7488" i="1"/>
  <c r="K7488" i="1"/>
  <c r="A7489" i="1"/>
  <c r="B7489" i="1"/>
  <c r="G7489" i="1"/>
  <c r="K7489" i="1"/>
  <c r="A7490" i="1"/>
  <c r="B7490" i="1"/>
  <c r="G7490" i="1"/>
  <c r="K7490" i="1"/>
  <c r="A7491" i="1"/>
  <c r="B7491" i="1"/>
  <c r="G7491" i="1"/>
  <c r="K7491" i="1"/>
  <c r="A7492" i="1"/>
  <c r="B7492" i="1"/>
  <c r="G7492" i="1"/>
  <c r="K7492" i="1"/>
  <c r="A7493" i="1"/>
  <c r="B7493" i="1"/>
  <c r="G7493" i="1"/>
  <c r="K7493" i="1"/>
  <c r="A7494" i="1"/>
  <c r="B7494" i="1"/>
  <c r="G7494" i="1"/>
  <c r="K7494" i="1"/>
  <c r="A7495" i="1"/>
  <c r="B7495" i="1"/>
  <c r="G7495" i="1"/>
  <c r="K7495" i="1"/>
  <c r="A7496" i="1"/>
  <c r="B7496" i="1"/>
  <c r="G7496" i="1"/>
  <c r="K7496" i="1"/>
  <c r="A7497" i="1"/>
  <c r="B7497" i="1"/>
  <c r="G7497" i="1"/>
  <c r="K7497" i="1"/>
  <c r="A7498" i="1"/>
  <c r="B7498" i="1"/>
  <c r="G7498" i="1"/>
  <c r="K7498" i="1"/>
  <c r="A7499" i="1"/>
  <c r="B7499" i="1"/>
  <c r="G7499" i="1"/>
  <c r="K7499" i="1"/>
  <c r="A7500" i="1"/>
  <c r="B7500" i="1"/>
  <c r="G7500" i="1"/>
  <c r="K7500" i="1"/>
  <c r="A7501" i="1"/>
  <c r="B7501" i="1"/>
  <c r="G7501" i="1"/>
  <c r="K7501" i="1"/>
  <c r="A7502" i="1"/>
  <c r="B7502" i="1"/>
  <c r="G7502" i="1"/>
  <c r="K7502" i="1"/>
  <c r="A7503" i="1"/>
  <c r="B7503" i="1"/>
  <c r="G7503" i="1"/>
  <c r="K7503" i="1"/>
  <c r="A7504" i="1"/>
  <c r="B7504" i="1"/>
  <c r="G7504" i="1"/>
  <c r="K7504" i="1"/>
  <c r="A7505" i="1"/>
  <c r="B7505" i="1"/>
  <c r="G7505" i="1"/>
  <c r="K7505" i="1"/>
  <c r="A7506" i="1"/>
  <c r="B7506" i="1"/>
  <c r="G7506" i="1"/>
  <c r="K7506" i="1"/>
  <c r="A7507" i="1"/>
  <c r="B7507" i="1"/>
  <c r="G7507" i="1"/>
  <c r="K7507" i="1"/>
  <c r="A7508" i="1"/>
  <c r="B7508" i="1"/>
  <c r="G7508" i="1"/>
  <c r="K7508" i="1"/>
  <c r="A7509" i="1"/>
  <c r="B7509" i="1"/>
  <c r="G7509" i="1"/>
  <c r="K7509" i="1"/>
  <c r="A7510" i="1"/>
  <c r="B7510" i="1"/>
  <c r="G7510" i="1"/>
  <c r="K7510" i="1"/>
  <c r="A7511" i="1"/>
  <c r="B7511" i="1"/>
  <c r="G7511" i="1"/>
  <c r="K7511" i="1"/>
  <c r="A7512" i="1"/>
  <c r="B7512" i="1"/>
  <c r="G7512" i="1"/>
  <c r="K7512" i="1"/>
  <c r="A7513" i="1"/>
  <c r="B7513" i="1"/>
  <c r="G7513" i="1"/>
  <c r="K7513" i="1"/>
  <c r="A7514" i="1"/>
  <c r="B7514" i="1"/>
  <c r="G7514" i="1"/>
  <c r="K7514" i="1"/>
  <c r="A7515" i="1"/>
  <c r="B7515" i="1"/>
  <c r="G7515" i="1"/>
  <c r="K7515" i="1"/>
  <c r="A7516" i="1"/>
  <c r="B7516" i="1"/>
  <c r="G7516" i="1"/>
  <c r="K7516" i="1"/>
  <c r="A7517" i="1"/>
  <c r="B7517" i="1"/>
  <c r="G7517" i="1"/>
  <c r="K7517" i="1"/>
  <c r="A7518" i="1"/>
  <c r="B7518" i="1"/>
  <c r="G7518" i="1"/>
  <c r="K7518" i="1"/>
  <c r="A7519" i="1"/>
  <c r="B7519" i="1"/>
  <c r="G7519" i="1"/>
  <c r="K7519" i="1"/>
  <c r="A7520" i="1"/>
  <c r="B7520" i="1"/>
  <c r="G7520" i="1"/>
  <c r="K7520" i="1"/>
  <c r="A7521" i="1"/>
  <c r="B7521" i="1"/>
  <c r="G7521" i="1"/>
  <c r="K7521" i="1"/>
  <c r="A7522" i="1"/>
  <c r="B7522" i="1"/>
  <c r="G7522" i="1"/>
  <c r="K7522" i="1"/>
  <c r="A7523" i="1"/>
  <c r="B7523" i="1"/>
  <c r="G7523" i="1"/>
  <c r="K7523" i="1"/>
  <c r="A7524" i="1"/>
  <c r="B7524" i="1"/>
  <c r="G7524" i="1"/>
  <c r="K7524" i="1"/>
  <c r="A7525" i="1"/>
  <c r="B7525" i="1"/>
  <c r="G7525" i="1"/>
  <c r="K7525" i="1"/>
  <c r="A7526" i="1"/>
  <c r="B7526" i="1"/>
  <c r="G7526" i="1"/>
  <c r="K7526" i="1"/>
  <c r="A7527" i="1"/>
  <c r="B7527" i="1"/>
  <c r="G7527" i="1"/>
  <c r="K7527" i="1"/>
  <c r="A7528" i="1"/>
  <c r="B7528" i="1"/>
  <c r="G7528" i="1"/>
  <c r="K7528" i="1"/>
  <c r="A7529" i="1"/>
  <c r="B7529" i="1"/>
  <c r="G7529" i="1"/>
  <c r="K7529" i="1"/>
  <c r="A7530" i="1"/>
  <c r="B7530" i="1"/>
  <c r="G7530" i="1"/>
  <c r="K7530" i="1"/>
  <c r="A7531" i="1"/>
  <c r="B7531" i="1"/>
  <c r="G7531" i="1"/>
  <c r="K7531" i="1"/>
  <c r="A7532" i="1"/>
  <c r="B7532" i="1"/>
  <c r="G7532" i="1"/>
  <c r="K7532" i="1"/>
  <c r="A7533" i="1"/>
  <c r="B7533" i="1"/>
  <c r="G7533" i="1"/>
  <c r="K7533" i="1"/>
  <c r="A7534" i="1"/>
  <c r="B7534" i="1"/>
  <c r="G7534" i="1"/>
  <c r="K7534" i="1"/>
  <c r="A7535" i="1"/>
  <c r="B7535" i="1"/>
  <c r="G7535" i="1"/>
  <c r="K7535" i="1"/>
  <c r="A7536" i="1"/>
  <c r="B7536" i="1"/>
  <c r="G7536" i="1"/>
  <c r="K7536" i="1"/>
  <c r="A7537" i="1"/>
  <c r="B7537" i="1"/>
  <c r="G7537" i="1"/>
  <c r="K7537" i="1"/>
  <c r="A7538" i="1"/>
  <c r="B7538" i="1"/>
  <c r="G7538" i="1"/>
  <c r="K7538" i="1"/>
  <c r="A7539" i="1"/>
  <c r="B7539" i="1"/>
  <c r="G7539" i="1"/>
  <c r="K7539" i="1"/>
  <c r="A7540" i="1"/>
  <c r="B7540" i="1"/>
  <c r="G7540" i="1"/>
  <c r="K7540" i="1"/>
  <c r="A7541" i="1"/>
  <c r="B7541" i="1"/>
  <c r="G7541" i="1"/>
  <c r="K7541" i="1"/>
  <c r="A7542" i="1"/>
  <c r="B7542" i="1"/>
  <c r="G7542" i="1"/>
  <c r="K7542" i="1"/>
  <c r="A7543" i="1"/>
  <c r="B7543" i="1"/>
  <c r="G7543" i="1"/>
  <c r="K7543" i="1"/>
  <c r="A7544" i="1"/>
  <c r="B7544" i="1"/>
  <c r="G7544" i="1"/>
  <c r="K7544" i="1"/>
  <c r="A7545" i="1"/>
  <c r="B7545" i="1"/>
  <c r="G7545" i="1"/>
  <c r="K7545" i="1"/>
  <c r="A7546" i="1"/>
  <c r="B7546" i="1"/>
  <c r="G7546" i="1"/>
  <c r="K7546" i="1"/>
  <c r="A7547" i="1"/>
  <c r="B7547" i="1"/>
  <c r="G7547" i="1"/>
  <c r="K7547" i="1"/>
  <c r="A7548" i="1"/>
  <c r="B7548" i="1"/>
  <c r="G7548" i="1"/>
  <c r="K7548" i="1"/>
  <c r="A7549" i="1"/>
  <c r="B7549" i="1"/>
  <c r="G7549" i="1"/>
  <c r="K7549" i="1"/>
  <c r="A7550" i="1"/>
  <c r="B7550" i="1"/>
  <c r="G7550" i="1"/>
  <c r="K7550" i="1"/>
  <c r="A7551" i="1"/>
  <c r="B7551" i="1"/>
  <c r="G7551" i="1"/>
  <c r="K7551" i="1"/>
  <c r="A7552" i="1"/>
  <c r="B7552" i="1"/>
  <c r="G7552" i="1"/>
  <c r="K7552" i="1"/>
  <c r="A7553" i="1"/>
  <c r="B7553" i="1"/>
  <c r="G7553" i="1"/>
  <c r="K7553" i="1"/>
  <c r="A7554" i="1"/>
  <c r="B7554" i="1"/>
  <c r="G7554" i="1"/>
  <c r="K7554" i="1"/>
  <c r="A7555" i="1"/>
  <c r="B7555" i="1"/>
  <c r="G7555" i="1"/>
  <c r="K7555" i="1"/>
  <c r="A7556" i="1"/>
  <c r="B7556" i="1"/>
  <c r="G7556" i="1"/>
  <c r="K7556" i="1"/>
  <c r="A7557" i="1"/>
  <c r="B7557" i="1"/>
  <c r="G7557" i="1"/>
  <c r="K7557" i="1"/>
  <c r="A7558" i="1"/>
  <c r="B7558" i="1"/>
  <c r="G7558" i="1"/>
  <c r="K7558" i="1"/>
  <c r="A7559" i="1"/>
  <c r="B7559" i="1"/>
  <c r="G7559" i="1"/>
  <c r="K7559" i="1"/>
  <c r="A7560" i="1"/>
  <c r="B7560" i="1"/>
  <c r="G7560" i="1"/>
  <c r="K7560" i="1"/>
  <c r="A7561" i="1"/>
  <c r="B7561" i="1"/>
  <c r="G7561" i="1"/>
  <c r="K7561" i="1"/>
  <c r="A7562" i="1"/>
  <c r="B7562" i="1"/>
  <c r="G7562" i="1"/>
  <c r="K7562" i="1"/>
  <c r="A7563" i="1"/>
  <c r="B7563" i="1"/>
  <c r="G7563" i="1"/>
  <c r="K7563" i="1"/>
  <c r="A7564" i="1"/>
  <c r="B7564" i="1"/>
  <c r="G7564" i="1"/>
  <c r="K7564" i="1"/>
  <c r="A7565" i="1"/>
  <c r="B7565" i="1"/>
  <c r="G7565" i="1"/>
  <c r="K7565" i="1"/>
  <c r="A7566" i="1"/>
  <c r="B7566" i="1"/>
  <c r="G7566" i="1"/>
  <c r="K7566" i="1"/>
  <c r="A7567" i="1"/>
  <c r="B7567" i="1"/>
  <c r="G7567" i="1"/>
  <c r="K7567" i="1"/>
  <c r="A7568" i="1"/>
  <c r="B7568" i="1"/>
  <c r="G7568" i="1"/>
  <c r="K7568" i="1"/>
  <c r="A7569" i="1"/>
  <c r="B7569" i="1"/>
  <c r="G7569" i="1"/>
  <c r="K7569" i="1"/>
  <c r="A7570" i="1"/>
  <c r="B7570" i="1"/>
  <c r="G7570" i="1"/>
  <c r="K7570" i="1"/>
  <c r="A7571" i="1"/>
  <c r="B7571" i="1"/>
  <c r="G7571" i="1"/>
  <c r="K7571" i="1"/>
  <c r="A7572" i="1"/>
  <c r="B7572" i="1"/>
  <c r="G7572" i="1"/>
  <c r="K7572" i="1"/>
  <c r="A7573" i="1"/>
  <c r="B7573" i="1"/>
  <c r="G7573" i="1"/>
  <c r="K7573" i="1"/>
  <c r="A7574" i="1"/>
  <c r="B7574" i="1"/>
  <c r="G7574" i="1"/>
  <c r="K7574" i="1"/>
  <c r="A7575" i="1"/>
  <c r="B7575" i="1"/>
  <c r="G7575" i="1"/>
  <c r="K7575" i="1"/>
  <c r="A7576" i="1"/>
  <c r="B7576" i="1"/>
  <c r="G7576" i="1"/>
  <c r="K7576" i="1"/>
  <c r="A7577" i="1"/>
  <c r="B7577" i="1"/>
  <c r="G7577" i="1"/>
  <c r="K7577" i="1"/>
  <c r="A7578" i="1"/>
  <c r="B7578" i="1"/>
  <c r="G7578" i="1"/>
  <c r="K7578" i="1"/>
  <c r="A7579" i="1"/>
  <c r="B7579" i="1"/>
  <c r="G7579" i="1"/>
  <c r="K7579" i="1"/>
  <c r="A7580" i="1"/>
  <c r="B7580" i="1"/>
  <c r="G7580" i="1"/>
  <c r="K7580" i="1"/>
  <c r="A7581" i="1"/>
  <c r="B7581" i="1"/>
  <c r="G7581" i="1"/>
  <c r="K7581" i="1"/>
  <c r="A7582" i="1"/>
  <c r="B7582" i="1"/>
  <c r="G7582" i="1"/>
  <c r="K7582" i="1"/>
  <c r="A7583" i="1"/>
  <c r="B7583" i="1"/>
  <c r="G7583" i="1"/>
  <c r="K7583" i="1"/>
  <c r="A7584" i="1"/>
  <c r="B7584" i="1"/>
  <c r="G7584" i="1"/>
  <c r="K7584" i="1"/>
  <c r="A7585" i="1"/>
  <c r="B7585" i="1"/>
  <c r="G7585" i="1"/>
  <c r="K7585" i="1"/>
  <c r="A7586" i="1"/>
  <c r="B7586" i="1"/>
  <c r="G7586" i="1"/>
  <c r="K7586" i="1"/>
  <c r="A7587" i="1"/>
  <c r="B7587" i="1"/>
  <c r="G7587" i="1"/>
  <c r="K7587" i="1"/>
  <c r="A7588" i="1"/>
  <c r="B7588" i="1"/>
  <c r="G7588" i="1"/>
  <c r="K7588" i="1"/>
  <c r="A7589" i="1"/>
  <c r="B7589" i="1"/>
  <c r="G7589" i="1"/>
  <c r="K7589" i="1"/>
  <c r="A7590" i="1"/>
  <c r="B7590" i="1"/>
  <c r="G7590" i="1"/>
  <c r="K7590" i="1"/>
  <c r="A7591" i="1"/>
  <c r="B7591" i="1"/>
  <c r="G7591" i="1"/>
  <c r="K7591" i="1"/>
  <c r="A7592" i="1"/>
  <c r="B7592" i="1"/>
  <c r="G7592" i="1"/>
  <c r="K7592" i="1"/>
  <c r="A7593" i="1"/>
  <c r="B7593" i="1"/>
  <c r="G7593" i="1"/>
  <c r="K7593" i="1"/>
  <c r="A7594" i="1"/>
  <c r="B7594" i="1"/>
  <c r="G7594" i="1"/>
  <c r="K7594" i="1"/>
  <c r="A7595" i="1"/>
  <c r="B7595" i="1"/>
  <c r="G7595" i="1"/>
  <c r="K7595" i="1"/>
  <c r="A7596" i="1"/>
  <c r="B7596" i="1"/>
  <c r="G7596" i="1"/>
  <c r="K7596" i="1"/>
  <c r="A7597" i="1"/>
  <c r="B7597" i="1"/>
  <c r="G7597" i="1"/>
  <c r="K7597" i="1"/>
  <c r="A7598" i="1"/>
  <c r="B7598" i="1"/>
  <c r="G7598" i="1"/>
  <c r="K7598" i="1"/>
  <c r="A7599" i="1"/>
  <c r="B7599" i="1"/>
  <c r="G7599" i="1"/>
  <c r="K7599" i="1"/>
  <c r="A7600" i="1"/>
  <c r="B7600" i="1"/>
  <c r="G7600" i="1"/>
  <c r="K7600" i="1"/>
  <c r="A7601" i="1"/>
  <c r="B7601" i="1"/>
  <c r="G7601" i="1"/>
  <c r="K7601" i="1"/>
  <c r="A7602" i="1"/>
  <c r="B7602" i="1"/>
  <c r="G7602" i="1"/>
  <c r="K7602" i="1"/>
  <c r="A7603" i="1"/>
  <c r="B7603" i="1"/>
  <c r="G7603" i="1"/>
  <c r="K7603" i="1"/>
  <c r="A7604" i="1"/>
  <c r="B7604" i="1"/>
  <c r="G7604" i="1"/>
  <c r="K7604" i="1"/>
  <c r="A7605" i="1"/>
  <c r="B7605" i="1"/>
  <c r="G7605" i="1"/>
  <c r="K7605" i="1"/>
  <c r="A7606" i="1"/>
  <c r="B7606" i="1"/>
  <c r="G7606" i="1"/>
  <c r="K7606" i="1"/>
  <c r="A7607" i="1"/>
  <c r="B7607" i="1"/>
  <c r="G7607" i="1"/>
  <c r="K7607" i="1"/>
  <c r="A7608" i="1"/>
  <c r="B7608" i="1"/>
  <c r="G7608" i="1"/>
  <c r="K7608" i="1"/>
  <c r="A7609" i="1"/>
  <c r="B7609" i="1"/>
  <c r="G7609" i="1"/>
  <c r="K7609" i="1"/>
  <c r="A7610" i="1"/>
  <c r="B7610" i="1"/>
  <c r="G7610" i="1"/>
  <c r="K7610" i="1"/>
  <c r="A7611" i="1"/>
  <c r="B7611" i="1"/>
  <c r="G7611" i="1"/>
  <c r="K7611" i="1"/>
  <c r="A7612" i="1"/>
  <c r="B7612" i="1"/>
  <c r="G7612" i="1"/>
  <c r="K7612" i="1"/>
  <c r="A7613" i="1"/>
  <c r="B7613" i="1"/>
  <c r="G7613" i="1"/>
  <c r="K7613" i="1"/>
  <c r="A7614" i="1"/>
  <c r="B7614" i="1"/>
  <c r="G7614" i="1"/>
  <c r="K7614" i="1"/>
  <c r="A7615" i="1"/>
  <c r="B7615" i="1"/>
  <c r="G7615" i="1"/>
  <c r="K7615" i="1"/>
  <c r="A7616" i="1"/>
  <c r="B7616" i="1"/>
  <c r="G7616" i="1"/>
  <c r="K7616" i="1"/>
  <c r="A7617" i="1"/>
  <c r="B7617" i="1"/>
  <c r="G7617" i="1"/>
  <c r="K7617" i="1"/>
  <c r="A7618" i="1"/>
  <c r="B7618" i="1"/>
  <c r="G7618" i="1"/>
  <c r="K7618" i="1"/>
  <c r="A7619" i="1"/>
  <c r="B7619" i="1"/>
  <c r="G7619" i="1"/>
  <c r="K7619" i="1"/>
  <c r="A7620" i="1"/>
  <c r="B7620" i="1"/>
  <c r="G7620" i="1"/>
  <c r="K7620" i="1"/>
  <c r="A7621" i="1"/>
  <c r="B7621" i="1"/>
  <c r="G7621" i="1"/>
  <c r="K7621" i="1"/>
  <c r="A7622" i="1"/>
  <c r="B7622" i="1"/>
  <c r="G7622" i="1"/>
  <c r="K7622" i="1"/>
  <c r="A7623" i="1"/>
  <c r="B7623" i="1"/>
  <c r="G7623" i="1"/>
  <c r="K7623" i="1"/>
  <c r="A7624" i="1"/>
  <c r="B7624" i="1"/>
  <c r="G7624" i="1"/>
  <c r="K7624" i="1"/>
  <c r="A7625" i="1"/>
  <c r="B7625" i="1"/>
  <c r="G7625" i="1"/>
  <c r="K7625" i="1"/>
  <c r="A7626" i="1"/>
  <c r="B7626" i="1"/>
  <c r="G7626" i="1"/>
  <c r="K7626" i="1"/>
  <c r="A7627" i="1"/>
  <c r="B7627" i="1"/>
  <c r="G7627" i="1"/>
  <c r="K7627" i="1"/>
  <c r="A7628" i="1"/>
  <c r="B7628" i="1"/>
  <c r="G7628" i="1"/>
  <c r="K7628" i="1"/>
  <c r="A7629" i="1"/>
  <c r="B7629" i="1"/>
  <c r="G7629" i="1"/>
  <c r="K7629" i="1"/>
  <c r="A7630" i="1"/>
  <c r="B7630" i="1"/>
  <c r="G7630" i="1"/>
  <c r="K7630" i="1"/>
  <c r="A7631" i="1"/>
  <c r="B7631" i="1"/>
  <c r="G7631" i="1"/>
  <c r="K7631" i="1"/>
  <c r="A7632" i="1"/>
  <c r="B7632" i="1"/>
  <c r="G7632" i="1"/>
  <c r="K7632" i="1"/>
  <c r="A7633" i="1"/>
  <c r="B7633" i="1"/>
  <c r="G7633" i="1"/>
  <c r="K7633" i="1"/>
  <c r="A7634" i="1"/>
  <c r="B7634" i="1"/>
  <c r="G7634" i="1"/>
  <c r="K7634" i="1"/>
  <c r="A7635" i="1"/>
  <c r="B7635" i="1"/>
  <c r="G7635" i="1"/>
  <c r="K7635" i="1"/>
  <c r="A7636" i="1"/>
  <c r="B7636" i="1"/>
  <c r="G7636" i="1"/>
  <c r="K7636" i="1"/>
  <c r="A7637" i="1"/>
  <c r="B7637" i="1"/>
  <c r="G7637" i="1"/>
  <c r="K7637" i="1"/>
  <c r="A7638" i="1"/>
  <c r="B7638" i="1"/>
  <c r="G7638" i="1"/>
  <c r="K7638" i="1"/>
  <c r="A7639" i="1"/>
  <c r="B7639" i="1"/>
  <c r="G7639" i="1"/>
  <c r="K7639" i="1"/>
  <c r="A7640" i="1"/>
  <c r="B7640" i="1"/>
  <c r="G7640" i="1"/>
  <c r="K7640" i="1"/>
  <c r="A7641" i="1"/>
  <c r="B7641" i="1"/>
  <c r="G7641" i="1"/>
  <c r="K7641" i="1"/>
  <c r="A7642" i="1"/>
  <c r="B7642" i="1"/>
  <c r="G7642" i="1"/>
  <c r="K7642" i="1"/>
  <c r="A7643" i="1"/>
  <c r="B7643" i="1"/>
  <c r="G7643" i="1"/>
  <c r="K7643" i="1"/>
  <c r="A7644" i="1"/>
  <c r="B7644" i="1"/>
  <c r="G7644" i="1"/>
  <c r="K7644" i="1"/>
  <c r="A7645" i="1"/>
  <c r="B7645" i="1"/>
  <c r="G7645" i="1"/>
  <c r="K7645" i="1"/>
  <c r="A7646" i="1"/>
  <c r="B7646" i="1"/>
  <c r="G7646" i="1"/>
  <c r="K7646" i="1"/>
  <c r="A7647" i="1"/>
  <c r="B7647" i="1"/>
  <c r="G7647" i="1"/>
  <c r="K7647" i="1"/>
  <c r="A7648" i="1"/>
  <c r="B7648" i="1"/>
  <c r="G7648" i="1"/>
  <c r="K7648" i="1"/>
  <c r="A7649" i="1"/>
  <c r="B7649" i="1"/>
  <c r="G7649" i="1"/>
  <c r="K7649" i="1"/>
  <c r="A7650" i="1"/>
  <c r="B7650" i="1"/>
  <c r="G7650" i="1"/>
  <c r="K7650" i="1"/>
  <c r="A7651" i="1"/>
  <c r="B7651" i="1"/>
  <c r="G7651" i="1"/>
  <c r="K7651" i="1"/>
  <c r="A7652" i="1"/>
  <c r="B7652" i="1"/>
  <c r="G7652" i="1"/>
  <c r="K7652" i="1"/>
  <c r="A7653" i="1"/>
  <c r="B7653" i="1"/>
  <c r="G7653" i="1"/>
  <c r="K7653" i="1"/>
  <c r="A7654" i="1"/>
  <c r="B7654" i="1"/>
  <c r="G7654" i="1"/>
  <c r="K7654" i="1"/>
  <c r="A7655" i="1"/>
  <c r="B7655" i="1"/>
  <c r="G7655" i="1"/>
  <c r="K7655" i="1"/>
  <c r="A7656" i="1"/>
  <c r="B7656" i="1"/>
  <c r="G7656" i="1"/>
  <c r="K7656" i="1"/>
  <c r="A7657" i="1"/>
  <c r="B7657" i="1"/>
  <c r="G7657" i="1"/>
  <c r="K7657" i="1"/>
  <c r="A7658" i="1"/>
  <c r="B7658" i="1"/>
  <c r="G7658" i="1"/>
  <c r="K7658" i="1"/>
  <c r="A7659" i="1"/>
  <c r="B7659" i="1"/>
  <c r="G7659" i="1"/>
  <c r="K7659" i="1"/>
  <c r="A7660" i="1"/>
  <c r="B7660" i="1"/>
  <c r="G7660" i="1"/>
  <c r="K7660" i="1"/>
  <c r="A7661" i="1"/>
  <c r="B7661" i="1"/>
  <c r="G7661" i="1"/>
  <c r="K7661" i="1"/>
  <c r="A7662" i="1"/>
  <c r="B7662" i="1"/>
  <c r="G7662" i="1"/>
  <c r="K7662" i="1"/>
  <c r="A7663" i="1"/>
  <c r="B7663" i="1"/>
  <c r="G7663" i="1"/>
  <c r="K7663" i="1"/>
  <c r="A7664" i="1"/>
  <c r="B7664" i="1"/>
  <c r="G7664" i="1"/>
  <c r="K7664" i="1"/>
  <c r="A7665" i="1"/>
  <c r="B7665" i="1"/>
  <c r="G7665" i="1"/>
  <c r="K7665" i="1"/>
  <c r="A7666" i="1"/>
  <c r="B7666" i="1"/>
  <c r="G7666" i="1"/>
  <c r="K7666" i="1"/>
  <c r="A7667" i="1"/>
  <c r="B7667" i="1"/>
  <c r="G7667" i="1"/>
  <c r="K7667" i="1"/>
  <c r="A7668" i="1"/>
  <c r="B7668" i="1"/>
  <c r="G7668" i="1"/>
  <c r="K7668" i="1"/>
  <c r="A7669" i="1"/>
  <c r="B7669" i="1"/>
  <c r="G7669" i="1"/>
  <c r="K7669" i="1"/>
  <c r="A7670" i="1"/>
  <c r="B7670" i="1"/>
  <c r="G7670" i="1"/>
  <c r="K7670" i="1"/>
  <c r="A7671" i="1"/>
  <c r="B7671" i="1"/>
  <c r="G7671" i="1"/>
  <c r="K7671" i="1"/>
  <c r="A7672" i="1"/>
  <c r="B7672" i="1"/>
  <c r="G7672" i="1"/>
  <c r="K7672" i="1"/>
  <c r="A7673" i="1"/>
  <c r="B7673" i="1"/>
  <c r="G7673" i="1"/>
  <c r="K7673" i="1"/>
  <c r="A7674" i="1"/>
  <c r="B7674" i="1"/>
  <c r="G7674" i="1"/>
  <c r="K7674" i="1"/>
  <c r="A7675" i="1"/>
  <c r="B7675" i="1"/>
  <c r="G7675" i="1"/>
  <c r="K7675" i="1"/>
  <c r="A7676" i="1"/>
  <c r="B7676" i="1"/>
  <c r="G7676" i="1"/>
  <c r="K7676" i="1"/>
  <c r="A7677" i="1"/>
  <c r="B7677" i="1"/>
  <c r="G7677" i="1"/>
  <c r="K7677" i="1"/>
  <c r="A7678" i="1"/>
  <c r="B7678" i="1"/>
  <c r="G7678" i="1"/>
  <c r="K7678" i="1"/>
  <c r="A7679" i="1"/>
  <c r="B7679" i="1"/>
  <c r="G7679" i="1"/>
  <c r="K7679" i="1"/>
  <c r="A7680" i="1"/>
  <c r="B7680" i="1"/>
  <c r="G7680" i="1"/>
  <c r="K7680" i="1"/>
  <c r="A7681" i="1"/>
  <c r="B7681" i="1"/>
  <c r="G7681" i="1"/>
  <c r="K7681" i="1"/>
  <c r="A7682" i="1"/>
  <c r="B7682" i="1"/>
  <c r="G7682" i="1"/>
  <c r="K7682" i="1"/>
  <c r="A7683" i="1"/>
  <c r="B7683" i="1"/>
  <c r="G7683" i="1"/>
  <c r="K7683" i="1"/>
  <c r="A7684" i="1"/>
  <c r="B7684" i="1"/>
  <c r="G7684" i="1"/>
  <c r="K7684" i="1"/>
  <c r="A7685" i="1"/>
  <c r="B7685" i="1"/>
  <c r="G7685" i="1"/>
  <c r="K7685" i="1"/>
  <c r="A7686" i="1"/>
  <c r="B7686" i="1"/>
  <c r="G7686" i="1"/>
  <c r="K7686" i="1"/>
  <c r="A7687" i="1"/>
  <c r="B7687" i="1"/>
  <c r="G7687" i="1"/>
  <c r="K7687" i="1"/>
  <c r="A7688" i="1"/>
  <c r="B7688" i="1"/>
  <c r="G7688" i="1"/>
  <c r="K7688" i="1"/>
  <c r="A7689" i="1"/>
  <c r="B7689" i="1"/>
  <c r="G7689" i="1"/>
  <c r="K7689" i="1"/>
  <c r="A7690" i="1"/>
  <c r="B7690" i="1"/>
  <c r="G7690" i="1"/>
  <c r="K7690" i="1"/>
  <c r="A7691" i="1"/>
  <c r="B7691" i="1"/>
  <c r="G7691" i="1"/>
  <c r="K7691" i="1"/>
  <c r="A7692" i="1"/>
  <c r="B7692" i="1"/>
  <c r="G7692" i="1"/>
  <c r="K7692" i="1"/>
  <c r="A7693" i="1"/>
  <c r="B7693" i="1"/>
  <c r="G7693" i="1"/>
  <c r="K7693" i="1"/>
  <c r="A7694" i="1"/>
  <c r="B7694" i="1"/>
  <c r="G7694" i="1"/>
  <c r="K7694" i="1"/>
  <c r="A7695" i="1"/>
  <c r="B7695" i="1"/>
  <c r="G7695" i="1"/>
  <c r="K7695" i="1"/>
  <c r="A7696" i="1"/>
  <c r="B7696" i="1"/>
  <c r="G7696" i="1"/>
  <c r="K7696" i="1"/>
  <c r="A7697" i="1"/>
  <c r="B7697" i="1"/>
  <c r="G7697" i="1"/>
  <c r="K7697" i="1"/>
  <c r="A7698" i="1"/>
  <c r="B7698" i="1"/>
  <c r="G7698" i="1"/>
  <c r="K7698" i="1"/>
  <c r="A7699" i="1"/>
  <c r="B7699" i="1"/>
  <c r="G7699" i="1"/>
  <c r="K7699" i="1"/>
  <c r="A7700" i="1"/>
  <c r="B7700" i="1"/>
  <c r="G7700" i="1"/>
  <c r="K7700" i="1"/>
  <c r="A7701" i="1"/>
  <c r="B7701" i="1"/>
  <c r="G7701" i="1"/>
  <c r="K7701" i="1"/>
  <c r="A7702" i="1"/>
  <c r="B7702" i="1"/>
  <c r="G7702" i="1"/>
  <c r="K7702" i="1"/>
  <c r="A7703" i="1"/>
  <c r="B7703" i="1"/>
  <c r="G7703" i="1"/>
  <c r="K7703" i="1"/>
  <c r="A7704" i="1"/>
  <c r="B7704" i="1"/>
  <c r="G7704" i="1"/>
  <c r="K7704" i="1"/>
  <c r="A7705" i="1"/>
  <c r="B7705" i="1"/>
  <c r="G7705" i="1"/>
  <c r="K7705" i="1"/>
  <c r="A7706" i="1"/>
  <c r="B7706" i="1"/>
  <c r="G7706" i="1"/>
  <c r="K7706" i="1"/>
  <c r="A7707" i="1"/>
  <c r="B7707" i="1"/>
  <c r="G7707" i="1"/>
  <c r="K7707" i="1"/>
  <c r="A7708" i="1"/>
  <c r="B7708" i="1"/>
  <c r="G7708" i="1"/>
  <c r="K7708" i="1"/>
  <c r="A7709" i="1"/>
  <c r="B7709" i="1"/>
  <c r="G7709" i="1"/>
  <c r="K7709" i="1"/>
  <c r="A7710" i="1"/>
  <c r="B7710" i="1"/>
  <c r="G7710" i="1"/>
  <c r="K7710" i="1"/>
  <c r="A7711" i="1"/>
  <c r="B7711" i="1"/>
  <c r="G7711" i="1"/>
  <c r="K7711" i="1"/>
  <c r="A7712" i="1"/>
  <c r="B7712" i="1"/>
  <c r="G7712" i="1"/>
  <c r="K7712" i="1"/>
  <c r="A7713" i="1"/>
  <c r="B7713" i="1"/>
  <c r="G7713" i="1"/>
  <c r="K7713" i="1"/>
  <c r="A7714" i="1"/>
  <c r="B7714" i="1"/>
  <c r="G7714" i="1"/>
  <c r="K7714" i="1"/>
  <c r="A7715" i="1"/>
  <c r="B7715" i="1"/>
  <c r="G7715" i="1"/>
  <c r="K7715" i="1"/>
  <c r="A7716" i="1"/>
  <c r="B7716" i="1"/>
  <c r="G7716" i="1"/>
  <c r="K7716" i="1"/>
  <c r="A7717" i="1"/>
  <c r="B7717" i="1"/>
  <c r="G7717" i="1"/>
  <c r="K7717" i="1"/>
  <c r="A7718" i="1"/>
  <c r="B7718" i="1"/>
  <c r="G7718" i="1"/>
  <c r="K7718" i="1"/>
  <c r="A7719" i="1"/>
  <c r="B7719" i="1"/>
  <c r="G7719" i="1"/>
  <c r="K7719" i="1"/>
  <c r="A7720" i="1"/>
  <c r="B7720" i="1"/>
  <c r="G7720" i="1"/>
  <c r="K7720" i="1"/>
  <c r="A7721" i="1"/>
  <c r="B7721" i="1"/>
  <c r="G7721" i="1"/>
  <c r="K7721" i="1"/>
  <c r="A7722" i="1"/>
  <c r="B7722" i="1"/>
  <c r="G7722" i="1"/>
  <c r="K7722" i="1"/>
  <c r="A7723" i="1"/>
  <c r="B7723" i="1"/>
  <c r="G7723" i="1"/>
  <c r="K7723" i="1"/>
  <c r="A7724" i="1"/>
  <c r="B7724" i="1"/>
  <c r="G7724" i="1"/>
  <c r="K7724" i="1"/>
  <c r="A7725" i="1"/>
  <c r="B7725" i="1"/>
  <c r="G7725" i="1"/>
  <c r="K7725" i="1"/>
  <c r="A7726" i="1"/>
  <c r="B7726" i="1"/>
  <c r="G7726" i="1"/>
  <c r="K7726" i="1"/>
  <c r="A7727" i="1"/>
  <c r="B7727" i="1"/>
  <c r="G7727" i="1"/>
  <c r="K7727" i="1"/>
  <c r="A7728" i="1"/>
  <c r="B7728" i="1"/>
  <c r="G7728" i="1"/>
  <c r="K7728" i="1"/>
  <c r="A7729" i="1"/>
  <c r="B7729" i="1"/>
  <c r="G7729" i="1"/>
  <c r="K7729" i="1"/>
  <c r="A7730" i="1"/>
  <c r="B7730" i="1"/>
  <c r="G7730" i="1"/>
  <c r="K7730" i="1"/>
  <c r="A7731" i="1"/>
  <c r="B7731" i="1"/>
  <c r="G7731" i="1"/>
  <c r="K7731" i="1"/>
  <c r="A7732" i="1"/>
  <c r="B7732" i="1"/>
  <c r="G7732" i="1"/>
  <c r="K7732" i="1"/>
  <c r="A7733" i="1"/>
  <c r="B7733" i="1"/>
  <c r="G7733" i="1"/>
  <c r="K7733" i="1"/>
  <c r="A7734" i="1"/>
  <c r="B7734" i="1"/>
  <c r="G7734" i="1"/>
  <c r="K7734" i="1"/>
  <c r="A7735" i="1"/>
  <c r="B7735" i="1"/>
  <c r="G7735" i="1"/>
  <c r="K7735" i="1"/>
  <c r="A7736" i="1"/>
  <c r="B7736" i="1"/>
  <c r="G7736" i="1"/>
  <c r="K7736" i="1"/>
  <c r="A7737" i="1"/>
  <c r="B7737" i="1"/>
  <c r="G7737" i="1"/>
  <c r="K7737" i="1"/>
  <c r="A7738" i="1"/>
  <c r="B7738" i="1"/>
  <c r="G7738" i="1"/>
  <c r="K7738" i="1"/>
  <c r="A7739" i="1"/>
  <c r="B7739" i="1"/>
  <c r="G7739" i="1"/>
  <c r="K7739" i="1"/>
  <c r="A7740" i="1"/>
  <c r="B7740" i="1"/>
  <c r="G7740" i="1"/>
  <c r="K7740" i="1"/>
  <c r="A7741" i="1"/>
  <c r="B7741" i="1"/>
  <c r="G7741" i="1"/>
  <c r="K7741" i="1"/>
  <c r="A7742" i="1"/>
  <c r="B7742" i="1"/>
  <c r="G7742" i="1"/>
  <c r="K7742" i="1"/>
  <c r="A7743" i="1"/>
  <c r="B7743" i="1"/>
  <c r="G7743" i="1"/>
  <c r="K7743" i="1"/>
  <c r="A7744" i="1"/>
  <c r="B7744" i="1"/>
  <c r="G7744" i="1"/>
  <c r="K7744" i="1"/>
  <c r="A7745" i="1"/>
  <c r="B7745" i="1"/>
  <c r="G7745" i="1"/>
  <c r="K7745" i="1"/>
  <c r="A7746" i="1"/>
  <c r="B7746" i="1"/>
  <c r="G7746" i="1"/>
  <c r="K7746" i="1"/>
  <c r="A7747" i="1"/>
  <c r="B7747" i="1"/>
  <c r="G7747" i="1"/>
  <c r="K7747" i="1"/>
  <c r="A7748" i="1"/>
  <c r="B7748" i="1"/>
  <c r="G7748" i="1"/>
  <c r="K7748" i="1"/>
  <c r="A7749" i="1"/>
  <c r="B7749" i="1"/>
  <c r="G7749" i="1"/>
  <c r="K7749" i="1"/>
  <c r="A7750" i="1"/>
  <c r="B7750" i="1"/>
  <c r="G7750" i="1"/>
  <c r="K7750" i="1"/>
  <c r="A7751" i="1"/>
  <c r="B7751" i="1"/>
  <c r="G7751" i="1"/>
  <c r="K7751" i="1"/>
  <c r="A7752" i="1"/>
  <c r="B7752" i="1"/>
  <c r="G7752" i="1"/>
  <c r="K7752" i="1"/>
  <c r="A7753" i="1"/>
  <c r="B7753" i="1"/>
  <c r="G7753" i="1"/>
  <c r="K7753" i="1"/>
  <c r="A7754" i="1"/>
  <c r="B7754" i="1"/>
  <c r="G7754" i="1"/>
  <c r="K7754" i="1"/>
  <c r="A7755" i="1"/>
  <c r="B7755" i="1"/>
  <c r="G7755" i="1"/>
  <c r="K7755" i="1"/>
  <c r="A7756" i="1"/>
  <c r="B7756" i="1"/>
  <c r="G7756" i="1"/>
  <c r="K7756" i="1"/>
  <c r="A7757" i="1"/>
  <c r="B7757" i="1"/>
  <c r="G7757" i="1"/>
  <c r="K7757" i="1"/>
  <c r="A7758" i="1"/>
  <c r="B7758" i="1"/>
  <c r="G7758" i="1"/>
  <c r="K7758" i="1"/>
  <c r="A7759" i="1"/>
  <c r="B7759" i="1"/>
  <c r="G7759" i="1"/>
  <c r="K7759" i="1"/>
  <c r="A7760" i="1"/>
  <c r="B7760" i="1"/>
  <c r="G7760" i="1"/>
  <c r="K7760" i="1"/>
  <c r="A7761" i="1"/>
  <c r="B7761" i="1"/>
  <c r="G7761" i="1"/>
  <c r="K7761" i="1"/>
  <c r="A7762" i="1"/>
  <c r="B7762" i="1"/>
  <c r="G7762" i="1"/>
  <c r="K7762" i="1"/>
  <c r="A7763" i="1"/>
  <c r="B7763" i="1"/>
  <c r="G7763" i="1"/>
  <c r="K7763" i="1"/>
  <c r="A7764" i="1"/>
  <c r="B7764" i="1"/>
  <c r="G7764" i="1"/>
  <c r="K7764" i="1"/>
  <c r="A7765" i="1"/>
  <c r="B7765" i="1"/>
  <c r="G7765" i="1"/>
  <c r="K7765" i="1"/>
  <c r="A7766" i="1"/>
  <c r="B7766" i="1"/>
  <c r="G7766" i="1"/>
  <c r="K7766" i="1"/>
  <c r="A7767" i="1"/>
  <c r="B7767" i="1"/>
  <c r="G7767" i="1"/>
  <c r="K7767" i="1"/>
  <c r="A7768" i="1"/>
  <c r="B7768" i="1"/>
  <c r="G7768" i="1"/>
  <c r="K7768" i="1"/>
  <c r="A7769" i="1"/>
  <c r="B7769" i="1"/>
  <c r="G7769" i="1"/>
  <c r="K7769" i="1"/>
  <c r="A7770" i="1"/>
  <c r="B7770" i="1"/>
  <c r="G7770" i="1"/>
  <c r="K7770" i="1"/>
  <c r="A7771" i="1"/>
  <c r="B7771" i="1"/>
  <c r="G7771" i="1"/>
  <c r="K7771" i="1"/>
  <c r="A7772" i="1"/>
  <c r="B7772" i="1"/>
  <c r="G7772" i="1"/>
  <c r="K7772" i="1"/>
  <c r="A7773" i="1"/>
  <c r="B7773" i="1"/>
  <c r="G7773" i="1"/>
  <c r="K7773" i="1"/>
  <c r="A7774" i="1"/>
  <c r="B7774" i="1"/>
  <c r="G7774" i="1"/>
  <c r="K7774" i="1"/>
  <c r="A7775" i="1"/>
  <c r="B7775" i="1"/>
  <c r="G7775" i="1"/>
  <c r="K7775" i="1"/>
  <c r="A7776" i="1"/>
  <c r="B7776" i="1"/>
  <c r="G7776" i="1"/>
  <c r="K7776" i="1"/>
  <c r="A7777" i="1"/>
  <c r="B7777" i="1"/>
  <c r="G7777" i="1"/>
  <c r="K7777" i="1"/>
  <c r="A7778" i="1"/>
  <c r="B7778" i="1"/>
  <c r="G7778" i="1"/>
  <c r="K7778" i="1"/>
  <c r="A7779" i="1"/>
  <c r="B7779" i="1"/>
  <c r="G7779" i="1"/>
  <c r="K7779" i="1"/>
  <c r="A7780" i="1"/>
  <c r="B7780" i="1"/>
  <c r="G7780" i="1"/>
  <c r="K7780" i="1"/>
  <c r="A7781" i="1"/>
  <c r="B7781" i="1"/>
  <c r="G7781" i="1"/>
  <c r="K7781" i="1"/>
  <c r="A7782" i="1"/>
  <c r="B7782" i="1"/>
  <c r="G7782" i="1"/>
  <c r="K7782" i="1"/>
  <c r="A7783" i="1"/>
  <c r="B7783" i="1"/>
  <c r="G7783" i="1"/>
  <c r="K7783" i="1"/>
  <c r="A7784" i="1"/>
  <c r="B7784" i="1"/>
  <c r="G7784" i="1"/>
  <c r="K7784" i="1"/>
  <c r="A7785" i="1"/>
  <c r="B7785" i="1"/>
  <c r="G7785" i="1"/>
  <c r="K7785" i="1"/>
  <c r="A7786" i="1"/>
  <c r="B7786" i="1"/>
  <c r="G7786" i="1"/>
  <c r="K7786" i="1"/>
  <c r="A7787" i="1"/>
  <c r="B7787" i="1"/>
  <c r="G7787" i="1"/>
  <c r="K7787" i="1"/>
  <c r="A7788" i="1"/>
  <c r="B7788" i="1"/>
  <c r="G7788" i="1"/>
  <c r="K7788" i="1"/>
  <c r="A7789" i="1"/>
  <c r="B7789" i="1"/>
  <c r="G7789" i="1"/>
  <c r="K7789" i="1"/>
  <c r="A7790" i="1"/>
  <c r="B7790" i="1"/>
  <c r="G7790" i="1"/>
  <c r="K7790" i="1"/>
  <c r="A7791" i="1"/>
  <c r="B7791" i="1"/>
  <c r="G7791" i="1"/>
  <c r="K7791" i="1"/>
  <c r="A7792" i="1"/>
  <c r="B7792" i="1"/>
  <c r="G7792" i="1"/>
  <c r="K7792" i="1"/>
  <c r="A7793" i="1"/>
  <c r="B7793" i="1"/>
  <c r="G7793" i="1"/>
  <c r="K7793" i="1"/>
  <c r="A7794" i="1"/>
  <c r="B7794" i="1"/>
  <c r="G7794" i="1"/>
  <c r="K7794" i="1"/>
  <c r="A7795" i="1"/>
  <c r="B7795" i="1"/>
  <c r="G7795" i="1"/>
  <c r="K7795" i="1"/>
  <c r="A7796" i="1"/>
  <c r="B7796" i="1"/>
  <c r="G7796" i="1"/>
  <c r="K7796" i="1"/>
  <c r="A7797" i="1"/>
  <c r="B7797" i="1"/>
  <c r="G7797" i="1"/>
  <c r="K7797" i="1"/>
  <c r="A7798" i="1"/>
  <c r="B7798" i="1"/>
  <c r="G7798" i="1"/>
  <c r="K7798" i="1"/>
  <c r="A7799" i="1"/>
  <c r="B7799" i="1"/>
  <c r="G7799" i="1"/>
  <c r="K7799" i="1"/>
  <c r="A7800" i="1"/>
  <c r="B7800" i="1"/>
  <c r="G7800" i="1"/>
  <c r="K7800" i="1"/>
  <c r="A7801" i="1"/>
  <c r="B7801" i="1"/>
  <c r="G7801" i="1"/>
  <c r="K7801" i="1"/>
  <c r="A7802" i="1"/>
  <c r="B7802" i="1"/>
  <c r="G7802" i="1"/>
  <c r="K7802" i="1"/>
  <c r="A7803" i="1"/>
  <c r="B7803" i="1"/>
  <c r="G7803" i="1"/>
  <c r="K7803" i="1"/>
  <c r="A7804" i="1"/>
  <c r="B7804" i="1"/>
  <c r="G7804" i="1"/>
  <c r="K7804" i="1"/>
  <c r="A7805" i="1"/>
  <c r="B7805" i="1"/>
  <c r="G7805" i="1"/>
  <c r="K7805" i="1"/>
  <c r="A7806" i="1"/>
  <c r="B7806" i="1"/>
  <c r="G7806" i="1"/>
  <c r="K7806" i="1"/>
  <c r="A7807" i="1"/>
  <c r="B7807" i="1"/>
  <c r="G7807" i="1"/>
  <c r="K7807" i="1"/>
  <c r="A7808" i="1"/>
  <c r="B7808" i="1"/>
  <c r="G7808" i="1"/>
  <c r="K7808" i="1"/>
  <c r="A7809" i="1"/>
  <c r="B7809" i="1"/>
  <c r="G7809" i="1"/>
  <c r="K7809" i="1"/>
  <c r="A7810" i="1"/>
  <c r="B7810" i="1"/>
  <c r="G7810" i="1"/>
  <c r="K7810" i="1"/>
  <c r="A7811" i="1"/>
  <c r="B7811" i="1"/>
  <c r="G7811" i="1"/>
  <c r="K7811" i="1"/>
  <c r="A7812" i="1"/>
  <c r="B7812" i="1"/>
  <c r="G7812" i="1"/>
  <c r="K7812" i="1"/>
  <c r="A7813" i="1"/>
  <c r="B7813" i="1"/>
  <c r="G7813" i="1"/>
  <c r="K7813" i="1"/>
  <c r="A7814" i="1"/>
  <c r="B7814" i="1"/>
  <c r="G7814" i="1"/>
  <c r="K7814" i="1"/>
  <c r="A7815" i="1"/>
  <c r="B7815" i="1"/>
  <c r="G7815" i="1"/>
  <c r="K7815" i="1"/>
  <c r="A7816" i="1"/>
  <c r="B7816" i="1"/>
  <c r="G7816" i="1"/>
  <c r="K7816" i="1"/>
  <c r="A7817" i="1"/>
  <c r="B7817" i="1"/>
  <c r="G7817" i="1"/>
  <c r="K7817" i="1"/>
  <c r="A7818" i="1"/>
  <c r="B7818" i="1"/>
  <c r="G7818" i="1"/>
  <c r="K7818" i="1"/>
  <c r="A7819" i="1"/>
  <c r="B7819" i="1"/>
  <c r="G7819" i="1"/>
  <c r="K7819" i="1"/>
  <c r="A7820" i="1"/>
  <c r="B7820" i="1"/>
  <c r="G7820" i="1"/>
  <c r="K7820" i="1"/>
  <c r="A7821" i="1"/>
  <c r="B7821" i="1"/>
  <c r="G7821" i="1"/>
  <c r="K7821" i="1"/>
  <c r="A7822" i="1"/>
  <c r="B7822" i="1"/>
  <c r="G7822" i="1"/>
  <c r="K7822" i="1"/>
  <c r="A7823" i="1"/>
  <c r="B7823" i="1"/>
  <c r="G7823" i="1"/>
  <c r="K7823" i="1"/>
  <c r="A7824" i="1"/>
  <c r="B7824" i="1"/>
  <c r="G7824" i="1"/>
  <c r="K7824" i="1"/>
  <c r="A7825" i="1"/>
  <c r="B7825" i="1"/>
  <c r="G7825" i="1"/>
  <c r="K7825" i="1"/>
  <c r="A7826" i="1"/>
  <c r="B7826" i="1"/>
  <c r="G7826" i="1"/>
  <c r="K7826" i="1"/>
  <c r="A7827" i="1"/>
  <c r="B7827" i="1"/>
  <c r="G7827" i="1"/>
  <c r="K7827" i="1"/>
  <c r="A7828" i="1"/>
  <c r="B7828" i="1"/>
  <c r="G7828" i="1"/>
  <c r="K7828" i="1"/>
  <c r="A7829" i="1"/>
  <c r="B7829" i="1"/>
  <c r="G7829" i="1"/>
  <c r="K7829" i="1"/>
  <c r="A7830" i="1"/>
  <c r="B7830" i="1"/>
  <c r="G7830" i="1"/>
  <c r="K7830" i="1"/>
  <c r="A7831" i="1"/>
  <c r="B7831" i="1"/>
  <c r="G7831" i="1"/>
  <c r="K7831" i="1"/>
  <c r="A7832" i="1"/>
  <c r="B7832" i="1"/>
  <c r="G7832" i="1"/>
  <c r="K7832" i="1"/>
  <c r="A7833" i="1"/>
  <c r="B7833" i="1"/>
  <c r="G7833" i="1"/>
  <c r="K7833" i="1"/>
  <c r="A7834" i="1"/>
  <c r="B7834" i="1"/>
  <c r="G7834" i="1"/>
  <c r="K7834" i="1"/>
  <c r="A7835" i="1"/>
  <c r="B7835" i="1"/>
  <c r="G7835" i="1"/>
  <c r="K7835" i="1"/>
  <c r="A7836" i="1"/>
  <c r="B7836" i="1"/>
  <c r="G7836" i="1"/>
  <c r="K7836" i="1"/>
  <c r="A7837" i="1"/>
  <c r="B7837" i="1"/>
  <c r="G7837" i="1"/>
  <c r="K7837" i="1"/>
  <c r="A7838" i="1"/>
  <c r="B7838" i="1"/>
  <c r="G7838" i="1"/>
  <c r="K7838" i="1"/>
  <c r="A7839" i="1"/>
  <c r="B7839" i="1"/>
  <c r="G7839" i="1"/>
  <c r="K7839" i="1"/>
  <c r="A7840" i="1"/>
  <c r="B7840" i="1"/>
  <c r="G7840" i="1"/>
  <c r="K7840" i="1"/>
  <c r="A7841" i="1"/>
  <c r="B7841" i="1"/>
  <c r="G7841" i="1"/>
  <c r="K7841" i="1"/>
  <c r="A7842" i="1"/>
  <c r="B7842" i="1"/>
  <c r="G7842" i="1"/>
  <c r="K7842" i="1"/>
  <c r="A7843" i="1"/>
  <c r="B7843" i="1"/>
  <c r="G7843" i="1"/>
  <c r="K7843" i="1"/>
  <c r="A7844" i="1"/>
  <c r="B7844" i="1"/>
  <c r="G7844" i="1"/>
  <c r="K7844" i="1"/>
  <c r="A7845" i="1"/>
  <c r="B7845" i="1"/>
  <c r="G7845" i="1"/>
  <c r="K7845" i="1"/>
  <c r="A7846" i="1"/>
  <c r="B7846" i="1"/>
  <c r="G7846" i="1"/>
  <c r="K7846" i="1"/>
  <c r="A7847" i="1"/>
  <c r="B7847" i="1"/>
  <c r="G7847" i="1"/>
  <c r="K7847" i="1"/>
  <c r="A7848" i="1"/>
  <c r="B7848" i="1"/>
  <c r="G7848" i="1"/>
  <c r="K7848" i="1"/>
  <c r="A7849" i="1"/>
  <c r="B7849" i="1"/>
  <c r="G7849" i="1"/>
  <c r="K7849" i="1"/>
  <c r="A7850" i="1"/>
  <c r="B7850" i="1"/>
  <c r="G7850" i="1"/>
  <c r="K7850" i="1"/>
  <c r="A7851" i="1"/>
  <c r="B7851" i="1"/>
  <c r="G7851" i="1"/>
  <c r="K7851" i="1"/>
  <c r="A7852" i="1"/>
  <c r="B7852" i="1"/>
  <c r="G7852" i="1"/>
  <c r="K7852" i="1"/>
  <c r="A7853" i="1"/>
  <c r="B7853" i="1"/>
  <c r="G7853" i="1"/>
  <c r="K7853" i="1"/>
  <c r="A7854" i="1"/>
  <c r="B7854" i="1"/>
  <c r="G7854" i="1"/>
  <c r="K7854" i="1"/>
  <c r="A7855" i="1"/>
  <c r="B7855" i="1"/>
  <c r="G7855" i="1"/>
  <c r="K7855" i="1"/>
  <c r="A7856" i="1"/>
  <c r="B7856" i="1"/>
  <c r="G7856" i="1"/>
  <c r="K7856" i="1"/>
  <c r="A7857" i="1"/>
  <c r="B7857" i="1"/>
  <c r="G7857" i="1"/>
  <c r="K7857" i="1"/>
  <c r="A7858" i="1"/>
  <c r="B7858" i="1"/>
  <c r="G7858" i="1"/>
  <c r="K7858" i="1"/>
  <c r="A7859" i="1"/>
  <c r="B7859" i="1"/>
  <c r="G7859" i="1"/>
  <c r="K7859" i="1"/>
  <c r="A7860" i="1"/>
  <c r="B7860" i="1"/>
  <c r="G7860" i="1"/>
  <c r="K7860" i="1"/>
  <c r="A7861" i="1"/>
  <c r="B7861" i="1"/>
  <c r="G7861" i="1"/>
  <c r="K7861" i="1"/>
  <c r="A7862" i="1"/>
  <c r="B7862" i="1"/>
  <c r="G7862" i="1"/>
  <c r="K7862" i="1"/>
  <c r="A7863" i="1"/>
  <c r="B7863" i="1"/>
  <c r="G7863" i="1"/>
  <c r="K7863" i="1"/>
  <c r="A7864" i="1"/>
  <c r="B7864" i="1"/>
  <c r="G7864" i="1"/>
  <c r="K7864" i="1"/>
  <c r="A7865" i="1"/>
  <c r="B7865" i="1"/>
  <c r="G7865" i="1"/>
  <c r="K7865" i="1"/>
  <c r="A7866" i="1"/>
  <c r="B7866" i="1"/>
  <c r="G7866" i="1"/>
  <c r="K7866" i="1"/>
  <c r="A7867" i="1"/>
  <c r="B7867" i="1"/>
  <c r="G7867" i="1"/>
  <c r="K7867" i="1"/>
  <c r="A7868" i="1"/>
  <c r="B7868" i="1"/>
  <c r="G7868" i="1"/>
  <c r="K7868" i="1"/>
  <c r="A7869" i="1"/>
  <c r="B7869" i="1"/>
  <c r="G7869" i="1"/>
  <c r="K7869" i="1"/>
  <c r="A7870" i="1"/>
  <c r="B7870" i="1"/>
  <c r="G7870" i="1"/>
  <c r="K7870" i="1"/>
  <c r="A7871" i="1"/>
  <c r="B7871" i="1"/>
  <c r="G7871" i="1"/>
  <c r="K7871" i="1"/>
  <c r="A7872" i="1"/>
  <c r="B7872" i="1"/>
  <c r="G7872" i="1"/>
  <c r="K7872" i="1"/>
  <c r="A7873" i="1"/>
  <c r="B7873" i="1"/>
  <c r="G7873" i="1"/>
  <c r="K7873" i="1"/>
  <c r="A7874" i="1"/>
  <c r="B7874" i="1"/>
  <c r="G7874" i="1"/>
  <c r="K7874" i="1"/>
  <c r="A7875" i="1"/>
  <c r="B7875" i="1"/>
  <c r="G7875" i="1"/>
  <c r="K7875" i="1"/>
  <c r="A7876" i="1"/>
  <c r="B7876" i="1"/>
  <c r="G7876" i="1"/>
  <c r="K7876" i="1"/>
  <c r="A7877" i="1"/>
  <c r="B7877" i="1"/>
  <c r="G7877" i="1"/>
  <c r="K7877" i="1"/>
  <c r="A7878" i="1"/>
  <c r="B7878" i="1"/>
  <c r="G7878" i="1"/>
  <c r="K7878" i="1"/>
  <c r="A7879" i="1"/>
  <c r="B7879" i="1"/>
  <c r="G7879" i="1"/>
  <c r="K7879" i="1"/>
  <c r="A7880" i="1"/>
  <c r="B7880" i="1"/>
  <c r="G7880" i="1"/>
  <c r="K7880" i="1"/>
  <c r="A7881" i="1"/>
  <c r="B7881" i="1"/>
  <c r="G7881" i="1"/>
  <c r="K7881" i="1"/>
  <c r="A7882" i="1"/>
  <c r="B7882" i="1"/>
  <c r="G7882" i="1"/>
  <c r="K7882" i="1"/>
  <c r="A7883" i="1"/>
  <c r="B7883" i="1"/>
  <c r="G7883" i="1"/>
  <c r="K7883" i="1"/>
  <c r="A7884" i="1"/>
  <c r="B7884" i="1"/>
  <c r="G7884" i="1"/>
  <c r="K7884" i="1"/>
  <c r="A7885" i="1"/>
  <c r="B7885" i="1"/>
  <c r="G7885" i="1"/>
  <c r="K7885" i="1"/>
  <c r="A7886" i="1"/>
  <c r="B7886" i="1"/>
  <c r="G7886" i="1"/>
  <c r="K7886" i="1"/>
  <c r="A7887" i="1"/>
  <c r="B7887" i="1"/>
  <c r="G7887" i="1"/>
  <c r="K7887" i="1"/>
  <c r="A7888" i="1"/>
  <c r="B7888" i="1"/>
  <c r="G7888" i="1"/>
  <c r="K7888" i="1"/>
  <c r="A7889" i="1"/>
  <c r="B7889" i="1"/>
  <c r="G7889" i="1"/>
  <c r="K7889" i="1"/>
  <c r="A7890" i="1"/>
  <c r="B7890" i="1"/>
  <c r="G7890" i="1"/>
  <c r="K7890" i="1"/>
  <c r="A7891" i="1"/>
  <c r="B7891" i="1"/>
  <c r="G7891" i="1"/>
  <c r="K7891" i="1"/>
  <c r="A7892" i="1"/>
  <c r="B7892" i="1"/>
  <c r="G7892" i="1"/>
  <c r="K7892" i="1"/>
  <c r="A7893" i="1"/>
  <c r="B7893" i="1"/>
  <c r="G7893" i="1"/>
  <c r="K7893" i="1"/>
  <c r="A7894" i="1"/>
  <c r="B7894" i="1"/>
  <c r="G7894" i="1"/>
  <c r="K7894" i="1"/>
  <c r="A7895" i="1"/>
  <c r="B7895" i="1"/>
  <c r="G7895" i="1"/>
  <c r="K7895" i="1"/>
  <c r="A7896" i="1"/>
  <c r="B7896" i="1"/>
  <c r="G7896" i="1"/>
  <c r="K7896" i="1"/>
  <c r="A7897" i="1"/>
  <c r="B7897" i="1"/>
  <c r="G7897" i="1"/>
  <c r="K7897" i="1"/>
  <c r="A7898" i="1"/>
  <c r="B7898" i="1"/>
  <c r="G7898" i="1"/>
  <c r="K7898" i="1"/>
  <c r="A7899" i="1"/>
  <c r="B7899" i="1"/>
  <c r="G7899" i="1"/>
  <c r="K7899" i="1"/>
  <c r="A7900" i="1"/>
  <c r="B7900" i="1"/>
  <c r="G7900" i="1"/>
  <c r="K7900" i="1"/>
  <c r="A7901" i="1"/>
  <c r="B7901" i="1"/>
  <c r="G7901" i="1"/>
  <c r="K7901" i="1"/>
  <c r="A7902" i="1"/>
  <c r="B7902" i="1"/>
  <c r="G7902" i="1"/>
  <c r="K7902" i="1"/>
  <c r="A7903" i="1"/>
  <c r="B7903" i="1"/>
  <c r="G7903" i="1"/>
  <c r="K7903" i="1"/>
  <c r="A7904" i="1"/>
  <c r="B7904" i="1"/>
  <c r="G7904" i="1"/>
  <c r="K7904" i="1"/>
  <c r="A7905" i="1"/>
  <c r="B7905" i="1"/>
  <c r="G7905" i="1"/>
  <c r="K7905" i="1"/>
  <c r="A7906" i="1"/>
  <c r="B7906" i="1"/>
  <c r="G7906" i="1"/>
  <c r="K7906" i="1"/>
  <c r="A7907" i="1"/>
  <c r="B7907" i="1"/>
  <c r="G7907" i="1"/>
  <c r="K7907" i="1"/>
  <c r="A7908" i="1"/>
  <c r="B7908" i="1"/>
  <c r="G7908" i="1"/>
  <c r="K7908" i="1"/>
  <c r="A7909" i="1"/>
  <c r="B7909" i="1"/>
  <c r="G7909" i="1"/>
  <c r="K7909" i="1"/>
  <c r="A7910" i="1"/>
  <c r="B7910" i="1"/>
  <c r="G7910" i="1"/>
  <c r="K7910" i="1"/>
  <c r="A7911" i="1"/>
  <c r="B7911" i="1"/>
  <c r="G7911" i="1"/>
  <c r="K7911" i="1"/>
  <c r="A7912" i="1"/>
  <c r="B7912" i="1"/>
  <c r="G7912" i="1"/>
  <c r="K7912" i="1"/>
  <c r="A7913" i="1"/>
  <c r="B7913" i="1"/>
  <c r="G7913" i="1"/>
  <c r="K7913" i="1"/>
  <c r="A7914" i="1"/>
  <c r="B7914" i="1"/>
  <c r="G7914" i="1"/>
  <c r="K7914" i="1"/>
  <c r="A7915" i="1"/>
  <c r="B7915" i="1"/>
  <c r="G7915" i="1"/>
  <c r="K7915" i="1"/>
  <c r="A7916" i="1"/>
  <c r="B7916" i="1"/>
  <c r="G7916" i="1"/>
  <c r="K7916" i="1"/>
  <c r="A7917" i="1"/>
  <c r="B7917" i="1"/>
  <c r="G7917" i="1"/>
  <c r="K7917" i="1"/>
  <c r="A7918" i="1"/>
  <c r="B7918" i="1"/>
  <c r="G7918" i="1"/>
  <c r="K7918" i="1"/>
  <c r="A7919" i="1"/>
  <c r="B7919" i="1"/>
  <c r="G7919" i="1"/>
  <c r="K7919" i="1"/>
  <c r="A7920" i="1"/>
  <c r="B7920" i="1"/>
  <c r="G7920" i="1"/>
  <c r="K7920" i="1"/>
  <c r="A7921" i="1"/>
  <c r="B7921" i="1"/>
  <c r="G7921" i="1"/>
  <c r="K7921" i="1"/>
  <c r="A7922" i="1"/>
  <c r="B7922" i="1"/>
  <c r="G7922" i="1"/>
  <c r="K7922" i="1"/>
  <c r="A7923" i="1"/>
  <c r="B7923" i="1"/>
  <c r="G7923" i="1"/>
  <c r="K7923" i="1"/>
  <c r="A7924" i="1"/>
  <c r="B7924" i="1"/>
  <c r="G7924" i="1"/>
  <c r="K7924" i="1"/>
  <c r="A7925" i="1"/>
  <c r="B7925" i="1"/>
  <c r="G7925" i="1"/>
  <c r="K7925" i="1"/>
  <c r="A7926" i="1"/>
  <c r="B7926" i="1"/>
  <c r="G7926" i="1"/>
  <c r="K7926" i="1"/>
  <c r="A7927" i="1"/>
  <c r="B7927" i="1"/>
  <c r="G7927" i="1"/>
  <c r="K7927" i="1"/>
  <c r="A7928" i="1"/>
  <c r="B7928" i="1"/>
  <c r="G7928" i="1"/>
  <c r="K7928" i="1"/>
  <c r="A7929" i="1"/>
  <c r="B7929" i="1"/>
  <c r="G7929" i="1"/>
  <c r="K7929" i="1"/>
  <c r="A7930" i="1"/>
  <c r="B7930" i="1"/>
  <c r="G7930" i="1"/>
  <c r="K7930" i="1"/>
  <c r="A7931" i="1"/>
  <c r="B7931" i="1"/>
  <c r="G7931" i="1"/>
  <c r="K7931" i="1"/>
  <c r="A7932" i="1"/>
  <c r="B7932" i="1"/>
  <c r="G7932" i="1"/>
  <c r="K7932" i="1"/>
  <c r="A7933" i="1"/>
  <c r="B7933" i="1"/>
  <c r="G7933" i="1"/>
  <c r="K7933" i="1"/>
  <c r="A7934" i="1"/>
  <c r="B7934" i="1"/>
  <c r="G7934" i="1"/>
  <c r="K7934" i="1"/>
  <c r="A7935" i="1"/>
  <c r="B7935" i="1"/>
  <c r="G7935" i="1"/>
  <c r="K7935" i="1"/>
  <c r="A7936" i="1"/>
  <c r="B7936" i="1"/>
  <c r="G7936" i="1"/>
  <c r="K7936" i="1"/>
  <c r="A7937" i="1"/>
  <c r="B7937" i="1"/>
  <c r="G7937" i="1"/>
  <c r="K7937" i="1"/>
  <c r="A7938" i="1"/>
  <c r="B7938" i="1"/>
  <c r="G7938" i="1"/>
  <c r="K7938" i="1"/>
  <c r="A7939" i="1"/>
  <c r="B7939" i="1"/>
  <c r="G7939" i="1"/>
  <c r="K7939" i="1"/>
  <c r="A7940" i="1"/>
  <c r="B7940" i="1"/>
  <c r="G7940" i="1"/>
  <c r="K7940" i="1"/>
  <c r="A7941" i="1"/>
  <c r="B7941" i="1"/>
  <c r="G7941" i="1"/>
  <c r="K7941" i="1"/>
  <c r="A7942" i="1"/>
  <c r="B7942" i="1"/>
  <c r="G7942" i="1"/>
  <c r="K7942" i="1"/>
  <c r="A7943" i="1"/>
  <c r="B7943" i="1"/>
  <c r="G7943" i="1"/>
  <c r="K7943" i="1"/>
  <c r="A7944" i="1"/>
  <c r="B7944" i="1"/>
  <c r="G7944" i="1"/>
  <c r="K7944" i="1"/>
  <c r="A7945" i="1"/>
  <c r="B7945" i="1"/>
  <c r="G7945" i="1"/>
  <c r="K7945" i="1"/>
  <c r="A7946" i="1"/>
  <c r="B7946" i="1"/>
  <c r="G7946" i="1"/>
  <c r="K7946" i="1"/>
  <c r="A7947" i="1"/>
  <c r="B7947" i="1"/>
  <c r="G7947" i="1"/>
  <c r="K7947" i="1"/>
  <c r="A7948" i="1"/>
  <c r="B7948" i="1"/>
  <c r="G7948" i="1"/>
  <c r="K7948" i="1"/>
  <c r="A7949" i="1"/>
  <c r="B7949" i="1"/>
  <c r="G7949" i="1"/>
  <c r="K7949" i="1"/>
  <c r="A7950" i="1"/>
  <c r="B7950" i="1"/>
  <c r="G7950" i="1"/>
  <c r="K7950" i="1"/>
  <c r="A7951" i="1"/>
  <c r="B7951" i="1"/>
  <c r="G7951" i="1"/>
  <c r="K7951" i="1"/>
  <c r="A7952" i="1"/>
  <c r="B7952" i="1"/>
  <c r="G7952" i="1"/>
  <c r="K7952" i="1"/>
  <c r="A7953" i="1"/>
  <c r="B7953" i="1"/>
  <c r="G7953" i="1"/>
  <c r="K7953" i="1"/>
  <c r="A7954" i="1"/>
  <c r="B7954" i="1"/>
  <c r="G7954" i="1"/>
  <c r="K7954" i="1"/>
  <c r="A7955" i="1"/>
  <c r="B7955" i="1"/>
  <c r="G7955" i="1"/>
  <c r="K7955" i="1"/>
  <c r="A7956" i="1"/>
  <c r="B7956" i="1"/>
  <c r="G7956" i="1"/>
  <c r="K7956" i="1"/>
  <c r="A7957" i="1"/>
  <c r="B7957" i="1"/>
  <c r="G7957" i="1"/>
  <c r="K7957" i="1"/>
  <c r="A7958" i="1"/>
  <c r="B7958" i="1"/>
  <c r="G7958" i="1"/>
  <c r="K7958" i="1"/>
  <c r="A7959" i="1"/>
  <c r="B7959" i="1"/>
  <c r="G7959" i="1"/>
  <c r="K7959" i="1"/>
  <c r="A7960" i="1"/>
  <c r="B7960" i="1"/>
  <c r="G7960" i="1"/>
  <c r="K7960" i="1"/>
  <c r="A7961" i="1"/>
  <c r="B7961" i="1"/>
  <c r="G7961" i="1"/>
  <c r="K7961" i="1"/>
  <c r="A7962" i="1"/>
  <c r="B7962" i="1"/>
  <c r="G7962" i="1"/>
  <c r="K7962" i="1"/>
  <c r="A7963" i="1"/>
  <c r="B7963" i="1"/>
  <c r="G7963" i="1"/>
  <c r="K7963" i="1"/>
  <c r="A7964" i="1"/>
  <c r="B7964" i="1"/>
  <c r="G7964" i="1"/>
  <c r="K7964" i="1"/>
  <c r="A7965" i="1"/>
  <c r="B7965" i="1"/>
  <c r="G7965" i="1"/>
  <c r="K7965" i="1"/>
  <c r="A7966" i="1"/>
  <c r="B7966" i="1"/>
  <c r="G7966" i="1"/>
  <c r="K7966" i="1"/>
  <c r="A7967" i="1"/>
  <c r="B7967" i="1"/>
  <c r="G7967" i="1"/>
  <c r="K7967" i="1"/>
  <c r="A7968" i="1"/>
  <c r="B7968" i="1"/>
  <c r="G7968" i="1"/>
  <c r="K7968" i="1"/>
  <c r="A7969" i="1"/>
  <c r="B7969" i="1"/>
  <c r="G7969" i="1"/>
  <c r="K7969" i="1"/>
  <c r="A7970" i="1"/>
  <c r="B7970" i="1"/>
  <c r="G7970" i="1"/>
  <c r="K7970" i="1"/>
  <c r="A7971" i="1"/>
  <c r="B7971" i="1"/>
  <c r="G7971" i="1"/>
  <c r="K7971" i="1"/>
  <c r="A7972" i="1"/>
  <c r="B7972" i="1"/>
  <c r="G7972" i="1"/>
  <c r="K7972" i="1"/>
  <c r="A7973" i="1"/>
  <c r="B7973" i="1"/>
  <c r="G7973" i="1"/>
  <c r="K7973" i="1"/>
  <c r="A7974" i="1"/>
  <c r="B7974" i="1"/>
  <c r="G7974" i="1"/>
  <c r="K7974" i="1"/>
  <c r="A7975" i="1"/>
  <c r="B7975" i="1"/>
  <c r="G7975" i="1"/>
  <c r="K7975" i="1"/>
  <c r="A7976" i="1"/>
  <c r="B7976" i="1"/>
  <c r="G7976" i="1"/>
  <c r="K7976" i="1"/>
  <c r="A7977" i="1"/>
  <c r="B7977" i="1"/>
  <c r="G7977" i="1"/>
  <c r="K7977" i="1"/>
  <c r="A7978" i="1"/>
  <c r="B7978" i="1"/>
  <c r="G7978" i="1"/>
  <c r="K7978" i="1"/>
  <c r="A7979" i="1"/>
  <c r="B7979" i="1"/>
  <c r="G7979" i="1"/>
  <c r="K7979" i="1"/>
  <c r="A7980" i="1"/>
  <c r="B7980" i="1"/>
  <c r="G7980" i="1"/>
  <c r="K7980" i="1"/>
  <c r="A7981" i="1"/>
  <c r="B7981" i="1"/>
  <c r="G7981" i="1"/>
  <c r="K7981" i="1"/>
  <c r="A7982" i="1"/>
  <c r="B7982" i="1"/>
  <c r="G7982" i="1"/>
  <c r="K7982" i="1"/>
  <c r="A7983" i="1"/>
  <c r="B7983" i="1"/>
  <c r="G7983" i="1"/>
  <c r="K7983" i="1"/>
  <c r="A7984" i="1"/>
  <c r="B7984" i="1"/>
  <c r="G7984" i="1"/>
  <c r="K7984" i="1"/>
  <c r="A7985" i="1"/>
  <c r="B7985" i="1"/>
  <c r="G7985" i="1"/>
  <c r="K7985" i="1"/>
  <c r="A7986" i="1"/>
  <c r="B7986" i="1"/>
  <c r="G7986" i="1"/>
  <c r="K7986" i="1"/>
  <c r="A7987" i="1"/>
  <c r="B7987" i="1"/>
  <c r="G7987" i="1"/>
  <c r="K7987" i="1"/>
  <c r="A7988" i="1"/>
  <c r="B7988" i="1"/>
  <c r="G7988" i="1"/>
  <c r="K7988" i="1"/>
  <c r="A7989" i="1"/>
  <c r="B7989" i="1"/>
  <c r="G7989" i="1"/>
  <c r="K7989" i="1"/>
  <c r="A7990" i="1"/>
  <c r="B7990" i="1"/>
  <c r="G7990" i="1"/>
  <c r="K7990" i="1"/>
  <c r="A7991" i="1"/>
  <c r="B7991" i="1"/>
  <c r="G7991" i="1"/>
  <c r="K7991" i="1"/>
  <c r="A7992" i="1"/>
  <c r="B7992" i="1"/>
  <c r="G7992" i="1"/>
  <c r="K7992" i="1"/>
  <c r="A7993" i="1"/>
  <c r="B7993" i="1"/>
  <c r="G7993" i="1"/>
  <c r="K7993" i="1"/>
  <c r="A7994" i="1"/>
  <c r="B7994" i="1"/>
  <c r="G7994" i="1"/>
  <c r="K7994" i="1"/>
  <c r="A7995" i="1"/>
  <c r="B7995" i="1"/>
  <c r="G7995" i="1"/>
  <c r="K7995" i="1"/>
  <c r="A7996" i="1"/>
  <c r="B7996" i="1"/>
  <c r="G7996" i="1"/>
  <c r="K7996" i="1"/>
  <c r="A7997" i="1"/>
  <c r="B7997" i="1"/>
  <c r="G7997" i="1"/>
  <c r="K7997" i="1"/>
  <c r="A7998" i="1"/>
  <c r="B7998" i="1"/>
  <c r="G7998" i="1"/>
  <c r="K7998" i="1"/>
  <c r="A7999" i="1"/>
  <c r="B7999" i="1"/>
  <c r="G7999" i="1"/>
  <c r="K7999" i="1"/>
  <c r="A8000" i="1"/>
  <c r="B8000" i="1"/>
  <c r="G8000" i="1"/>
  <c r="K8000" i="1"/>
  <c r="A8001" i="1"/>
  <c r="B8001" i="1"/>
  <c r="G8001" i="1"/>
  <c r="K8001" i="1"/>
  <c r="A8002" i="1"/>
  <c r="B8002" i="1"/>
  <c r="G8002" i="1"/>
  <c r="K8002" i="1"/>
  <c r="A8003" i="1"/>
  <c r="B8003" i="1"/>
  <c r="G8003" i="1"/>
  <c r="K8003" i="1"/>
  <c r="A8004" i="1"/>
  <c r="B8004" i="1"/>
  <c r="G8004" i="1"/>
  <c r="K8004" i="1"/>
  <c r="A8005" i="1"/>
  <c r="B8005" i="1"/>
  <c r="G8005" i="1"/>
  <c r="K8005" i="1"/>
  <c r="A8006" i="1"/>
  <c r="B8006" i="1"/>
  <c r="G8006" i="1"/>
  <c r="K8006" i="1"/>
  <c r="A8007" i="1"/>
  <c r="B8007" i="1"/>
  <c r="G8007" i="1"/>
  <c r="K8007" i="1"/>
  <c r="A8008" i="1"/>
  <c r="B8008" i="1"/>
  <c r="G8008" i="1"/>
  <c r="K8008" i="1"/>
  <c r="A8009" i="1"/>
  <c r="B8009" i="1"/>
  <c r="G8009" i="1"/>
  <c r="K8009" i="1"/>
  <c r="A8010" i="1"/>
  <c r="B8010" i="1"/>
  <c r="G8010" i="1"/>
  <c r="K8010" i="1"/>
  <c r="A8011" i="1"/>
  <c r="B8011" i="1"/>
  <c r="G8011" i="1"/>
  <c r="K8011" i="1"/>
  <c r="A8012" i="1"/>
  <c r="B8012" i="1"/>
  <c r="G8012" i="1"/>
  <c r="K8012" i="1"/>
  <c r="A8013" i="1"/>
  <c r="B8013" i="1"/>
  <c r="G8013" i="1"/>
  <c r="K8013" i="1"/>
  <c r="A8014" i="1"/>
  <c r="B8014" i="1"/>
  <c r="G8014" i="1"/>
  <c r="K8014" i="1"/>
  <c r="A8015" i="1"/>
  <c r="B8015" i="1"/>
  <c r="G8015" i="1"/>
  <c r="K8015" i="1"/>
  <c r="A8016" i="1"/>
  <c r="B8016" i="1"/>
  <c r="G8016" i="1"/>
  <c r="K8016" i="1"/>
  <c r="A8017" i="1"/>
  <c r="B8017" i="1"/>
  <c r="G8017" i="1"/>
  <c r="K8017" i="1"/>
  <c r="A8018" i="1"/>
  <c r="B8018" i="1"/>
  <c r="G8018" i="1"/>
  <c r="K8018" i="1"/>
  <c r="A8019" i="1"/>
  <c r="B8019" i="1"/>
  <c r="G8019" i="1"/>
  <c r="K8019" i="1"/>
  <c r="A8020" i="1"/>
  <c r="B8020" i="1"/>
  <c r="G8020" i="1"/>
  <c r="K8020" i="1"/>
  <c r="A8021" i="1"/>
  <c r="B8021" i="1"/>
  <c r="G8021" i="1"/>
  <c r="K8021" i="1"/>
  <c r="A8022" i="1"/>
  <c r="B8022" i="1"/>
  <c r="G8022" i="1"/>
  <c r="K8022" i="1"/>
  <c r="A8023" i="1"/>
  <c r="B8023" i="1"/>
  <c r="G8023" i="1"/>
  <c r="K8023" i="1"/>
  <c r="A8024" i="1"/>
  <c r="B8024" i="1"/>
  <c r="G8024" i="1"/>
  <c r="K8024" i="1"/>
  <c r="A8025" i="1"/>
  <c r="B8025" i="1"/>
  <c r="G8025" i="1"/>
  <c r="K8025" i="1"/>
  <c r="A8026" i="1"/>
  <c r="B8026" i="1"/>
  <c r="G8026" i="1"/>
  <c r="K8026" i="1"/>
  <c r="A8027" i="1"/>
  <c r="B8027" i="1"/>
  <c r="G8027" i="1"/>
  <c r="K8027" i="1"/>
  <c r="A8028" i="1"/>
  <c r="B8028" i="1"/>
  <c r="G8028" i="1"/>
  <c r="K8028" i="1"/>
  <c r="A8029" i="1"/>
  <c r="B8029" i="1"/>
  <c r="G8029" i="1"/>
  <c r="K8029" i="1"/>
  <c r="A8030" i="1"/>
  <c r="B8030" i="1"/>
  <c r="G8030" i="1"/>
  <c r="K8030" i="1"/>
  <c r="A8031" i="1"/>
  <c r="B8031" i="1"/>
  <c r="G8031" i="1"/>
  <c r="K8031" i="1"/>
  <c r="A8032" i="1"/>
  <c r="B8032" i="1"/>
  <c r="G8032" i="1"/>
  <c r="K8032" i="1"/>
  <c r="A8033" i="1"/>
  <c r="B8033" i="1"/>
  <c r="G8033" i="1"/>
  <c r="K8033" i="1"/>
  <c r="A8034" i="1"/>
  <c r="B8034" i="1"/>
  <c r="G8034" i="1"/>
  <c r="K8034" i="1"/>
  <c r="A8035" i="1"/>
  <c r="B8035" i="1"/>
  <c r="G8035" i="1"/>
  <c r="K8035" i="1"/>
  <c r="A8036" i="1"/>
  <c r="B8036" i="1"/>
  <c r="G8036" i="1"/>
  <c r="K8036" i="1"/>
  <c r="A8037" i="1"/>
  <c r="B8037" i="1"/>
  <c r="G8037" i="1"/>
  <c r="K8037" i="1"/>
  <c r="A8038" i="1"/>
  <c r="B8038" i="1"/>
  <c r="G8038" i="1"/>
  <c r="K8038" i="1"/>
  <c r="A8039" i="1"/>
  <c r="B8039" i="1"/>
  <c r="G8039" i="1"/>
  <c r="K8039" i="1"/>
  <c r="A8040" i="1"/>
  <c r="B8040" i="1"/>
  <c r="G8040" i="1"/>
  <c r="K8040" i="1"/>
  <c r="A8041" i="1"/>
  <c r="B8041" i="1"/>
  <c r="G8041" i="1"/>
  <c r="K8041" i="1"/>
  <c r="A8042" i="1"/>
  <c r="B8042" i="1"/>
  <c r="G8042" i="1"/>
  <c r="K8042" i="1"/>
  <c r="A8043" i="1"/>
  <c r="B8043" i="1"/>
  <c r="G8043" i="1"/>
  <c r="K8043" i="1"/>
  <c r="A8044" i="1"/>
  <c r="B8044" i="1"/>
  <c r="G8044" i="1"/>
  <c r="K8044" i="1"/>
  <c r="A8045" i="1"/>
  <c r="B8045" i="1"/>
  <c r="G8045" i="1"/>
  <c r="K8045" i="1"/>
  <c r="A8046" i="1"/>
  <c r="B8046" i="1"/>
  <c r="G8046" i="1"/>
  <c r="K8046" i="1"/>
  <c r="A8047" i="1"/>
  <c r="B8047" i="1"/>
  <c r="G8047" i="1"/>
  <c r="K8047" i="1"/>
  <c r="A8048" i="1"/>
  <c r="B8048" i="1"/>
  <c r="G8048" i="1"/>
  <c r="K8048" i="1"/>
  <c r="A8049" i="1"/>
  <c r="B8049" i="1"/>
  <c r="G8049" i="1"/>
  <c r="K8049" i="1"/>
  <c r="A8050" i="1"/>
  <c r="B8050" i="1"/>
  <c r="G8050" i="1"/>
  <c r="K8050" i="1"/>
  <c r="A8051" i="1"/>
  <c r="B8051" i="1"/>
  <c r="G8051" i="1"/>
  <c r="K8051" i="1"/>
  <c r="A8052" i="1"/>
  <c r="B8052" i="1"/>
  <c r="G8052" i="1"/>
  <c r="K8052" i="1"/>
  <c r="A8053" i="1"/>
  <c r="B8053" i="1"/>
  <c r="G8053" i="1"/>
  <c r="K8053" i="1"/>
  <c r="A8054" i="1"/>
  <c r="B8054" i="1"/>
  <c r="G8054" i="1"/>
  <c r="K8054" i="1"/>
  <c r="A8055" i="1"/>
  <c r="B8055" i="1"/>
  <c r="G8055" i="1"/>
  <c r="K8055" i="1"/>
  <c r="A8056" i="1"/>
  <c r="B8056" i="1"/>
  <c r="G8056" i="1"/>
  <c r="K8056" i="1"/>
  <c r="A8057" i="1"/>
  <c r="B8057" i="1"/>
  <c r="G8057" i="1"/>
  <c r="K8057" i="1"/>
  <c r="A8058" i="1"/>
  <c r="B8058" i="1"/>
  <c r="G8058" i="1"/>
  <c r="K8058" i="1"/>
  <c r="A8059" i="1"/>
  <c r="B8059" i="1"/>
  <c r="G8059" i="1"/>
  <c r="K8059" i="1"/>
  <c r="A8060" i="1"/>
  <c r="B8060" i="1"/>
  <c r="G8060" i="1"/>
  <c r="K8060" i="1"/>
  <c r="A8061" i="1"/>
  <c r="B8061" i="1"/>
  <c r="G8061" i="1"/>
  <c r="K8061" i="1"/>
  <c r="A8062" i="1"/>
  <c r="B8062" i="1"/>
  <c r="G8062" i="1"/>
  <c r="K8062" i="1"/>
  <c r="A8063" i="1"/>
  <c r="B8063" i="1"/>
  <c r="G8063" i="1"/>
  <c r="K8063" i="1"/>
  <c r="A8064" i="1"/>
  <c r="B8064" i="1"/>
  <c r="G8064" i="1"/>
  <c r="K8064" i="1"/>
  <c r="A8065" i="1"/>
  <c r="B8065" i="1"/>
  <c r="G8065" i="1"/>
  <c r="K8065" i="1"/>
  <c r="A8066" i="1"/>
  <c r="B8066" i="1"/>
  <c r="G8066" i="1"/>
  <c r="K8066" i="1"/>
  <c r="A8067" i="1"/>
  <c r="B8067" i="1"/>
  <c r="G8067" i="1"/>
  <c r="K8067" i="1"/>
  <c r="A8068" i="1"/>
  <c r="B8068" i="1"/>
  <c r="G8068" i="1"/>
  <c r="K8068" i="1"/>
  <c r="A8069" i="1"/>
  <c r="B8069" i="1"/>
  <c r="G8069" i="1"/>
  <c r="K8069" i="1"/>
  <c r="A8070" i="1"/>
  <c r="B8070" i="1"/>
  <c r="G8070" i="1"/>
  <c r="K8070" i="1"/>
  <c r="A8071" i="1"/>
  <c r="B8071" i="1"/>
  <c r="G8071" i="1"/>
  <c r="K8071" i="1"/>
  <c r="A8072" i="1"/>
  <c r="B8072" i="1"/>
  <c r="G8072" i="1"/>
  <c r="K8072" i="1"/>
  <c r="A8073" i="1"/>
  <c r="B8073" i="1"/>
  <c r="G8073" i="1"/>
  <c r="K8073" i="1"/>
  <c r="A8074" i="1"/>
  <c r="B8074" i="1"/>
  <c r="G8074" i="1"/>
  <c r="K8074" i="1"/>
  <c r="A8075" i="1"/>
  <c r="B8075" i="1"/>
  <c r="G8075" i="1"/>
  <c r="K8075" i="1"/>
  <c r="A8076" i="1"/>
  <c r="B8076" i="1"/>
  <c r="G8076" i="1"/>
  <c r="K8076" i="1"/>
  <c r="A8077" i="1"/>
  <c r="B8077" i="1"/>
  <c r="G8077" i="1"/>
  <c r="K8077" i="1"/>
  <c r="A8078" i="1"/>
  <c r="B8078" i="1"/>
  <c r="G8078" i="1"/>
  <c r="K8078" i="1"/>
  <c r="A8079" i="1"/>
  <c r="B8079" i="1"/>
  <c r="G8079" i="1"/>
  <c r="K8079" i="1"/>
  <c r="A8080" i="1"/>
  <c r="B8080" i="1"/>
  <c r="G8080" i="1"/>
  <c r="K8080" i="1"/>
  <c r="A8081" i="1"/>
  <c r="B8081" i="1"/>
  <c r="G8081" i="1"/>
  <c r="K8081" i="1"/>
  <c r="A8082" i="1"/>
  <c r="B8082" i="1"/>
  <c r="G8082" i="1"/>
  <c r="K8082" i="1"/>
  <c r="A8083" i="1"/>
  <c r="B8083" i="1"/>
  <c r="G8083" i="1"/>
  <c r="K8083" i="1"/>
  <c r="A8084" i="1"/>
  <c r="B8084" i="1"/>
  <c r="G8084" i="1"/>
  <c r="K8084" i="1"/>
  <c r="A8085" i="1"/>
  <c r="B8085" i="1"/>
  <c r="G8085" i="1"/>
  <c r="K8085" i="1"/>
  <c r="A8086" i="1"/>
  <c r="B8086" i="1"/>
  <c r="G8086" i="1"/>
  <c r="K8086" i="1"/>
  <c r="A8087" i="1"/>
  <c r="B8087" i="1"/>
  <c r="G8087" i="1"/>
  <c r="K8087" i="1"/>
  <c r="A8088" i="1"/>
  <c r="B8088" i="1"/>
  <c r="G8088" i="1"/>
  <c r="K8088" i="1"/>
  <c r="A8089" i="1"/>
  <c r="B8089" i="1"/>
  <c r="G8089" i="1"/>
  <c r="K8089" i="1"/>
  <c r="A8090" i="1"/>
  <c r="B8090" i="1"/>
  <c r="G8090" i="1"/>
  <c r="K8090" i="1"/>
  <c r="A8091" i="1"/>
  <c r="B8091" i="1"/>
  <c r="G8091" i="1"/>
  <c r="K8091" i="1"/>
  <c r="A8092" i="1"/>
  <c r="B8092" i="1"/>
  <c r="G8092" i="1"/>
  <c r="K8092" i="1"/>
  <c r="A8093" i="1"/>
  <c r="B8093" i="1"/>
  <c r="G8093" i="1"/>
  <c r="K8093" i="1"/>
  <c r="A8094" i="1"/>
  <c r="B8094" i="1"/>
  <c r="G8094" i="1"/>
  <c r="K8094" i="1"/>
  <c r="A8095" i="1"/>
  <c r="B8095" i="1"/>
  <c r="G8095" i="1"/>
  <c r="K8095" i="1"/>
  <c r="A8096" i="1"/>
  <c r="B8096" i="1"/>
  <c r="G8096" i="1"/>
  <c r="K8096" i="1"/>
  <c r="A8097" i="1"/>
  <c r="B8097" i="1"/>
  <c r="G8097" i="1"/>
  <c r="K8097" i="1"/>
  <c r="A8098" i="1"/>
  <c r="B8098" i="1"/>
  <c r="G8098" i="1"/>
  <c r="K8098" i="1"/>
  <c r="A8099" i="1"/>
  <c r="B8099" i="1"/>
  <c r="G8099" i="1"/>
  <c r="K8099" i="1"/>
  <c r="A8100" i="1"/>
  <c r="B8100" i="1"/>
  <c r="G8100" i="1"/>
  <c r="K8100" i="1"/>
  <c r="A8101" i="1"/>
  <c r="B8101" i="1"/>
  <c r="G8101" i="1"/>
  <c r="K8101" i="1"/>
  <c r="A8102" i="1"/>
  <c r="B8102" i="1"/>
  <c r="G8102" i="1"/>
  <c r="K8102" i="1"/>
  <c r="A8103" i="1"/>
  <c r="B8103" i="1"/>
  <c r="G8103" i="1"/>
  <c r="K8103" i="1"/>
  <c r="A8104" i="1"/>
  <c r="B8104" i="1"/>
  <c r="G8104" i="1"/>
  <c r="K8104" i="1"/>
  <c r="A8105" i="1"/>
  <c r="B8105" i="1"/>
  <c r="G8105" i="1"/>
  <c r="K8105" i="1"/>
  <c r="A8106" i="1"/>
  <c r="B8106" i="1"/>
  <c r="G8106" i="1"/>
  <c r="K8106" i="1"/>
  <c r="A8107" i="1"/>
  <c r="B8107" i="1"/>
  <c r="G8107" i="1"/>
  <c r="K8107" i="1"/>
  <c r="A8108" i="1"/>
  <c r="B8108" i="1"/>
  <c r="G8108" i="1"/>
  <c r="K8108" i="1"/>
  <c r="A8109" i="1"/>
  <c r="B8109" i="1"/>
  <c r="G8109" i="1"/>
  <c r="K8109" i="1"/>
  <c r="A8110" i="1"/>
  <c r="B8110" i="1"/>
  <c r="G8110" i="1"/>
  <c r="K8110" i="1"/>
  <c r="A8111" i="1"/>
  <c r="B8111" i="1"/>
  <c r="G8111" i="1"/>
  <c r="K8111" i="1"/>
  <c r="A8112" i="1"/>
  <c r="B8112" i="1"/>
  <c r="G8112" i="1"/>
  <c r="K8112" i="1"/>
  <c r="A8113" i="1"/>
  <c r="B8113" i="1"/>
  <c r="G8113" i="1"/>
  <c r="K8113" i="1"/>
  <c r="A8114" i="1"/>
  <c r="B8114" i="1"/>
  <c r="G8114" i="1"/>
  <c r="K8114" i="1"/>
  <c r="A8115" i="1"/>
  <c r="B8115" i="1"/>
  <c r="G8115" i="1"/>
  <c r="K8115" i="1"/>
  <c r="A8116" i="1"/>
  <c r="B8116" i="1"/>
  <c r="G8116" i="1"/>
  <c r="K8116" i="1"/>
  <c r="A8117" i="1"/>
  <c r="B8117" i="1"/>
  <c r="G8117" i="1"/>
  <c r="K8117" i="1"/>
  <c r="A8118" i="1"/>
  <c r="B8118" i="1"/>
  <c r="G8118" i="1"/>
  <c r="K8118" i="1"/>
  <c r="A8119" i="1"/>
  <c r="B8119" i="1"/>
  <c r="G8119" i="1"/>
  <c r="K8119" i="1"/>
  <c r="A8120" i="1"/>
  <c r="B8120" i="1"/>
  <c r="G8120" i="1"/>
  <c r="K8120" i="1"/>
  <c r="A8121" i="1"/>
  <c r="B8121" i="1"/>
  <c r="G8121" i="1"/>
  <c r="K8121" i="1"/>
  <c r="A8122" i="1"/>
  <c r="B8122" i="1"/>
  <c r="G8122" i="1"/>
  <c r="K8122" i="1"/>
  <c r="A8123" i="1"/>
  <c r="B8123" i="1"/>
  <c r="G8123" i="1"/>
  <c r="K8123" i="1"/>
  <c r="A8124" i="1"/>
  <c r="B8124" i="1"/>
  <c r="G8124" i="1"/>
  <c r="K8124" i="1"/>
  <c r="A8125" i="1"/>
  <c r="B8125" i="1"/>
  <c r="G8125" i="1"/>
  <c r="K8125" i="1"/>
  <c r="A8126" i="1"/>
  <c r="B8126" i="1"/>
  <c r="G8126" i="1"/>
  <c r="K8126" i="1"/>
  <c r="A8127" i="1"/>
  <c r="B8127" i="1"/>
  <c r="G8127" i="1"/>
  <c r="K8127" i="1"/>
  <c r="A8128" i="1"/>
  <c r="B8128" i="1"/>
  <c r="G8128" i="1"/>
  <c r="K8128" i="1"/>
  <c r="A8129" i="1"/>
  <c r="B8129" i="1"/>
  <c r="G8129" i="1"/>
  <c r="K8129" i="1"/>
  <c r="A8130" i="1"/>
  <c r="B8130" i="1"/>
  <c r="G8130" i="1"/>
  <c r="K8130" i="1"/>
  <c r="A8131" i="1"/>
  <c r="B8131" i="1"/>
  <c r="G8131" i="1"/>
  <c r="K8131" i="1"/>
  <c r="A8132" i="1"/>
  <c r="B8132" i="1"/>
  <c r="G8132" i="1"/>
  <c r="K8132" i="1"/>
  <c r="A8133" i="1"/>
  <c r="B8133" i="1"/>
  <c r="G8133" i="1"/>
  <c r="K8133" i="1"/>
  <c r="A8134" i="1"/>
  <c r="B8134" i="1"/>
  <c r="G8134" i="1"/>
  <c r="K8134" i="1"/>
  <c r="A8135" i="1"/>
  <c r="B8135" i="1"/>
  <c r="G8135" i="1"/>
  <c r="K8135" i="1"/>
  <c r="A8136" i="1"/>
  <c r="B8136" i="1"/>
  <c r="G8136" i="1"/>
  <c r="K8136" i="1"/>
  <c r="A8137" i="1"/>
  <c r="B8137" i="1"/>
  <c r="G8137" i="1"/>
  <c r="K8137" i="1"/>
  <c r="A8138" i="1"/>
  <c r="B8138" i="1"/>
  <c r="G8138" i="1"/>
  <c r="K8138" i="1"/>
  <c r="A8139" i="1"/>
  <c r="B8139" i="1"/>
  <c r="G8139" i="1"/>
  <c r="K8139" i="1"/>
  <c r="A8140" i="1"/>
  <c r="B8140" i="1"/>
  <c r="G8140" i="1"/>
  <c r="K8140" i="1"/>
  <c r="A8141" i="1"/>
  <c r="B8141" i="1"/>
  <c r="G8141" i="1"/>
  <c r="K8141" i="1"/>
  <c r="A8142" i="1"/>
  <c r="B8142" i="1"/>
  <c r="G8142" i="1"/>
  <c r="K8142" i="1"/>
  <c r="A8143" i="1"/>
  <c r="B8143" i="1"/>
  <c r="G8143" i="1"/>
  <c r="K8143" i="1"/>
  <c r="A8144" i="1"/>
  <c r="B8144" i="1"/>
  <c r="G8144" i="1"/>
  <c r="K8144" i="1"/>
  <c r="A8145" i="1"/>
  <c r="B8145" i="1"/>
  <c r="G8145" i="1"/>
  <c r="K8145" i="1"/>
  <c r="A8146" i="1"/>
  <c r="B8146" i="1"/>
  <c r="G8146" i="1"/>
  <c r="K8146" i="1"/>
  <c r="A8147" i="1"/>
  <c r="B8147" i="1"/>
  <c r="G8147" i="1"/>
  <c r="K8147" i="1"/>
  <c r="A8148" i="1"/>
  <c r="B8148" i="1"/>
  <c r="G8148" i="1"/>
  <c r="K8148" i="1"/>
  <c r="A8149" i="1"/>
  <c r="B8149" i="1"/>
  <c r="G8149" i="1"/>
  <c r="K8149" i="1"/>
  <c r="A8150" i="1"/>
  <c r="B8150" i="1"/>
  <c r="G8150" i="1"/>
  <c r="K8150" i="1"/>
  <c r="A8151" i="1"/>
  <c r="B8151" i="1"/>
  <c r="G8151" i="1"/>
  <c r="K8151" i="1"/>
  <c r="A8152" i="1"/>
  <c r="B8152" i="1"/>
  <c r="G8152" i="1"/>
  <c r="K8152" i="1"/>
  <c r="A8153" i="1"/>
  <c r="B8153" i="1"/>
  <c r="G8153" i="1"/>
  <c r="K8153" i="1"/>
  <c r="A8154" i="1"/>
  <c r="B8154" i="1"/>
  <c r="G8154" i="1"/>
  <c r="K8154" i="1"/>
  <c r="A8155" i="1"/>
  <c r="B8155" i="1"/>
  <c r="G8155" i="1"/>
  <c r="K8155" i="1"/>
  <c r="A8156" i="1"/>
  <c r="B8156" i="1"/>
  <c r="G8156" i="1"/>
  <c r="K8156" i="1"/>
  <c r="A8157" i="1"/>
  <c r="B8157" i="1"/>
  <c r="G8157" i="1"/>
  <c r="K8157" i="1"/>
  <c r="A8158" i="1"/>
  <c r="B8158" i="1"/>
  <c r="G8158" i="1"/>
  <c r="K8158" i="1"/>
  <c r="A8159" i="1"/>
  <c r="B8159" i="1"/>
  <c r="G8159" i="1"/>
  <c r="K8159" i="1"/>
  <c r="A8160" i="1"/>
  <c r="B8160" i="1"/>
  <c r="G8160" i="1"/>
  <c r="K8160" i="1"/>
  <c r="A8161" i="1"/>
  <c r="B8161" i="1"/>
  <c r="G8161" i="1"/>
  <c r="K8161" i="1"/>
  <c r="A8162" i="1"/>
  <c r="B8162" i="1"/>
  <c r="G8162" i="1"/>
  <c r="K8162" i="1"/>
  <c r="A8163" i="1"/>
  <c r="B8163" i="1"/>
  <c r="G8163" i="1"/>
  <c r="K8163" i="1"/>
  <c r="A8164" i="1"/>
  <c r="B8164" i="1"/>
  <c r="G8164" i="1"/>
  <c r="K8164" i="1"/>
  <c r="A8165" i="1"/>
  <c r="B8165" i="1"/>
  <c r="G8165" i="1"/>
  <c r="K8165" i="1"/>
  <c r="A8166" i="1"/>
  <c r="B8166" i="1"/>
  <c r="G8166" i="1"/>
  <c r="K8166" i="1"/>
  <c r="A8167" i="1"/>
  <c r="B8167" i="1"/>
  <c r="G8167" i="1"/>
  <c r="K8167" i="1"/>
  <c r="A8168" i="1"/>
  <c r="B8168" i="1"/>
  <c r="G8168" i="1"/>
  <c r="K8168" i="1"/>
  <c r="A8169" i="1"/>
  <c r="B8169" i="1"/>
  <c r="G8169" i="1"/>
  <c r="K8169" i="1"/>
  <c r="A8170" i="1"/>
  <c r="B8170" i="1"/>
  <c r="G8170" i="1"/>
  <c r="K8170" i="1"/>
  <c r="A8171" i="1"/>
  <c r="B8171" i="1"/>
  <c r="G8171" i="1"/>
  <c r="K8171" i="1"/>
  <c r="A8172" i="1"/>
  <c r="B8172" i="1"/>
  <c r="G8172" i="1"/>
  <c r="K8172" i="1"/>
  <c r="A8173" i="1"/>
  <c r="B8173" i="1"/>
  <c r="G8173" i="1"/>
  <c r="K8173" i="1"/>
  <c r="A8174" i="1"/>
  <c r="B8174" i="1"/>
  <c r="G8174" i="1"/>
  <c r="K8174" i="1"/>
  <c r="A8175" i="1"/>
  <c r="B8175" i="1"/>
  <c r="G8175" i="1"/>
  <c r="K8175" i="1"/>
  <c r="A8176" i="1"/>
  <c r="B8176" i="1"/>
  <c r="G8176" i="1"/>
  <c r="K8176" i="1"/>
  <c r="A8177" i="1"/>
  <c r="B8177" i="1"/>
  <c r="G8177" i="1"/>
  <c r="K8177" i="1"/>
  <c r="A8178" i="1"/>
  <c r="B8178" i="1"/>
  <c r="G8178" i="1"/>
  <c r="K8178" i="1"/>
  <c r="A8179" i="1"/>
  <c r="B8179" i="1"/>
  <c r="G8179" i="1"/>
  <c r="K8179" i="1"/>
  <c r="A8180" i="1"/>
  <c r="B8180" i="1"/>
  <c r="G8180" i="1"/>
  <c r="K8180" i="1"/>
  <c r="A8181" i="1"/>
  <c r="B8181" i="1"/>
  <c r="G8181" i="1"/>
  <c r="K8181" i="1"/>
  <c r="A8182" i="1"/>
  <c r="B8182" i="1"/>
  <c r="G8182" i="1"/>
  <c r="K8182" i="1"/>
  <c r="A8183" i="1"/>
  <c r="B8183" i="1"/>
  <c r="G8183" i="1"/>
  <c r="K8183" i="1"/>
  <c r="A8184" i="1"/>
  <c r="B8184" i="1"/>
  <c r="G8184" i="1"/>
  <c r="K8184" i="1"/>
  <c r="A8185" i="1"/>
  <c r="B8185" i="1"/>
  <c r="G8185" i="1"/>
  <c r="K8185" i="1"/>
  <c r="A8186" i="1"/>
  <c r="B8186" i="1"/>
  <c r="G8186" i="1"/>
  <c r="K8186" i="1"/>
  <c r="A8187" i="1"/>
  <c r="B8187" i="1"/>
  <c r="G8187" i="1"/>
  <c r="K8187" i="1"/>
  <c r="A8188" i="1"/>
  <c r="B8188" i="1"/>
  <c r="G8188" i="1"/>
  <c r="K8188" i="1"/>
  <c r="A8189" i="1"/>
  <c r="B8189" i="1"/>
  <c r="G8189" i="1"/>
  <c r="K8189" i="1"/>
  <c r="A8190" i="1"/>
  <c r="B8190" i="1"/>
  <c r="G8190" i="1"/>
  <c r="K8190" i="1"/>
  <c r="A8191" i="1"/>
  <c r="B8191" i="1"/>
  <c r="G8191" i="1"/>
  <c r="K8191" i="1"/>
  <c r="A8192" i="1"/>
  <c r="B8192" i="1"/>
  <c r="G8192" i="1"/>
  <c r="K8192" i="1"/>
  <c r="A8193" i="1"/>
  <c r="B8193" i="1"/>
  <c r="G8193" i="1"/>
  <c r="K8193" i="1"/>
  <c r="A8194" i="1"/>
  <c r="B8194" i="1"/>
  <c r="G8194" i="1"/>
  <c r="K8194" i="1"/>
  <c r="A8195" i="1"/>
  <c r="B8195" i="1"/>
  <c r="G8195" i="1"/>
  <c r="K8195" i="1"/>
  <c r="A8196" i="1"/>
  <c r="B8196" i="1"/>
  <c r="G8196" i="1"/>
  <c r="K8196" i="1"/>
  <c r="A8197" i="1"/>
  <c r="B8197" i="1"/>
  <c r="G8197" i="1"/>
  <c r="K8197" i="1"/>
  <c r="A8198" i="1"/>
  <c r="B8198" i="1"/>
  <c r="G8198" i="1"/>
  <c r="K8198" i="1"/>
  <c r="A8199" i="1"/>
  <c r="B8199" i="1"/>
  <c r="G8199" i="1"/>
  <c r="K8199" i="1"/>
  <c r="A8200" i="1"/>
  <c r="B8200" i="1"/>
  <c r="G8200" i="1"/>
  <c r="K8200" i="1"/>
  <c r="A8201" i="1"/>
  <c r="B8201" i="1"/>
  <c r="G8201" i="1"/>
  <c r="K8201" i="1"/>
  <c r="A8202" i="1"/>
  <c r="B8202" i="1"/>
  <c r="G8202" i="1"/>
  <c r="K8202" i="1"/>
  <c r="A8203" i="1"/>
  <c r="B8203" i="1"/>
  <c r="G8203" i="1"/>
  <c r="K8203" i="1"/>
  <c r="A8204" i="1"/>
  <c r="B8204" i="1"/>
  <c r="G8204" i="1"/>
  <c r="K8204" i="1"/>
  <c r="A8205" i="1"/>
  <c r="B8205" i="1"/>
  <c r="G8205" i="1"/>
  <c r="K8205" i="1"/>
  <c r="A8206" i="1"/>
  <c r="B8206" i="1"/>
  <c r="G8206" i="1"/>
  <c r="K8206" i="1"/>
  <c r="A8207" i="1"/>
  <c r="B8207" i="1"/>
  <c r="G8207" i="1"/>
  <c r="K8207" i="1"/>
  <c r="A8208" i="1"/>
  <c r="B8208" i="1"/>
  <c r="G8208" i="1"/>
  <c r="K8208" i="1"/>
  <c r="A8209" i="1"/>
  <c r="B8209" i="1"/>
  <c r="G8209" i="1"/>
  <c r="K8209" i="1"/>
  <c r="A8210" i="1"/>
  <c r="B8210" i="1"/>
  <c r="G8210" i="1"/>
  <c r="K8210" i="1"/>
  <c r="A8211" i="1"/>
  <c r="B8211" i="1"/>
  <c r="G8211" i="1"/>
  <c r="K8211" i="1"/>
  <c r="A8212" i="1"/>
  <c r="B8212" i="1"/>
  <c r="G8212" i="1"/>
  <c r="K8212" i="1"/>
  <c r="A8213" i="1"/>
  <c r="B8213" i="1"/>
  <c r="G8213" i="1"/>
  <c r="K8213" i="1"/>
  <c r="A8214" i="1"/>
  <c r="B8214" i="1"/>
  <c r="G8214" i="1"/>
  <c r="K8214" i="1"/>
  <c r="A8215" i="1"/>
  <c r="B8215" i="1"/>
  <c r="G8215" i="1"/>
  <c r="K8215" i="1"/>
  <c r="A8216" i="1"/>
  <c r="B8216" i="1"/>
  <c r="G8216" i="1"/>
  <c r="K8216" i="1"/>
  <c r="A8217" i="1"/>
  <c r="B8217" i="1"/>
  <c r="G8217" i="1"/>
  <c r="K8217" i="1"/>
  <c r="A8218" i="1"/>
  <c r="B8218" i="1"/>
  <c r="G8218" i="1"/>
  <c r="K8218" i="1"/>
  <c r="A8219" i="1"/>
  <c r="B8219" i="1"/>
  <c r="G8219" i="1"/>
  <c r="K8219" i="1"/>
  <c r="A8220" i="1"/>
  <c r="B8220" i="1"/>
  <c r="G8220" i="1"/>
  <c r="K8220" i="1"/>
  <c r="A8221" i="1"/>
  <c r="B8221" i="1"/>
  <c r="G8221" i="1"/>
  <c r="K8221" i="1"/>
  <c r="A8222" i="1"/>
  <c r="B8222" i="1"/>
  <c r="G8222" i="1"/>
  <c r="K8222" i="1"/>
  <c r="A8223" i="1"/>
  <c r="B8223" i="1"/>
  <c r="G8223" i="1"/>
  <c r="K8223" i="1"/>
  <c r="A8224" i="1"/>
  <c r="B8224" i="1"/>
  <c r="G8224" i="1"/>
  <c r="K8224" i="1"/>
  <c r="A8225" i="1"/>
  <c r="B8225" i="1"/>
  <c r="G8225" i="1"/>
  <c r="K8225" i="1"/>
  <c r="A8226" i="1"/>
  <c r="B8226" i="1"/>
  <c r="G8226" i="1"/>
  <c r="K8226" i="1"/>
  <c r="A8227" i="1"/>
  <c r="B8227" i="1"/>
  <c r="G8227" i="1"/>
  <c r="K8227" i="1"/>
  <c r="A8228" i="1"/>
  <c r="B8228" i="1"/>
  <c r="G8228" i="1"/>
  <c r="K8228" i="1"/>
  <c r="A8229" i="1"/>
  <c r="B8229" i="1"/>
  <c r="G8229" i="1"/>
  <c r="K8229" i="1"/>
  <c r="A8230" i="1"/>
  <c r="B8230" i="1"/>
  <c r="G8230" i="1"/>
  <c r="K8230" i="1"/>
  <c r="A8231" i="1"/>
  <c r="B8231" i="1"/>
  <c r="G8231" i="1"/>
  <c r="K8231" i="1"/>
  <c r="A8232" i="1"/>
  <c r="B8232" i="1"/>
  <c r="G8232" i="1"/>
  <c r="K8232" i="1"/>
  <c r="A8233" i="1"/>
  <c r="B8233" i="1"/>
  <c r="G8233" i="1"/>
  <c r="K8233" i="1"/>
  <c r="A8234" i="1"/>
  <c r="B8234" i="1"/>
  <c r="G8234" i="1"/>
  <c r="K8234" i="1"/>
  <c r="A8235" i="1"/>
  <c r="B8235" i="1"/>
  <c r="G8235" i="1"/>
  <c r="K8235" i="1"/>
  <c r="A8236" i="1"/>
  <c r="B8236" i="1"/>
  <c r="G8236" i="1"/>
  <c r="K8236" i="1"/>
  <c r="A8237" i="1"/>
  <c r="B8237" i="1"/>
  <c r="G8237" i="1"/>
  <c r="K8237" i="1"/>
  <c r="A8238" i="1"/>
  <c r="B8238" i="1"/>
  <c r="G8238" i="1"/>
  <c r="K8238" i="1"/>
  <c r="A8239" i="1"/>
  <c r="B8239" i="1"/>
  <c r="G8239" i="1"/>
  <c r="K8239" i="1"/>
  <c r="A8240" i="1"/>
  <c r="B8240" i="1"/>
  <c r="G8240" i="1"/>
  <c r="K8240" i="1"/>
  <c r="A8241" i="1"/>
  <c r="B8241" i="1"/>
  <c r="G8241" i="1"/>
  <c r="K8241" i="1"/>
  <c r="A8242" i="1"/>
  <c r="B8242" i="1"/>
  <c r="G8242" i="1"/>
  <c r="K8242" i="1"/>
  <c r="A8243" i="1"/>
  <c r="B8243" i="1"/>
  <c r="G8243" i="1"/>
  <c r="K8243" i="1"/>
  <c r="A8244" i="1"/>
  <c r="B8244" i="1"/>
  <c r="G8244" i="1"/>
  <c r="K8244" i="1"/>
  <c r="A8245" i="1"/>
  <c r="B8245" i="1"/>
  <c r="G8245" i="1"/>
  <c r="K8245" i="1"/>
  <c r="A8246" i="1"/>
  <c r="B8246" i="1"/>
  <c r="G8246" i="1"/>
  <c r="K8246" i="1"/>
  <c r="A8247" i="1"/>
  <c r="B8247" i="1"/>
  <c r="G8247" i="1"/>
  <c r="K8247" i="1"/>
  <c r="A8248" i="1"/>
  <c r="B8248" i="1"/>
  <c r="G8248" i="1"/>
  <c r="K8248" i="1"/>
  <c r="A8249" i="1"/>
  <c r="B8249" i="1"/>
  <c r="G8249" i="1"/>
  <c r="K8249" i="1"/>
  <c r="A8250" i="1"/>
  <c r="B8250" i="1"/>
  <c r="G8250" i="1"/>
  <c r="K8250" i="1"/>
  <c r="A8251" i="1"/>
  <c r="B8251" i="1"/>
  <c r="G8251" i="1"/>
  <c r="K8251" i="1"/>
  <c r="A8252" i="1"/>
  <c r="B8252" i="1"/>
  <c r="G8252" i="1"/>
  <c r="K8252" i="1"/>
  <c r="A8253" i="1"/>
  <c r="B8253" i="1"/>
  <c r="G8253" i="1"/>
  <c r="K8253" i="1"/>
  <c r="A8254" i="1"/>
  <c r="B8254" i="1"/>
  <c r="G8254" i="1"/>
  <c r="K8254" i="1"/>
  <c r="A8255" i="1"/>
  <c r="B8255" i="1"/>
  <c r="G8255" i="1"/>
  <c r="K8255" i="1"/>
  <c r="A8256" i="1"/>
  <c r="B8256" i="1"/>
  <c r="G8256" i="1"/>
  <c r="K8256" i="1"/>
  <c r="A8257" i="1"/>
  <c r="B8257" i="1"/>
  <c r="G8257" i="1"/>
  <c r="K8257" i="1"/>
  <c r="A8258" i="1"/>
  <c r="B8258" i="1"/>
  <c r="G8258" i="1"/>
  <c r="K8258" i="1"/>
  <c r="A8259" i="1"/>
  <c r="B8259" i="1"/>
  <c r="G8259" i="1"/>
  <c r="K8259" i="1"/>
  <c r="A8260" i="1"/>
  <c r="B8260" i="1"/>
  <c r="G8260" i="1"/>
  <c r="K8260" i="1"/>
  <c r="A8261" i="1"/>
  <c r="B8261" i="1"/>
  <c r="G8261" i="1"/>
  <c r="K8261" i="1"/>
  <c r="A8262" i="1"/>
  <c r="B8262" i="1"/>
  <c r="G8262" i="1"/>
  <c r="K8262" i="1"/>
  <c r="A8263" i="1"/>
  <c r="B8263" i="1"/>
  <c r="G8263" i="1"/>
  <c r="K8263" i="1"/>
  <c r="A8264" i="1"/>
  <c r="B8264" i="1"/>
  <c r="G8264" i="1"/>
  <c r="K8264" i="1"/>
  <c r="A8265" i="1"/>
  <c r="B8265" i="1"/>
  <c r="G8265" i="1"/>
  <c r="K8265" i="1"/>
  <c r="A8266" i="1"/>
  <c r="B8266" i="1"/>
  <c r="G8266" i="1"/>
  <c r="K8266" i="1"/>
  <c r="A8267" i="1"/>
  <c r="B8267" i="1"/>
  <c r="G8267" i="1"/>
  <c r="K8267" i="1"/>
  <c r="A8268" i="1"/>
  <c r="B8268" i="1"/>
  <c r="G8268" i="1"/>
  <c r="K8268" i="1"/>
  <c r="A8269" i="1"/>
  <c r="B8269" i="1"/>
  <c r="G8269" i="1"/>
  <c r="K8269" i="1"/>
  <c r="A8270" i="1"/>
  <c r="B8270" i="1"/>
  <c r="G8270" i="1"/>
  <c r="K8270" i="1"/>
  <c r="A8271" i="1"/>
  <c r="B8271" i="1"/>
  <c r="G8271" i="1"/>
  <c r="K8271" i="1"/>
  <c r="A8272" i="1"/>
  <c r="B8272" i="1"/>
  <c r="G8272" i="1"/>
  <c r="K8272" i="1"/>
  <c r="A8273" i="1"/>
  <c r="B8273" i="1"/>
  <c r="G8273" i="1"/>
  <c r="K8273" i="1"/>
  <c r="A8274" i="1"/>
  <c r="B8274" i="1"/>
  <c r="G8274" i="1"/>
  <c r="K8274" i="1"/>
  <c r="A8275" i="1"/>
  <c r="B8275" i="1"/>
  <c r="G8275" i="1"/>
  <c r="K8275" i="1"/>
  <c r="A8276" i="1"/>
  <c r="B8276" i="1"/>
  <c r="G8276" i="1"/>
  <c r="K8276" i="1"/>
  <c r="A8277" i="1"/>
  <c r="B8277" i="1"/>
  <c r="G8277" i="1"/>
  <c r="K8277" i="1"/>
  <c r="A8278" i="1"/>
  <c r="B8278" i="1"/>
  <c r="G8278" i="1"/>
  <c r="K8278" i="1"/>
  <c r="A8279" i="1"/>
  <c r="B8279" i="1"/>
  <c r="G8279" i="1"/>
  <c r="K8279" i="1"/>
  <c r="A8280" i="1"/>
  <c r="B8280" i="1"/>
  <c r="G8280" i="1"/>
  <c r="K8280" i="1"/>
  <c r="A8281" i="1"/>
  <c r="B8281" i="1"/>
  <c r="G8281" i="1"/>
  <c r="K8281" i="1"/>
  <c r="A8282" i="1"/>
  <c r="B8282" i="1"/>
  <c r="G8282" i="1"/>
  <c r="K8282" i="1"/>
  <c r="A8283" i="1"/>
  <c r="B8283" i="1"/>
  <c r="G8283" i="1"/>
  <c r="K8283" i="1"/>
  <c r="A8284" i="1"/>
  <c r="B8284" i="1"/>
  <c r="G8284" i="1"/>
  <c r="K8284" i="1"/>
  <c r="A8285" i="1"/>
  <c r="B8285" i="1"/>
  <c r="G8285" i="1"/>
  <c r="K8285" i="1"/>
  <c r="A8286" i="1"/>
  <c r="B8286" i="1"/>
  <c r="G8286" i="1"/>
  <c r="K8286" i="1"/>
  <c r="A8287" i="1"/>
  <c r="B8287" i="1"/>
  <c r="G8287" i="1"/>
  <c r="K8287" i="1"/>
  <c r="A8288" i="1"/>
  <c r="B8288" i="1"/>
  <c r="G8288" i="1"/>
  <c r="K8288" i="1"/>
  <c r="A8289" i="1"/>
  <c r="B8289" i="1"/>
  <c r="G8289" i="1"/>
  <c r="K8289" i="1"/>
  <c r="A8290" i="1"/>
  <c r="B8290" i="1"/>
  <c r="G8290" i="1"/>
  <c r="K8290" i="1"/>
  <c r="A8291" i="1"/>
  <c r="B8291" i="1"/>
  <c r="G8291" i="1"/>
  <c r="K8291" i="1"/>
  <c r="A8292" i="1"/>
  <c r="B8292" i="1"/>
  <c r="G8292" i="1"/>
  <c r="K8292" i="1"/>
  <c r="A8293" i="1"/>
  <c r="B8293" i="1"/>
  <c r="G8293" i="1"/>
  <c r="K8293" i="1"/>
  <c r="A8294" i="1"/>
  <c r="B8294" i="1"/>
  <c r="G8294" i="1"/>
  <c r="K8294" i="1"/>
  <c r="A8295" i="1"/>
  <c r="B8295" i="1"/>
  <c r="G8295" i="1"/>
  <c r="K8295" i="1"/>
  <c r="A8296" i="1"/>
  <c r="B8296" i="1"/>
  <c r="G8296" i="1"/>
  <c r="K8296" i="1"/>
  <c r="A8297" i="1"/>
  <c r="B8297" i="1"/>
  <c r="G8297" i="1"/>
  <c r="K8297" i="1"/>
  <c r="A8298" i="1"/>
  <c r="B8298" i="1"/>
  <c r="G8298" i="1"/>
  <c r="K8298" i="1"/>
  <c r="A8299" i="1"/>
  <c r="B8299" i="1"/>
  <c r="G8299" i="1"/>
  <c r="K8299" i="1"/>
  <c r="A8300" i="1"/>
  <c r="B8300" i="1"/>
  <c r="G8300" i="1"/>
  <c r="K8300" i="1"/>
  <c r="A8301" i="1"/>
  <c r="B8301" i="1"/>
  <c r="G8301" i="1"/>
  <c r="K8301" i="1"/>
  <c r="A8302" i="1"/>
  <c r="B8302" i="1"/>
  <c r="G8302" i="1"/>
  <c r="K8302" i="1"/>
  <c r="A8303" i="1"/>
  <c r="B8303" i="1"/>
  <c r="G8303" i="1"/>
  <c r="K8303" i="1"/>
  <c r="A8304" i="1"/>
  <c r="B8304" i="1"/>
  <c r="G8304" i="1"/>
  <c r="K8304" i="1"/>
  <c r="A8305" i="1"/>
  <c r="B8305" i="1"/>
  <c r="G8305" i="1"/>
  <c r="K8305" i="1"/>
  <c r="A8306" i="1"/>
  <c r="B8306" i="1"/>
  <c r="G8306" i="1"/>
  <c r="K8306" i="1"/>
  <c r="A8307" i="1"/>
  <c r="B8307" i="1"/>
  <c r="G8307" i="1"/>
  <c r="K8307" i="1"/>
  <c r="A8308" i="1"/>
  <c r="B8308" i="1"/>
  <c r="G8308" i="1"/>
  <c r="K8308" i="1"/>
  <c r="A8309" i="1"/>
  <c r="B8309" i="1"/>
  <c r="G8309" i="1"/>
  <c r="K8309" i="1"/>
  <c r="A8310" i="1"/>
  <c r="B8310" i="1"/>
  <c r="G8310" i="1"/>
  <c r="K8310" i="1"/>
  <c r="A8311" i="1"/>
  <c r="B8311" i="1"/>
  <c r="G8311" i="1"/>
  <c r="K8311" i="1"/>
  <c r="A8312" i="1"/>
  <c r="B8312" i="1"/>
  <c r="G8312" i="1"/>
  <c r="K8312" i="1"/>
  <c r="A8313" i="1"/>
  <c r="B8313" i="1"/>
  <c r="G8313" i="1"/>
  <c r="K8313" i="1"/>
  <c r="A8314" i="1"/>
  <c r="B8314" i="1"/>
  <c r="G8314" i="1"/>
  <c r="K8314" i="1"/>
  <c r="A8315" i="1"/>
  <c r="B8315" i="1"/>
  <c r="G8315" i="1"/>
  <c r="K8315" i="1"/>
  <c r="A8316" i="1"/>
  <c r="B8316" i="1"/>
  <c r="G8316" i="1"/>
  <c r="K8316" i="1"/>
  <c r="A8317" i="1"/>
  <c r="B8317" i="1"/>
  <c r="G8317" i="1"/>
  <c r="K8317" i="1"/>
  <c r="A8318" i="1"/>
  <c r="B8318" i="1"/>
  <c r="G8318" i="1"/>
  <c r="K8318" i="1"/>
  <c r="A8319" i="1"/>
  <c r="B8319" i="1"/>
  <c r="G8319" i="1"/>
  <c r="K8319" i="1"/>
  <c r="A8320" i="1"/>
  <c r="B8320" i="1"/>
  <c r="G8320" i="1"/>
  <c r="K8320" i="1"/>
  <c r="A8321" i="1"/>
  <c r="B8321" i="1"/>
  <c r="G8321" i="1"/>
  <c r="K8321" i="1"/>
  <c r="A8322" i="1"/>
  <c r="B8322" i="1"/>
  <c r="G8322" i="1"/>
  <c r="K8322" i="1"/>
  <c r="A8323" i="1"/>
  <c r="B8323" i="1"/>
  <c r="G8323" i="1"/>
  <c r="K8323" i="1"/>
  <c r="A8324" i="1"/>
  <c r="B8324" i="1"/>
  <c r="G8324" i="1"/>
  <c r="K8324" i="1"/>
  <c r="A8325" i="1"/>
  <c r="B8325" i="1"/>
  <c r="G8325" i="1"/>
  <c r="K8325" i="1"/>
  <c r="A8326" i="1"/>
  <c r="B8326" i="1"/>
  <c r="G8326" i="1"/>
  <c r="K8326" i="1"/>
  <c r="A8327" i="1"/>
  <c r="B8327" i="1"/>
  <c r="G8327" i="1"/>
  <c r="K8327" i="1"/>
  <c r="A8328" i="1"/>
  <c r="B8328" i="1"/>
  <c r="G8328" i="1"/>
  <c r="K8328" i="1"/>
  <c r="A8329" i="1"/>
  <c r="B8329" i="1"/>
  <c r="G8329" i="1"/>
  <c r="K8329" i="1"/>
  <c r="A8330" i="1"/>
  <c r="B8330" i="1"/>
  <c r="G8330" i="1"/>
  <c r="K8330" i="1"/>
  <c r="A8331" i="1"/>
  <c r="B8331" i="1"/>
  <c r="G8331" i="1"/>
  <c r="K8331" i="1"/>
  <c r="A8332" i="1"/>
  <c r="B8332" i="1"/>
  <c r="G8332" i="1"/>
  <c r="K8332" i="1"/>
  <c r="A8333" i="1"/>
  <c r="B8333" i="1"/>
  <c r="G8333" i="1"/>
  <c r="K8333" i="1"/>
  <c r="A8334" i="1"/>
  <c r="B8334" i="1"/>
  <c r="G8334" i="1"/>
  <c r="K8334" i="1"/>
  <c r="A8335" i="1"/>
  <c r="B8335" i="1"/>
  <c r="G8335" i="1"/>
  <c r="K8335" i="1"/>
  <c r="A8336" i="1"/>
  <c r="B8336" i="1"/>
  <c r="G8336" i="1"/>
  <c r="K8336" i="1"/>
  <c r="A8337" i="1"/>
  <c r="B8337" i="1"/>
  <c r="G8337" i="1"/>
  <c r="K8337" i="1"/>
  <c r="A8338" i="1"/>
  <c r="B8338" i="1"/>
  <c r="G8338" i="1"/>
  <c r="K8338" i="1"/>
  <c r="A8339" i="1"/>
  <c r="B8339" i="1"/>
  <c r="G8339" i="1"/>
  <c r="K8339" i="1"/>
  <c r="A8340" i="1"/>
  <c r="B8340" i="1"/>
  <c r="G8340" i="1"/>
  <c r="K8340" i="1"/>
  <c r="A8341" i="1"/>
  <c r="B8341" i="1"/>
  <c r="G8341" i="1"/>
  <c r="K8341" i="1"/>
  <c r="A8342" i="1"/>
  <c r="B8342" i="1"/>
  <c r="G8342" i="1"/>
  <c r="K8342" i="1"/>
  <c r="A8343" i="1"/>
  <c r="B8343" i="1"/>
  <c r="G8343" i="1"/>
  <c r="K8343" i="1"/>
  <c r="A8344" i="1"/>
  <c r="B8344" i="1"/>
  <c r="G8344" i="1"/>
  <c r="K8344" i="1"/>
  <c r="A8345" i="1"/>
  <c r="B8345" i="1"/>
  <c r="G8345" i="1"/>
  <c r="K8345" i="1"/>
  <c r="A8346" i="1"/>
  <c r="B8346" i="1"/>
  <c r="G8346" i="1"/>
  <c r="K8346" i="1"/>
  <c r="A8347" i="1"/>
  <c r="B8347" i="1"/>
  <c r="G8347" i="1"/>
  <c r="K8347" i="1"/>
  <c r="A8348" i="1"/>
  <c r="B8348" i="1"/>
  <c r="G8348" i="1"/>
  <c r="K8348" i="1"/>
  <c r="A8349" i="1"/>
  <c r="B8349" i="1"/>
  <c r="G8349" i="1"/>
  <c r="K8349" i="1"/>
  <c r="A8350" i="1"/>
  <c r="B8350" i="1"/>
  <c r="G8350" i="1"/>
  <c r="K8350" i="1"/>
  <c r="A8351" i="1"/>
  <c r="B8351" i="1"/>
  <c r="G8351" i="1"/>
  <c r="K8351" i="1"/>
  <c r="A8352" i="1"/>
  <c r="B8352" i="1"/>
  <c r="G8352" i="1"/>
  <c r="K8352" i="1"/>
  <c r="A8353" i="1"/>
  <c r="B8353" i="1"/>
  <c r="G8353" i="1"/>
  <c r="K8353" i="1"/>
  <c r="A8354" i="1"/>
  <c r="B8354" i="1"/>
  <c r="G8354" i="1"/>
  <c r="K8354" i="1"/>
  <c r="A8355" i="1"/>
  <c r="B8355" i="1"/>
  <c r="G8355" i="1"/>
  <c r="K8355" i="1"/>
  <c r="A8356" i="1"/>
  <c r="B8356" i="1"/>
  <c r="G8356" i="1"/>
  <c r="K8356" i="1"/>
  <c r="A8357" i="1"/>
  <c r="B8357" i="1"/>
  <c r="G8357" i="1"/>
  <c r="K8357" i="1"/>
  <c r="A8358" i="1"/>
  <c r="B8358" i="1"/>
  <c r="G8358" i="1"/>
  <c r="K8358" i="1"/>
  <c r="A8359" i="1"/>
  <c r="B8359" i="1"/>
  <c r="G8359" i="1"/>
  <c r="K8359" i="1"/>
  <c r="A8360" i="1"/>
  <c r="B8360" i="1"/>
  <c r="G8360" i="1"/>
  <c r="K8360" i="1"/>
  <c r="A8361" i="1"/>
  <c r="B8361" i="1"/>
  <c r="G8361" i="1"/>
  <c r="K8361" i="1"/>
  <c r="A8362" i="1"/>
  <c r="B8362" i="1"/>
  <c r="G8362" i="1"/>
  <c r="K8362" i="1"/>
  <c r="A8363" i="1"/>
  <c r="B8363" i="1"/>
  <c r="G8363" i="1"/>
  <c r="K8363" i="1"/>
  <c r="A8364" i="1"/>
  <c r="B8364" i="1"/>
  <c r="G8364" i="1"/>
  <c r="K8364" i="1"/>
  <c r="A8365" i="1"/>
  <c r="B8365" i="1"/>
  <c r="G8365" i="1"/>
  <c r="K8365" i="1"/>
  <c r="A8366" i="1"/>
  <c r="B8366" i="1"/>
  <c r="G8366" i="1"/>
  <c r="K8366" i="1"/>
  <c r="A8367" i="1"/>
  <c r="B8367" i="1"/>
  <c r="G8367" i="1"/>
  <c r="K8367" i="1"/>
  <c r="A8368" i="1"/>
  <c r="B8368" i="1"/>
  <c r="G8368" i="1"/>
  <c r="K8368" i="1"/>
  <c r="A8369" i="1"/>
  <c r="B8369" i="1"/>
  <c r="G8369" i="1"/>
  <c r="K8369" i="1"/>
  <c r="A8370" i="1"/>
  <c r="B8370" i="1"/>
  <c r="G8370" i="1"/>
  <c r="K8370" i="1"/>
  <c r="A8371" i="1"/>
  <c r="B8371" i="1"/>
  <c r="G8371" i="1"/>
  <c r="K8371" i="1"/>
  <c r="A8372" i="1"/>
  <c r="B8372" i="1"/>
  <c r="G8372" i="1"/>
  <c r="K8372" i="1"/>
  <c r="A8373" i="1"/>
  <c r="B8373" i="1"/>
  <c r="G8373" i="1"/>
  <c r="K8373" i="1"/>
  <c r="A8374" i="1"/>
  <c r="B8374" i="1"/>
  <c r="G8374" i="1"/>
  <c r="K8374" i="1"/>
  <c r="A8375" i="1"/>
  <c r="B8375" i="1"/>
  <c r="G8375" i="1"/>
  <c r="K8375" i="1"/>
  <c r="A8376" i="1"/>
  <c r="B8376" i="1"/>
  <c r="G8376" i="1"/>
  <c r="K8376" i="1"/>
  <c r="A8377" i="1"/>
  <c r="B8377" i="1"/>
  <c r="G8377" i="1"/>
  <c r="K8377" i="1"/>
  <c r="A8378" i="1"/>
  <c r="B8378" i="1"/>
  <c r="G8378" i="1"/>
  <c r="K8378" i="1"/>
  <c r="A8379" i="1"/>
  <c r="B8379" i="1"/>
  <c r="G8379" i="1"/>
  <c r="K8379" i="1"/>
  <c r="A8380" i="1"/>
  <c r="B8380" i="1"/>
  <c r="G8380" i="1"/>
  <c r="K8380" i="1"/>
  <c r="A8381" i="1"/>
  <c r="B8381" i="1"/>
  <c r="G8381" i="1"/>
  <c r="K8381" i="1"/>
  <c r="A8382" i="1"/>
  <c r="B8382" i="1"/>
  <c r="G8382" i="1"/>
  <c r="K8382" i="1"/>
  <c r="A8383" i="1"/>
  <c r="B8383" i="1"/>
  <c r="G8383" i="1"/>
  <c r="K8383" i="1"/>
  <c r="A8384" i="1"/>
  <c r="B8384" i="1"/>
  <c r="G8384" i="1"/>
  <c r="K8384" i="1"/>
  <c r="A8385" i="1"/>
  <c r="B8385" i="1"/>
  <c r="G8385" i="1"/>
  <c r="K8385" i="1"/>
  <c r="A8386" i="1"/>
  <c r="B8386" i="1"/>
  <c r="G8386" i="1"/>
  <c r="K8386" i="1"/>
  <c r="A8387" i="1"/>
  <c r="B8387" i="1"/>
  <c r="G8387" i="1"/>
  <c r="K8387" i="1"/>
  <c r="A8388" i="1"/>
  <c r="B8388" i="1"/>
  <c r="G8388" i="1"/>
  <c r="K8388" i="1"/>
  <c r="A8389" i="1"/>
  <c r="B8389" i="1"/>
  <c r="G8389" i="1"/>
  <c r="K8389" i="1"/>
  <c r="A8390" i="1"/>
  <c r="B8390" i="1"/>
  <c r="G8390" i="1"/>
  <c r="K8390" i="1"/>
  <c r="A8391" i="1"/>
  <c r="B8391" i="1"/>
  <c r="G8391" i="1"/>
  <c r="K8391" i="1"/>
  <c r="A8392" i="1"/>
  <c r="B8392" i="1"/>
  <c r="G8392" i="1"/>
  <c r="K8392" i="1"/>
  <c r="A8393" i="1"/>
  <c r="B8393" i="1"/>
  <c r="G8393" i="1"/>
  <c r="K8393" i="1"/>
  <c r="A8394" i="1"/>
  <c r="B8394" i="1"/>
  <c r="G8394" i="1"/>
  <c r="K8394" i="1"/>
  <c r="A8395" i="1"/>
  <c r="B8395" i="1"/>
  <c r="G8395" i="1"/>
  <c r="K8395" i="1"/>
  <c r="A8396" i="1"/>
  <c r="B8396" i="1"/>
  <c r="G8396" i="1"/>
  <c r="K8396" i="1"/>
  <c r="A8397" i="1"/>
  <c r="B8397" i="1"/>
  <c r="G8397" i="1"/>
  <c r="K8397" i="1"/>
  <c r="A8398" i="1"/>
  <c r="B8398" i="1"/>
  <c r="G8398" i="1"/>
  <c r="K8398" i="1"/>
  <c r="A8399" i="1"/>
  <c r="B8399" i="1"/>
  <c r="G8399" i="1"/>
  <c r="K8399" i="1"/>
  <c r="A8400" i="1"/>
  <c r="B8400" i="1"/>
  <c r="G8400" i="1"/>
  <c r="K8400" i="1"/>
  <c r="A8401" i="1"/>
  <c r="B8401" i="1"/>
  <c r="G8401" i="1"/>
  <c r="K8401" i="1"/>
  <c r="A8402" i="1"/>
  <c r="B8402" i="1"/>
  <c r="G8402" i="1"/>
  <c r="K8402" i="1"/>
  <c r="A8403" i="1"/>
  <c r="B8403" i="1"/>
  <c r="G8403" i="1"/>
  <c r="K8403" i="1"/>
  <c r="A8404" i="1"/>
  <c r="B8404" i="1"/>
  <c r="G8404" i="1"/>
  <c r="K8404" i="1"/>
  <c r="A8405" i="1"/>
  <c r="B8405" i="1"/>
  <c r="G8405" i="1"/>
  <c r="K8405" i="1"/>
  <c r="A8406" i="1"/>
  <c r="B8406" i="1"/>
  <c r="G8406" i="1"/>
  <c r="K8406" i="1"/>
  <c r="A8407" i="1"/>
  <c r="B8407" i="1"/>
  <c r="G8407" i="1"/>
  <c r="K8407" i="1"/>
  <c r="A8408" i="1"/>
  <c r="B8408" i="1"/>
  <c r="G8408" i="1"/>
  <c r="K8408" i="1"/>
  <c r="A8409" i="1"/>
  <c r="B8409" i="1"/>
  <c r="G8409" i="1"/>
  <c r="K8409" i="1"/>
  <c r="A8410" i="1"/>
  <c r="B8410" i="1"/>
  <c r="G8410" i="1"/>
  <c r="K8410" i="1"/>
  <c r="A8411" i="1"/>
  <c r="B8411" i="1"/>
  <c r="G8411" i="1"/>
  <c r="K8411" i="1"/>
  <c r="A8412" i="1"/>
  <c r="B8412" i="1"/>
  <c r="G8412" i="1"/>
  <c r="K8412" i="1"/>
  <c r="A8413" i="1"/>
  <c r="B8413" i="1"/>
  <c r="G8413" i="1"/>
  <c r="K8413" i="1"/>
  <c r="A8414" i="1"/>
  <c r="B8414" i="1"/>
  <c r="G8414" i="1"/>
  <c r="K8414" i="1"/>
  <c r="A8415" i="1"/>
  <c r="B8415" i="1"/>
  <c r="G8415" i="1"/>
  <c r="K8415" i="1"/>
  <c r="A8416" i="1"/>
  <c r="B8416" i="1"/>
  <c r="G8416" i="1"/>
  <c r="K8416" i="1"/>
  <c r="A8417" i="1"/>
  <c r="B8417" i="1"/>
  <c r="G8417" i="1"/>
  <c r="K8417" i="1"/>
  <c r="A8418" i="1"/>
  <c r="B8418" i="1"/>
  <c r="G8418" i="1"/>
  <c r="K8418" i="1"/>
  <c r="A8419" i="1"/>
  <c r="B8419" i="1"/>
  <c r="G8419" i="1"/>
  <c r="K8419" i="1"/>
  <c r="A8420" i="1"/>
  <c r="B8420" i="1"/>
  <c r="G8420" i="1"/>
  <c r="K8420" i="1"/>
  <c r="A8421" i="1"/>
  <c r="B8421" i="1"/>
  <c r="G8421" i="1"/>
  <c r="K8421" i="1"/>
  <c r="A8422" i="1"/>
  <c r="B8422" i="1"/>
  <c r="G8422" i="1"/>
  <c r="K8422" i="1"/>
  <c r="A8423" i="1"/>
  <c r="B8423" i="1"/>
  <c r="G8423" i="1"/>
  <c r="K8423" i="1"/>
  <c r="A8424" i="1"/>
  <c r="B8424" i="1"/>
  <c r="G8424" i="1"/>
  <c r="K8424" i="1"/>
  <c r="A8425" i="1"/>
  <c r="B8425" i="1"/>
  <c r="G8425" i="1"/>
  <c r="K8425" i="1"/>
  <c r="A8426" i="1"/>
  <c r="B8426" i="1"/>
  <c r="G8426" i="1"/>
  <c r="K8426" i="1"/>
  <c r="A8427" i="1"/>
  <c r="B8427" i="1"/>
  <c r="G8427" i="1"/>
  <c r="K8427" i="1"/>
  <c r="A8428" i="1"/>
  <c r="B8428" i="1"/>
  <c r="G8428" i="1"/>
  <c r="K8428" i="1"/>
  <c r="A8429" i="1"/>
  <c r="B8429" i="1"/>
  <c r="G8429" i="1"/>
  <c r="K8429" i="1"/>
  <c r="A8430" i="1"/>
  <c r="B8430" i="1"/>
  <c r="G8430" i="1"/>
  <c r="K8430" i="1"/>
  <c r="A8431" i="1"/>
  <c r="B8431" i="1"/>
  <c r="G8431" i="1"/>
  <c r="K8431" i="1"/>
  <c r="A8432" i="1"/>
  <c r="B8432" i="1"/>
  <c r="G8432" i="1"/>
  <c r="K8432" i="1"/>
  <c r="A8433" i="1"/>
  <c r="B8433" i="1"/>
  <c r="G8433" i="1"/>
  <c r="K8433" i="1"/>
  <c r="A8434" i="1"/>
  <c r="B8434" i="1"/>
  <c r="G8434" i="1"/>
  <c r="K8434" i="1"/>
  <c r="A8435" i="1"/>
  <c r="B8435" i="1"/>
  <c r="G8435" i="1"/>
  <c r="K8435" i="1"/>
  <c r="A8436" i="1"/>
  <c r="B8436" i="1"/>
  <c r="G8436" i="1"/>
  <c r="K8436" i="1"/>
  <c r="A8437" i="1"/>
  <c r="B8437" i="1"/>
  <c r="G8437" i="1"/>
  <c r="K8437" i="1"/>
  <c r="A8438" i="1"/>
  <c r="B8438" i="1"/>
  <c r="G8438" i="1"/>
  <c r="K8438" i="1"/>
  <c r="A8439" i="1"/>
  <c r="B8439" i="1"/>
  <c r="G8439" i="1"/>
  <c r="K8439" i="1"/>
  <c r="A8440" i="1"/>
  <c r="B8440" i="1"/>
  <c r="G8440" i="1"/>
  <c r="K8440" i="1"/>
  <c r="A8441" i="1"/>
  <c r="B8441" i="1"/>
  <c r="G8441" i="1"/>
  <c r="K8441" i="1"/>
  <c r="A8442" i="1"/>
  <c r="B8442" i="1"/>
  <c r="G8442" i="1"/>
  <c r="K8442" i="1"/>
  <c r="A8443" i="1"/>
  <c r="B8443" i="1"/>
  <c r="G8443" i="1"/>
  <c r="K8443" i="1"/>
  <c r="A8444" i="1"/>
  <c r="B8444" i="1"/>
  <c r="G8444" i="1"/>
  <c r="K8444" i="1"/>
  <c r="A8445" i="1"/>
  <c r="B8445" i="1"/>
  <c r="G8445" i="1"/>
  <c r="K8445" i="1"/>
  <c r="A8446" i="1"/>
  <c r="B8446" i="1"/>
  <c r="G8446" i="1"/>
  <c r="K8446" i="1"/>
  <c r="A8447" i="1"/>
  <c r="B8447" i="1"/>
  <c r="G8447" i="1"/>
  <c r="K8447" i="1"/>
  <c r="A8448" i="1"/>
  <c r="B8448" i="1"/>
  <c r="G8448" i="1"/>
  <c r="K8448" i="1"/>
  <c r="A8449" i="1"/>
  <c r="B8449" i="1"/>
  <c r="G8449" i="1"/>
  <c r="K8449" i="1"/>
  <c r="A8450" i="1"/>
  <c r="B8450" i="1"/>
  <c r="G8450" i="1"/>
  <c r="K8450" i="1"/>
  <c r="A8451" i="1"/>
  <c r="B8451" i="1"/>
  <c r="G8451" i="1"/>
  <c r="K8451" i="1"/>
  <c r="A8452" i="1"/>
  <c r="B8452" i="1"/>
  <c r="G8452" i="1"/>
  <c r="K8452" i="1"/>
  <c r="A8453" i="1"/>
  <c r="B8453" i="1"/>
  <c r="G8453" i="1"/>
  <c r="K8453" i="1"/>
  <c r="A8454" i="1"/>
  <c r="B8454" i="1"/>
  <c r="G8454" i="1"/>
  <c r="K8454" i="1"/>
  <c r="A8455" i="1"/>
  <c r="B8455" i="1"/>
  <c r="G8455" i="1"/>
  <c r="K8455" i="1"/>
  <c r="A8456" i="1"/>
  <c r="B8456" i="1"/>
  <c r="G8456" i="1"/>
  <c r="K8456" i="1"/>
  <c r="A8457" i="1"/>
  <c r="B8457" i="1"/>
  <c r="G8457" i="1"/>
  <c r="K8457" i="1"/>
  <c r="A8458" i="1"/>
  <c r="B8458" i="1"/>
  <c r="G8458" i="1"/>
  <c r="K8458" i="1"/>
  <c r="A8459" i="1"/>
  <c r="B8459" i="1"/>
  <c r="G8459" i="1"/>
  <c r="K8459" i="1"/>
  <c r="A8460" i="1"/>
  <c r="B8460" i="1"/>
  <c r="G8460" i="1"/>
  <c r="K8460" i="1"/>
  <c r="A8461" i="1"/>
  <c r="B8461" i="1"/>
  <c r="G8461" i="1"/>
  <c r="K8461" i="1"/>
  <c r="A8462" i="1"/>
  <c r="B8462" i="1"/>
  <c r="G8462" i="1"/>
  <c r="K8462" i="1"/>
  <c r="A8463" i="1"/>
  <c r="B8463" i="1"/>
  <c r="G8463" i="1"/>
  <c r="K8463" i="1"/>
  <c r="A8464" i="1"/>
  <c r="B8464" i="1"/>
  <c r="G8464" i="1"/>
  <c r="K8464" i="1"/>
  <c r="A8465" i="1"/>
  <c r="B8465" i="1"/>
  <c r="G8465" i="1"/>
  <c r="K8465" i="1"/>
  <c r="A8466" i="1"/>
  <c r="B8466" i="1"/>
  <c r="G8466" i="1"/>
  <c r="K8466" i="1"/>
  <c r="A8467" i="1"/>
  <c r="B8467" i="1"/>
  <c r="G8467" i="1"/>
  <c r="K8467" i="1"/>
  <c r="A8468" i="1"/>
  <c r="B8468" i="1"/>
  <c r="G8468" i="1"/>
  <c r="K8468" i="1"/>
  <c r="A8469" i="1"/>
  <c r="B8469" i="1"/>
  <c r="G8469" i="1"/>
  <c r="K8469" i="1"/>
  <c r="A8470" i="1"/>
  <c r="B8470" i="1"/>
  <c r="G8470" i="1"/>
  <c r="K8470" i="1"/>
  <c r="A8471" i="1"/>
  <c r="B8471" i="1"/>
  <c r="G8471" i="1"/>
  <c r="K8471" i="1"/>
  <c r="A8472" i="1"/>
  <c r="B8472" i="1"/>
  <c r="G8472" i="1"/>
  <c r="K8472" i="1"/>
  <c r="A8473" i="1"/>
  <c r="B8473" i="1"/>
  <c r="G8473" i="1"/>
  <c r="K8473" i="1"/>
  <c r="A8474" i="1"/>
  <c r="B8474" i="1"/>
  <c r="G8474" i="1"/>
  <c r="K8474" i="1"/>
  <c r="A8475" i="1"/>
  <c r="B8475" i="1"/>
  <c r="G8475" i="1"/>
  <c r="K8475" i="1"/>
  <c r="A8476" i="1"/>
  <c r="B8476" i="1"/>
  <c r="G8476" i="1"/>
  <c r="K8476" i="1"/>
  <c r="A8477" i="1"/>
  <c r="B8477" i="1"/>
  <c r="G8477" i="1"/>
  <c r="K8477" i="1"/>
  <c r="A8478" i="1"/>
  <c r="B8478" i="1"/>
  <c r="G8478" i="1"/>
  <c r="K8478" i="1"/>
  <c r="A8479" i="1"/>
  <c r="B8479" i="1"/>
  <c r="G8479" i="1"/>
  <c r="K8479" i="1"/>
  <c r="A8480" i="1"/>
  <c r="B8480" i="1"/>
  <c r="G8480" i="1"/>
  <c r="K8480" i="1"/>
  <c r="A8481" i="1"/>
  <c r="B8481" i="1"/>
  <c r="G8481" i="1"/>
  <c r="K8481" i="1"/>
  <c r="A8482" i="1"/>
  <c r="B8482" i="1"/>
  <c r="G8482" i="1"/>
  <c r="K8482" i="1"/>
  <c r="A8483" i="1"/>
  <c r="B8483" i="1"/>
  <c r="G8483" i="1"/>
  <c r="K8483" i="1"/>
  <c r="A8484" i="1"/>
  <c r="B8484" i="1"/>
  <c r="G8484" i="1"/>
  <c r="K8484" i="1"/>
  <c r="A8485" i="1"/>
  <c r="B8485" i="1"/>
  <c r="G8485" i="1"/>
  <c r="K8485" i="1"/>
  <c r="A8486" i="1"/>
  <c r="B8486" i="1"/>
  <c r="G8486" i="1"/>
  <c r="K8486" i="1"/>
  <c r="A8487" i="1"/>
  <c r="B8487" i="1"/>
  <c r="G8487" i="1"/>
  <c r="K8487" i="1"/>
  <c r="A8488" i="1"/>
  <c r="B8488" i="1"/>
  <c r="G8488" i="1"/>
  <c r="K8488" i="1"/>
  <c r="A8489" i="1"/>
  <c r="B8489" i="1"/>
  <c r="G8489" i="1"/>
  <c r="K8489" i="1"/>
  <c r="A8490" i="1"/>
  <c r="B8490" i="1"/>
  <c r="G8490" i="1"/>
  <c r="K8490" i="1"/>
  <c r="A8491" i="1"/>
  <c r="B8491" i="1"/>
  <c r="G8491" i="1"/>
  <c r="K8491" i="1"/>
  <c r="A8492" i="1"/>
  <c r="B8492" i="1"/>
  <c r="G8492" i="1"/>
  <c r="K8492" i="1"/>
  <c r="A8493" i="1"/>
  <c r="B8493" i="1"/>
  <c r="G8493" i="1"/>
  <c r="K8493" i="1"/>
  <c r="A8494" i="1"/>
  <c r="B8494" i="1"/>
  <c r="G8494" i="1"/>
  <c r="K8494" i="1"/>
  <c r="A8495" i="1"/>
  <c r="B8495" i="1"/>
  <c r="G8495" i="1"/>
  <c r="K8495" i="1"/>
  <c r="A8496" i="1"/>
  <c r="B8496" i="1"/>
  <c r="G8496" i="1"/>
  <c r="K8496" i="1"/>
  <c r="A8497" i="1"/>
  <c r="B8497" i="1"/>
  <c r="G8497" i="1"/>
  <c r="K8497" i="1"/>
  <c r="A8498" i="1"/>
  <c r="B8498" i="1"/>
  <c r="G8498" i="1"/>
  <c r="K8498" i="1"/>
  <c r="A8499" i="1"/>
  <c r="B8499" i="1"/>
  <c r="G8499" i="1"/>
  <c r="K8499" i="1"/>
  <c r="A8500" i="1"/>
  <c r="B8500" i="1"/>
  <c r="G8500" i="1"/>
  <c r="K8500" i="1"/>
  <c r="A8501" i="1"/>
  <c r="B8501" i="1"/>
  <c r="G8501" i="1"/>
  <c r="K8501" i="1"/>
  <c r="A8502" i="1"/>
  <c r="B8502" i="1"/>
  <c r="G8502" i="1"/>
  <c r="K8502" i="1"/>
  <c r="A8503" i="1"/>
  <c r="B8503" i="1"/>
  <c r="G8503" i="1"/>
  <c r="K8503" i="1"/>
  <c r="A8504" i="1"/>
  <c r="B8504" i="1"/>
  <c r="G8504" i="1"/>
  <c r="K8504" i="1"/>
  <c r="A8505" i="1"/>
  <c r="B8505" i="1"/>
  <c r="G8505" i="1"/>
  <c r="K8505" i="1"/>
  <c r="A8506" i="1"/>
  <c r="B8506" i="1"/>
  <c r="G8506" i="1"/>
  <c r="K8506" i="1"/>
  <c r="A8507" i="1"/>
  <c r="B8507" i="1"/>
  <c r="G8507" i="1"/>
  <c r="K8507" i="1"/>
  <c r="A8508" i="1"/>
  <c r="B8508" i="1"/>
  <c r="G8508" i="1"/>
  <c r="K8508" i="1"/>
  <c r="A8509" i="1"/>
  <c r="B8509" i="1"/>
  <c r="G8509" i="1"/>
  <c r="K8509" i="1"/>
  <c r="A8510" i="1"/>
  <c r="B8510" i="1"/>
  <c r="G8510" i="1"/>
  <c r="K8510" i="1"/>
  <c r="A8511" i="1"/>
  <c r="B8511" i="1"/>
  <c r="G8511" i="1"/>
  <c r="K8511" i="1"/>
  <c r="A8512" i="1"/>
  <c r="B8512" i="1"/>
  <c r="G8512" i="1"/>
  <c r="K8512" i="1"/>
  <c r="A8513" i="1"/>
  <c r="B8513" i="1"/>
  <c r="G8513" i="1"/>
  <c r="K8513" i="1"/>
  <c r="A8514" i="1"/>
  <c r="B8514" i="1"/>
  <c r="G8514" i="1"/>
  <c r="K8514" i="1"/>
  <c r="A8515" i="1"/>
  <c r="B8515" i="1"/>
  <c r="G8515" i="1"/>
  <c r="K8515" i="1"/>
  <c r="A8516" i="1"/>
  <c r="B8516" i="1"/>
  <c r="G8516" i="1"/>
  <c r="K8516" i="1"/>
  <c r="A8517" i="1"/>
  <c r="B8517" i="1"/>
  <c r="G8517" i="1"/>
  <c r="K8517" i="1"/>
  <c r="A8518" i="1"/>
  <c r="B8518" i="1"/>
  <c r="G8518" i="1"/>
  <c r="K8518" i="1"/>
  <c r="A8519" i="1"/>
  <c r="B8519" i="1"/>
  <c r="G8519" i="1"/>
  <c r="K8519" i="1"/>
  <c r="A8520" i="1"/>
  <c r="B8520" i="1"/>
  <c r="G8520" i="1"/>
  <c r="K8520" i="1"/>
  <c r="A8521" i="1"/>
  <c r="B8521" i="1"/>
  <c r="G8521" i="1"/>
  <c r="K8521" i="1"/>
  <c r="A8522" i="1"/>
  <c r="B8522" i="1"/>
  <c r="G8522" i="1"/>
  <c r="K8522" i="1"/>
  <c r="A8523" i="1"/>
  <c r="B8523" i="1"/>
  <c r="G8523" i="1"/>
  <c r="K8523" i="1"/>
  <c r="A8524" i="1"/>
  <c r="B8524" i="1"/>
  <c r="G8524" i="1"/>
  <c r="K8524" i="1"/>
  <c r="A8525" i="1"/>
  <c r="B8525" i="1"/>
  <c r="G8525" i="1"/>
  <c r="K8525" i="1"/>
  <c r="A8526" i="1"/>
  <c r="B8526" i="1"/>
  <c r="G8526" i="1"/>
  <c r="K8526" i="1"/>
  <c r="A8527" i="1"/>
  <c r="B8527" i="1"/>
  <c r="G8527" i="1"/>
  <c r="K8527" i="1"/>
  <c r="A8528" i="1"/>
  <c r="B8528" i="1"/>
  <c r="G8528" i="1"/>
  <c r="K8528" i="1"/>
  <c r="A8529" i="1"/>
  <c r="B8529" i="1"/>
  <c r="G8529" i="1"/>
  <c r="K8529" i="1"/>
  <c r="A8530" i="1"/>
  <c r="B8530" i="1"/>
  <c r="G8530" i="1"/>
  <c r="K8530" i="1"/>
  <c r="A8531" i="1"/>
  <c r="B8531" i="1"/>
  <c r="G8531" i="1"/>
  <c r="K8531" i="1"/>
  <c r="A8532" i="1"/>
  <c r="B8532" i="1"/>
  <c r="G8532" i="1"/>
  <c r="K8532" i="1"/>
  <c r="A8533" i="1"/>
  <c r="B8533" i="1"/>
  <c r="G8533" i="1"/>
  <c r="K8533" i="1"/>
  <c r="A8534" i="1"/>
  <c r="B8534" i="1"/>
  <c r="G8534" i="1"/>
  <c r="K8534" i="1"/>
  <c r="A8535" i="1"/>
  <c r="B8535" i="1"/>
  <c r="G8535" i="1"/>
  <c r="K8535" i="1"/>
  <c r="A8536" i="1"/>
  <c r="B8536" i="1"/>
  <c r="G8536" i="1"/>
  <c r="K8536" i="1"/>
  <c r="A8537" i="1"/>
  <c r="B8537" i="1"/>
  <c r="G8537" i="1"/>
  <c r="K8537" i="1"/>
  <c r="A8538" i="1"/>
  <c r="B8538" i="1"/>
  <c r="G8538" i="1"/>
  <c r="K8538" i="1"/>
  <c r="A8539" i="1"/>
  <c r="B8539" i="1"/>
  <c r="G8539" i="1"/>
  <c r="K8539" i="1"/>
  <c r="A8540" i="1"/>
  <c r="B8540" i="1"/>
  <c r="G8540" i="1"/>
  <c r="K8540" i="1"/>
  <c r="A8541" i="1"/>
  <c r="B8541" i="1"/>
  <c r="G8541" i="1"/>
  <c r="K8541" i="1"/>
  <c r="A8542" i="1"/>
  <c r="B8542" i="1"/>
  <c r="G8542" i="1"/>
  <c r="K8542" i="1"/>
  <c r="A8543" i="1"/>
  <c r="B8543" i="1"/>
  <c r="G8543" i="1"/>
  <c r="K8543" i="1"/>
  <c r="A8544" i="1"/>
  <c r="B8544" i="1"/>
  <c r="G8544" i="1"/>
  <c r="K8544" i="1"/>
  <c r="A8545" i="1"/>
  <c r="B8545" i="1"/>
  <c r="G8545" i="1"/>
  <c r="K8545" i="1"/>
  <c r="A8546" i="1"/>
  <c r="B8546" i="1"/>
  <c r="G8546" i="1"/>
  <c r="K8546" i="1"/>
  <c r="A8547" i="1"/>
  <c r="B8547" i="1"/>
  <c r="G8547" i="1"/>
  <c r="K8547" i="1"/>
  <c r="A8548" i="1"/>
  <c r="B8548" i="1"/>
  <c r="G8548" i="1"/>
  <c r="K8548" i="1"/>
  <c r="A8549" i="1"/>
  <c r="B8549" i="1"/>
  <c r="G8549" i="1"/>
  <c r="K8549" i="1"/>
  <c r="A8550" i="1"/>
  <c r="B8550" i="1"/>
  <c r="G8550" i="1"/>
  <c r="K8550" i="1"/>
  <c r="A8551" i="1"/>
  <c r="B8551" i="1"/>
  <c r="G8551" i="1"/>
  <c r="K8551" i="1"/>
  <c r="A8552" i="1"/>
  <c r="B8552" i="1"/>
  <c r="G8552" i="1"/>
  <c r="K8552" i="1"/>
  <c r="A8553" i="1"/>
  <c r="B8553" i="1"/>
  <c r="G8553" i="1"/>
  <c r="K8553" i="1"/>
  <c r="A8554" i="1"/>
  <c r="B8554" i="1"/>
  <c r="G8554" i="1"/>
  <c r="K8554" i="1"/>
  <c r="A8555" i="1"/>
  <c r="B8555" i="1"/>
  <c r="G8555" i="1"/>
  <c r="K8555" i="1"/>
  <c r="A8556" i="1"/>
  <c r="B8556" i="1"/>
  <c r="G8556" i="1"/>
  <c r="K8556" i="1"/>
  <c r="A8557" i="1"/>
  <c r="B8557" i="1"/>
  <c r="G8557" i="1"/>
  <c r="K8557" i="1"/>
  <c r="A8558" i="1"/>
  <c r="B8558" i="1"/>
  <c r="G8558" i="1"/>
  <c r="K8558" i="1"/>
  <c r="A8559" i="1"/>
  <c r="B8559" i="1"/>
  <c r="G8559" i="1"/>
  <c r="K8559" i="1"/>
  <c r="A8560" i="1"/>
  <c r="B8560" i="1"/>
  <c r="G8560" i="1"/>
  <c r="K8560" i="1"/>
  <c r="A8561" i="1"/>
  <c r="B8561" i="1"/>
  <c r="G8561" i="1"/>
  <c r="K8561" i="1"/>
  <c r="A8562" i="1"/>
  <c r="B8562" i="1"/>
  <c r="G8562" i="1"/>
  <c r="K8562" i="1"/>
  <c r="A8563" i="1"/>
  <c r="B8563" i="1"/>
  <c r="G8563" i="1"/>
  <c r="K8563" i="1"/>
  <c r="A8564" i="1"/>
  <c r="B8564" i="1"/>
  <c r="G8564" i="1"/>
  <c r="K8564" i="1"/>
  <c r="A8565" i="1"/>
  <c r="B8565" i="1"/>
  <c r="G8565" i="1"/>
  <c r="K8565" i="1"/>
  <c r="A8566" i="1"/>
  <c r="B8566" i="1"/>
  <c r="G8566" i="1"/>
  <c r="K8566" i="1"/>
  <c r="A8567" i="1"/>
  <c r="B8567" i="1"/>
  <c r="G8567" i="1"/>
  <c r="K8567" i="1"/>
  <c r="A8568" i="1"/>
  <c r="B8568" i="1"/>
  <c r="G8568" i="1"/>
  <c r="K8568" i="1"/>
  <c r="A8569" i="1"/>
  <c r="B8569" i="1"/>
  <c r="G8569" i="1"/>
  <c r="K8569" i="1"/>
  <c r="A8570" i="1"/>
  <c r="B8570" i="1"/>
  <c r="G8570" i="1"/>
  <c r="K8570" i="1"/>
  <c r="A8571" i="1"/>
  <c r="B8571" i="1"/>
  <c r="G8571" i="1"/>
  <c r="K8571" i="1"/>
  <c r="A8572" i="1"/>
  <c r="B8572" i="1"/>
  <c r="G8572" i="1"/>
  <c r="K8572" i="1"/>
  <c r="A8573" i="1"/>
  <c r="B8573" i="1"/>
  <c r="G8573" i="1"/>
  <c r="K8573" i="1"/>
  <c r="A8574" i="1"/>
  <c r="B8574" i="1"/>
  <c r="G8574" i="1"/>
  <c r="K8574" i="1"/>
  <c r="A8575" i="1"/>
  <c r="B8575" i="1"/>
  <c r="G8575" i="1"/>
  <c r="K8575" i="1"/>
  <c r="A8576" i="1"/>
  <c r="B8576" i="1"/>
  <c r="G8576" i="1"/>
  <c r="K8576" i="1"/>
  <c r="A8577" i="1"/>
  <c r="B8577" i="1"/>
  <c r="G8577" i="1"/>
  <c r="K8577" i="1"/>
  <c r="A8578" i="1"/>
  <c r="B8578" i="1"/>
  <c r="G8578" i="1"/>
  <c r="K8578" i="1"/>
  <c r="A8579" i="1"/>
  <c r="B8579" i="1"/>
  <c r="G8579" i="1"/>
  <c r="K8579" i="1"/>
  <c r="A8580" i="1"/>
  <c r="B8580" i="1"/>
  <c r="G8580" i="1"/>
  <c r="K8580" i="1"/>
  <c r="A8581" i="1"/>
  <c r="B8581" i="1"/>
  <c r="G8581" i="1"/>
  <c r="K8581" i="1"/>
  <c r="A8582" i="1"/>
  <c r="B8582" i="1"/>
  <c r="G8582" i="1"/>
  <c r="K8582" i="1"/>
  <c r="A8583" i="1"/>
  <c r="B8583" i="1"/>
  <c r="G8583" i="1"/>
  <c r="K8583" i="1"/>
  <c r="A8584" i="1"/>
  <c r="B8584" i="1"/>
  <c r="G8584" i="1"/>
  <c r="K8584" i="1"/>
  <c r="A8585" i="1"/>
  <c r="B8585" i="1"/>
  <c r="G8585" i="1"/>
  <c r="K8585" i="1"/>
  <c r="A8586" i="1"/>
  <c r="B8586" i="1"/>
  <c r="G8586" i="1"/>
  <c r="K8586" i="1"/>
  <c r="A8587" i="1"/>
  <c r="B8587" i="1"/>
  <c r="G8587" i="1"/>
  <c r="K8587" i="1"/>
  <c r="A8588" i="1"/>
  <c r="B8588" i="1"/>
  <c r="G8588" i="1"/>
  <c r="K8588" i="1"/>
  <c r="A8589" i="1"/>
  <c r="B8589" i="1"/>
  <c r="G8589" i="1"/>
  <c r="K8589" i="1"/>
  <c r="A8590" i="1"/>
  <c r="B8590" i="1"/>
  <c r="G8590" i="1"/>
  <c r="K8590" i="1"/>
  <c r="A8591" i="1"/>
  <c r="B8591" i="1"/>
  <c r="G8591" i="1"/>
  <c r="K8591" i="1"/>
  <c r="A8592" i="1"/>
  <c r="B8592" i="1"/>
  <c r="G8592" i="1"/>
  <c r="K8592" i="1"/>
  <c r="A8593" i="1"/>
  <c r="B8593" i="1"/>
  <c r="G8593" i="1"/>
  <c r="K8593" i="1"/>
  <c r="A8594" i="1"/>
  <c r="B8594" i="1"/>
  <c r="G8594" i="1"/>
  <c r="K8594" i="1"/>
  <c r="A8595" i="1"/>
  <c r="B8595" i="1"/>
  <c r="G8595" i="1"/>
  <c r="K8595" i="1"/>
  <c r="A8596" i="1"/>
  <c r="B8596" i="1"/>
  <c r="G8596" i="1"/>
  <c r="K8596" i="1"/>
  <c r="A8597" i="1"/>
  <c r="B8597" i="1"/>
  <c r="G8597" i="1"/>
  <c r="K8597" i="1"/>
  <c r="A8598" i="1"/>
  <c r="B8598" i="1"/>
  <c r="G8598" i="1"/>
  <c r="K8598" i="1"/>
  <c r="A8599" i="1"/>
  <c r="B8599" i="1"/>
  <c r="G8599" i="1"/>
  <c r="K8599" i="1"/>
  <c r="A8600" i="1"/>
  <c r="B8600" i="1"/>
  <c r="G8600" i="1"/>
  <c r="K8600" i="1"/>
  <c r="A8601" i="1"/>
  <c r="B8601" i="1"/>
  <c r="G8601" i="1"/>
  <c r="K8601" i="1"/>
  <c r="A8602" i="1"/>
  <c r="B8602" i="1"/>
  <c r="G8602" i="1"/>
  <c r="K8602" i="1"/>
  <c r="A8603" i="1"/>
  <c r="B8603" i="1"/>
  <c r="G8603" i="1"/>
  <c r="K8603" i="1"/>
  <c r="A8604" i="1"/>
  <c r="B8604" i="1"/>
  <c r="G8604" i="1"/>
  <c r="K8604" i="1"/>
  <c r="A8605" i="1"/>
  <c r="B8605" i="1"/>
  <c r="G8605" i="1"/>
  <c r="K8605" i="1"/>
  <c r="A8606" i="1"/>
  <c r="B8606" i="1"/>
  <c r="G8606" i="1"/>
  <c r="K8606" i="1"/>
  <c r="A8607" i="1"/>
  <c r="B8607" i="1"/>
  <c r="G8607" i="1"/>
  <c r="K8607" i="1"/>
  <c r="A8608" i="1"/>
  <c r="B8608" i="1"/>
  <c r="G8608" i="1"/>
  <c r="K8608" i="1"/>
  <c r="A8609" i="1"/>
  <c r="B8609" i="1"/>
  <c r="G8609" i="1"/>
  <c r="K8609" i="1"/>
  <c r="A8610" i="1"/>
  <c r="B8610" i="1"/>
  <c r="G8610" i="1"/>
  <c r="K8610" i="1"/>
  <c r="A8611" i="1"/>
  <c r="B8611" i="1"/>
  <c r="G8611" i="1"/>
  <c r="K8611" i="1"/>
  <c r="A8612" i="1"/>
  <c r="B8612" i="1"/>
  <c r="G8612" i="1"/>
  <c r="K8612" i="1"/>
  <c r="A8613" i="1"/>
  <c r="B8613" i="1"/>
  <c r="G8613" i="1"/>
  <c r="K8613" i="1"/>
  <c r="A8614" i="1"/>
  <c r="B8614" i="1"/>
  <c r="G8614" i="1"/>
  <c r="K8614" i="1"/>
  <c r="A8615" i="1"/>
  <c r="B8615" i="1"/>
  <c r="G8615" i="1"/>
  <c r="K8615" i="1"/>
  <c r="A8616" i="1"/>
  <c r="B8616" i="1"/>
  <c r="G8616" i="1"/>
  <c r="K8616" i="1"/>
  <c r="A8617" i="1"/>
  <c r="B8617" i="1"/>
  <c r="G8617" i="1"/>
  <c r="K8617" i="1"/>
  <c r="A8618" i="1"/>
  <c r="B8618" i="1"/>
  <c r="G8618" i="1"/>
  <c r="K8618" i="1"/>
  <c r="A8619" i="1"/>
  <c r="B8619" i="1"/>
  <c r="G8619" i="1"/>
  <c r="K8619" i="1"/>
  <c r="A8620" i="1"/>
  <c r="B8620" i="1"/>
  <c r="G8620" i="1"/>
  <c r="K8620" i="1"/>
  <c r="A8621" i="1"/>
  <c r="B8621" i="1"/>
  <c r="G8621" i="1"/>
  <c r="K8621" i="1"/>
  <c r="A8622" i="1"/>
  <c r="B8622" i="1"/>
  <c r="G8622" i="1"/>
  <c r="K8622" i="1"/>
  <c r="A8623" i="1"/>
  <c r="B8623" i="1"/>
  <c r="G8623" i="1"/>
  <c r="K8623" i="1"/>
  <c r="A8624" i="1"/>
  <c r="B8624" i="1"/>
  <c r="G8624" i="1"/>
  <c r="K8624" i="1"/>
  <c r="A8625" i="1"/>
  <c r="B8625" i="1"/>
  <c r="G8625" i="1"/>
  <c r="K8625" i="1"/>
  <c r="A8626" i="1"/>
  <c r="B8626" i="1"/>
  <c r="G8626" i="1"/>
  <c r="K8626" i="1"/>
  <c r="A8627" i="1"/>
  <c r="B8627" i="1"/>
  <c r="G8627" i="1"/>
  <c r="K8627" i="1"/>
  <c r="A8628" i="1"/>
  <c r="B8628" i="1"/>
  <c r="G8628" i="1"/>
  <c r="K8628" i="1"/>
  <c r="A8629" i="1"/>
  <c r="B8629" i="1"/>
  <c r="G8629" i="1"/>
  <c r="K8629" i="1"/>
  <c r="A8630" i="1"/>
  <c r="B8630" i="1"/>
  <c r="G8630" i="1"/>
  <c r="K8630" i="1"/>
  <c r="A8631" i="1"/>
  <c r="B8631" i="1"/>
  <c r="G8631" i="1"/>
  <c r="K8631" i="1"/>
  <c r="A8632" i="1"/>
  <c r="B8632" i="1"/>
  <c r="G8632" i="1"/>
  <c r="K8632" i="1"/>
  <c r="A8633" i="1"/>
  <c r="B8633" i="1"/>
  <c r="G8633" i="1"/>
  <c r="K8633" i="1"/>
  <c r="A8634" i="1"/>
  <c r="B8634" i="1"/>
  <c r="G8634" i="1"/>
  <c r="K8634" i="1"/>
  <c r="A8635" i="1"/>
  <c r="B8635" i="1"/>
  <c r="G8635" i="1"/>
  <c r="K8635" i="1"/>
  <c r="A8636" i="1"/>
  <c r="B8636" i="1"/>
  <c r="G8636" i="1"/>
  <c r="K8636" i="1"/>
  <c r="A8637" i="1"/>
  <c r="B8637" i="1"/>
  <c r="G8637" i="1"/>
  <c r="K8637" i="1"/>
  <c r="A8638" i="1"/>
  <c r="B8638" i="1"/>
  <c r="G8638" i="1"/>
  <c r="K8638" i="1"/>
  <c r="A8639" i="1"/>
  <c r="B8639" i="1"/>
  <c r="G8639" i="1"/>
  <c r="K8639" i="1"/>
  <c r="A8640" i="1"/>
  <c r="B8640" i="1"/>
  <c r="G8640" i="1"/>
  <c r="K8640" i="1"/>
  <c r="A8641" i="1"/>
  <c r="B8641" i="1"/>
  <c r="G8641" i="1"/>
  <c r="K8641" i="1"/>
  <c r="A8642" i="1"/>
  <c r="B8642" i="1"/>
  <c r="G8642" i="1"/>
  <c r="K8642" i="1"/>
  <c r="A8643" i="1"/>
  <c r="B8643" i="1"/>
  <c r="G8643" i="1"/>
  <c r="K8643" i="1"/>
  <c r="A8644" i="1"/>
  <c r="B8644" i="1"/>
  <c r="G8644" i="1"/>
  <c r="K8644" i="1"/>
  <c r="A8645" i="1"/>
  <c r="B8645" i="1"/>
  <c r="G8645" i="1"/>
  <c r="K8645" i="1"/>
  <c r="A8646" i="1"/>
  <c r="B8646" i="1"/>
  <c r="G8646" i="1"/>
  <c r="K8646" i="1"/>
  <c r="A8647" i="1"/>
  <c r="B8647" i="1"/>
  <c r="G8647" i="1"/>
  <c r="K8647" i="1"/>
  <c r="A8648" i="1"/>
  <c r="B8648" i="1"/>
  <c r="G8648" i="1"/>
  <c r="K8648" i="1"/>
  <c r="A8649" i="1"/>
  <c r="B8649" i="1"/>
  <c r="G8649" i="1"/>
  <c r="K8649" i="1"/>
  <c r="A8650" i="1"/>
  <c r="B8650" i="1"/>
  <c r="G8650" i="1"/>
  <c r="K8650" i="1"/>
  <c r="A8651" i="1"/>
  <c r="B8651" i="1"/>
  <c r="G8651" i="1"/>
  <c r="K8651" i="1"/>
  <c r="A8652" i="1"/>
  <c r="B8652" i="1"/>
  <c r="G8652" i="1"/>
  <c r="K8652" i="1"/>
  <c r="A8653" i="1"/>
  <c r="B8653" i="1"/>
  <c r="G8653" i="1"/>
  <c r="K8653" i="1"/>
  <c r="A8654" i="1"/>
  <c r="B8654" i="1"/>
  <c r="G8654" i="1"/>
  <c r="K8654" i="1"/>
  <c r="A8655" i="1"/>
  <c r="B8655" i="1"/>
  <c r="G8655" i="1"/>
  <c r="K8655" i="1"/>
  <c r="A8656" i="1"/>
  <c r="B8656" i="1"/>
  <c r="G8656" i="1"/>
  <c r="K8656" i="1"/>
  <c r="A8657" i="1"/>
  <c r="B8657" i="1"/>
  <c r="G8657" i="1"/>
  <c r="K8657" i="1"/>
  <c r="A8658" i="1"/>
  <c r="B8658" i="1"/>
  <c r="G8658" i="1"/>
  <c r="K8658" i="1"/>
  <c r="A8659" i="1"/>
  <c r="B8659" i="1"/>
  <c r="G8659" i="1"/>
  <c r="K8659" i="1"/>
  <c r="A8660" i="1"/>
  <c r="B8660" i="1"/>
  <c r="G8660" i="1"/>
  <c r="K8660" i="1"/>
  <c r="A8661" i="1"/>
  <c r="B8661" i="1"/>
  <c r="G8661" i="1"/>
  <c r="K8661" i="1"/>
  <c r="A8662" i="1"/>
  <c r="B8662" i="1"/>
  <c r="G8662" i="1"/>
  <c r="K8662" i="1"/>
  <c r="A8663" i="1"/>
  <c r="B8663" i="1"/>
  <c r="G8663" i="1"/>
  <c r="K8663" i="1"/>
  <c r="A8664" i="1"/>
  <c r="B8664" i="1"/>
  <c r="G8664" i="1"/>
  <c r="K8664" i="1"/>
  <c r="A8665" i="1"/>
  <c r="B8665" i="1"/>
  <c r="G8665" i="1"/>
  <c r="K8665" i="1"/>
  <c r="A8666" i="1"/>
  <c r="B8666" i="1"/>
  <c r="G8666" i="1"/>
  <c r="K8666" i="1"/>
  <c r="A8667" i="1"/>
  <c r="B8667" i="1"/>
  <c r="G8667" i="1"/>
  <c r="K8667" i="1"/>
  <c r="A8668" i="1"/>
  <c r="B8668" i="1"/>
  <c r="G8668" i="1"/>
  <c r="K8668" i="1"/>
  <c r="A8669" i="1"/>
  <c r="B8669" i="1"/>
  <c r="G8669" i="1"/>
  <c r="K8669" i="1"/>
  <c r="A8670" i="1"/>
  <c r="B8670" i="1"/>
  <c r="G8670" i="1"/>
  <c r="K8670" i="1"/>
  <c r="A8671" i="1"/>
  <c r="B8671" i="1"/>
  <c r="G8671" i="1"/>
  <c r="K8671" i="1"/>
  <c r="A8672" i="1"/>
  <c r="B8672" i="1"/>
  <c r="G8672" i="1"/>
  <c r="K8672" i="1"/>
  <c r="A8673" i="1"/>
  <c r="B8673" i="1"/>
  <c r="G8673" i="1"/>
  <c r="K8673" i="1"/>
  <c r="A8674" i="1"/>
  <c r="B8674" i="1"/>
  <c r="G8674" i="1"/>
  <c r="K8674" i="1"/>
  <c r="A8675" i="1"/>
  <c r="B8675" i="1"/>
  <c r="G8675" i="1"/>
  <c r="K8675" i="1"/>
  <c r="A8676" i="1"/>
  <c r="B8676" i="1"/>
  <c r="G8676" i="1"/>
  <c r="K8676" i="1"/>
  <c r="A8677" i="1"/>
  <c r="B8677" i="1"/>
  <c r="G8677" i="1"/>
  <c r="K8677" i="1"/>
  <c r="A8678" i="1"/>
  <c r="B8678" i="1"/>
  <c r="G8678" i="1"/>
  <c r="K8678" i="1"/>
  <c r="A8679" i="1"/>
  <c r="B8679" i="1"/>
  <c r="G8679" i="1"/>
  <c r="K8679" i="1"/>
  <c r="A8680" i="1"/>
  <c r="B8680" i="1"/>
  <c r="G8680" i="1"/>
  <c r="K8680" i="1"/>
  <c r="A8681" i="1"/>
  <c r="B8681" i="1"/>
  <c r="G8681" i="1"/>
  <c r="K8681" i="1"/>
  <c r="A8682" i="1"/>
  <c r="B8682" i="1"/>
  <c r="G8682" i="1"/>
  <c r="K8682" i="1"/>
  <c r="A8683" i="1"/>
  <c r="B8683" i="1"/>
  <c r="G8683" i="1"/>
  <c r="K8683" i="1"/>
  <c r="A8684" i="1"/>
  <c r="B8684" i="1"/>
  <c r="G8684" i="1"/>
  <c r="K8684" i="1"/>
  <c r="A8685" i="1"/>
  <c r="B8685" i="1"/>
  <c r="G8685" i="1"/>
  <c r="K8685" i="1"/>
  <c r="A8686" i="1"/>
  <c r="B8686" i="1"/>
  <c r="G8686" i="1"/>
  <c r="K8686" i="1"/>
  <c r="A8687" i="1"/>
  <c r="B8687" i="1"/>
  <c r="G8687" i="1"/>
  <c r="K8687" i="1"/>
  <c r="A8688" i="1"/>
  <c r="B8688" i="1"/>
  <c r="G8688" i="1"/>
  <c r="K8688" i="1"/>
  <c r="A8689" i="1"/>
  <c r="B8689" i="1"/>
  <c r="G8689" i="1"/>
  <c r="K8689" i="1"/>
  <c r="A8690" i="1"/>
  <c r="B8690" i="1"/>
  <c r="G8690" i="1"/>
  <c r="K8690" i="1"/>
  <c r="A8691" i="1"/>
  <c r="B8691" i="1"/>
  <c r="G8691" i="1"/>
  <c r="K8691" i="1"/>
  <c r="A8692" i="1"/>
  <c r="B8692" i="1"/>
  <c r="G8692" i="1"/>
  <c r="K8692" i="1"/>
  <c r="A8693" i="1"/>
  <c r="B8693" i="1"/>
  <c r="G8693" i="1"/>
  <c r="K8693" i="1"/>
  <c r="A8694" i="1"/>
  <c r="B8694" i="1"/>
  <c r="G8694" i="1"/>
  <c r="K8694" i="1"/>
  <c r="A8695" i="1"/>
  <c r="B8695" i="1"/>
  <c r="G8695" i="1"/>
  <c r="K8695" i="1"/>
  <c r="A8696" i="1"/>
  <c r="B8696" i="1"/>
  <c r="G8696" i="1"/>
  <c r="K8696" i="1"/>
  <c r="A8697" i="1"/>
  <c r="B8697" i="1"/>
  <c r="G8697" i="1"/>
  <c r="K8697" i="1"/>
  <c r="A8698" i="1"/>
  <c r="B8698" i="1"/>
  <c r="G8698" i="1"/>
  <c r="K8698" i="1"/>
  <c r="A8699" i="1"/>
  <c r="B8699" i="1"/>
  <c r="G8699" i="1"/>
  <c r="K8699" i="1"/>
  <c r="A8700" i="1"/>
  <c r="B8700" i="1"/>
  <c r="G8700" i="1"/>
  <c r="K8700" i="1"/>
  <c r="A8701" i="1"/>
  <c r="B8701" i="1"/>
  <c r="G8701" i="1"/>
  <c r="K8701" i="1"/>
  <c r="A8702" i="1"/>
  <c r="B8702" i="1"/>
  <c r="G8702" i="1"/>
  <c r="K8702" i="1"/>
  <c r="A8703" i="1"/>
  <c r="B8703" i="1"/>
  <c r="G8703" i="1"/>
  <c r="K8703" i="1"/>
  <c r="A8704" i="1"/>
  <c r="B8704" i="1"/>
  <c r="G8704" i="1"/>
  <c r="K8704" i="1"/>
  <c r="A8705" i="1"/>
  <c r="B8705" i="1"/>
  <c r="G8705" i="1"/>
  <c r="K8705" i="1"/>
  <c r="A8706" i="1"/>
  <c r="B8706" i="1"/>
  <c r="G8706" i="1"/>
  <c r="K8706" i="1"/>
  <c r="A8707" i="1"/>
  <c r="B8707" i="1"/>
  <c r="G8707" i="1"/>
  <c r="K8707" i="1"/>
  <c r="A8708" i="1"/>
  <c r="B8708" i="1"/>
  <c r="G8708" i="1"/>
  <c r="K8708" i="1"/>
  <c r="A8709" i="1"/>
  <c r="B8709" i="1"/>
  <c r="G8709" i="1"/>
  <c r="K8709" i="1"/>
  <c r="A8710" i="1"/>
  <c r="B8710" i="1"/>
  <c r="G8710" i="1"/>
  <c r="K8710" i="1"/>
  <c r="A8711" i="1"/>
  <c r="B8711" i="1"/>
  <c r="G8711" i="1"/>
  <c r="K8711" i="1"/>
  <c r="A8712" i="1"/>
  <c r="B8712" i="1"/>
  <c r="G8712" i="1"/>
  <c r="K8712" i="1"/>
  <c r="A8713" i="1"/>
  <c r="B8713" i="1"/>
  <c r="G8713" i="1"/>
  <c r="K8713" i="1"/>
  <c r="A8714" i="1"/>
  <c r="B8714" i="1"/>
  <c r="G8714" i="1"/>
  <c r="K8714" i="1"/>
  <c r="A8715" i="1"/>
  <c r="B8715" i="1"/>
  <c r="G8715" i="1"/>
  <c r="K8715" i="1"/>
  <c r="A8716" i="1"/>
  <c r="B8716" i="1"/>
  <c r="G8716" i="1"/>
  <c r="K8716" i="1"/>
  <c r="A8717" i="1"/>
  <c r="B8717" i="1"/>
  <c r="G8717" i="1"/>
  <c r="K8717" i="1"/>
  <c r="A8718" i="1"/>
  <c r="B8718" i="1"/>
  <c r="G8718" i="1"/>
  <c r="K8718" i="1"/>
  <c r="A8719" i="1"/>
  <c r="B8719" i="1"/>
  <c r="G8719" i="1"/>
  <c r="K8719" i="1"/>
  <c r="A8720" i="1"/>
  <c r="B8720" i="1"/>
  <c r="G8720" i="1"/>
  <c r="K8720" i="1"/>
  <c r="A8721" i="1"/>
  <c r="B8721" i="1"/>
  <c r="G8721" i="1"/>
  <c r="K8721" i="1"/>
  <c r="A8722" i="1"/>
  <c r="B8722" i="1"/>
  <c r="G8722" i="1"/>
  <c r="K8722" i="1"/>
  <c r="A8723" i="1"/>
  <c r="B8723" i="1"/>
  <c r="G8723" i="1"/>
  <c r="K8723" i="1"/>
  <c r="A8724" i="1"/>
  <c r="B8724" i="1"/>
  <c r="G8724" i="1"/>
  <c r="K8724" i="1"/>
  <c r="A8725" i="1"/>
  <c r="B8725" i="1"/>
  <c r="G8725" i="1"/>
  <c r="K8725" i="1"/>
  <c r="A8726" i="1"/>
  <c r="B8726" i="1"/>
  <c r="G8726" i="1"/>
  <c r="K8726" i="1"/>
  <c r="A8727" i="1"/>
  <c r="B8727" i="1"/>
  <c r="G8727" i="1"/>
  <c r="K8727" i="1"/>
  <c r="A8728" i="1"/>
  <c r="B8728" i="1"/>
  <c r="G8728" i="1"/>
  <c r="K8728" i="1"/>
  <c r="A8729" i="1"/>
  <c r="B8729" i="1"/>
  <c r="G8729" i="1"/>
  <c r="K8729" i="1"/>
  <c r="A8730" i="1"/>
  <c r="B8730" i="1"/>
  <c r="G8730" i="1"/>
  <c r="K8730" i="1"/>
  <c r="A8731" i="1"/>
  <c r="B8731" i="1"/>
  <c r="G8731" i="1"/>
  <c r="K8731" i="1"/>
  <c r="A8732" i="1"/>
  <c r="B8732" i="1"/>
  <c r="G8732" i="1"/>
  <c r="K8732" i="1"/>
  <c r="A8733" i="1"/>
  <c r="B8733" i="1"/>
  <c r="G8733" i="1"/>
  <c r="K8733" i="1"/>
  <c r="A8734" i="1"/>
  <c r="B8734" i="1"/>
  <c r="G8734" i="1"/>
  <c r="K8734" i="1"/>
  <c r="A8735" i="1"/>
  <c r="B8735" i="1"/>
  <c r="G8735" i="1"/>
  <c r="K8735" i="1"/>
  <c r="A8736" i="1"/>
  <c r="B8736" i="1"/>
  <c r="G8736" i="1"/>
  <c r="K8736" i="1"/>
  <c r="A8737" i="1"/>
  <c r="B8737" i="1"/>
  <c r="G8737" i="1"/>
  <c r="K8737" i="1"/>
  <c r="A8738" i="1"/>
  <c r="B8738" i="1"/>
  <c r="G8738" i="1"/>
  <c r="K8738" i="1"/>
  <c r="A8739" i="1"/>
  <c r="B8739" i="1"/>
  <c r="G8739" i="1"/>
  <c r="K8739" i="1"/>
  <c r="A8740" i="1"/>
  <c r="B8740" i="1"/>
  <c r="G8740" i="1"/>
  <c r="K8740" i="1"/>
  <c r="A8741" i="1"/>
  <c r="B8741" i="1"/>
  <c r="G8741" i="1"/>
  <c r="K8741" i="1"/>
  <c r="A8742" i="1"/>
  <c r="B8742" i="1"/>
  <c r="G8742" i="1"/>
  <c r="K8742" i="1"/>
  <c r="A8743" i="1"/>
  <c r="B8743" i="1"/>
  <c r="G8743" i="1"/>
  <c r="K8743" i="1"/>
  <c r="A8744" i="1"/>
  <c r="B8744" i="1"/>
  <c r="G8744" i="1"/>
  <c r="K8744" i="1"/>
  <c r="A8745" i="1"/>
  <c r="B8745" i="1"/>
  <c r="G8745" i="1"/>
  <c r="K8745" i="1"/>
  <c r="A8746" i="1"/>
  <c r="B8746" i="1"/>
  <c r="G8746" i="1"/>
  <c r="K8746" i="1"/>
  <c r="A8747" i="1"/>
  <c r="B8747" i="1"/>
  <c r="G8747" i="1"/>
  <c r="K8747" i="1"/>
  <c r="A8748" i="1"/>
  <c r="B8748" i="1"/>
  <c r="G8748" i="1"/>
  <c r="K8748" i="1"/>
  <c r="A8749" i="1"/>
  <c r="B8749" i="1"/>
  <c r="G8749" i="1"/>
  <c r="K8749" i="1"/>
  <c r="A8750" i="1"/>
  <c r="B8750" i="1"/>
  <c r="G8750" i="1"/>
  <c r="K8750" i="1"/>
  <c r="A8751" i="1"/>
  <c r="B8751" i="1"/>
  <c r="G8751" i="1"/>
  <c r="K8751" i="1"/>
  <c r="A8752" i="1"/>
  <c r="B8752" i="1"/>
  <c r="G8752" i="1"/>
  <c r="K8752" i="1"/>
  <c r="A8753" i="1"/>
  <c r="B8753" i="1"/>
  <c r="G8753" i="1"/>
  <c r="K8753" i="1"/>
  <c r="A8754" i="1"/>
  <c r="B8754" i="1"/>
  <c r="G8754" i="1"/>
  <c r="K8754" i="1"/>
  <c r="A8755" i="1"/>
  <c r="B8755" i="1"/>
  <c r="G8755" i="1"/>
  <c r="K8755" i="1"/>
  <c r="A8756" i="1"/>
  <c r="B8756" i="1"/>
  <c r="G8756" i="1"/>
  <c r="K8756" i="1"/>
  <c r="A8757" i="1"/>
  <c r="B8757" i="1"/>
  <c r="G8757" i="1"/>
  <c r="K8757" i="1"/>
  <c r="A8758" i="1"/>
  <c r="B8758" i="1"/>
  <c r="G8758" i="1"/>
  <c r="K8758" i="1"/>
  <c r="A8759" i="1"/>
  <c r="B8759" i="1"/>
  <c r="G8759" i="1"/>
  <c r="K8759" i="1"/>
  <c r="A8760" i="1"/>
  <c r="B8760" i="1"/>
  <c r="G8760" i="1"/>
  <c r="K8760" i="1"/>
  <c r="A8761" i="1"/>
  <c r="B8761" i="1"/>
  <c r="G8761" i="1"/>
  <c r="K8761" i="1"/>
  <c r="A8762" i="1"/>
  <c r="B8762" i="1"/>
  <c r="G8762" i="1"/>
  <c r="K8762" i="1"/>
  <c r="A8763" i="1"/>
  <c r="B8763" i="1"/>
  <c r="G8763" i="1"/>
  <c r="K8763" i="1"/>
  <c r="A8764" i="1"/>
  <c r="B8764" i="1"/>
  <c r="G8764" i="1"/>
  <c r="K8764" i="1"/>
  <c r="A8765" i="1"/>
  <c r="B8765" i="1"/>
  <c r="G8765" i="1"/>
  <c r="K8765" i="1"/>
  <c r="A8766" i="1"/>
  <c r="B8766" i="1"/>
  <c r="G8766" i="1"/>
  <c r="K8766" i="1"/>
  <c r="A8767" i="1"/>
  <c r="B8767" i="1"/>
  <c r="G8767" i="1"/>
  <c r="K8767" i="1"/>
  <c r="A8768" i="1"/>
  <c r="B8768" i="1"/>
  <c r="G8768" i="1"/>
  <c r="K8768" i="1"/>
  <c r="A8769" i="1"/>
  <c r="B8769" i="1"/>
  <c r="G8769" i="1"/>
  <c r="K8769" i="1"/>
  <c r="A8770" i="1"/>
  <c r="B8770" i="1"/>
  <c r="G8770" i="1"/>
  <c r="K8770" i="1"/>
  <c r="A8771" i="1"/>
  <c r="B8771" i="1"/>
  <c r="G8771" i="1"/>
  <c r="K8771" i="1"/>
  <c r="A8772" i="1"/>
  <c r="B8772" i="1"/>
  <c r="G8772" i="1"/>
  <c r="K8772" i="1"/>
  <c r="A8773" i="1"/>
  <c r="B8773" i="1"/>
  <c r="G8773" i="1"/>
  <c r="K8773" i="1"/>
  <c r="A8774" i="1"/>
  <c r="B8774" i="1"/>
  <c r="G8774" i="1"/>
  <c r="K8774" i="1"/>
  <c r="A8775" i="1"/>
  <c r="B8775" i="1"/>
  <c r="G8775" i="1"/>
  <c r="K8775" i="1"/>
  <c r="A8776" i="1"/>
  <c r="B8776" i="1"/>
  <c r="G8776" i="1"/>
  <c r="K8776" i="1"/>
  <c r="A8777" i="1"/>
  <c r="B8777" i="1"/>
  <c r="G8777" i="1"/>
  <c r="K8777" i="1"/>
  <c r="A8778" i="1"/>
  <c r="B8778" i="1"/>
  <c r="G8778" i="1"/>
  <c r="K8778" i="1"/>
  <c r="A8779" i="1"/>
  <c r="B8779" i="1"/>
  <c r="G8779" i="1"/>
  <c r="K8779" i="1"/>
  <c r="A8780" i="1"/>
  <c r="B8780" i="1"/>
  <c r="G8780" i="1"/>
  <c r="K8780" i="1"/>
  <c r="A8781" i="1"/>
  <c r="B8781" i="1"/>
  <c r="G8781" i="1"/>
  <c r="K8781" i="1"/>
  <c r="A8782" i="1"/>
  <c r="B8782" i="1"/>
  <c r="G8782" i="1"/>
  <c r="K8782" i="1"/>
  <c r="A8783" i="1"/>
  <c r="B8783" i="1"/>
  <c r="G8783" i="1"/>
  <c r="K8783" i="1"/>
  <c r="A8784" i="1"/>
  <c r="B8784" i="1"/>
  <c r="G8784" i="1"/>
  <c r="K8784" i="1"/>
  <c r="A8785" i="1"/>
  <c r="B8785" i="1"/>
  <c r="G8785" i="1"/>
  <c r="K8785" i="1"/>
  <c r="A8786" i="1"/>
  <c r="B8786" i="1"/>
  <c r="G8786" i="1"/>
  <c r="K8786" i="1"/>
  <c r="A8787" i="1"/>
  <c r="B8787" i="1"/>
  <c r="G8787" i="1"/>
  <c r="K8787" i="1"/>
  <c r="A8788" i="1"/>
  <c r="B8788" i="1"/>
  <c r="G8788" i="1"/>
  <c r="K8788" i="1"/>
  <c r="A8789" i="1"/>
  <c r="B8789" i="1"/>
  <c r="G8789" i="1"/>
  <c r="K8789" i="1"/>
  <c r="A8790" i="1"/>
  <c r="B8790" i="1"/>
  <c r="G8790" i="1"/>
  <c r="K8790" i="1"/>
  <c r="A8791" i="1"/>
  <c r="B8791" i="1"/>
  <c r="G8791" i="1"/>
  <c r="K8791" i="1"/>
  <c r="A8792" i="1"/>
  <c r="B8792" i="1"/>
  <c r="G8792" i="1"/>
  <c r="K8792" i="1"/>
  <c r="A8793" i="1"/>
  <c r="B8793" i="1"/>
  <c r="G8793" i="1"/>
  <c r="K8793" i="1"/>
  <c r="A8794" i="1"/>
  <c r="B8794" i="1"/>
  <c r="G8794" i="1"/>
  <c r="K8794" i="1"/>
  <c r="A8795" i="1"/>
  <c r="B8795" i="1"/>
  <c r="G8795" i="1"/>
  <c r="K8795" i="1"/>
  <c r="A8796" i="1"/>
  <c r="B8796" i="1"/>
  <c r="G8796" i="1"/>
  <c r="K8796" i="1"/>
  <c r="A8797" i="1"/>
  <c r="B8797" i="1"/>
  <c r="G8797" i="1"/>
  <c r="K8797" i="1"/>
  <c r="A8798" i="1"/>
  <c r="B8798" i="1"/>
  <c r="G8798" i="1"/>
  <c r="K8798" i="1"/>
  <c r="A8799" i="1"/>
  <c r="B8799" i="1"/>
  <c r="G8799" i="1"/>
  <c r="K8799" i="1"/>
  <c r="A8800" i="1"/>
  <c r="B8800" i="1"/>
  <c r="G8800" i="1"/>
  <c r="K8800" i="1"/>
  <c r="A8801" i="1"/>
  <c r="B8801" i="1"/>
  <c r="G8801" i="1"/>
  <c r="K8801" i="1"/>
  <c r="A8802" i="1"/>
  <c r="B8802" i="1"/>
  <c r="G8802" i="1"/>
  <c r="K8802" i="1"/>
  <c r="A8803" i="1"/>
  <c r="B8803" i="1"/>
  <c r="G8803" i="1"/>
  <c r="K8803" i="1"/>
  <c r="A8804" i="1"/>
  <c r="B8804" i="1"/>
  <c r="G8804" i="1"/>
  <c r="K8804" i="1"/>
  <c r="A8805" i="1"/>
  <c r="B8805" i="1"/>
  <c r="G8805" i="1"/>
  <c r="K8805" i="1"/>
  <c r="A8806" i="1"/>
  <c r="B8806" i="1"/>
  <c r="G8806" i="1"/>
  <c r="K8806" i="1"/>
  <c r="A8807" i="1"/>
  <c r="B8807" i="1"/>
  <c r="G8807" i="1"/>
  <c r="K8807" i="1"/>
  <c r="A8808" i="1"/>
  <c r="B8808" i="1"/>
  <c r="G8808" i="1"/>
  <c r="K8808" i="1"/>
  <c r="A8809" i="1"/>
  <c r="B8809" i="1"/>
  <c r="G8809" i="1"/>
  <c r="K8809" i="1"/>
  <c r="A8810" i="1"/>
  <c r="B8810" i="1"/>
  <c r="G8810" i="1"/>
  <c r="K8810" i="1"/>
  <c r="A8811" i="1"/>
  <c r="B8811" i="1"/>
  <c r="G8811" i="1"/>
  <c r="K8811" i="1"/>
  <c r="A8812" i="1"/>
  <c r="B8812" i="1"/>
  <c r="G8812" i="1"/>
  <c r="K8812" i="1"/>
  <c r="A8813" i="1"/>
  <c r="B8813" i="1"/>
  <c r="G8813" i="1"/>
  <c r="K8813" i="1"/>
  <c r="A8814" i="1"/>
  <c r="B8814" i="1"/>
  <c r="G8814" i="1"/>
  <c r="K8814" i="1"/>
  <c r="A8815" i="1"/>
  <c r="B8815" i="1"/>
  <c r="G8815" i="1"/>
  <c r="K8815" i="1"/>
  <c r="A8816" i="1"/>
  <c r="B8816" i="1"/>
  <c r="G8816" i="1"/>
  <c r="K8816" i="1"/>
  <c r="A8817" i="1"/>
  <c r="B8817" i="1"/>
  <c r="G8817" i="1"/>
  <c r="K8817" i="1"/>
  <c r="A8818" i="1"/>
  <c r="B8818" i="1"/>
  <c r="G8818" i="1"/>
  <c r="K8818" i="1"/>
  <c r="A8819" i="1"/>
  <c r="B8819" i="1"/>
  <c r="G8819" i="1"/>
  <c r="K8819" i="1"/>
  <c r="A8820" i="1"/>
  <c r="B8820" i="1"/>
  <c r="G8820" i="1"/>
  <c r="K8820" i="1"/>
  <c r="A8821" i="1"/>
  <c r="B8821" i="1"/>
  <c r="G8821" i="1"/>
  <c r="K8821" i="1"/>
  <c r="A8822" i="1"/>
  <c r="B8822" i="1"/>
  <c r="G8822" i="1"/>
  <c r="K8822" i="1"/>
  <c r="A8823" i="1"/>
  <c r="B8823" i="1"/>
  <c r="G8823" i="1"/>
  <c r="K8823" i="1"/>
  <c r="A8824" i="1"/>
  <c r="B8824" i="1"/>
  <c r="G8824" i="1"/>
  <c r="K8824" i="1"/>
  <c r="A8825" i="1"/>
  <c r="B8825" i="1"/>
  <c r="G8825" i="1"/>
  <c r="K8825" i="1"/>
  <c r="A8826" i="1"/>
  <c r="B8826" i="1"/>
  <c r="G8826" i="1"/>
  <c r="K8826" i="1"/>
  <c r="A8827" i="1"/>
  <c r="B8827" i="1"/>
  <c r="G8827" i="1"/>
  <c r="K8827" i="1"/>
  <c r="A8828" i="1"/>
  <c r="B8828" i="1"/>
  <c r="G8828" i="1"/>
  <c r="K8828" i="1"/>
  <c r="A8829" i="1"/>
  <c r="B8829" i="1"/>
  <c r="G8829" i="1"/>
  <c r="K8829" i="1"/>
  <c r="A8830" i="1"/>
  <c r="B8830" i="1"/>
  <c r="G8830" i="1"/>
  <c r="K8830" i="1"/>
  <c r="A8831" i="1"/>
  <c r="B8831" i="1"/>
  <c r="G8831" i="1"/>
  <c r="K8831" i="1"/>
  <c r="A8832" i="1"/>
  <c r="B8832" i="1"/>
  <c r="G8832" i="1"/>
  <c r="K8832" i="1"/>
  <c r="A8833" i="1"/>
  <c r="B8833" i="1"/>
  <c r="G8833" i="1"/>
  <c r="K8833" i="1"/>
  <c r="A8834" i="1"/>
  <c r="B8834" i="1"/>
  <c r="G8834" i="1"/>
  <c r="K8834" i="1"/>
  <c r="A8835" i="1"/>
  <c r="B8835" i="1"/>
  <c r="G8835" i="1"/>
  <c r="K8835" i="1"/>
  <c r="A8836" i="1"/>
  <c r="B8836" i="1"/>
  <c r="G8836" i="1"/>
  <c r="K8836" i="1"/>
  <c r="A8837" i="1"/>
  <c r="B8837" i="1"/>
  <c r="G8837" i="1"/>
  <c r="K8837" i="1"/>
  <c r="A8838" i="1"/>
  <c r="B8838" i="1"/>
  <c r="G8838" i="1"/>
  <c r="K8838" i="1"/>
  <c r="A8839" i="1"/>
  <c r="B8839" i="1"/>
  <c r="G8839" i="1"/>
  <c r="K8839" i="1"/>
  <c r="A8840" i="1"/>
  <c r="B8840" i="1"/>
  <c r="G8840" i="1"/>
  <c r="K8840" i="1"/>
  <c r="A8841" i="1"/>
  <c r="B8841" i="1"/>
  <c r="G8841" i="1"/>
  <c r="K8841" i="1"/>
  <c r="A8842" i="1"/>
  <c r="B8842" i="1"/>
  <c r="G8842" i="1"/>
  <c r="K8842" i="1"/>
  <c r="A8843" i="1"/>
  <c r="B8843" i="1"/>
  <c r="G8843" i="1"/>
  <c r="K8843" i="1"/>
  <c r="A8844" i="1"/>
  <c r="B8844" i="1"/>
  <c r="G8844" i="1"/>
  <c r="K8844" i="1"/>
  <c r="A8845" i="1"/>
  <c r="B8845" i="1"/>
  <c r="G8845" i="1"/>
  <c r="K8845" i="1"/>
  <c r="A8846" i="1"/>
  <c r="B8846" i="1"/>
  <c r="G8846" i="1"/>
  <c r="K8846" i="1"/>
  <c r="A8847" i="1"/>
  <c r="B8847" i="1"/>
  <c r="G8847" i="1"/>
  <c r="K8847" i="1"/>
  <c r="A8848" i="1"/>
  <c r="B8848" i="1"/>
  <c r="G8848" i="1"/>
  <c r="K8848" i="1"/>
  <c r="A8849" i="1"/>
  <c r="B8849" i="1"/>
  <c r="G8849" i="1"/>
  <c r="K8849" i="1"/>
  <c r="A8850" i="1"/>
  <c r="B8850" i="1"/>
  <c r="G8850" i="1"/>
  <c r="K8850" i="1"/>
  <c r="A8851" i="1"/>
  <c r="B8851" i="1"/>
  <c r="G8851" i="1"/>
  <c r="K8851" i="1"/>
  <c r="A8852" i="1"/>
  <c r="B8852" i="1"/>
  <c r="G8852" i="1"/>
  <c r="K8852" i="1"/>
  <c r="A8853" i="1"/>
  <c r="B8853" i="1"/>
  <c r="G8853" i="1"/>
  <c r="K8853" i="1"/>
  <c r="A8854" i="1"/>
  <c r="B8854" i="1"/>
  <c r="G8854" i="1"/>
  <c r="K8854" i="1"/>
  <c r="A8855" i="1"/>
  <c r="B8855" i="1"/>
  <c r="G8855" i="1"/>
  <c r="K8855" i="1"/>
  <c r="A8856" i="1"/>
  <c r="B8856" i="1"/>
  <c r="G8856" i="1"/>
  <c r="K8856" i="1"/>
  <c r="A8857" i="1"/>
  <c r="B8857" i="1"/>
  <c r="G8857" i="1"/>
  <c r="K8857" i="1"/>
  <c r="A8858" i="1"/>
  <c r="B8858" i="1"/>
  <c r="G8858" i="1"/>
  <c r="K8858" i="1"/>
  <c r="A8859" i="1"/>
  <c r="B8859" i="1"/>
  <c r="G8859" i="1"/>
  <c r="K8859" i="1"/>
  <c r="A8860" i="1"/>
  <c r="B8860" i="1"/>
  <c r="G8860" i="1"/>
  <c r="K8860" i="1"/>
  <c r="A8861" i="1"/>
  <c r="B8861" i="1"/>
  <c r="G8861" i="1"/>
  <c r="K8861" i="1"/>
  <c r="A8862" i="1"/>
  <c r="B8862" i="1"/>
  <c r="G8862" i="1"/>
  <c r="K8862" i="1"/>
  <c r="A8863" i="1"/>
  <c r="B8863" i="1"/>
  <c r="G8863" i="1"/>
  <c r="K8863" i="1"/>
  <c r="A8864" i="1"/>
  <c r="B8864" i="1"/>
  <c r="G8864" i="1"/>
  <c r="K8864" i="1"/>
  <c r="A8865" i="1"/>
  <c r="B8865" i="1"/>
  <c r="G8865" i="1"/>
  <c r="K8865" i="1"/>
  <c r="A8866" i="1"/>
  <c r="B8866" i="1"/>
  <c r="G8866" i="1"/>
  <c r="K8866" i="1"/>
  <c r="A8867" i="1"/>
  <c r="B8867" i="1"/>
  <c r="G8867" i="1"/>
  <c r="K8867" i="1"/>
  <c r="A8868" i="1"/>
  <c r="B8868" i="1"/>
  <c r="G8868" i="1"/>
  <c r="K8868" i="1"/>
  <c r="A8869" i="1"/>
  <c r="B8869" i="1"/>
  <c r="G8869" i="1"/>
  <c r="K8869" i="1"/>
  <c r="A8870" i="1"/>
  <c r="B8870" i="1"/>
  <c r="G8870" i="1"/>
  <c r="K8870" i="1"/>
  <c r="A8871" i="1"/>
  <c r="B8871" i="1"/>
  <c r="G8871" i="1"/>
  <c r="K8871" i="1"/>
  <c r="A8872" i="1"/>
  <c r="B8872" i="1"/>
  <c r="G8872" i="1"/>
  <c r="K8872" i="1"/>
  <c r="A8873" i="1"/>
  <c r="B8873" i="1"/>
  <c r="G8873" i="1"/>
  <c r="K8873" i="1"/>
  <c r="A8874" i="1"/>
  <c r="B8874" i="1"/>
  <c r="G8874" i="1"/>
  <c r="K8874" i="1"/>
  <c r="A8875" i="1"/>
  <c r="B8875" i="1"/>
  <c r="G8875" i="1"/>
  <c r="K8875" i="1"/>
  <c r="A8876" i="1"/>
  <c r="B8876" i="1"/>
  <c r="G8876" i="1"/>
  <c r="K8876" i="1"/>
  <c r="A8877" i="1"/>
  <c r="B8877" i="1"/>
  <c r="G8877" i="1"/>
  <c r="K8877" i="1"/>
  <c r="A8878" i="1"/>
  <c r="B8878" i="1"/>
  <c r="G8878" i="1"/>
  <c r="K8878" i="1"/>
  <c r="A8879" i="1"/>
  <c r="B8879" i="1"/>
  <c r="G8879" i="1"/>
  <c r="K8879" i="1"/>
  <c r="A8880" i="1"/>
  <c r="B8880" i="1"/>
  <c r="G8880" i="1"/>
  <c r="K8880" i="1"/>
  <c r="A8881" i="1"/>
  <c r="B8881" i="1"/>
  <c r="G8881" i="1"/>
  <c r="K8881" i="1"/>
  <c r="A8882" i="1"/>
  <c r="B8882" i="1"/>
  <c r="G8882" i="1"/>
  <c r="K8882" i="1"/>
  <c r="A8883" i="1"/>
  <c r="B8883" i="1"/>
  <c r="G8883" i="1"/>
  <c r="K8883" i="1"/>
  <c r="A8884" i="1"/>
  <c r="B8884" i="1"/>
  <c r="G8884" i="1"/>
  <c r="K8884" i="1"/>
  <c r="A8885" i="1"/>
  <c r="B8885" i="1"/>
  <c r="G8885" i="1"/>
  <c r="K8885" i="1"/>
  <c r="A8886" i="1"/>
  <c r="B8886" i="1"/>
  <c r="G8886" i="1"/>
  <c r="K8886" i="1"/>
  <c r="A8887" i="1"/>
  <c r="B8887" i="1"/>
  <c r="G8887" i="1"/>
  <c r="K8887" i="1"/>
  <c r="A8888" i="1"/>
  <c r="B8888" i="1"/>
  <c r="G8888" i="1"/>
  <c r="K8888" i="1"/>
  <c r="A8889" i="1"/>
  <c r="B8889" i="1"/>
  <c r="G8889" i="1"/>
  <c r="K8889" i="1"/>
  <c r="A8890" i="1"/>
  <c r="B8890" i="1"/>
  <c r="G8890" i="1"/>
  <c r="K8890" i="1"/>
  <c r="A8891" i="1"/>
  <c r="B8891" i="1"/>
  <c r="G8891" i="1"/>
  <c r="K8891" i="1"/>
  <c r="A8892" i="1"/>
  <c r="B8892" i="1"/>
  <c r="G8892" i="1"/>
  <c r="K8892" i="1"/>
  <c r="A8893" i="1"/>
  <c r="B8893" i="1"/>
  <c r="G8893" i="1"/>
  <c r="K8893" i="1"/>
  <c r="A8894" i="1"/>
  <c r="B8894" i="1"/>
  <c r="G8894" i="1"/>
  <c r="K8894" i="1"/>
  <c r="A8895" i="1"/>
  <c r="B8895" i="1"/>
  <c r="G8895" i="1"/>
  <c r="K8895" i="1"/>
  <c r="A8896" i="1"/>
  <c r="B8896" i="1"/>
  <c r="G8896" i="1"/>
  <c r="K8896" i="1"/>
  <c r="A8897" i="1"/>
  <c r="B8897" i="1"/>
  <c r="G8897" i="1"/>
  <c r="K8897" i="1"/>
  <c r="A8898" i="1"/>
  <c r="B8898" i="1"/>
  <c r="G8898" i="1"/>
  <c r="K8898" i="1"/>
  <c r="A8899" i="1"/>
  <c r="B8899" i="1"/>
  <c r="G8899" i="1"/>
  <c r="K8899" i="1"/>
  <c r="A8900" i="1"/>
  <c r="B8900" i="1"/>
  <c r="G8900" i="1"/>
  <c r="K8900" i="1"/>
  <c r="A8901" i="1"/>
  <c r="B8901" i="1"/>
  <c r="G8901" i="1"/>
  <c r="K8901" i="1"/>
  <c r="A8902" i="1"/>
  <c r="B8902" i="1"/>
  <c r="G8902" i="1"/>
  <c r="K8902" i="1"/>
  <c r="A8903" i="1"/>
  <c r="B8903" i="1"/>
  <c r="G8903" i="1"/>
  <c r="K8903" i="1"/>
  <c r="A8904" i="1"/>
  <c r="B8904" i="1"/>
  <c r="G8904" i="1"/>
  <c r="K8904" i="1"/>
  <c r="A8905" i="1"/>
  <c r="B8905" i="1"/>
  <c r="G8905" i="1"/>
  <c r="K8905" i="1"/>
  <c r="A8906" i="1"/>
  <c r="B8906" i="1"/>
  <c r="G8906" i="1"/>
  <c r="K8906" i="1"/>
  <c r="A8907" i="1"/>
  <c r="B8907" i="1"/>
  <c r="G8907" i="1"/>
  <c r="K8907" i="1"/>
  <c r="A8908" i="1"/>
  <c r="B8908" i="1"/>
  <c r="G8908" i="1"/>
  <c r="K8908" i="1"/>
  <c r="A8909" i="1"/>
  <c r="B8909" i="1"/>
  <c r="G8909" i="1"/>
  <c r="K8909" i="1"/>
  <c r="A8910" i="1"/>
  <c r="B8910" i="1"/>
  <c r="G8910" i="1"/>
  <c r="K8910" i="1"/>
  <c r="A8911" i="1"/>
  <c r="B8911" i="1"/>
  <c r="G8911" i="1"/>
  <c r="K8911" i="1"/>
  <c r="A8912" i="1"/>
  <c r="B8912" i="1"/>
  <c r="G8912" i="1"/>
  <c r="K8912" i="1"/>
  <c r="A8913" i="1"/>
  <c r="B8913" i="1"/>
  <c r="G8913" i="1"/>
  <c r="K8913" i="1"/>
  <c r="A8914" i="1"/>
  <c r="B8914" i="1"/>
  <c r="G8914" i="1"/>
  <c r="K8914" i="1"/>
  <c r="A8915" i="1"/>
  <c r="B8915" i="1"/>
  <c r="G8915" i="1"/>
  <c r="K8915" i="1"/>
  <c r="A8916" i="1"/>
  <c r="B8916" i="1"/>
  <c r="G8916" i="1"/>
  <c r="K8916" i="1"/>
  <c r="A8917" i="1"/>
  <c r="B8917" i="1"/>
  <c r="G8917" i="1"/>
  <c r="K8917" i="1"/>
  <c r="A8918" i="1"/>
  <c r="B8918" i="1"/>
  <c r="G8918" i="1"/>
  <c r="K8918" i="1"/>
  <c r="A8919" i="1"/>
  <c r="B8919" i="1"/>
  <c r="G8919" i="1"/>
  <c r="K8919" i="1"/>
  <c r="A8920" i="1"/>
  <c r="B8920" i="1"/>
  <c r="G8920" i="1"/>
  <c r="K8920" i="1"/>
  <c r="A8921" i="1"/>
  <c r="B8921" i="1"/>
  <c r="G8921" i="1"/>
  <c r="K8921" i="1"/>
  <c r="A8922" i="1"/>
  <c r="B8922" i="1"/>
  <c r="G8922" i="1"/>
  <c r="K8922" i="1"/>
  <c r="A8923" i="1"/>
  <c r="B8923" i="1"/>
  <c r="G8923" i="1"/>
  <c r="K8923" i="1"/>
  <c r="A8924" i="1"/>
  <c r="B8924" i="1"/>
  <c r="G8924" i="1"/>
  <c r="K8924" i="1"/>
  <c r="A8925" i="1"/>
  <c r="B8925" i="1"/>
  <c r="G8925" i="1"/>
  <c r="K8925" i="1"/>
  <c r="A8926" i="1"/>
  <c r="B8926" i="1"/>
  <c r="G8926" i="1"/>
  <c r="K8926" i="1"/>
  <c r="A8927" i="1"/>
  <c r="B8927" i="1"/>
  <c r="G8927" i="1"/>
  <c r="K8927" i="1"/>
  <c r="A8928" i="1"/>
  <c r="B8928" i="1"/>
  <c r="G8928" i="1"/>
  <c r="K8928" i="1"/>
  <c r="A8929" i="1"/>
  <c r="B8929" i="1"/>
  <c r="G8929" i="1"/>
  <c r="K8929" i="1"/>
  <c r="A8930" i="1"/>
  <c r="B8930" i="1"/>
  <c r="G8930" i="1"/>
  <c r="K8930" i="1"/>
  <c r="A8931" i="1"/>
  <c r="B8931" i="1"/>
  <c r="G8931" i="1"/>
  <c r="K8931" i="1"/>
  <c r="A8932" i="1"/>
  <c r="B8932" i="1"/>
  <c r="G8932" i="1"/>
  <c r="K8932" i="1"/>
  <c r="A8933" i="1"/>
  <c r="B8933" i="1"/>
  <c r="G8933" i="1"/>
  <c r="K8933" i="1"/>
  <c r="A8934" i="1"/>
  <c r="B8934" i="1"/>
  <c r="G8934" i="1"/>
  <c r="K8934" i="1"/>
  <c r="A8935" i="1"/>
  <c r="B8935" i="1"/>
  <c r="G8935" i="1"/>
  <c r="K8935" i="1"/>
  <c r="A8936" i="1"/>
  <c r="B8936" i="1"/>
  <c r="G8936" i="1"/>
  <c r="K8936" i="1"/>
  <c r="A8937" i="1"/>
  <c r="B8937" i="1"/>
  <c r="G8937" i="1"/>
  <c r="K8937" i="1"/>
  <c r="A8938" i="1"/>
  <c r="B8938" i="1"/>
  <c r="G8938" i="1"/>
  <c r="K8938" i="1"/>
  <c r="A8939" i="1"/>
  <c r="B8939" i="1"/>
  <c r="G8939" i="1"/>
  <c r="K8939" i="1"/>
  <c r="A8940" i="1"/>
  <c r="B8940" i="1"/>
  <c r="G8940" i="1"/>
  <c r="K8940" i="1"/>
  <c r="A8941" i="1"/>
  <c r="B8941" i="1"/>
  <c r="G8941" i="1"/>
  <c r="K8941" i="1"/>
  <c r="A8942" i="1"/>
  <c r="B8942" i="1"/>
  <c r="G8942" i="1"/>
  <c r="K8942" i="1"/>
  <c r="A8943" i="1"/>
  <c r="B8943" i="1"/>
  <c r="G8943" i="1"/>
  <c r="K8943" i="1"/>
  <c r="A8944" i="1"/>
  <c r="B8944" i="1"/>
  <c r="G8944" i="1"/>
  <c r="K8944" i="1"/>
  <c r="A8945" i="1"/>
  <c r="B8945" i="1"/>
  <c r="G8945" i="1"/>
  <c r="K8945" i="1"/>
  <c r="A8946" i="1"/>
  <c r="B8946" i="1"/>
  <c r="G8946" i="1"/>
  <c r="K8946" i="1"/>
  <c r="A8947" i="1"/>
  <c r="B8947" i="1"/>
  <c r="G8947" i="1"/>
  <c r="K8947" i="1"/>
  <c r="A8948" i="1"/>
  <c r="B8948" i="1"/>
  <c r="G8948" i="1"/>
  <c r="K8948" i="1"/>
  <c r="A8949" i="1"/>
  <c r="B8949" i="1"/>
  <c r="G8949" i="1"/>
  <c r="K8949" i="1"/>
  <c r="A8950" i="1"/>
  <c r="B8950" i="1"/>
  <c r="G8950" i="1"/>
  <c r="K8950" i="1"/>
  <c r="A8951" i="1"/>
  <c r="B8951" i="1"/>
  <c r="G8951" i="1"/>
  <c r="K8951" i="1"/>
  <c r="A8952" i="1"/>
  <c r="B8952" i="1"/>
  <c r="G8952" i="1"/>
  <c r="K8952" i="1"/>
  <c r="A8953" i="1"/>
  <c r="B8953" i="1"/>
  <c r="G8953" i="1"/>
  <c r="K8953" i="1"/>
  <c r="A8954" i="1"/>
  <c r="B8954" i="1"/>
  <c r="G8954" i="1"/>
  <c r="K8954" i="1"/>
  <c r="A8955" i="1"/>
  <c r="B8955" i="1"/>
  <c r="G8955" i="1"/>
  <c r="K8955" i="1"/>
  <c r="A8956" i="1"/>
  <c r="B8956" i="1"/>
  <c r="G8956" i="1"/>
  <c r="K8956" i="1"/>
  <c r="A8957" i="1"/>
  <c r="B8957" i="1"/>
  <c r="G8957" i="1"/>
  <c r="K8957" i="1"/>
  <c r="A8958" i="1"/>
  <c r="B8958" i="1"/>
  <c r="G8958" i="1"/>
  <c r="K8958" i="1"/>
  <c r="A8959" i="1"/>
  <c r="B8959" i="1"/>
  <c r="G8959" i="1"/>
  <c r="K8959" i="1"/>
  <c r="A8960" i="1"/>
  <c r="B8960" i="1"/>
  <c r="G8960" i="1"/>
  <c r="K8960" i="1"/>
  <c r="A8961" i="1"/>
  <c r="B8961" i="1"/>
  <c r="G8961" i="1"/>
  <c r="K8961" i="1"/>
  <c r="A8962" i="1"/>
  <c r="B8962" i="1"/>
  <c r="G8962" i="1"/>
  <c r="K8962" i="1"/>
  <c r="A8963" i="1"/>
  <c r="B8963" i="1"/>
  <c r="G8963" i="1"/>
  <c r="K8963" i="1"/>
  <c r="A8964" i="1"/>
  <c r="B8964" i="1"/>
  <c r="G8964" i="1"/>
  <c r="K8964" i="1"/>
  <c r="A8965" i="1"/>
  <c r="B8965" i="1"/>
  <c r="G8965" i="1"/>
  <c r="K8965" i="1"/>
  <c r="A8966" i="1"/>
  <c r="B8966" i="1"/>
  <c r="G8966" i="1"/>
  <c r="K8966" i="1"/>
  <c r="A8967" i="1"/>
  <c r="B8967" i="1"/>
  <c r="G8967" i="1"/>
  <c r="K8967" i="1"/>
  <c r="A8968" i="1"/>
  <c r="B8968" i="1"/>
  <c r="G8968" i="1"/>
  <c r="K8968" i="1"/>
  <c r="A8969" i="1"/>
  <c r="B8969" i="1"/>
  <c r="G8969" i="1"/>
  <c r="K8969" i="1"/>
  <c r="A8970" i="1"/>
  <c r="B8970" i="1"/>
  <c r="G8970" i="1"/>
  <c r="K8970" i="1"/>
  <c r="A8971" i="1"/>
  <c r="B8971" i="1"/>
  <c r="G8971" i="1"/>
  <c r="K8971" i="1"/>
  <c r="A8972" i="1"/>
  <c r="B8972" i="1"/>
  <c r="G8972" i="1"/>
  <c r="K8972" i="1"/>
  <c r="A8973" i="1"/>
  <c r="B8973" i="1"/>
  <c r="G8973" i="1"/>
  <c r="K8973" i="1"/>
  <c r="A8974" i="1"/>
  <c r="B8974" i="1"/>
  <c r="G8974" i="1"/>
  <c r="K8974" i="1"/>
  <c r="A8975" i="1"/>
  <c r="B8975" i="1"/>
  <c r="G8975" i="1"/>
  <c r="K8975" i="1"/>
  <c r="A8976" i="1"/>
  <c r="B8976" i="1"/>
  <c r="G8976" i="1"/>
  <c r="K8976" i="1"/>
  <c r="A8977" i="1"/>
  <c r="B8977" i="1"/>
  <c r="G8977" i="1"/>
  <c r="K8977" i="1"/>
  <c r="A8978" i="1"/>
  <c r="B8978" i="1"/>
  <c r="G8978" i="1"/>
  <c r="K8978" i="1"/>
  <c r="A8979" i="1"/>
  <c r="B8979" i="1"/>
  <c r="G8979" i="1"/>
  <c r="K8979" i="1"/>
  <c r="A8980" i="1"/>
  <c r="B8980" i="1"/>
  <c r="G8980" i="1"/>
  <c r="K8980" i="1"/>
  <c r="A8981" i="1"/>
  <c r="B8981" i="1"/>
  <c r="G8981" i="1"/>
  <c r="K8981" i="1"/>
  <c r="A8982" i="1"/>
  <c r="B8982" i="1"/>
  <c r="G8982" i="1"/>
  <c r="K8982" i="1"/>
  <c r="A8983" i="1"/>
  <c r="B8983" i="1"/>
  <c r="G8983" i="1"/>
  <c r="K8983" i="1"/>
  <c r="A8984" i="1"/>
  <c r="B8984" i="1"/>
  <c r="G8984" i="1"/>
  <c r="K8984" i="1"/>
  <c r="A8985" i="1"/>
  <c r="B8985" i="1"/>
  <c r="G8985" i="1"/>
  <c r="K8985" i="1"/>
  <c r="A8986" i="1"/>
  <c r="B8986" i="1"/>
  <c r="G8986" i="1"/>
  <c r="K8986" i="1"/>
  <c r="A8987" i="1"/>
  <c r="B8987" i="1"/>
  <c r="G8987" i="1"/>
  <c r="K8987" i="1"/>
  <c r="A8988" i="1"/>
  <c r="B8988" i="1"/>
  <c r="G8988" i="1"/>
  <c r="K8988" i="1"/>
  <c r="A8989" i="1"/>
  <c r="B8989" i="1"/>
  <c r="G8989" i="1"/>
  <c r="K8989" i="1"/>
  <c r="A8990" i="1"/>
  <c r="B8990" i="1"/>
  <c r="G8990" i="1"/>
  <c r="K8990" i="1"/>
  <c r="A8991" i="1"/>
  <c r="B8991" i="1"/>
  <c r="G8991" i="1"/>
  <c r="K8991" i="1"/>
  <c r="A8992" i="1"/>
  <c r="B8992" i="1"/>
  <c r="G8992" i="1"/>
  <c r="K8992" i="1"/>
  <c r="A8993" i="1"/>
  <c r="B8993" i="1"/>
  <c r="G8993" i="1"/>
  <c r="K8993" i="1"/>
  <c r="A8994" i="1"/>
  <c r="B8994" i="1"/>
  <c r="G8994" i="1"/>
  <c r="K8994" i="1"/>
  <c r="A8995" i="1"/>
  <c r="B8995" i="1"/>
  <c r="G8995" i="1"/>
  <c r="K8995" i="1"/>
  <c r="A8996" i="1"/>
  <c r="B8996" i="1"/>
  <c r="G8996" i="1"/>
  <c r="K8996" i="1"/>
  <c r="A8997" i="1"/>
  <c r="B8997" i="1"/>
  <c r="G8997" i="1"/>
  <c r="K8997" i="1"/>
  <c r="A8998" i="1"/>
  <c r="B8998" i="1"/>
  <c r="G8998" i="1"/>
  <c r="K8998" i="1"/>
  <c r="A8999" i="1"/>
  <c r="B8999" i="1"/>
  <c r="G8999" i="1"/>
  <c r="K8999" i="1"/>
  <c r="A9000" i="1"/>
  <c r="B9000" i="1"/>
  <c r="G9000" i="1"/>
  <c r="K9000" i="1"/>
  <c r="A9001" i="1"/>
  <c r="B9001" i="1"/>
  <c r="G9001" i="1"/>
  <c r="K9001" i="1"/>
  <c r="A9002" i="1"/>
  <c r="B9002" i="1"/>
  <c r="G9002" i="1"/>
  <c r="K9002" i="1"/>
  <c r="A9003" i="1"/>
  <c r="B9003" i="1"/>
  <c r="G9003" i="1"/>
  <c r="K9003" i="1"/>
  <c r="A9004" i="1"/>
  <c r="B9004" i="1"/>
  <c r="G9004" i="1"/>
  <c r="K9004" i="1"/>
  <c r="A9005" i="1"/>
  <c r="B9005" i="1"/>
  <c r="G9005" i="1"/>
  <c r="K9005" i="1"/>
  <c r="A9006" i="1"/>
  <c r="B9006" i="1"/>
  <c r="G9006" i="1"/>
  <c r="K9006" i="1"/>
  <c r="A9007" i="1"/>
  <c r="B9007" i="1"/>
  <c r="G9007" i="1"/>
  <c r="K9007" i="1"/>
  <c r="A9008" i="1"/>
  <c r="B9008" i="1"/>
  <c r="G9008" i="1"/>
  <c r="K9008" i="1"/>
  <c r="A9009" i="1"/>
  <c r="B9009" i="1"/>
  <c r="G9009" i="1"/>
  <c r="K9009" i="1"/>
  <c r="A9010" i="1"/>
  <c r="B9010" i="1"/>
  <c r="G9010" i="1"/>
  <c r="K9010" i="1"/>
  <c r="A9011" i="1"/>
  <c r="B9011" i="1"/>
  <c r="G9011" i="1"/>
  <c r="K9011" i="1"/>
  <c r="A9012" i="1"/>
  <c r="B9012" i="1"/>
  <c r="G9012" i="1"/>
  <c r="K9012" i="1"/>
  <c r="A9013" i="1"/>
  <c r="B9013" i="1"/>
  <c r="G9013" i="1"/>
  <c r="K9013" i="1"/>
  <c r="A9014" i="1"/>
  <c r="B9014" i="1"/>
  <c r="G9014" i="1"/>
  <c r="K9014" i="1"/>
  <c r="A9015" i="1"/>
  <c r="B9015" i="1"/>
  <c r="G9015" i="1"/>
  <c r="K9015" i="1"/>
  <c r="A9016" i="1"/>
  <c r="B9016" i="1"/>
  <c r="G9016" i="1"/>
  <c r="K9016" i="1"/>
  <c r="A9017" i="1"/>
  <c r="B9017" i="1"/>
  <c r="G9017" i="1"/>
  <c r="K9017" i="1"/>
  <c r="A9018" i="1"/>
  <c r="B9018" i="1"/>
  <c r="G9018" i="1"/>
  <c r="K9018" i="1"/>
  <c r="A9019" i="1"/>
  <c r="B9019" i="1"/>
  <c r="G9019" i="1"/>
  <c r="K9019" i="1"/>
  <c r="A9020" i="1"/>
  <c r="B9020" i="1"/>
  <c r="G9020" i="1"/>
  <c r="K9020" i="1"/>
  <c r="A9021" i="1"/>
  <c r="B9021" i="1"/>
  <c r="G9021" i="1"/>
  <c r="K9021" i="1"/>
  <c r="A9022" i="1"/>
  <c r="B9022" i="1"/>
  <c r="G9022" i="1"/>
  <c r="K9022" i="1"/>
  <c r="A9023" i="1"/>
  <c r="B9023" i="1"/>
  <c r="G9023" i="1"/>
  <c r="K9023" i="1"/>
  <c r="A9024" i="1"/>
  <c r="B9024" i="1"/>
  <c r="G9024" i="1"/>
  <c r="K9024" i="1"/>
  <c r="A9025" i="1"/>
  <c r="B9025" i="1"/>
  <c r="G9025" i="1"/>
  <c r="K9025" i="1"/>
  <c r="A9026" i="1"/>
  <c r="B9026" i="1"/>
  <c r="G9026" i="1"/>
  <c r="K9026" i="1"/>
  <c r="A9027" i="1"/>
  <c r="B9027" i="1"/>
  <c r="G9027" i="1"/>
  <c r="K9027" i="1"/>
  <c r="A9028" i="1"/>
  <c r="B9028" i="1"/>
  <c r="G9028" i="1"/>
  <c r="K9028" i="1"/>
  <c r="A9029" i="1"/>
  <c r="B9029" i="1"/>
  <c r="G9029" i="1"/>
  <c r="K9029" i="1"/>
  <c r="A9030" i="1"/>
  <c r="B9030" i="1"/>
  <c r="G9030" i="1"/>
  <c r="K9030" i="1"/>
  <c r="A9031" i="1"/>
  <c r="B9031" i="1"/>
  <c r="G9031" i="1"/>
  <c r="K9031" i="1"/>
  <c r="A9032" i="1"/>
  <c r="B9032" i="1"/>
  <c r="G9032" i="1"/>
  <c r="K9032" i="1"/>
  <c r="A9033" i="1"/>
  <c r="B9033" i="1"/>
  <c r="G9033" i="1"/>
  <c r="K9033" i="1"/>
  <c r="A9034" i="1"/>
  <c r="B9034" i="1"/>
  <c r="G9034" i="1"/>
  <c r="K9034" i="1"/>
  <c r="A9035" i="1"/>
  <c r="B9035" i="1"/>
  <c r="G9035" i="1"/>
  <c r="K9035" i="1"/>
  <c r="A9036" i="1"/>
  <c r="B9036" i="1"/>
  <c r="G9036" i="1"/>
  <c r="K9036" i="1"/>
  <c r="A9037" i="1"/>
  <c r="B9037" i="1"/>
  <c r="G9037" i="1"/>
  <c r="K9037" i="1"/>
  <c r="A9038" i="1"/>
  <c r="B9038" i="1"/>
  <c r="G9038" i="1"/>
  <c r="K9038" i="1"/>
  <c r="A9039" i="1"/>
  <c r="B9039" i="1"/>
  <c r="G9039" i="1"/>
  <c r="K9039" i="1"/>
  <c r="A9040" i="1"/>
  <c r="B9040" i="1"/>
  <c r="G9040" i="1"/>
  <c r="K9040" i="1"/>
  <c r="A9041" i="1"/>
  <c r="B9041" i="1"/>
  <c r="G9041" i="1"/>
  <c r="K9041" i="1"/>
  <c r="A9042" i="1"/>
  <c r="B9042" i="1"/>
  <c r="G9042" i="1"/>
  <c r="K9042" i="1"/>
  <c r="A9043" i="1"/>
  <c r="B9043" i="1"/>
  <c r="G9043" i="1"/>
  <c r="K9043" i="1"/>
  <c r="A9044" i="1"/>
  <c r="B9044" i="1"/>
  <c r="G9044" i="1"/>
  <c r="K9044" i="1"/>
  <c r="A9045" i="1"/>
  <c r="B9045" i="1"/>
  <c r="G9045" i="1"/>
  <c r="K9045" i="1"/>
  <c r="A9046" i="1"/>
  <c r="B9046" i="1"/>
  <c r="G9046" i="1"/>
  <c r="K9046" i="1"/>
  <c r="A9047" i="1"/>
  <c r="B9047" i="1"/>
  <c r="G9047" i="1"/>
  <c r="K9047" i="1"/>
  <c r="A9048" i="1"/>
  <c r="B9048" i="1"/>
  <c r="G9048" i="1"/>
  <c r="K9048" i="1"/>
  <c r="A9049" i="1"/>
  <c r="B9049" i="1"/>
  <c r="G9049" i="1"/>
  <c r="K9049" i="1"/>
  <c r="A9050" i="1"/>
  <c r="B9050" i="1"/>
  <c r="G9050" i="1"/>
  <c r="K9050" i="1"/>
  <c r="A9051" i="1"/>
  <c r="B9051" i="1"/>
  <c r="G9051" i="1"/>
  <c r="K9051" i="1"/>
  <c r="A9052" i="1"/>
  <c r="B9052" i="1"/>
  <c r="G9052" i="1"/>
  <c r="K9052" i="1"/>
  <c r="A9053" i="1"/>
  <c r="B9053" i="1"/>
  <c r="G9053" i="1"/>
  <c r="K9053" i="1"/>
  <c r="A9054" i="1"/>
  <c r="B9054" i="1"/>
  <c r="G9054" i="1"/>
  <c r="K9054" i="1"/>
  <c r="A9055" i="1"/>
  <c r="B9055" i="1"/>
  <c r="G9055" i="1"/>
  <c r="K9055" i="1"/>
  <c r="A9056" i="1"/>
  <c r="B9056" i="1"/>
  <c r="G9056" i="1"/>
  <c r="K9056" i="1"/>
  <c r="A9057" i="1"/>
  <c r="B9057" i="1"/>
  <c r="G9057" i="1"/>
  <c r="K9057" i="1"/>
  <c r="A9058" i="1"/>
  <c r="B9058" i="1"/>
  <c r="G9058" i="1"/>
  <c r="K9058" i="1"/>
  <c r="A9059" i="1"/>
  <c r="B9059" i="1"/>
  <c r="G9059" i="1"/>
  <c r="K9059" i="1"/>
  <c r="A9060" i="1"/>
  <c r="B9060" i="1"/>
  <c r="G9060" i="1"/>
  <c r="K9060" i="1"/>
  <c r="A9061" i="1"/>
  <c r="B9061" i="1"/>
  <c r="G9061" i="1"/>
  <c r="K9061" i="1"/>
  <c r="A9062" i="1"/>
  <c r="B9062" i="1"/>
  <c r="G9062" i="1"/>
  <c r="K9062" i="1"/>
  <c r="A9063" i="1"/>
  <c r="B9063" i="1"/>
  <c r="G9063" i="1"/>
  <c r="K9063" i="1"/>
  <c r="A9064" i="1"/>
  <c r="B9064" i="1"/>
  <c r="G9064" i="1"/>
  <c r="K9064" i="1"/>
  <c r="A9065" i="1"/>
  <c r="B9065" i="1"/>
  <c r="G9065" i="1"/>
  <c r="K9065" i="1"/>
  <c r="A9066" i="1"/>
  <c r="B9066" i="1"/>
  <c r="G9066" i="1"/>
  <c r="K9066" i="1"/>
  <c r="A9067" i="1"/>
  <c r="B9067" i="1"/>
  <c r="G9067" i="1"/>
  <c r="K9067" i="1"/>
  <c r="A9068" i="1"/>
  <c r="B9068" i="1"/>
  <c r="G9068" i="1"/>
  <c r="K9068" i="1"/>
  <c r="A9069" i="1"/>
  <c r="B9069" i="1"/>
  <c r="G9069" i="1"/>
  <c r="K9069" i="1"/>
  <c r="A9070" i="1"/>
  <c r="B9070" i="1"/>
  <c r="G9070" i="1"/>
  <c r="K9070" i="1"/>
  <c r="A9071" i="1"/>
  <c r="B9071" i="1"/>
  <c r="G9071" i="1"/>
  <c r="K9071" i="1"/>
  <c r="A9072" i="1"/>
  <c r="B9072" i="1"/>
  <c r="G9072" i="1"/>
  <c r="K9072" i="1"/>
  <c r="A9073" i="1"/>
  <c r="B9073" i="1"/>
  <c r="G9073" i="1"/>
  <c r="K9073" i="1"/>
  <c r="A9074" i="1"/>
  <c r="B9074" i="1"/>
  <c r="G9074" i="1"/>
  <c r="K9074" i="1"/>
  <c r="A9075" i="1"/>
  <c r="B9075" i="1"/>
  <c r="G9075" i="1"/>
  <c r="K9075" i="1"/>
  <c r="A9076" i="1"/>
  <c r="B9076" i="1"/>
  <c r="G9076" i="1"/>
  <c r="K9076" i="1"/>
  <c r="A9077" i="1"/>
  <c r="B9077" i="1"/>
  <c r="G9077" i="1"/>
  <c r="K9077" i="1"/>
  <c r="A9078" i="1"/>
  <c r="B9078" i="1"/>
  <c r="G9078" i="1"/>
  <c r="K9078" i="1"/>
  <c r="A9079" i="1"/>
  <c r="B9079" i="1"/>
  <c r="G9079" i="1"/>
  <c r="K9079" i="1"/>
  <c r="A9080" i="1"/>
  <c r="B9080" i="1"/>
  <c r="G9080" i="1"/>
  <c r="K9080" i="1"/>
  <c r="A9081" i="1"/>
  <c r="B9081" i="1"/>
  <c r="G9081" i="1"/>
  <c r="K9081" i="1"/>
  <c r="A9082" i="1"/>
  <c r="B9082" i="1"/>
  <c r="G9082" i="1"/>
  <c r="K9082" i="1"/>
  <c r="A9083" i="1"/>
  <c r="B9083" i="1"/>
  <c r="G9083" i="1"/>
  <c r="K9083" i="1"/>
  <c r="A9084" i="1"/>
  <c r="B9084" i="1"/>
  <c r="G9084" i="1"/>
  <c r="K9084" i="1"/>
  <c r="A9085" i="1"/>
  <c r="B9085" i="1"/>
  <c r="G9085" i="1"/>
  <c r="K9085" i="1"/>
  <c r="A9086" i="1"/>
  <c r="B9086" i="1"/>
  <c r="G9086" i="1"/>
  <c r="K9086" i="1"/>
  <c r="A9087" i="1"/>
  <c r="B9087" i="1"/>
  <c r="G9087" i="1"/>
  <c r="K9087" i="1"/>
  <c r="A9088" i="1"/>
  <c r="B9088" i="1"/>
  <c r="G9088" i="1"/>
  <c r="K9088" i="1"/>
  <c r="A9089" i="1"/>
  <c r="B9089" i="1"/>
  <c r="G9089" i="1"/>
  <c r="K9089" i="1"/>
  <c r="A9090" i="1"/>
  <c r="B9090" i="1"/>
  <c r="G9090" i="1"/>
  <c r="K9090" i="1"/>
  <c r="A9091" i="1"/>
  <c r="B9091" i="1"/>
  <c r="G9091" i="1"/>
  <c r="K9091" i="1"/>
  <c r="A9092" i="1"/>
  <c r="B9092" i="1"/>
  <c r="G9092" i="1"/>
  <c r="K9092" i="1"/>
  <c r="A9093" i="1"/>
  <c r="B9093" i="1"/>
  <c r="G9093" i="1"/>
  <c r="K9093" i="1"/>
  <c r="A9094" i="1"/>
  <c r="B9094" i="1"/>
  <c r="G9094" i="1"/>
  <c r="K9094" i="1"/>
  <c r="A9095" i="1"/>
  <c r="B9095" i="1"/>
  <c r="G9095" i="1"/>
  <c r="K9095" i="1"/>
  <c r="A9096" i="1"/>
  <c r="B9096" i="1"/>
  <c r="G9096" i="1"/>
  <c r="K9096" i="1"/>
  <c r="A9097" i="1"/>
  <c r="B9097" i="1"/>
  <c r="G9097" i="1"/>
  <c r="K9097" i="1"/>
  <c r="A9098" i="1"/>
  <c r="B9098" i="1"/>
  <c r="G9098" i="1"/>
  <c r="K9098" i="1"/>
  <c r="A9099" i="1"/>
  <c r="B9099" i="1"/>
  <c r="G9099" i="1"/>
  <c r="K9099" i="1"/>
  <c r="A9100" i="1"/>
  <c r="B9100" i="1"/>
  <c r="G9100" i="1"/>
  <c r="K9100" i="1"/>
  <c r="A9101" i="1"/>
  <c r="B9101" i="1"/>
  <c r="G9101" i="1"/>
  <c r="K9101" i="1"/>
  <c r="A9102" i="1"/>
  <c r="B9102" i="1"/>
  <c r="G9102" i="1"/>
  <c r="K9102" i="1"/>
  <c r="A9103" i="1"/>
  <c r="B9103" i="1"/>
  <c r="G9103" i="1"/>
  <c r="K9103" i="1"/>
  <c r="A9104" i="1"/>
  <c r="B9104" i="1"/>
  <c r="G9104" i="1"/>
  <c r="K9104" i="1"/>
  <c r="A9105" i="1"/>
  <c r="B9105" i="1"/>
  <c r="G9105" i="1"/>
  <c r="K9105" i="1"/>
  <c r="A9106" i="1"/>
  <c r="B9106" i="1"/>
  <c r="G9106" i="1"/>
  <c r="K9106" i="1"/>
  <c r="A9107" i="1"/>
  <c r="B9107" i="1"/>
  <c r="G9107" i="1"/>
  <c r="K9107" i="1"/>
  <c r="A9108" i="1"/>
  <c r="B9108" i="1"/>
  <c r="G9108" i="1"/>
  <c r="K9108" i="1"/>
  <c r="A9109" i="1"/>
  <c r="B9109" i="1"/>
  <c r="G9109" i="1"/>
  <c r="K9109" i="1"/>
  <c r="A9110" i="1"/>
  <c r="B9110" i="1"/>
  <c r="G9110" i="1"/>
  <c r="K9110" i="1"/>
  <c r="A9111" i="1"/>
  <c r="B9111" i="1"/>
  <c r="G9111" i="1"/>
  <c r="K9111" i="1"/>
  <c r="A9112" i="1"/>
  <c r="B9112" i="1"/>
  <c r="G9112" i="1"/>
  <c r="K9112" i="1"/>
  <c r="A9113" i="1"/>
  <c r="B9113" i="1"/>
  <c r="G9113" i="1"/>
  <c r="K9113" i="1"/>
  <c r="A9114" i="1"/>
  <c r="B9114" i="1"/>
  <c r="G9114" i="1"/>
  <c r="K9114" i="1"/>
  <c r="A9115" i="1"/>
  <c r="B9115" i="1"/>
  <c r="G9115" i="1"/>
  <c r="K9115" i="1"/>
  <c r="A9116" i="1"/>
  <c r="B9116" i="1"/>
  <c r="G9116" i="1"/>
  <c r="K9116" i="1"/>
  <c r="A9117" i="1"/>
  <c r="B9117" i="1"/>
  <c r="G9117" i="1"/>
  <c r="K9117" i="1"/>
  <c r="A9118" i="1"/>
  <c r="B9118" i="1"/>
  <c r="G9118" i="1"/>
  <c r="K9118" i="1"/>
  <c r="A9119" i="1"/>
  <c r="B9119" i="1"/>
  <c r="G9119" i="1"/>
  <c r="K9119" i="1"/>
  <c r="A9120" i="1"/>
  <c r="B9120" i="1"/>
  <c r="G9120" i="1"/>
  <c r="K9120" i="1"/>
  <c r="A9121" i="1"/>
  <c r="B9121" i="1"/>
  <c r="G9121" i="1"/>
  <c r="K9121" i="1"/>
  <c r="A9122" i="1"/>
  <c r="B9122" i="1"/>
  <c r="G9122" i="1"/>
  <c r="K9122" i="1"/>
  <c r="A9123" i="1"/>
  <c r="B9123" i="1"/>
  <c r="G9123" i="1"/>
  <c r="K9123" i="1"/>
  <c r="A9124" i="1"/>
  <c r="B9124" i="1"/>
  <c r="G9124" i="1"/>
  <c r="K9124" i="1"/>
  <c r="A9125" i="1"/>
  <c r="B9125" i="1"/>
  <c r="G9125" i="1"/>
  <c r="K9125" i="1"/>
  <c r="A9126" i="1"/>
  <c r="B9126" i="1"/>
  <c r="G9126" i="1"/>
  <c r="K9126" i="1"/>
  <c r="A9127" i="1"/>
  <c r="B9127" i="1"/>
  <c r="G9127" i="1"/>
  <c r="K9127" i="1"/>
  <c r="A9128" i="1"/>
  <c r="B9128" i="1"/>
  <c r="G9128" i="1"/>
  <c r="K9128" i="1"/>
  <c r="A9129" i="1"/>
  <c r="B9129" i="1"/>
  <c r="G9129" i="1"/>
  <c r="K9129" i="1"/>
  <c r="A9130" i="1"/>
  <c r="B9130" i="1"/>
  <c r="G9130" i="1"/>
  <c r="K9130" i="1"/>
  <c r="A9131" i="1"/>
  <c r="B9131" i="1"/>
  <c r="G9131" i="1"/>
  <c r="K9131" i="1"/>
  <c r="A9132" i="1"/>
  <c r="B9132" i="1"/>
  <c r="G9132" i="1"/>
  <c r="K9132" i="1"/>
  <c r="A9133" i="1"/>
  <c r="B9133" i="1"/>
  <c r="G9133" i="1"/>
  <c r="K9133" i="1"/>
  <c r="A9134" i="1"/>
  <c r="B9134" i="1"/>
  <c r="G9134" i="1"/>
  <c r="K9134" i="1"/>
  <c r="A9135" i="1"/>
  <c r="B9135" i="1"/>
  <c r="G9135" i="1"/>
  <c r="K9135" i="1"/>
  <c r="A9136" i="1"/>
  <c r="B9136" i="1"/>
  <c r="G9136" i="1"/>
  <c r="K9136" i="1"/>
  <c r="A9137" i="1"/>
  <c r="B9137" i="1"/>
  <c r="G9137" i="1"/>
  <c r="K9137" i="1"/>
  <c r="A9138" i="1"/>
  <c r="B9138" i="1"/>
  <c r="G9138" i="1"/>
  <c r="K9138" i="1"/>
  <c r="A9139" i="1"/>
  <c r="B9139" i="1"/>
  <c r="G9139" i="1"/>
  <c r="K9139" i="1"/>
  <c r="A9140" i="1"/>
  <c r="B9140" i="1"/>
  <c r="G9140" i="1"/>
  <c r="K9140" i="1"/>
  <c r="A9141" i="1"/>
  <c r="B9141" i="1"/>
  <c r="G9141" i="1"/>
  <c r="K9141" i="1"/>
  <c r="A9142" i="1"/>
  <c r="B9142" i="1"/>
  <c r="G9142" i="1"/>
  <c r="K9142" i="1"/>
  <c r="A9143" i="1"/>
  <c r="B9143" i="1"/>
  <c r="G9143" i="1"/>
  <c r="K9143" i="1"/>
  <c r="A9144" i="1"/>
  <c r="B9144" i="1"/>
  <c r="G9144" i="1"/>
  <c r="K9144" i="1"/>
  <c r="A9145" i="1"/>
  <c r="B9145" i="1"/>
  <c r="G9145" i="1"/>
  <c r="K9145" i="1"/>
  <c r="A9146" i="1"/>
  <c r="B9146" i="1"/>
  <c r="G9146" i="1"/>
  <c r="K9146" i="1"/>
  <c r="A9147" i="1"/>
  <c r="B9147" i="1"/>
  <c r="G9147" i="1"/>
  <c r="K9147" i="1"/>
  <c r="A9148" i="1"/>
  <c r="B9148" i="1"/>
  <c r="G9148" i="1"/>
  <c r="K9148" i="1"/>
  <c r="A9149" i="1"/>
  <c r="B9149" i="1"/>
  <c r="G9149" i="1"/>
  <c r="K9149" i="1"/>
  <c r="A9150" i="1"/>
  <c r="B9150" i="1"/>
  <c r="G9150" i="1"/>
  <c r="K9150" i="1"/>
  <c r="A9151" i="1"/>
  <c r="B9151" i="1"/>
  <c r="G9151" i="1"/>
  <c r="K9151" i="1"/>
  <c r="A9152" i="1"/>
  <c r="B9152" i="1"/>
  <c r="G9152" i="1"/>
  <c r="K9152" i="1"/>
  <c r="A9153" i="1"/>
  <c r="B9153" i="1"/>
  <c r="G9153" i="1"/>
  <c r="K9153" i="1"/>
  <c r="A9154" i="1"/>
  <c r="B9154" i="1"/>
  <c r="G9154" i="1"/>
  <c r="K9154" i="1"/>
  <c r="A9155" i="1"/>
  <c r="B9155" i="1"/>
  <c r="G9155" i="1"/>
  <c r="K9155" i="1"/>
  <c r="A9156" i="1"/>
  <c r="B9156" i="1"/>
  <c r="G9156" i="1"/>
  <c r="K9156" i="1"/>
  <c r="A9157" i="1"/>
  <c r="B9157" i="1"/>
  <c r="G9157" i="1"/>
  <c r="K9157" i="1"/>
  <c r="A9158" i="1"/>
  <c r="B9158" i="1"/>
  <c r="G9158" i="1"/>
  <c r="K9158" i="1"/>
  <c r="A9159" i="1"/>
  <c r="B9159" i="1"/>
  <c r="G9159" i="1"/>
  <c r="K9159" i="1"/>
  <c r="A9160" i="1"/>
  <c r="B9160" i="1"/>
  <c r="G9160" i="1"/>
  <c r="K9160" i="1"/>
  <c r="A9161" i="1"/>
  <c r="B9161" i="1"/>
  <c r="G9161" i="1"/>
  <c r="K9161" i="1"/>
  <c r="A9162" i="1"/>
  <c r="B9162" i="1"/>
  <c r="G9162" i="1"/>
  <c r="K9162" i="1"/>
  <c r="A9163" i="1"/>
  <c r="B9163" i="1"/>
  <c r="G9163" i="1"/>
  <c r="K9163" i="1"/>
  <c r="A9164" i="1"/>
  <c r="B9164" i="1"/>
  <c r="G9164" i="1"/>
  <c r="K9164" i="1"/>
  <c r="A9165" i="1"/>
  <c r="B9165" i="1"/>
  <c r="G9165" i="1"/>
  <c r="K9165" i="1"/>
  <c r="A9166" i="1"/>
  <c r="B9166" i="1"/>
  <c r="G9166" i="1"/>
  <c r="K9166" i="1"/>
  <c r="A9167" i="1"/>
  <c r="B9167" i="1"/>
  <c r="G9167" i="1"/>
  <c r="K9167" i="1"/>
  <c r="A9168" i="1"/>
  <c r="B9168" i="1"/>
  <c r="G9168" i="1"/>
  <c r="K9168" i="1"/>
  <c r="A9169" i="1"/>
  <c r="B9169" i="1"/>
  <c r="G9169" i="1"/>
  <c r="K9169" i="1"/>
  <c r="A9170" i="1"/>
  <c r="B9170" i="1"/>
  <c r="G9170" i="1"/>
  <c r="K9170" i="1"/>
  <c r="A9171" i="1"/>
  <c r="B9171" i="1"/>
  <c r="G9171" i="1"/>
  <c r="K9171" i="1"/>
  <c r="A9172" i="1"/>
  <c r="B9172" i="1"/>
  <c r="G9172" i="1"/>
  <c r="K9172" i="1"/>
  <c r="A9173" i="1"/>
  <c r="B9173" i="1"/>
  <c r="G9173" i="1"/>
  <c r="K9173" i="1"/>
  <c r="A9174" i="1"/>
  <c r="B9174" i="1"/>
  <c r="G9174" i="1"/>
  <c r="K9174" i="1"/>
  <c r="A9175" i="1"/>
  <c r="B9175" i="1"/>
  <c r="G9175" i="1"/>
  <c r="K9175" i="1"/>
  <c r="A9176" i="1"/>
  <c r="B9176" i="1"/>
  <c r="G9176" i="1"/>
  <c r="K9176" i="1"/>
  <c r="A9177" i="1"/>
  <c r="B9177" i="1"/>
  <c r="G9177" i="1"/>
  <c r="K9177" i="1"/>
  <c r="A9178" i="1"/>
  <c r="B9178" i="1"/>
  <c r="G9178" i="1"/>
  <c r="K9178" i="1"/>
  <c r="A9179" i="1"/>
  <c r="B9179" i="1"/>
  <c r="G9179" i="1"/>
  <c r="K9179" i="1"/>
  <c r="A9180" i="1"/>
  <c r="B9180" i="1"/>
  <c r="G9180" i="1"/>
  <c r="K9180" i="1"/>
  <c r="A9181" i="1"/>
  <c r="B9181" i="1"/>
  <c r="G9181" i="1"/>
  <c r="K9181" i="1"/>
  <c r="A9182" i="1"/>
  <c r="B9182" i="1"/>
  <c r="G9182" i="1"/>
  <c r="K9182" i="1"/>
  <c r="A9183" i="1"/>
  <c r="B9183" i="1"/>
  <c r="G9183" i="1"/>
  <c r="K9183" i="1"/>
  <c r="A9184" i="1"/>
  <c r="B9184" i="1"/>
  <c r="G9184" i="1"/>
  <c r="K9184" i="1"/>
  <c r="A9185" i="1"/>
  <c r="B9185" i="1"/>
  <c r="G9185" i="1"/>
  <c r="K9185" i="1"/>
  <c r="A9186" i="1"/>
  <c r="B9186" i="1"/>
  <c r="G9186" i="1"/>
  <c r="K9186" i="1"/>
  <c r="A9187" i="1"/>
  <c r="B9187" i="1"/>
  <c r="G9187" i="1"/>
  <c r="K9187" i="1"/>
  <c r="A9188" i="1"/>
  <c r="B9188" i="1"/>
  <c r="G9188" i="1"/>
  <c r="K9188" i="1"/>
  <c r="A9189" i="1"/>
  <c r="B9189" i="1"/>
  <c r="G9189" i="1"/>
  <c r="K9189" i="1"/>
  <c r="A9190" i="1"/>
  <c r="B9190" i="1"/>
  <c r="G9190" i="1"/>
  <c r="K9190" i="1"/>
  <c r="A9191" i="1"/>
  <c r="B9191" i="1"/>
  <c r="G9191" i="1"/>
  <c r="K9191" i="1"/>
  <c r="A9192" i="1"/>
  <c r="B9192" i="1"/>
  <c r="G9192" i="1"/>
  <c r="K9192" i="1"/>
  <c r="A9193" i="1"/>
  <c r="B9193" i="1"/>
  <c r="G9193" i="1"/>
  <c r="K9193" i="1"/>
  <c r="A9194" i="1"/>
  <c r="B9194" i="1"/>
  <c r="G9194" i="1"/>
  <c r="K9194" i="1"/>
  <c r="A9195" i="1"/>
  <c r="B9195" i="1"/>
  <c r="G9195" i="1"/>
  <c r="K9195" i="1"/>
  <c r="A9196" i="1"/>
  <c r="B9196" i="1"/>
  <c r="G9196" i="1"/>
  <c r="K9196" i="1"/>
  <c r="A9197" i="1"/>
  <c r="B9197" i="1"/>
  <c r="G9197" i="1"/>
  <c r="K9197" i="1"/>
  <c r="A9198" i="1"/>
  <c r="B9198" i="1"/>
  <c r="G9198" i="1"/>
  <c r="K9198" i="1"/>
  <c r="A9199" i="1"/>
  <c r="B9199" i="1"/>
  <c r="G9199" i="1"/>
  <c r="K9199" i="1"/>
  <c r="A9200" i="1"/>
  <c r="B9200" i="1"/>
  <c r="G9200" i="1"/>
  <c r="K9200" i="1"/>
  <c r="A9201" i="1"/>
  <c r="B9201" i="1"/>
  <c r="G9201" i="1"/>
  <c r="K9201" i="1"/>
  <c r="A9202" i="1"/>
  <c r="B9202" i="1"/>
  <c r="G9202" i="1"/>
  <c r="K9202" i="1"/>
  <c r="A9203" i="1"/>
  <c r="B9203" i="1"/>
  <c r="G9203" i="1"/>
  <c r="K9203" i="1"/>
  <c r="A9204" i="1"/>
  <c r="B9204" i="1"/>
  <c r="G9204" i="1"/>
  <c r="K9204" i="1"/>
  <c r="A9205" i="1"/>
  <c r="B9205" i="1"/>
  <c r="G9205" i="1"/>
  <c r="K9205" i="1"/>
  <c r="A9206" i="1"/>
  <c r="B9206" i="1"/>
  <c r="G9206" i="1"/>
  <c r="K9206" i="1"/>
  <c r="A9207" i="1"/>
  <c r="B9207" i="1"/>
  <c r="G9207" i="1"/>
  <c r="K9207" i="1"/>
  <c r="A9208" i="1"/>
  <c r="B9208" i="1"/>
  <c r="G9208" i="1"/>
  <c r="K9208" i="1"/>
  <c r="A9209" i="1"/>
  <c r="B9209" i="1"/>
  <c r="G9209" i="1"/>
  <c r="K9209" i="1"/>
  <c r="A9210" i="1"/>
  <c r="B9210" i="1"/>
  <c r="G9210" i="1"/>
  <c r="K9210" i="1"/>
  <c r="A9211" i="1"/>
  <c r="B9211" i="1"/>
  <c r="G9211" i="1"/>
  <c r="K9211" i="1"/>
  <c r="A9212" i="1"/>
  <c r="B9212" i="1"/>
  <c r="G9212" i="1"/>
  <c r="K9212" i="1"/>
  <c r="A9213" i="1"/>
  <c r="B9213" i="1"/>
  <c r="G9213" i="1"/>
  <c r="K9213" i="1"/>
  <c r="A9214" i="1"/>
  <c r="B9214" i="1"/>
  <c r="G9214" i="1"/>
  <c r="K9214" i="1"/>
  <c r="A9215" i="1"/>
  <c r="B9215" i="1"/>
  <c r="G9215" i="1"/>
  <c r="K9215" i="1"/>
  <c r="A9216" i="1"/>
  <c r="B9216" i="1"/>
  <c r="G9216" i="1"/>
  <c r="K9216" i="1"/>
  <c r="A9217" i="1"/>
  <c r="B9217" i="1"/>
  <c r="G9217" i="1"/>
  <c r="K9217" i="1"/>
  <c r="A9218" i="1"/>
  <c r="B9218" i="1"/>
  <c r="G9218" i="1"/>
  <c r="K9218" i="1"/>
  <c r="A9219" i="1"/>
  <c r="B9219" i="1"/>
  <c r="G9219" i="1"/>
  <c r="K9219" i="1"/>
  <c r="A9220" i="1"/>
  <c r="B9220" i="1"/>
  <c r="G9220" i="1"/>
  <c r="K9220" i="1"/>
  <c r="A9221" i="1"/>
  <c r="B9221" i="1"/>
  <c r="G9221" i="1"/>
  <c r="K9221" i="1"/>
  <c r="A9222" i="1"/>
  <c r="B9222" i="1"/>
  <c r="G9222" i="1"/>
  <c r="K9222" i="1"/>
  <c r="A9223" i="1"/>
  <c r="B9223" i="1"/>
  <c r="G9223" i="1"/>
  <c r="K9223" i="1"/>
  <c r="A9224" i="1"/>
  <c r="B9224" i="1"/>
  <c r="G9224" i="1"/>
  <c r="K9224" i="1"/>
  <c r="A9225" i="1"/>
  <c r="B9225" i="1"/>
  <c r="G9225" i="1"/>
  <c r="K9225" i="1"/>
  <c r="A9226" i="1"/>
  <c r="B9226" i="1"/>
  <c r="G9226" i="1"/>
  <c r="K9226" i="1"/>
  <c r="A9227" i="1"/>
  <c r="B9227" i="1"/>
  <c r="G9227" i="1"/>
  <c r="K9227" i="1"/>
  <c r="A9228" i="1"/>
  <c r="B9228" i="1"/>
  <c r="G9228" i="1"/>
  <c r="K9228" i="1"/>
  <c r="A9229" i="1"/>
  <c r="B9229" i="1"/>
  <c r="G9229" i="1"/>
  <c r="K9229" i="1"/>
  <c r="A9230" i="1"/>
  <c r="B9230" i="1"/>
  <c r="G9230" i="1"/>
  <c r="K9230" i="1"/>
  <c r="A9231" i="1"/>
  <c r="B9231" i="1"/>
  <c r="G9231" i="1"/>
  <c r="K9231" i="1"/>
  <c r="A9232" i="1"/>
  <c r="B9232" i="1"/>
  <c r="G9232" i="1"/>
  <c r="K9232" i="1"/>
  <c r="A9233" i="1"/>
  <c r="B9233" i="1"/>
  <c r="G9233" i="1"/>
  <c r="K9233" i="1"/>
  <c r="A9234" i="1"/>
  <c r="B9234" i="1"/>
  <c r="G9234" i="1"/>
  <c r="K9234" i="1"/>
  <c r="A9235" i="1"/>
  <c r="B9235" i="1"/>
  <c r="G9235" i="1"/>
  <c r="K9235" i="1"/>
  <c r="A9236" i="1"/>
  <c r="B9236" i="1"/>
  <c r="G9236" i="1"/>
  <c r="K9236" i="1"/>
  <c r="A9237" i="1"/>
  <c r="B9237" i="1"/>
  <c r="G9237" i="1"/>
  <c r="K9237" i="1"/>
  <c r="A9238" i="1"/>
  <c r="B9238" i="1"/>
  <c r="G9238" i="1"/>
  <c r="K9238" i="1"/>
  <c r="A9239" i="1"/>
  <c r="B9239" i="1"/>
  <c r="G9239" i="1"/>
  <c r="K9239" i="1"/>
  <c r="A9240" i="1"/>
  <c r="B9240" i="1"/>
  <c r="G9240" i="1"/>
  <c r="K9240" i="1"/>
  <c r="A9241" i="1"/>
  <c r="B9241" i="1"/>
  <c r="G9241" i="1"/>
  <c r="K9241" i="1"/>
  <c r="A9242" i="1"/>
  <c r="B9242" i="1"/>
  <c r="G9242" i="1"/>
  <c r="K9242" i="1"/>
  <c r="A9243" i="1"/>
  <c r="B9243" i="1"/>
  <c r="G9243" i="1"/>
  <c r="K9243" i="1"/>
  <c r="A9244" i="1"/>
  <c r="B9244" i="1"/>
  <c r="G9244" i="1"/>
  <c r="K9244" i="1"/>
  <c r="A9245" i="1"/>
  <c r="B9245" i="1"/>
  <c r="G9245" i="1"/>
  <c r="K9245" i="1"/>
  <c r="A9246" i="1"/>
  <c r="B9246" i="1"/>
  <c r="G9246" i="1"/>
  <c r="K9246" i="1"/>
  <c r="A9247" i="1"/>
  <c r="B9247" i="1"/>
  <c r="G9247" i="1"/>
  <c r="K9247" i="1"/>
  <c r="A9248" i="1"/>
  <c r="B9248" i="1"/>
  <c r="G9248" i="1"/>
  <c r="K9248" i="1"/>
  <c r="A9249" i="1"/>
  <c r="B9249" i="1"/>
  <c r="G9249" i="1"/>
  <c r="K9249" i="1"/>
  <c r="A9250" i="1"/>
  <c r="B9250" i="1"/>
  <c r="G9250" i="1"/>
  <c r="K9250" i="1"/>
  <c r="A9251" i="1"/>
  <c r="B9251" i="1"/>
  <c r="G9251" i="1"/>
  <c r="K9251" i="1"/>
  <c r="A9252" i="1"/>
  <c r="B9252" i="1"/>
  <c r="G9252" i="1"/>
  <c r="K9252" i="1"/>
  <c r="A9253" i="1"/>
  <c r="B9253" i="1"/>
  <c r="G9253" i="1"/>
  <c r="K9253" i="1"/>
  <c r="A9254" i="1"/>
  <c r="B9254" i="1"/>
  <c r="G9254" i="1"/>
  <c r="K9254" i="1"/>
  <c r="A9255" i="1"/>
  <c r="B9255" i="1"/>
  <c r="G9255" i="1"/>
  <c r="K9255" i="1"/>
  <c r="A9256" i="1"/>
  <c r="B9256" i="1"/>
  <c r="G9256" i="1"/>
  <c r="K9256" i="1"/>
  <c r="A9257" i="1"/>
  <c r="B9257" i="1"/>
  <c r="G9257" i="1"/>
  <c r="K9257" i="1"/>
  <c r="A9258" i="1"/>
  <c r="B9258" i="1"/>
  <c r="G9258" i="1"/>
  <c r="K9258" i="1"/>
  <c r="A9259" i="1"/>
  <c r="B9259" i="1"/>
  <c r="G9259" i="1"/>
  <c r="K9259" i="1"/>
  <c r="A9260" i="1"/>
  <c r="B9260" i="1"/>
  <c r="G9260" i="1"/>
  <c r="K9260" i="1"/>
  <c r="A9261" i="1"/>
  <c r="B9261" i="1"/>
  <c r="G9261" i="1"/>
  <c r="K9261" i="1"/>
  <c r="A9262" i="1"/>
  <c r="B9262" i="1"/>
  <c r="G9262" i="1"/>
  <c r="K9262" i="1"/>
  <c r="A9263" i="1"/>
  <c r="B9263" i="1"/>
  <c r="G9263" i="1"/>
  <c r="K9263" i="1"/>
  <c r="A9264" i="1"/>
  <c r="B9264" i="1"/>
  <c r="G9264" i="1"/>
  <c r="K9264" i="1"/>
  <c r="A9265" i="1"/>
  <c r="B9265" i="1"/>
  <c r="G9265" i="1"/>
  <c r="K9265" i="1"/>
  <c r="A9266" i="1"/>
  <c r="B9266" i="1"/>
  <c r="G9266" i="1"/>
  <c r="K9266" i="1"/>
  <c r="A9267" i="1"/>
  <c r="B9267" i="1"/>
  <c r="G9267" i="1"/>
  <c r="K9267" i="1"/>
  <c r="A9268" i="1"/>
  <c r="B9268" i="1"/>
  <c r="G9268" i="1"/>
  <c r="K9268" i="1"/>
  <c r="A9269" i="1"/>
  <c r="B9269" i="1"/>
  <c r="G9269" i="1"/>
  <c r="K9269" i="1"/>
  <c r="A9270" i="1"/>
  <c r="B9270" i="1"/>
  <c r="G9270" i="1"/>
  <c r="K9270" i="1"/>
  <c r="A9271" i="1"/>
  <c r="B9271" i="1"/>
  <c r="G9271" i="1"/>
  <c r="K9271" i="1"/>
  <c r="A9272" i="1"/>
  <c r="B9272" i="1"/>
  <c r="G9272" i="1"/>
  <c r="K9272" i="1"/>
  <c r="A9273" i="1"/>
  <c r="B9273" i="1"/>
  <c r="G9273" i="1"/>
  <c r="K9273" i="1"/>
  <c r="A9274" i="1"/>
  <c r="B9274" i="1"/>
  <c r="G9274" i="1"/>
  <c r="K9274" i="1"/>
  <c r="A9275" i="1"/>
  <c r="B9275" i="1"/>
  <c r="G9275" i="1"/>
  <c r="K9275" i="1"/>
  <c r="A9276" i="1"/>
  <c r="B9276" i="1"/>
  <c r="G9276" i="1"/>
  <c r="K9276" i="1"/>
  <c r="A9277" i="1"/>
  <c r="B9277" i="1"/>
  <c r="G9277" i="1"/>
  <c r="K9277" i="1"/>
  <c r="A9278" i="1"/>
  <c r="B9278" i="1"/>
  <c r="G9278" i="1"/>
  <c r="K9278" i="1"/>
  <c r="A9279" i="1"/>
  <c r="B9279" i="1"/>
  <c r="G9279" i="1"/>
  <c r="K9279" i="1"/>
  <c r="A9280" i="1"/>
  <c r="B9280" i="1"/>
  <c r="G9280" i="1"/>
  <c r="K9280" i="1"/>
  <c r="A9281" i="1"/>
  <c r="B9281" i="1"/>
  <c r="G9281" i="1"/>
  <c r="K9281" i="1"/>
  <c r="A9282" i="1"/>
  <c r="B9282" i="1"/>
  <c r="G9282" i="1"/>
  <c r="K9282" i="1"/>
  <c r="A9283" i="1"/>
  <c r="B9283" i="1"/>
  <c r="G9283" i="1"/>
  <c r="K9283" i="1"/>
  <c r="A9284" i="1"/>
  <c r="B9284" i="1"/>
  <c r="G9284" i="1"/>
  <c r="K9284" i="1"/>
  <c r="A9285" i="1"/>
  <c r="B9285" i="1"/>
  <c r="G9285" i="1"/>
  <c r="K9285" i="1"/>
  <c r="A9286" i="1"/>
  <c r="B9286" i="1"/>
  <c r="G9286" i="1"/>
  <c r="K9286" i="1"/>
  <c r="A9287" i="1"/>
  <c r="B9287" i="1"/>
  <c r="G9287" i="1"/>
  <c r="K9287" i="1"/>
  <c r="A9288" i="1"/>
  <c r="B9288" i="1"/>
  <c r="G9288" i="1"/>
  <c r="K9288" i="1"/>
  <c r="A9289" i="1"/>
  <c r="B9289" i="1"/>
  <c r="G9289" i="1"/>
  <c r="K9289" i="1"/>
  <c r="A9290" i="1"/>
  <c r="B9290" i="1"/>
  <c r="G9290" i="1"/>
  <c r="K9290" i="1"/>
  <c r="A9291" i="1"/>
  <c r="B9291" i="1"/>
  <c r="G9291" i="1"/>
  <c r="K9291" i="1"/>
  <c r="A9292" i="1"/>
  <c r="B9292" i="1"/>
  <c r="G9292" i="1"/>
  <c r="K9292" i="1"/>
  <c r="A9293" i="1"/>
  <c r="B9293" i="1"/>
  <c r="G9293" i="1"/>
  <c r="K9293" i="1"/>
  <c r="A9294" i="1"/>
  <c r="B9294" i="1"/>
  <c r="G9294" i="1"/>
  <c r="K9294" i="1"/>
  <c r="A9295" i="1"/>
  <c r="B9295" i="1"/>
  <c r="G9295" i="1"/>
  <c r="K9295" i="1"/>
  <c r="A9296" i="1"/>
  <c r="B9296" i="1"/>
  <c r="G9296" i="1"/>
  <c r="K9296" i="1"/>
  <c r="A9297" i="1"/>
  <c r="B9297" i="1"/>
  <c r="G9297" i="1"/>
  <c r="K9297" i="1"/>
  <c r="A9298" i="1"/>
  <c r="B9298" i="1"/>
  <c r="G9298" i="1"/>
  <c r="K9298" i="1"/>
  <c r="A9299" i="1"/>
  <c r="B9299" i="1"/>
  <c r="G9299" i="1"/>
  <c r="K9299" i="1"/>
  <c r="A9300" i="1"/>
  <c r="B9300" i="1"/>
  <c r="G9300" i="1"/>
  <c r="K9300" i="1"/>
  <c r="A9301" i="1"/>
  <c r="B9301" i="1"/>
  <c r="G9301" i="1"/>
  <c r="K9301" i="1"/>
  <c r="A9302" i="1"/>
  <c r="B9302" i="1"/>
  <c r="G9302" i="1"/>
  <c r="K9302" i="1"/>
  <c r="A9303" i="1"/>
  <c r="B9303" i="1"/>
  <c r="G9303" i="1"/>
  <c r="K9303" i="1"/>
  <c r="A9304" i="1"/>
  <c r="B9304" i="1"/>
  <c r="G9304" i="1"/>
  <c r="K9304" i="1"/>
  <c r="A9305" i="1"/>
  <c r="B9305" i="1"/>
  <c r="G9305" i="1"/>
  <c r="K9305" i="1"/>
  <c r="A9306" i="1"/>
  <c r="B9306" i="1"/>
  <c r="G9306" i="1"/>
  <c r="K9306" i="1"/>
  <c r="A9307" i="1"/>
  <c r="B9307" i="1"/>
  <c r="G9307" i="1"/>
  <c r="K9307" i="1"/>
  <c r="A9308" i="1"/>
  <c r="B9308" i="1"/>
  <c r="G9308" i="1"/>
  <c r="K9308" i="1"/>
  <c r="A9309" i="1"/>
  <c r="B9309" i="1"/>
  <c r="G9309" i="1"/>
  <c r="K9309" i="1"/>
  <c r="A9310" i="1"/>
  <c r="B9310" i="1"/>
  <c r="G9310" i="1"/>
  <c r="K9310" i="1"/>
  <c r="A9311" i="1"/>
  <c r="B9311" i="1"/>
  <c r="G9311" i="1"/>
  <c r="K9311" i="1"/>
  <c r="A9312" i="1"/>
  <c r="B9312" i="1"/>
  <c r="G9312" i="1"/>
  <c r="K9312" i="1"/>
  <c r="A9313" i="1"/>
  <c r="B9313" i="1"/>
  <c r="G9313" i="1"/>
  <c r="K9313" i="1"/>
  <c r="A9314" i="1"/>
  <c r="B9314" i="1"/>
  <c r="G9314" i="1"/>
  <c r="K9314" i="1"/>
  <c r="A9315" i="1"/>
  <c r="B9315" i="1"/>
  <c r="G9315" i="1"/>
  <c r="K9315" i="1"/>
  <c r="A9316" i="1"/>
  <c r="B9316" i="1"/>
  <c r="G9316" i="1"/>
  <c r="K9316" i="1"/>
  <c r="A9317" i="1"/>
  <c r="B9317" i="1"/>
  <c r="G9317" i="1"/>
  <c r="K9317" i="1"/>
  <c r="A9318" i="1"/>
  <c r="B9318" i="1"/>
  <c r="G9318" i="1"/>
  <c r="K9318" i="1"/>
  <c r="A9319" i="1"/>
  <c r="B9319" i="1"/>
  <c r="G9319" i="1"/>
  <c r="K9319" i="1"/>
  <c r="A9320" i="1"/>
  <c r="B9320" i="1"/>
  <c r="G9320" i="1"/>
  <c r="K9320" i="1"/>
  <c r="A9321" i="1"/>
  <c r="B9321" i="1"/>
  <c r="G9321" i="1"/>
  <c r="K9321" i="1"/>
  <c r="A9322" i="1"/>
  <c r="B9322" i="1"/>
  <c r="G9322" i="1"/>
  <c r="K9322" i="1"/>
  <c r="A9323" i="1"/>
  <c r="B9323" i="1"/>
  <c r="G9323" i="1"/>
  <c r="K9323" i="1"/>
  <c r="A9324" i="1"/>
  <c r="B9324" i="1"/>
  <c r="G9324" i="1"/>
  <c r="K9324" i="1"/>
  <c r="A9325" i="1"/>
  <c r="B9325" i="1"/>
  <c r="G9325" i="1"/>
  <c r="K9325" i="1"/>
  <c r="A9326" i="1"/>
  <c r="B9326" i="1"/>
  <c r="G9326" i="1"/>
  <c r="K9326" i="1"/>
  <c r="A9327" i="1"/>
  <c r="B9327" i="1"/>
  <c r="G9327" i="1"/>
  <c r="K9327" i="1"/>
  <c r="A9328" i="1"/>
  <c r="B9328" i="1"/>
  <c r="G9328" i="1"/>
  <c r="K9328" i="1"/>
  <c r="A9329" i="1"/>
  <c r="B9329" i="1"/>
  <c r="G9329" i="1"/>
  <c r="K9329" i="1"/>
  <c r="A9330" i="1"/>
  <c r="B9330" i="1"/>
  <c r="G9330" i="1"/>
  <c r="K9330" i="1"/>
  <c r="A9331" i="1"/>
  <c r="B9331" i="1"/>
  <c r="G9331" i="1"/>
  <c r="K9331" i="1"/>
  <c r="A9332" i="1"/>
  <c r="B9332" i="1"/>
  <c r="G9332" i="1"/>
  <c r="K9332" i="1"/>
  <c r="A9333" i="1"/>
  <c r="B9333" i="1"/>
  <c r="G9333" i="1"/>
  <c r="K9333" i="1"/>
  <c r="A9334" i="1"/>
  <c r="B9334" i="1"/>
  <c r="G9334" i="1"/>
  <c r="K9334" i="1"/>
  <c r="A9335" i="1"/>
  <c r="B9335" i="1"/>
  <c r="G9335" i="1"/>
  <c r="K9335" i="1"/>
  <c r="A9336" i="1"/>
  <c r="B9336" i="1"/>
  <c r="G9336" i="1"/>
  <c r="K9336" i="1"/>
  <c r="A9337" i="1"/>
  <c r="B9337" i="1"/>
  <c r="G9337" i="1"/>
  <c r="K9337" i="1"/>
  <c r="A9338" i="1"/>
  <c r="B9338" i="1"/>
  <c r="G9338" i="1"/>
  <c r="K9338" i="1"/>
  <c r="A9339" i="1"/>
  <c r="B9339" i="1"/>
  <c r="G9339" i="1"/>
  <c r="K9339" i="1"/>
  <c r="A9340" i="1"/>
  <c r="B9340" i="1"/>
  <c r="G9340" i="1"/>
  <c r="K9340" i="1"/>
  <c r="A9341" i="1"/>
  <c r="B9341" i="1"/>
  <c r="G9341" i="1"/>
  <c r="K9341" i="1"/>
  <c r="A9342" i="1"/>
  <c r="B9342" i="1"/>
  <c r="G9342" i="1"/>
  <c r="K9342" i="1"/>
  <c r="A9343" i="1"/>
  <c r="B9343" i="1"/>
  <c r="G9343" i="1"/>
  <c r="K9343" i="1"/>
  <c r="A9344" i="1"/>
  <c r="B9344" i="1"/>
  <c r="G9344" i="1"/>
  <c r="K9344" i="1"/>
  <c r="A9345" i="1"/>
  <c r="B9345" i="1"/>
  <c r="G9345" i="1"/>
  <c r="K9345" i="1"/>
  <c r="A9346" i="1"/>
  <c r="B9346" i="1"/>
  <c r="G9346" i="1"/>
  <c r="K9346" i="1"/>
  <c r="A9347" i="1"/>
  <c r="B9347" i="1"/>
  <c r="G9347" i="1"/>
  <c r="K9347" i="1"/>
  <c r="A9348" i="1"/>
  <c r="B9348" i="1"/>
  <c r="G9348" i="1"/>
  <c r="K9348" i="1"/>
  <c r="A9349" i="1"/>
  <c r="B9349" i="1"/>
  <c r="G9349" i="1"/>
  <c r="K9349" i="1"/>
  <c r="A9350" i="1"/>
  <c r="B9350" i="1"/>
  <c r="G9350" i="1"/>
  <c r="K9350" i="1"/>
  <c r="A9351" i="1"/>
  <c r="B9351" i="1"/>
  <c r="G9351" i="1"/>
  <c r="K9351" i="1"/>
  <c r="A9352" i="1"/>
  <c r="B9352" i="1"/>
  <c r="G9352" i="1"/>
  <c r="K9352" i="1"/>
  <c r="A9353" i="1"/>
  <c r="B9353" i="1"/>
  <c r="G9353" i="1"/>
  <c r="K9353" i="1"/>
  <c r="A9354" i="1"/>
  <c r="B9354" i="1"/>
  <c r="G9354" i="1"/>
  <c r="K9354" i="1"/>
  <c r="A9355" i="1"/>
  <c r="B9355" i="1"/>
  <c r="G9355" i="1"/>
  <c r="K9355" i="1"/>
  <c r="A9356" i="1"/>
  <c r="B9356" i="1"/>
  <c r="G9356" i="1"/>
  <c r="K9356" i="1"/>
  <c r="A9357" i="1"/>
  <c r="B9357" i="1"/>
  <c r="G9357" i="1"/>
  <c r="K9357" i="1"/>
  <c r="A9358" i="1"/>
  <c r="B9358" i="1"/>
  <c r="G9358" i="1"/>
  <c r="K9358" i="1"/>
  <c r="A9359" i="1"/>
  <c r="B9359" i="1"/>
  <c r="G9359" i="1"/>
  <c r="K9359" i="1"/>
  <c r="A9360" i="1"/>
  <c r="B9360" i="1"/>
  <c r="G9360" i="1"/>
  <c r="K9360" i="1"/>
  <c r="A9361" i="1"/>
  <c r="B9361" i="1"/>
  <c r="G9361" i="1"/>
  <c r="K9361" i="1"/>
  <c r="A9362" i="1"/>
  <c r="B9362" i="1"/>
  <c r="G9362" i="1"/>
  <c r="K9362" i="1"/>
  <c r="A9363" i="1"/>
  <c r="B9363" i="1"/>
  <c r="G9363" i="1"/>
  <c r="K9363" i="1"/>
  <c r="A9364" i="1"/>
  <c r="B9364" i="1"/>
  <c r="G9364" i="1"/>
  <c r="K9364" i="1"/>
  <c r="A9365" i="1"/>
  <c r="B9365" i="1"/>
  <c r="G9365" i="1"/>
  <c r="K9365" i="1"/>
  <c r="A9366" i="1"/>
  <c r="B9366" i="1"/>
  <c r="G9366" i="1"/>
  <c r="K9366" i="1"/>
  <c r="A9367" i="1"/>
  <c r="B9367" i="1"/>
  <c r="G9367" i="1"/>
  <c r="K9367" i="1"/>
  <c r="A9368" i="1"/>
  <c r="B9368" i="1"/>
  <c r="G9368" i="1"/>
  <c r="K9368" i="1"/>
  <c r="A9369" i="1"/>
  <c r="B9369" i="1"/>
  <c r="G9369" i="1"/>
  <c r="K9369" i="1"/>
  <c r="A9370" i="1"/>
  <c r="B9370" i="1"/>
  <c r="G9370" i="1"/>
  <c r="K9370" i="1"/>
  <c r="A9371" i="1"/>
  <c r="B9371" i="1"/>
  <c r="G9371" i="1"/>
  <c r="K9371" i="1"/>
  <c r="A9372" i="1"/>
  <c r="B9372" i="1"/>
  <c r="G9372" i="1"/>
  <c r="K9372" i="1"/>
  <c r="A9373" i="1"/>
  <c r="B9373" i="1"/>
  <c r="G9373" i="1"/>
  <c r="K9373" i="1"/>
  <c r="A9374" i="1"/>
  <c r="B9374" i="1"/>
  <c r="G9374" i="1"/>
  <c r="K9374" i="1"/>
  <c r="A9375" i="1"/>
  <c r="B9375" i="1"/>
  <c r="G9375" i="1"/>
  <c r="K9375" i="1"/>
  <c r="A9376" i="1"/>
  <c r="B9376" i="1"/>
  <c r="G9376" i="1"/>
  <c r="K9376" i="1"/>
  <c r="A9377" i="1"/>
  <c r="B9377" i="1"/>
  <c r="G9377" i="1"/>
  <c r="K9377" i="1"/>
  <c r="A9378" i="1"/>
  <c r="B9378" i="1"/>
  <c r="G9378" i="1"/>
  <c r="K9378" i="1"/>
  <c r="A9379" i="1"/>
  <c r="B9379" i="1"/>
  <c r="G9379" i="1"/>
  <c r="K9379" i="1"/>
  <c r="A9380" i="1"/>
  <c r="B9380" i="1"/>
  <c r="G9380" i="1"/>
  <c r="K9380" i="1"/>
  <c r="A9381" i="1"/>
  <c r="B9381" i="1"/>
  <c r="G9381" i="1"/>
  <c r="K9381" i="1"/>
  <c r="A9382" i="1"/>
  <c r="B9382" i="1"/>
  <c r="G9382" i="1"/>
  <c r="K9382" i="1"/>
  <c r="A9383" i="1"/>
  <c r="B9383" i="1"/>
  <c r="G9383" i="1"/>
  <c r="K9383" i="1"/>
  <c r="A9384" i="1"/>
  <c r="B9384" i="1"/>
  <c r="G9384" i="1"/>
  <c r="K9384" i="1"/>
  <c r="A9385" i="1"/>
  <c r="B9385" i="1"/>
  <c r="G9385" i="1"/>
  <c r="K9385" i="1"/>
  <c r="A9386" i="1"/>
  <c r="B9386" i="1"/>
  <c r="G9386" i="1"/>
  <c r="K9386" i="1"/>
  <c r="A9387" i="1"/>
  <c r="B9387" i="1"/>
  <c r="G9387" i="1"/>
  <c r="K9387" i="1"/>
  <c r="A9388" i="1"/>
  <c r="B9388" i="1"/>
  <c r="G9388" i="1"/>
  <c r="K9388" i="1"/>
  <c r="A9389" i="1"/>
  <c r="B9389" i="1"/>
  <c r="G9389" i="1"/>
  <c r="K9389" i="1"/>
  <c r="A9390" i="1"/>
  <c r="B9390" i="1"/>
  <c r="G9390" i="1"/>
  <c r="K9390" i="1"/>
  <c r="A9391" i="1"/>
  <c r="B9391" i="1"/>
  <c r="G9391" i="1"/>
  <c r="K9391" i="1"/>
  <c r="A9392" i="1"/>
  <c r="B9392" i="1"/>
  <c r="G9392" i="1"/>
  <c r="K9392" i="1"/>
  <c r="A9393" i="1"/>
  <c r="B9393" i="1"/>
  <c r="G9393" i="1"/>
  <c r="K9393" i="1"/>
  <c r="A9394" i="1"/>
  <c r="B9394" i="1"/>
  <c r="G9394" i="1"/>
  <c r="K9394" i="1"/>
  <c r="A9395" i="1"/>
  <c r="B9395" i="1"/>
  <c r="G9395" i="1"/>
  <c r="K9395" i="1"/>
  <c r="A9396" i="1"/>
  <c r="B9396" i="1"/>
  <c r="G9396" i="1"/>
  <c r="K9396" i="1"/>
  <c r="A9397" i="1"/>
  <c r="B9397" i="1"/>
  <c r="G9397" i="1"/>
  <c r="K9397" i="1"/>
  <c r="A9398" i="1"/>
  <c r="B9398" i="1"/>
  <c r="G9398" i="1"/>
  <c r="K9398" i="1"/>
  <c r="A9399" i="1"/>
  <c r="B9399" i="1"/>
  <c r="G9399" i="1"/>
  <c r="K9399" i="1"/>
  <c r="A9400" i="1"/>
  <c r="B9400" i="1"/>
  <c r="G9400" i="1"/>
  <c r="K9400" i="1"/>
  <c r="A9401" i="1"/>
  <c r="B9401" i="1"/>
  <c r="G9401" i="1"/>
  <c r="K9401" i="1"/>
  <c r="A9402" i="1"/>
  <c r="B9402" i="1"/>
  <c r="G9402" i="1"/>
  <c r="K9402" i="1"/>
  <c r="A9403" i="1"/>
  <c r="B9403" i="1"/>
  <c r="G9403" i="1"/>
  <c r="K9403" i="1"/>
  <c r="A9404" i="1"/>
  <c r="B9404" i="1"/>
  <c r="G9404" i="1"/>
  <c r="K9404" i="1"/>
  <c r="A9405" i="1"/>
  <c r="B9405" i="1"/>
  <c r="G9405" i="1"/>
  <c r="K9405" i="1"/>
  <c r="A9406" i="1"/>
  <c r="B9406" i="1"/>
  <c r="G9406" i="1"/>
  <c r="K9406" i="1"/>
  <c r="A9407" i="1"/>
  <c r="B9407" i="1"/>
  <c r="G9407" i="1"/>
  <c r="K9407" i="1"/>
  <c r="A9408" i="1"/>
  <c r="B9408" i="1"/>
  <c r="G9408" i="1"/>
  <c r="K9408" i="1"/>
  <c r="A9409" i="1"/>
  <c r="B9409" i="1"/>
  <c r="G9409" i="1"/>
  <c r="K9409" i="1"/>
  <c r="A9410" i="1"/>
  <c r="B9410" i="1"/>
  <c r="G9410" i="1"/>
  <c r="K9410" i="1"/>
  <c r="A9411" i="1"/>
  <c r="B9411" i="1"/>
  <c r="G9411" i="1"/>
  <c r="K9411" i="1"/>
  <c r="A9412" i="1"/>
  <c r="B9412" i="1"/>
  <c r="G9412" i="1"/>
  <c r="K9412" i="1"/>
  <c r="A9413" i="1"/>
  <c r="B9413" i="1"/>
  <c r="G9413" i="1"/>
  <c r="K9413" i="1"/>
  <c r="A9414" i="1"/>
  <c r="B9414" i="1"/>
  <c r="G9414" i="1"/>
  <c r="K9414" i="1"/>
  <c r="A9415" i="1"/>
  <c r="B9415" i="1"/>
  <c r="G9415" i="1"/>
  <c r="K9415" i="1"/>
  <c r="A9416" i="1"/>
  <c r="B9416" i="1"/>
  <c r="G9416" i="1"/>
  <c r="K9416" i="1"/>
  <c r="A9417" i="1"/>
  <c r="B9417" i="1"/>
  <c r="G9417" i="1"/>
  <c r="K9417" i="1"/>
  <c r="A9418" i="1"/>
  <c r="B9418" i="1"/>
  <c r="G9418" i="1"/>
  <c r="K9418" i="1"/>
  <c r="A9419" i="1"/>
  <c r="B9419" i="1"/>
  <c r="G9419" i="1"/>
  <c r="K9419" i="1"/>
  <c r="A9420" i="1"/>
  <c r="B9420" i="1"/>
  <c r="G9420" i="1"/>
  <c r="K9420" i="1"/>
  <c r="A9421" i="1"/>
  <c r="B9421" i="1"/>
  <c r="G9421" i="1"/>
  <c r="K9421" i="1"/>
  <c r="A9422" i="1"/>
  <c r="B9422" i="1"/>
  <c r="G9422" i="1"/>
  <c r="K9422" i="1"/>
  <c r="A9423" i="1"/>
  <c r="B9423" i="1"/>
  <c r="G9423" i="1"/>
  <c r="K9423" i="1"/>
  <c r="A9424" i="1"/>
  <c r="B9424" i="1"/>
  <c r="G9424" i="1"/>
  <c r="K9424" i="1"/>
  <c r="A9425" i="1"/>
  <c r="B9425" i="1"/>
  <c r="G9425" i="1"/>
  <c r="K9425" i="1"/>
  <c r="A9426" i="1"/>
  <c r="B9426" i="1"/>
  <c r="G9426" i="1"/>
  <c r="K9426" i="1"/>
  <c r="A9427" i="1"/>
  <c r="B9427" i="1"/>
  <c r="G9427" i="1"/>
  <c r="K9427" i="1"/>
  <c r="A9428" i="1"/>
  <c r="B9428" i="1"/>
  <c r="G9428" i="1"/>
  <c r="K9428" i="1"/>
  <c r="A9429" i="1"/>
  <c r="B9429" i="1"/>
  <c r="G9429" i="1"/>
  <c r="K9429" i="1"/>
  <c r="A9430" i="1"/>
  <c r="B9430" i="1"/>
  <c r="G9430" i="1"/>
  <c r="K9430" i="1"/>
  <c r="A9431" i="1"/>
  <c r="B9431" i="1"/>
  <c r="G9431" i="1"/>
  <c r="K9431" i="1"/>
  <c r="A9432" i="1"/>
  <c r="B9432" i="1"/>
  <c r="G9432" i="1"/>
  <c r="K9432" i="1"/>
  <c r="A9433" i="1"/>
  <c r="B9433" i="1"/>
  <c r="G9433" i="1"/>
  <c r="K9433" i="1"/>
  <c r="A9434" i="1"/>
  <c r="B9434" i="1"/>
  <c r="G9434" i="1"/>
  <c r="K9434" i="1"/>
  <c r="A9435" i="1"/>
  <c r="B9435" i="1"/>
  <c r="G9435" i="1"/>
  <c r="K9435" i="1"/>
  <c r="A9436" i="1"/>
  <c r="B9436" i="1"/>
  <c r="G9436" i="1"/>
  <c r="K9436" i="1"/>
  <c r="A9437" i="1"/>
  <c r="B9437" i="1"/>
  <c r="G9437" i="1"/>
  <c r="K9437" i="1"/>
  <c r="A9438" i="1"/>
  <c r="B9438" i="1"/>
  <c r="G9438" i="1"/>
  <c r="K9438" i="1"/>
  <c r="A9439" i="1"/>
  <c r="B9439" i="1"/>
  <c r="G9439" i="1"/>
  <c r="K9439" i="1"/>
  <c r="A9440" i="1"/>
  <c r="B9440" i="1"/>
  <c r="G9440" i="1"/>
  <c r="K9440" i="1"/>
  <c r="A9441" i="1"/>
  <c r="B9441" i="1"/>
  <c r="G9441" i="1"/>
  <c r="K9441" i="1"/>
  <c r="A9442" i="1"/>
  <c r="B9442" i="1"/>
  <c r="G9442" i="1"/>
  <c r="K9442" i="1"/>
  <c r="A9443" i="1"/>
  <c r="B9443" i="1"/>
  <c r="G9443" i="1"/>
  <c r="K9443" i="1"/>
  <c r="A9444" i="1"/>
  <c r="B9444" i="1"/>
  <c r="G9444" i="1"/>
  <c r="K9444" i="1"/>
  <c r="A9445" i="1"/>
  <c r="B9445" i="1"/>
  <c r="G9445" i="1"/>
  <c r="K9445" i="1"/>
  <c r="A9446" i="1"/>
  <c r="B9446" i="1"/>
  <c r="G9446" i="1"/>
  <c r="K9446" i="1"/>
  <c r="A9447" i="1"/>
  <c r="B9447" i="1"/>
  <c r="G9447" i="1"/>
  <c r="K9447" i="1"/>
  <c r="A9448" i="1"/>
  <c r="B9448" i="1"/>
  <c r="G9448" i="1"/>
  <c r="K9448" i="1"/>
  <c r="A9449" i="1"/>
  <c r="B9449" i="1"/>
  <c r="G9449" i="1"/>
  <c r="K9449" i="1"/>
  <c r="A9450" i="1"/>
  <c r="B9450" i="1"/>
  <c r="G9450" i="1"/>
  <c r="K9450" i="1"/>
  <c r="A9451" i="1"/>
  <c r="B9451" i="1"/>
  <c r="G9451" i="1"/>
  <c r="K9451" i="1"/>
  <c r="A9452" i="1"/>
  <c r="B9452" i="1"/>
  <c r="G9452" i="1"/>
  <c r="K9452" i="1"/>
  <c r="A9453" i="1"/>
  <c r="B9453" i="1"/>
  <c r="G9453" i="1"/>
  <c r="K9453" i="1"/>
  <c r="A9454" i="1"/>
  <c r="B9454" i="1"/>
  <c r="G9454" i="1"/>
  <c r="K9454" i="1"/>
  <c r="A9455" i="1"/>
  <c r="B9455" i="1"/>
  <c r="G9455" i="1"/>
  <c r="K9455" i="1"/>
  <c r="A9456" i="1"/>
  <c r="B9456" i="1"/>
  <c r="G9456" i="1"/>
  <c r="K9456" i="1"/>
  <c r="A9457" i="1"/>
  <c r="B9457" i="1"/>
  <c r="G9457" i="1"/>
  <c r="K9457" i="1"/>
  <c r="A9458" i="1"/>
  <c r="B9458" i="1"/>
  <c r="G9458" i="1"/>
  <c r="K9458" i="1"/>
  <c r="A9459" i="1"/>
  <c r="B9459" i="1"/>
  <c r="G9459" i="1"/>
  <c r="K9459" i="1"/>
  <c r="A9460" i="1"/>
  <c r="B9460" i="1"/>
  <c r="G9460" i="1"/>
  <c r="K9460" i="1"/>
  <c r="A9461" i="1"/>
  <c r="B9461" i="1"/>
  <c r="G9461" i="1"/>
  <c r="K9461" i="1"/>
  <c r="A9462" i="1"/>
  <c r="B9462" i="1"/>
  <c r="G9462" i="1"/>
  <c r="K9462" i="1"/>
  <c r="A9463" i="1"/>
  <c r="B9463" i="1"/>
  <c r="G9463" i="1"/>
  <c r="K9463" i="1"/>
  <c r="A9464" i="1"/>
  <c r="B9464" i="1"/>
  <c r="G9464" i="1"/>
  <c r="K9464" i="1"/>
  <c r="A9465" i="1"/>
  <c r="B9465" i="1"/>
  <c r="G9465" i="1"/>
  <c r="K9465" i="1"/>
  <c r="A9466" i="1"/>
  <c r="B9466" i="1"/>
  <c r="G9466" i="1"/>
  <c r="K9466" i="1"/>
  <c r="A9467" i="1"/>
  <c r="B9467" i="1"/>
  <c r="G9467" i="1"/>
  <c r="K9467" i="1"/>
  <c r="A9468" i="1"/>
  <c r="B9468" i="1"/>
  <c r="G9468" i="1"/>
  <c r="K9468" i="1"/>
  <c r="A9469" i="1"/>
  <c r="B9469" i="1"/>
  <c r="G9469" i="1"/>
  <c r="K9469" i="1"/>
  <c r="A9470" i="1"/>
  <c r="B9470" i="1"/>
  <c r="G9470" i="1"/>
  <c r="K9470" i="1"/>
  <c r="A9471" i="1"/>
  <c r="B9471" i="1"/>
  <c r="G9471" i="1"/>
  <c r="K9471" i="1"/>
  <c r="A9472" i="1"/>
  <c r="B9472" i="1"/>
  <c r="G9472" i="1"/>
  <c r="K9472" i="1"/>
  <c r="A9473" i="1"/>
  <c r="B9473" i="1"/>
  <c r="G9473" i="1"/>
  <c r="K9473" i="1"/>
  <c r="A9474" i="1"/>
  <c r="B9474" i="1"/>
  <c r="G9474" i="1"/>
  <c r="K9474" i="1"/>
  <c r="A9475" i="1"/>
  <c r="B9475" i="1"/>
  <c r="G9475" i="1"/>
  <c r="K9475" i="1"/>
  <c r="A9476" i="1"/>
  <c r="B9476" i="1"/>
  <c r="G9476" i="1"/>
  <c r="K9476" i="1"/>
  <c r="A9477" i="1"/>
  <c r="B9477" i="1"/>
  <c r="G9477" i="1"/>
  <c r="K9477" i="1"/>
  <c r="A9478" i="1"/>
  <c r="B9478" i="1"/>
  <c r="G9478" i="1"/>
  <c r="K9478" i="1"/>
  <c r="A9479" i="1"/>
  <c r="B9479" i="1"/>
  <c r="G9479" i="1"/>
  <c r="K9479" i="1"/>
  <c r="A9480" i="1"/>
  <c r="B9480" i="1"/>
  <c r="G9480" i="1"/>
  <c r="K9480" i="1"/>
  <c r="A9481" i="1"/>
  <c r="B9481" i="1"/>
  <c r="G9481" i="1"/>
  <c r="K9481" i="1"/>
  <c r="A9482" i="1"/>
  <c r="B9482" i="1"/>
  <c r="G9482" i="1"/>
  <c r="K9482" i="1"/>
  <c r="A9483" i="1"/>
  <c r="B9483" i="1"/>
  <c r="G9483" i="1"/>
  <c r="K9483" i="1"/>
  <c r="A9484" i="1"/>
  <c r="B9484" i="1"/>
  <c r="G9484" i="1"/>
  <c r="K9484" i="1"/>
  <c r="A9485" i="1"/>
  <c r="B9485" i="1"/>
  <c r="G9485" i="1"/>
  <c r="K9485" i="1"/>
  <c r="A9486" i="1"/>
  <c r="B9486" i="1"/>
  <c r="G9486" i="1"/>
  <c r="K9486" i="1"/>
  <c r="A9487" i="1"/>
  <c r="B9487" i="1"/>
  <c r="G9487" i="1"/>
  <c r="K9487" i="1"/>
  <c r="A9488" i="1"/>
  <c r="B9488" i="1"/>
  <c r="G9488" i="1"/>
  <c r="K9488" i="1"/>
  <c r="A9489" i="1"/>
  <c r="B9489" i="1"/>
  <c r="G9489" i="1"/>
  <c r="K9489" i="1"/>
  <c r="A9490" i="1"/>
  <c r="B9490" i="1"/>
  <c r="G9490" i="1"/>
  <c r="K9490" i="1"/>
  <c r="A9491" i="1"/>
  <c r="B9491" i="1"/>
  <c r="G9491" i="1"/>
  <c r="K9491" i="1"/>
  <c r="A9492" i="1"/>
  <c r="B9492" i="1"/>
  <c r="G9492" i="1"/>
  <c r="K9492" i="1"/>
  <c r="A9493" i="1"/>
  <c r="B9493" i="1"/>
  <c r="G9493" i="1"/>
  <c r="K9493" i="1"/>
  <c r="A9494" i="1"/>
  <c r="B9494" i="1"/>
  <c r="G9494" i="1"/>
  <c r="K9494" i="1"/>
  <c r="A9495" i="1"/>
  <c r="B9495" i="1"/>
  <c r="G9495" i="1"/>
  <c r="K9495" i="1"/>
  <c r="A9496" i="1"/>
  <c r="B9496" i="1"/>
  <c r="G9496" i="1"/>
  <c r="K9496" i="1"/>
  <c r="A9497" i="1"/>
  <c r="B9497" i="1"/>
  <c r="G9497" i="1"/>
  <c r="K9497" i="1"/>
  <c r="A9498" i="1"/>
  <c r="B9498" i="1"/>
  <c r="G9498" i="1"/>
  <c r="K9498" i="1"/>
  <c r="A9499" i="1"/>
  <c r="B9499" i="1"/>
  <c r="G9499" i="1"/>
  <c r="K9499" i="1"/>
  <c r="A9500" i="1"/>
  <c r="B9500" i="1"/>
  <c r="G9500" i="1"/>
  <c r="K9500" i="1"/>
  <c r="A9501" i="1"/>
  <c r="B9501" i="1"/>
  <c r="G9501" i="1"/>
  <c r="K9501" i="1"/>
  <c r="A9502" i="1"/>
  <c r="B9502" i="1"/>
  <c r="G9502" i="1"/>
  <c r="K9502" i="1"/>
  <c r="A9503" i="1"/>
  <c r="B9503" i="1"/>
  <c r="G9503" i="1"/>
  <c r="K9503" i="1"/>
  <c r="A9504" i="1"/>
  <c r="B9504" i="1"/>
  <c r="G9504" i="1"/>
  <c r="K9504" i="1"/>
  <c r="A9505" i="1"/>
  <c r="B9505" i="1"/>
  <c r="G9505" i="1"/>
  <c r="K9505" i="1"/>
  <c r="A9506" i="1"/>
  <c r="B9506" i="1"/>
  <c r="G9506" i="1"/>
  <c r="K9506" i="1"/>
  <c r="A9507" i="1"/>
  <c r="B9507" i="1"/>
  <c r="G9507" i="1"/>
  <c r="K9507" i="1"/>
  <c r="A9508" i="1"/>
  <c r="B9508" i="1"/>
  <c r="G9508" i="1"/>
  <c r="K9508" i="1"/>
  <c r="A9509" i="1"/>
  <c r="B9509" i="1"/>
  <c r="G9509" i="1"/>
  <c r="K9509" i="1"/>
  <c r="A9510" i="1"/>
  <c r="B9510" i="1"/>
  <c r="G9510" i="1"/>
  <c r="K9510" i="1"/>
  <c r="A9511" i="1"/>
  <c r="B9511" i="1"/>
  <c r="G9511" i="1"/>
  <c r="K9511" i="1"/>
  <c r="A9512" i="1"/>
  <c r="B9512" i="1"/>
  <c r="G9512" i="1"/>
  <c r="K9512" i="1"/>
  <c r="A9513" i="1"/>
  <c r="B9513" i="1"/>
  <c r="G9513" i="1"/>
  <c r="K9513" i="1"/>
  <c r="A9514" i="1"/>
  <c r="B9514" i="1"/>
  <c r="G9514" i="1"/>
  <c r="K9514" i="1"/>
  <c r="A9515" i="1"/>
  <c r="B9515" i="1"/>
  <c r="G9515" i="1"/>
  <c r="K9515" i="1"/>
  <c r="A9516" i="1"/>
  <c r="B9516" i="1"/>
  <c r="G9516" i="1"/>
  <c r="K9516" i="1"/>
  <c r="A9517" i="1"/>
  <c r="B9517" i="1"/>
  <c r="G9517" i="1"/>
  <c r="K9517" i="1"/>
  <c r="A9518" i="1"/>
  <c r="B9518" i="1"/>
  <c r="G9518" i="1"/>
  <c r="K9518" i="1"/>
  <c r="A9519" i="1"/>
  <c r="B9519" i="1"/>
  <c r="G9519" i="1"/>
  <c r="K9519" i="1"/>
  <c r="A9520" i="1"/>
  <c r="B9520" i="1"/>
  <c r="G9520" i="1"/>
  <c r="K9520" i="1"/>
  <c r="A9521" i="1"/>
  <c r="B9521" i="1"/>
  <c r="G9521" i="1"/>
  <c r="K9521" i="1"/>
  <c r="A9522" i="1"/>
  <c r="B9522" i="1"/>
  <c r="G9522" i="1"/>
  <c r="K9522" i="1"/>
  <c r="A9523" i="1"/>
  <c r="B9523" i="1"/>
  <c r="G9523" i="1"/>
  <c r="K9523" i="1"/>
  <c r="A9524" i="1"/>
  <c r="B9524" i="1"/>
  <c r="G9524" i="1"/>
  <c r="K9524" i="1"/>
  <c r="A9525" i="1"/>
  <c r="B9525" i="1"/>
  <c r="G9525" i="1"/>
  <c r="K9525" i="1"/>
  <c r="A9526" i="1"/>
  <c r="B9526" i="1"/>
  <c r="G9526" i="1"/>
  <c r="K9526" i="1"/>
  <c r="A9527" i="1"/>
  <c r="B9527" i="1"/>
  <c r="G9527" i="1"/>
  <c r="K9527" i="1"/>
  <c r="A9528" i="1"/>
  <c r="B9528" i="1"/>
  <c r="G9528" i="1"/>
  <c r="K9528" i="1"/>
  <c r="A9529" i="1"/>
  <c r="B9529" i="1"/>
  <c r="G9529" i="1"/>
  <c r="K9529" i="1"/>
  <c r="A9530" i="1"/>
  <c r="B9530" i="1"/>
  <c r="G9530" i="1"/>
  <c r="K9530" i="1"/>
  <c r="A9531" i="1"/>
  <c r="B9531" i="1"/>
  <c r="G9531" i="1"/>
  <c r="K9531" i="1"/>
  <c r="A9532" i="1"/>
  <c r="B9532" i="1"/>
  <c r="G9532" i="1"/>
  <c r="K9532" i="1"/>
  <c r="A9533" i="1"/>
  <c r="B9533" i="1"/>
  <c r="G9533" i="1"/>
  <c r="K9533" i="1"/>
  <c r="A9534" i="1"/>
  <c r="B9534" i="1"/>
  <c r="G9534" i="1"/>
  <c r="K9534" i="1"/>
  <c r="A9535" i="1"/>
  <c r="B9535" i="1"/>
  <c r="G9535" i="1"/>
  <c r="K9535" i="1"/>
  <c r="A9536" i="1"/>
  <c r="B9536" i="1"/>
  <c r="G9536" i="1"/>
  <c r="K9536" i="1"/>
  <c r="A9537" i="1"/>
  <c r="B9537" i="1"/>
  <c r="G9537" i="1"/>
  <c r="K9537" i="1"/>
  <c r="A9538" i="1"/>
  <c r="B9538" i="1"/>
  <c r="G9538" i="1"/>
  <c r="K9538" i="1"/>
  <c r="A9539" i="1"/>
  <c r="B9539" i="1"/>
  <c r="G9539" i="1"/>
  <c r="K9539" i="1"/>
  <c r="A9540" i="1"/>
  <c r="B9540" i="1"/>
  <c r="G9540" i="1"/>
  <c r="K9540" i="1"/>
  <c r="A9541" i="1"/>
  <c r="B9541" i="1"/>
  <c r="G9541" i="1"/>
  <c r="K9541" i="1"/>
  <c r="A9542" i="1"/>
  <c r="B9542" i="1"/>
  <c r="G9542" i="1"/>
  <c r="K9542" i="1"/>
  <c r="A9543" i="1"/>
  <c r="B9543" i="1"/>
  <c r="G9543" i="1"/>
  <c r="K9543" i="1"/>
  <c r="A9544" i="1"/>
  <c r="B9544" i="1"/>
  <c r="G9544" i="1"/>
  <c r="K9544" i="1"/>
  <c r="A9545" i="1"/>
  <c r="B9545" i="1"/>
  <c r="G9545" i="1"/>
  <c r="K9545" i="1"/>
  <c r="A9546" i="1"/>
  <c r="B9546" i="1"/>
  <c r="G9546" i="1"/>
  <c r="K9546" i="1"/>
  <c r="A9547" i="1"/>
  <c r="B9547" i="1"/>
  <c r="G9547" i="1"/>
  <c r="K9547" i="1"/>
  <c r="A9548" i="1"/>
  <c r="B9548" i="1"/>
  <c r="G9548" i="1"/>
  <c r="K9548" i="1"/>
  <c r="A9549" i="1"/>
  <c r="B9549" i="1"/>
  <c r="G9549" i="1"/>
  <c r="K9549" i="1"/>
  <c r="A9550" i="1"/>
  <c r="B9550" i="1"/>
  <c r="G9550" i="1"/>
  <c r="K9550" i="1"/>
  <c r="A9551" i="1"/>
  <c r="B9551" i="1"/>
  <c r="G9551" i="1"/>
  <c r="K9551" i="1"/>
  <c r="A9552" i="1"/>
  <c r="B9552" i="1"/>
  <c r="G9552" i="1"/>
  <c r="K9552" i="1"/>
  <c r="A9553" i="1"/>
  <c r="B9553" i="1"/>
  <c r="G9553" i="1"/>
  <c r="K9553" i="1"/>
  <c r="A9554" i="1"/>
  <c r="B9554" i="1"/>
  <c r="G9554" i="1"/>
  <c r="K9554" i="1"/>
  <c r="A9555" i="1"/>
  <c r="B9555" i="1"/>
  <c r="G9555" i="1"/>
  <c r="K9555" i="1"/>
  <c r="A9556" i="1"/>
  <c r="B9556" i="1"/>
  <c r="G9556" i="1"/>
  <c r="K9556" i="1"/>
  <c r="A9557" i="1"/>
  <c r="B9557" i="1"/>
  <c r="G9557" i="1"/>
  <c r="K9557" i="1"/>
  <c r="A9558" i="1"/>
  <c r="B9558" i="1"/>
  <c r="G9558" i="1"/>
  <c r="K9558" i="1"/>
  <c r="A9559" i="1"/>
  <c r="B9559" i="1"/>
  <c r="G9559" i="1"/>
  <c r="K9559" i="1"/>
  <c r="A9560" i="1"/>
  <c r="B9560" i="1"/>
  <c r="G9560" i="1"/>
  <c r="K9560" i="1"/>
  <c r="A9561" i="1"/>
  <c r="B9561" i="1"/>
  <c r="G9561" i="1"/>
  <c r="K9561" i="1"/>
  <c r="A9562" i="1"/>
  <c r="B9562" i="1"/>
  <c r="G9562" i="1"/>
  <c r="K9562" i="1"/>
  <c r="A9563" i="1"/>
  <c r="B9563" i="1"/>
  <c r="G9563" i="1"/>
  <c r="K9563" i="1"/>
  <c r="A9564" i="1"/>
  <c r="B9564" i="1"/>
  <c r="G9564" i="1"/>
  <c r="K9564" i="1"/>
  <c r="A9565" i="1"/>
  <c r="B9565" i="1"/>
  <c r="G9565" i="1"/>
  <c r="K9565" i="1"/>
  <c r="A9566" i="1"/>
  <c r="B9566" i="1"/>
  <c r="G9566" i="1"/>
  <c r="K9566" i="1"/>
  <c r="A9567" i="1"/>
  <c r="B9567" i="1"/>
  <c r="G9567" i="1"/>
  <c r="K9567" i="1"/>
  <c r="A9568" i="1"/>
  <c r="B9568" i="1"/>
  <c r="G9568" i="1"/>
  <c r="K9568" i="1"/>
  <c r="A9569" i="1"/>
  <c r="B9569" i="1"/>
  <c r="G9569" i="1"/>
  <c r="K9569" i="1"/>
  <c r="A9570" i="1"/>
  <c r="B9570" i="1"/>
  <c r="G9570" i="1"/>
  <c r="K9570" i="1"/>
  <c r="A9571" i="1"/>
  <c r="B9571" i="1"/>
  <c r="G9571" i="1"/>
  <c r="K9571" i="1"/>
  <c r="A9572" i="1"/>
  <c r="B9572" i="1"/>
  <c r="G9572" i="1"/>
  <c r="K9572" i="1"/>
  <c r="A9573" i="1"/>
  <c r="B9573" i="1"/>
  <c r="G9573" i="1"/>
  <c r="K9573" i="1"/>
  <c r="A9574" i="1"/>
  <c r="B9574" i="1"/>
  <c r="G9574" i="1"/>
  <c r="K9574" i="1"/>
  <c r="A9575" i="1"/>
  <c r="B9575" i="1"/>
  <c r="G9575" i="1"/>
  <c r="K9575" i="1"/>
  <c r="A9576" i="1"/>
  <c r="B9576" i="1"/>
  <c r="G9576" i="1"/>
  <c r="K9576" i="1"/>
  <c r="A9577" i="1"/>
  <c r="B9577" i="1"/>
  <c r="G9577" i="1"/>
  <c r="K9577" i="1"/>
  <c r="A9578" i="1"/>
  <c r="B9578" i="1"/>
  <c r="G9578" i="1"/>
  <c r="K9578" i="1"/>
  <c r="A9579" i="1"/>
  <c r="B9579" i="1"/>
  <c r="G9579" i="1"/>
  <c r="K9579" i="1"/>
  <c r="A9580" i="1"/>
  <c r="B9580" i="1"/>
  <c r="G9580" i="1"/>
  <c r="K9580" i="1"/>
  <c r="A9581" i="1"/>
  <c r="B9581" i="1"/>
  <c r="G9581" i="1"/>
  <c r="K9581" i="1"/>
  <c r="A9582" i="1"/>
  <c r="B9582" i="1"/>
  <c r="G9582" i="1"/>
  <c r="K9582" i="1"/>
  <c r="A9583" i="1"/>
  <c r="B9583" i="1"/>
  <c r="G9583" i="1"/>
  <c r="K9583" i="1"/>
  <c r="A9584" i="1"/>
  <c r="B9584" i="1"/>
  <c r="G9584" i="1"/>
  <c r="K9584" i="1"/>
  <c r="A9585" i="1"/>
  <c r="B9585" i="1"/>
  <c r="G9585" i="1"/>
  <c r="K9585" i="1"/>
  <c r="A9586" i="1"/>
  <c r="B9586" i="1"/>
  <c r="G9586" i="1"/>
  <c r="K9586" i="1"/>
  <c r="A9587" i="1"/>
  <c r="B9587" i="1"/>
  <c r="G9587" i="1"/>
  <c r="K9587" i="1"/>
  <c r="A9588" i="1"/>
  <c r="B9588" i="1"/>
  <c r="G9588" i="1"/>
  <c r="K9588" i="1"/>
  <c r="A9589" i="1"/>
  <c r="B9589" i="1"/>
  <c r="G9589" i="1"/>
  <c r="K9589" i="1"/>
  <c r="A9590" i="1"/>
  <c r="B9590" i="1"/>
  <c r="G9590" i="1"/>
  <c r="K9590" i="1"/>
  <c r="A9591" i="1"/>
  <c r="B9591" i="1"/>
  <c r="G9591" i="1"/>
  <c r="K9591" i="1"/>
  <c r="A9592" i="1"/>
  <c r="B9592" i="1"/>
  <c r="G9592" i="1"/>
  <c r="K9592" i="1"/>
  <c r="A9593" i="1"/>
  <c r="B9593" i="1"/>
  <c r="G9593" i="1"/>
  <c r="K9593" i="1"/>
  <c r="A9594" i="1"/>
  <c r="B9594" i="1"/>
  <c r="G9594" i="1"/>
  <c r="K9594" i="1"/>
  <c r="A9595" i="1"/>
  <c r="B9595" i="1"/>
  <c r="G9595" i="1"/>
  <c r="K9595" i="1"/>
  <c r="A9596" i="1"/>
  <c r="B9596" i="1"/>
  <c r="G9596" i="1"/>
  <c r="K9596" i="1"/>
  <c r="A9597" i="1"/>
  <c r="B9597" i="1"/>
  <c r="G9597" i="1"/>
  <c r="K9597" i="1"/>
  <c r="A9598" i="1"/>
  <c r="B9598" i="1"/>
  <c r="G9598" i="1"/>
  <c r="K9598" i="1"/>
  <c r="A9599" i="1"/>
  <c r="B9599" i="1"/>
  <c r="G9599" i="1"/>
  <c r="K9599" i="1"/>
  <c r="A9600" i="1"/>
  <c r="B9600" i="1"/>
  <c r="G9600" i="1"/>
  <c r="K9600" i="1"/>
  <c r="A9601" i="1"/>
  <c r="B9601" i="1"/>
  <c r="G9601" i="1"/>
  <c r="K9601" i="1"/>
  <c r="A9602" i="1"/>
  <c r="B9602" i="1"/>
  <c r="G9602" i="1"/>
  <c r="K9602" i="1"/>
  <c r="A9603" i="1"/>
  <c r="B9603" i="1"/>
  <c r="G9603" i="1"/>
  <c r="K9603" i="1"/>
  <c r="A9604" i="1"/>
  <c r="B9604" i="1"/>
  <c r="G9604" i="1"/>
  <c r="K9604" i="1"/>
  <c r="A9605" i="1"/>
  <c r="B9605" i="1"/>
  <c r="G9605" i="1"/>
  <c r="K9605" i="1"/>
  <c r="A9606" i="1"/>
  <c r="B9606" i="1"/>
  <c r="G9606" i="1"/>
  <c r="K9606" i="1"/>
  <c r="A9607" i="1"/>
  <c r="B9607" i="1"/>
  <c r="G9607" i="1"/>
  <c r="K9607" i="1"/>
  <c r="A9608" i="1"/>
  <c r="B9608" i="1"/>
  <c r="G9608" i="1"/>
  <c r="K9608" i="1"/>
  <c r="A9609" i="1"/>
  <c r="B9609" i="1"/>
  <c r="G9609" i="1"/>
  <c r="K9609" i="1"/>
  <c r="A9610" i="1"/>
  <c r="B9610" i="1"/>
  <c r="G9610" i="1"/>
  <c r="K9610" i="1"/>
  <c r="A9611" i="1"/>
  <c r="B9611" i="1"/>
  <c r="G9611" i="1"/>
  <c r="K9611" i="1"/>
  <c r="A9612" i="1"/>
  <c r="B9612" i="1"/>
  <c r="G9612" i="1"/>
  <c r="K9612" i="1"/>
  <c r="A9613" i="1"/>
  <c r="B9613" i="1"/>
  <c r="G9613" i="1"/>
  <c r="K9613" i="1"/>
  <c r="A9614" i="1"/>
  <c r="B9614" i="1"/>
  <c r="G9614" i="1"/>
  <c r="K9614" i="1"/>
  <c r="A9615" i="1"/>
  <c r="B9615" i="1"/>
  <c r="G9615" i="1"/>
  <c r="K9615" i="1"/>
  <c r="A9616" i="1"/>
  <c r="B9616" i="1"/>
  <c r="G9616" i="1"/>
  <c r="K9616" i="1"/>
  <c r="A9617" i="1"/>
  <c r="B9617" i="1"/>
  <c r="G9617" i="1"/>
  <c r="K9617" i="1"/>
  <c r="A9618" i="1"/>
  <c r="B9618" i="1"/>
  <c r="G9618" i="1"/>
  <c r="K9618" i="1"/>
  <c r="A9619" i="1"/>
  <c r="B9619" i="1"/>
  <c r="G9619" i="1"/>
  <c r="K9619" i="1"/>
  <c r="A9620" i="1"/>
  <c r="B9620" i="1"/>
  <c r="G9620" i="1"/>
  <c r="K9620" i="1"/>
  <c r="A9621" i="1"/>
  <c r="B9621" i="1"/>
  <c r="G9621" i="1"/>
  <c r="K9621" i="1"/>
  <c r="A9622" i="1"/>
  <c r="B9622" i="1"/>
  <c r="G9622" i="1"/>
  <c r="K9622" i="1"/>
  <c r="A9623" i="1"/>
  <c r="B9623" i="1"/>
  <c r="G9623" i="1"/>
  <c r="K9623" i="1"/>
  <c r="A9624" i="1"/>
  <c r="B9624" i="1"/>
  <c r="G9624" i="1"/>
  <c r="K9624" i="1"/>
  <c r="A9625" i="1"/>
  <c r="B9625" i="1"/>
  <c r="G9625" i="1"/>
  <c r="K9625" i="1"/>
  <c r="A9626" i="1"/>
  <c r="B9626" i="1"/>
  <c r="G9626" i="1"/>
  <c r="K9626" i="1"/>
  <c r="A9627" i="1"/>
  <c r="B9627" i="1"/>
  <c r="G9627" i="1"/>
  <c r="K9627" i="1"/>
  <c r="A9628" i="1"/>
  <c r="B9628" i="1"/>
  <c r="G9628" i="1"/>
  <c r="K9628" i="1"/>
  <c r="A9629" i="1"/>
  <c r="B9629" i="1"/>
  <c r="G9629" i="1"/>
  <c r="K9629" i="1"/>
  <c r="A9630" i="1"/>
  <c r="B9630" i="1"/>
  <c r="G9630" i="1"/>
  <c r="K9630" i="1"/>
  <c r="A9631" i="1"/>
  <c r="B9631" i="1"/>
  <c r="G9631" i="1"/>
  <c r="K9631" i="1"/>
  <c r="A9632" i="1"/>
  <c r="B9632" i="1"/>
  <c r="G9632" i="1"/>
  <c r="K9632" i="1"/>
  <c r="A9633" i="1"/>
  <c r="B9633" i="1"/>
  <c r="G9633" i="1"/>
  <c r="K9633" i="1"/>
  <c r="A9634" i="1"/>
  <c r="B9634" i="1"/>
  <c r="G9634" i="1"/>
  <c r="K9634" i="1"/>
  <c r="A9635" i="1"/>
  <c r="B9635" i="1"/>
  <c r="G9635" i="1"/>
  <c r="K9635" i="1"/>
  <c r="A9636" i="1"/>
  <c r="B9636" i="1"/>
  <c r="G9636" i="1"/>
  <c r="K9636" i="1"/>
  <c r="A9637" i="1"/>
  <c r="B9637" i="1"/>
  <c r="G9637" i="1"/>
  <c r="K9637" i="1"/>
  <c r="A9638" i="1"/>
  <c r="B9638" i="1"/>
  <c r="G9638" i="1"/>
  <c r="K9638" i="1"/>
  <c r="A9639" i="1"/>
  <c r="B9639" i="1"/>
  <c r="G9639" i="1"/>
  <c r="K9639" i="1"/>
  <c r="A9640" i="1"/>
  <c r="B9640" i="1"/>
  <c r="G9640" i="1"/>
  <c r="K9640" i="1"/>
  <c r="A9641" i="1"/>
  <c r="B9641" i="1"/>
  <c r="G9641" i="1"/>
  <c r="K9641" i="1"/>
  <c r="A9642" i="1"/>
  <c r="B9642" i="1"/>
  <c r="G9642" i="1"/>
  <c r="K9642" i="1"/>
  <c r="A9643" i="1"/>
  <c r="B9643" i="1"/>
  <c r="G9643" i="1"/>
  <c r="K9643" i="1"/>
  <c r="A9644" i="1"/>
  <c r="B9644" i="1"/>
  <c r="G9644" i="1"/>
  <c r="K9644" i="1"/>
  <c r="A9645" i="1"/>
  <c r="B9645" i="1"/>
  <c r="G9645" i="1"/>
  <c r="K9645" i="1"/>
  <c r="A9646" i="1"/>
  <c r="B9646" i="1"/>
  <c r="G9646" i="1"/>
  <c r="K9646" i="1"/>
  <c r="A9647" i="1"/>
  <c r="B9647" i="1"/>
  <c r="G9647" i="1"/>
  <c r="K9647" i="1"/>
  <c r="A9648" i="1"/>
  <c r="B9648" i="1"/>
  <c r="G9648" i="1"/>
  <c r="K9648" i="1"/>
  <c r="A9649" i="1"/>
  <c r="B9649" i="1"/>
  <c r="G9649" i="1"/>
  <c r="K9649" i="1"/>
  <c r="A9650" i="1"/>
  <c r="B9650" i="1"/>
  <c r="G9650" i="1"/>
  <c r="K9650" i="1"/>
  <c r="A9651" i="1"/>
  <c r="B9651" i="1"/>
  <c r="G9651" i="1"/>
  <c r="K9651" i="1"/>
  <c r="A9652" i="1"/>
  <c r="B9652" i="1"/>
  <c r="G9652" i="1"/>
  <c r="K9652" i="1"/>
  <c r="A9653" i="1"/>
  <c r="B9653" i="1"/>
  <c r="G9653" i="1"/>
  <c r="K9653" i="1"/>
  <c r="A9654" i="1"/>
  <c r="B9654" i="1"/>
  <c r="G9654" i="1"/>
  <c r="K9654" i="1"/>
  <c r="A9655" i="1"/>
  <c r="B9655" i="1"/>
  <c r="G9655" i="1"/>
  <c r="K9655" i="1"/>
  <c r="A9656" i="1"/>
  <c r="B9656" i="1"/>
  <c r="G9656" i="1"/>
  <c r="K9656" i="1"/>
  <c r="A9657" i="1"/>
  <c r="B9657" i="1"/>
  <c r="G9657" i="1"/>
  <c r="K9657" i="1"/>
  <c r="A9658" i="1"/>
  <c r="B9658" i="1"/>
  <c r="G9658" i="1"/>
  <c r="K9658" i="1"/>
  <c r="A9659" i="1"/>
  <c r="B9659" i="1"/>
  <c r="G9659" i="1"/>
  <c r="K9659" i="1"/>
  <c r="A9660" i="1"/>
  <c r="B9660" i="1"/>
  <c r="G9660" i="1"/>
  <c r="K9660" i="1"/>
  <c r="A9661" i="1"/>
  <c r="B9661" i="1"/>
  <c r="G9661" i="1"/>
  <c r="K9661" i="1"/>
  <c r="A9662" i="1"/>
  <c r="B9662" i="1"/>
  <c r="G9662" i="1"/>
  <c r="K9662" i="1"/>
  <c r="A9663" i="1"/>
  <c r="B9663" i="1"/>
  <c r="G9663" i="1"/>
  <c r="K9663" i="1"/>
  <c r="A9664" i="1"/>
  <c r="B9664" i="1"/>
  <c r="G9664" i="1"/>
  <c r="K9664" i="1"/>
  <c r="A9665" i="1"/>
  <c r="B9665" i="1"/>
  <c r="G9665" i="1"/>
  <c r="K9665" i="1"/>
  <c r="A9666" i="1"/>
  <c r="B9666" i="1"/>
  <c r="G9666" i="1"/>
  <c r="K9666" i="1"/>
  <c r="A9667" i="1"/>
  <c r="B9667" i="1"/>
  <c r="G9667" i="1"/>
  <c r="K9667" i="1"/>
  <c r="A9668" i="1"/>
  <c r="B9668" i="1"/>
  <c r="G9668" i="1"/>
  <c r="K9668" i="1"/>
  <c r="A9669" i="1"/>
  <c r="B9669" i="1"/>
  <c r="G9669" i="1"/>
  <c r="K9669" i="1"/>
  <c r="A9670" i="1"/>
  <c r="B9670" i="1"/>
  <c r="G9670" i="1"/>
  <c r="K9670" i="1"/>
  <c r="A9671" i="1"/>
  <c r="B9671" i="1"/>
  <c r="G9671" i="1"/>
  <c r="K9671" i="1"/>
  <c r="A9672" i="1"/>
  <c r="B9672" i="1"/>
  <c r="G9672" i="1"/>
  <c r="K9672" i="1"/>
  <c r="A9673" i="1"/>
  <c r="B9673" i="1"/>
  <c r="G9673" i="1"/>
  <c r="K9673" i="1"/>
  <c r="A9674" i="1"/>
  <c r="B9674" i="1"/>
  <c r="G9674" i="1"/>
  <c r="K9674" i="1"/>
  <c r="A9675" i="1"/>
  <c r="B9675" i="1"/>
  <c r="G9675" i="1"/>
  <c r="K9675" i="1"/>
  <c r="A9676" i="1"/>
  <c r="B9676" i="1"/>
  <c r="G9676" i="1"/>
  <c r="K9676" i="1"/>
  <c r="A9677" i="1"/>
  <c r="B9677" i="1"/>
  <c r="G9677" i="1"/>
  <c r="K9677" i="1"/>
  <c r="A9678" i="1"/>
  <c r="B9678" i="1"/>
  <c r="G9678" i="1"/>
  <c r="K9678" i="1"/>
  <c r="A9679" i="1"/>
  <c r="B9679" i="1"/>
  <c r="G9679" i="1"/>
  <c r="K9679" i="1"/>
  <c r="A9680" i="1"/>
  <c r="B9680" i="1"/>
  <c r="G9680" i="1"/>
  <c r="K9680" i="1"/>
  <c r="A9681" i="1"/>
  <c r="B9681" i="1"/>
  <c r="G9681" i="1"/>
  <c r="K9681" i="1"/>
  <c r="A9682" i="1"/>
  <c r="B9682" i="1"/>
  <c r="G9682" i="1"/>
  <c r="K9682" i="1"/>
  <c r="A9683" i="1"/>
  <c r="B9683" i="1"/>
  <c r="G9683" i="1"/>
  <c r="K9683" i="1"/>
  <c r="A9684" i="1"/>
  <c r="B9684" i="1"/>
  <c r="G9684" i="1"/>
  <c r="K9684" i="1"/>
  <c r="A9685" i="1"/>
  <c r="B9685" i="1"/>
  <c r="G9685" i="1"/>
  <c r="K9685" i="1"/>
  <c r="A9686" i="1"/>
  <c r="B9686" i="1"/>
  <c r="G9686" i="1"/>
  <c r="K9686" i="1"/>
  <c r="A9687" i="1"/>
  <c r="B9687" i="1"/>
  <c r="G9687" i="1"/>
  <c r="K9687" i="1"/>
  <c r="A9688" i="1"/>
  <c r="B9688" i="1"/>
  <c r="G9688" i="1"/>
  <c r="K9688" i="1"/>
  <c r="A9689" i="1"/>
  <c r="B9689" i="1"/>
  <c r="G9689" i="1"/>
  <c r="K9689" i="1"/>
  <c r="A9690" i="1"/>
  <c r="B9690" i="1"/>
  <c r="G9690" i="1"/>
  <c r="K9690" i="1"/>
  <c r="A9691" i="1"/>
  <c r="B9691" i="1"/>
  <c r="G9691" i="1"/>
  <c r="K9691" i="1"/>
  <c r="A9692" i="1"/>
  <c r="B9692" i="1"/>
  <c r="G9692" i="1"/>
  <c r="K9692" i="1"/>
  <c r="A9693" i="1"/>
  <c r="B9693" i="1"/>
  <c r="G9693" i="1"/>
  <c r="K9693" i="1"/>
  <c r="A9694" i="1"/>
  <c r="B9694" i="1"/>
  <c r="G9694" i="1"/>
  <c r="K9694" i="1"/>
  <c r="A9695" i="1"/>
  <c r="B9695" i="1"/>
  <c r="G9695" i="1"/>
  <c r="K9695" i="1"/>
  <c r="A9696" i="1"/>
  <c r="B9696" i="1"/>
  <c r="G9696" i="1"/>
  <c r="K9696" i="1"/>
  <c r="A9697" i="1"/>
  <c r="B9697" i="1"/>
  <c r="G9697" i="1"/>
  <c r="K9697" i="1"/>
  <c r="A9698" i="1"/>
  <c r="B9698" i="1"/>
  <c r="G9698" i="1"/>
  <c r="K9698" i="1"/>
  <c r="A9699" i="1"/>
  <c r="B9699" i="1"/>
  <c r="G9699" i="1"/>
  <c r="K9699" i="1"/>
  <c r="A9700" i="1"/>
  <c r="B9700" i="1"/>
  <c r="G9700" i="1"/>
  <c r="K9700" i="1"/>
  <c r="A9701" i="1"/>
  <c r="B9701" i="1"/>
  <c r="G9701" i="1"/>
  <c r="K9701" i="1"/>
  <c r="A9702" i="1"/>
  <c r="B9702" i="1"/>
  <c r="G9702" i="1"/>
  <c r="K9702" i="1"/>
  <c r="A9703" i="1"/>
  <c r="B9703" i="1"/>
  <c r="G9703" i="1"/>
  <c r="K9703" i="1"/>
  <c r="A9704" i="1"/>
  <c r="B9704" i="1"/>
  <c r="G9704" i="1"/>
  <c r="K9704" i="1"/>
  <c r="A9705" i="1"/>
  <c r="B9705" i="1"/>
  <c r="G9705" i="1"/>
  <c r="K9705" i="1"/>
  <c r="A9706" i="1"/>
  <c r="B9706" i="1"/>
  <c r="G9706" i="1"/>
  <c r="K9706" i="1"/>
  <c r="A9707" i="1"/>
  <c r="B9707" i="1"/>
  <c r="G9707" i="1"/>
  <c r="K9707" i="1"/>
  <c r="A9708" i="1"/>
  <c r="B9708" i="1"/>
  <c r="G9708" i="1"/>
  <c r="K9708" i="1"/>
  <c r="A9709" i="1"/>
  <c r="B9709" i="1"/>
  <c r="G9709" i="1"/>
  <c r="K9709" i="1"/>
  <c r="A9710" i="1"/>
  <c r="B9710" i="1"/>
  <c r="G9710" i="1"/>
  <c r="K9710" i="1"/>
  <c r="A9711" i="1"/>
  <c r="B9711" i="1"/>
  <c r="G9711" i="1"/>
  <c r="K9711" i="1"/>
  <c r="A9712" i="1"/>
  <c r="B9712" i="1"/>
  <c r="G9712" i="1"/>
  <c r="K9712" i="1"/>
  <c r="A9713" i="1"/>
  <c r="B9713" i="1"/>
  <c r="G9713" i="1"/>
  <c r="K9713" i="1"/>
  <c r="A9714" i="1"/>
  <c r="B9714" i="1"/>
  <c r="G9714" i="1"/>
  <c r="K9714" i="1"/>
  <c r="A9715" i="1"/>
  <c r="B9715" i="1"/>
  <c r="G9715" i="1"/>
  <c r="K9715" i="1"/>
  <c r="A9716" i="1"/>
  <c r="B9716" i="1"/>
  <c r="G9716" i="1"/>
  <c r="K9716" i="1"/>
  <c r="A9717" i="1"/>
  <c r="B9717" i="1"/>
  <c r="G9717" i="1"/>
  <c r="K9717" i="1"/>
  <c r="A9718" i="1"/>
  <c r="B9718" i="1"/>
  <c r="G9718" i="1"/>
  <c r="K9718" i="1"/>
  <c r="A9719" i="1"/>
  <c r="B9719" i="1"/>
  <c r="G9719" i="1"/>
  <c r="K9719" i="1"/>
  <c r="A9720" i="1"/>
  <c r="B9720" i="1"/>
  <c r="G9720" i="1"/>
  <c r="K9720" i="1"/>
  <c r="A9721" i="1"/>
  <c r="B9721" i="1"/>
  <c r="G9721" i="1"/>
  <c r="K9721" i="1"/>
  <c r="A9722" i="1"/>
  <c r="B9722" i="1"/>
  <c r="G9722" i="1"/>
  <c r="K9722" i="1"/>
  <c r="A9723" i="1"/>
  <c r="B9723" i="1"/>
  <c r="G9723" i="1"/>
  <c r="K9723" i="1"/>
  <c r="A9724" i="1"/>
  <c r="B9724" i="1"/>
  <c r="G9724" i="1"/>
  <c r="K9724" i="1"/>
  <c r="A9725" i="1"/>
  <c r="B9725" i="1"/>
  <c r="G9725" i="1"/>
  <c r="K9725" i="1"/>
  <c r="A9726" i="1"/>
  <c r="B9726" i="1"/>
  <c r="G9726" i="1"/>
  <c r="K9726" i="1"/>
  <c r="A9727" i="1"/>
  <c r="B9727" i="1"/>
  <c r="G9727" i="1"/>
  <c r="K9727" i="1"/>
  <c r="A9728" i="1"/>
  <c r="B9728" i="1"/>
  <c r="G9728" i="1"/>
  <c r="K9728" i="1"/>
  <c r="A9729" i="1"/>
  <c r="B9729" i="1"/>
  <c r="G9729" i="1"/>
  <c r="K9729" i="1"/>
  <c r="A9730" i="1"/>
  <c r="B9730" i="1"/>
  <c r="G9730" i="1"/>
  <c r="K9730" i="1"/>
  <c r="A9731" i="1"/>
  <c r="B9731" i="1"/>
  <c r="G9731" i="1"/>
  <c r="K9731" i="1"/>
  <c r="A9732" i="1"/>
  <c r="B9732" i="1"/>
  <c r="G9732" i="1"/>
  <c r="K9732" i="1"/>
  <c r="A9733" i="1"/>
  <c r="B9733" i="1"/>
  <c r="G9733" i="1"/>
  <c r="K9733" i="1"/>
  <c r="A9734" i="1"/>
  <c r="B9734" i="1"/>
  <c r="G9734" i="1"/>
  <c r="K9734" i="1"/>
  <c r="A9735" i="1"/>
  <c r="B9735" i="1"/>
  <c r="G9735" i="1"/>
  <c r="K9735" i="1"/>
  <c r="A9736" i="1"/>
  <c r="B9736" i="1"/>
  <c r="G9736" i="1"/>
  <c r="K9736" i="1"/>
  <c r="A9737" i="1"/>
  <c r="B9737" i="1"/>
  <c r="G9737" i="1"/>
  <c r="K9737" i="1"/>
  <c r="A9738" i="1"/>
  <c r="B9738" i="1"/>
  <c r="G9738" i="1"/>
  <c r="K9738" i="1"/>
  <c r="A9739" i="1"/>
  <c r="B9739" i="1"/>
  <c r="G9739" i="1"/>
  <c r="K9739" i="1"/>
  <c r="A9740" i="1"/>
  <c r="B9740" i="1"/>
  <c r="G9740" i="1"/>
  <c r="K9740" i="1"/>
  <c r="A9741" i="1"/>
  <c r="B9741" i="1"/>
  <c r="G9741" i="1"/>
  <c r="K9741" i="1"/>
  <c r="A9742" i="1"/>
  <c r="B9742" i="1"/>
  <c r="G9742" i="1"/>
  <c r="K9742" i="1"/>
  <c r="A9743" i="1"/>
  <c r="B9743" i="1"/>
  <c r="G9743" i="1"/>
  <c r="K9743" i="1"/>
  <c r="A9744" i="1"/>
  <c r="B9744" i="1"/>
  <c r="G9744" i="1"/>
  <c r="K9744" i="1"/>
  <c r="A9745" i="1"/>
  <c r="B9745" i="1"/>
  <c r="G9745" i="1"/>
  <c r="K9745" i="1"/>
  <c r="A9746" i="1"/>
  <c r="B9746" i="1"/>
  <c r="G9746" i="1"/>
  <c r="K9746" i="1"/>
  <c r="A9747" i="1"/>
  <c r="B9747" i="1"/>
  <c r="G9747" i="1"/>
  <c r="K9747" i="1"/>
  <c r="A9748" i="1"/>
  <c r="B9748" i="1"/>
  <c r="G9748" i="1"/>
  <c r="K9748" i="1"/>
  <c r="A9749" i="1"/>
  <c r="B9749" i="1"/>
  <c r="G9749" i="1"/>
  <c r="K9749" i="1"/>
  <c r="A9750" i="1"/>
  <c r="B9750" i="1"/>
  <c r="G9750" i="1"/>
  <c r="K9750" i="1"/>
  <c r="A9751" i="1"/>
  <c r="B9751" i="1"/>
  <c r="G9751" i="1"/>
  <c r="K9751" i="1"/>
  <c r="A9752" i="1"/>
  <c r="B9752" i="1"/>
  <c r="G9752" i="1"/>
  <c r="K9752" i="1"/>
  <c r="A9753" i="1"/>
  <c r="B9753" i="1"/>
  <c r="G9753" i="1"/>
  <c r="K9753" i="1"/>
  <c r="A9754" i="1"/>
  <c r="B9754" i="1"/>
  <c r="G9754" i="1"/>
  <c r="K9754" i="1"/>
  <c r="A9755" i="1"/>
  <c r="B9755" i="1"/>
  <c r="G9755" i="1"/>
  <c r="K9755" i="1"/>
  <c r="A9756" i="1"/>
  <c r="B9756" i="1"/>
  <c r="G9756" i="1"/>
  <c r="K9756" i="1"/>
  <c r="A9757" i="1"/>
  <c r="B9757" i="1"/>
  <c r="G9757" i="1"/>
  <c r="K9757" i="1"/>
  <c r="A9758" i="1"/>
  <c r="B9758" i="1"/>
  <c r="G9758" i="1"/>
  <c r="K9758" i="1"/>
  <c r="A9759" i="1"/>
  <c r="B9759" i="1"/>
  <c r="G9759" i="1"/>
  <c r="K9759" i="1"/>
  <c r="A9760" i="1"/>
  <c r="B9760" i="1"/>
  <c r="G9760" i="1"/>
  <c r="K9760" i="1"/>
  <c r="A9761" i="1"/>
  <c r="B9761" i="1"/>
  <c r="G9761" i="1"/>
  <c r="K9761" i="1"/>
  <c r="A9762" i="1"/>
  <c r="B9762" i="1"/>
  <c r="G9762" i="1"/>
  <c r="K9762" i="1"/>
  <c r="A9763" i="1"/>
  <c r="B9763" i="1"/>
  <c r="G9763" i="1"/>
  <c r="K9763" i="1"/>
  <c r="A9764" i="1"/>
  <c r="B9764" i="1"/>
  <c r="G9764" i="1"/>
  <c r="K9764" i="1"/>
  <c r="A9765" i="1"/>
  <c r="B9765" i="1"/>
  <c r="G9765" i="1"/>
  <c r="K9765" i="1"/>
  <c r="A9766" i="1"/>
  <c r="B9766" i="1"/>
  <c r="G9766" i="1"/>
  <c r="K9766" i="1"/>
  <c r="A9767" i="1"/>
  <c r="B9767" i="1"/>
  <c r="G9767" i="1"/>
  <c r="K9767" i="1"/>
  <c r="A9768" i="1"/>
  <c r="B9768" i="1"/>
  <c r="G9768" i="1"/>
  <c r="K9768" i="1"/>
  <c r="A9769" i="1"/>
  <c r="B9769" i="1"/>
  <c r="G9769" i="1"/>
  <c r="K9769" i="1"/>
  <c r="A9770" i="1"/>
  <c r="B9770" i="1"/>
  <c r="G9770" i="1"/>
  <c r="K9770" i="1"/>
  <c r="A9771" i="1"/>
  <c r="B9771" i="1"/>
  <c r="G9771" i="1"/>
  <c r="K9771" i="1"/>
  <c r="A9772" i="1"/>
  <c r="B9772" i="1"/>
  <c r="G9772" i="1"/>
  <c r="K9772" i="1"/>
  <c r="A9773" i="1"/>
  <c r="B9773" i="1"/>
  <c r="G9773" i="1"/>
  <c r="K9773" i="1"/>
  <c r="A9774" i="1"/>
  <c r="B9774" i="1"/>
  <c r="G9774" i="1"/>
  <c r="K9774" i="1"/>
  <c r="A9775" i="1"/>
  <c r="B9775" i="1"/>
  <c r="G9775" i="1"/>
  <c r="K9775" i="1"/>
  <c r="A9776" i="1"/>
  <c r="B9776" i="1"/>
  <c r="G9776" i="1"/>
  <c r="K9776" i="1"/>
  <c r="A9777" i="1"/>
  <c r="B9777" i="1"/>
  <c r="G9777" i="1"/>
  <c r="K9777" i="1"/>
  <c r="A9778" i="1"/>
  <c r="B9778" i="1"/>
  <c r="G9778" i="1"/>
  <c r="K9778" i="1"/>
  <c r="A9779" i="1"/>
  <c r="B9779" i="1"/>
  <c r="G9779" i="1"/>
  <c r="K9779" i="1"/>
  <c r="A9780" i="1"/>
  <c r="B9780" i="1"/>
  <c r="G9780" i="1"/>
  <c r="K9780" i="1"/>
  <c r="A9781" i="1"/>
  <c r="B9781" i="1"/>
  <c r="G9781" i="1"/>
  <c r="K9781" i="1"/>
  <c r="A9782" i="1"/>
  <c r="B9782" i="1"/>
  <c r="G9782" i="1"/>
  <c r="K9782" i="1"/>
  <c r="A9783" i="1"/>
  <c r="B9783" i="1"/>
  <c r="G9783" i="1"/>
  <c r="K9783" i="1"/>
  <c r="A9784" i="1"/>
  <c r="B9784" i="1"/>
  <c r="G9784" i="1"/>
  <c r="K9784" i="1"/>
  <c r="A9785" i="1"/>
  <c r="B9785" i="1"/>
  <c r="G9785" i="1"/>
  <c r="K9785" i="1"/>
  <c r="A9786" i="1"/>
  <c r="B9786" i="1"/>
  <c r="G9786" i="1"/>
  <c r="K9786" i="1"/>
  <c r="A9787" i="1"/>
  <c r="B9787" i="1"/>
  <c r="G9787" i="1"/>
  <c r="K9787" i="1"/>
  <c r="A9788" i="1"/>
  <c r="B9788" i="1"/>
  <c r="G9788" i="1"/>
  <c r="K9788" i="1"/>
  <c r="A9789" i="1"/>
  <c r="B9789" i="1"/>
  <c r="G9789" i="1"/>
  <c r="K9789" i="1"/>
  <c r="A9790" i="1"/>
  <c r="B9790" i="1"/>
  <c r="G9790" i="1"/>
  <c r="K9790" i="1"/>
  <c r="A9791" i="1"/>
  <c r="B9791" i="1"/>
  <c r="G9791" i="1"/>
  <c r="K9791" i="1"/>
  <c r="A9792" i="1"/>
  <c r="B9792" i="1"/>
  <c r="G9792" i="1"/>
  <c r="K9792" i="1"/>
  <c r="A9793" i="1"/>
  <c r="B9793" i="1"/>
  <c r="G9793" i="1"/>
  <c r="K9793" i="1"/>
  <c r="A9794" i="1"/>
  <c r="B9794" i="1"/>
  <c r="G9794" i="1"/>
  <c r="K9794" i="1"/>
  <c r="A9795" i="1"/>
  <c r="B9795" i="1"/>
  <c r="G9795" i="1"/>
  <c r="K9795" i="1"/>
  <c r="A9796" i="1"/>
  <c r="B9796" i="1"/>
  <c r="G9796" i="1"/>
  <c r="K9796" i="1"/>
  <c r="A9797" i="1"/>
  <c r="B9797" i="1"/>
  <c r="G9797" i="1"/>
  <c r="K9797" i="1"/>
  <c r="A9798" i="1"/>
  <c r="B9798" i="1"/>
  <c r="G9798" i="1"/>
  <c r="K9798" i="1"/>
  <c r="A9799" i="1"/>
  <c r="B9799" i="1"/>
  <c r="G9799" i="1"/>
  <c r="K9799" i="1"/>
  <c r="A9800" i="1"/>
  <c r="B9800" i="1"/>
  <c r="G9800" i="1"/>
  <c r="K9800" i="1"/>
  <c r="A9801" i="1"/>
  <c r="B9801" i="1"/>
  <c r="G9801" i="1"/>
  <c r="K9801" i="1"/>
  <c r="A9802" i="1"/>
  <c r="B9802" i="1"/>
  <c r="G9802" i="1"/>
  <c r="K9802" i="1"/>
  <c r="A9803" i="1"/>
  <c r="B9803" i="1"/>
  <c r="G9803" i="1"/>
  <c r="K9803" i="1"/>
  <c r="A9804" i="1"/>
  <c r="B9804" i="1"/>
  <c r="G9804" i="1"/>
  <c r="K9804" i="1"/>
  <c r="A9805" i="1"/>
  <c r="B9805" i="1"/>
  <c r="G9805" i="1"/>
  <c r="K9805" i="1"/>
  <c r="A9806" i="1"/>
  <c r="B9806" i="1"/>
  <c r="G9806" i="1"/>
  <c r="K9806" i="1"/>
  <c r="A9807" i="1"/>
  <c r="B9807" i="1"/>
  <c r="G9807" i="1"/>
  <c r="K9807" i="1"/>
  <c r="A9808" i="1"/>
  <c r="B9808" i="1"/>
  <c r="G9808" i="1"/>
  <c r="K9808" i="1"/>
  <c r="A9809" i="1"/>
  <c r="B9809" i="1"/>
  <c r="G9809" i="1"/>
  <c r="K9809" i="1"/>
  <c r="A9810" i="1"/>
  <c r="B9810" i="1"/>
  <c r="G9810" i="1"/>
  <c r="K9810" i="1"/>
  <c r="A9811" i="1"/>
  <c r="B9811" i="1"/>
  <c r="G9811" i="1"/>
  <c r="K9811" i="1"/>
  <c r="A9812" i="1"/>
  <c r="B9812" i="1"/>
  <c r="G9812" i="1"/>
  <c r="K9812" i="1"/>
  <c r="A9813" i="1"/>
  <c r="B9813" i="1"/>
  <c r="G9813" i="1"/>
  <c r="K9813" i="1"/>
  <c r="A9814" i="1"/>
  <c r="B9814" i="1"/>
  <c r="G9814" i="1"/>
  <c r="K9814" i="1"/>
  <c r="A9815" i="1"/>
  <c r="B9815" i="1"/>
  <c r="G9815" i="1"/>
  <c r="K9815" i="1"/>
  <c r="A9816" i="1"/>
  <c r="B9816" i="1"/>
  <c r="G9816" i="1"/>
  <c r="K9816" i="1"/>
  <c r="A9817" i="1"/>
  <c r="B9817" i="1"/>
  <c r="G9817" i="1"/>
  <c r="K9817" i="1"/>
  <c r="A9818" i="1"/>
  <c r="B9818" i="1"/>
  <c r="G9818" i="1"/>
  <c r="K9818" i="1"/>
  <c r="A9819" i="1"/>
  <c r="B9819" i="1"/>
  <c r="G9819" i="1"/>
  <c r="K9819" i="1"/>
  <c r="A9820" i="1"/>
  <c r="B9820" i="1"/>
  <c r="G9820" i="1"/>
  <c r="K9820" i="1"/>
  <c r="A9821" i="1"/>
  <c r="B9821" i="1"/>
  <c r="G9821" i="1"/>
  <c r="K9821" i="1"/>
  <c r="A9822" i="1"/>
  <c r="B9822" i="1"/>
  <c r="G9822" i="1"/>
  <c r="K9822" i="1"/>
  <c r="A9823" i="1"/>
  <c r="B9823" i="1"/>
  <c r="G9823" i="1"/>
  <c r="K9823" i="1"/>
  <c r="A9824" i="1"/>
  <c r="B9824" i="1"/>
  <c r="G9824" i="1"/>
  <c r="K9824" i="1"/>
  <c r="A9825" i="1"/>
  <c r="B9825" i="1"/>
  <c r="G9825" i="1"/>
  <c r="K9825" i="1"/>
  <c r="A9826" i="1"/>
  <c r="B9826" i="1"/>
  <c r="G9826" i="1"/>
  <c r="K9826" i="1"/>
  <c r="A9827" i="1"/>
  <c r="B9827" i="1"/>
  <c r="G9827" i="1"/>
  <c r="K9827" i="1"/>
  <c r="A9828" i="1"/>
  <c r="B9828" i="1"/>
  <c r="G9828" i="1"/>
  <c r="K9828" i="1"/>
  <c r="A9829" i="1"/>
  <c r="B9829" i="1"/>
  <c r="G9829" i="1"/>
  <c r="K9829" i="1"/>
  <c r="A9830" i="1"/>
  <c r="B9830" i="1"/>
  <c r="G9830" i="1"/>
  <c r="K9830" i="1"/>
  <c r="A9831" i="1"/>
  <c r="B9831" i="1"/>
  <c r="G9831" i="1"/>
  <c r="K9831" i="1"/>
  <c r="A9832" i="1"/>
  <c r="B9832" i="1"/>
  <c r="G9832" i="1"/>
  <c r="K9832" i="1"/>
  <c r="A9833" i="1"/>
  <c r="B9833" i="1"/>
  <c r="G9833" i="1"/>
  <c r="K9833" i="1"/>
  <c r="A9834" i="1"/>
  <c r="B9834" i="1"/>
  <c r="G9834" i="1"/>
  <c r="K9834" i="1"/>
  <c r="A9835" i="1"/>
  <c r="B9835" i="1"/>
  <c r="G9835" i="1"/>
  <c r="K9835" i="1"/>
  <c r="A9836" i="1"/>
  <c r="B9836" i="1"/>
  <c r="G9836" i="1"/>
  <c r="K9836" i="1"/>
  <c r="A9837" i="1"/>
  <c r="B9837" i="1"/>
  <c r="G9837" i="1"/>
  <c r="K9837" i="1"/>
  <c r="A9838" i="1"/>
  <c r="B9838" i="1"/>
  <c r="G9838" i="1"/>
  <c r="K9838" i="1"/>
  <c r="A9839" i="1"/>
  <c r="B9839" i="1"/>
  <c r="G9839" i="1"/>
  <c r="K9839" i="1"/>
  <c r="A9840" i="1"/>
  <c r="B9840" i="1"/>
  <c r="G9840" i="1"/>
  <c r="K9840" i="1"/>
  <c r="A9841" i="1"/>
  <c r="B9841" i="1"/>
  <c r="G9841" i="1"/>
  <c r="K9841" i="1"/>
  <c r="A9842" i="1"/>
  <c r="B9842" i="1"/>
  <c r="G9842" i="1"/>
  <c r="K9842" i="1"/>
  <c r="A9843" i="1"/>
  <c r="B9843" i="1"/>
  <c r="G9843" i="1"/>
  <c r="K9843" i="1"/>
  <c r="A9844" i="1"/>
  <c r="B9844" i="1"/>
  <c r="G9844" i="1"/>
  <c r="K9844" i="1"/>
  <c r="A9845" i="1"/>
  <c r="B9845" i="1"/>
  <c r="G9845" i="1"/>
  <c r="K9845" i="1"/>
  <c r="A9846" i="1"/>
  <c r="B9846" i="1"/>
  <c r="G9846" i="1"/>
  <c r="K9846" i="1"/>
  <c r="A9847" i="1"/>
  <c r="B9847" i="1"/>
  <c r="G9847" i="1"/>
  <c r="K9847" i="1"/>
  <c r="A9848" i="1"/>
  <c r="B9848" i="1"/>
  <c r="G9848" i="1"/>
  <c r="K9848" i="1"/>
  <c r="A9849" i="1"/>
  <c r="B9849" i="1"/>
  <c r="G9849" i="1"/>
  <c r="K9849" i="1"/>
  <c r="A9850" i="1"/>
  <c r="B9850" i="1"/>
  <c r="G9850" i="1"/>
  <c r="K9850" i="1"/>
  <c r="A9851" i="1"/>
  <c r="B9851" i="1"/>
  <c r="G9851" i="1"/>
  <c r="K9851" i="1"/>
  <c r="A9852" i="1"/>
  <c r="B9852" i="1"/>
  <c r="G9852" i="1"/>
  <c r="K9852" i="1"/>
  <c r="A9853" i="1"/>
  <c r="B9853" i="1"/>
  <c r="G9853" i="1"/>
  <c r="K9853" i="1"/>
  <c r="A9854" i="1"/>
  <c r="B9854" i="1"/>
  <c r="G9854" i="1"/>
  <c r="K9854" i="1"/>
  <c r="A9855" i="1"/>
  <c r="B9855" i="1"/>
  <c r="G9855" i="1"/>
  <c r="K9855" i="1"/>
  <c r="A9856" i="1"/>
  <c r="B9856" i="1"/>
  <c r="G9856" i="1"/>
  <c r="K9856" i="1"/>
  <c r="A9857" i="1"/>
  <c r="B9857" i="1"/>
  <c r="G9857" i="1"/>
  <c r="K9857" i="1"/>
  <c r="A9858" i="1"/>
  <c r="B9858" i="1"/>
  <c r="G9858" i="1"/>
  <c r="K9858" i="1"/>
  <c r="A9859" i="1"/>
  <c r="B9859" i="1"/>
  <c r="G9859" i="1"/>
  <c r="K9859" i="1"/>
  <c r="A9860" i="1"/>
  <c r="B9860" i="1"/>
  <c r="G9860" i="1"/>
  <c r="K9860" i="1"/>
  <c r="A9861" i="1"/>
  <c r="B9861" i="1"/>
  <c r="G9861" i="1"/>
  <c r="K9861" i="1"/>
  <c r="A9862" i="1"/>
  <c r="B9862" i="1"/>
  <c r="G9862" i="1"/>
  <c r="K9862" i="1"/>
  <c r="A9863" i="1"/>
  <c r="B9863" i="1"/>
  <c r="G9863" i="1"/>
  <c r="K9863" i="1"/>
  <c r="A9864" i="1"/>
  <c r="B9864" i="1"/>
  <c r="G9864" i="1"/>
  <c r="K9864" i="1"/>
  <c r="A9865" i="1"/>
  <c r="B9865" i="1"/>
  <c r="G9865" i="1"/>
  <c r="K9865" i="1"/>
  <c r="A9866" i="1"/>
  <c r="B9866" i="1"/>
  <c r="G9866" i="1"/>
  <c r="K9866" i="1"/>
  <c r="A9867" i="1"/>
  <c r="B9867" i="1"/>
  <c r="G9867" i="1"/>
  <c r="K9867" i="1"/>
  <c r="A9868" i="1"/>
  <c r="B9868" i="1"/>
  <c r="G9868" i="1"/>
  <c r="K9868" i="1"/>
  <c r="A9869" i="1"/>
  <c r="B9869" i="1"/>
  <c r="G9869" i="1"/>
  <c r="K9869" i="1"/>
  <c r="A9870" i="1"/>
  <c r="B9870" i="1"/>
  <c r="G9870" i="1"/>
  <c r="K9870" i="1"/>
  <c r="A9871" i="1"/>
  <c r="B9871" i="1"/>
  <c r="G9871" i="1"/>
  <c r="K9871" i="1"/>
  <c r="A9872" i="1"/>
  <c r="B9872" i="1"/>
  <c r="G9872" i="1"/>
  <c r="K9872" i="1"/>
  <c r="A9873" i="1"/>
  <c r="B9873" i="1"/>
  <c r="G9873" i="1"/>
  <c r="K9873" i="1"/>
  <c r="A9874" i="1"/>
  <c r="B9874" i="1"/>
  <c r="G9874" i="1"/>
  <c r="K9874" i="1"/>
  <c r="A9875" i="1"/>
  <c r="B9875" i="1"/>
  <c r="G9875" i="1"/>
  <c r="K9875" i="1"/>
  <c r="A9876" i="1"/>
  <c r="B9876" i="1"/>
  <c r="G9876" i="1"/>
  <c r="K9876" i="1"/>
  <c r="A9877" i="1"/>
  <c r="B9877" i="1"/>
  <c r="G9877" i="1"/>
  <c r="K9877" i="1"/>
  <c r="A9878" i="1"/>
  <c r="B9878" i="1"/>
  <c r="G9878" i="1"/>
  <c r="K9878" i="1"/>
  <c r="A9879" i="1"/>
  <c r="B9879" i="1"/>
  <c r="G9879" i="1"/>
  <c r="K9879" i="1"/>
  <c r="A9880" i="1"/>
  <c r="B9880" i="1"/>
  <c r="G9880" i="1"/>
  <c r="K9880" i="1"/>
  <c r="A9881" i="1"/>
  <c r="B9881" i="1"/>
  <c r="G9881" i="1"/>
  <c r="K9881" i="1"/>
  <c r="A9882" i="1"/>
  <c r="B9882" i="1"/>
  <c r="G9882" i="1"/>
  <c r="K9882" i="1"/>
  <c r="A9883" i="1"/>
  <c r="B9883" i="1"/>
  <c r="G9883" i="1"/>
  <c r="K9883" i="1"/>
  <c r="A9884" i="1"/>
  <c r="B9884" i="1"/>
  <c r="G9884" i="1"/>
  <c r="K9884" i="1"/>
  <c r="A9885" i="1"/>
  <c r="B9885" i="1"/>
  <c r="G9885" i="1"/>
  <c r="K9885" i="1"/>
  <c r="A9886" i="1"/>
  <c r="B9886" i="1"/>
  <c r="G9886" i="1"/>
  <c r="K9886" i="1"/>
  <c r="A9887" i="1"/>
  <c r="B9887" i="1"/>
  <c r="G9887" i="1"/>
  <c r="K9887" i="1"/>
  <c r="A9888" i="1"/>
  <c r="B9888" i="1"/>
  <c r="G9888" i="1"/>
  <c r="K9888" i="1"/>
  <c r="A9889" i="1"/>
  <c r="B9889" i="1"/>
  <c r="G9889" i="1"/>
  <c r="K9889" i="1"/>
  <c r="A9890" i="1"/>
  <c r="B9890" i="1"/>
  <c r="G9890" i="1"/>
  <c r="K9890" i="1"/>
  <c r="A9891" i="1"/>
  <c r="B9891" i="1"/>
  <c r="G9891" i="1"/>
  <c r="K9891" i="1"/>
  <c r="A9892" i="1"/>
  <c r="B9892" i="1"/>
  <c r="G9892" i="1"/>
  <c r="K9892" i="1"/>
  <c r="A9893" i="1"/>
  <c r="B9893" i="1"/>
  <c r="G9893" i="1"/>
  <c r="K9893" i="1"/>
  <c r="A9894" i="1"/>
  <c r="B9894" i="1"/>
  <c r="G9894" i="1"/>
  <c r="K9894" i="1"/>
  <c r="A9895" i="1"/>
  <c r="B9895" i="1"/>
  <c r="G9895" i="1"/>
  <c r="K9895" i="1"/>
  <c r="A9896" i="1"/>
  <c r="B9896" i="1"/>
  <c r="G9896" i="1"/>
  <c r="K9896" i="1"/>
  <c r="A9897" i="1"/>
  <c r="B9897" i="1"/>
  <c r="G9897" i="1"/>
  <c r="K9897" i="1"/>
  <c r="A9898" i="1"/>
  <c r="B9898" i="1"/>
  <c r="G9898" i="1"/>
  <c r="K9898" i="1"/>
  <c r="A9899" i="1"/>
  <c r="B9899" i="1"/>
  <c r="G9899" i="1"/>
  <c r="K9899" i="1"/>
  <c r="A9900" i="1"/>
  <c r="B9900" i="1"/>
  <c r="G9900" i="1"/>
  <c r="K9900" i="1"/>
  <c r="A9901" i="1"/>
  <c r="B9901" i="1"/>
  <c r="G9901" i="1"/>
  <c r="K9901" i="1"/>
  <c r="A9902" i="1"/>
  <c r="B9902" i="1"/>
  <c r="G9902" i="1"/>
  <c r="K9902" i="1"/>
  <c r="A9903" i="1"/>
  <c r="B9903" i="1"/>
  <c r="G9903" i="1"/>
  <c r="K9903" i="1"/>
  <c r="A9904" i="1"/>
  <c r="B9904" i="1"/>
  <c r="G9904" i="1"/>
  <c r="K9904" i="1"/>
  <c r="A9905" i="1"/>
  <c r="B9905" i="1"/>
  <c r="G9905" i="1"/>
  <c r="K9905" i="1"/>
  <c r="A9906" i="1"/>
  <c r="B9906" i="1"/>
  <c r="G9906" i="1"/>
  <c r="K9906" i="1"/>
  <c r="A9907" i="1"/>
  <c r="B9907" i="1"/>
  <c r="G9907" i="1"/>
  <c r="K9907" i="1"/>
  <c r="A9908" i="1"/>
  <c r="B9908" i="1"/>
  <c r="G9908" i="1"/>
  <c r="K9908" i="1"/>
  <c r="A9909" i="1"/>
  <c r="B9909" i="1"/>
  <c r="G9909" i="1"/>
  <c r="K9909" i="1"/>
  <c r="A9910" i="1"/>
  <c r="B9910" i="1"/>
  <c r="G9910" i="1"/>
  <c r="K9910" i="1"/>
  <c r="A9911" i="1"/>
  <c r="B9911" i="1"/>
  <c r="G9911" i="1"/>
  <c r="K9911" i="1"/>
  <c r="A9912" i="1"/>
  <c r="B9912" i="1"/>
  <c r="G9912" i="1"/>
  <c r="K9912" i="1"/>
  <c r="A9913" i="1"/>
  <c r="B9913" i="1"/>
  <c r="G9913" i="1"/>
  <c r="K9913" i="1"/>
  <c r="A9914" i="1"/>
  <c r="B9914" i="1"/>
  <c r="G9914" i="1"/>
  <c r="K9914" i="1"/>
  <c r="A9915" i="1"/>
  <c r="B9915" i="1"/>
  <c r="G9915" i="1"/>
  <c r="K9915" i="1"/>
  <c r="A9916" i="1"/>
  <c r="B9916" i="1"/>
  <c r="G9916" i="1"/>
  <c r="K9916" i="1"/>
  <c r="A9917" i="1"/>
  <c r="B9917" i="1"/>
  <c r="G9917" i="1"/>
  <c r="K9917" i="1"/>
  <c r="A9918" i="1"/>
  <c r="B9918" i="1"/>
  <c r="G9918" i="1"/>
  <c r="K9918" i="1"/>
  <c r="A9919" i="1"/>
  <c r="B9919" i="1"/>
  <c r="G9919" i="1"/>
  <c r="K9919" i="1"/>
  <c r="A9920" i="1"/>
  <c r="B9920" i="1"/>
  <c r="G9920" i="1"/>
  <c r="K9920" i="1"/>
  <c r="A9921" i="1"/>
  <c r="B9921" i="1"/>
  <c r="G9921" i="1"/>
  <c r="K9921" i="1"/>
  <c r="A9922" i="1"/>
  <c r="B9922" i="1"/>
  <c r="G9922" i="1"/>
  <c r="K9922" i="1"/>
  <c r="A9923" i="1"/>
  <c r="B9923" i="1"/>
  <c r="G9923" i="1"/>
  <c r="K9923" i="1"/>
  <c r="A9924" i="1"/>
  <c r="B9924" i="1"/>
  <c r="G9924" i="1"/>
  <c r="K9924" i="1"/>
  <c r="A9925" i="1"/>
  <c r="B9925" i="1"/>
  <c r="G9925" i="1"/>
  <c r="K9925" i="1"/>
  <c r="A9926" i="1"/>
  <c r="B9926" i="1"/>
  <c r="G9926" i="1"/>
  <c r="K9926" i="1"/>
  <c r="A9927" i="1"/>
  <c r="B9927" i="1"/>
  <c r="G9927" i="1"/>
  <c r="K9927" i="1"/>
  <c r="A9928" i="1"/>
  <c r="B9928" i="1"/>
  <c r="G9928" i="1"/>
  <c r="K9928" i="1"/>
  <c r="A9929" i="1"/>
  <c r="B9929" i="1"/>
  <c r="G9929" i="1"/>
  <c r="K9929" i="1"/>
  <c r="A9930" i="1"/>
  <c r="B9930" i="1"/>
  <c r="G9930" i="1"/>
  <c r="K9930" i="1"/>
  <c r="A9931" i="1"/>
  <c r="B9931" i="1"/>
  <c r="G9931" i="1"/>
  <c r="K9931" i="1"/>
  <c r="A9932" i="1"/>
  <c r="B9932" i="1"/>
  <c r="G9932" i="1"/>
  <c r="K9932" i="1"/>
  <c r="A9933" i="1"/>
  <c r="B9933" i="1"/>
  <c r="G9933" i="1"/>
  <c r="K9933" i="1"/>
  <c r="A9934" i="1"/>
  <c r="B9934" i="1"/>
  <c r="G9934" i="1"/>
  <c r="K9934" i="1"/>
  <c r="A9935" i="1"/>
  <c r="B9935" i="1"/>
  <c r="G9935" i="1"/>
  <c r="K9935" i="1"/>
  <c r="A9936" i="1"/>
  <c r="B9936" i="1"/>
  <c r="G9936" i="1"/>
  <c r="K9936" i="1"/>
  <c r="A9937" i="1"/>
  <c r="B9937" i="1"/>
  <c r="G9937" i="1"/>
  <c r="K9937" i="1"/>
  <c r="A9938" i="1"/>
  <c r="B9938" i="1"/>
  <c r="G9938" i="1"/>
  <c r="K9938" i="1"/>
  <c r="A9939" i="1"/>
  <c r="B9939" i="1"/>
  <c r="G9939" i="1"/>
  <c r="K9939" i="1"/>
  <c r="A9940" i="1"/>
  <c r="B9940" i="1"/>
  <c r="G9940" i="1"/>
  <c r="K9940" i="1"/>
  <c r="A9941" i="1"/>
  <c r="B9941" i="1"/>
  <c r="G9941" i="1"/>
  <c r="K9941" i="1"/>
  <c r="A9942" i="1"/>
  <c r="B9942" i="1"/>
  <c r="G9942" i="1"/>
  <c r="K9942" i="1"/>
  <c r="A9943" i="1"/>
  <c r="B9943" i="1"/>
  <c r="G9943" i="1"/>
  <c r="K9943" i="1"/>
  <c r="A9944" i="1"/>
  <c r="B9944" i="1"/>
  <c r="G9944" i="1"/>
  <c r="K9944" i="1"/>
  <c r="A9945" i="1"/>
  <c r="B9945" i="1"/>
  <c r="G9945" i="1"/>
  <c r="K9945" i="1"/>
  <c r="A9946" i="1"/>
  <c r="B9946" i="1"/>
  <c r="G9946" i="1"/>
  <c r="K9946" i="1"/>
  <c r="A9947" i="1"/>
  <c r="B9947" i="1"/>
  <c r="G9947" i="1"/>
  <c r="K9947" i="1"/>
  <c r="A9948" i="1"/>
  <c r="B9948" i="1"/>
  <c r="G9948" i="1"/>
  <c r="K9948" i="1"/>
  <c r="A9949" i="1"/>
  <c r="B9949" i="1"/>
  <c r="G9949" i="1"/>
  <c r="K9949" i="1"/>
  <c r="A9950" i="1"/>
  <c r="B9950" i="1"/>
  <c r="G9950" i="1"/>
  <c r="K9950" i="1"/>
  <c r="A9951" i="1"/>
  <c r="B9951" i="1"/>
  <c r="G9951" i="1"/>
  <c r="K9951" i="1"/>
  <c r="A9952" i="1"/>
  <c r="B9952" i="1"/>
  <c r="G9952" i="1"/>
  <c r="K9952" i="1"/>
  <c r="A9953" i="1"/>
  <c r="B9953" i="1"/>
  <c r="G9953" i="1"/>
  <c r="K9953" i="1"/>
  <c r="A9954" i="1"/>
  <c r="B9954" i="1"/>
  <c r="G9954" i="1"/>
  <c r="K9954" i="1"/>
  <c r="A9955" i="1"/>
  <c r="B9955" i="1"/>
  <c r="G9955" i="1"/>
  <c r="K9955" i="1"/>
  <c r="A9956" i="1"/>
  <c r="B9956" i="1"/>
  <c r="G9956" i="1"/>
  <c r="K9956" i="1"/>
  <c r="A9957" i="1"/>
  <c r="B9957" i="1"/>
  <c r="G9957" i="1"/>
  <c r="K9957" i="1"/>
  <c r="A9958" i="1"/>
  <c r="B9958" i="1"/>
  <c r="G9958" i="1"/>
  <c r="K9958" i="1"/>
  <c r="A9959" i="1"/>
  <c r="B9959" i="1"/>
  <c r="G9959" i="1"/>
  <c r="K9959" i="1"/>
  <c r="A9960" i="1"/>
  <c r="B9960" i="1"/>
  <c r="G9960" i="1"/>
  <c r="K9960" i="1"/>
  <c r="A9961" i="1"/>
  <c r="B9961" i="1"/>
  <c r="G9961" i="1"/>
  <c r="K9961" i="1"/>
  <c r="A9962" i="1"/>
  <c r="B9962" i="1"/>
  <c r="G9962" i="1"/>
  <c r="K9962" i="1"/>
  <c r="A9963" i="1"/>
  <c r="B9963" i="1"/>
  <c r="G9963" i="1"/>
  <c r="K9963" i="1"/>
  <c r="A9964" i="1"/>
  <c r="B9964" i="1"/>
  <c r="G9964" i="1"/>
  <c r="K9964" i="1"/>
  <c r="A9965" i="1"/>
  <c r="B9965" i="1"/>
  <c r="G9965" i="1"/>
  <c r="K9965" i="1"/>
  <c r="A9966" i="1"/>
  <c r="B9966" i="1"/>
  <c r="G9966" i="1"/>
  <c r="K9966" i="1"/>
  <c r="A9967" i="1"/>
  <c r="B9967" i="1"/>
  <c r="G9967" i="1"/>
  <c r="K9967" i="1"/>
  <c r="A9968" i="1"/>
  <c r="B9968" i="1"/>
  <c r="G9968" i="1"/>
  <c r="K9968" i="1"/>
  <c r="A9969" i="1"/>
  <c r="B9969" i="1"/>
  <c r="G9969" i="1"/>
  <c r="K9969" i="1"/>
  <c r="A9970" i="1"/>
  <c r="B9970" i="1"/>
  <c r="G9970" i="1"/>
  <c r="K9970" i="1"/>
  <c r="A9971" i="1"/>
  <c r="B9971" i="1"/>
  <c r="G9971" i="1"/>
  <c r="K9971" i="1"/>
  <c r="A9972" i="1"/>
  <c r="B9972" i="1"/>
  <c r="G9972" i="1"/>
  <c r="K9972" i="1"/>
  <c r="A9973" i="1"/>
  <c r="B9973" i="1"/>
  <c r="G9973" i="1"/>
  <c r="K9973" i="1"/>
  <c r="A9974" i="1"/>
  <c r="B9974" i="1"/>
  <c r="G9974" i="1"/>
  <c r="K9974" i="1"/>
  <c r="A9975" i="1"/>
  <c r="B9975" i="1"/>
  <c r="G9975" i="1"/>
  <c r="K9975" i="1"/>
  <c r="A9976" i="1"/>
  <c r="B9976" i="1"/>
  <c r="G9976" i="1"/>
  <c r="K9976" i="1"/>
  <c r="A9977" i="1"/>
  <c r="B9977" i="1"/>
  <c r="G9977" i="1"/>
  <c r="K9977" i="1"/>
  <c r="A9978" i="1"/>
  <c r="B9978" i="1"/>
  <c r="G9978" i="1"/>
  <c r="K9978" i="1"/>
  <c r="A9979" i="1"/>
  <c r="B9979" i="1"/>
  <c r="G9979" i="1"/>
  <c r="K9979" i="1"/>
  <c r="A9980" i="1"/>
  <c r="B9980" i="1"/>
  <c r="G9980" i="1"/>
  <c r="K9980" i="1"/>
  <c r="A9981" i="1"/>
  <c r="B9981" i="1"/>
  <c r="G9981" i="1"/>
  <c r="K9981" i="1"/>
  <c r="A9982" i="1"/>
  <c r="B9982" i="1"/>
  <c r="G9982" i="1"/>
  <c r="K9982" i="1"/>
  <c r="A9983" i="1"/>
  <c r="B9983" i="1"/>
  <c r="G9983" i="1"/>
  <c r="K9983" i="1"/>
  <c r="A9984" i="1"/>
  <c r="B9984" i="1"/>
  <c r="G9984" i="1"/>
  <c r="K9984" i="1"/>
  <c r="A9985" i="1"/>
  <c r="B9985" i="1"/>
  <c r="G9985" i="1"/>
  <c r="K9985" i="1"/>
  <c r="A9986" i="1"/>
  <c r="B9986" i="1"/>
  <c r="G9986" i="1"/>
  <c r="K9986" i="1"/>
  <c r="A9987" i="1"/>
  <c r="B9987" i="1"/>
  <c r="G9987" i="1"/>
  <c r="K9987" i="1"/>
  <c r="A9988" i="1"/>
  <c r="B9988" i="1"/>
  <c r="G9988" i="1"/>
  <c r="K9988" i="1"/>
  <c r="A9989" i="1"/>
  <c r="B9989" i="1"/>
  <c r="G9989" i="1"/>
  <c r="K9989" i="1"/>
  <c r="A9990" i="1"/>
  <c r="B9990" i="1"/>
  <c r="G9990" i="1"/>
  <c r="K9990" i="1"/>
  <c r="A9991" i="1"/>
  <c r="B9991" i="1"/>
  <c r="G9991" i="1"/>
  <c r="K9991" i="1"/>
  <c r="A9992" i="1"/>
  <c r="B9992" i="1"/>
  <c r="G9992" i="1"/>
  <c r="K9992" i="1"/>
  <c r="A9993" i="1"/>
  <c r="B9993" i="1"/>
  <c r="G9993" i="1"/>
  <c r="K9993" i="1"/>
  <c r="A9994" i="1"/>
  <c r="B9994" i="1"/>
  <c r="G9994" i="1"/>
  <c r="K9994" i="1"/>
  <c r="A9995" i="1"/>
  <c r="B9995" i="1"/>
  <c r="G9995" i="1"/>
  <c r="K9995" i="1"/>
  <c r="A9996" i="1"/>
  <c r="B9996" i="1"/>
  <c r="G9996" i="1"/>
  <c r="K9996" i="1"/>
  <c r="A9997" i="1"/>
  <c r="B9997" i="1"/>
  <c r="G9997" i="1"/>
  <c r="K9997" i="1"/>
  <c r="A9998" i="1"/>
  <c r="B9998" i="1"/>
  <c r="G9998" i="1"/>
  <c r="K9998" i="1"/>
  <c r="A9999" i="1"/>
  <c r="B9999" i="1"/>
  <c r="G9999" i="1"/>
  <c r="K9999" i="1"/>
  <c r="A10000" i="1"/>
  <c r="B10000" i="1"/>
  <c r="G10000" i="1"/>
  <c r="K10000" i="1"/>
  <c r="A10001" i="1"/>
  <c r="B10001" i="1"/>
  <c r="G10001" i="1"/>
  <c r="K10001" i="1"/>
  <c r="A10002" i="1"/>
  <c r="B10002" i="1"/>
  <c r="G10002" i="1"/>
  <c r="K10002" i="1"/>
  <c r="A10003" i="1"/>
  <c r="B10003" i="1"/>
  <c r="G10003" i="1"/>
  <c r="K10003" i="1"/>
  <c r="A10004" i="1"/>
  <c r="B10004" i="1"/>
  <c r="G10004" i="1"/>
  <c r="K10004" i="1"/>
  <c r="A10005" i="1"/>
  <c r="B10005" i="1"/>
  <c r="G10005" i="1"/>
  <c r="K10005" i="1"/>
  <c r="A10006" i="1"/>
  <c r="B10006" i="1"/>
  <c r="G10006" i="1"/>
  <c r="K10006" i="1"/>
  <c r="A10007" i="1"/>
  <c r="B10007" i="1"/>
  <c r="G10007" i="1"/>
  <c r="K10007" i="1"/>
  <c r="A10008" i="1"/>
  <c r="B10008" i="1"/>
  <c r="G10008" i="1"/>
  <c r="K10008" i="1"/>
  <c r="A10009" i="1"/>
  <c r="B10009" i="1"/>
  <c r="G10009" i="1"/>
  <c r="K10009" i="1"/>
  <c r="A10010" i="1"/>
  <c r="B10010" i="1"/>
  <c r="G10010" i="1"/>
  <c r="K10010" i="1"/>
  <c r="A10011" i="1"/>
  <c r="B10011" i="1"/>
  <c r="G10011" i="1"/>
  <c r="K10011" i="1"/>
  <c r="A10012" i="1"/>
  <c r="B10012" i="1"/>
  <c r="G10012" i="1"/>
  <c r="K10012" i="1"/>
  <c r="A10013" i="1"/>
  <c r="B10013" i="1"/>
  <c r="G10013" i="1"/>
  <c r="K10013" i="1"/>
  <c r="A10014" i="1"/>
  <c r="B10014" i="1"/>
  <c r="G10014" i="1"/>
  <c r="K10014" i="1"/>
  <c r="A10015" i="1"/>
  <c r="B10015" i="1"/>
  <c r="G10015" i="1"/>
  <c r="K10015" i="1"/>
  <c r="A10016" i="1"/>
  <c r="B10016" i="1"/>
  <c r="G10016" i="1"/>
  <c r="K10016" i="1"/>
  <c r="A10017" i="1"/>
  <c r="B10017" i="1"/>
  <c r="G10017" i="1"/>
  <c r="K10017" i="1"/>
  <c r="A10018" i="1"/>
  <c r="B10018" i="1"/>
  <c r="G10018" i="1"/>
  <c r="K10018" i="1"/>
  <c r="A10019" i="1"/>
  <c r="B10019" i="1"/>
  <c r="G10019" i="1"/>
  <c r="K10019" i="1"/>
  <c r="A10020" i="1"/>
  <c r="B10020" i="1"/>
  <c r="G10020" i="1"/>
  <c r="K10020" i="1"/>
  <c r="A10021" i="1"/>
  <c r="B10021" i="1"/>
  <c r="G10021" i="1"/>
  <c r="K10021" i="1"/>
  <c r="A10022" i="1"/>
  <c r="B10022" i="1"/>
  <c r="G10022" i="1"/>
  <c r="K10022" i="1"/>
  <c r="A10023" i="1"/>
  <c r="B10023" i="1"/>
  <c r="G10023" i="1"/>
  <c r="K10023" i="1"/>
  <c r="A10024" i="1"/>
  <c r="B10024" i="1"/>
  <c r="G10024" i="1"/>
  <c r="K10024" i="1"/>
  <c r="A10025" i="1"/>
  <c r="B10025" i="1"/>
  <c r="G10025" i="1"/>
  <c r="K10025" i="1"/>
  <c r="A10026" i="1"/>
  <c r="B10026" i="1"/>
  <c r="G10026" i="1"/>
  <c r="K10026" i="1"/>
  <c r="A10027" i="1"/>
  <c r="B10027" i="1"/>
  <c r="G10027" i="1"/>
  <c r="K10027" i="1"/>
  <c r="A10028" i="1"/>
  <c r="B10028" i="1"/>
  <c r="G10028" i="1"/>
  <c r="K10028" i="1"/>
  <c r="A10029" i="1"/>
  <c r="B10029" i="1"/>
  <c r="G10029" i="1"/>
  <c r="K10029" i="1"/>
  <c r="A10030" i="1"/>
  <c r="B10030" i="1"/>
  <c r="G10030" i="1"/>
  <c r="K10030" i="1"/>
  <c r="A10031" i="1"/>
  <c r="B10031" i="1"/>
  <c r="G10031" i="1"/>
  <c r="K10031" i="1"/>
  <c r="A10032" i="1"/>
  <c r="B10032" i="1"/>
  <c r="G10032" i="1"/>
  <c r="K10032" i="1"/>
  <c r="A10033" i="1"/>
  <c r="B10033" i="1"/>
  <c r="G10033" i="1"/>
  <c r="K10033" i="1"/>
  <c r="A10034" i="1"/>
  <c r="B10034" i="1"/>
  <c r="G10034" i="1"/>
  <c r="K10034" i="1"/>
  <c r="A10035" i="1"/>
  <c r="B10035" i="1"/>
  <c r="G10035" i="1"/>
  <c r="K10035" i="1"/>
  <c r="A10036" i="1"/>
  <c r="B10036" i="1"/>
  <c r="G10036" i="1"/>
  <c r="K10036" i="1"/>
  <c r="A10037" i="1"/>
  <c r="B10037" i="1"/>
  <c r="G10037" i="1"/>
  <c r="K10037" i="1"/>
  <c r="A10038" i="1"/>
  <c r="B10038" i="1"/>
  <c r="G10038" i="1"/>
  <c r="K10038" i="1"/>
  <c r="A10039" i="1"/>
  <c r="B10039" i="1"/>
  <c r="G10039" i="1"/>
  <c r="K10039" i="1"/>
  <c r="A10040" i="1"/>
  <c r="B10040" i="1"/>
  <c r="G10040" i="1"/>
  <c r="K10040" i="1"/>
  <c r="A10041" i="1"/>
  <c r="B10041" i="1"/>
  <c r="G10041" i="1"/>
  <c r="K10041" i="1"/>
  <c r="A10042" i="1"/>
  <c r="B10042" i="1"/>
  <c r="G10042" i="1"/>
  <c r="K10042" i="1"/>
  <c r="A10043" i="1"/>
  <c r="B10043" i="1"/>
  <c r="G10043" i="1"/>
  <c r="K10043" i="1"/>
  <c r="A10044" i="1"/>
  <c r="B10044" i="1"/>
  <c r="G10044" i="1"/>
  <c r="K10044" i="1"/>
  <c r="A10045" i="1"/>
  <c r="B10045" i="1"/>
  <c r="G10045" i="1"/>
  <c r="K10045" i="1"/>
  <c r="A10046" i="1"/>
  <c r="B10046" i="1"/>
  <c r="G10046" i="1"/>
  <c r="K10046" i="1"/>
  <c r="A10047" i="1"/>
  <c r="B10047" i="1"/>
  <c r="G10047" i="1"/>
  <c r="K10047" i="1"/>
  <c r="A10048" i="1"/>
  <c r="B10048" i="1"/>
  <c r="G10048" i="1"/>
  <c r="K10048" i="1"/>
  <c r="A10049" i="1"/>
  <c r="B10049" i="1"/>
  <c r="G10049" i="1"/>
  <c r="K10049" i="1"/>
  <c r="A10050" i="1"/>
  <c r="B10050" i="1"/>
  <c r="G10050" i="1"/>
  <c r="K10050" i="1"/>
  <c r="A10051" i="1"/>
  <c r="B10051" i="1"/>
  <c r="G10051" i="1"/>
  <c r="K10051" i="1"/>
  <c r="A10052" i="1"/>
  <c r="B10052" i="1"/>
  <c r="G10052" i="1"/>
  <c r="K10052" i="1"/>
  <c r="A10053" i="1"/>
  <c r="B10053" i="1"/>
  <c r="G10053" i="1"/>
  <c r="K10053" i="1"/>
  <c r="A10054" i="1"/>
  <c r="B10054" i="1"/>
  <c r="G10054" i="1"/>
  <c r="K10054" i="1"/>
  <c r="A10055" i="1"/>
  <c r="B10055" i="1"/>
  <c r="G10055" i="1"/>
  <c r="K10055" i="1"/>
  <c r="A10056" i="1"/>
  <c r="B10056" i="1"/>
  <c r="G10056" i="1"/>
  <c r="K10056" i="1"/>
  <c r="A10057" i="1"/>
  <c r="B10057" i="1"/>
  <c r="G10057" i="1"/>
  <c r="K10057" i="1"/>
  <c r="A10058" i="1"/>
  <c r="B10058" i="1"/>
  <c r="G10058" i="1"/>
  <c r="K10058" i="1"/>
  <c r="A10059" i="1"/>
  <c r="B10059" i="1"/>
  <c r="G10059" i="1"/>
  <c r="K10059" i="1"/>
  <c r="A10060" i="1"/>
  <c r="B10060" i="1"/>
  <c r="G10060" i="1"/>
  <c r="K10060" i="1"/>
  <c r="A10061" i="1"/>
  <c r="B10061" i="1"/>
  <c r="G10061" i="1"/>
  <c r="K10061" i="1"/>
  <c r="A10062" i="1"/>
  <c r="B10062" i="1"/>
  <c r="G10062" i="1"/>
  <c r="K10062" i="1"/>
  <c r="A10063" i="1"/>
  <c r="B10063" i="1"/>
  <c r="G10063" i="1"/>
  <c r="K10063" i="1"/>
  <c r="A10064" i="1"/>
  <c r="B10064" i="1"/>
  <c r="G10064" i="1"/>
  <c r="K10064" i="1"/>
  <c r="A10065" i="1"/>
  <c r="B10065" i="1"/>
  <c r="G10065" i="1"/>
  <c r="K10065" i="1"/>
  <c r="A10066" i="1"/>
  <c r="B10066" i="1"/>
  <c r="G10066" i="1"/>
  <c r="K10066" i="1"/>
  <c r="A10067" i="1"/>
  <c r="B10067" i="1"/>
  <c r="G10067" i="1"/>
  <c r="K10067" i="1"/>
  <c r="A10068" i="1"/>
  <c r="B10068" i="1"/>
  <c r="G10068" i="1"/>
  <c r="K10068" i="1"/>
  <c r="A10069" i="1"/>
  <c r="B10069" i="1"/>
  <c r="G10069" i="1"/>
  <c r="K10069" i="1"/>
  <c r="A10070" i="1"/>
  <c r="B10070" i="1"/>
  <c r="G10070" i="1"/>
  <c r="K10070" i="1"/>
  <c r="A10071" i="1"/>
  <c r="B10071" i="1"/>
  <c r="G10071" i="1"/>
  <c r="K10071" i="1"/>
  <c r="A10072" i="1"/>
  <c r="B10072" i="1"/>
  <c r="G10072" i="1"/>
  <c r="K10072" i="1"/>
  <c r="A10073" i="1"/>
  <c r="B10073" i="1"/>
  <c r="G10073" i="1"/>
  <c r="K10073" i="1"/>
  <c r="A10074" i="1"/>
  <c r="B10074" i="1"/>
  <c r="G10074" i="1"/>
  <c r="K10074" i="1"/>
  <c r="A10075" i="1"/>
  <c r="B10075" i="1"/>
  <c r="G10075" i="1"/>
  <c r="K10075" i="1"/>
  <c r="A10076" i="1"/>
  <c r="B10076" i="1"/>
  <c r="G10076" i="1"/>
  <c r="K10076" i="1"/>
  <c r="A10077" i="1"/>
  <c r="B10077" i="1"/>
  <c r="G10077" i="1"/>
  <c r="K10077" i="1"/>
  <c r="A10078" i="1"/>
  <c r="B10078" i="1"/>
  <c r="G10078" i="1"/>
  <c r="K10078" i="1"/>
  <c r="A10079" i="1"/>
  <c r="B10079" i="1"/>
  <c r="G10079" i="1"/>
  <c r="K10079" i="1"/>
  <c r="A10080" i="1"/>
  <c r="B10080" i="1"/>
  <c r="G10080" i="1"/>
  <c r="K10080" i="1"/>
  <c r="A10081" i="1"/>
  <c r="B10081" i="1"/>
  <c r="G10081" i="1"/>
  <c r="K10081" i="1"/>
  <c r="A10082" i="1"/>
  <c r="B10082" i="1"/>
  <c r="G10082" i="1"/>
  <c r="K10082" i="1"/>
  <c r="A10083" i="1"/>
  <c r="B10083" i="1"/>
  <c r="G10083" i="1"/>
  <c r="K10083" i="1"/>
  <c r="A10084" i="1"/>
  <c r="B10084" i="1"/>
  <c r="G10084" i="1"/>
  <c r="K10084" i="1"/>
  <c r="A10085" i="1"/>
  <c r="B10085" i="1"/>
  <c r="G10085" i="1"/>
  <c r="K10085" i="1"/>
  <c r="A10086" i="1"/>
  <c r="B10086" i="1"/>
  <c r="G10086" i="1"/>
  <c r="K10086" i="1"/>
  <c r="A10087" i="1"/>
  <c r="B10087" i="1"/>
  <c r="G10087" i="1"/>
  <c r="K10087" i="1"/>
  <c r="A10088" i="1"/>
  <c r="B10088" i="1"/>
  <c r="G10088" i="1"/>
  <c r="K10088" i="1"/>
  <c r="A10089" i="1"/>
  <c r="B10089" i="1"/>
  <c r="G10089" i="1"/>
  <c r="K10089" i="1"/>
  <c r="A10090" i="1"/>
  <c r="B10090" i="1"/>
  <c r="G10090" i="1"/>
  <c r="K10090" i="1"/>
  <c r="A10091" i="1"/>
  <c r="B10091" i="1"/>
  <c r="G10091" i="1"/>
  <c r="K10091" i="1"/>
  <c r="A10092" i="1"/>
  <c r="B10092" i="1"/>
  <c r="G10092" i="1"/>
  <c r="K10092" i="1"/>
  <c r="A10093" i="1"/>
  <c r="B10093" i="1"/>
  <c r="G10093" i="1"/>
  <c r="K10093" i="1"/>
  <c r="A10094" i="1"/>
  <c r="B10094" i="1"/>
  <c r="G10094" i="1"/>
  <c r="K10094" i="1"/>
  <c r="A10095" i="1"/>
  <c r="B10095" i="1"/>
  <c r="G10095" i="1"/>
  <c r="K10095" i="1"/>
  <c r="A10096" i="1"/>
  <c r="B10096" i="1"/>
  <c r="G10096" i="1"/>
  <c r="K10096" i="1"/>
  <c r="A10097" i="1"/>
  <c r="B10097" i="1"/>
  <c r="G10097" i="1"/>
  <c r="K10097" i="1"/>
  <c r="A10098" i="1"/>
  <c r="B10098" i="1"/>
  <c r="G10098" i="1"/>
  <c r="K10098" i="1"/>
  <c r="A10099" i="1"/>
  <c r="B10099" i="1"/>
  <c r="G10099" i="1"/>
  <c r="K10099" i="1"/>
  <c r="A10100" i="1"/>
  <c r="B10100" i="1"/>
  <c r="G10100" i="1"/>
  <c r="K10100" i="1"/>
  <c r="A10101" i="1"/>
  <c r="B10101" i="1"/>
  <c r="G10101" i="1"/>
  <c r="K10101" i="1"/>
  <c r="A10102" i="1"/>
  <c r="B10102" i="1"/>
  <c r="G10102" i="1"/>
  <c r="K10102" i="1"/>
  <c r="A10103" i="1"/>
  <c r="B10103" i="1"/>
  <c r="G10103" i="1"/>
  <c r="K10103" i="1"/>
  <c r="A10104" i="1"/>
  <c r="B10104" i="1"/>
  <c r="G10104" i="1"/>
  <c r="K10104" i="1"/>
  <c r="A10105" i="1"/>
  <c r="B10105" i="1"/>
  <c r="G10105" i="1"/>
  <c r="K10105" i="1"/>
  <c r="A10106" i="1"/>
  <c r="B10106" i="1"/>
  <c r="G10106" i="1"/>
  <c r="K10106" i="1"/>
  <c r="A10107" i="1"/>
  <c r="B10107" i="1"/>
  <c r="G10107" i="1"/>
  <c r="K10107" i="1"/>
  <c r="A10108" i="1"/>
  <c r="B10108" i="1"/>
  <c r="G10108" i="1"/>
  <c r="K10108" i="1"/>
  <c r="A10109" i="1"/>
  <c r="B10109" i="1"/>
  <c r="G10109" i="1"/>
  <c r="K10109" i="1"/>
  <c r="A10110" i="1"/>
  <c r="B10110" i="1"/>
  <c r="G10110" i="1"/>
  <c r="K10110" i="1"/>
  <c r="A10111" i="1"/>
  <c r="B10111" i="1"/>
  <c r="G10111" i="1"/>
  <c r="K10111" i="1"/>
  <c r="A10112" i="1"/>
  <c r="B10112" i="1"/>
  <c r="G10112" i="1"/>
  <c r="K10112" i="1"/>
  <c r="A10113" i="1"/>
  <c r="B10113" i="1"/>
  <c r="G10113" i="1"/>
  <c r="K10113" i="1"/>
  <c r="A10114" i="1"/>
  <c r="B10114" i="1"/>
  <c r="G10114" i="1"/>
  <c r="K10114" i="1"/>
  <c r="A10115" i="1"/>
  <c r="B10115" i="1"/>
  <c r="G10115" i="1"/>
  <c r="K10115" i="1"/>
  <c r="A10116" i="1"/>
  <c r="B10116" i="1"/>
  <c r="G10116" i="1"/>
  <c r="K10116" i="1"/>
  <c r="A10117" i="1"/>
  <c r="B10117" i="1"/>
  <c r="G10117" i="1"/>
  <c r="K10117" i="1"/>
  <c r="A10118" i="1"/>
  <c r="B10118" i="1"/>
  <c r="G10118" i="1"/>
  <c r="K10118" i="1"/>
  <c r="A10119" i="1"/>
  <c r="B10119" i="1"/>
  <c r="G10119" i="1"/>
  <c r="K10119" i="1"/>
  <c r="A10120" i="1"/>
  <c r="B10120" i="1"/>
  <c r="G10120" i="1"/>
  <c r="K10120" i="1"/>
  <c r="A10121" i="1"/>
  <c r="B10121" i="1"/>
  <c r="G10121" i="1"/>
  <c r="K10121" i="1"/>
  <c r="A10122" i="1"/>
  <c r="B10122" i="1"/>
  <c r="G10122" i="1"/>
  <c r="K10122" i="1"/>
  <c r="A10123" i="1"/>
  <c r="B10123" i="1"/>
  <c r="G10123" i="1"/>
  <c r="K10123" i="1"/>
  <c r="A10124" i="1"/>
  <c r="B10124" i="1"/>
  <c r="G10124" i="1"/>
  <c r="K10124" i="1"/>
  <c r="A10125" i="1"/>
  <c r="B10125" i="1"/>
  <c r="G10125" i="1"/>
  <c r="K10125" i="1"/>
  <c r="A10126" i="1"/>
  <c r="B10126" i="1"/>
  <c r="G10126" i="1"/>
  <c r="K10126" i="1"/>
  <c r="A10127" i="1"/>
  <c r="B10127" i="1"/>
  <c r="G10127" i="1"/>
  <c r="K10127" i="1"/>
  <c r="A10128" i="1"/>
  <c r="B10128" i="1"/>
  <c r="G10128" i="1"/>
  <c r="K10128" i="1"/>
  <c r="A10129" i="1"/>
  <c r="B10129" i="1"/>
  <c r="G10129" i="1"/>
  <c r="K10129" i="1"/>
  <c r="A10130" i="1"/>
  <c r="B10130" i="1"/>
  <c r="G10130" i="1"/>
  <c r="K10130" i="1"/>
  <c r="A10131" i="1"/>
  <c r="B10131" i="1"/>
  <c r="G10131" i="1"/>
  <c r="K10131" i="1"/>
  <c r="A10132" i="1"/>
  <c r="B10132" i="1"/>
  <c r="G10132" i="1"/>
  <c r="K10132" i="1"/>
  <c r="A10133" i="1"/>
  <c r="B10133" i="1"/>
  <c r="G10133" i="1"/>
  <c r="K10133" i="1"/>
  <c r="A10134" i="1"/>
  <c r="B10134" i="1"/>
  <c r="G10134" i="1"/>
  <c r="K10134" i="1"/>
  <c r="A10135" i="1"/>
  <c r="B10135" i="1"/>
  <c r="G10135" i="1"/>
  <c r="K10135" i="1"/>
  <c r="A10136" i="1"/>
  <c r="B10136" i="1"/>
  <c r="G10136" i="1"/>
  <c r="K10136" i="1"/>
  <c r="A10137" i="1"/>
  <c r="B10137" i="1"/>
  <c r="G10137" i="1"/>
  <c r="K10137" i="1"/>
  <c r="A10138" i="1"/>
  <c r="B10138" i="1"/>
  <c r="G10138" i="1"/>
  <c r="K10138" i="1"/>
  <c r="A10139" i="1"/>
  <c r="B10139" i="1"/>
  <c r="G10139" i="1"/>
  <c r="K10139" i="1"/>
  <c r="A10140" i="1"/>
  <c r="B10140" i="1"/>
  <c r="G10140" i="1"/>
  <c r="K10140" i="1"/>
  <c r="A10141" i="1"/>
  <c r="B10141" i="1"/>
  <c r="G10141" i="1"/>
  <c r="K10141" i="1"/>
  <c r="A10142" i="1"/>
  <c r="B10142" i="1"/>
  <c r="G10142" i="1"/>
  <c r="K10142" i="1"/>
  <c r="A10143" i="1"/>
  <c r="B10143" i="1"/>
  <c r="G10143" i="1"/>
  <c r="K10143" i="1"/>
  <c r="A10144" i="1"/>
  <c r="B10144" i="1"/>
  <c r="G10144" i="1"/>
  <c r="K10144" i="1"/>
  <c r="A10145" i="1"/>
  <c r="B10145" i="1"/>
  <c r="G10145" i="1"/>
  <c r="K10145" i="1"/>
  <c r="A10146" i="1"/>
  <c r="B10146" i="1"/>
  <c r="G10146" i="1"/>
  <c r="K10146" i="1"/>
  <c r="A10147" i="1"/>
  <c r="B10147" i="1"/>
  <c r="G10147" i="1"/>
  <c r="K10147" i="1"/>
  <c r="A10148" i="1"/>
  <c r="B10148" i="1"/>
  <c r="G10148" i="1"/>
  <c r="K10148" i="1"/>
  <c r="A10149" i="1"/>
  <c r="B10149" i="1"/>
  <c r="G10149" i="1"/>
  <c r="K10149" i="1"/>
  <c r="A10150" i="1"/>
  <c r="B10150" i="1"/>
  <c r="G10150" i="1"/>
  <c r="K10150" i="1"/>
  <c r="A10151" i="1"/>
  <c r="B10151" i="1"/>
  <c r="G10151" i="1"/>
  <c r="K10151" i="1"/>
  <c r="A10152" i="1"/>
  <c r="B10152" i="1"/>
  <c r="G10152" i="1"/>
  <c r="K10152" i="1"/>
  <c r="A10153" i="1"/>
  <c r="B10153" i="1"/>
  <c r="G10153" i="1"/>
  <c r="K10153" i="1"/>
  <c r="A10154" i="1"/>
  <c r="B10154" i="1"/>
  <c r="G10154" i="1"/>
  <c r="K10154" i="1"/>
  <c r="A10155" i="1"/>
  <c r="B10155" i="1"/>
  <c r="G10155" i="1"/>
  <c r="K10155" i="1"/>
  <c r="A10156" i="1"/>
  <c r="B10156" i="1"/>
  <c r="G10156" i="1"/>
  <c r="K10156" i="1"/>
  <c r="A10157" i="1"/>
  <c r="B10157" i="1"/>
  <c r="G10157" i="1"/>
  <c r="K10157" i="1"/>
  <c r="A10158" i="1"/>
  <c r="B10158" i="1"/>
  <c r="G10158" i="1"/>
  <c r="K10158" i="1"/>
  <c r="A10159" i="1"/>
  <c r="B10159" i="1"/>
  <c r="G10159" i="1"/>
  <c r="K10159" i="1"/>
  <c r="A10160" i="1"/>
  <c r="B10160" i="1"/>
  <c r="G10160" i="1"/>
  <c r="K10160" i="1"/>
  <c r="A10161" i="1"/>
  <c r="B10161" i="1"/>
  <c r="G10161" i="1"/>
  <c r="K10161" i="1"/>
  <c r="A10162" i="1"/>
  <c r="B10162" i="1"/>
  <c r="G10162" i="1"/>
  <c r="K10162" i="1"/>
  <c r="A10163" i="1"/>
  <c r="B10163" i="1"/>
  <c r="G10163" i="1"/>
  <c r="K10163" i="1"/>
  <c r="A10164" i="1"/>
  <c r="B10164" i="1"/>
  <c r="G10164" i="1"/>
  <c r="K10164" i="1"/>
  <c r="A10165" i="1"/>
  <c r="B10165" i="1"/>
  <c r="G10165" i="1"/>
  <c r="K10165" i="1"/>
  <c r="A10166" i="1"/>
  <c r="B10166" i="1"/>
  <c r="G10166" i="1"/>
  <c r="K10166" i="1"/>
  <c r="A10167" i="1"/>
  <c r="B10167" i="1"/>
  <c r="G10167" i="1"/>
  <c r="K10167" i="1"/>
  <c r="A10168" i="1"/>
  <c r="B10168" i="1"/>
  <c r="G10168" i="1"/>
  <c r="K10168" i="1"/>
  <c r="A10169" i="1"/>
  <c r="B10169" i="1"/>
  <c r="G10169" i="1"/>
  <c r="K10169" i="1"/>
  <c r="A10170" i="1"/>
  <c r="B10170" i="1"/>
  <c r="G10170" i="1"/>
  <c r="K10170" i="1"/>
  <c r="A10171" i="1"/>
  <c r="B10171" i="1"/>
  <c r="G10171" i="1"/>
  <c r="K10171" i="1"/>
  <c r="A10172" i="1"/>
  <c r="B10172" i="1"/>
  <c r="G10172" i="1"/>
  <c r="K10172" i="1"/>
  <c r="A10173" i="1"/>
  <c r="B10173" i="1"/>
  <c r="G10173" i="1"/>
  <c r="K10173" i="1"/>
  <c r="A10174" i="1"/>
  <c r="B10174" i="1"/>
  <c r="G10174" i="1"/>
  <c r="K10174" i="1"/>
  <c r="A10175" i="1"/>
  <c r="B10175" i="1"/>
  <c r="G10175" i="1"/>
  <c r="K10175" i="1"/>
  <c r="A10176" i="1"/>
  <c r="B10176" i="1"/>
  <c r="G10176" i="1"/>
  <c r="K10176" i="1"/>
  <c r="A10177" i="1"/>
  <c r="B10177" i="1"/>
  <c r="G10177" i="1"/>
  <c r="K10177" i="1"/>
  <c r="A10178" i="1"/>
  <c r="B10178" i="1"/>
  <c r="G10178" i="1"/>
  <c r="K10178" i="1"/>
  <c r="A10179" i="1"/>
  <c r="B10179" i="1"/>
  <c r="G10179" i="1"/>
  <c r="K10179" i="1"/>
  <c r="A10180" i="1"/>
  <c r="B10180" i="1"/>
  <c r="G10180" i="1"/>
  <c r="K10180" i="1"/>
  <c r="A10181" i="1"/>
  <c r="B10181" i="1"/>
  <c r="G10181" i="1"/>
  <c r="K10181" i="1"/>
  <c r="A10182" i="1"/>
  <c r="B10182" i="1"/>
  <c r="G10182" i="1"/>
  <c r="K10182" i="1"/>
  <c r="A10183" i="1"/>
  <c r="B10183" i="1"/>
  <c r="G10183" i="1"/>
  <c r="K10183" i="1"/>
  <c r="A10184" i="1"/>
  <c r="B10184" i="1"/>
  <c r="G10184" i="1"/>
  <c r="K10184" i="1"/>
  <c r="A10185" i="1"/>
  <c r="B10185" i="1"/>
  <c r="G10185" i="1"/>
  <c r="K10185" i="1"/>
  <c r="A10186" i="1"/>
  <c r="B10186" i="1"/>
  <c r="G10186" i="1"/>
  <c r="K10186" i="1"/>
  <c r="A10187" i="1"/>
  <c r="B10187" i="1"/>
  <c r="G10187" i="1"/>
  <c r="K10187" i="1"/>
  <c r="A10188" i="1"/>
  <c r="B10188" i="1"/>
  <c r="G10188" i="1"/>
  <c r="K10188" i="1"/>
  <c r="A10189" i="1"/>
  <c r="B10189" i="1"/>
  <c r="G10189" i="1"/>
  <c r="K10189" i="1"/>
  <c r="A10190" i="1"/>
  <c r="B10190" i="1"/>
  <c r="G10190" i="1"/>
  <c r="K10190" i="1"/>
  <c r="A10191" i="1"/>
  <c r="B10191" i="1"/>
  <c r="G10191" i="1"/>
  <c r="K10191" i="1"/>
  <c r="A10192" i="1"/>
  <c r="B10192" i="1"/>
  <c r="G10192" i="1"/>
  <c r="K10192" i="1"/>
  <c r="A10193" i="1"/>
  <c r="B10193" i="1"/>
  <c r="G10193" i="1"/>
  <c r="K10193" i="1"/>
  <c r="A10194" i="1"/>
  <c r="B10194" i="1"/>
  <c r="G10194" i="1"/>
  <c r="K10194" i="1"/>
  <c r="A10195" i="1"/>
  <c r="B10195" i="1"/>
  <c r="G10195" i="1"/>
  <c r="K10195" i="1"/>
  <c r="A10196" i="1"/>
  <c r="B10196" i="1"/>
  <c r="G10196" i="1"/>
  <c r="K10196" i="1"/>
  <c r="A10197" i="1"/>
  <c r="B10197" i="1"/>
  <c r="G10197" i="1"/>
  <c r="K10197" i="1"/>
  <c r="A10198" i="1"/>
  <c r="B10198" i="1"/>
  <c r="G10198" i="1"/>
  <c r="K10198" i="1"/>
  <c r="A10199" i="1"/>
  <c r="B10199" i="1"/>
  <c r="G10199" i="1"/>
  <c r="K10199" i="1"/>
  <c r="A10200" i="1"/>
  <c r="B10200" i="1"/>
  <c r="G10200" i="1"/>
  <c r="K10200" i="1"/>
  <c r="A10201" i="1"/>
  <c r="B10201" i="1"/>
  <c r="G10201" i="1"/>
  <c r="K10201" i="1"/>
  <c r="A10202" i="1"/>
  <c r="B10202" i="1"/>
  <c r="G10202" i="1"/>
  <c r="K10202" i="1"/>
  <c r="A10203" i="1"/>
  <c r="B10203" i="1"/>
  <c r="G10203" i="1"/>
  <c r="K10203" i="1"/>
  <c r="A10204" i="1"/>
  <c r="B10204" i="1"/>
  <c r="G10204" i="1"/>
  <c r="K10204" i="1"/>
  <c r="A10205" i="1"/>
  <c r="B10205" i="1"/>
  <c r="G10205" i="1"/>
  <c r="K10205" i="1"/>
  <c r="A10206" i="1"/>
  <c r="B10206" i="1"/>
  <c r="G10206" i="1"/>
  <c r="K10206" i="1"/>
  <c r="A10207" i="1"/>
  <c r="B10207" i="1"/>
  <c r="G10207" i="1"/>
  <c r="K10207" i="1"/>
  <c r="A10208" i="1"/>
  <c r="B10208" i="1"/>
  <c r="G10208" i="1"/>
  <c r="K10208" i="1"/>
  <c r="A10209" i="1"/>
  <c r="B10209" i="1"/>
  <c r="G10209" i="1"/>
  <c r="K10209" i="1"/>
  <c r="A10210" i="1"/>
  <c r="B10210" i="1"/>
  <c r="G10210" i="1"/>
  <c r="K10210" i="1"/>
  <c r="A10211" i="1"/>
  <c r="B10211" i="1"/>
  <c r="G10211" i="1"/>
  <c r="K10211" i="1"/>
  <c r="A10212" i="1"/>
  <c r="B10212" i="1"/>
  <c r="G10212" i="1"/>
  <c r="K10212" i="1"/>
  <c r="A10213" i="1"/>
  <c r="B10213" i="1"/>
  <c r="G10213" i="1"/>
  <c r="K10213" i="1"/>
  <c r="A10214" i="1"/>
  <c r="B10214" i="1"/>
  <c r="G10214" i="1"/>
  <c r="K10214" i="1"/>
  <c r="A10215" i="1"/>
  <c r="B10215" i="1"/>
  <c r="G10215" i="1"/>
  <c r="K10215" i="1"/>
  <c r="A10216" i="1"/>
  <c r="B10216" i="1"/>
  <c r="G10216" i="1"/>
  <c r="K10216" i="1"/>
  <c r="A10217" i="1"/>
  <c r="B10217" i="1"/>
  <c r="G10217" i="1"/>
  <c r="K10217" i="1"/>
  <c r="A10218" i="1"/>
  <c r="B10218" i="1"/>
  <c r="G10218" i="1"/>
  <c r="K10218" i="1"/>
  <c r="A10219" i="1"/>
  <c r="B10219" i="1"/>
  <c r="G10219" i="1"/>
  <c r="K10219" i="1"/>
  <c r="A10220" i="1"/>
  <c r="B10220" i="1"/>
  <c r="G10220" i="1"/>
  <c r="K10220" i="1"/>
  <c r="A10221" i="1"/>
  <c r="B10221" i="1"/>
  <c r="G10221" i="1"/>
  <c r="K10221" i="1"/>
  <c r="A10222" i="1"/>
  <c r="B10222" i="1"/>
  <c r="G10222" i="1"/>
  <c r="K10222" i="1"/>
  <c r="A10223" i="1"/>
  <c r="B10223" i="1"/>
  <c r="G10223" i="1"/>
  <c r="K10223" i="1"/>
  <c r="A10224" i="1"/>
  <c r="B10224" i="1"/>
  <c r="G10224" i="1"/>
  <c r="K10224" i="1"/>
  <c r="A10225" i="1"/>
  <c r="B10225" i="1"/>
  <c r="G10225" i="1"/>
  <c r="K10225" i="1"/>
  <c r="A10226" i="1"/>
  <c r="B10226" i="1"/>
  <c r="G10226" i="1"/>
  <c r="K10226" i="1"/>
  <c r="A10227" i="1"/>
  <c r="B10227" i="1"/>
  <c r="G10227" i="1"/>
  <c r="K10227" i="1"/>
  <c r="A10228" i="1"/>
  <c r="B10228" i="1"/>
  <c r="G10228" i="1"/>
  <c r="K10228" i="1"/>
  <c r="A10229" i="1"/>
  <c r="B10229" i="1"/>
  <c r="G10229" i="1"/>
  <c r="K10229" i="1"/>
  <c r="A10230" i="1"/>
  <c r="B10230" i="1"/>
  <c r="G10230" i="1"/>
  <c r="K10230" i="1"/>
  <c r="A10231" i="1"/>
  <c r="B10231" i="1"/>
  <c r="G10231" i="1"/>
  <c r="K10231" i="1"/>
  <c r="A10232" i="1"/>
  <c r="B10232" i="1"/>
  <c r="G10232" i="1"/>
  <c r="K10232" i="1"/>
  <c r="A10233" i="1"/>
  <c r="B10233" i="1"/>
  <c r="G10233" i="1"/>
  <c r="K10233" i="1"/>
  <c r="A10234" i="1"/>
  <c r="B10234" i="1"/>
  <c r="G10234" i="1"/>
  <c r="K10234" i="1"/>
  <c r="A10235" i="1"/>
  <c r="B10235" i="1"/>
  <c r="G10235" i="1"/>
  <c r="K10235" i="1"/>
  <c r="A10236" i="1"/>
  <c r="B10236" i="1"/>
  <c r="G10236" i="1"/>
  <c r="K10236" i="1"/>
  <c r="A10237" i="1"/>
  <c r="B10237" i="1"/>
  <c r="G10237" i="1"/>
  <c r="K10237" i="1"/>
  <c r="A10238" i="1"/>
  <c r="B10238" i="1"/>
  <c r="G10238" i="1"/>
  <c r="K10238" i="1"/>
  <c r="A10239" i="1"/>
  <c r="B10239" i="1"/>
  <c r="G10239" i="1"/>
  <c r="K10239" i="1"/>
  <c r="A10240" i="1"/>
  <c r="B10240" i="1"/>
  <c r="G10240" i="1"/>
  <c r="K10240" i="1"/>
  <c r="A10241" i="1"/>
  <c r="B10241" i="1"/>
  <c r="G10241" i="1"/>
  <c r="K10241" i="1"/>
  <c r="A10242" i="1"/>
  <c r="B10242" i="1"/>
  <c r="G10242" i="1"/>
  <c r="K10242" i="1"/>
  <c r="A10243" i="1"/>
  <c r="B10243" i="1"/>
  <c r="G10243" i="1"/>
  <c r="K10243" i="1"/>
  <c r="A10244" i="1"/>
  <c r="B10244" i="1"/>
  <c r="G10244" i="1"/>
  <c r="K10244" i="1"/>
  <c r="A10245" i="1"/>
  <c r="B10245" i="1"/>
  <c r="G10245" i="1"/>
  <c r="K10245" i="1"/>
  <c r="A10246" i="1"/>
  <c r="B10246" i="1"/>
  <c r="G10246" i="1"/>
  <c r="K10246" i="1"/>
  <c r="A10247" i="1"/>
  <c r="B10247" i="1"/>
  <c r="G10247" i="1"/>
  <c r="K10247" i="1"/>
  <c r="A10248" i="1"/>
  <c r="B10248" i="1"/>
  <c r="G10248" i="1"/>
  <c r="K10248" i="1"/>
  <c r="A10249" i="1"/>
  <c r="B10249" i="1"/>
  <c r="G10249" i="1"/>
  <c r="K10249" i="1"/>
  <c r="A10250" i="1"/>
  <c r="B10250" i="1"/>
  <c r="G10250" i="1"/>
  <c r="K10250" i="1"/>
  <c r="A10251" i="1"/>
  <c r="B10251" i="1"/>
  <c r="G10251" i="1"/>
  <c r="K10251" i="1"/>
  <c r="A10252" i="1"/>
  <c r="B10252" i="1"/>
  <c r="G10252" i="1"/>
  <c r="K10252" i="1"/>
  <c r="A10253" i="1"/>
  <c r="B10253" i="1"/>
  <c r="G10253" i="1"/>
  <c r="K10253" i="1"/>
  <c r="A10254" i="1"/>
  <c r="B10254" i="1"/>
  <c r="G10254" i="1"/>
  <c r="K10254" i="1"/>
  <c r="A10255" i="1"/>
  <c r="B10255" i="1"/>
  <c r="G10255" i="1"/>
  <c r="K10255" i="1"/>
  <c r="A10256" i="1"/>
  <c r="B10256" i="1"/>
  <c r="G10256" i="1"/>
  <c r="K10256" i="1"/>
  <c r="A10257" i="1"/>
  <c r="B10257" i="1"/>
  <c r="G10257" i="1"/>
  <c r="K10257" i="1"/>
  <c r="A10258" i="1"/>
  <c r="B10258" i="1"/>
  <c r="G10258" i="1"/>
  <c r="K10258" i="1"/>
  <c r="A10259" i="1"/>
  <c r="B10259" i="1"/>
  <c r="G10259" i="1"/>
  <c r="K10259" i="1"/>
  <c r="A10260" i="1"/>
  <c r="B10260" i="1"/>
  <c r="G10260" i="1"/>
  <c r="K10260" i="1"/>
  <c r="A10261" i="1"/>
  <c r="B10261" i="1"/>
  <c r="G10261" i="1"/>
  <c r="K10261" i="1"/>
  <c r="A10262" i="1"/>
  <c r="B10262" i="1"/>
  <c r="G10262" i="1"/>
  <c r="K10262" i="1"/>
  <c r="A10263" i="1"/>
  <c r="B10263" i="1"/>
  <c r="G10263" i="1"/>
  <c r="K10263" i="1"/>
  <c r="A10264" i="1"/>
  <c r="B10264" i="1"/>
  <c r="G10264" i="1"/>
  <c r="K10264" i="1"/>
  <c r="A10265" i="1"/>
  <c r="B10265" i="1"/>
  <c r="G10265" i="1"/>
  <c r="K10265" i="1"/>
  <c r="A10266" i="1"/>
  <c r="B10266" i="1"/>
  <c r="G10266" i="1"/>
  <c r="K10266" i="1"/>
  <c r="A10267" i="1"/>
  <c r="B10267" i="1"/>
  <c r="G10267" i="1"/>
  <c r="K10267" i="1"/>
  <c r="A10268" i="1"/>
  <c r="B10268" i="1"/>
  <c r="G10268" i="1"/>
  <c r="K10268" i="1"/>
  <c r="A10269" i="1"/>
  <c r="B10269" i="1"/>
  <c r="G10269" i="1"/>
  <c r="K10269" i="1"/>
  <c r="A10270" i="1"/>
  <c r="B10270" i="1"/>
  <c r="G10270" i="1"/>
  <c r="K10270" i="1"/>
  <c r="A10271" i="1"/>
  <c r="B10271" i="1"/>
  <c r="G10271" i="1"/>
  <c r="K10271" i="1"/>
  <c r="A10272" i="1"/>
  <c r="B10272" i="1"/>
  <c r="G10272" i="1"/>
  <c r="K10272" i="1"/>
  <c r="A10273" i="1"/>
  <c r="B10273" i="1"/>
  <c r="G10273" i="1"/>
  <c r="K10273" i="1"/>
  <c r="A10274" i="1"/>
  <c r="B10274" i="1"/>
  <c r="G10274" i="1"/>
  <c r="K10274" i="1"/>
  <c r="A10275" i="1"/>
  <c r="B10275" i="1"/>
  <c r="G10275" i="1"/>
  <c r="K10275" i="1"/>
  <c r="A10276" i="1"/>
  <c r="B10276" i="1"/>
  <c r="G10276" i="1"/>
  <c r="K10276" i="1"/>
  <c r="A10277" i="1"/>
  <c r="B10277" i="1"/>
  <c r="G10277" i="1"/>
  <c r="K10277" i="1"/>
  <c r="A10278" i="1"/>
  <c r="B10278" i="1"/>
  <c r="G10278" i="1"/>
  <c r="K10278" i="1"/>
  <c r="A10279" i="1"/>
  <c r="B10279" i="1"/>
  <c r="G10279" i="1"/>
  <c r="K10279" i="1"/>
  <c r="A10280" i="1"/>
  <c r="B10280" i="1"/>
  <c r="G10280" i="1"/>
  <c r="K10280" i="1"/>
  <c r="A10281" i="1"/>
  <c r="B10281" i="1"/>
  <c r="G10281" i="1"/>
  <c r="K10281" i="1"/>
  <c r="A10282" i="1"/>
  <c r="B10282" i="1"/>
  <c r="G10282" i="1"/>
  <c r="K10282" i="1"/>
  <c r="A10283" i="1"/>
  <c r="B10283" i="1"/>
  <c r="G10283" i="1"/>
  <c r="K10283" i="1"/>
  <c r="A10284" i="1"/>
  <c r="B10284" i="1"/>
  <c r="G10284" i="1"/>
  <c r="K10284" i="1"/>
  <c r="A10285" i="1"/>
  <c r="B10285" i="1"/>
  <c r="G10285" i="1"/>
  <c r="K10285" i="1"/>
  <c r="A10286" i="1"/>
  <c r="B10286" i="1"/>
  <c r="G10286" i="1"/>
  <c r="K10286" i="1"/>
  <c r="A10287" i="1"/>
  <c r="B10287" i="1"/>
  <c r="G10287" i="1"/>
  <c r="K10287" i="1"/>
  <c r="A10288" i="1"/>
  <c r="B10288" i="1"/>
  <c r="G10288" i="1"/>
  <c r="K10288" i="1"/>
  <c r="A10289" i="1"/>
  <c r="B10289" i="1"/>
  <c r="G10289" i="1"/>
  <c r="K10289" i="1"/>
  <c r="A10290" i="1"/>
  <c r="B10290" i="1"/>
  <c r="G10290" i="1"/>
  <c r="K10290" i="1"/>
  <c r="A10291" i="1"/>
  <c r="B10291" i="1"/>
  <c r="G10291" i="1"/>
  <c r="K10291" i="1"/>
  <c r="A10292" i="1"/>
  <c r="B10292" i="1"/>
  <c r="G10292" i="1"/>
  <c r="K10292" i="1"/>
  <c r="A10293" i="1"/>
  <c r="B10293" i="1"/>
  <c r="G10293" i="1"/>
  <c r="K10293" i="1"/>
  <c r="A10294" i="1"/>
  <c r="B10294" i="1"/>
  <c r="G10294" i="1"/>
  <c r="K10294" i="1"/>
  <c r="A10295" i="1"/>
  <c r="B10295" i="1"/>
  <c r="G10295" i="1"/>
  <c r="K10295" i="1"/>
  <c r="A10296" i="1"/>
  <c r="B10296" i="1"/>
  <c r="G10296" i="1"/>
  <c r="K10296" i="1"/>
  <c r="A10297" i="1"/>
  <c r="B10297" i="1"/>
  <c r="G10297" i="1"/>
  <c r="K10297" i="1"/>
  <c r="A10298" i="1"/>
  <c r="B10298" i="1"/>
  <c r="G10298" i="1"/>
  <c r="K10298" i="1"/>
  <c r="A10299" i="1"/>
  <c r="B10299" i="1"/>
  <c r="G10299" i="1"/>
  <c r="K10299" i="1"/>
  <c r="A10300" i="1"/>
  <c r="B10300" i="1"/>
  <c r="G10300" i="1"/>
  <c r="K10300" i="1"/>
  <c r="A10301" i="1"/>
  <c r="B10301" i="1"/>
  <c r="G10301" i="1"/>
  <c r="K10301" i="1"/>
  <c r="A10302" i="1"/>
  <c r="B10302" i="1"/>
  <c r="G10302" i="1"/>
  <c r="K10302" i="1"/>
  <c r="A10303" i="1"/>
  <c r="B10303" i="1"/>
  <c r="G10303" i="1"/>
  <c r="K10303" i="1"/>
  <c r="A10304" i="1"/>
  <c r="B10304" i="1"/>
  <c r="G10304" i="1"/>
  <c r="K10304" i="1"/>
  <c r="A10305" i="1"/>
  <c r="B10305" i="1"/>
  <c r="G10305" i="1"/>
  <c r="K10305" i="1"/>
  <c r="A10306" i="1"/>
  <c r="B10306" i="1"/>
  <c r="G10306" i="1"/>
  <c r="K10306" i="1"/>
  <c r="A10307" i="1"/>
  <c r="B10307" i="1"/>
  <c r="G10307" i="1"/>
  <c r="K10307" i="1"/>
  <c r="A10308" i="1"/>
  <c r="B10308" i="1"/>
  <c r="G10308" i="1"/>
  <c r="K10308" i="1"/>
  <c r="A10309" i="1"/>
  <c r="B10309" i="1"/>
  <c r="G10309" i="1"/>
  <c r="K10309" i="1"/>
  <c r="A10310" i="1"/>
  <c r="B10310" i="1"/>
  <c r="G10310" i="1"/>
  <c r="K10310" i="1"/>
  <c r="A10311" i="1"/>
  <c r="B10311" i="1"/>
  <c r="G10311" i="1"/>
  <c r="K10311" i="1"/>
  <c r="A10312" i="1"/>
  <c r="B10312" i="1"/>
  <c r="G10312" i="1"/>
  <c r="K10312" i="1"/>
  <c r="A10313" i="1"/>
  <c r="B10313" i="1"/>
  <c r="G10313" i="1"/>
  <c r="K10313" i="1"/>
  <c r="A10314" i="1"/>
  <c r="B10314" i="1"/>
  <c r="G10314" i="1"/>
  <c r="K10314" i="1"/>
  <c r="A10315" i="1"/>
  <c r="B10315" i="1"/>
  <c r="G10315" i="1"/>
  <c r="K10315" i="1"/>
  <c r="A10316" i="1"/>
  <c r="B10316" i="1"/>
  <c r="G10316" i="1"/>
  <c r="K10316" i="1"/>
  <c r="A10317" i="1"/>
  <c r="B10317" i="1"/>
  <c r="G10317" i="1"/>
  <c r="K10317" i="1"/>
  <c r="A10318" i="1"/>
  <c r="B10318" i="1"/>
  <c r="G10318" i="1"/>
  <c r="K10318" i="1"/>
  <c r="A10319" i="1"/>
  <c r="B10319" i="1"/>
  <c r="G10319" i="1"/>
  <c r="K10319" i="1"/>
  <c r="A10320" i="1"/>
  <c r="B10320" i="1"/>
  <c r="G10320" i="1"/>
  <c r="K10320" i="1"/>
  <c r="A10321" i="1"/>
  <c r="B10321" i="1"/>
  <c r="G10321" i="1"/>
  <c r="K10321" i="1"/>
  <c r="A10322" i="1"/>
  <c r="B10322" i="1"/>
  <c r="G10322" i="1"/>
  <c r="K10322" i="1"/>
  <c r="A10323" i="1"/>
  <c r="B10323" i="1"/>
  <c r="G10323" i="1"/>
  <c r="K10323" i="1"/>
  <c r="A10324" i="1"/>
  <c r="B10324" i="1"/>
  <c r="G10324" i="1"/>
  <c r="K10324" i="1"/>
  <c r="A10325" i="1"/>
  <c r="B10325" i="1"/>
  <c r="G10325" i="1"/>
  <c r="K10325" i="1"/>
  <c r="A10326" i="1"/>
  <c r="B10326" i="1"/>
  <c r="G10326" i="1"/>
  <c r="K10326" i="1"/>
  <c r="A10327" i="1"/>
  <c r="B10327" i="1"/>
  <c r="G10327" i="1"/>
  <c r="K10327" i="1"/>
  <c r="A10328" i="1"/>
  <c r="B10328" i="1"/>
  <c r="G10328" i="1"/>
  <c r="K10328" i="1"/>
  <c r="A10329" i="1"/>
  <c r="B10329" i="1"/>
  <c r="G10329" i="1"/>
  <c r="K10329" i="1"/>
  <c r="A10330" i="1"/>
  <c r="B10330" i="1"/>
  <c r="G10330" i="1"/>
  <c r="K10330" i="1"/>
  <c r="A10331" i="1"/>
  <c r="B10331" i="1"/>
  <c r="G10331" i="1"/>
  <c r="K10331" i="1"/>
  <c r="A10332" i="1"/>
  <c r="B10332" i="1"/>
  <c r="G10332" i="1"/>
  <c r="K10332" i="1"/>
  <c r="A10333" i="1"/>
  <c r="B10333" i="1"/>
  <c r="G10333" i="1"/>
  <c r="K10333" i="1"/>
  <c r="A10334" i="1"/>
  <c r="B10334" i="1"/>
  <c r="G10334" i="1"/>
  <c r="K10334" i="1"/>
  <c r="A10335" i="1"/>
  <c r="B10335" i="1"/>
  <c r="G10335" i="1"/>
  <c r="K10335" i="1"/>
  <c r="A10336" i="1"/>
  <c r="B10336" i="1"/>
  <c r="G10336" i="1"/>
  <c r="K10336" i="1"/>
  <c r="A10337" i="1"/>
  <c r="B10337" i="1"/>
  <c r="G10337" i="1"/>
  <c r="K10337" i="1"/>
  <c r="A10338" i="1"/>
  <c r="B10338" i="1"/>
  <c r="G10338" i="1"/>
  <c r="K10338" i="1"/>
  <c r="A10339" i="1"/>
  <c r="B10339" i="1"/>
  <c r="G10339" i="1"/>
  <c r="K10339" i="1"/>
  <c r="A10340" i="1"/>
  <c r="B10340" i="1"/>
  <c r="G10340" i="1"/>
  <c r="K10340" i="1"/>
  <c r="A10341" i="1"/>
  <c r="B10341" i="1"/>
  <c r="G10341" i="1"/>
  <c r="K10341" i="1"/>
  <c r="A10342" i="1"/>
  <c r="B10342" i="1"/>
  <c r="G10342" i="1"/>
  <c r="K10342" i="1"/>
  <c r="A10343" i="1"/>
  <c r="B10343" i="1"/>
  <c r="G10343" i="1"/>
  <c r="K10343" i="1"/>
  <c r="A10344" i="1"/>
  <c r="B10344" i="1"/>
  <c r="G10344" i="1"/>
  <c r="K10344" i="1"/>
  <c r="A10345" i="1"/>
  <c r="B10345" i="1"/>
  <c r="G10345" i="1"/>
  <c r="K10345" i="1"/>
  <c r="A10346" i="1"/>
  <c r="B10346" i="1"/>
  <c r="G10346" i="1"/>
  <c r="K10346" i="1"/>
  <c r="A10347" i="1"/>
  <c r="B10347" i="1"/>
  <c r="G10347" i="1"/>
  <c r="K10347" i="1"/>
  <c r="A10348" i="1"/>
  <c r="B10348" i="1"/>
  <c r="G10348" i="1"/>
  <c r="K10348" i="1"/>
  <c r="A10349" i="1"/>
  <c r="B10349" i="1"/>
  <c r="G10349" i="1"/>
  <c r="K10349" i="1"/>
  <c r="A10350" i="1"/>
  <c r="B10350" i="1"/>
  <c r="G10350" i="1"/>
  <c r="K10350" i="1"/>
  <c r="A10351" i="1"/>
  <c r="B10351" i="1"/>
  <c r="G10351" i="1"/>
  <c r="K10351" i="1"/>
  <c r="A10352" i="1"/>
  <c r="B10352" i="1"/>
  <c r="G10352" i="1"/>
  <c r="K10352" i="1"/>
  <c r="A10353" i="1"/>
  <c r="B10353" i="1"/>
  <c r="G10353" i="1"/>
  <c r="K10353" i="1"/>
  <c r="A10354" i="1"/>
  <c r="B10354" i="1"/>
  <c r="G10354" i="1"/>
  <c r="K10354" i="1"/>
  <c r="A10355" i="1"/>
  <c r="B10355" i="1"/>
  <c r="G10355" i="1"/>
  <c r="K10355" i="1"/>
  <c r="A10356" i="1"/>
  <c r="B10356" i="1"/>
  <c r="G10356" i="1"/>
  <c r="K10356" i="1"/>
  <c r="A10357" i="1"/>
  <c r="B10357" i="1"/>
  <c r="G10357" i="1"/>
  <c r="K10357" i="1"/>
  <c r="A10358" i="1"/>
  <c r="B10358" i="1"/>
  <c r="G10358" i="1"/>
  <c r="K10358" i="1"/>
  <c r="A10359" i="1"/>
  <c r="B10359" i="1"/>
  <c r="G10359" i="1"/>
  <c r="K10359" i="1"/>
  <c r="A10360" i="1"/>
  <c r="B10360" i="1"/>
  <c r="G10360" i="1"/>
  <c r="K10360" i="1"/>
  <c r="A10361" i="1"/>
  <c r="B10361" i="1"/>
  <c r="G10361" i="1"/>
  <c r="K10361" i="1"/>
  <c r="A10362" i="1"/>
  <c r="B10362" i="1"/>
  <c r="G10362" i="1"/>
  <c r="K10362" i="1"/>
  <c r="A10363" i="1"/>
  <c r="B10363" i="1"/>
  <c r="G10363" i="1"/>
  <c r="K10363" i="1"/>
  <c r="A10364" i="1"/>
  <c r="B10364" i="1"/>
  <c r="G10364" i="1"/>
  <c r="K10364" i="1"/>
  <c r="A10365" i="1"/>
  <c r="B10365" i="1"/>
  <c r="G10365" i="1"/>
  <c r="K10365" i="1"/>
  <c r="A10366" i="1"/>
  <c r="B10366" i="1"/>
  <c r="G10366" i="1"/>
  <c r="K10366" i="1"/>
  <c r="A10367" i="1"/>
  <c r="B10367" i="1"/>
  <c r="G10367" i="1"/>
  <c r="K10367" i="1"/>
  <c r="A10368" i="1"/>
  <c r="B10368" i="1"/>
  <c r="G10368" i="1"/>
  <c r="K10368" i="1"/>
  <c r="A10369" i="1"/>
  <c r="B10369" i="1"/>
  <c r="G10369" i="1"/>
  <c r="K10369" i="1"/>
  <c r="A10370" i="1"/>
  <c r="B10370" i="1"/>
  <c r="G10370" i="1"/>
  <c r="K10370" i="1"/>
  <c r="A10371" i="1"/>
  <c r="B10371" i="1"/>
  <c r="G10371" i="1"/>
  <c r="K10371" i="1"/>
  <c r="A10372" i="1"/>
  <c r="B10372" i="1"/>
  <c r="G10372" i="1"/>
  <c r="K10372" i="1"/>
  <c r="A10373" i="1"/>
  <c r="B10373" i="1"/>
  <c r="G10373" i="1"/>
  <c r="K10373" i="1"/>
  <c r="A10374" i="1"/>
  <c r="B10374" i="1"/>
  <c r="G10374" i="1"/>
  <c r="K10374" i="1"/>
  <c r="A10375" i="1"/>
  <c r="B10375" i="1"/>
  <c r="G10375" i="1"/>
  <c r="K10375" i="1"/>
  <c r="A10376" i="1"/>
  <c r="B10376" i="1"/>
  <c r="G10376" i="1"/>
  <c r="K10376" i="1"/>
  <c r="A10377" i="1"/>
  <c r="B10377" i="1"/>
  <c r="G10377" i="1"/>
  <c r="K10377" i="1"/>
  <c r="A10378" i="1"/>
  <c r="B10378" i="1"/>
  <c r="G10378" i="1"/>
  <c r="K10378" i="1"/>
  <c r="A10379" i="1"/>
  <c r="B10379" i="1"/>
  <c r="G10379" i="1"/>
  <c r="K10379" i="1"/>
  <c r="A10380" i="1"/>
  <c r="B10380" i="1"/>
  <c r="G10380" i="1"/>
  <c r="K10380" i="1"/>
  <c r="A10381" i="1"/>
  <c r="B10381" i="1"/>
  <c r="G10381" i="1"/>
  <c r="K10381" i="1"/>
  <c r="A10382" i="1"/>
  <c r="B10382" i="1"/>
  <c r="G10382" i="1"/>
  <c r="K10382" i="1"/>
  <c r="A10383" i="1"/>
  <c r="B10383" i="1"/>
  <c r="G10383" i="1"/>
  <c r="K10383" i="1"/>
  <c r="A10384" i="1"/>
  <c r="B10384" i="1"/>
  <c r="G10384" i="1"/>
  <c r="K10384" i="1"/>
  <c r="A10385" i="1"/>
  <c r="B10385" i="1"/>
  <c r="G10385" i="1"/>
  <c r="K10385" i="1"/>
  <c r="A10386" i="1"/>
  <c r="B10386" i="1"/>
  <c r="G10386" i="1"/>
  <c r="K10386" i="1"/>
  <c r="A10387" i="1"/>
  <c r="B10387" i="1"/>
  <c r="G10387" i="1"/>
  <c r="K10387" i="1"/>
  <c r="A10388" i="1"/>
  <c r="B10388" i="1"/>
  <c r="G10388" i="1"/>
  <c r="K10388" i="1"/>
  <c r="A10389" i="1"/>
  <c r="B10389" i="1"/>
  <c r="G10389" i="1"/>
  <c r="K10389" i="1"/>
  <c r="A10390" i="1"/>
  <c r="B10390" i="1"/>
  <c r="G10390" i="1"/>
  <c r="K10390" i="1"/>
  <c r="A10391" i="1"/>
  <c r="B10391" i="1"/>
  <c r="G10391" i="1"/>
  <c r="K10391" i="1"/>
  <c r="A10392" i="1"/>
  <c r="B10392" i="1"/>
  <c r="G10392" i="1"/>
  <c r="K10392" i="1"/>
  <c r="A10393" i="1"/>
  <c r="B10393" i="1"/>
  <c r="G10393" i="1"/>
  <c r="K10393" i="1"/>
  <c r="A10394" i="1"/>
  <c r="B10394" i="1"/>
  <c r="G10394" i="1"/>
  <c r="K10394" i="1"/>
  <c r="A10395" i="1"/>
  <c r="B10395" i="1"/>
  <c r="G10395" i="1"/>
  <c r="K10395" i="1"/>
  <c r="A10396" i="1"/>
  <c r="B10396" i="1"/>
  <c r="G10396" i="1"/>
  <c r="K10396" i="1"/>
  <c r="A10397" i="1"/>
  <c r="B10397" i="1"/>
  <c r="G10397" i="1"/>
  <c r="K10397" i="1"/>
  <c r="A10398" i="1"/>
  <c r="B10398" i="1"/>
  <c r="G10398" i="1"/>
  <c r="K10398" i="1"/>
  <c r="A10399" i="1"/>
  <c r="B10399" i="1"/>
  <c r="G10399" i="1"/>
  <c r="K10399" i="1"/>
  <c r="A10400" i="1"/>
  <c r="B10400" i="1"/>
  <c r="G10400" i="1"/>
  <c r="K10400" i="1"/>
  <c r="A10401" i="1"/>
  <c r="B10401" i="1"/>
  <c r="G10401" i="1"/>
  <c r="K10401" i="1"/>
  <c r="A10402" i="1"/>
  <c r="B10402" i="1"/>
  <c r="G10402" i="1"/>
  <c r="K10402" i="1"/>
  <c r="A10403" i="1"/>
  <c r="B10403" i="1"/>
  <c r="G10403" i="1"/>
  <c r="K10403" i="1"/>
  <c r="A10404" i="1"/>
  <c r="B10404" i="1"/>
  <c r="G10404" i="1"/>
  <c r="K10404" i="1"/>
  <c r="A10405" i="1"/>
  <c r="B10405" i="1"/>
  <c r="G10405" i="1"/>
  <c r="K10405" i="1"/>
  <c r="A10406" i="1"/>
  <c r="B10406" i="1"/>
  <c r="G10406" i="1"/>
  <c r="K10406" i="1"/>
  <c r="A10407" i="1"/>
  <c r="B10407" i="1"/>
  <c r="G10407" i="1"/>
  <c r="K10407" i="1"/>
  <c r="A10408" i="1"/>
  <c r="B10408" i="1"/>
  <c r="G10408" i="1"/>
  <c r="K10408" i="1"/>
  <c r="A10409" i="1"/>
  <c r="B10409" i="1"/>
  <c r="G10409" i="1"/>
  <c r="K10409" i="1"/>
  <c r="A10410" i="1"/>
  <c r="B10410" i="1"/>
  <c r="G10410" i="1"/>
  <c r="K10410" i="1"/>
  <c r="A10411" i="1"/>
  <c r="B10411" i="1"/>
  <c r="G10411" i="1"/>
  <c r="K10411" i="1"/>
  <c r="A10412" i="1"/>
  <c r="B10412" i="1"/>
  <c r="G10412" i="1"/>
  <c r="K10412" i="1"/>
  <c r="A10413" i="1"/>
  <c r="B10413" i="1"/>
  <c r="G10413" i="1"/>
  <c r="K10413" i="1"/>
  <c r="A10414" i="1"/>
  <c r="B10414" i="1"/>
  <c r="G10414" i="1"/>
  <c r="K10414" i="1"/>
  <c r="A10415" i="1"/>
  <c r="B10415" i="1"/>
  <c r="G10415" i="1"/>
  <c r="K10415" i="1"/>
  <c r="A10416" i="1"/>
  <c r="B10416" i="1"/>
  <c r="G10416" i="1"/>
  <c r="K10416" i="1"/>
  <c r="A10417" i="1"/>
  <c r="B10417" i="1"/>
  <c r="G10417" i="1"/>
  <c r="K10417" i="1"/>
  <c r="A10418" i="1"/>
  <c r="B10418" i="1"/>
  <c r="G10418" i="1"/>
  <c r="K10418" i="1"/>
  <c r="A10419" i="1"/>
  <c r="B10419" i="1"/>
  <c r="G10419" i="1"/>
  <c r="K10419" i="1"/>
  <c r="A10420" i="1"/>
  <c r="B10420" i="1"/>
  <c r="G10420" i="1"/>
  <c r="K10420" i="1"/>
  <c r="A10421" i="1"/>
  <c r="B10421" i="1"/>
  <c r="G10421" i="1"/>
  <c r="K10421" i="1"/>
  <c r="A10422" i="1"/>
  <c r="B10422" i="1"/>
  <c r="G10422" i="1"/>
  <c r="K10422" i="1"/>
  <c r="A10423" i="1"/>
  <c r="B10423" i="1"/>
  <c r="G10423" i="1"/>
  <c r="K10423" i="1"/>
  <c r="A10424" i="1"/>
  <c r="B10424" i="1"/>
  <c r="G10424" i="1"/>
  <c r="K10424" i="1"/>
  <c r="A10425" i="1"/>
  <c r="B10425" i="1"/>
  <c r="G10425" i="1"/>
  <c r="K10425" i="1"/>
  <c r="A10426" i="1"/>
  <c r="B10426" i="1"/>
  <c r="G10426" i="1"/>
  <c r="K10426" i="1"/>
  <c r="A10427" i="1"/>
  <c r="B10427" i="1"/>
  <c r="G10427" i="1"/>
  <c r="K10427" i="1"/>
  <c r="A10428" i="1"/>
  <c r="B10428" i="1"/>
  <c r="G10428" i="1"/>
  <c r="K10428" i="1"/>
  <c r="A10429" i="1"/>
  <c r="B10429" i="1"/>
  <c r="G10429" i="1"/>
  <c r="K10429" i="1"/>
  <c r="A10430" i="1"/>
  <c r="B10430" i="1"/>
  <c r="G10430" i="1"/>
  <c r="K10430" i="1"/>
  <c r="A10431" i="1"/>
  <c r="B10431" i="1"/>
  <c r="G10431" i="1"/>
  <c r="K10431" i="1"/>
  <c r="A10432" i="1"/>
  <c r="B10432" i="1"/>
  <c r="G10432" i="1"/>
  <c r="K10432" i="1"/>
  <c r="A10433" i="1"/>
  <c r="B10433" i="1"/>
  <c r="G10433" i="1"/>
  <c r="K10433" i="1"/>
  <c r="A10434" i="1"/>
  <c r="B10434" i="1"/>
  <c r="G10434" i="1"/>
  <c r="K10434" i="1"/>
  <c r="A10435" i="1"/>
  <c r="B10435" i="1"/>
  <c r="G10435" i="1"/>
  <c r="K10435" i="1"/>
  <c r="A10436" i="1"/>
  <c r="B10436" i="1"/>
  <c r="G10436" i="1"/>
  <c r="K10436" i="1"/>
  <c r="A10437" i="1"/>
  <c r="B10437" i="1"/>
  <c r="G10437" i="1"/>
  <c r="K10437" i="1"/>
  <c r="A10438" i="1"/>
  <c r="B10438" i="1"/>
  <c r="G10438" i="1"/>
  <c r="K10438" i="1"/>
  <c r="A10439" i="1"/>
  <c r="B10439" i="1"/>
  <c r="G10439" i="1"/>
  <c r="K10439" i="1"/>
  <c r="A10440" i="1"/>
  <c r="B10440" i="1"/>
  <c r="G10440" i="1"/>
  <c r="K10440" i="1"/>
  <c r="A10441" i="1"/>
  <c r="B10441" i="1"/>
  <c r="G10441" i="1"/>
  <c r="K10441" i="1"/>
  <c r="A10442" i="1"/>
  <c r="B10442" i="1"/>
  <c r="G10442" i="1"/>
  <c r="K10442" i="1"/>
  <c r="A10443" i="1"/>
  <c r="B10443" i="1"/>
  <c r="G10443" i="1"/>
  <c r="K10443" i="1"/>
  <c r="A10444" i="1"/>
  <c r="B10444" i="1"/>
  <c r="G10444" i="1"/>
  <c r="K10444" i="1"/>
  <c r="A10445" i="1"/>
  <c r="B10445" i="1"/>
  <c r="G10445" i="1"/>
  <c r="K10445" i="1"/>
  <c r="A10446" i="1"/>
  <c r="B10446" i="1"/>
  <c r="G10446" i="1"/>
  <c r="K10446" i="1"/>
  <c r="A10447" i="1"/>
  <c r="B10447" i="1"/>
  <c r="G10447" i="1"/>
  <c r="K10447" i="1"/>
  <c r="A10448" i="1"/>
  <c r="B10448" i="1"/>
  <c r="G10448" i="1"/>
  <c r="K10448" i="1"/>
  <c r="A10449" i="1"/>
  <c r="B10449" i="1"/>
  <c r="G10449" i="1"/>
  <c r="K10449" i="1"/>
  <c r="A10450" i="1"/>
  <c r="B10450" i="1"/>
  <c r="G10450" i="1"/>
  <c r="K10450" i="1"/>
  <c r="A10451" i="1"/>
  <c r="B10451" i="1"/>
  <c r="G10451" i="1"/>
  <c r="K10451" i="1"/>
  <c r="A10452" i="1"/>
  <c r="B10452" i="1"/>
  <c r="G10452" i="1"/>
  <c r="K10452" i="1"/>
  <c r="A10453" i="1"/>
  <c r="B10453" i="1"/>
  <c r="G10453" i="1"/>
  <c r="K10453" i="1"/>
  <c r="A10454" i="1"/>
  <c r="B10454" i="1"/>
  <c r="G10454" i="1"/>
  <c r="K10454" i="1"/>
  <c r="A10455" i="1"/>
  <c r="B10455" i="1"/>
  <c r="G10455" i="1"/>
  <c r="K10455" i="1"/>
  <c r="A10456" i="1"/>
  <c r="B10456" i="1"/>
  <c r="G10456" i="1"/>
  <c r="K10456" i="1"/>
  <c r="A10457" i="1"/>
  <c r="B10457" i="1"/>
  <c r="G10457" i="1"/>
  <c r="K10457" i="1"/>
  <c r="A10458" i="1"/>
  <c r="B10458" i="1"/>
  <c r="G10458" i="1"/>
  <c r="K10458" i="1"/>
  <c r="A10459" i="1"/>
  <c r="B10459" i="1"/>
  <c r="G10459" i="1"/>
  <c r="K10459" i="1"/>
  <c r="A10460" i="1"/>
  <c r="B10460" i="1"/>
  <c r="G10460" i="1"/>
  <c r="K10460" i="1"/>
  <c r="A10461" i="1"/>
  <c r="B10461" i="1"/>
  <c r="G10461" i="1"/>
  <c r="K10461" i="1"/>
  <c r="A10462" i="1"/>
  <c r="B10462" i="1"/>
  <c r="G10462" i="1"/>
  <c r="K10462" i="1"/>
  <c r="A10463" i="1"/>
  <c r="B10463" i="1"/>
  <c r="G10463" i="1"/>
  <c r="K10463" i="1"/>
  <c r="A10464" i="1"/>
  <c r="B10464" i="1"/>
  <c r="G10464" i="1"/>
  <c r="K10464" i="1"/>
  <c r="A10465" i="1"/>
  <c r="B10465" i="1"/>
  <c r="G10465" i="1"/>
  <c r="K10465" i="1"/>
  <c r="A10466" i="1"/>
  <c r="B10466" i="1"/>
  <c r="G10466" i="1"/>
  <c r="K10466" i="1"/>
  <c r="A10467" i="1"/>
  <c r="B10467" i="1"/>
  <c r="G10467" i="1"/>
  <c r="K10467" i="1"/>
  <c r="A10468" i="1"/>
  <c r="B10468" i="1"/>
  <c r="G10468" i="1"/>
  <c r="K10468" i="1"/>
  <c r="A10469" i="1"/>
  <c r="B10469" i="1"/>
  <c r="G10469" i="1"/>
  <c r="K10469" i="1"/>
  <c r="A10470" i="1"/>
  <c r="B10470" i="1"/>
  <c r="G10470" i="1"/>
  <c r="K10470" i="1"/>
  <c r="A10471" i="1"/>
  <c r="B10471" i="1"/>
  <c r="G10471" i="1"/>
  <c r="K10471" i="1"/>
  <c r="A10472" i="1"/>
  <c r="B10472" i="1"/>
  <c r="G10472" i="1"/>
  <c r="K10472" i="1"/>
  <c r="A10473" i="1"/>
  <c r="B10473" i="1"/>
  <c r="G10473" i="1"/>
  <c r="K10473" i="1"/>
  <c r="A10474" i="1"/>
  <c r="B10474" i="1"/>
  <c r="G10474" i="1"/>
  <c r="K10474" i="1"/>
  <c r="A10475" i="1"/>
  <c r="B10475" i="1"/>
  <c r="G10475" i="1"/>
  <c r="K10475" i="1"/>
  <c r="A10476" i="1"/>
  <c r="B10476" i="1"/>
  <c r="G10476" i="1"/>
  <c r="K10476" i="1"/>
  <c r="A10477" i="1"/>
  <c r="B10477" i="1"/>
  <c r="G10477" i="1"/>
  <c r="K10477" i="1"/>
  <c r="A10478" i="1"/>
  <c r="B10478" i="1"/>
  <c r="G10478" i="1"/>
  <c r="K10478" i="1"/>
  <c r="A10479" i="1"/>
  <c r="B10479" i="1"/>
  <c r="G10479" i="1"/>
  <c r="K10479" i="1"/>
  <c r="A10480" i="1"/>
  <c r="B10480" i="1"/>
  <c r="G10480" i="1"/>
  <c r="K10480" i="1"/>
  <c r="A10481" i="1"/>
  <c r="B10481" i="1"/>
  <c r="G10481" i="1"/>
  <c r="K10481" i="1"/>
  <c r="A10482" i="1"/>
  <c r="B10482" i="1"/>
  <c r="G10482" i="1"/>
  <c r="K10482" i="1"/>
  <c r="A10483" i="1"/>
  <c r="B10483" i="1"/>
  <c r="G10483" i="1"/>
  <c r="K10483" i="1"/>
  <c r="A10484" i="1"/>
  <c r="B10484" i="1"/>
  <c r="G10484" i="1"/>
  <c r="K10484" i="1"/>
  <c r="A10485" i="1"/>
  <c r="B10485" i="1"/>
  <c r="G10485" i="1"/>
  <c r="K10485" i="1"/>
  <c r="A10486" i="1"/>
  <c r="B10486" i="1"/>
  <c r="G10486" i="1"/>
  <c r="K10486" i="1"/>
  <c r="A10487" i="1"/>
  <c r="B10487" i="1"/>
  <c r="G10487" i="1"/>
  <c r="K10487" i="1"/>
  <c r="A10488" i="1"/>
  <c r="B10488" i="1"/>
  <c r="G10488" i="1"/>
  <c r="K10488" i="1"/>
  <c r="A10489" i="1"/>
  <c r="B10489" i="1"/>
  <c r="G10489" i="1"/>
  <c r="K10489" i="1"/>
  <c r="A10490" i="1"/>
  <c r="B10490" i="1"/>
  <c r="G10490" i="1"/>
  <c r="K10490" i="1"/>
  <c r="A10491" i="1"/>
  <c r="B10491" i="1"/>
  <c r="G10491" i="1"/>
  <c r="K10491" i="1"/>
  <c r="A10492" i="1"/>
  <c r="B10492" i="1"/>
  <c r="G10492" i="1"/>
  <c r="K10492" i="1"/>
  <c r="A10493" i="1"/>
  <c r="B10493" i="1"/>
  <c r="G10493" i="1"/>
  <c r="K10493" i="1"/>
  <c r="A10494" i="1"/>
  <c r="B10494" i="1"/>
  <c r="G10494" i="1"/>
  <c r="K10494" i="1"/>
  <c r="A10495" i="1"/>
  <c r="B10495" i="1"/>
  <c r="G10495" i="1"/>
  <c r="K10495" i="1"/>
  <c r="A10496" i="1"/>
  <c r="B10496" i="1"/>
  <c r="G10496" i="1"/>
  <c r="K10496" i="1"/>
  <c r="A10497" i="1"/>
  <c r="B10497" i="1"/>
  <c r="G10497" i="1"/>
  <c r="K10497" i="1"/>
  <c r="A10498" i="1"/>
  <c r="B10498" i="1"/>
  <c r="G10498" i="1"/>
  <c r="K10498" i="1"/>
  <c r="A10499" i="1"/>
  <c r="B10499" i="1"/>
  <c r="G10499" i="1"/>
  <c r="K10499" i="1"/>
  <c r="A10500" i="1"/>
  <c r="B10500" i="1"/>
  <c r="G10500" i="1"/>
  <c r="K10500" i="1"/>
  <c r="A10501" i="1"/>
  <c r="B10501" i="1"/>
  <c r="G10501" i="1"/>
  <c r="K10501" i="1"/>
  <c r="A10502" i="1"/>
  <c r="B10502" i="1"/>
  <c r="G10502" i="1"/>
  <c r="K10502" i="1"/>
  <c r="A10503" i="1"/>
  <c r="B10503" i="1"/>
  <c r="G10503" i="1"/>
  <c r="K10503" i="1"/>
  <c r="A10504" i="1"/>
  <c r="B10504" i="1"/>
  <c r="G10504" i="1"/>
  <c r="K10504" i="1"/>
  <c r="A10505" i="1"/>
  <c r="B10505" i="1"/>
  <c r="G10505" i="1"/>
  <c r="K10505" i="1"/>
  <c r="A10506" i="1"/>
  <c r="B10506" i="1"/>
  <c r="G10506" i="1"/>
  <c r="K10506" i="1"/>
  <c r="A10507" i="1"/>
  <c r="B10507" i="1"/>
  <c r="G10507" i="1"/>
  <c r="K10507" i="1"/>
  <c r="A10508" i="1"/>
  <c r="B10508" i="1"/>
  <c r="G10508" i="1"/>
  <c r="K10508" i="1"/>
  <c r="A10509" i="1"/>
  <c r="B10509" i="1"/>
  <c r="G10509" i="1"/>
  <c r="K10509" i="1"/>
  <c r="A10510" i="1"/>
  <c r="B10510" i="1"/>
  <c r="G10510" i="1"/>
  <c r="K10510" i="1"/>
  <c r="A10511" i="1"/>
  <c r="B10511" i="1"/>
  <c r="G10511" i="1"/>
  <c r="K10511" i="1"/>
  <c r="A10512" i="1"/>
  <c r="B10512" i="1"/>
  <c r="G10512" i="1"/>
  <c r="K10512" i="1"/>
  <c r="A10513" i="1"/>
  <c r="B10513" i="1"/>
  <c r="G10513" i="1"/>
  <c r="K10513" i="1"/>
  <c r="A10514" i="1"/>
  <c r="B10514" i="1"/>
  <c r="G10514" i="1"/>
  <c r="K10514" i="1"/>
  <c r="A10515" i="1"/>
  <c r="B10515" i="1"/>
  <c r="G10515" i="1"/>
  <c r="K10515" i="1"/>
  <c r="A10516" i="1"/>
  <c r="B10516" i="1"/>
  <c r="G10516" i="1"/>
  <c r="K10516" i="1"/>
  <c r="A10517" i="1"/>
  <c r="B10517" i="1"/>
  <c r="G10517" i="1"/>
  <c r="K10517" i="1"/>
  <c r="A10518" i="1"/>
  <c r="B10518" i="1"/>
  <c r="G10518" i="1"/>
  <c r="K10518" i="1"/>
  <c r="A10519" i="1"/>
  <c r="B10519" i="1"/>
  <c r="G10519" i="1"/>
  <c r="K10519" i="1"/>
  <c r="A10520" i="1"/>
  <c r="B10520" i="1"/>
  <c r="G10520" i="1"/>
  <c r="K10520" i="1"/>
  <c r="A10521" i="1"/>
  <c r="B10521" i="1"/>
  <c r="G10521" i="1"/>
  <c r="K10521" i="1"/>
  <c r="A10522" i="1"/>
  <c r="B10522" i="1"/>
  <c r="G10522" i="1"/>
  <c r="K10522" i="1"/>
  <c r="A10523" i="1"/>
  <c r="B10523" i="1"/>
  <c r="G10523" i="1"/>
  <c r="K10523" i="1"/>
  <c r="A10524" i="1"/>
  <c r="B10524" i="1"/>
  <c r="G10524" i="1"/>
  <c r="K10524" i="1"/>
  <c r="A10525" i="1"/>
  <c r="B10525" i="1"/>
  <c r="G10525" i="1"/>
  <c r="K10525" i="1"/>
  <c r="A10526" i="1"/>
  <c r="B10526" i="1"/>
  <c r="G10526" i="1"/>
  <c r="K10526" i="1"/>
  <c r="A10527" i="1"/>
  <c r="B10527" i="1"/>
  <c r="G10527" i="1"/>
  <c r="K10527" i="1"/>
  <c r="A10528" i="1"/>
  <c r="B10528" i="1"/>
  <c r="G10528" i="1"/>
  <c r="K10528" i="1"/>
  <c r="A10529" i="1"/>
  <c r="B10529" i="1"/>
  <c r="G10529" i="1"/>
  <c r="K10529" i="1"/>
  <c r="A10530" i="1"/>
  <c r="B10530" i="1"/>
  <c r="G10530" i="1"/>
  <c r="K10530" i="1"/>
  <c r="A10531" i="1"/>
  <c r="B10531" i="1"/>
  <c r="G10531" i="1"/>
  <c r="K10531" i="1"/>
  <c r="A10532" i="1"/>
  <c r="B10532" i="1"/>
  <c r="G10532" i="1"/>
  <c r="K10532" i="1"/>
  <c r="A10533" i="1"/>
  <c r="B10533" i="1"/>
  <c r="G10533" i="1"/>
  <c r="K10533" i="1"/>
  <c r="A10534" i="1"/>
  <c r="B10534" i="1"/>
  <c r="G10534" i="1"/>
  <c r="K10534" i="1"/>
  <c r="A10535" i="1"/>
  <c r="B10535" i="1"/>
  <c r="G10535" i="1"/>
  <c r="K10535" i="1"/>
  <c r="A10536" i="1"/>
  <c r="B10536" i="1"/>
  <c r="G10536" i="1"/>
  <c r="K10536" i="1"/>
  <c r="A10537" i="1"/>
  <c r="B10537" i="1"/>
  <c r="G10537" i="1"/>
  <c r="K10537" i="1"/>
  <c r="A10538" i="1"/>
  <c r="B10538" i="1"/>
  <c r="G10538" i="1"/>
  <c r="K10538" i="1"/>
  <c r="A10539" i="1"/>
  <c r="B10539" i="1"/>
  <c r="G10539" i="1"/>
  <c r="K10539" i="1"/>
  <c r="A10540" i="1"/>
  <c r="B10540" i="1"/>
  <c r="G10540" i="1"/>
  <c r="K10540" i="1"/>
  <c r="A10541" i="1"/>
  <c r="B10541" i="1"/>
  <c r="G10541" i="1"/>
  <c r="K10541" i="1"/>
  <c r="A10542" i="1"/>
  <c r="B10542" i="1"/>
  <c r="G10542" i="1"/>
  <c r="K10542" i="1"/>
  <c r="A10543" i="1"/>
  <c r="B10543" i="1"/>
  <c r="G10543" i="1"/>
  <c r="K10543" i="1"/>
  <c r="A10544" i="1"/>
  <c r="B10544" i="1"/>
  <c r="G10544" i="1"/>
  <c r="K10544" i="1"/>
  <c r="A10545" i="1"/>
  <c r="B10545" i="1"/>
  <c r="G10545" i="1"/>
  <c r="K10545" i="1"/>
  <c r="A10546" i="1"/>
  <c r="B10546" i="1"/>
  <c r="G10546" i="1"/>
  <c r="K10546" i="1"/>
  <c r="A10547" i="1"/>
  <c r="B10547" i="1"/>
  <c r="G10547" i="1"/>
  <c r="K10547" i="1"/>
  <c r="A10548" i="1"/>
  <c r="B10548" i="1"/>
  <c r="G10548" i="1"/>
  <c r="K10548" i="1"/>
  <c r="A10549" i="1"/>
  <c r="B10549" i="1"/>
  <c r="G10549" i="1"/>
  <c r="K10549" i="1"/>
  <c r="A10550" i="1"/>
  <c r="B10550" i="1"/>
  <c r="G10550" i="1"/>
  <c r="K10550" i="1"/>
  <c r="A10551" i="1"/>
  <c r="B10551" i="1"/>
  <c r="G10551" i="1"/>
  <c r="K10551" i="1"/>
  <c r="A10552" i="1"/>
  <c r="B10552" i="1"/>
  <c r="G10552" i="1"/>
  <c r="K10552" i="1"/>
  <c r="A10553" i="1"/>
  <c r="B10553" i="1"/>
  <c r="G10553" i="1"/>
  <c r="K10553" i="1"/>
  <c r="A10554" i="1"/>
  <c r="B10554" i="1"/>
  <c r="G10554" i="1"/>
  <c r="K10554" i="1"/>
  <c r="A10555" i="1"/>
  <c r="B10555" i="1"/>
  <c r="G10555" i="1"/>
  <c r="K10555" i="1"/>
  <c r="A10556" i="1"/>
  <c r="B10556" i="1"/>
  <c r="G10556" i="1"/>
  <c r="K10556" i="1"/>
  <c r="A10557" i="1"/>
  <c r="B10557" i="1"/>
  <c r="G10557" i="1"/>
  <c r="K10557" i="1"/>
  <c r="A10558" i="1"/>
  <c r="B10558" i="1"/>
  <c r="G10558" i="1"/>
  <c r="K10558" i="1"/>
  <c r="A10559" i="1"/>
  <c r="B10559" i="1"/>
  <c r="G10559" i="1"/>
  <c r="K10559" i="1"/>
  <c r="A10560" i="1"/>
  <c r="B10560" i="1"/>
  <c r="G10560" i="1"/>
  <c r="K10560" i="1"/>
  <c r="A10561" i="1"/>
  <c r="B10561" i="1"/>
  <c r="G10561" i="1"/>
  <c r="K10561" i="1"/>
  <c r="A10562" i="1"/>
  <c r="B10562" i="1"/>
  <c r="G10562" i="1"/>
  <c r="K10562" i="1"/>
  <c r="A10563" i="1"/>
  <c r="B10563" i="1"/>
  <c r="G10563" i="1"/>
  <c r="K10563" i="1"/>
  <c r="A10564" i="1"/>
  <c r="B10564" i="1"/>
  <c r="G10564" i="1"/>
  <c r="K10564" i="1"/>
  <c r="A10565" i="1"/>
  <c r="B10565" i="1"/>
  <c r="G10565" i="1"/>
  <c r="K10565" i="1"/>
  <c r="A10566" i="1"/>
  <c r="B10566" i="1"/>
  <c r="G10566" i="1"/>
  <c r="K10566" i="1"/>
  <c r="A10567" i="1"/>
  <c r="B10567" i="1"/>
  <c r="G10567" i="1"/>
  <c r="K10567" i="1"/>
  <c r="A10568" i="1"/>
  <c r="B10568" i="1"/>
  <c r="G10568" i="1"/>
  <c r="K10568" i="1"/>
  <c r="A10569" i="1"/>
  <c r="B10569" i="1"/>
  <c r="G10569" i="1"/>
  <c r="K10569" i="1"/>
  <c r="A10570" i="1"/>
  <c r="B10570" i="1"/>
  <c r="G10570" i="1"/>
  <c r="K10570" i="1"/>
  <c r="A10571" i="1"/>
  <c r="B10571" i="1"/>
  <c r="G10571" i="1"/>
  <c r="K10571" i="1"/>
  <c r="A10572" i="1"/>
  <c r="B10572" i="1"/>
  <c r="G10572" i="1"/>
  <c r="K10572" i="1"/>
  <c r="A10573" i="1"/>
  <c r="B10573" i="1"/>
  <c r="G10573" i="1"/>
  <c r="K10573" i="1"/>
  <c r="A10574" i="1"/>
  <c r="B10574" i="1"/>
  <c r="G10574" i="1"/>
  <c r="K10574" i="1"/>
  <c r="A10575" i="1"/>
  <c r="B10575" i="1"/>
  <c r="G10575" i="1"/>
  <c r="K10575" i="1"/>
  <c r="A10576" i="1"/>
  <c r="B10576" i="1"/>
  <c r="G10576" i="1"/>
  <c r="K10576" i="1"/>
  <c r="A10577" i="1"/>
  <c r="B10577" i="1"/>
  <c r="G10577" i="1"/>
  <c r="K10577" i="1"/>
  <c r="A10578" i="1"/>
  <c r="B10578" i="1"/>
  <c r="G10578" i="1"/>
  <c r="K10578" i="1"/>
  <c r="A10579" i="1"/>
  <c r="B10579" i="1"/>
  <c r="G10579" i="1"/>
  <c r="K10579" i="1"/>
  <c r="A10580" i="1"/>
  <c r="B10580" i="1"/>
  <c r="G10580" i="1"/>
  <c r="K10580" i="1"/>
  <c r="A10581" i="1"/>
  <c r="B10581" i="1"/>
  <c r="G10581" i="1"/>
  <c r="K10581" i="1"/>
  <c r="A10582" i="1"/>
  <c r="B10582" i="1"/>
  <c r="G10582" i="1"/>
  <c r="K10582" i="1"/>
  <c r="A10583" i="1"/>
  <c r="B10583" i="1"/>
  <c r="G10583" i="1"/>
  <c r="K10583" i="1"/>
  <c r="A10584" i="1"/>
  <c r="B10584" i="1"/>
  <c r="G10584" i="1"/>
  <c r="K10584" i="1"/>
  <c r="A10585" i="1"/>
  <c r="B10585" i="1"/>
  <c r="G10585" i="1"/>
  <c r="K10585" i="1"/>
  <c r="A10586" i="1"/>
  <c r="B10586" i="1"/>
  <c r="G10586" i="1"/>
  <c r="K10586" i="1"/>
  <c r="A10587" i="1"/>
  <c r="B10587" i="1"/>
  <c r="G10587" i="1"/>
  <c r="K10587" i="1"/>
  <c r="A10588" i="1"/>
  <c r="B10588" i="1"/>
  <c r="G10588" i="1"/>
  <c r="K10588" i="1"/>
  <c r="A10589" i="1"/>
  <c r="B10589" i="1"/>
  <c r="G10589" i="1"/>
  <c r="K10589" i="1"/>
  <c r="A10590" i="1"/>
  <c r="B10590" i="1"/>
  <c r="G10590" i="1"/>
  <c r="K10590" i="1"/>
  <c r="A10591" i="1"/>
  <c r="B10591" i="1"/>
  <c r="G10591" i="1"/>
  <c r="K10591" i="1"/>
  <c r="A10592" i="1"/>
  <c r="B10592" i="1"/>
  <c r="G10592" i="1"/>
  <c r="K10592" i="1"/>
  <c r="A10593" i="1"/>
  <c r="B10593" i="1"/>
  <c r="G10593" i="1"/>
  <c r="K10593" i="1"/>
  <c r="A10594" i="1"/>
  <c r="B10594" i="1"/>
  <c r="G10594" i="1"/>
  <c r="K10594" i="1"/>
  <c r="A10595" i="1"/>
  <c r="B10595" i="1"/>
  <c r="G10595" i="1"/>
  <c r="K10595" i="1"/>
  <c r="A10596" i="1"/>
  <c r="B10596" i="1"/>
  <c r="G10596" i="1"/>
  <c r="K10596" i="1"/>
  <c r="A10597" i="1"/>
  <c r="B10597" i="1"/>
  <c r="G10597" i="1"/>
  <c r="K10597" i="1"/>
  <c r="A10598" i="1"/>
  <c r="B10598" i="1"/>
  <c r="G10598" i="1"/>
  <c r="K10598" i="1"/>
  <c r="A10599" i="1"/>
  <c r="B10599" i="1"/>
  <c r="G10599" i="1"/>
  <c r="K10599" i="1"/>
  <c r="A10600" i="1"/>
  <c r="B10600" i="1"/>
  <c r="G10600" i="1"/>
  <c r="K10600" i="1"/>
  <c r="A10601" i="1"/>
  <c r="B10601" i="1"/>
  <c r="G10601" i="1"/>
  <c r="K10601" i="1"/>
  <c r="A10602" i="1"/>
  <c r="B10602" i="1"/>
  <c r="G10602" i="1"/>
  <c r="K10602" i="1"/>
  <c r="A10603" i="1"/>
  <c r="B10603" i="1"/>
  <c r="G10603" i="1"/>
  <c r="K10603" i="1"/>
  <c r="A10604" i="1"/>
  <c r="B10604" i="1"/>
  <c r="G10604" i="1"/>
  <c r="K10604" i="1"/>
  <c r="A10605" i="1"/>
  <c r="B10605" i="1"/>
  <c r="G10605" i="1"/>
  <c r="K10605" i="1"/>
  <c r="A10606" i="1"/>
  <c r="B10606" i="1"/>
  <c r="G10606" i="1"/>
  <c r="K10606" i="1"/>
  <c r="A10607" i="1"/>
  <c r="B10607" i="1"/>
  <c r="G10607" i="1"/>
  <c r="K10607" i="1"/>
  <c r="A10608" i="1"/>
  <c r="B10608" i="1"/>
  <c r="G10608" i="1"/>
  <c r="K10608" i="1"/>
  <c r="A10609" i="1"/>
  <c r="B10609" i="1"/>
  <c r="G10609" i="1"/>
  <c r="K10609" i="1"/>
  <c r="A10610" i="1"/>
  <c r="B10610" i="1"/>
  <c r="G10610" i="1"/>
  <c r="K10610" i="1"/>
  <c r="A10611" i="1"/>
  <c r="B10611" i="1"/>
  <c r="G10611" i="1"/>
  <c r="K10611" i="1"/>
  <c r="A10612" i="1"/>
  <c r="B10612" i="1"/>
  <c r="G10612" i="1"/>
  <c r="K10612" i="1"/>
  <c r="A10613" i="1"/>
  <c r="B10613" i="1"/>
  <c r="G10613" i="1"/>
  <c r="K10613" i="1"/>
  <c r="A10614" i="1"/>
  <c r="B10614" i="1"/>
  <c r="G10614" i="1"/>
  <c r="K10614" i="1"/>
  <c r="A10615" i="1"/>
  <c r="B10615" i="1"/>
  <c r="G10615" i="1"/>
  <c r="K10615" i="1"/>
  <c r="A10616" i="1"/>
  <c r="B10616" i="1"/>
  <c r="G10616" i="1"/>
  <c r="K10616" i="1"/>
  <c r="A10617" i="1"/>
  <c r="B10617" i="1"/>
  <c r="G10617" i="1"/>
  <c r="K10617" i="1"/>
  <c r="A10618" i="1"/>
  <c r="B10618" i="1"/>
  <c r="G10618" i="1"/>
  <c r="K10618" i="1"/>
  <c r="A10619" i="1"/>
  <c r="B10619" i="1"/>
  <c r="G10619" i="1"/>
  <c r="K10619" i="1"/>
  <c r="A10620" i="1"/>
  <c r="B10620" i="1"/>
  <c r="G10620" i="1"/>
  <c r="K10620" i="1"/>
  <c r="A10621" i="1"/>
  <c r="B10621" i="1"/>
  <c r="G10621" i="1"/>
  <c r="K10621" i="1"/>
  <c r="A10622" i="1"/>
  <c r="B10622" i="1"/>
  <c r="G10622" i="1"/>
  <c r="K10622" i="1"/>
  <c r="A10623" i="1"/>
  <c r="B10623" i="1"/>
  <c r="G10623" i="1"/>
  <c r="K10623" i="1"/>
  <c r="A10624" i="1"/>
  <c r="B10624" i="1"/>
  <c r="G10624" i="1"/>
  <c r="K10624" i="1"/>
  <c r="A10625" i="1"/>
  <c r="B10625" i="1"/>
  <c r="G10625" i="1"/>
  <c r="K10625" i="1"/>
  <c r="A10626" i="1"/>
  <c r="B10626" i="1"/>
  <c r="G10626" i="1"/>
  <c r="K10626" i="1"/>
  <c r="A10627" i="1"/>
  <c r="B10627" i="1"/>
  <c r="G10627" i="1"/>
  <c r="K10627" i="1"/>
  <c r="A10628" i="1"/>
  <c r="B10628" i="1"/>
  <c r="G10628" i="1"/>
  <c r="K10628" i="1"/>
  <c r="A10629" i="1"/>
  <c r="B10629" i="1"/>
  <c r="G10629" i="1"/>
  <c r="K10629" i="1"/>
  <c r="A10630" i="1"/>
  <c r="B10630" i="1"/>
  <c r="G10630" i="1"/>
  <c r="K10630" i="1"/>
  <c r="A10631" i="1"/>
  <c r="B10631" i="1"/>
  <c r="G10631" i="1"/>
  <c r="K10631" i="1"/>
  <c r="A10632" i="1"/>
  <c r="B10632" i="1"/>
  <c r="G10632" i="1"/>
  <c r="K10632" i="1"/>
  <c r="A10633" i="1"/>
  <c r="B10633" i="1"/>
  <c r="G10633" i="1"/>
  <c r="K10633" i="1"/>
  <c r="A10634" i="1"/>
  <c r="B10634" i="1"/>
  <c r="G10634" i="1"/>
  <c r="K10634" i="1"/>
  <c r="A10635" i="1"/>
  <c r="B10635" i="1"/>
  <c r="G10635" i="1"/>
  <c r="K10635" i="1"/>
  <c r="A10636" i="1"/>
  <c r="B10636" i="1"/>
  <c r="G10636" i="1"/>
  <c r="K10636" i="1"/>
  <c r="A10637" i="1"/>
  <c r="B10637" i="1"/>
  <c r="G10637" i="1"/>
  <c r="K10637" i="1"/>
  <c r="A10638" i="1"/>
  <c r="B10638" i="1"/>
  <c r="G10638" i="1"/>
  <c r="K10638" i="1"/>
  <c r="A10639" i="1"/>
  <c r="B10639" i="1"/>
  <c r="G10639" i="1"/>
  <c r="K10639" i="1"/>
  <c r="A10640" i="1"/>
  <c r="B10640" i="1"/>
  <c r="G10640" i="1"/>
  <c r="K10640" i="1"/>
  <c r="A10641" i="1"/>
  <c r="B10641" i="1"/>
  <c r="G10641" i="1"/>
  <c r="K10641" i="1"/>
  <c r="A10642" i="1"/>
  <c r="B10642" i="1"/>
  <c r="G10642" i="1"/>
  <c r="K10642" i="1"/>
  <c r="A10643" i="1"/>
  <c r="B10643" i="1"/>
  <c r="G10643" i="1"/>
  <c r="K10643" i="1"/>
  <c r="A10644" i="1"/>
  <c r="B10644" i="1"/>
  <c r="G10644" i="1"/>
  <c r="K10644" i="1"/>
  <c r="A10645" i="1"/>
  <c r="B10645" i="1"/>
  <c r="G10645" i="1"/>
  <c r="K10645" i="1"/>
  <c r="A10646" i="1"/>
  <c r="B10646" i="1"/>
  <c r="G10646" i="1"/>
  <c r="K10646" i="1"/>
  <c r="A10647" i="1"/>
  <c r="B10647" i="1"/>
  <c r="G10647" i="1"/>
  <c r="K10647" i="1"/>
  <c r="A10648" i="1"/>
  <c r="B10648" i="1"/>
  <c r="G10648" i="1"/>
  <c r="K10648" i="1"/>
  <c r="A10649" i="1"/>
  <c r="B10649" i="1"/>
  <c r="G10649" i="1"/>
  <c r="K10649" i="1"/>
  <c r="A10650" i="1"/>
  <c r="B10650" i="1"/>
  <c r="G10650" i="1"/>
  <c r="K10650" i="1"/>
  <c r="A10651" i="1"/>
  <c r="B10651" i="1"/>
  <c r="G10651" i="1"/>
  <c r="K10651" i="1"/>
  <c r="A10652" i="1"/>
  <c r="B10652" i="1"/>
  <c r="G10652" i="1"/>
  <c r="K10652" i="1"/>
  <c r="A10653" i="1"/>
  <c r="B10653" i="1"/>
  <c r="G10653" i="1"/>
  <c r="K10653" i="1"/>
  <c r="A10654" i="1"/>
  <c r="B10654" i="1"/>
  <c r="G10654" i="1"/>
  <c r="K10654" i="1"/>
  <c r="A10655" i="1"/>
  <c r="B10655" i="1"/>
  <c r="G10655" i="1"/>
  <c r="K10655" i="1"/>
  <c r="A10656" i="1"/>
  <c r="B10656" i="1"/>
  <c r="G10656" i="1"/>
  <c r="K10656" i="1"/>
  <c r="A10657" i="1"/>
  <c r="B10657" i="1"/>
  <c r="G10657" i="1"/>
  <c r="K10657" i="1"/>
  <c r="A10658" i="1"/>
  <c r="B10658" i="1"/>
  <c r="G10658" i="1"/>
  <c r="K10658" i="1"/>
  <c r="A10659" i="1"/>
  <c r="B10659" i="1"/>
  <c r="G10659" i="1"/>
  <c r="K10659" i="1"/>
  <c r="A10660" i="1"/>
  <c r="B10660" i="1"/>
  <c r="G10660" i="1"/>
  <c r="K10660" i="1"/>
  <c r="A10661" i="1"/>
  <c r="B10661" i="1"/>
  <c r="G10661" i="1"/>
  <c r="K10661" i="1"/>
  <c r="A10662" i="1"/>
  <c r="B10662" i="1"/>
  <c r="G10662" i="1"/>
  <c r="K10662" i="1"/>
  <c r="A10663" i="1"/>
  <c r="B10663" i="1"/>
  <c r="G10663" i="1"/>
  <c r="K10663" i="1"/>
  <c r="A10664" i="1"/>
  <c r="B10664" i="1"/>
  <c r="G10664" i="1"/>
  <c r="K10664" i="1"/>
  <c r="A10665" i="1"/>
  <c r="B10665" i="1"/>
  <c r="G10665" i="1"/>
  <c r="K10665" i="1"/>
  <c r="A10666" i="1"/>
  <c r="B10666" i="1"/>
  <c r="G10666" i="1"/>
  <c r="K10666" i="1"/>
  <c r="A10667" i="1"/>
  <c r="B10667" i="1"/>
  <c r="G10667" i="1"/>
  <c r="K10667" i="1"/>
  <c r="A10668" i="1"/>
  <c r="B10668" i="1"/>
  <c r="G10668" i="1"/>
  <c r="K10668" i="1"/>
  <c r="A10669" i="1"/>
  <c r="B10669" i="1"/>
  <c r="G10669" i="1"/>
  <c r="K10669" i="1"/>
  <c r="A10670" i="1"/>
  <c r="B10670" i="1"/>
  <c r="G10670" i="1"/>
  <c r="K10670" i="1"/>
  <c r="A10671" i="1"/>
  <c r="B10671" i="1"/>
  <c r="G10671" i="1"/>
  <c r="K10671" i="1"/>
  <c r="A10672" i="1"/>
  <c r="B10672" i="1"/>
  <c r="G10672" i="1"/>
  <c r="K10672" i="1"/>
  <c r="A10673" i="1"/>
  <c r="B10673" i="1"/>
  <c r="G10673" i="1"/>
  <c r="K10673" i="1"/>
  <c r="A10674" i="1"/>
  <c r="B10674" i="1"/>
  <c r="G10674" i="1"/>
  <c r="K10674" i="1"/>
  <c r="A10675" i="1"/>
  <c r="B10675" i="1"/>
  <c r="G10675" i="1"/>
  <c r="K10675" i="1"/>
  <c r="A10676" i="1"/>
  <c r="B10676" i="1"/>
  <c r="G10676" i="1"/>
  <c r="K10676" i="1"/>
  <c r="A10677" i="1"/>
  <c r="B10677" i="1"/>
  <c r="G10677" i="1"/>
  <c r="K10677" i="1"/>
  <c r="A10678" i="1"/>
  <c r="B10678" i="1"/>
  <c r="G10678" i="1"/>
  <c r="K10678" i="1"/>
  <c r="A10679" i="1"/>
  <c r="B10679" i="1"/>
  <c r="G10679" i="1"/>
  <c r="K10679" i="1"/>
  <c r="A10680" i="1"/>
  <c r="B10680" i="1"/>
  <c r="G10680" i="1"/>
  <c r="K10680" i="1"/>
  <c r="A10681" i="1"/>
  <c r="B10681" i="1"/>
  <c r="G10681" i="1"/>
  <c r="K10681" i="1"/>
  <c r="A10682" i="1"/>
  <c r="B10682" i="1"/>
  <c r="G10682" i="1"/>
  <c r="K10682" i="1"/>
  <c r="A10683" i="1"/>
  <c r="B10683" i="1"/>
  <c r="G10683" i="1"/>
  <c r="K10683" i="1"/>
  <c r="A10684" i="1"/>
  <c r="B10684" i="1"/>
  <c r="G10684" i="1"/>
  <c r="K10684" i="1"/>
  <c r="A10685" i="1"/>
  <c r="B10685" i="1"/>
  <c r="G10685" i="1"/>
  <c r="K10685" i="1"/>
  <c r="A10686" i="1"/>
  <c r="B10686" i="1"/>
  <c r="G10686" i="1"/>
  <c r="K10686" i="1"/>
  <c r="A10687" i="1"/>
  <c r="B10687" i="1"/>
  <c r="G10687" i="1"/>
  <c r="K10687" i="1"/>
  <c r="A10688" i="1"/>
  <c r="B10688" i="1"/>
  <c r="G10688" i="1"/>
  <c r="K10688" i="1"/>
  <c r="A10689" i="1"/>
  <c r="B10689" i="1"/>
  <c r="G10689" i="1"/>
  <c r="K10689" i="1"/>
  <c r="A10690" i="1"/>
  <c r="B10690" i="1"/>
  <c r="G10690" i="1"/>
  <c r="K10690" i="1"/>
  <c r="A10691" i="1"/>
  <c r="B10691" i="1"/>
  <c r="G10691" i="1"/>
  <c r="K10691" i="1"/>
  <c r="A10692" i="1"/>
  <c r="B10692" i="1"/>
  <c r="G10692" i="1"/>
  <c r="K10692" i="1"/>
  <c r="A10693" i="1"/>
  <c r="B10693" i="1"/>
  <c r="G10693" i="1"/>
  <c r="K10693" i="1"/>
  <c r="A10694" i="1"/>
  <c r="B10694" i="1"/>
  <c r="G10694" i="1"/>
  <c r="K10694" i="1"/>
  <c r="A10695" i="1"/>
  <c r="B10695" i="1"/>
  <c r="G10695" i="1"/>
  <c r="K10695" i="1"/>
  <c r="A10696" i="1"/>
  <c r="B10696" i="1"/>
  <c r="G10696" i="1"/>
  <c r="K10696" i="1"/>
  <c r="A10697" i="1"/>
  <c r="B10697" i="1"/>
  <c r="G10697" i="1"/>
  <c r="K10697" i="1"/>
  <c r="A10698" i="1"/>
  <c r="B10698" i="1"/>
  <c r="G10698" i="1"/>
  <c r="K10698" i="1"/>
  <c r="A10699" i="1"/>
  <c r="B10699" i="1"/>
  <c r="G10699" i="1"/>
  <c r="K10699" i="1"/>
  <c r="A10700" i="1"/>
  <c r="B10700" i="1"/>
  <c r="G10700" i="1"/>
  <c r="K10700" i="1"/>
  <c r="A10701" i="1"/>
  <c r="B10701" i="1"/>
  <c r="G10701" i="1"/>
  <c r="K10701" i="1"/>
  <c r="A10702" i="1"/>
  <c r="B10702" i="1"/>
  <c r="G10702" i="1"/>
  <c r="K10702" i="1"/>
  <c r="A10703" i="1"/>
  <c r="B10703" i="1"/>
  <c r="G10703" i="1"/>
  <c r="K10703" i="1"/>
  <c r="A10704" i="1"/>
  <c r="B10704" i="1"/>
  <c r="G10704" i="1"/>
  <c r="K10704" i="1"/>
  <c r="A10705" i="1"/>
  <c r="B10705" i="1"/>
  <c r="G10705" i="1"/>
  <c r="K10705" i="1"/>
  <c r="A10706" i="1"/>
  <c r="B10706" i="1"/>
  <c r="G10706" i="1"/>
  <c r="K10706" i="1"/>
  <c r="A10707" i="1"/>
  <c r="B10707" i="1"/>
  <c r="G10707" i="1"/>
  <c r="K10707" i="1"/>
  <c r="A10708" i="1"/>
  <c r="B10708" i="1"/>
  <c r="G10708" i="1"/>
  <c r="K10708" i="1"/>
  <c r="A10709" i="1"/>
  <c r="B10709" i="1"/>
  <c r="G10709" i="1"/>
  <c r="K10709" i="1"/>
  <c r="A10710" i="1"/>
  <c r="B10710" i="1"/>
  <c r="G10710" i="1"/>
  <c r="K10710" i="1"/>
  <c r="A10711" i="1"/>
  <c r="B10711" i="1"/>
  <c r="G10711" i="1"/>
  <c r="K10711" i="1"/>
  <c r="A10712" i="1"/>
  <c r="B10712" i="1"/>
  <c r="G10712" i="1"/>
  <c r="K10712" i="1"/>
  <c r="A10713" i="1"/>
  <c r="B10713" i="1"/>
  <c r="G10713" i="1"/>
  <c r="K10713" i="1"/>
  <c r="A10714" i="1"/>
  <c r="B10714" i="1"/>
  <c r="G10714" i="1"/>
  <c r="K10714" i="1"/>
  <c r="A10715" i="1"/>
  <c r="B10715" i="1"/>
  <c r="G10715" i="1"/>
  <c r="K10715" i="1"/>
  <c r="A10716" i="1"/>
  <c r="B10716" i="1"/>
  <c r="G10716" i="1"/>
  <c r="K10716" i="1"/>
  <c r="A10717" i="1"/>
  <c r="B10717" i="1"/>
  <c r="G10717" i="1"/>
  <c r="K10717" i="1"/>
  <c r="A10718" i="1"/>
  <c r="B10718" i="1"/>
  <c r="G10718" i="1"/>
  <c r="K10718" i="1"/>
  <c r="A10719" i="1"/>
  <c r="B10719" i="1"/>
  <c r="G10719" i="1"/>
  <c r="K10719" i="1"/>
  <c r="A10720" i="1"/>
  <c r="B10720" i="1"/>
  <c r="G10720" i="1"/>
  <c r="K10720" i="1"/>
  <c r="A10721" i="1"/>
  <c r="B10721" i="1"/>
  <c r="G10721" i="1"/>
  <c r="K10721" i="1"/>
  <c r="A10722" i="1"/>
  <c r="B10722" i="1"/>
  <c r="G10722" i="1"/>
  <c r="K10722" i="1"/>
  <c r="A10723" i="1"/>
  <c r="B10723" i="1"/>
  <c r="G10723" i="1"/>
  <c r="K10723" i="1"/>
  <c r="A10724" i="1"/>
  <c r="B10724" i="1"/>
  <c r="G10724" i="1"/>
  <c r="K10724" i="1"/>
  <c r="A10725" i="1"/>
  <c r="B10725" i="1"/>
  <c r="G10725" i="1"/>
  <c r="K10725" i="1"/>
  <c r="A10726" i="1"/>
  <c r="B10726" i="1"/>
  <c r="G10726" i="1"/>
  <c r="K10726" i="1"/>
  <c r="A10727" i="1"/>
  <c r="B10727" i="1"/>
  <c r="G10727" i="1"/>
  <c r="K10727" i="1"/>
  <c r="A10728" i="1"/>
  <c r="B10728" i="1"/>
  <c r="G10728" i="1"/>
  <c r="K10728" i="1"/>
  <c r="A10729" i="1"/>
  <c r="B10729" i="1"/>
  <c r="G10729" i="1"/>
  <c r="K10729" i="1"/>
  <c r="A10730" i="1"/>
  <c r="B10730" i="1"/>
  <c r="G10730" i="1"/>
  <c r="K10730" i="1"/>
  <c r="A10731" i="1"/>
  <c r="B10731" i="1"/>
  <c r="G10731" i="1"/>
  <c r="K10731" i="1"/>
  <c r="A10732" i="1"/>
  <c r="B10732" i="1"/>
  <c r="G10732" i="1"/>
  <c r="K10732" i="1"/>
  <c r="A10733" i="1"/>
  <c r="B10733" i="1"/>
  <c r="G10733" i="1"/>
  <c r="K10733" i="1"/>
  <c r="A10734" i="1"/>
  <c r="B10734" i="1"/>
  <c r="G10734" i="1"/>
  <c r="K10734" i="1"/>
  <c r="A10735" i="1"/>
  <c r="B10735" i="1"/>
  <c r="G10735" i="1"/>
  <c r="K10735" i="1"/>
  <c r="A10736" i="1"/>
  <c r="B10736" i="1"/>
  <c r="G10736" i="1"/>
  <c r="K10736" i="1"/>
  <c r="A10737" i="1"/>
  <c r="B10737" i="1"/>
  <c r="G10737" i="1"/>
  <c r="K10737" i="1"/>
  <c r="A10738" i="1"/>
  <c r="B10738" i="1"/>
  <c r="G10738" i="1"/>
  <c r="K10738" i="1"/>
  <c r="A10739" i="1"/>
  <c r="B10739" i="1"/>
  <c r="G10739" i="1"/>
  <c r="K10739" i="1"/>
  <c r="A10740" i="1"/>
  <c r="B10740" i="1"/>
  <c r="G10740" i="1"/>
  <c r="K10740" i="1"/>
  <c r="A10741" i="1"/>
  <c r="B10741" i="1"/>
  <c r="G10741" i="1"/>
  <c r="K10741" i="1"/>
  <c r="A10742" i="1"/>
  <c r="B10742" i="1"/>
  <c r="G10742" i="1"/>
  <c r="K10742" i="1"/>
  <c r="A10743" i="1"/>
  <c r="B10743" i="1"/>
  <c r="G10743" i="1"/>
  <c r="K10743" i="1"/>
  <c r="A10744" i="1"/>
  <c r="B10744" i="1"/>
  <c r="G10744" i="1"/>
  <c r="K10744" i="1"/>
  <c r="A10745" i="1"/>
  <c r="B10745" i="1"/>
  <c r="G10745" i="1"/>
  <c r="K10745" i="1"/>
  <c r="A10746" i="1"/>
  <c r="B10746" i="1"/>
  <c r="G10746" i="1"/>
  <c r="K10746" i="1"/>
  <c r="A10747" i="1"/>
  <c r="B10747" i="1"/>
  <c r="G10747" i="1"/>
  <c r="K10747" i="1"/>
  <c r="A10748" i="1"/>
  <c r="B10748" i="1"/>
  <c r="G10748" i="1"/>
  <c r="K10748" i="1"/>
  <c r="A10749" i="1"/>
  <c r="B10749" i="1"/>
  <c r="G10749" i="1"/>
  <c r="K10749" i="1"/>
  <c r="A10750" i="1"/>
  <c r="B10750" i="1"/>
  <c r="G10750" i="1"/>
  <c r="K10750" i="1"/>
  <c r="A10751" i="1"/>
  <c r="B10751" i="1"/>
  <c r="G10751" i="1"/>
  <c r="K10751" i="1"/>
  <c r="A10752" i="1"/>
  <c r="B10752" i="1"/>
  <c r="G10752" i="1"/>
  <c r="K10752" i="1"/>
  <c r="A10753" i="1"/>
  <c r="B10753" i="1"/>
  <c r="G10753" i="1"/>
  <c r="K10753" i="1"/>
  <c r="A10754" i="1"/>
  <c r="B10754" i="1"/>
  <c r="G10754" i="1"/>
  <c r="K10754" i="1"/>
  <c r="A10755" i="1"/>
  <c r="B10755" i="1"/>
  <c r="G10755" i="1"/>
  <c r="K10755" i="1"/>
  <c r="A10756" i="1"/>
  <c r="B10756" i="1"/>
  <c r="G10756" i="1"/>
  <c r="K10756" i="1"/>
  <c r="A10757" i="1"/>
  <c r="B10757" i="1"/>
  <c r="G10757" i="1"/>
  <c r="K10757" i="1"/>
  <c r="A10758" i="1"/>
  <c r="B10758" i="1"/>
  <c r="G10758" i="1"/>
  <c r="K10758" i="1"/>
  <c r="A10759" i="1"/>
  <c r="B10759" i="1"/>
  <c r="G10759" i="1"/>
  <c r="K10759" i="1"/>
  <c r="A10760" i="1"/>
  <c r="B10760" i="1"/>
  <c r="G10760" i="1"/>
  <c r="K10760" i="1"/>
  <c r="A10761" i="1"/>
  <c r="B10761" i="1"/>
  <c r="G10761" i="1"/>
  <c r="K10761" i="1"/>
  <c r="A10762" i="1"/>
  <c r="B10762" i="1"/>
  <c r="G10762" i="1"/>
  <c r="K10762" i="1"/>
  <c r="A10763" i="1"/>
  <c r="B10763" i="1"/>
  <c r="G10763" i="1"/>
  <c r="K10763" i="1"/>
  <c r="A10764" i="1"/>
  <c r="B10764" i="1"/>
  <c r="G10764" i="1"/>
  <c r="K10764" i="1"/>
  <c r="A10765" i="1"/>
  <c r="B10765" i="1"/>
  <c r="G10765" i="1"/>
  <c r="K10765" i="1"/>
  <c r="A10766" i="1"/>
  <c r="B10766" i="1"/>
  <c r="G10766" i="1"/>
  <c r="K10766" i="1"/>
  <c r="A10767" i="1"/>
  <c r="B10767" i="1"/>
  <c r="G10767" i="1"/>
  <c r="K10767" i="1"/>
  <c r="A10768" i="1"/>
  <c r="B10768" i="1"/>
  <c r="G10768" i="1"/>
  <c r="K10768" i="1"/>
  <c r="A10769" i="1"/>
  <c r="B10769" i="1"/>
  <c r="G10769" i="1"/>
  <c r="K10769" i="1"/>
  <c r="A10770" i="1"/>
  <c r="B10770" i="1"/>
  <c r="G10770" i="1"/>
  <c r="K10770" i="1"/>
  <c r="A10771" i="1"/>
  <c r="B10771" i="1"/>
  <c r="G10771" i="1"/>
  <c r="K10771" i="1"/>
  <c r="A10772" i="1"/>
  <c r="B10772" i="1"/>
  <c r="G10772" i="1"/>
  <c r="K10772" i="1"/>
  <c r="A10773" i="1"/>
  <c r="B10773" i="1"/>
  <c r="G10773" i="1"/>
  <c r="K10773" i="1"/>
  <c r="A10774" i="1"/>
  <c r="B10774" i="1"/>
  <c r="G10774" i="1"/>
  <c r="K10774" i="1"/>
  <c r="A10775" i="1"/>
  <c r="B10775" i="1"/>
  <c r="G10775" i="1"/>
  <c r="K10775" i="1"/>
  <c r="A10776" i="1"/>
  <c r="B10776" i="1"/>
  <c r="G10776" i="1"/>
  <c r="K10776" i="1"/>
  <c r="A10777" i="1"/>
  <c r="B10777" i="1"/>
  <c r="G10777" i="1"/>
  <c r="K10777" i="1"/>
  <c r="A10778" i="1"/>
  <c r="B10778" i="1"/>
  <c r="G10778" i="1"/>
  <c r="K10778" i="1"/>
  <c r="A10779" i="1"/>
  <c r="B10779" i="1"/>
  <c r="G10779" i="1"/>
  <c r="K10779" i="1"/>
  <c r="A10780" i="1"/>
  <c r="B10780" i="1"/>
  <c r="G10780" i="1"/>
  <c r="K10780" i="1"/>
  <c r="A10781" i="1"/>
  <c r="B10781" i="1"/>
  <c r="G10781" i="1"/>
  <c r="K10781" i="1"/>
  <c r="A10782" i="1"/>
  <c r="B10782" i="1"/>
  <c r="G10782" i="1"/>
  <c r="K10782" i="1"/>
  <c r="A10783" i="1"/>
  <c r="B10783" i="1"/>
  <c r="G10783" i="1"/>
  <c r="K10783" i="1"/>
  <c r="A10784" i="1"/>
  <c r="B10784" i="1"/>
  <c r="G10784" i="1"/>
  <c r="K10784" i="1"/>
  <c r="A10785" i="1"/>
  <c r="B10785" i="1"/>
  <c r="G10785" i="1"/>
  <c r="K10785" i="1"/>
  <c r="A10786" i="1"/>
  <c r="B10786" i="1"/>
  <c r="G10786" i="1"/>
  <c r="K10786" i="1"/>
  <c r="A10787" i="1"/>
  <c r="B10787" i="1"/>
  <c r="G10787" i="1"/>
  <c r="K10787" i="1"/>
  <c r="A10788" i="1"/>
  <c r="B10788" i="1"/>
  <c r="G10788" i="1"/>
  <c r="K10788" i="1"/>
  <c r="A10789" i="1"/>
  <c r="B10789" i="1"/>
  <c r="G10789" i="1"/>
  <c r="K10789" i="1"/>
  <c r="A10790" i="1"/>
  <c r="B10790" i="1"/>
  <c r="G10790" i="1"/>
  <c r="K10790" i="1"/>
  <c r="A10791" i="1"/>
  <c r="B10791" i="1"/>
  <c r="G10791" i="1"/>
  <c r="K10791" i="1"/>
  <c r="A10792" i="1"/>
  <c r="B10792" i="1"/>
  <c r="G10792" i="1"/>
  <c r="K10792" i="1"/>
  <c r="A10793" i="1"/>
  <c r="B10793" i="1"/>
  <c r="G10793" i="1"/>
  <c r="K10793" i="1"/>
  <c r="A10794" i="1"/>
  <c r="B10794" i="1"/>
  <c r="G10794" i="1"/>
  <c r="K10794" i="1"/>
  <c r="A10795" i="1"/>
  <c r="B10795" i="1"/>
  <c r="G10795" i="1"/>
  <c r="K10795" i="1"/>
  <c r="A10796" i="1"/>
  <c r="B10796" i="1"/>
  <c r="G10796" i="1"/>
  <c r="K10796" i="1"/>
  <c r="A10797" i="1"/>
  <c r="B10797" i="1"/>
  <c r="G10797" i="1"/>
  <c r="K10797" i="1"/>
  <c r="A10798" i="1"/>
  <c r="B10798" i="1"/>
  <c r="G10798" i="1"/>
  <c r="K10798" i="1"/>
  <c r="A10799" i="1"/>
  <c r="B10799" i="1"/>
  <c r="G10799" i="1"/>
  <c r="K10799" i="1"/>
  <c r="A10800" i="1"/>
  <c r="B10800" i="1"/>
  <c r="G10800" i="1"/>
  <c r="K10800" i="1"/>
  <c r="A10801" i="1"/>
  <c r="B10801" i="1"/>
  <c r="G10801" i="1"/>
  <c r="K10801" i="1"/>
  <c r="A10802" i="1"/>
  <c r="B10802" i="1"/>
  <c r="G10802" i="1"/>
  <c r="K10802" i="1"/>
  <c r="A10803" i="1"/>
  <c r="B10803" i="1"/>
  <c r="G10803" i="1"/>
  <c r="K10803" i="1"/>
  <c r="A10804" i="1"/>
  <c r="B10804" i="1"/>
  <c r="G10804" i="1"/>
  <c r="K10804" i="1"/>
  <c r="A10805" i="1"/>
  <c r="B10805" i="1"/>
  <c r="G10805" i="1"/>
  <c r="K10805" i="1"/>
  <c r="A10806" i="1"/>
  <c r="B10806" i="1"/>
  <c r="G10806" i="1"/>
  <c r="K10806" i="1"/>
  <c r="A10807" i="1"/>
  <c r="B10807" i="1"/>
  <c r="G10807" i="1"/>
  <c r="K10807" i="1"/>
  <c r="A10808" i="1"/>
  <c r="B10808" i="1"/>
  <c r="G10808" i="1"/>
  <c r="K10808" i="1"/>
  <c r="A10809" i="1"/>
  <c r="B10809" i="1"/>
  <c r="G10809" i="1"/>
  <c r="K10809" i="1"/>
  <c r="A10810" i="1"/>
  <c r="B10810" i="1"/>
  <c r="G10810" i="1"/>
  <c r="K10810" i="1"/>
  <c r="A10811" i="1"/>
  <c r="B10811" i="1"/>
  <c r="G10811" i="1"/>
  <c r="K10811" i="1"/>
  <c r="A10812" i="1"/>
  <c r="B10812" i="1"/>
  <c r="G10812" i="1"/>
  <c r="K10812" i="1"/>
  <c r="A10813" i="1"/>
  <c r="B10813" i="1"/>
  <c r="G10813" i="1"/>
  <c r="K10813" i="1"/>
  <c r="A10814" i="1"/>
  <c r="B10814" i="1"/>
  <c r="G10814" i="1"/>
  <c r="K10814" i="1"/>
  <c r="A10815" i="1"/>
  <c r="B10815" i="1"/>
  <c r="G10815" i="1"/>
  <c r="K10815" i="1"/>
  <c r="A10816" i="1"/>
  <c r="B10816" i="1"/>
  <c r="G10816" i="1"/>
  <c r="K10816" i="1"/>
  <c r="A10817" i="1"/>
  <c r="B10817" i="1"/>
  <c r="G10817" i="1"/>
  <c r="K10817" i="1"/>
  <c r="A10818" i="1"/>
  <c r="B10818" i="1"/>
  <c r="G10818" i="1"/>
  <c r="K10818" i="1"/>
  <c r="A10819" i="1"/>
  <c r="B10819" i="1"/>
  <c r="G10819" i="1"/>
  <c r="K10819" i="1"/>
  <c r="A10820" i="1"/>
  <c r="B10820" i="1"/>
  <c r="G10820" i="1"/>
  <c r="K10820" i="1"/>
  <c r="A10821" i="1"/>
  <c r="B10821" i="1"/>
  <c r="G10821" i="1"/>
  <c r="K10821" i="1"/>
  <c r="A10822" i="1"/>
  <c r="B10822" i="1"/>
  <c r="G10822" i="1"/>
  <c r="K10822" i="1"/>
  <c r="A10823" i="1"/>
  <c r="B10823" i="1"/>
  <c r="G10823" i="1"/>
  <c r="K10823" i="1"/>
  <c r="A10824" i="1"/>
  <c r="B10824" i="1"/>
  <c r="G10824" i="1"/>
  <c r="K10824" i="1"/>
  <c r="A10825" i="1"/>
  <c r="B10825" i="1"/>
  <c r="G10825" i="1"/>
  <c r="K10825" i="1"/>
  <c r="A10826" i="1"/>
  <c r="B10826" i="1"/>
  <c r="G10826" i="1"/>
  <c r="K10826" i="1"/>
  <c r="A10827" i="1"/>
  <c r="B10827" i="1"/>
  <c r="G10827" i="1"/>
  <c r="K10827" i="1"/>
  <c r="A10828" i="1"/>
  <c r="B10828" i="1"/>
  <c r="G10828" i="1"/>
  <c r="K10828" i="1"/>
  <c r="A10829" i="1"/>
  <c r="B10829" i="1"/>
  <c r="G10829" i="1"/>
  <c r="K10829" i="1"/>
  <c r="A10830" i="1"/>
  <c r="B10830" i="1"/>
  <c r="G10830" i="1"/>
  <c r="K10830" i="1"/>
  <c r="A10831" i="1"/>
  <c r="B10831" i="1"/>
  <c r="G10831" i="1"/>
  <c r="K10831" i="1"/>
  <c r="A10832" i="1"/>
  <c r="B10832" i="1"/>
  <c r="G10832" i="1"/>
  <c r="K10832" i="1"/>
  <c r="A10833" i="1"/>
  <c r="B10833" i="1"/>
  <c r="G10833" i="1"/>
  <c r="K10833" i="1"/>
  <c r="A10834" i="1"/>
  <c r="B10834" i="1"/>
  <c r="G10834" i="1"/>
  <c r="K10834" i="1"/>
  <c r="A10835" i="1"/>
  <c r="B10835" i="1"/>
  <c r="G10835" i="1"/>
  <c r="K10835" i="1"/>
  <c r="A10836" i="1"/>
  <c r="B10836" i="1"/>
  <c r="G10836" i="1"/>
  <c r="K10836" i="1"/>
  <c r="A10837" i="1"/>
  <c r="B10837" i="1"/>
  <c r="G10837" i="1"/>
  <c r="K10837" i="1"/>
  <c r="A10838" i="1"/>
  <c r="B10838" i="1"/>
  <c r="G10838" i="1"/>
  <c r="K10838" i="1"/>
  <c r="A10839" i="1"/>
  <c r="B10839" i="1"/>
  <c r="G10839" i="1"/>
  <c r="K10839" i="1"/>
  <c r="A10840" i="1"/>
  <c r="B10840" i="1"/>
  <c r="G10840" i="1"/>
  <c r="K10840" i="1"/>
  <c r="A10841" i="1"/>
  <c r="B10841" i="1"/>
  <c r="G10841" i="1"/>
  <c r="K10841" i="1"/>
  <c r="A10842" i="1"/>
  <c r="B10842" i="1"/>
  <c r="G10842" i="1"/>
  <c r="K10842" i="1"/>
  <c r="A10843" i="1"/>
  <c r="B10843" i="1"/>
  <c r="G10843" i="1"/>
  <c r="K10843" i="1"/>
  <c r="A10844" i="1"/>
  <c r="B10844" i="1"/>
  <c r="G10844" i="1"/>
  <c r="K10844" i="1"/>
  <c r="A10845" i="1"/>
  <c r="B10845" i="1"/>
  <c r="G10845" i="1"/>
  <c r="K10845" i="1"/>
  <c r="A10846" i="1"/>
  <c r="B10846" i="1"/>
  <c r="G10846" i="1"/>
  <c r="K10846" i="1"/>
  <c r="A10847" i="1"/>
  <c r="B10847" i="1"/>
  <c r="G10847" i="1"/>
  <c r="K10847" i="1"/>
  <c r="A10848" i="1"/>
  <c r="B10848" i="1"/>
  <c r="G10848" i="1"/>
  <c r="K10848" i="1"/>
  <c r="A10849" i="1"/>
  <c r="B10849" i="1"/>
  <c r="G10849" i="1"/>
  <c r="K10849" i="1"/>
  <c r="A10850" i="1"/>
  <c r="B10850" i="1"/>
  <c r="G10850" i="1"/>
  <c r="K10850" i="1"/>
  <c r="A10851" i="1"/>
  <c r="B10851" i="1"/>
  <c r="G10851" i="1"/>
  <c r="K10851" i="1"/>
  <c r="A10852" i="1"/>
  <c r="B10852" i="1"/>
  <c r="G10852" i="1"/>
  <c r="K10852" i="1"/>
  <c r="A10853" i="1"/>
  <c r="B10853" i="1"/>
  <c r="G10853" i="1"/>
  <c r="K10853" i="1"/>
  <c r="A10854" i="1"/>
  <c r="B10854" i="1"/>
  <c r="G10854" i="1"/>
  <c r="K10854" i="1"/>
  <c r="A10855" i="1"/>
  <c r="B10855" i="1"/>
  <c r="G10855" i="1"/>
  <c r="K10855" i="1"/>
  <c r="A10856" i="1"/>
  <c r="B10856" i="1"/>
  <c r="G10856" i="1"/>
  <c r="K10856" i="1"/>
  <c r="A10857" i="1"/>
  <c r="B10857" i="1"/>
  <c r="G10857" i="1"/>
  <c r="K10857" i="1"/>
  <c r="A10858" i="1"/>
  <c r="B10858" i="1"/>
  <c r="G10858" i="1"/>
  <c r="K10858" i="1"/>
  <c r="A10859" i="1"/>
  <c r="B10859" i="1"/>
  <c r="G10859" i="1"/>
  <c r="K10859" i="1"/>
  <c r="A10860" i="1"/>
  <c r="B10860" i="1"/>
  <c r="G10860" i="1"/>
  <c r="K10860" i="1"/>
  <c r="A10861" i="1"/>
  <c r="B10861" i="1"/>
  <c r="G10861" i="1"/>
  <c r="K10861" i="1"/>
  <c r="A10862" i="1"/>
  <c r="B10862" i="1"/>
  <c r="G10862" i="1"/>
  <c r="K10862" i="1"/>
  <c r="A10863" i="1"/>
  <c r="B10863" i="1"/>
  <c r="G10863" i="1"/>
  <c r="K10863" i="1"/>
  <c r="A10864" i="1"/>
  <c r="B10864" i="1"/>
  <c r="G10864" i="1"/>
  <c r="K10864" i="1"/>
  <c r="A10865" i="1"/>
  <c r="B10865" i="1"/>
  <c r="G10865" i="1"/>
  <c r="K10865" i="1"/>
  <c r="A10866" i="1"/>
  <c r="B10866" i="1"/>
  <c r="G10866" i="1"/>
  <c r="K10866" i="1"/>
  <c r="A10867" i="1"/>
  <c r="B10867" i="1"/>
  <c r="G10867" i="1"/>
  <c r="K10867" i="1"/>
  <c r="A10868" i="1"/>
  <c r="B10868" i="1"/>
  <c r="G10868" i="1"/>
  <c r="K10868" i="1"/>
  <c r="A10869" i="1"/>
  <c r="B10869" i="1"/>
  <c r="G10869" i="1"/>
  <c r="K10869" i="1"/>
  <c r="A10870" i="1"/>
  <c r="B10870" i="1"/>
  <c r="G10870" i="1"/>
  <c r="K10870" i="1"/>
  <c r="A10871" i="1"/>
  <c r="B10871" i="1"/>
  <c r="G10871" i="1"/>
  <c r="K10871" i="1"/>
  <c r="A10872" i="1"/>
  <c r="B10872" i="1"/>
  <c r="G10872" i="1"/>
  <c r="K10872" i="1"/>
  <c r="A10873" i="1"/>
  <c r="B10873" i="1"/>
  <c r="G10873" i="1"/>
  <c r="K10873" i="1"/>
  <c r="A10874" i="1"/>
  <c r="B10874" i="1"/>
  <c r="G10874" i="1"/>
  <c r="K10874" i="1"/>
  <c r="A10875" i="1"/>
  <c r="B10875" i="1"/>
  <c r="G10875" i="1"/>
  <c r="K10875" i="1"/>
  <c r="A10876" i="1"/>
  <c r="B10876" i="1"/>
  <c r="G10876" i="1"/>
  <c r="K10876" i="1"/>
  <c r="A10877" i="1"/>
  <c r="B10877" i="1"/>
  <c r="G10877" i="1"/>
  <c r="K10877" i="1"/>
  <c r="A10878" i="1"/>
  <c r="B10878" i="1"/>
  <c r="G10878" i="1"/>
  <c r="K10878" i="1"/>
  <c r="A10879" i="1"/>
  <c r="B10879" i="1"/>
  <c r="G10879" i="1"/>
  <c r="K10879" i="1"/>
  <c r="A10880" i="1"/>
  <c r="B10880" i="1"/>
  <c r="G10880" i="1"/>
  <c r="K10880" i="1"/>
  <c r="A10881" i="1"/>
  <c r="B10881" i="1"/>
  <c r="G10881" i="1"/>
  <c r="K10881" i="1"/>
  <c r="A10882" i="1"/>
  <c r="B10882" i="1"/>
  <c r="G10882" i="1"/>
  <c r="K10882" i="1"/>
  <c r="A10883" i="1"/>
  <c r="B10883" i="1"/>
  <c r="G10883" i="1"/>
  <c r="K10883" i="1"/>
  <c r="A10884" i="1"/>
  <c r="B10884" i="1"/>
  <c r="G10884" i="1"/>
  <c r="K10884" i="1"/>
  <c r="A10885" i="1"/>
  <c r="B10885" i="1"/>
  <c r="G10885" i="1"/>
  <c r="K10885" i="1"/>
  <c r="A10886" i="1"/>
  <c r="B10886" i="1"/>
  <c r="G10886" i="1"/>
  <c r="K10886" i="1"/>
  <c r="A10887" i="1"/>
  <c r="B10887" i="1"/>
  <c r="G10887" i="1"/>
  <c r="K10887" i="1"/>
  <c r="A10888" i="1"/>
  <c r="B10888" i="1"/>
  <c r="G10888" i="1"/>
  <c r="K10888" i="1"/>
  <c r="A10889" i="1"/>
  <c r="B10889" i="1"/>
  <c r="G10889" i="1"/>
  <c r="K10889" i="1"/>
  <c r="A10890" i="1"/>
  <c r="B10890" i="1"/>
  <c r="G10890" i="1"/>
  <c r="K10890" i="1"/>
  <c r="A10891" i="1"/>
  <c r="B10891" i="1"/>
  <c r="G10891" i="1"/>
  <c r="K10891" i="1"/>
  <c r="A10892" i="1"/>
  <c r="B10892" i="1"/>
  <c r="G10892" i="1"/>
  <c r="K10892" i="1"/>
  <c r="A10893" i="1"/>
  <c r="B10893" i="1"/>
  <c r="G10893" i="1"/>
  <c r="K10893" i="1"/>
  <c r="A10894" i="1"/>
  <c r="B10894" i="1"/>
  <c r="G10894" i="1"/>
  <c r="K10894" i="1"/>
  <c r="A10895" i="1"/>
  <c r="B10895" i="1"/>
  <c r="G10895" i="1"/>
  <c r="K10895" i="1"/>
  <c r="A10896" i="1"/>
  <c r="B10896" i="1"/>
  <c r="G10896" i="1"/>
  <c r="K10896" i="1"/>
  <c r="A10897" i="1"/>
  <c r="B10897" i="1"/>
  <c r="G10897" i="1"/>
  <c r="K10897" i="1"/>
  <c r="A10898" i="1"/>
  <c r="B10898" i="1"/>
  <c r="G10898" i="1"/>
  <c r="K10898" i="1"/>
  <c r="A10899" i="1"/>
  <c r="B10899" i="1"/>
  <c r="G10899" i="1"/>
  <c r="K10899" i="1"/>
  <c r="A10900" i="1"/>
  <c r="B10900" i="1"/>
  <c r="G10900" i="1"/>
  <c r="K10900" i="1"/>
  <c r="A10901" i="1"/>
  <c r="B10901" i="1"/>
  <c r="G10901" i="1"/>
  <c r="K10901" i="1"/>
  <c r="A10902" i="1"/>
  <c r="B10902" i="1"/>
  <c r="G10902" i="1"/>
  <c r="K10902" i="1"/>
  <c r="A10903" i="1"/>
  <c r="B10903" i="1"/>
  <c r="G10903" i="1"/>
  <c r="K10903" i="1"/>
  <c r="A10904" i="1"/>
  <c r="B10904" i="1"/>
  <c r="G10904" i="1"/>
  <c r="K10904" i="1"/>
  <c r="A10905" i="1"/>
  <c r="B10905" i="1"/>
  <c r="G10905" i="1"/>
  <c r="K10905" i="1"/>
  <c r="A10906" i="1"/>
  <c r="B10906" i="1"/>
  <c r="G10906" i="1"/>
  <c r="K10906" i="1"/>
  <c r="A10907" i="1"/>
  <c r="B10907" i="1"/>
  <c r="G10907" i="1"/>
  <c r="K10907" i="1"/>
  <c r="A10908" i="1"/>
  <c r="B10908" i="1"/>
  <c r="G10908" i="1"/>
  <c r="K10908" i="1"/>
  <c r="A10909" i="1"/>
  <c r="B10909" i="1"/>
  <c r="G10909" i="1"/>
  <c r="K10909" i="1"/>
  <c r="A10910" i="1"/>
  <c r="B10910" i="1"/>
  <c r="G10910" i="1"/>
  <c r="K10910" i="1"/>
  <c r="A10911" i="1"/>
  <c r="B10911" i="1"/>
  <c r="G10911" i="1"/>
  <c r="K10911" i="1"/>
  <c r="A10912" i="1"/>
  <c r="B10912" i="1"/>
  <c r="G10912" i="1"/>
  <c r="K10912" i="1"/>
  <c r="A10913" i="1"/>
  <c r="B10913" i="1"/>
  <c r="G10913" i="1"/>
  <c r="K10913" i="1"/>
  <c r="A10914" i="1"/>
  <c r="B10914" i="1"/>
  <c r="G10914" i="1"/>
  <c r="K10914" i="1"/>
  <c r="A10915" i="1"/>
  <c r="B10915" i="1"/>
  <c r="G10915" i="1"/>
  <c r="K10915" i="1"/>
  <c r="A10916" i="1"/>
  <c r="B10916" i="1"/>
  <c r="G10916" i="1"/>
  <c r="K10916" i="1"/>
  <c r="A10917" i="1"/>
  <c r="B10917" i="1"/>
  <c r="G10917" i="1"/>
  <c r="K10917" i="1"/>
  <c r="A10918" i="1"/>
  <c r="B10918" i="1"/>
  <c r="G10918" i="1"/>
  <c r="K10918" i="1"/>
  <c r="A10919" i="1"/>
  <c r="B10919" i="1"/>
  <c r="G10919" i="1"/>
  <c r="K10919" i="1"/>
  <c r="A10920" i="1"/>
  <c r="B10920" i="1"/>
  <c r="G10920" i="1"/>
  <c r="K10920" i="1"/>
  <c r="A10921" i="1"/>
  <c r="B10921" i="1"/>
  <c r="G10921" i="1"/>
  <c r="K10921" i="1"/>
  <c r="A10922" i="1"/>
  <c r="B10922" i="1"/>
  <c r="G10922" i="1"/>
  <c r="K10922" i="1"/>
  <c r="A10923" i="1"/>
  <c r="B10923" i="1"/>
  <c r="G10923" i="1"/>
  <c r="K10923" i="1"/>
  <c r="A10924" i="1"/>
  <c r="B10924" i="1"/>
  <c r="G10924" i="1"/>
  <c r="K10924" i="1"/>
  <c r="A10925" i="1"/>
  <c r="B10925" i="1"/>
  <c r="G10925" i="1"/>
  <c r="K10925" i="1"/>
  <c r="A10926" i="1"/>
  <c r="B10926" i="1"/>
  <c r="G10926" i="1"/>
  <c r="K10926" i="1"/>
  <c r="A10927" i="1"/>
  <c r="B10927" i="1"/>
  <c r="G10927" i="1"/>
  <c r="K10927" i="1"/>
  <c r="A10928" i="1"/>
  <c r="B10928" i="1"/>
  <c r="G10928" i="1"/>
  <c r="K10928" i="1"/>
  <c r="A10929" i="1"/>
  <c r="B10929" i="1"/>
  <c r="G10929" i="1"/>
  <c r="K10929" i="1"/>
  <c r="A10930" i="1"/>
  <c r="B10930" i="1"/>
  <c r="G10930" i="1"/>
  <c r="K10930" i="1"/>
  <c r="A10931" i="1"/>
  <c r="B10931" i="1"/>
  <c r="G10931" i="1"/>
  <c r="K10931" i="1"/>
  <c r="A10932" i="1"/>
  <c r="B10932" i="1"/>
  <c r="G10932" i="1"/>
  <c r="K10932" i="1"/>
  <c r="A10933" i="1"/>
  <c r="B10933" i="1"/>
  <c r="G10933" i="1"/>
  <c r="K10933" i="1"/>
  <c r="A10934" i="1"/>
  <c r="B10934" i="1"/>
  <c r="G10934" i="1"/>
  <c r="K10934" i="1"/>
  <c r="A10935" i="1"/>
  <c r="B10935" i="1"/>
  <c r="G10935" i="1"/>
  <c r="K10935" i="1"/>
  <c r="A10936" i="1"/>
  <c r="B10936" i="1"/>
  <c r="G10936" i="1"/>
  <c r="K10936" i="1"/>
  <c r="A10937" i="1"/>
  <c r="B10937" i="1"/>
  <c r="G10937" i="1"/>
  <c r="K10937" i="1"/>
  <c r="A10938" i="1"/>
  <c r="B10938" i="1"/>
  <c r="G10938" i="1"/>
  <c r="K10938" i="1"/>
  <c r="A10939" i="1"/>
  <c r="B10939" i="1"/>
  <c r="G10939" i="1"/>
  <c r="K10939" i="1"/>
  <c r="A10940" i="1"/>
  <c r="B10940" i="1"/>
  <c r="G10940" i="1"/>
  <c r="K10940" i="1"/>
  <c r="A10941" i="1"/>
  <c r="B10941" i="1"/>
  <c r="G10941" i="1"/>
  <c r="K10941" i="1"/>
  <c r="A10942" i="1"/>
  <c r="B10942" i="1"/>
  <c r="G10942" i="1"/>
  <c r="K10942" i="1"/>
  <c r="A10943" i="1"/>
  <c r="B10943" i="1"/>
  <c r="G10943" i="1"/>
  <c r="K10943" i="1"/>
  <c r="A10944" i="1"/>
  <c r="B10944" i="1"/>
  <c r="G10944" i="1"/>
  <c r="K10944" i="1"/>
  <c r="A10945" i="1"/>
  <c r="B10945" i="1"/>
  <c r="G10945" i="1"/>
  <c r="K10945" i="1"/>
  <c r="A10946" i="1"/>
  <c r="B10946" i="1"/>
  <c r="G10946" i="1"/>
  <c r="K10946" i="1"/>
  <c r="A10947" i="1"/>
  <c r="B10947" i="1"/>
  <c r="G10947" i="1"/>
  <c r="K10947" i="1"/>
  <c r="A10948" i="1"/>
  <c r="B10948" i="1"/>
  <c r="G10948" i="1"/>
  <c r="K10948" i="1"/>
  <c r="A10949" i="1"/>
  <c r="B10949" i="1"/>
  <c r="G10949" i="1"/>
  <c r="K10949" i="1"/>
  <c r="A10950" i="1"/>
  <c r="B10950" i="1"/>
  <c r="G10950" i="1"/>
  <c r="K10950" i="1"/>
  <c r="A10951" i="1"/>
  <c r="B10951" i="1"/>
  <c r="G10951" i="1"/>
  <c r="K10951" i="1"/>
  <c r="A10952" i="1"/>
  <c r="B10952" i="1"/>
  <c r="G10952" i="1"/>
  <c r="K10952" i="1"/>
  <c r="A10953" i="1"/>
  <c r="B10953" i="1"/>
  <c r="G10953" i="1"/>
  <c r="K10953" i="1"/>
  <c r="A10954" i="1"/>
  <c r="B10954" i="1"/>
  <c r="G10954" i="1"/>
  <c r="K10954" i="1"/>
  <c r="A10955" i="1"/>
  <c r="B10955" i="1"/>
  <c r="G10955" i="1"/>
  <c r="K10955" i="1"/>
  <c r="A10956" i="1"/>
  <c r="B10956" i="1"/>
  <c r="G10956" i="1"/>
  <c r="K10956" i="1"/>
  <c r="A10957" i="1"/>
  <c r="B10957" i="1"/>
  <c r="G10957" i="1"/>
  <c r="K10957" i="1"/>
  <c r="A10958" i="1"/>
  <c r="B10958" i="1"/>
  <c r="G10958" i="1"/>
  <c r="K10958" i="1"/>
  <c r="A10959" i="1"/>
  <c r="B10959" i="1"/>
  <c r="G10959" i="1"/>
  <c r="K10959" i="1"/>
  <c r="A10960" i="1"/>
  <c r="B10960" i="1"/>
  <c r="G10960" i="1"/>
  <c r="K10960" i="1"/>
  <c r="A10961" i="1"/>
  <c r="B10961" i="1"/>
  <c r="G10961" i="1"/>
  <c r="K10961" i="1"/>
  <c r="A10962" i="1"/>
  <c r="B10962" i="1"/>
  <c r="G10962" i="1"/>
  <c r="K10962" i="1"/>
  <c r="A10963" i="1"/>
  <c r="B10963" i="1"/>
  <c r="G10963" i="1"/>
  <c r="K10963" i="1"/>
  <c r="A10964" i="1"/>
  <c r="B10964" i="1"/>
  <c r="G10964" i="1"/>
  <c r="K10964" i="1"/>
  <c r="A10965" i="1"/>
  <c r="B10965" i="1"/>
  <c r="G10965" i="1"/>
  <c r="K10965" i="1"/>
  <c r="A10966" i="1"/>
  <c r="B10966" i="1"/>
  <c r="G10966" i="1"/>
  <c r="K10966" i="1"/>
  <c r="A10967" i="1"/>
  <c r="B10967" i="1"/>
  <c r="G10967" i="1"/>
  <c r="K10967" i="1"/>
  <c r="A10968" i="1"/>
  <c r="B10968" i="1"/>
  <c r="G10968" i="1"/>
  <c r="K10968" i="1"/>
  <c r="A10969" i="1"/>
  <c r="B10969" i="1"/>
  <c r="G10969" i="1"/>
  <c r="K10969" i="1"/>
  <c r="A10970" i="1"/>
  <c r="B10970" i="1"/>
  <c r="G10970" i="1"/>
  <c r="K10970" i="1"/>
  <c r="A10971" i="1"/>
  <c r="B10971" i="1"/>
  <c r="G10971" i="1"/>
  <c r="K10971" i="1"/>
  <c r="A10972" i="1"/>
  <c r="B10972" i="1"/>
  <c r="G10972" i="1"/>
  <c r="K10972" i="1"/>
  <c r="A10973" i="1"/>
  <c r="B10973" i="1"/>
  <c r="G10973" i="1"/>
  <c r="K10973" i="1"/>
  <c r="A10974" i="1"/>
  <c r="B10974" i="1"/>
  <c r="G10974" i="1"/>
  <c r="K10974" i="1"/>
  <c r="A10975" i="1"/>
  <c r="B10975" i="1"/>
  <c r="G10975" i="1"/>
  <c r="K10975" i="1"/>
  <c r="A10976" i="1"/>
  <c r="B10976" i="1"/>
  <c r="G10976" i="1"/>
  <c r="K10976" i="1"/>
  <c r="A10977" i="1"/>
  <c r="B10977" i="1"/>
  <c r="G10977" i="1"/>
  <c r="K10977" i="1"/>
  <c r="A10978" i="1"/>
  <c r="B10978" i="1"/>
  <c r="G10978" i="1"/>
  <c r="K10978" i="1"/>
  <c r="A10979" i="1"/>
  <c r="B10979" i="1"/>
  <c r="G10979" i="1"/>
  <c r="K10979" i="1"/>
  <c r="A10980" i="1"/>
  <c r="B10980" i="1"/>
  <c r="G10980" i="1"/>
  <c r="K10980" i="1"/>
  <c r="A10981" i="1"/>
  <c r="B10981" i="1"/>
  <c r="G10981" i="1"/>
  <c r="K10981" i="1"/>
  <c r="A10982" i="1"/>
  <c r="B10982" i="1"/>
  <c r="G10982" i="1"/>
  <c r="K10982" i="1"/>
  <c r="A10983" i="1"/>
  <c r="B10983" i="1"/>
  <c r="G10983" i="1"/>
  <c r="K10983" i="1"/>
  <c r="A10984" i="1"/>
  <c r="B10984" i="1"/>
  <c r="G10984" i="1"/>
  <c r="K10984" i="1"/>
  <c r="A10985" i="1"/>
  <c r="B10985" i="1"/>
  <c r="G10985" i="1"/>
  <c r="K10985" i="1"/>
  <c r="A10986" i="1"/>
  <c r="B10986" i="1"/>
  <c r="G10986" i="1"/>
  <c r="K10986" i="1"/>
  <c r="A10987" i="1"/>
  <c r="B10987" i="1"/>
  <c r="G10987" i="1"/>
  <c r="K10987" i="1"/>
  <c r="A10988" i="1"/>
  <c r="B10988" i="1"/>
  <c r="G10988" i="1"/>
  <c r="K10988" i="1"/>
  <c r="A10989" i="1"/>
  <c r="B10989" i="1"/>
  <c r="G10989" i="1"/>
  <c r="K10989" i="1"/>
  <c r="A10990" i="1"/>
  <c r="B10990" i="1"/>
  <c r="G10990" i="1"/>
  <c r="K10990" i="1"/>
  <c r="A10991" i="1"/>
  <c r="B10991" i="1"/>
  <c r="G10991" i="1"/>
  <c r="K10991" i="1"/>
  <c r="A10992" i="1"/>
  <c r="B10992" i="1"/>
  <c r="G10992" i="1"/>
  <c r="K10992" i="1"/>
  <c r="A10993" i="1"/>
  <c r="B10993" i="1"/>
  <c r="G10993" i="1"/>
  <c r="K10993" i="1"/>
  <c r="A10994" i="1"/>
  <c r="B10994" i="1"/>
  <c r="G10994" i="1"/>
  <c r="K10994" i="1"/>
  <c r="A10995" i="1"/>
  <c r="B10995" i="1"/>
  <c r="G10995" i="1"/>
  <c r="K10995" i="1"/>
  <c r="A10996" i="1"/>
  <c r="B10996" i="1"/>
  <c r="G10996" i="1"/>
  <c r="K10996" i="1"/>
  <c r="A10997" i="1"/>
  <c r="B10997" i="1"/>
  <c r="G10997" i="1"/>
  <c r="K10997" i="1"/>
  <c r="A10998" i="1"/>
  <c r="B10998" i="1"/>
  <c r="G10998" i="1"/>
  <c r="K10998" i="1"/>
  <c r="A10999" i="1"/>
  <c r="B10999" i="1"/>
  <c r="G10999" i="1"/>
  <c r="K10999" i="1"/>
  <c r="A11000" i="1"/>
  <c r="B11000" i="1"/>
  <c r="G11000" i="1"/>
  <c r="K11000" i="1"/>
  <c r="A11001" i="1"/>
  <c r="B11001" i="1"/>
  <c r="G11001" i="1"/>
  <c r="K11001" i="1"/>
  <c r="A11002" i="1"/>
  <c r="B11002" i="1"/>
  <c r="G11002" i="1"/>
  <c r="K11002" i="1"/>
  <c r="A11003" i="1"/>
  <c r="B11003" i="1"/>
  <c r="G11003" i="1"/>
  <c r="K11003" i="1"/>
  <c r="A11004" i="1"/>
  <c r="B11004" i="1"/>
  <c r="G11004" i="1"/>
  <c r="K11004" i="1"/>
  <c r="A11005" i="1"/>
  <c r="B11005" i="1"/>
  <c r="G11005" i="1"/>
  <c r="K11005" i="1"/>
  <c r="A11006" i="1"/>
  <c r="B11006" i="1"/>
  <c r="G11006" i="1"/>
  <c r="K11006" i="1"/>
  <c r="A11007" i="1"/>
  <c r="B11007" i="1"/>
  <c r="G11007" i="1"/>
  <c r="K11007" i="1"/>
  <c r="A11008" i="1"/>
  <c r="B11008" i="1"/>
  <c r="G11008" i="1"/>
  <c r="K11008" i="1"/>
  <c r="A11009" i="1"/>
  <c r="B11009" i="1"/>
  <c r="G11009" i="1"/>
  <c r="K11009" i="1"/>
  <c r="A11010" i="1"/>
  <c r="B11010" i="1"/>
  <c r="G11010" i="1"/>
  <c r="K11010" i="1"/>
  <c r="A11011" i="1"/>
  <c r="B11011" i="1"/>
  <c r="G11011" i="1"/>
  <c r="K11011" i="1"/>
  <c r="A11012" i="1"/>
  <c r="B11012" i="1"/>
  <c r="G11012" i="1"/>
  <c r="K11012" i="1"/>
  <c r="A11013" i="1"/>
  <c r="B11013" i="1"/>
  <c r="G11013" i="1"/>
  <c r="K11013" i="1"/>
  <c r="A11014" i="1"/>
  <c r="B11014" i="1"/>
  <c r="G11014" i="1"/>
  <c r="K11014" i="1"/>
  <c r="A11015" i="1"/>
  <c r="B11015" i="1"/>
  <c r="G11015" i="1"/>
  <c r="K11015" i="1"/>
  <c r="A11016" i="1"/>
  <c r="B11016" i="1"/>
  <c r="G11016" i="1"/>
  <c r="K11016" i="1"/>
  <c r="A11017" i="1"/>
  <c r="B11017" i="1"/>
  <c r="G11017" i="1"/>
  <c r="K11017" i="1"/>
  <c r="A11018" i="1"/>
  <c r="B11018" i="1"/>
  <c r="G11018" i="1"/>
  <c r="K11018" i="1"/>
  <c r="A11019" i="1"/>
  <c r="B11019" i="1"/>
  <c r="G11019" i="1"/>
  <c r="K11019" i="1"/>
  <c r="A11020" i="1"/>
  <c r="B11020" i="1"/>
  <c r="G11020" i="1"/>
  <c r="K11020" i="1"/>
  <c r="A11021" i="1"/>
  <c r="B11021" i="1"/>
  <c r="G11021" i="1"/>
  <c r="K11021" i="1"/>
  <c r="A11022" i="1"/>
  <c r="B11022" i="1"/>
  <c r="G11022" i="1"/>
  <c r="K11022" i="1"/>
  <c r="A11023" i="1"/>
  <c r="B11023" i="1"/>
  <c r="G11023" i="1"/>
  <c r="K11023" i="1"/>
  <c r="A11024" i="1"/>
  <c r="B11024" i="1"/>
  <c r="G11024" i="1"/>
  <c r="K11024" i="1"/>
  <c r="A11025" i="1"/>
  <c r="B11025" i="1"/>
  <c r="G11025" i="1"/>
  <c r="K11025" i="1"/>
  <c r="A11026" i="1"/>
  <c r="B11026" i="1"/>
  <c r="G11026" i="1"/>
  <c r="K11026" i="1"/>
  <c r="A11027" i="1"/>
  <c r="B11027" i="1"/>
  <c r="G11027" i="1"/>
  <c r="K11027" i="1"/>
  <c r="A11028" i="1"/>
  <c r="B11028" i="1"/>
  <c r="G11028" i="1"/>
  <c r="K11028" i="1"/>
  <c r="A11029" i="1"/>
  <c r="B11029" i="1"/>
  <c r="G11029" i="1"/>
  <c r="K11029" i="1"/>
  <c r="A11030" i="1"/>
  <c r="B11030" i="1"/>
  <c r="G11030" i="1"/>
  <c r="K11030" i="1"/>
  <c r="A11031" i="1"/>
  <c r="B11031" i="1"/>
  <c r="G11031" i="1"/>
  <c r="K11031" i="1"/>
  <c r="A11032" i="1"/>
  <c r="B11032" i="1"/>
  <c r="G11032" i="1"/>
  <c r="K11032" i="1"/>
  <c r="A11033" i="1"/>
  <c r="B11033" i="1"/>
  <c r="G11033" i="1"/>
  <c r="K11033" i="1"/>
  <c r="A11034" i="1"/>
  <c r="B11034" i="1"/>
  <c r="G11034" i="1"/>
  <c r="K11034" i="1"/>
  <c r="A11035" i="1"/>
  <c r="B11035" i="1"/>
  <c r="G11035" i="1"/>
  <c r="K11035" i="1"/>
  <c r="A11036" i="1"/>
  <c r="B11036" i="1"/>
  <c r="G11036" i="1"/>
  <c r="K11036" i="1"/>
  <c r="A11037" i="1"/>
  <c r="B11037" i="1"/>
  <c r="G11037" i="1"/>
  <c r="K11037" i="1"/>
  <c r="A11038" i="1"/>
  <c r="B11038" i="1"/>
  <c r="G11038" i="1"/>
  <c r="K11038" i="1"/>
  <c r="A11039" i="1"/>
  <c r="B11039" i="1"/>
  <c r="G11039" i="1"/>
  <c r="K11039" i="1"/>
  <c r="A11040" i="1"/>
  <c r="B11040" i="1"/>
  <c r="G11040" i="1"/>
  <c r="K11040" i="1"/>
  <c r="A11041" i="1"/>
  <c r="B11041" i="1"/>
  <c r="G11041" i="1"/>
  <c r="K11041" i="1"/>
  <c r="A11042" i="1"/>
  <c r="B11042" i="1"/>
  <c r="G11042" i="1"/>
  <c r="K11042" i="1"/>
  <c r="A11043" i="1"/>
  <c r="B11043" i="1"/>
  <c r="G11043" i="1"/>
  <c r="K11043" i="1"/>
  <c r="A11044" i="1"/>
  <c r="B11044" i="1"/>
  <c r="G11044" i="1"/>
  <c r="K11044" i="1"/>
  <c r="A11045" i="1"/>
  <c r="B11045" i="1"/>
  <c r="G11045" i="1"/>
  <c r="K11045" i="1"/>
  <c r="A11046" i="1"/>
  <c r="B11046" i="1"/>
  <c r="G11046" i="1"/>
  <c r="K11046" i="1"/>
  <c r="A11047" i="1"/>
  <c r="B11047" i="1"/>
  <c r="G11047" i="1"/>
  <c r="K11047" i="1"/>
  <c r="A11048" i="1"/>
  <c r="B11048" i="1"/>
  <c r="G11048" i="1"/>
  <c r="K11048" i="1"/>
  <c r="A11049" i="1"/>
  <c r="B11049" i="1"/>
  <c r="G11049" i="1"/>
  <c r="K11049" i="1"/>
  <c r="A11050" i="1"/>
  <c r="B11050" i="1"/>
  <c r="G11050" i="1"/>
  <c r="K11050" i="1"/>
  <c r="A11051" i="1"/>
  <c r="B11051" i="1"/>
  <c r="G11051" i="1"/>
  <c r="K11051" i="1"/>
  <c r="A11052" i="1"/>
  <c r="B11052" i="1"/>
  <c r="G11052" i="1"/>
  <c r="K11052" i="1"/>
  <c r="A11053" i="1"/>
  <c r="B11053" i="1"/>
  <c r="G11053" i="1"/>
  <c r="K11053" i="1"/>
  <c r="A11054" i="1"/>
  <c r="B11054" i="1"/>
  <c r="G11054" i="1"/>
  <c r="K11054" i="1"/>
  <c r="A11055" i="1"/>
  <c r="B11055" i="1"/>
  <c r="G11055" i="1"/>
  <c r="K11055" i="1"/>
  <c r="A11056" i="1"/>
  <c r="B11056" i="1"/>
  <c r="G11056" i="1"/>
  <c r="K11056" i="1"/>
  <c r="A11057" i="1"/>
  <c r="B11057" i="1"/>
  <c r="G11057" i="1"/>
  <c r="K11057" i="1"/>
  <c r="A11058" i="1"/>
  <c r="B11058" i="1"/>
  <c r="G11058" i="1"/>
  <c r="K11058" i="1"/>
  <c r="A11059" i="1"/>
  <c r="B11059" i="1"/>
  <c r="G11059" i="1"/>
  <c r="K11059" i="1"/>
  <c r="A11060" i="1"/>
  <c r="B11060" i="1"/>
  <c r="G11060" i="1"/>
  <c r="K11060" i="1"/>
  <c r="A11061" i="1"/>
  <c r="B11061" i="1"/>
  <c r="G11061" i="1"/>
  <c r="K11061" i="1"/>
  <c r="A11062" i="1"/>
  <c r="B11062" i="1"/>
  <c r="G11062" i="1"/>
  <c r="K11062" i="1"/>
  <c r="A11063" i="1"/>
  <c r="B11063" i="1"/>
  <c r="G11063" i="1"/>
  <c r="K11063" i="1"/>
  <c r="A11064" i="1"/>
  <c r="B11064" i="1"/>
  <c r="G11064" i="1"/>
  <c r="K11064" i="1"/>
  <c r="A11065" i="1"/>
  <c r="B11065" i="1"/>
  <c r="G11065" i="1"/>
  <c r="K11065" i="1"/>
  <c r="A11066" i="1"/>
  <c r="B11066" i="1"/>
  <c r="G11066" i="1"/>
  <c r="K11066" i="1"/>
  <c r="A11067" i="1"/>
  <c r="B11067" i="1"/>
  <c r="G11067" i="1"/>
  <c r="K11067" i="1"/>
  <c r="A11068" i="1"/>
  <c r="B11068" i="1"/>
  <c r="G11068" i="1"/>
  <c r="K11068" i="1"/>
  <c r="A11069" i="1"/>
  <c r="B11069" i="1"/>
  <c r="G11069" i="1"/>
  <c r="K11069" i="1"/>
  <c r="A11070" i="1"/>
  <c r="B11070" i="1"/>
  <c r="G11070" i="1"/>
  <c r="K11070" i="1"/>
  <c r="A11071" i="1"/>
  <c r="B11071" i="1"/>
  <c r="G11071" i="1"/>
  <c r="K11071" i="1"/>
  <c r="A11072" i="1"/>
  <c r="B11072" i="1"/>
  <c r="G11072" i="1"/>
  <c r="K11072" i="1"/>
  <c r="A11073" i="1"/>
  <c r="B11073" i="1"/>
  <c r="G11073" i="1"/>
  <c r="K11073" i="1"/>
  <c r="A11074" i="1"/>
  <c r="B11074" i="1"/>
  <c r="G11074" i="1"/>
  <c r="K11074" i="1"/>
  <c r="A11075" i="1"/>
  <c r="B11075" i="1"/>
  <c r="G11075" i="1"/>
  <c r="K11075" i="1"/>
  <c r="A11076" i="1"/>
  <c r="B11076" i="1"/>
  <c r="G11076" i="1"/>
  <c r="K11076" i="1"/>
  <c r="A11077" i="1"/>
  <c r="B11077" i="1"/>
  <c r="G11077" i="1"/>
  <c r="K11077" i="1"/>
  <c r="A11078" i="1"/>
  <c r="B11078" i="1"/>
  <c r="G11078" i="1"/>
  <c r="K11078" i="1"/>
  <c r="A11079" i="1"/>
  <c r="B11079" i="1"/>
  <c r="G11079" i="1"/>
  <c r="K11079" i="1"/>
  <c r="A11080" i="1"/>
  <c r="B11080" i="1"/>
  <c r="G11080" i="1"/>
  <c r="K11080" i="1"/>
  <c r="A11081" i="1"/>
  <c r="B11081" i="1"/>
  <c r="G11081" i="1"/>
  <c r="K11081" i="1"/>
  <c r="A11082" i="1"/>
  <c r="B11082" i="1"/>
  <c r="G11082" i="1"/>
  <c r="K11082" i="1"/>
  <c r="A11083" i="1"/>
  <c r="B11083" i="1"/>
  <c r="G11083" i="1"/>
  <c r="K11083" i="1"/>
  <c r="A11084" i="1"/>
  <c r="B11084" i="1"/>
  <c r="G11084" i="1"/>
  <c r="K11084" i="1"/>
  <c r="A11085" i="1"/>
  <c r="B11085" i="1"/>
  <c r="G11085" i="1"/>
  <c r="K11085" i="1"/>
  <c r="A11086" i="1"/>
  <c r="B11086" i="1"/>
  <c r="G11086" i="1"/>
  <c r="K11086" i="1"/>
  <c r="A11087" i="1"/>
  <c r="B11087" i="1"/>
  <c r="G11087" i="1"/>
  <c r="K11087" i="1"/>
  <c r="A11088" i="1"/>
  <c r="B11088" i="1"/>
  <c r="G11088" i="1"/>
  <c r="K11088" i="1"/>
  <c r="A11089" i="1"/>
  <c r="B11089" i="1"/>
  <c r="G11089" i="1"/>
  <c r="K11089" i="1"/>
  <c r="A11090" i="1"/>
  <c r="B11090" i="1"/>
  <c r="G11090" i="1"/>
  <c r="K11090" i="1"/>
  <c r="A11091" i="1"/>
  <c r="B11091" i="1"/>
  <c r="G11091" i="1"/>
  <c r="K11091" i="1"/>
  <c r="A11092" i="1"/>
  <c r="B11092" i="1"/>
  <c r="G11092" i="1"/>
  <c r="K11092" i="1"/>
  <c r="A11093" i="1"/>
  <c r="B11093" i="1"/>
  <c r="G11093" i="1"/>
  <c r="K11093" i="1"/>
  <c r="A11094" i="1"/>
  <c r="B11094" i="1"/>
  <c r="G11094" i="1"/>
  <c r="K11094" i="1"/>
  <c r="A11095" i="1"/>
  <c r="B11095" i="1"/>
  <c r="G11095" i="1"/>
  <c r="K11095" i="1"/>
  <c r="A11096" i="1"/>
  <c r="B11096" i="1"/>
  <c r="G11096" i="1"/>
  <c r="K11096" i="1"/>
  <c r="A11097" i="1"/>
  <c r="B11097" i="1"/>
  <c r="G11097" i="1"/>
  <c r="K11097" i="1"/>
  <c r="A11098" i="1"/>
  <c r="B11098" i="1"/>
  <c r="G11098" i="1"/>
  <c r="K11098" i="1"/>
  <c r="A11099" i="1"/>
  <c r="B11099" i="1"/>
  <c r="G11099" i="1"/>
  <c r="K11099" i="1"/>
  <c r="A11100" i="1"/>
  <c r="B11100" i="1"/>
  <c r="G11100" i="1"/>
  <c r="K11100" i="1"/>
  <c r="A11101" i="1"/>
  <c r="B11101" i="1"/>
  <c r="G11101" i="1"/>
  <c r="K11101" i="1"/>
  <c r="A11102" i="1"/>
  <c r="B11102" i="1"/>
  <c r="G11102" i="1"/>
  <c r="K11102" i="1"/>
  <c r="A11103" i="1"/>
  <c r="B11103" i="1"/>
  <c r="G11103" i="1"/>
  <c r="K11103" i="1"/>
  <c r="A11104" i="1"/>
  <c r="B11104" i="1"/>
  <c r="G11104" i="1"/>
  <c r="K11104" i="1"/>
  <c r="A11105" i="1"/>
  <c r="B11105" i="1"/>
  <c r="G11105" i="1"/>
  <c r="K11105" i="1"/>
  <c r="A11106" i="1"/>
  <c r="B11106" i="1"/>
  <c r="G11106" i="1"/>
  <c r="K11106" i="1"/>
  <c r="A11107" i="1"/>
  <c r="B11107" i="1"/>
  <c r="G11107" i="1"/>
  <c r="K11107" i="1"/>
  <c r="A11108" i="1"/>
  <c r="B11108" i="1"/>
  <c r="G11108" i="1"/>
  <c r="K11108" i="1"/>
  <c r="A11109" i="1"/>
  <c r="B11109" i="1"/>
  <c r="G11109" i="1"/>
  <c r="K11109" i="1"/>
  <c r="A11110" i="1"/>
  <c r="B11110" i="1"/>
  <c r="G11110" i="1"/>
  <c r="K11110" i="1"/>
  <c r="A11111" i="1"/>
  <c r="B11111" i="1"/>
  <c r="G11111" i="1"/>
  <c r="K11111" i="1"/>
  <c r="A11112" i="1"/>
  <c r="B11112" i="1"/>
  <c r="G11112" i="1"/>
  <c r="K11112" i="1"/>
  <c r="A11113" i="1"/>
  <c r="B11113" i="1"/>
  <c r="G11113" i="1"/>
  <c r="K11113" i="1"/>
  <c r="A11114" i="1"/>
  <c r="B11114" i="1"/>
  <c r="G11114" i="1"/>
  <c r="K11114" i="1"/>
  <c r="A11115" i="1"/>
  <c r="B11115" i="1"/>
  <c r="G11115" i="1"/>
  <c r="K11115" i="1"/>
  <c r="A11116" i="1"/>
  <c r="B11116" i="1"/>
  <c r="G11116" i="1"/>
  <c r="K11116" i="1"/>
  <c r="A11117" i="1"/>
  <c r="B11117" i="1"/>
  <c r="G11117" i="1"/>
  <c r="K11117" i="1"/>
  <c r="A11118" i="1"/>
  <c r="B11118" i="1"/>
  <c r="G11118" i="1"/>
  <c r="K11118" i="1"/>
  <c r="A11119" i="1"/>
  <c r="B11119" i="1"/>
  <c r="G11119" i="1"/>
  <c r="K11119" i="1"/>
  <c r="A11120" i="1"/>
  <c r="B11120" i="1"/>
  <c r="G11120" i="1"/>
  <c r="K11120" i="1"/>
  <c r="A11121" i="1"/>
  <c r="B11121" i="1"/>
  <c r="G11121" i="1"/>
  <c r="K11121" i="1"/>
  <c r="A11122" i="1"/>
  <c r="B11122" i="1"/>
  <c r="G11122" i="1"/>
  <c r="K11122" i="1"/>
  <c r="A11123" i="1"/>
  <c r="B11123" i="1"/>
  <c r="G11123" i="1"/>
  <c r="K11123" i="1"/>
  <c r="A11124" i="1"/>
  <c r="B11124" i="1"/>
  <c r="G11124" i="1"/>
  <c r="K11124" i="1"/>
  <c r="A11125" i="1"/>
  <c r="B11125" i="1"/>
  <c r="G11125" i="1"/>
  <c r="K11125" i="1"/>
  <c r="A11126" i="1"/>
  <c r="B11126" i="1"/>
  <c r="G11126" i="1"/>
  <c r="K11126" i="1"/>
  <c r="A11127" i="1"/>
  <c r="B11127" i="1"/>
  <c r="G11127" i="1"/>
  <c r="K11127" i="1"/>
  <c r="A11128" i="1"/>
  <c r="B11128" i="1"/>
  <c r="G11128" i="1"/>
  <c r="K11128" i="1"/>
  <c r="A11129" i="1"/>
  <c r="B11129" i="1"/>
  <c r="G11129" i="1"/>
  <c r="K11129" i="1"/>
  <c r="A11130" i="1"/>
  <c r="B11130" i="1"/>
  <c r="G11130" i="1"/>
  <c r="K11130" i="1"/>
  <c r="A11131" i="1"/>
  <c r="B11131" i="1"/>
  <c r="G11131" i="1"/>
  <c r="K11131" i="1"/>
  <c r="A11132" i="1"/>
  <c r="B11132" i="1"/>
  <c r="G11132" i="1"/>
  <c r="K11132" i="1"/>
  <c r="A11133" i="1"/>
  <c r="B11133" i="1"/>
  <c r="G11133" i="1"/>
  <c r="K11133" i="1"/>
  <c r="A11134" i="1"/>
  <c r="B11134" i="1"/>
  <c r="G11134" i="1"/>
  <c r="K11134" i="1"/>
  <c r="A11135" i="1"/>
  <c r="B11135" i="1"/>
  <c r="G11135" i="1"/>
  <c r="K11135" i="1"/>
  <c r="A11136" i="1"/>
  <c r="B11136" i="1"/>
  <c r="G11136" i="1"/>
  <c r="K11136" i="1"/>
  <c r="A11137" i="1"/>
  <c r="B11137" i="1"/>
  <c r="G11137" i="1"/>
  <c r="K11137" i="1"/>
  <c r="A11138" i="1"/>
  <c r="B11138" i="1"/>
  <c r="G11138" i="1"/>
  <c r="K11138" i="1"/>
  <c r="A11139" i="1"/>
  <c r="B11139" i="1"/>
  <c r="G11139" i="1"/>
  <c r="K11139" i="1"/>
  <c r="A11140" i="1"/>
  <c r="B11140" i="1"/>
  <c r="G11140" i="1"/>
  <c r="K11140" i="1"/>
  <c r="A11141" i="1"/>
  <c r="B11141" i="1"/>
  <c r="G11141" i="1"/>
  <c r="K11141" i="1"/>
  <c r="A11142" i="1"/>
  <c r="B11142" i="1"/>
  <c r="G11142" i="1"/>
  <c r="K11142" i="1"/>
  <c r="A11143" i="1"/>
  <c r="B11143" i="1"/>
  <c r="G11143" i="1"/>
  <c r="K11143" i="1"/>
  <c r="A11144" i="1"/>
  <c r="B11144" i="1"/>
  <c r="G11144" i="1"/>
  <c r="K11144" i="1"/>
  <c r="A11145" i="1"/>
  <c r="B11145" i="1"/>
  <c r="G11145" i="1"/>
  <c r="K11145" i="1"/>
  <c r="A11146" i="1"/>
  <c r="B11146" i="1"/>
  <c r="G11146" i="1"/>
  <c r="K11146" i="1"/>
  <c r="A11147" i="1"/>
  <c r="B11147" i="1"/>
  <c r="G11147" i="1"/>
  <c r="K11147" i="1"/>
  <c r="A11148" i="1"/>
  <c r="B11148" i="1"/>
  <c r="G11148" i="1"/>
  <c r="K11148" i="1"/>
  <c r="A11149" i="1"/>
  <c r="B11149" i="1"/>
  <c r="G11149" i="1"/>
  <c r="K11149" i="1"/>
  <c r="A11150" i="1"/>
  <c r="B11150" i="1"/>
  <c r="G11150" i="1"/>
  <c r="K11150" i="1"/>
  <c r="A11151" i="1"/>
  <c r="B11151" i="1"/>
  <c r="G11151" i="1"/>
  <c r="K11151" i="1"/>
  <c r="A11152" i="1"/>
  <c r="B11152" i="1"/>
  <c r="G11152" i="1"/>
  <c r="K11152" i="1"/>
  <c r="A11153" i="1"/>
  <c r="B11153" i="1"/>
  <c r="G11153" i="1"/>
  <c r="K11153" i="1"/>
  <c r="A11154" i="1"/>
  <c r="B11154" i="1"/>
  <c r="G11154" i="1"/>
  <c r="K11154" i="1"/>
  <c r="A11155" i="1"/>
  <c r="B11155" i="1"/>
  <c r="G11155" i="1"/>
  <c r="K11155" i="1"/>
  <c r="A11156" i="1"/>
  <c r="B11156" i="1"/>
  <c r="G11156" i="1"/>
  <c r="K11156" i="1"/>
  <c r="A11157" i="1"/>
  <c r="B11157" i="1"/>
  <c r="G11157" i="1"/>
  <c r="K11157" i="1"/>
  <c r="A11158" i="1"/>
  <c r="B11158" i="1"/>
  <c r="G11158" i="1"/>
  <c r="K11158" i="1"/>
  <c r="A11159" i="1"/>
  <c r="B11159" i="1"/>
  <c r="G11159" i="1"/>
  <c r="K11159" i="1"/>
  <c r="A11160" i="1"/>
  <c r="B11160" i="1"/>
  <c r="G11160" i="1"/>
  <c r="K11160" i="1"/>
  <c r="A11161" i="1"/>
  <c r="B11161" i="1"/>
  <c r="G11161" i="1"/>
  <c r="K11161" i="1"/>
  <c r="A11162" i="1"/>
  <c r="B11162" i="1"/>
  <c r="G11162" i="1"/>
  <c r="K11162" i="1"/>
  <c r="A11163" i="1"/>
  <c r="B11163" i="1"/>
  <c r="G11163" i="1"/>
  <c r="K11163" i="1"/>
  <c r="A11164" i="1"/>
  <c r="B11164" i="1"/>
  <c r="G11164" i="1"/>
  <c r="K11164" i="1"/>
  <c r="A11165" i="1"/>
  <c r="B11165" i="1"/>
  <c r="G11165" i="1"/>
  <c r="K11165" i="1"/>
  <c r="A11166" i="1"/>
  <c r="B11166" i="1"/>
  <c r="G11166" i="1"/>
  <c r="K11166" i="1"/>
  <c r="A11167" i="1"/>
  <c r="B11167" i="1"/>
  <c r="G11167" i="1"/>
  <c r="K11167" i="1"/>
  <c r="A11168" i="1"/>
  <c r="B11168" i="1"/>
  <c r="G11168" i="1"/>
  <c r="K11168" i="1"/>
  <c r="A11169" i="1"/>
  <c r="B11169" i="1"/>
  <c r="G11169" i="1"/>
  <c r="K11169" i="1"/>
  <c r="A11170" i="1"/>
  <c r="B11170" i="1"/>
  <c r="G11170" i="1"/>
  <c r="K11170" i="1"/>
  <c r="A11171" i="1"/>
  <c r="B11171" i="1"/>
  <c r="G11171" i="1"/>
  <c r="K11171" i="1"/>
  <c r="A11172" i="1"/>
  <c r="B11172" i="1"/>
  <c r="G11172" i="1"/>
  <c r="K11172" i="1"/>
  <c r="A11173" i="1"/>
  <c r="B11173" i="1"/>
  <c r="G11173" i="1"/>
  <c r="K11173" i="1"/>
  <c r="A11174" i="1"/>
  <c r="B11174" i="1"/>
  <c r="G11174" i="1"/>
  <c r="K11174" i="1"/>
  <c r="A11175" i="1"/>
  <c r="B11175" i="1"/>
  <c r="G11175" i="1"/>
  <c r="K11175" i="1"/>
  <c r="A11176" i="1"/>
  <c r="B11176" i="1"/>
  <c r="G11176" i="1"/>
  <c r="K11176" i="1"/>
  <c r="A11177" i="1"/>
  <c r="B11177" i="1"/>
  <c r="G11177" i="1"/>
  <c r="K11177" i="1"/>
  <c r="A11178" i="1"/>
  <c r="B11178" i="1"/>
  <c r="G11178" i="1"/>
  <c r="K11178" i="1"/>
  <c r="A11179" i="1"/>
  <c r="B11179" i="1"/>
  <c r="G11179" i="1"/>
  <c r="K11179" i="1"/>
  <c r="A11180" i="1"/>
  <c r="B11180" i="1"/>
  <c r="G11180" i="1"/>
  <c r="K11180" i="1"/>
  <c r="A11181" i="1"/>
  <c r="B11181" i="1"/>
  <c r="G11181" i="1"/>
  <c r="K11181" i="1"/>
  <c r="A11182" i="1"/>
  <c r="B11182" i="1"/>
  <c r="G11182" i="1"/>
  <c r="K11182" i="1"/>
  <c r="A11183" i="1"/>
  <c r="B11183" i="1"/>
  <c r="G11183" i="1"/>
  <c r="K11183" i="1"/>
  <c r="A11184" i="1"/>
  <c r="B11184" i="1"/>
  <c r="G11184" i="1"/>
  <c r="K11184" i="1"/>
  <c r="A11185" i="1"/>
  <c r="B11185" i="1"/>
  <c r="G11185" i="1"/>
  <c r="K11185" i="1"/>
  <c r="A11186" i="1"/>
  <c r="B11186" i="1"/>
  <c r="G11186" i="1"/>
  <c r="K11186" i="1"/>
  <c r="A11187" i="1"/>
  <c r="B11187" i="1"/>
  <c r="G11187" i="1"/>
  <c r="K11187" i="1"/>
  <c r="A11188" i="1"/>
  <c r="B11188" i="1"/>
  <c r="G11188" i="1"/>
  <c r="K11188" i="1"/>
  <c r="A11189" i="1"/>
  <c r="B11189" i="1"/>
  <c r="G11189" i="1"/>
  <c r="K11189" i="1"/>
  <c r="A11190" i="1"/>
  <c r="B11190" i="1"/>
  <c r="G11190" i="1"/>
  <c r="K11190" i="1"/>
  <c r="A11191" i="1"/>
  <c r="B11191" i="1"/>
  <c r="G11191" i="1"/>
  <c r="K11191" i="1"/>
  <c r="A11192" i="1"/>
  <c r="B11192" i="1"/>
  <c r="G11192" i="1"/>
  <c r="K11192" i="1"/>
  <c r="A11193" i="1"/>
  <c r="B11193" i="1"/>
  <c r="G11193" i="1"/>
  <c r="K11193" i="1"/>
  <c r="A11194" i="1"/>
  <c r="B11194" i="1"/>
  <c r="G11194" i="1"/>
  <c r="K11194" i="1"/>
  <c r="A11195" i="1"/>
  <c r="B11195" i="1"/>
  <c r="G11195" i="1"/>
  <c r="K11195" i="1"/>
  <c r="A11196" i="1"/>
  <c r="B11196" i="1"/>
  <c r="G11196" i="1"/>
  <c r="K11196" i="1"/>
  <c r="A11197" i="1"/>
  <c r="B11197" i="1"/>
  <c r="G11197" i="1"/>
  <c r="K11197" i="1"/>
  <c r="A11198" i="1"/>
  <c r="B11198" i="1"/>
  <c r="G11198" i="1"/>
  <c r="K11198" i="1"/>
  <c r="A11199" i="1"/>
  <c r="B11199" i="1"/>
  <c r="G11199" i="1"/>
  <c r="K11199" i="1"/>
  <c r="A11200" i="1"/>
  <c r="B11200" i="1"/>
  <c r="G11200" i="1"/>
  <c r="K11200" i="1"/>
  <c r="A11201" i="1"/>
  <c r="B11201" i="1"/>
  <c r="G11201" i="1"/>
  <c r="K11201" i="1"/>
  <c r="A11202" i="1"/>
  <c r="B11202" i="1"/>
  <c r="G11202" i="1"/>
  <c r="K11202" i="1"/>
  <c r="A11203" i="1"/>
  <c r="B11203" i="1"/>
  <c r="G11203" i="1"/>
  <c r="K11203" i="1"/>
  <c r="A11204" i="1"/>
  <c r="B11204" i="1"/>
  <c r="G11204" i="1"/>
  <c r="K11204" i="1"/>
  <c r="A11205" i="1"/>
  <c r="B11205" i="1"/>
  <c r="G11205" i="1"/>
  <c r="K11205" i="1"/>
  <c r="A11206" i="1"/>
  <c r="B11206" i="1"/>
  <c r="G11206" i="1"/>
  <c r="K11206" i="1"/>
  <c r="A11207" i="1"/>
  <c r="B11207" i="1"/>
  <c r="G11207" i="1"/>
  <c r="K11207" i="1"/>
  <c r="A11208" i="1"/>
  <c r="B11208" i="1"/>
  <c r="G11208" i="1"/>
  <c r="K11208" i="1"/>
  <c r="A11209" i="1"/>
  <c r="B11209" i="1"/>
  <c r="G11209" i="1"/>
  <c r="K11209" i="1"/>
  <c r="A11210" i="1"/>
  <c r="B11210" i="1"/>
  <c r="G11210" i="1"/>
  <c r="K11210" i="1"/>
  <c r="A11211" i="1"/>
  <c r="B11211" i="1"/>
  <c r="G11211" i="1"/>
  <c r="K11211" i="1"/>
  <c r="A11212" i="1"/>
  <c r="B11212" i="1"/>
  <c r="G11212" i="1"/>
  <c r="K11212" i="1"/>
  <c r="A11213" i="1"/>
  <c r="B11213" i="1"/>
  <c r="G11213" i="1"/>
  <c r="K11213" i="1"/>
  <c r="A11214" i="1"/>
  <c r="B11214" i="1"/>
  <c r="G11214" i="1"/>
  <c r="K11214" i="1"/>
  <c r="A11215" i="1"/>
  <c r="B11215" i="1"/>
  <c r="G11215" i="1"/>
  <c r="K11215" i="1"/>
  <c r="A11216" i="1"/>
  <c r="B11216" i="1"/>
  <c r="G11216" i="1"/>
  <c r="K11216" i="1"/>
  <c r="A11217" i="1"/>
  <c r="B11217" i="1"/>
  <c r="G11217" i="1"/>
  <c r="K11217" i="1"/>
  <c r="A11218" i="1"/>
  <c r="B11218" i="1"/>
  <c r="G11218" i="1"/>
  <c r="K11218" i="1"/>
  <c r="A11219" i="1"/>
  <c r="B11219" i="1"/>
  <c r="G11219" i="1"/>
  <c r="K11219" i="1"/>
  <c r="A11220" i="1"/>
  <c r="B11220" i="1"/>
  <c r="G11220" i="1"/>
  <c r="K11220" i="1"/>
  <c r="A11221" i="1"/>
  <c r="B11221" i="1"/>
  <c r="G11221" i="1"/>
  <c r="K11221" i="1"/>
  <c r="A11222" i="1"/>
  <c r="B11222" i="1"/>
  <c r="G11222" i="1"/>
  <c r="K11222" i="1"/>
  <c r="A11223" i="1"/>
  <c r="B11223" i="1"/>
  <c r="G11223" i="1"/>
  <c r="K11223" i="1"/>
  <c r="A11224" i="1"/>
  <c r="B11224" i="1"/>
  <c r="G11224" i="1"/>
  <c r="K11224" i="1"/>
  <c r="A11225" i="1"/>
  <c r="B11225" i="1"/>
  <c r="G11225" i="1"/>
  <c r="K11225" i="1"/>
  <c r="A11226" i="1"/>
  <c r="B11226" i="1"/>
  <c r="G11226" i="1"/>
  <c r="K11226" i="1"/>
  <c r="A11227" i="1"/>
  <c r="B11227" i="1"/>
  <c r="G11227" i="1"/>
  <c r="K11227" i="1"/>
  <c r="A11228" i="1"/>
  <c r="B11228" i="1"/>
  <c r="G11228" i="1"/>
  <c r="K11228" i="1"/>
  <c r="A11229" i="1"/>
  <c r="B11229" i="1"/>
  <c r="G11229" i="1"/>
  <c r="K11229" i="1"/>
  <c r="A11230" i="1"/>
  <c r="B11230" i="1"/>
  <c r="G11230" i="1"/>
  <c r="K11230" i="1"/>
  <c r="A11231" i="1"/>
  <c r="B11231" i="1"/>
  <c r="G11231" i="1"/>
  <c r="K11231" i="1"/>
  <c r="A11232" i="1"/>
  <c r="B11232" i="1"/>
  <c r="G11232" i="1"/>
  <c r="K11232" i="1"/>
  <c r="A11233" i="1"/>
  <c r="B11233" i="1"/>
  <c r="G11233" i="1"/>
  <c r="K11233" i="1"/>
  <c r="A11234" i="1"/>
  <c r="B11234" i="1"/>
  <c r="G11234" i="1"/>
  <c r="K11234" i="1"/>
  <c r="A11235" i="1"/>
  <c r="B11235" i="1"/>
  <c r="G11235" i="1"/>
  <c r="K11235" i="1"/>
  <c r="A11236" i="1"/>
  <c r="B11236" i="1"/>
  <c r="G11236" i="1"/>
  <c r="K11236" i="1"/>
  <c r="A11237" i="1"/>
  <c r="B11237" i="1"/>
  <c r="G11237" i="1"/>
  <c r="K11237" i="1"/>
  <c r="A11238" i="1"/>
  <c r="B11238" i="1"/>
  <c r="G11238" i="1"/>
  <c r="K11238" i="1"/>
  <c r="A11239" i="1"/>
  <c r="B11239" i="1"/>
  <c r="G11239" i="1"/>
  <c r="K11239" i="1"/>
  <c r="A11240" i="1"/>
  <c r="B11240" i="1"/>
  <c r="G11240" i="1"/>
  <c r="K11240" i="1"/>
  <c r="A11241" i="1"/>
  <c r="B11241" i="1"/>
  <c r="G11241" i="1"/>
  <c r="K11241" i="1"/>
  <c r="A11242" i="1"/>
  <c r="B11242" i="1"/>
  <c r="G11242" i="1"/>
  <c r="K11242" i="1"/>
  <c r="A11243" i="1"/>
  <c r="B11243" i="1"/>
  <c r="G11243" i="1"/>
  <c r="K11243" i="1"/>
  <c r="A11244" i="1"/>
  <c r="B11244" i="1"/>
  <c r="G11244" i="1"/>
  <c r="K11244" i="1"/>
  <c r="A11245" i="1"/>
  <c r="B11245" i="1"/>
  <c r="G11245" i="1"/>
  <c r="K11245" i="1"/>
  <c r="A11246" i="1"/>
  <c r="B11246" i="1"/>
  <c r="G11246" i="1"/>
  <c r="K11246" i="1"/>
  <c r="A11247" i="1"/>
  <c r="B11247" i="1"/>
  <c r="G11247" i="1"/>
  <c r="K11247" i="1"/>
  <c r="A11248" i="1"/>
  <c r="B11248" i="1"/>
  <c r="G11248" i="1"/>
  <c r="K11248" i="1"/>
  <c r="A11249" i="1"/>
  <c r="B11249" i="1"/>
  <c r="G11249" i="1"/>
  <c r="K11249" i="1"/>
  <c r="A11250" i="1"/>
  <c r="B11250" i="1"/>
  <c r="G11250" i="1"/>
  <c r="K11250" i="1"/>
  <c r="A11251" i="1"/>
  <c r="B11251" i="1"/>
  <c r="G11251" i="1"/>
  <c r="K11251" i="1"/>
  <c r="A11252" i="1"/>
  <c r="B11252" i="1"/>
  <c r="G11252" i="1"/>
  <c r="K11252" i="1"/>
  <c r="A11253" i="1"/>
  <c r="B11253" i="1"/>
  <c r="G11253" i="1"/>
  <c r="K11253" i="1"/>
  <c r="A11254" i="1"/>
  <c r="B11254" i="1"/>
  <c r="G11254" i="1"/>
  <c r="K11254" i="1"/>
  <c r="A11255" i="1"/>
  <c r="B11255" i="1"/>
  <c r="G11255" i="1"/>
  <c r="K11255" i="1"/>
  <c r="A11256" i="1"/>
  <c r="B11256" i="1"/>
  <c r="G11256" i="1"/>
  <c r="K11256" i="1"/>
  <c r="A11257" i="1"/>
  <c r="B11257" i="1"/>
  <c r="G11257" i="1"/>
  <c r="K11257" i="1"/>
  <c r="A11258" i="1"/>
  <c r="B11258" i="1"/>
  <c r="G11258" i="1"/>
  <c r="K11258" i="1"/>
  <c r="A11259" i="1"/>
  <c r="B11259" i="1"/>
  <c r="G11259" i="1"/>
  <c r="K11259" i="1"/>
  <c r="A11260" i="1"/>
  <c r="B11260" i="1"/>
  <c r="G11260" i="1"/>
  <c r="K11260" i="1"/>
  <c r="A11261" i="1"/>
  <c r="B11261" i="1"/>
  <c r="G11261" i="1"/>
  <c r="K11261" i="1"/>
  <c r="A11262" i="1"/>
  <c r="B11262" i="1"/>
  <c r="G11262" i="1"/>
  <c r="K11262" i="1"/>
  <c r="A11263" i="1"/>
  <c r="B11263" i="1"/>
  <c r="G11263" i="1"/>
  <c r="K11263" i="1"/>
  <c r="A11264" i="1"/>
  <c r="B11264" i="1"/>
  <c r="G11264" i="1"/>
  <c r="K11264" i="1"/>
  <c r="A11265" i="1"/>
  <c r="B11265" i="1"/>
  <c r="G11265" i="1"/>
  <c r="K11265" i="1"/>
  <c r="A11266" i="1"/>
  <c r="B11266" i="1"/>
  <c r="G11266" i="1"/>
  <c r="K11266" i="1"/>
  <c r="A11267" i="1"/>
  <c r="B11267" i="1"/>
  <c r="G11267" i="1"/>
  <c r="K11267" i="1"/>
  <c r="A11268" i="1"/>
  <c r="B11268" i="1"/>
  <c r="G11268" i="1"/>
  <c r="K11268" i="1"/>
  <c r="A11269" i="1"/>
  <c r="B11269" i="1"/>
  <c r="G11269" i="1"/>
  <c r="K11269" i="1"/>
  <c r="A11270" i="1"/>
  <c r="B11270" i="1"/>
  <c r="G11270" i="1"/>
  <c r="K11270" i="1"/>
  <c r="A11271" i="1"/>
  <c r="B11271" i="1"/>
  <c r="G11271" i="1"/>
  <c r="K11271" i="1"/>
  <c r="A11272" i="1"/>
  <c r="B11272" i="1"/>
  <c r="G11272" i="1"/>
  <c r="K11272" i="1"/>
  <c r="A11273" i="1"/>
  <c r="B11273" i="1"/>
  <c r="G11273" i="1"/>
  <c r="K11273" i="1"/>
  <c r="A11274" i="1"/>
  <c r="B11274" i="1"/>
  <c r="G11274" i="1"/>
  <c r="K11274" i="1"/>
  <c r="A11275" i="1"/>
  <c r="B11275" i="1"/>
  <c r="G11275" i="1"/>
  <c r="K11275" i="1"/>
  <c r="A11276" i="1"/>
  <c r="B11276" i="1"/>
  <c r="G11276" i="1"/>
  <c r="K11276" i="1"/>
  <c r="A11277" i="1"/>
  <c r="B11277" i="1"/>
  <c r="G11277" i="1"/>
  <c r="K11277" i="1"/>
  <c r="A11278" i="1"/>
  <c r="B11278" i="1"/>
  <c r="G11278" i="1"/>
  <c r="K11278" i="1"/>
  <c r="A11279" i="1"/>
  <c r="B11279" i="1"/>
  <c r="G11279" i="1"/>
  <c r="K11279" i="1"/>
  <c r="A11280" i="1"/>
  <c r="B11280" i="1"/>
  <c r="G11280" i="1"/>
  <c r="K11280" i="1"/>
  <c r="A11281" i="1"/>
  <c r="B11281" i="1"/>
  <c r="G11281" i="1"/>
  <c r="K11281" i="1"/>
  <c r="A11282" i="1"/>
  <c r="B11282" i="1"/>
  <c r="G11282" i="1"/>
  <c r="K11282" i="1"/>
  <c r="A11283" i="1"/>
  <c r="B11283" i="1"/>
  <c r="G11283" i="1"/>
  <c r="K11283" i="1"/>
  <c r="A11284" i="1"/>
  <c r="B11284" i="1"/>
  <c r="G11284" i="1"/>
  <c r="K11284" i="1"/>
  <c r="A11285" i="1"/>
  <c r="B11285" i="1"/>
  <c r="G11285" i="1"/>
  <c r="K11285" i="1"/>
  <c r="A11286" i="1"/>
  <c r="B11286" i="1"/>
  <c r="G11286" i="1"/>
  <c r="K11286" i="1"/>
  <c r="A11287" i="1"/>
  <c r="B11287" i="1"/>
  <c r="G11287" i="1"/>
  <c r="K11287" i="1"/>
  <c r="A11288" i="1"/>
  <c r="B11288" i="1"/>
  <c r="G11288" i="1"/>
  <c r="K11288" i="1"/>
  <c r="A11289" i="1"/>
  <c r="B11289" i="1"/>
  <c r="G11289" i="1"/>
  <c r="K11289" i="1"/>
  <c r="A11290" i="1"/>
  <c r="B11290" i="1"/>
  <c r="G11290" i="1"/>
  <c r="K11290" i="1"/>
  <c r="A11291" i="1"/>
  <c r="B11291" i="1"/>
  <c r="G11291" i="1"/>
  <c r="K11291" i="1"/>
  <c r="A11292" i="1"/>
  <c r="B11292" i="1"/>
  <c r="G11292" i="1"/>
  <c r="K11292" i="1"/>
  <c r="A11293" i="1"/>
  <c r="B11293" i="1"/>
  <c r="G11293" i="1"/>
  <c r="K11293" i="1"/>
  <c r="A11294" i="1"/>
  <c r="B11294" i="1"/>
  <c r="G11294" i="1"/>
  <c r="K11294" i="1"/>
  <c r="A11295" i="1"/>
  <c r="B11295" i="1"/>
  <c r="G11295" i="1"/>
  <c r="K11295" i="1"/>
  <c r="A11296" i="1"/>
  <c r="B11296" i="1"/>
  <c r="G11296" i="1"/>
  <c r="K11296" i="1"/>
  <c r="A11297" i="1"/>
  <c r="B11297" i="1"/>
  <c r="G11297" i="1"/>
  <c r="K11297" i="1"/>
  <c r="A11298" i="1"/>
  <c r="B11298" i="1"/>
  <c r="G11298" i="1"/>
  <c r="K11298" i="1"/>
  <c r="A11299" i="1"/>
  <c r="B11299" i="1"/>
  <c r="G11299" i="1"/>
  <c r="K11299" i="1"/>
  <c r="A11300" i="1"/>
  <c r="B11300" i="1"/>
  <c r="G11300" i="1"/>
  <c r="K11300" i="1"/>
  <c r="A11301" i="1"/>
  <c r="B11301" i="1"/>
  <c r="G11301" i="1"/>
  <c r="K11301" i="1"/>
  <c r="A11302" i="1"/>
  <c r="B11302" i="1"/>
  <c r="G11302" i="1"/>
  <c r="K11302" i="1"/>
  <c r="A11303" i="1"/>
  <c r="B11303" i="1"/>
  <c r="G11303" i="1"/>
  <c r="K11303" i="1"/>
  <c r="A11304" i="1"/>
  <c r="B11304" i="1"/>
  <c r="G11304" i="1"/>
  <c r="K11304" i="1"/>
  <c r="A11305" i="1"/>
  <c r="B11305" i="1"/>
  <c r="G11305" i="1"/>
  <c r="K11305" i="1"/>
  <c r="A11306" i="1"/>
  <c r="B11306" i="1"/>
  <c r="G11306" i="1"/>
  <c r="K11306" i="1"/>
  <c r="A11307" i="1"/>
  <c r="B11307" i="1"/>
  <c r="G11307" i="1"/>
  <c r="K11307" i="1"/>
  <c r="A11308" i="1"/>
  <c r="B11308" i="1"/>
  <c r="G11308" i="1"/>
  <c r="K11308" i="1"/>
  <c r="A11309" i="1"/>
  <c r="B11309" i="1"/>
  <c r="G11309" i="1"/>
  <c r="K11309" i="1"/>
  <c r="A11310" i="1"/>
  <c r="B11310" i="1"/>
  <c r="G11310" i="1"/>
  <c r="K11310" i="1"/>
  <c r="A11311" i="1"/>
  <c r="B11311" i="1"/>
  <c r="G11311" i="1"/>
  <c r="K11311" i="1"/>
  <c r="A11312" i="1"/>
  <c r="B11312" i="1"/>
  <c r="G11312" i="1"/>
  <c r="K11312" i="1"/>
  <c r="A11313" i="1"/>
  <c r="B11313" i="1"/>
  <c r="G11313" i="1"/>
  <c r="K11313" i="1"/>
  <c r="A11314" i="1"/>
  <c r="B11314" i="1"/>
  <c r="G11314" i="1"/>
  <c r="K11314" i="1"/>
  <c r="A11315" i="1"/>
  <c r="B11315" i="1"/>
  <c r="G11315" i="1"/>
  <c r="K11315" i="1"/>
  <c r="A11316" i="1"/>
  <c r="B11316" i="1"/>
  <c r="G11316" i="1"/>
  <c r="K11316" i="1"/>
  <c r="A11317" i="1"/>
  <c r="B11317" i="1"/>
  <c r="G11317" i="1"/>
  <c r="K11317" i="1"/>
  <c r="A11318" i="1"/>
  <c r="B11318" i="1"/>
  <c r="G11318" i="1"/>
  <c r="K11318" i="1"/>
  <c r="A11319" i="1"/>
  <c r="B11319" i="1"/>
  <c r="G11319" i="1"/>
  <c r="K11319" i="1"/>
  <c r="A11320" i="1"/>
  <c r="B11320" i="1"/>
  <c r="G11320" i="1"/>
  <c r="K11320" i="1"/>
  <c r="A11321" i="1"/>
  <c r="B11321" i="1"/>
  <c r="G11321" i="1"/>
  <c r="K11321" i="1"/>
  <c r="A11322" i="1"/>
  <c r="B11322" i="1"/>
  <c r="G11322" i="1"/>
  <c r="K11322" i="1"/>
  <c r="A11323" i="1"/>
  <c r="B11323" i="1"/>
  <c r="G11323" i="1"/>
  <c r="K11323" i="1"/>
  <c r="A11324" i="1"/>
  <c r="B11324" i="1"/>
  <c r="G11324" i="1"/>
  <c r="K11324" i="1"/>
  <c r="A11325" i="1"/>
  <c r="B11325" i="1"/>
  <c r="G11325" i="1"/>
  <c r="K11325" i="1"/>
  <c r="A11326" i="1"/>
  <c r="B11326" i="1"/>
  <c r="G11326" i="1"/>
  <c r="K11326" i="1"/>
  <c r="A11327" i="1"/>
  <c r="B11327" i="1"/>
  <c r="G11327" i="1"/>
  <c r="K11327" i="1"/>
  <c r="A11328" i="1"/>
  <c r="B11328" i="1"/>
  <c r="G11328" i="1"/>
  <c r="K11328" i="1"/>
  <c r="A11329" i="1"/>
  <c r="B11329" i="1"/>
  <c r="G11329" i="1"/>
  <c r="K11329" i="1"/>
  <c r="A11330" i="1"/>
  <c r="B11330" i="1"/>
  <c r="G11330" i="1"/>
  <c r="K11330" i="1"/>
  <c r="A11331" i="1"/>
  <c r="B11331" i="1"/>
  <c r="G11331" i="1"/>
  <c r="K11331" i="1"/>
  <c r="A11332" i="1"/>
  <c r="B11332" i="1"/>
  <c r="G11332" i="1"/>
  <c r="K11332" i="1"/>
  <c r="A11333" i="1"/>
  <c r="B11333" i="1"/>
  <c r="G11333" i="1"/>
  <c r="K11333" i="1"/>
  <c r="A11334" i="1"/>
  <c r="B11334" i="1"/>
  <c r="G11334" i="1"/>
  <c r="K11334" i="1"/>
  <c r="A11335" i="1"/>
  <c r="B11335" i="1"/>
  <c r="G11335" i="1"/>
  <c r="K11335" i="1"/>
  <c r="A11336" i="1"/>
  <c r="B11336" i="1"/>
  <c r="G11336" i="1"/>
  <c r="K11336" i="1"/>
  <c r="A11337" i="1"/>
  <c r="B11337" i="1"/>
  <c r="G11337" i="1"/>
  <c r="K11337" i="1"/>
  <c r="A11338" i="1"/>
  <c r="B11338" i="1"/>
  <c r="G11338" i="1"/>
  <c r="K11338" i="1"/>
  <c r="A11339" i="1"/>
  <c r="B11339" i="1"/>
  <c r="G11339" i="1"/>
  <c r="K11339" i="1"/>
  <c r="A11340" i="1"/>
  <c r="B11340" i="1"/>
  <c r="G11340" i="1"/>
  <c r="K11340" i="1"/>
  <c r="A11341" i="1"/>
  <c r="B11341" i="1"/>
  <c r="G11341" i="1"/>
  <c r="K11341" i="1"/>
  <c r="A11342" i="1"/>
  <c r="B11342" i="1"/>
  <c r="G11342" i="1"/>
  <c r="K11342" i="1"/>
  <c r="A11343" i="1"/>
  <c r="B11343" i="1"/>
  <c r="G11343" i="1"/>
  <c r="K11343" i="1"/>
  <c r="A11344" i="1"/>
  <c r="B11344" i="1"/>
  <c r="G11344" i="1"/>
  <c r="K11344" i="1"/>
  <c r="A11345" i="1"/>
  <c r="B11345" i="1"/>
  <c r="G11345" i="1"/>
  <c r="K11345" i="1"/>
  <c r="A11346" i="1"/>
  <c r="B11346" i="1"/>
  <c r="G11346" i="1"/>
  <c r="K11346" i="1"/>
  <c r="A11347" i="1"/>
  <c r="B11347" i="1"/>
  <c r="G11347" i="1"/>
  <c r="K11347" i="1"/>
  <c r="A11348" i="1"/>
  <c r="B11348" i="1"/>
  <c r="G11348" i="1"/>
  <c r="K11348" i="1"/>
  <c r="A11349" i="1"/>
  <c r="B11349" i="1"/>
  <c r="G11349" i="1"/>
  <c r="K11349" i="1"/>
  <c r="A11350" i="1"/>
  <c r="B11350" i="1"/>
  <c r="G11350" i="1"/>
  <c r="K11350" i="1"/>
  <c r="A11351" i="1"/>
  <c r="B11351" i="1"/>
  <c r="G11351" i="1"/>
  <c r="K11351" i="1"/>
  <c r="A11352" i="1"/>
  <c r="B11352" i="1"/>
  <c r="G11352" i="1"/>
  <c r="K11352" i="1"/>
  <c r="A11353" i="1"/>
  <c r="B11353" i="1"/>
  <c r="G11353" i="1"/>
  <c r="K11353" i="1"/>
  <c r="A11354" i="1"/>
  <c r="B11354" i="1"/>
  <c r="G11354" i="1"/>
  <c r="K11354" i="1"/>
  <c r="A11355" i="1"/>
  <c r="B11355" i="1"/>
  <c r="G11355" i="1"/>
  <c r="K11355" i="1"/>
  <c r="A11356" i="1"/>
  <c r="B11356" i="1"/>
  <c r="G11356" i="1"/>
  <c r="K11356" i="1"/>
  <c r="A11357" i="1"/>
  <c r="B11357" i="1"/>
  <c r="G11357" i="1"/>
  <c r="K11357" i="1"/>
  <c r="A11358" i="1"/>
  <c r="B11358" i="1"/>
  <c r="G11358" i="1"/>
  <c r="K11358" i="1"/>
  <c r="A11359" i="1"/>
  <c r="B11359" i="1"/>
  <c r="G11359" i="1"/>
  <c r="K11359" i="1"/>
  <c r="A11360" i="1"/>
  <c r="B11360" i="1"/>
  <c r="G11360" i="1"/>
  <c r="K11360" i="1"/>
  <c r="A11361" i="1"/>
  <c r="B11361" i="1"/>
  <c r="G11361" i="1"/>
  <c r="K11361" i="1"/>
  <c r="A11362" i="1"/>
  <c r="B11362" i="1"/>
  <c r="G11362" i="1"/>
  <c r="K11362" i="1"/>
  <c r="A11363" i="1"/>
  <c r="B11363" i="1"/>
  <c r="G11363" i="1"/>
  <c r="K11363" i="1"/>
  <c r="A11364" i="1"/>
  <c r="B11364" i="1"/>
  <c r="G11364" i="1"/>
  <c r="K11364" i="1"/>
  <c r="A11365" i="1"/>
  <c r="B11365" i="1"/>
  <c r="G11365" i="1"/>
  <c r="K11365" i="1"/>
  <c r="A11366" i="1"/>
  <c r="B11366" i="1"/>
  <c r="G11366" i="1"/>
  <c r="K11366" i="1"/>
  <c r="A11367" i="1"/>
  <c r="B11367" i="1"/>
  <c r="G11367" i="1"/>
  <c r="K11367" i="1"/>
  <c r="A11368" i="1"/>
  <c r="B11368" i="1"/>
  <c r="G11368" i="1"/>
  <c r="K11368" i="1"/>
  <c r="A11369" i="1"/>
  <c r="B11369" i="1"/>
  <c r="G11369" i="1"/>
  <c r="K11369" i="1"/>
  <c r="A11370" i="1"/>
  <c r="B11370" i="1"/>
  <c r="G11370" i="1"/>
  <c r="K11370" i="1"/>
  <c r="A11371" i="1"/>
  <c r="B11371" i="1"/>
  <c r="G11371" i="1"/>
  <c r="K11371" i="1"/>
  <c r="A11372" i="1"/>
  <c r="B11372" i="1"/>
  <c r="G11372" i="1"/>
  <c r="K11372" i="1"/>
  <c r="A11373" i="1"/>
  <c r="B11373" i="1"/>
  <c r="G11373" i="1"/>
  <c r="K11373" i="1"/>
  <c r="A11374" i="1"/>
  <c r="B11374" i="1"/>
  <c r="G11374" i="1"/>
  <c r="K11374" i="1"/>
  <c r="A11375" i="1"/>
  <c r="B11375" i="1"/>
  <c r="G11375" i="1"/>
  <c r="K11375" i="1"/>
  <c r="A11376" i="1"/>
  <c r="B11376" i="1"/>
  <c r="G11376" i="1"/>
  <c r="K11376" i="1"/>
  <c r="A11377" i="1"/>
  <c r="B11377" i="1"/>
  <c r="G11377" i="1"/>
  <c r="K11377" i="1"/>
  <c r="A11378" i="1"/>
  <c r="B11378" i="1"/>
  <c r="G11378" i="1"/>
  <c r="K11378" i="1"/>
  <c r="A11379" i="1"/>
  <c r="B11379" i="1"/>
  <c r="G11379" i="1"/>
  <c r="K11379" i="1"/>
  <c r="A11380" i="1"/>
  <c r="B11380" i="1"/>
  <c r="G11380" i="1"/>
  <c r="K11380" i="1"/>
  <c r="A11381" i="1"/>
  <c r="B11381" i="1"/>
  <c r="G11381" i="1"/>
  <c r="K11381" i="1"/>
  <c r="A11382" i="1"/>
  <c r="B11382" i="1"/>
  <c r="G11382" i="1"/>
  <c r="K11382" i="1"/>
  <c r="A11383" i="1"/>
  <c r="B11383" i="1"/>
  <c r="G11383" i="1"/>
  <c r="K11383" i="1"/>
  <c r="A11384" i="1"/>
  <c r="B11384" i="1"/>
  <c r="G11384" i="1"/>
  <c r="K11384" i="1"/>
  <c r="A11385" i="1"/>
  <c r="B11385" i="1"/>
  <c r="G11385" i="1"/>
  <c r="K11385" i="1"/>
  <c r="A11386" i="1"/>
  <c r="B11386" i="1"/>
  <c r="G11386" i="1"/>
  <c r="K11386" i="1"/>
  <c r="A11387" i="1"/>
  <c r="B11387" i="1"/>
  <c r="G11387" i="1"/>
  <c r="K11387" i="1"/>
  <c r="A11388" i="1"/>
  <c r="B11388" i="1"/>
  <c r="G11388" i="1"/>
  <c r="K11388" i="1"/>
  <c r="A11389" i="1"/>
  <c r="B11389" i="1"/>
  <c r="G11389" i="1"/>
  <c r="K11389" i="1"/>
  <c r="A11390" i="1"/>
  <c r="B11390" i="1"/>
  <c r="G11390" i="1"/>
  <c r="K11390" i="1"/>
  <c r="A11391" i="1"/>
  <c r="B11391" i="1"/>
  <c r="G11391" i="1"/>
  <c r="K11391" i="1"/>
  <c r="A11392" i="1"/>
  <c r="B11392" i="1"/>
  <c r="G11392" i="1"/>
  <c r="K11392" i="1"/>
  <c r="A11393" i="1"/>
  <c r="B11393" i="1"/>
  <c r="G11393" i="1"/>
  <c r="K11393" i="1"/>
  <c r="A11394" i="1"/>
  <c r="B11394" i="1"/>
  <c r="G11394" i="1"/>
  <c r="K11394" i="1"/>
  <c r="A11395" i="1"/>
  <c r="B11395" i="1"/>
  <c r="G11395" i="1"/>
  <c r="K11395" i="1"/>
  <c r="A11396" i="1"/>
  <c r="B11396" i="1"/>
  <c r="G11396" i="1"/>
  <c r="K11396" i="1"/>
  <c r="A11397" i="1"/>
  <c r="B11397" i="1"/>
  <c r="G11397" i="1"/>
  <c r="K11397" i="1"/>
  <c r="A11398" i="1"/>
  <c r="B11398" i="1"/>
  <c r="G11398" i="1"/>
  <c r="K11398" i="1"/>
  <c r="A11399" i="1"/>
  <c r="B11399" i="1"/>
  <c r="G11399" i="1"/>
  <c r="K11399" i="1"/>
  <c r="A11400" i="1"/>
  <c r="B11400" i="1"/>
  <c r="G11400" i="1"/>
  <c r="K11400" i="1"/>
  <c r="A11401" i="1"/>
  <c r="B11401" i="1"/>
  <c r="G11401" i="1"/>
  <c r="K11401" i="1"/>
  <c r="A11402" i="1"/>
  <c r="B11402" i="1"/>
  <c r="G11402" i="1"/>
  <c r="K11402" i="1"/>
  <c r="A11403" i="1"/>
  <c r="B11403" i="1"/>
  <c r="G11403" i="1"/>
  <c r="K11403" i="1"/>
  <c r="A11404" i="1"/>
  <c r="B11404" i="1"/>
  <c r="G11404" i="1"/>
  <c r="K11404" i="1"/>
  <c r="A11405" i="1"/>
  <c r="B11405" i="1"/>
  <c r="G11405" i="1"/>
  <c r="K11405" i="1"/>
  <c r="A11406" i="1"/>
  <c r="B11406" i="1"/>
  <c r="G11406" i="1"/>
  <c r="K11406" i="1"/>
  <c r="A11407" i="1"/>
  <c r="B11407" i="1"/>
  <c r="G11407" i="1"/>
  <c r="K11407" i="1"/>
  <c r="A11408" i="1"/>
  <c r="B11408" i="1"/>
  <c r="G11408" i="1"/>
  <c r="K11408" i="1"/>
  <c r="A11409" i="1"/>
  <c r="B11409" i="1"/>
  <c r="G11409" i="1"/>
  <c r="K11409" i="1"/>
  <c r="A11410" i="1"/>
  <c r="B11410" i="1"/>
  <c r="G11410" i="1"/>
  <c r="K11410" i="1"/>
  <c r="A11411" i="1"/>
  <c r="B11411" i="1"/>
  <c r="G11411" i="1"/>
  <c r="K11411" i="1"/>
  <c r="A11412" i="1"/>
  <c r="B11412" i="1"/>
  <c r="G11412" i="1"/>
  <c r="K11412" i="1"/>
  <c r="A11413" i="1"/>
  <c r="B11413" i="1"/>
  <c r="G11413" i="1"/>
  <c r="K11413" i="1"/>
  <c r="A11414" i="1"/>
  <c r="B11414" i="1"/>
  <c r="G11414" i="1"/>
  <c r="K11414" i="1"/>
  <c r="A11415" i="1"/>
  <c r="B11415" i="1"/>
  <c r="G11415" i="1"/>
  <c r="K11415" i="1"/>
  <c r="A11416" i="1"/>
  <c r="B11416" i="1"/>
  <c r="G11416" i="1"/>
  <c r="K11416" i="1"/>
  <c r="A11417" i="1"/>
  <c r="B11417" i="1"/>
  <c r="G11417" i="1"/>
  <c r="K11417" i="1"/>
  <c r="A11418" i="1"/>
  <c r="B11418" i="1"/>
  <c r="G11418" i="1"/>
  <c r="K11418" i="1"/>
  <c r="A11419" i="1"/>
  <c r="B11419" i="1"/>
  <c r="G11419" i="1"/>
  <c r="K11419" i="1"/>
  <c r="A11420" i="1"/>
  <c r="B11420" i="1"/>
  <c r="G11420" i="1"/>
  <c r="K11420" i="1"/>
  <c r="A11421" i="1"/>
  <c r="B11421" i="1"/>
  <c r="G11421" i="1"/>
  <c r="K11421" i="1"/>
  <c r="A11422" i="1"/>
  <c r="B11422" i="1"/>
  <c r="G11422" i="1"/>
  <c r="K11422" i="1"/>
  <c r="A11423" i="1"/>
  <c r="B11423" i="1"/>
  <c r="G11423" i="1"/>
  <c r="K11423" i="1"/>
  <c r="A11424" i="1"/>
  <c r="B11424" i="1"/>
  <c r="G11424" i="1"/>
  <c r="K11424" i="1"/>
  <c r="A11425" i="1"/>
  <c r="B11425" i="1"/>
  <c r="G11425" i="1"/>
  <c r="K11425" i="1"/>
  <c r="A11426" i="1"/>
  <c r="B11426" i="1"/>
  <c r="G11426" i="1"/>
  <c r="K11426" i="1"/>
  <c r="A11427" i="1"/>
  <c r="B11427" i="1"/>
  <c r="G11427" i="1"/>
  <c r="K11427" i="1"/>
  <c r="A11428" i="1"/>
  <c r="B11428" i="1"/>
  <c r="G11428" i="1"/>
  <c r="K11428" i="1"/>
  <c r="A11429" i="1"/>
  <c r="B11429" i="1"/>
  <c r="G11429" i="1"/>
  <c r="K11429" i="1"/>
  <c r="A11430" i="1"/>
  <c r="B11430" i="1"/>
  <c r="G11430" i="1"/>
  <c r="K11430" i="1"/>
  <c r="A11431" i="1"/>
  <c r="B11431" i="1"/>
  <c r="G11431" i="1"/>
  <c r="K11431" i="1"/>
  <c r="A11432" i="1"/>
  <c r="B11432" i="1"/>
  <c r="G11432" i="1"/>
  <c r="K11432" i="1"/>
  <c r="A11433" i="1"/>
  <c r="B11433" i="1"/>
  <c r="G11433" i="1"/>
  <c r="K11433" i="1"/>
  <c r="A11434" i="1"/>
  <c r="B11434" i="1"/>
  <c r="G11434" i="1"/>
  <c r="K11434" i="1"/>
  <c r="A11435" i="1"/>
  <c r="B11435" i="1"/>
  <c r="G11435" i="1"/>
  <c r="K11435" i="1"/>
  <c r="A11436" i="1"/>
  <c r="B11436" i="1"/>
  <c r="G11436" i="1"/>
  <c r="K11436" i="1"/>
  <c r="A11437" i="1"/>
  <c r="B11437" i="1"/>
  <c r="G11437" i="1"/>
  <c r="K11437" i="1"/>
  <c r="A11438" i="1"/>
  <c r="B11438" i="1"/>
  <c r="G11438" i="1"/>
  <c r="K11438" i="1"/>
  <c r="A11439" i="1"/>
  <c r="B11439" i="1"/>
  <c r="G11439" i="1"/>
  <c r="K11439" i="1"/>
  <c r="A11440" i="1"/>
  <c r="B11440" i="1"/>
  <c r="G11440" i="1"/>
  <c r="K11440" i="1"/>
  <c r="A11441" i="1"/>
  <c r="B11441" i="1"/>
  <c r="G11441" i="1"/>
  <c r="K11441" i="1"/>
  <c r="A11442" i="1"/>
  <c r="B11442" i="1"/>
  <c r="G11442" i="1"/>
  <c r="K11442" i="1"/>
  <c r="A11443" i="1"/>
  <c r="B11443" i="1"/>
  <c r="G11443" i="1"/>
  <c r="K11443" i="1"/>
  <c r="A11444" i="1"/>
  <c r="B11444" i="1"/>
  <c r="G11444" i="1"/>
  <c r="K11444" i="1"/>
  <c r="A11445" i="1"/>
  <c r="B11445" i="1"/>
  <c r="G11445" i="1"/>
  <c r="K11445" i="1"/>
  <c r="A11446" i="1"/>
  <c r="B11446" i="1"/>
  <c r="G11446" i="1"/>
  <c r="K11446" i="1"/>
  <c r="A11447" i="1"/>
  <c r="B11447" i="1"/>
  <c r="G11447" i="1"/>
  <c r="K11447" i="1"/>
  <c r="A11448" i="1"/>
  <c r="B11448" i="1"/>
  <c r="G11448" i="1"/>
  <c r="K11448" i="1"/>
  <c r="A11449" i="1"/>
  <c r="B11449" i="1"/>
  <c r="G11449" i="1"/>
  <c r="K11449" i="1"/>
  <c r="A11450" i="1"/>
  <c r="B11450" i="1"/>
  <c r="G11450" i="1"/>
  <c r="K11450" i="1"/>
  <c r="A11451" i="1"/>
  <c r="B11451" i="1"/>
  <c r="G11451" i="1"/>
  <c r="K11451" i="1"/>
  <c r="A11452" i="1"/>
  <c r="B11452" i="1"/>
  <c r="G11452" i="1"/>
  <c r="K11452" i="1"/>
  <c r="A11453" i="1"/>
  <c r="B11453" i="1"/>
  <c r="G11453" i="1"/>
  <c r="K11453" i="1"/>
  <c r="A11454" i="1"/>
  <c r="B11454" i="1"/>
  <c r="G11454" i="1"/>
  <c r="K11454" i="1"/>
  <c r="A11455" i="1"/>
  <c r="B11455" i="1"/>
  <c r="G11455" i="1"/>
  <c r="K11455" i="1"/>
  <c r="A11456" i="1"/>
  <c r="B11456" i="1"/>
  <c r="G11456" i="1"/>
  <c r="K11456" i="1"/>
  <c r="A11457" i="1"/>
  <c r="B11457" i="1"/>
  <c r="G11457" i="1"/>
  <c r="K11457" i="1"/>
  <c r="A11458" i="1"/>
  <c r="B11458" i="1"/>
  <c r="G11458" i="1"/>
  <c r="K11458" i="1"/>
  <c r="A11459" i="1"/>
  <c r="B11459" i="1"/>
  <c r="G11459" i="1"/>
  <c r="K11459" i="1"/>
  <c r="A11460" i="1"/>
  <c r="B11460" i="1"/>
  <c r="G11460" i="1"/>
  <c r="K11460" i="1"/>
  <c r="A11461" i="1"/>
  <c r="B11461" i="1"/>
  <c r="G11461" i="1"/>
  <c r="K11461" i="1"/>
  <c r="A11462" i="1"/>
  <c r="B11462" i="1"/>
  <c r="G11462" i="1"/>
  <c r="K11462" i="1"/>
  <c r="A11463" i="1"/>
  <c r="B11463" i="1"/>
  <c r="G11463" i="1"/>
  <c r="K11463" i="1"/>
  <c r="A11464" i="1"/>
  <c r="B11464" i="1"/>
  <c r="G11464" i="1"/>
  <c r="K11464" i="1"/>
  <c r="A11465" i="1"/>
  <c r="B11465" i="1"/>
  <c r="G11465" i="1"/>
  <c r="K11465" i="1"/>
  <c r="A11466" i="1"/>
  <c r="B11466" i="1"/>
  <c r="G11466" i="1"/>
  <c r="K11466" i="1"/>
  <c r="A11467" i="1"/>
  <c r="B11467" i="1"/>
  <c r="G11467" i="1"/>
  <c r="K11467" i="1"/>
  <c r="A11468" i="1"/>
  <c r="B11468" i="1"/>
  <c r="G11468" i="1"/>
  <c r="K11468" i="1"/>
  <c r="A11469" i="1"/>
  <c r="B11469" i="1"/>
  <c r="G11469" i="1"/>
  <c r="K11469" i="1"/>
  <c r="A11470" i="1"/>
  <c r="B11470" i="1"/>
  <c r="G11470" i="1"/>
  <c r="K11470" i="1"/>
  <c r="A11471" i="1"/>
  <c r="B11471" i="1"/>
  <c r="G11471" i="1"/>
  <c r="K11471" i="1"/>
  <c r="A11472" i="1"/>
  <c r="B11472" i="1"/>
  <c r="G11472" i="1"/>
  <c r="K11472" i="1"/>
  <c r="A11473" i="1"/>
  <c r="B11473" i="1"/>
  <c r="G11473" i="1"/>
  <c r="K11473" i="1"/>
  <c r="A11474" i="1"/>
  <c r="B11474" i="1"/>
  <c r="G11474" i="1"/>
  <c r="K11474" i="1"/>
  <c r="A11475" i="1"/>
  <c r="B11475" i="1"/>
  <c r="G11475" i="1"/>
  <c r="K11475" i="1"/>
  <c r="A11476" i="1"/>
  <c r="B11476" i="1"/>
  <c r="G11476" i="1"/>
  <c r="K11476" i="1"/>
  <c r="A11477" i="1"/>
  <c r="B11477" i="1"/>
  <c r="G11477" i="1"/>
  <c r="K11477" i="1"/>
  <c r="A11478" i="1"/>
  <c r="B11478" i="1"/>
  <c r="G11478" i="1"/>
  <c r="K11478" i="1"/>
  <c r="A11479" i="1"/>
  <c r="B11479" i="1"/>
  <c r="G11479" i="1"/>
  <c r="K11479" i="1"/>
  <c r="A11480" i="1"/>
  <c r="B11480" i="1"/>
  <c r="G11480" i="1"/>
  <c r="K11480" i="1"/>
  <c r="A11481" i="1"/>
  <c r="B11481" i="1"/>
  <c r="G11481" i="1"/>
  <c r="K11481" i="1"/>
  <c r="A11482" i="1"/>
  <c r="B11482" i="1"/>
  <c r="G11482" i="1"/>
  <c r="K11482" i="1"/>
  <c r="A11483" i="1"/>
  <c r="B11483" i="1"/>
  <c r="G11483" i="1"/>
  <c r="K11483" i="1"/>
  <c r="A11484" i="1"/>
  <c r="B11484" i="1"/>
  <c r="G11484" i="1"/>
  <c r="K11484" i="1"/>
  <c r="A11485" i="1"/>
  <c r="B11485" i="1"/>
  <c r="G11485" i="1"/>
  <c r="K11485" i="1"/>
  <c r="A11486" i="1"/>
  <c r="B11486" i="1"/>
  <c r="G11486" i="1"/>
  <c r="K11486" i="1"/>
  <c r="A11487" i="1"/>
  <c r="B11487" i="1"/>
  <c r="G11487" i="1"/>
  <c r="K11487" i="1"/>
  <c r="A11488" i="1"/>
  <c r="B11488" i="1"/>
  <c r="G11488" i="1"/>
  <c r="K11488" i="1"/>
  <c r="A11489" i="1"/>
  <c r="B11489" i="1"/>
  <c r="G11489" i="1"/>
  <c r="K11489" i="1"/>
  <c r="A11490" i="1"/>
  <c r="B11490" i="1"/>
  <c r="G11490" i="1"/>
  <c r="K11490" i="1"/>
  <c r="A11491" i="1"/>
  <c r="B11491" i="1"/>
  <c r="G11491" i="1"/>
  <c r="K11491" i="1"/>
  <c r="A11492" i="1"/>
  <c r="B11492" i="1"/>
  <c r="G11492" i="1"/>
  <c r="K11492" i="1"/>
  <c r="A11493" i="1"/>
  <c r="B11493" i="1"/>
  <c r="G11493" i="1"/>
  <c r="K11493" i="1"/>
  <c r="A11494" i="1"/>
  <c r="B11494" i="1"/>
  <c r="G11494" i="1"/>
  <c r="K11494" i="1"/>
  <c r="A11495" i="1"/>
  <c r="B11495" i="1"/>
  <c r="G11495" i="1"/>
  <c r="K11495" i="1"/>
  <c r="A11496" i="1"/>
  <c r="B11496" i="1"/>
  <c r="G11496" i="1"/>
  <c r="K11496" i="1"/>
  <c r="A11497" i="1"/>
  <c r="B11497" i="1"/>
  <c r="G11497" i="1"/>
  <c r="K11497" i="1"/>
  <c r="A11498" i="1"/>
  <c r="B11498" i="1"/>
  <c r="G11498" i="1"/>
  <c r="K11498" i="1"/>
  <c r="A11499" i="1"/>
  <c r="B11499" i="1"/>
  <c r="G11499" i="1"/>
  <c r="K11499" i="1"/>
  <c r="A11500" i="1"/>
  <c r="B11500" i="1"/>
  <c r="G11500" i="1"/>
  <c r="K11500" i="1"/>
  <c r="A11501" i="1"/>
  <c r="B11501" i="1"/>
  <c r="G11501" i="1"/>
  <c r="K11501" i="1"/>
  <c r="A11502" i="1"/>
  <c r="B11502" i="1"/>
  <c r="G11502" i="1"/>
  <c r="K11502" i="1"/>
  <c r="A11503" i="1"/>
  <c r="B11503" i="1"/>
  <c r="G11503" i="1"/>
  <c r="K11503" i="1"/>
  <c r="A11504" i="1"/>
  <c r="B11504" i="1"/>
  <c r="G11504" i="1"/>
  <c r="K11504" i="1"/>
  <c r="A11505" i="1"/>
  <c r="B11505" i="1"/>
  <c r="G11505" i="1"/>
  <c r="K11505" i="1"/>
  <c r="A11506" i="1"/>
  <c r="B11506" i="1"/>
  <c r="G11506" i="1"/>
  <c r="K11506" i="1"/>
  <c r="A11507" i="1"/>
  <c r="B11507" i="1"/>
  <c r="G11507" i="1"/>
  <c r="K11507" i="1"/>
  <c r="A11508" i="1"/>
  <c r="B11508" i="1"/>
  <c r="G11508" i="1"/>
  <c r="K11508" i="1"/>
  <c r="A11509" i="1"/>
  <c r="B11509" i="1"/>
  <c r="G11509" i="1"/>
  <c r="K11509" i="1"/>
  <c r="A11510" i="1"/>
  <c r="B11510" i="1"/>
  <c r="G11510" i="1"/>
  <c r="K11510" i="1"/>
  <c r="A11511" i="1"/>
  <c r="B11511" i="1"/>
  <c r="G11511" i="1"/>
  <c r="K11511" i="1"/>
  <c r="A11512" i="1"/>
  <c r="B11512" i="1"/>
  <c r="G11512" i="1"/>
  <c r="K11512" i="1"/>
  <c r="A11513" i="1"/>
  <c r="B11513" i="1"/>
  <c r="G11513" i="1"/>
  <c r="K11513" i="1"/>
  <c r="A11514" i="1"/>
  <c r="B11514" i="1"/>
  <c r="G11514" i="1"/>
  <c r="K11514" i="1"/>
  <c r="A11515" i="1"/>
  <c r="B11515" i="1"/>
  <c r="G11515" i="1"/>
  <c r="K11515" i="1"/>
  <c r="A11516" i="1"/>
  <c r="B11516" i="1"/>
  <c r="G11516" i="1"/>
  <c r="K11516" i="1"/>
  <c r="A11517" i="1"/>
  <c r="B11517" i="1"/>
  <c r="G11517" i="1"/>
  <c r="K11517" i="1"/>
  <c r="A11518" i="1"/>
  <c r="B11518" i="1"/>
  <c r="G11518" i="1"/>
  <c r="K11518" i="1"/>
  <c r="A11519" i="1"/>
  <c r="B11519" i="1"/>
  <c r="G11519" i="1"/>
  <c r="K11519" i="1"/>
  <c r="A11520" i="1"/>
  <c r="B11520" i="1"/>
  <c r="G11520" i="1"/>
  <c r="K11520" i="1"/>
  <c r="A11521" i="1"/>
  <c r="B11521" i="1"/>
  <c r="G11521" i="1"/>
  <c r="K11521" i="1"/>
  <c r="A11522" i="1"/>
  <c r="B11522" i="1"/>
  <c r="G11522" i="1"/>
  <c r="K11522" i="1"/>
  <c r="A11523" i="1"/>
  <c r="B11523" i="1"/>
  <c r="G11523" i="1"/>
  <c r="K11523" i="1"/>
  <c r="A11524" i="1"/>
  <c r="B11524" i="1"/>
  <c r="G11524" i="1"/>
  <c r="K11524" i="1"/>
  <c r="A11525" i="1"/>
  <c r="B11525" i="1"/>
  <c r="G11525" i="1"/>
  <c r="K11525" i="1"/>
  <c r="A11526" i="1"/>
  <c r="B11526" i="1"/>
  <c r="G11526" i="1"/>
  <c r="K11526" i="1"/>
  <c r="A11527" i="1"/>
  <c r="B11527" i="1"/>
  <c r="G11527" i="1"/>
  <c r="K11527" i="1"/>
  <c r="A11528" i="1"/>
  <c r="B11528" i="1"/>
  <c r="G11528" i="1"/>
  <c r="K11528" i="1"/>
  <c r="A11529" i="1"/>
  <c r="B11529" i="1"/>
  <c r="G11529" i="1"/>
  <c r="K11529" i="1"/>
  <c r="A11530" i="1"/>
  <c r="B11530" i="1"/>
  <c r="G11530" i="1"/>
  <c r="K11530" i="1"/>
  <c r="A11531" i="1"/>
  <c r="B11531" i="1"/>
  <c r="G11531" i="1"/>
  <c r="K11531" i="1"/>
  <c r="A11532" i="1"/>
  <c r="B11532" i="1"/>
  <c r="G11532" i="1"/>
  <c r="K11532" i="1"/>
  <c r="A11533" i="1"/>
  <c r="B11533" i="1"/>
  <c r="G11533" i="1"/>
  <c r="K11533" i="1"/>
  <c r="A11534" i="1"/>
  <c r="B11534" i="1"/>
  <c r="G11534" i="1"/>
  <c r="K11534" i="1"/>
  <c r="A11535" i="1"/>
  <c r="B11535" i="1"/>
  <c r="G11535" i="1"/>
  <c r="K11535" i="1"/>
  <c r="A11536" i="1"/>
  <c r="B11536" i="1"/>
  <c r="G11536" i="1"/>
  <c r="K11536" i="1"/>
  <c r="A11537" i="1"/>
  <c r="B11537" i="1"/>
  <c r="G11537" i="1"/>
  <c r="K11537" i="1"/>
  <c r="A11538" i="1"/>
  <c r="B11538" i="1"/>
  <c r="G11538" i="1"/>
  <c r="K11538" i="1"/>
  <c r="A11539" i="1"/>
  <c r="B11539" i="1"/>
  <c r="G11539" i="1"/>
  <c r="K11539" i="1"/>
  <c r="A11540" i="1"/>
  <c r="B11540" i="1"/>
  <c r="G11540" i="1"/>
  <c r="K11540" i="1"/>
  <c r="A11541" i="1"/>
  <c r="B11541" i="1"/>
  <c r="G11541" i="1"/>
  <c r="K11541" i="1"/>
  <c r="A11542" i="1"/>
  <c r="B11542" i="1"/>
  <c r="G11542" i="1"/>
  <c r="K11542" i="1"/>
  <c r="A11543" i="1"/>
  <c r="B11543" i="1"/>
  <c r="G11543" i="1"/>
  <c r="K11543" i="1"/>
  <c r="A11544" i="1"/>
  <c r="B11544" i="1"/>
  <c r="G11544" i="1"/>
  <c r="K11544" i="1"/>
  <c r="A11545" i="1"/>
  <c r="B11545" i="1"/>
  <c r="G11545" i="1"/>
  <c r="K11545" i="1"/>
  <c r="A11546" i="1"/>
  <c r="B11546" i="1"/>
  <c r="G11546" i="1"/>
  <c r="K11546" i="1"/>
  <c r="A11547" i="1"/>
  <c r="B11547" i="1"/>
  <c r="G11547" i="1"/>
  <c r="K11547" i="1"/>
  <c r="A11548" i="1"/>
  <c r="B11548" i="1"/>
  <c r="G11548" i="1"/>
  <c r="K11548" i="1"/>
  <c r="A11549" i="1"/>
  <c r="B11549" i="1"/>
  <c r="G11549" i="1"/>
  <c r="K11549" i="1"/>
  <c r="A11550" i="1"/>
  <c r="B11550" i="1"/>
  <c r="G11550" i="1"/>
  <c r="K11550" i="1"/>
  <c r="A11551" i="1"/>
  <c r="B11551" i="1"/>
  <c r="G11551" i="1"/>
  <c r="K11551" i="1"/>
  <c r="A11552" i="1"/>
  <c r="B11552" i="1"/>
  <c r="G11552" i="1"/>
  <c r="K11552" i="1"/>
  <c r="A11553" i="1"/>
  <c r="B11553" i="1"/>
  <c r="G11553" i="1"/>
  <c r="K11553" i="1"/>
  <c r="A11554" i="1"/>
  <c r="B11554" i="1"/>
  <c r="G11554" i="1"/>
  <c r="K11554" i="1"/>
  <c r="A11555" i="1"/>
  <c r="B11555" i="1"/>
  <c r="G11555" i="1"/>
  <c r="K11555" i="1"/>
  <c r="A11556" i="1"/>
  <c r="B11556" i="1"/>
  <c r="G11556" i="1"/>
  <c r="K11556" i="1"/>
  <c r="A11557" i="1"/>
  <c r="B11557" i="1"/>
  <c r="G11557" i="1"/>
  <c r="K11557" i="1"/>
  <c r="A11558" i="1"/>
  <c r="B11558" i="1"/>
  <c r="G11558" i="1"/>
  <c r="K11558" i="1"/>
  <c r="A11559" i="1"/>
  <c r="B11559" i="1"/>
  <c r="G11559" i="1"/>
  <c r="K11559" i="1"/>
  <c r="A11560" i="1"/>
  <c r="B11560" i="1"/>
  <c r="G11560" i="1"/>
  <c r="K11560" i="1"/>
  <c r="A11561" i="1"/>
  <c r="B11561" i="1"/>
  <c r="G11561" i="1"/>
  <c r="K11561" i="1"/>
  <c r="A11562" i="1"/>
  <c r="B11562" i="1"/>
  <c r="G11562" i="1"/>
  <c r="K11562" i="1"/>
  <c r="A11563" i="1"/>
  <c r="B11563" i="1"/>
  <c r="G11563" i="1"/>
  <c r="K11563" i="1"/>
  <c r="A11564" i="1"/>
  <c r="B11564" i="1"/>
  <c r="G11564" i="1"/>
  <c r="K11564" i="1"/>
  <c r="A11565" i="1"/>
  <c r="B11565" i="1"/>
  <c r="G11565" i="1"/>
  <c r="K11565" i="1"/>
  <c r="A11566" i="1"/>
  <c r="B11566" i="1"/>
  <c r="G11566" i="1"/>
  <c r="K11566" i="1"/>
  <c r="A11567" i="1"/>
  <c r="B11567" i="1"/>
  <c r="G11567" i="1"/>
  <c r="K11567" i="1"/>
  <c r="A11568" i="1"/>
  <c r="B11568" i="1"/>
  <c r="G11568" i="1"/>
  <c r="K11568" i="1"/>
  <c r="A11569" i="1"/>
  <c r="B11569" i="1"/>
  <c r="G11569" i="1"/>
  <c r="K11569" i="1"/>
  <c r="A11570" i="1"/>
  <c r="B11570" i="1"/>
  <c r="G11570" i="1"/>
  <c r="K11570" i="1"/>
  <c r="A11571" i="1"/>
  <c r="B11571" i="1"/>
  <c r="G11571" i="1"/>
  <c r="K11571" i="1"/>
  <c r="A11572" i="1"/>
  <c r="B11572" i="1"/>
  <c r="G11572" i="1"/>
  <c r="K11572" i="1"/>
  <c r="A11573" i="1"/>
  <c r="B11573" i="1"/>
  <c r="G11573" i="1"/>
  <c r="K11573" i="1"/>
  <c r="A11574" i="1"/>
  <c r="B11574" i="1"/>
  <c r="G11574" i="1"/>
  <c r="K11574" i="1"/>
  <c r="A11575" i="1"/>
  <c r="B11575" i="1"/>
  <c r="G11575" i="1"/>
  <c r="K11575" i="1"/>
  <c r="A11576" i="1"/>
  <c r="B11576" i="1"/>
  <c r="G11576" i="1"/>
  <c r="K11576" i="1"/>
  <c r="A11577" i="1"/>
  <c r="B11577" i="1"/>
  <c r="G11577" i="1"/>
  <c r="K11577" i="1"/>
  <c r="A11578" i="1"/>
  <c r="B11578" i="1"/>
  <c r="G11578" i="1"/>
  <c r="K11578" i="1"/>
  <c r="A11579" i="1"/>
  <c r="B11579" i="1"/>
  <c r="G11579" i="1"/>
  <c r="K11579" i="1"/>
  <c r="A11580" i="1"/>
  <c r="B11580" i="1"/>
  <c r="G11580" i="1"/>
  <c r="K11580" i="1"/>
  <c r="A11581" i="1"/>
  <c r="B11581" i="1"/>
  <c r="G11581" i="1"/>
  <c r="K11581" i="1"/>
  <c r="A11582" i="1"/>
  <c r="B11582" i="1"/>
  <c r="G11582" i="1"/>
  <c r="K11582" i="1"/>
  <c r="A11583" i="1"/>
  <c r="B11583" i="1"/>
  <c r="G11583" i="1"/>
  <c r="K11583" i="1"/>
  <c r="A11584" i="1"/>
  <c r="B11584" i="1"/>
  <c r="G11584" i="1"/>
  <c r="K11584" i="1"/>
  <c r="A11585" i="1"/>
  <c r="B11585" i="1"/>
  <c r="G11585" i="1"/>
  <c r="K11585" i="1"/>
  <c r="A11586" i="1"/>
  <c r="B11586" i="1"/>
  <c r="G11586" i="1"/>
  <c r="K11586" i="1"/>
  <c r="A11587" i="1"/>
  <c r="B11587" i="1"/>
  <c r="G11587" i="1"/>
  <c r="K11587" i="1"/>
  <c r="A11588" i="1"/>
  <c r="B11588" i="1"/>
  <c r="G11588" i="1"/>
  <c r="K11588" i="1"/>
  <c r="A11589" i="1"/>
  <c r="B11589" i="1"/>
  <c r="G11589" i="1"/>
  <c r="K11589" i="1"/>
  <c r="A11590" i="1"/>
  <c r="B11590" i="1"/>
  <c r="G11590" i="1"/>
  <c r="K11590" i="1"/>
  <c r="A11591" i="1"/>
  <c r="B11591" i="1"/>
  <c r="G11591" i="1"/>
  <c r="K11591" i="1"/>
  <c r="A11592" i="1"/>
  <c r="B11592" i="1"/>
  <c r="G11592" i="1"/>
  <c r="K11592" i="1"/>
  <c r="A11593" i="1"/>
  <c r="B11593" i="1"/>
  <c r="G11593" i="1"/>
  <c r="K11593" i="1"/>
  <c r="A11594" i="1"/>
  <c r="B11594" i="1"/>
  <c r="G11594" i="1"/>
  <c r="K11594" i="1"/>
  <c r="A11595" i="1"/>
  <c r="B11595" i="1"/>
  <c r="G11595" i="1"/>
  <c r="K11595" i="1"/>
  <c r="A11596" i="1"/>
  <c r="B11596" i="1"/>
  <c r="G11596" i="1"/>
  <c r="K11596" i="1"/>
  <c r="A11597" i="1"/>
  <c r="B11597" i="1"/>
  <c r="G11597" i="1"/>
  <c r="K11597" i="1"/>
  <c r="A11598" i="1"/>
  <c r="B11598" i="1"/>
  <c r="G11598" i="1"/>
  <c r="K11598" i="1"/>
  <c r="A11599" i="1"/>
  <c r="B11599" i="1"/>
  <c r="G11599" i="1"/>
  <c r="K11599" i="1"/>
  <c r="A11600" i="1"/>
  <c r="B11600" i="1"/>
  <c r="G11600" i="1"/>
  <c r="K11600" i="1"/>
  <c r="A11601" i="1"/>
  <c r="B11601" i="1"/>
  <c r="G11601" i="1"/>
  <c r="K11601" i="1"/>
  <c r="A11602" i="1"/>
  <c r="B11602" i="1"/>
  <c r="G11602" i="1"/>
  <c r="K11602" i="1"/>
  <c r="A11603" i="1"/>
  <c r="B11603" i="1"/>
  <c r="G11603" i="1"/>
  <c r="K11603" i="1"/>
  <c r="A11604" i="1"/>
  <c r="B11604" i="1"/>
  <c r="G11604" i="1"/>
  <c r="K11604" i="1"/>
  <c r="A11605" i="1"/>
  <c r="B11605" i="1"/>
  <c r="G11605" i="1"/>
  <c r="K11605" i="1"/>
  <c r="A11606" i="1"/>
  <c r="B11606" i="1"/>
  <c r="G11606" i="1"/>
  <c r="K11606" i="1"/>
  <c r="A11607" i="1"/>
  <c r="B11607" i="1"/>
  <c r="G11607" i="1"/>
  <c r="K11607" i="1"/>
  <c r="A11608" i="1"/>
  <c r="B11608" i="1"/>
  <c r="G11608" i="1"/>
  <c r="K11608" i="1"/>
  <c r="A11609" i="1"/>
  <c r="B11609" i="1"/>
  <c r="G11609" i="1"/>
  <c r="K11609" i="1"/>
  <c r="A11610" i="1"/>
  <c r="B11610" i="1"/>
  <c r="G11610" i="1"/>
  <c r="K11610" i="1"/>
  <c r="A11611" i="1"/>
  <c r="B11611" i="1"/>
  <c r="G11611" i="1"/>
  <c r="K11611" i="1"/>
  <c r="A11612" i="1"/>
  <c r="B11612" i="1"/>
  <c r="G11612" i="1"/>
  <c r="K11612" i="1"/>
  <c r="A11613" i="1"/>
  <c r="B11613" i="1"/>
  <c r="G11613" i="1"/>
  <c r="K11613" i="1"/>
  <c r="A11614" i="1"/>
  <c r="B11614" i="1"/>
  <c r="G11614" i="1"/>
  <c r="K11614" i="1"/>
  <c r="A11615" i="1"/>
  <c r="B11615" i="1"/>
  <c r="G11615" i="1"/>
  <c r="K11615" i="1"/>
  <c r="A11616" i="1"/>
  <c r="B11616" i="1"/>
  <c r="G11616" i="1"/>
  <c r="K11616" i="1"/>
  <c r="A11617" i="1"/>
  <c r="B11617" i="1"/>
  <c r="G11617" i="1"/>
  <c r="K11617" i="1"/>
  <c r="A11618" i="1"/>
  <c r="B11618" i="1"/>
  <c r="G11618" i="1"/>
  <c r="K11618" i="1"/>
  <c r="A11619" i="1"/>
  <c r="B11619" i="1"/>
  <c r="G11619" i="1"/>
  <c r="K11619" i="1"/>
  <c r="A11620" i="1"/>
  <c r="B11620" i="1"/>
  <c r="G11620" i="1"/>
  <c r="K11620" i="1"/>
  <c r="A11621" i="1"/>
  <c r="B11621" i="1"/>
  <c r="G11621" i="1"/>
  <c r="K11621" i="1"/>
  <c r="A11622" i="1"/>
  <c r="B11622" i="1"/>
  <c r="G11622" i="1"/>
  <c r="K11622" i="1"/>
  <c r="A11623" i="1"/>
  <c r="B11623" i="1"/>
  <c r="G11623" i="1"/>
  <c r="K11623" i="1"/>
  <c r="A11624" i="1"/>
  <c r="B11624" i="1"/>
  <c r="G11624" i="1"/>
  <c r="K11624" i="1"/>
  <c r="A11625" i="1"/>
  <c r="B11625" i="1"/>
  <c r="G11625" i="1"/>
  <c r="K11625" i="1"/>
  <c r="A11626" i="1"/>
  <c r="B11626" i="1"/>
  <c r="G11626" i="1"/>
  <c r="K11626" i="1"/>
  <c r="A11627" i="1"/>
  <c r="B11627" i="1"/>
  <c r="G11627" i="1"/>
  <c r="K11627" i="1"/>
  <c r="A11628" i="1"/>
  <c r="B11628" i="1"/>
  <c r="G11628" i="1"/>
  <c r="K11628" i="1"/>
  <c r="A11629" i="1"/>
  <c r="B11629" i="1"/>
  <c r="G11629" i="1"/>
  <c r="K11629" i="1"/>
  <c r="A11630" i="1"/>
  <c r="B11630" i="1"/>
  <c r="G11630" i="1"/>
  <c r="K11630" i="1"/>
  <c r="A11631" i="1"/>
  <c r="B11631" i="1"/>
  <c r="G11631" i="1"/>
  <c r="K11631" i="1"/>
  <c r="A11632" i="1"/>
  <c r="B11632" i="1"/>
  <c r="G11632" i="1"/>
  <c r="K11632" i="1"/>
  <c r="A11633" i="1"/>
  <c r="B11633" i="1"/>
  <c r="G11633" i="1"/>
  <c r="K11633" i="1"/>
  <c r="A11634" i="1"/>
  <c r="B11634" i="1"/>
  <c r="G11634" i="1"/>
  <c r="K11634" i="1"/>
  <c r="A11635" i="1"/>
  <c r="B11635" i="1"/>
  <c r="G11635" i="1"/>
  <c r="K11635" i="1"/>
  <c r="A11636" i="1"/>
  <c r="B11636" i="1"/>
  <c r="G11636" i="1"/>
  <c r="K11636" i="1"/>
  <c r="A11637" i="1"/>
  <c r="B11637" i="1"/>
  <c r="G11637" i="1"/>
  <c r="K11637" i="1"/>
  <c r="A11638" i="1"/>
  <c r="B11638" i="1"/>
  <c r="G11638" i="1"/>
  <c r="K11638" i="1"/>
  <c r="A11639" i="1"/>
  <c r="B11639" i="1"/>
  <c r="G11639" i="1"/>
  <c r="K11639" i="1"/>
  <c r="A11640" i="1"/>
  <c r="B11640" i="1"/>
  <c r="G11640" i="1"/>
  <c r="K11640" i="1"/>
  <c r="A11641" i="1"/>
  <c r="B11641" i="1"/>
  <c r="G11641" i="1"/>
  <c r="K11641" i="1"/>
  <c r="A11642" i="1"/>
  <c r="B11642" i="1"/>
  <c r="G11642" i="1"/>
  <c r="K11642" i="1"/>
  <c r="A11643" i="1"/>
  <c r="B11643" i="1"/>
  <c r="G11643" i="1"/>
  <c r="K11643" i="1"/>
  <c r="A11644" i="1"/>
  <c r="B11644" i="1"/>
  <c r="G11644" i="1"/>
  <c r="K11644" i="1"/>
  <c r="A11645" i="1"/>
  <c r="B11645" i="1"/>
  <c r="G11645" i="1"/>
  <c r="K11645" i="1"/>
  <c r="A11646" i="1"/>
  <c r="B11646" i="1"/>
  <c r="G11646" i="1"/>
  <c r="K11646" i="1"/>
  <c r="A11647" i="1"/>
  <c r="B11647" i="1"/>
  <c r="G11647" i="1"/>
  <c r="K11647" i="1"/>
  <c r="A11648" i="1"/>
  <c r="B11648" i="1"/>
  <c r="G11648" i="1"/>
  <c r="K11648" i="1"/>
  <c r="A11649" i="1"/>
  <c r="B11649" i="1"/>
  <c r="G11649" i="1"/>
  <c r="K11649" i="1"/>
  <c r="A11650" i="1"/>
  <c r="B11650" i="1"/>
  <c r="G11650" i="1"/>
  <c r="K11650" i="1"/>
  <c r="A11651" i="1"/>
  <c r="B11651" i="1"/>
  <c r="G11651" i="1"/>
  <c r="K11651" i="1"/>
  <c r="A11652" i="1"/>
  <c r="B11652" i="1"/>
  <c r="G11652" i="1"/>
  <c r="K11652" i="1"/>
  <c r="A11653" i="1"/>
  <c r="B11653" i="1"/>
  <c r="G11653" i="1"/>
  <c r="K11653" i="1"/>
  <c r="A11654" i="1"/>
  <c r="B11654" i="1"/>
  <c r="G11654" i="1"/>
  <c r="K11654" i="1"/>
  <c r="A11655" i="1"/>
  <c r="B11655" i="1"/>
  <c r="G11655" i="1"/>
  <c r="K11655" i="1"/>
  <c r="A11656" i="1"/>
  <c r="B11656" i="1"/>
  <c r="G11656" i="1"/>
  <c r="K11656" i="1"/>
  <c r="A11657" i="1"/>
  <c r="B11657" i="1"/>
  <c r="G11657" i="1"/>
  <c r="K11657" i="1"/>
  <c r="A11658" i="1"/>
  <c r="B11658" i="1"/>
  <c r="G11658" i="1"/>
  <c r="K11658" i="1"/>
  <c r="A11659" i="1"/>
  <c r="B11659" i="1"/>
  <c r="G11659" i="1"/>
  <c r="K11659" i="1"/>
  <c r="A11660" i="1"/>
  <c r="B11660" i="1"/>
  <c r="G11660" i="1"/>
  <c r="K11660" i="1"/>
  <c r="A11661" i="1"/>
  <c r="B11661" i="1"/>
  <c r="G11661" i="1"/>
  <c r="K11661" i="1"/>
  <c r="A11662" i="1"/>
  <c r="B11662" i="1"/>
  <c r="G11662" i="1"/>
  <c r="K11662" i="1"/>
  <c r="A11663" i="1"/>
  <c r="B11663" i="1"/>
  <c r="G11663" i="1"/>
  <c r="K11663" i="1"/>
  <c r="A11664" i="1"/>
  <c r="B11664" i="1"/>
  <c r="G11664" i="1"/>
  <c r="K11664" i="1"/>
  <c r="A11665" i="1"/>
  <c r="B11665" i="1"/>
  <c r="G11665" i="1"/>
  <c r="K11665" i="1"/>
  <c r="A11666" i="1"/>
  <c r="B11666" i="1"/>
  <c r="G11666" i="1"/>
  <c r="K11666" i="1"/>
  <c r="A11667" i="1"/>
  <c r="B11667" i="1"/>
  <c r="G11667" i="1"/>
  <c r="K11667" i="1"/>
  <c r="A11668" i="1"/>
  <c r="B11668" i="1"/>
  <c r="G11668" i="1"/>
  <c r="K11668" i="1"/>
  <c r="A11669" i="1"/>
  <c r="B11669" i="1"/>
  <c r="G11669" i="1"/>
  <c r="K11669" i="1"/>
  <c r="A11670" i="1"/>
  <c r="B11670" i="1"/>
  <c r="G11670" i="1"/>
  <c r="K11670" i="1"/>
  <c r="A11671" i="1"/>
  <c r="B11671" i="1"/>
  <c r="G11671" i="1"/>
  <c r="K11671" i="1"/>
  <c r="A11672" i="1"/>
  <c r="B11672" i="1"/>
  <c r="G11672" i="1"/>
  <c r="K11672" i="1"/>
  <c r="A11673" i="1"/>
  <c r="B11673" i="1"/>
  <c r="G11673" i="1"/>
  <c r="K11673" i="1"/>
  <c r="A11674" i="1"/>
  <c r="B11674" i="1"/>
  <c r="G11674" i="1"/>
  <c r="K11674" i="1"/>
  <c r="A11675" i="1"/>
  <c r="B11675" i="1"/>
  <c r="G11675" i="1"/>
  <c r="K11675" i="1"/>
  <c r="A11676" i="1"/>
  <c r="B11676" i="1"/>
  <c r="G11676" i="1"/>
  <c r="K11676" i="1"/>
  <c r="A11677" i="1"/>
  <c r="B11677" i="1"/>
  <c r="G11677" i="1"/>
  <c r="K11677" i="1"/>
  <c r="A11678" i="1"/>
  <c r="B11678" i="1"/>
  <c r="G11678" i="1"/>
  <c r="K11678" i="1"/>
  <c r="A11679" i="1"/>
  <c r="B11679" i="1"/>
  <c r="G11679" i="1"/>
  <c r="K11679" i="1"/>
  <c r="A11680" i="1"/>
  <c r="B11680" i="1"/>
  <c r="G11680" i="1"/>
  <c r="K11680" i="1"/>
  <c r="A11681" i="1"/>
  <c r="B11681" i="1"/>
  <c r="G11681" i="1"/>
  <c r="K11681" i="1"/>
  <c r="A11682" i="1"/>
  <c r="B11682" i="1"/>
  <c r="G11682" i="1"/>
  <c r="K11682" i="1"/>
  <c r="A11683" i="1"/>
  <c r="B11683" i="1"/>
  <c r="G11683" i="1"/>
  <c r="K11683" i="1"/>
  <c r="A11684" i="1"/>
  <c r="B11684" i="1"/>
  <c r="G11684" i="1"/>
  <c r="K11684" i="1"/>
  <c r="A11685" i="1"/>
  <c r="B11685" i="1"/>
  <c r="G11685" i="1"/>
  <c r="K11685" i="1"/>
  <c r="A11686" i="1"/>
  <c r="B11686" i="1"/>
  <c r="G11686" i="1"/>
  <c r="K11686" i="1"/>
  <c r="A11687" i="1"/>
  <c r="B11687" i="1"/>
  <c r="G11687" i="1"/>
  <c r="K11687" i="1"/>
  <c r="A11688" i="1"/>
  <c r="B11688" i="1"/>
  <c r="G11688" i="1"/>
  <c r="K11688" i="1"/>
  <c r="A11689" i="1"/>
  <c r="B11689" i="1"/>
  <c r="G11689" i="1"/>
  <c r="K11689" i="1"/>
  <c r="A11690" i="1"/>
  <c r="B11690" i="1"/>
  <c r="G11690" i="1"/>
  <c r="K11690" i="1"/>
  <c r="A11691" i="1"/>
  <c r="B11691" i="1"/>
  <c r="G11691" i="1"/>
  <c r="K11691" i="1"/>
  <c r="A11692" i="1"/>
  <c r="B11692" i="1"/>
  <c r="G11692" i="1"/>
  <c r="K11692" i="1"/>
  <c r="A11693" i="1"/>
  <c r="B11693" i="1"/>
  <c r="G11693" i="1"/>
  <c r="K11693" i="1"/>
  <c r="A11694" i="1"/>
  <c r="B11694" i="1"/>
  <c r="G11694" i="1"/>
  <c r="K11694" i="1"/>
  <c r="A11695" i="1"/>
  <c r="B11695" i="1"/>
  <c r="G11695" i="1"/>
  <c r="K11695" i="1"/>
  <c r="A11696" i="1"/>
  <c r="B11696" i="1"/>
  <c r="G11696" i="1"/>
  <c r="K11696" i="1"/>
  <c r="A11697" i="1"/>
  <c r="B11697" i="1"/>
  <c r="G11697" i="1"/>
  <c r="K11697" i="1"/>
  <c r="A11698" i="1"/>
  <c r="B11698" i="1"/>
  <c r="G11698" i="1"/>
  <c r="K11698" i="1"/>
  <c r="A11699" i="1"/>
  <c r="B11699" i="1"/>
  <c r="G11699" i="1"/>
  <c r="K11699" i="1"/>
  <c r="A11700" i="1"/>
  <c r="B11700" i="1"/>
  <c r="G11700" i="1"/>
  <c r="K11700" i="1"/>
  <c r="A11701" i="1"/>
  <c r="B11701" i="1"/>
  <c r="G11701" i="1"/>
  <c r="K11701" i="1"/>
  <c r="A11702" i="1"/>
  <c r="B11702" i="1"/>
  <c r="G11702" i="1"/>
  <c r="K11702" i="1"/>
  <c r="A11703" i="1"/>
  <c r="B11703" i="1"/>
  <c r="G11703" i="1"/>
  <c r="K11703" i="1"/>
  <c r="A11704" i="1"/>
  <c r="B11704" i="1"/>
  <c r="G11704" i="1"/>
  <c r="K11704" i="1"/>
  <c r="A11705" i="1"/>
  <c r="B11705" i="1"/>
  <c r="G11705" i="1"/>
  <c r="K11705" i="1"/>
  <c r="A11706" i="1"/>
  <c r="B11706" i="1"/>
  <c r="G11706" i="1"/>
  <c r="K11706" i="1"/>
  <c r="A11707" i="1"/>
  <c r="B11707" i="1"/>
  <c r="G11707" i="1"/>
  <c r="K11707" i="1"/>
  <c r="A11708" i="1"/>
  <c r="B11708" i="1"/>
  <c r="G11708" i="1"/>
  <c r="K11708" i="1"/>
  <c r="A11709" i="1"/>
  <c r="B11709" i="1"/>
  <c r="G11709" i="1"/>
  <c r="K11709" i="1"/>
  <c r="A11710" i="1"/>
  <c r="B11710" i="1"/>
  <c r="G11710" i="1"/>
  <c r="K11710" i="1"/>
  <c r="A11711" i="1"/>
  <c r="B11711" i="1"/>
  <c r="G11711" i="1"/>
  <c r="K11711" i="1"/>
  <c r="A11712" i="1"/>
  <c r="B11712" i="1"/>
  <c r="G11712" i="1"/>
  <c r="K11712" i="1"/>
  <c r="A11713" i="1"/>
  <c r="B11713" i="1"/>
  <c r="G11713" i="1"/>
  <c r="K11713" i="1"/>
  <c r="A11714" i="1"/>
  <c r="B11714" i="1"/>
  <c r="G11714" i="1"/>
  <c r="K11714" i="1"/>
  <c r="A11715" i="1"/>
  <c r="B11715" i="1"/>
  <c r="G11715" i="1"/>
  <c r="K11715" i="1"/>
  <c r="A11716" i="1"/>
  <c r="B11716" i="1"/>
  <c r="G11716" i="1"/>
  <c r="K11716" i="1"/>
  <c r="A11717" i="1"/>
  <c r="B11717" i="1"/>
  <c r="G11717" i="1"/>
  <c r="K11717" i="1"/>
  <c r="A11718" i="1"/>
  <c r="B11718" i="1"/>
  <c r="G11718" i="1"/>
  <c r="K11718" i="1"/>
  <c r="A11719" i="1"/>
  <c r="B11719" i="1"/>
  <c r="G11719" i="1"/>
  <c r="K11719" i="1"/>
  <c r="A11720" i="1"/>
  <c r="B11720" i="1"/>
  <c r="G11720" i="1"/>
  <c r="K11720" i="1"/>
  <c r="A11721" i="1"/>
  <c r="B11721" i="1"/>
  <c r="G11721" i="1"/>
  <c r="K11721" i="1"/>
  <c r="A11722" i="1"/>
  <c r="B11722" i="1"/>
  <c r="G11722" i="1"/>
  <c r="K11722" i="1"/>
  <c r="A11723" i="1"/>
  <c r="B11723" i="1"/>
  <c r="G11723" i="1"/>
  <c r="K11723" i="1"/>
  <c r="A11724" i="1"/>
  <c r="B11724" i="1"/>
  <c r="G11724" i="1"/>
  <c r="K11724" i="1"/>
  <c r="A11725" i="1"/>
  <c r="B11725" i="1"/>
  <c r="G11725" i="1"/>
  <c r="K11725" i="1"/>
  <c r="A11726" i="1"/>
  <c r="B11726" i="1"/>
  <c r="G11726" i="1"/>
  <c r="K11726" i="1"/>
  <c r="A11727" i="1"/>
  <c r="B11727" i="1"/>
  <c r="G11727" i="1"/>
  <c r="K11727" i="1"/>
  <c r="A11728" i="1"/>
  <c r="B11728" i="1"/>
  <c r="G11728" i="1"/>
  <c r="K11728" i="1"/>
  <c r="A11729" i="1"/>
  <c r="B11729" i="1"/>
  <c r="G11729" i="1"/>
  <c r="K11729" i="1"/>
  <c r="A11730" i="1"/>
  <c r="B11730" i="1"/>
  <c r="G11730" i="1"/>
  <c r="K11730" i="1"/>
  <c r="A11731" i="1"/>
  <c r="B11731" i="1"/>
  <c r="G11731" i="1"/>
  <c r="K11731" i="1"/>
  <c r="A11732" i="1"/>
  <c r="B11732" i="1"/>
  <c r="G11732" i="1"/>
  <c r="K11732" i="1"/>
  <c r="A11733" i="1"/>
  <c r="B11733" i="1"/>
  <c r="G11733" i="1"/>
  <c r="K11733" i="1"/>
  <c r="A11734" i="1"/>
  <c r="B11734" i="1"/>
  <c r="G11734" i="1"/>
  <c r="K11734" i="1"/>
  <c r="A11735" i="1"/>
  <c r="B11735" i="1"/>
  <c r="G11735" i="1"/>
  <c r="K11735" i="1"/>
  <c r="A11736" i="1"/>
  <c r="B11736" i="1"/>
  <c r="G11736" i="1"/>
  <c r="K11736" i="1"/>
  <c r="A11737" i="1"/>
  <c r="B11737" i="1"/>
  <c r="G11737" i="1"/>
  <c r="K11737" i="1"/>
  <c r="A11738" i="1"/>
  <c r="B11738" i="1"/>
  <c r="G11738" i="1"/>
  <c r="K11738" i="1"/>
  <c r="A11739" i="1"/>
  <c r="B11739" i="1"/>
  <c r="G11739" i="1"/>
  <c r="K11739" i="1"/>
  <c r="A11740" i="1"/>
  <c r="B11740" i="1"/>
  <c r="G11740" i="1"/>
  <c r="K11740" i="1"/>
  <c r="A11741" i="1"/>
  <c r="B11741" i="1"/>
  <c r="G11741" i="1"/>
  <c r="K11741" i="1"/>
  <c r="A11742" i="1"/>
  <c r="B11742" i="1"/>
  <c r="G11742" i="1"/>
  <c r="K11742" i="1"/>
  <c r="A11743" i="1"/>
  <c r="B11743" i="1"/>
  <c r="G11743" i="1"/>
  <c r="K11743" i="1"/>
  <c r="A11744" i="1"/>
  <c r="B11744" i="1"/>
  <c r="G11744" i="1"/>
  <c r="K11744" i="1"/>
  <c r="A11745" i="1"/>
  <c r="B11745" i="1"/>
  <c r="G11745" i="1"/>
  <c r="K11745" i="1"/>
  <c r="A11746" i="1"/>
  <c r="B11746" i="1"/>
  <c r="G11746" i="1"/>
  <c r="K11746" i="1"/>
  <c r="A11747" i="1"/>
  <c r="B11747" i="1"/>
  <c r="G11747" i="1"/>
  <c r="K11747" i="1"/>
  <c r="A11748" i="1"/>
  <c r="B11748" i="1"/>
  <c r="G11748" i="1"/>
  <c r="K11748" i="1"/>
  <c r="A11749" i="1"/>
  <c r="B11749" i="1"/>
  <c r="G11749" i="1"/>
  <c r="K11749" i="1"/>
  <c r="A11750" i="1"/>
  <c r="B11750" i="1"/>
  <c r="G11750" i="1"/>
  <c r="K11750" i="1"/>
  <c r="A11751" i="1"/>
  <c r="B11751" i="1"/>
  <c r="G11751" i="1"/>
  <c r="K11751" i="1"/>
  <c r="A11752" i="1"/>
  <c r="B11752" i="1"/>
  <c r="G11752" i="1"/>
  <c r="K11752" i="1"/>
  <c r="A11753" i="1"/>
  <c r="B11753" i="1"/>
  <c r="G11753" i="1"/>
  <c r="K11753" i="1"/>
  <c r="A11754" i="1"/>
  <c r="B11754" i="1"/>
  <c r="G11754" i="1"/>
  <c r="K11754" i="1"/>
  <c r="A11755" i="1"/>
  <c r="B11755" i="1"/>
  <c r="G11755" i="1"/>
  <c r="K11755" i="1"/>
  <c r="A11756" i="1"/>
  <c r="B11756" i="1"/>
  <c r="G11756" i="1"/>
  <c r="K11756" i="1"/>
  <c r="A11757" i="1"/>
  <c r="B11757" i="1"/>
  <c r="G11757" i="1"/>
  <c r="K11757" i="1"/>
  <c r="A11758" i="1"/>
  <c r="B11758" i="1"/>
  <c r="G11758" i="1"/>
  <c r="K11758" i="1"/>
  <c r="A11759" i="1"/>
  <c r="B11759" i="1"/>
  <c r="G11759" i="1"/>
  <c r="K11759" i="1"/>
  <c r="A11760" i="1"/>
  <c r="B11760" i="1"/>
  <c r="G11760" i="1"/>
  <c r="K11760" i="1"/>
  <c r="A11761" i="1"/>
  <c r="B11761" i="1"/>
  <c r="G11761" i="1"/>
  <c r="K11761" i="1"/>
  <c r="A11762" i="1"/>
  <c r="B11762" i="1"/>
  <c r="G11762" i="1"/>
  <c r="K11762" i="1"/>
  <c r="A11763" i="1"/>
  <c r="B11763" i="1"/>
  <c r="G11763" i="1"/>
  <c r="K11763" i="1"/>
  <c r="A11764" i="1"/>
  <c r="B11764" i="1"/>
  <c r="G11764" i="1"/>
  <c r="K11764" i="1"/>
  <c r="A11765" i="1"/>
  <c r="B11765" i="1"/>
  <c r="G11765" i="1"/>
  <c r="K11765" i="1"/>
  <c r="A11766" i="1"/>
  <c r="B11766" i="1"/>
  <c r="G11766" i="1"/>
  <c r="K11766" i="1"/>
  <c r="A11767" i="1"/>
  <c r="B11767" i="1"/>
  <c r="G11767" i="1"/>
  <c r="K11767" i="1"/>
  <c r="A11768" i="1"/>
  <c r="B11768" i="1"/>
  <c r="G11768" i="1"/>
  <c r="K11768" i="1"/>
  <c r="A11769" i="1"/>
  <c r="B11769" i="1"/>
  <c r="G11769" i="1"/>
  <c r="K11769" i="1"/>
  <c r="A11770" i="1"/>
  <c r="B11770" i="1"/>
  <c r="G11770" i="1"/>
  <c r="K11770" i="1"/>
  <c r="A11771" i="1"/>
  <c r="B11771" i="1"/>
  <c r="G11771" i="1"/>
  <c r="K11771" i="1"/>
  <c r="A11772" i="1"/>
  <c r="B11772" i="1"/>
  <c r="G11772" i="1"/>
  <c r="K11772" i="1"/>
  <c r="A11773" i="1"/>
  <c r="B11773" i="1"/>
  <c r="G11773" i="1"/>
  <c r="K11773" i="1"/>
  <c r="A11774" i="1"/>
  <c r="B11774" i="1"/>
  <c r="G11774" i="1"/>
  <c r="K11774" i="1"/>
  <c r="A11775" i="1"/>
  <c r="B11775" i="1"/>
  <c r="G11775" i="1"/>
  <c r="K11775" i="1"/>
  <c r="A11776" i="1"/>
  <c r="B11776" i="1"/>
  <c r="G11776" i="1"/>
  <c r="K11776" i="1"/>
  <c r="A11777" i="1"/>
  <c r="B11777" i="1"/>
  <c r="G11777" i="1"/>
  <c r="K11777" i="1"/>
  <c r="A11778" i="1"/>
  <c r="B11778" i="1"/>
  <c r="G11778" i="1"/>
  <c r="K11778" i="1"/>
  <c r="A11779" i="1"/>
  <c r="B11779" i="1"/>
  <c r="G11779" i="1"/>
  <c r="K11779" i="1"/>
  <c r="A11780" i="1"/>
  <c r="B11780" i="1"/>
  <c r="G11780" i="1"/>
  <c r="K11780" i="1"/>
  <c r="A11781" i="1"/>
  <c r="B11781" i="1"/>
  <c r="G11781" i="1"/>
  <c r="K11781" i="1"/>
  <c r="A11782" i="1"/>
  <c r="B11782" i="1"/>
  <c r="G11782" i="1"/>
  <c r="K11782" i="1"/>
  <c r="A11783" i="1"/>
  <c r="B11783" i="1"/>
  <c r="G11783" i="1"/>
  <c r="K11783" i="1"/>
  <c r="A11784" i="1"/>
  <c r="B11784" i="1"/>
  <c r="G11784" i="1"/>
  <c r="K11784" i="1"/>
  <c r="A11785" i="1"/>
  <c r="B11785" i="1"/>
  <c r="G11785" i="1"/>
  <c r="K11785" i="1"/>
  <c r="A11786" i="1"/>
  <c r="B11786" i="1"/>
  <c r="G11786" i="1"/>
  <c r="K11786" i="1"/>
  <c r="A11787" i="1"/>
  <c r="B11787" i="1"/>
  <c r="G11787" i="1"/>
  <c r="K11787" i="1"/>
  <c r="A11788" i="1"/>
  <c r="B11788" i="1"/>
  <c r="G11788" i="1"/>
  <c r="K11788" i="1"/>
  <c r="A11789" i="1"/>
  <c r="B11789" i="1"/>
  <c r="G11789" i="1"/>
  <c r="K11789" i="1"/>
  <c r="A11790" i="1"/>
  <c r="B11790" i="1"/>
  <c r="G11790" i="1"/>
  <c r="K11790" i="1"/>
  <c r="A11791" i="1"/>
  <c r="B11791" i="1"/>
  <c r="G11791" i="1"/>
  <c r="K11791" i="1"/>
  <c r="A11792" i="1"/>
  <c r="B11792" i="1"/>
  <c r="G11792" i="1"/>
  <c r="K11792" i="1"/>
  <c r="A11793" i="1"/>
  <c r="B11793" i="1"/>
  <c r="G11793" i="1"/>
  <c r="K11793" i="1"/>
  <c r="A11794" i="1"/>
  <c r="B11794" i="1"/>
  <c r="G11794" i="1"/>
  <c r="K11794" i="1"/>
  <c r="A11795" i="1"/>
  <c r="B11795" i="1"/>
  <c r="G11795" i="1"/>
  <c r="K11795" i="1"/>
  <c r="A11796" i="1"/>
  <c r="B11796" i="1"/>
  <c r="G11796" i="1"/>
  <c r="K11796" i="1"/>
  <c r="A11797" i="1"/>
  <c r="B11797" i="1"/>
  <c r="G11797" i="1"/>
  <c r="K11797" i="1"/>
  <c r="A11798" i="1"/>
  <c r="B11798" i="1"/>
  <c r="G11798" i="1"/>
  <c r="K11798" i="1"/>
  <c r="A11799" i="1"/>
  <c r="B11799" i="1"/>
  <c r="G11799" i="1"/>
  <c r="K11799" i="1"/>
  <c r="A11800" i="1"/>
  <c r="B11800" i="1"/>
  <c r="G11800" i="1"/>
  <c r="K11800" i="1"/>
  <c r="A11801" i="1"/>
  <c r="B11801" i="1"/>
  <c r="G11801" i="1"/>
  <c r="K11801" i="1"/>
  <c r="A11802" i="1"/>
  <c r="B11802" i="1"/>
  <c r="G11802" i="1"/>
  <c r="K11802" i="1"/>
  <c r="A11803" i="1"/>
  <c r="B11803" i="1"/>
  <c r="G11803" i="1"/>
  <c r="K11803" i="1"/>
  <c r="A11804" i="1"/>
  <c r="B11804" i="1"/>
  <c r="G11804" i="1"/>
  <c r="K11804" i="1"/>
  <c r="A11805" i="1"/>
  <c r="B11805" i="1"/>
  <c r="G11805" i="1"/>
  <c r="K11805" i="1"/>
  <c r="A11806" i="1"/>
  <c r="B11806" i="1"/>
  <c r="G11806" i="1"/>
  <c r="K11806" i="1"/>
  <c r="A11807" i="1"/>
  <c r="B11807" i="1"/>
  <c r="G11807" i="1"/>
  <c r="K11807" i="1"/>
  <c r="A11808" i="1"/>
  <c r="B11808" i="1"/>
  <c r="G11808" i="1"/>
  <c r="K11808" i="1"/>
  <c r="A11809" i="1"/>
  <c r="B11809" i="1"/>
  <c r="G11809" i="1"/>
  <c r="K11809" i="1"/>
  <c r="A11810" i="1"/>
  <c r="B11810" i="1"/>
  <c r="G11810" i="1"/>
  <c r="K11810" i="1"/>
  <c r="A11811" i="1"/>
  <c r="B11811" i="1"/>
  <c r="G11811" i="1"/>
  <c r="K11811" i="1"/>
  <c r="A11812" i="1"/>
  <c r="B11812" i="1"/>
  <c r="G11812" i="1"/>
  <c r="K11812" i="1"/>
  <c r="A11813" i="1"/>
  <c r="B11813" i="1"/>
  <c r="G11813" i="1"/>
  <c r="K11813" i="1"/>
  <c r="A11814" i="1"/>
  <c r="B11814" i="1"/>
  <c r="G11814" i="1"/>
  <c r="K11814" i="1"/>
  <c r="A11815" i="1"/>
  <c r="B11815" i="1"/>
  <c r="G11815" i="1"/>
  <c r="K11815" i="1"/>
  <c r="A11816" i="1"/>
  <c r="B11816" i="1"/>
  <c r="G11816" i="1"/>
  <c r="K11816" i="1"/>
  <c r="A11817" i="1"/>
  <c r="B11817" i="1"/>
  <c r="G11817" i="1"/>
  <c r="K11817" i="1"/>
  <c r="A11818" i="1"/>
  <c r="B11818" i="1"/>
  <c r="G11818" i="1"/>
  <c r="K11818" i="1"/>
  <c r="A11819" i="1"/>
  <c r="B11819" i="1"/>
  <c r="G11819" i="1"/>
  <c r="K11819" i="1"/>
  <c r="A11820" i="1"/>
  <c r="B11820" i="1"/>
  <c r="G11820" i="1"/>
  <c r="K11820" i="1"/>
  <c r="A11821" i="1"/>
  <c r="B11821" i="1"/>
  <c r="G11821" i="1"/>
  <c r="K11821" i="1"/>
  <c r="A11822" i="1"/>
  <c r="B11822" i="1"/>
  <c r="G11822" i="1"/>
  <c r="K11822" i="1"/>
  <c r="A11823" i="1"/>
  <c r="B11823" i="1"/>
  <c r="G11823" i="1"/>
  <c r="K11823" i="1"/>
  <c r="A11824" i="1"/>
  <c r="B11824" i="1"/>
  <c r="G11824" i="1"/>
  <c r="K11824" i="1"/>
  <c r="A11825" i="1"/>
  <c r="B11825" i="1"/>
  <c r="G11825" i="1"/>
  <c r="K11825" i="1"/>
  <c r="A11826" i="1"/>
  <c r="B11826" i="1"/>
  <c r="G11826" i="1"/>
  <c r="K11826" i="1"/>
  <c r="A11827" i="1"/>
  <c r="B11827" i="1"/>
  <c r="G11827" i="1"/>
  <c r="K11827" i="1"/>
  <c r="A11828" i="1"/>
  <c r="B11828" i="1"/>
  <c r="G11828" i="1"/>
  <c r="K11828" i="1"/>
  <c r="A11829" i="1"/>
  <c r="B11829" i="1"/>
  <c r="G11829" i="1"/>
  <c r="K11829" i="1"/>
  <c r="A11830" i="1"/>
  <c r="B11830" i="1"/>
  <c r="G11830" i="1"/>
  <c r="K11830" i="1"/>
  <c r="A11831" i="1"/>
  <c r="B11831" i="1"/>
  <c r="G11831" i="1"/>
  <c r="K11831" i="1"/>
  <c r="A11832" i="1"/>
  <c r="B11832" i="1"/>
  <c r="G11832" i="1"/>
  <c r="K11832" i="1"/>
  <c r="A11833" i="1"/>
  <c r="B11833" i="1"/>
  <c r="G11833" i="1"/>
  <c r="K11833" i="1"/>
  <c r="A11834" i="1"/>
  <c r="B11834" i="1"/>
  <c r="G11834" i="1"/>
  <c r="K11834" i="1"/>
  <c r="A11835" i="1"/>
  <c r="B11835" i="1"/>
  <c r="G11835" i="1"/>
  <c r="K11835" i="1"/>
  <c r="A11836" i="1"/>
  <c r="B11836" i="1"/>
  <c r="G11836" i="1"/>
  <c r="K11836" i="1"/>
  <c r="A11837" i="1"/>
  <c r="B11837" i="1"/>
  <c r="G11837" i="1"/>
  <c r="K11837" i="1"/>
  <c r="A11838" i="1"/>
  <c r="B11838" i="1"/>
  <c r="G11838" i="1"/>
  <c r="K11838" i="1"/>
  <c r="A11839" i="1"/>
  <c r="B11839" i="1"/>
  <c r="G11839" i="1"/>
  <c r="K11839" i="1"/>
  <c r="A11840" i="1"/>
  <c r="B11840" i="1"/>
  <c r="G11840" i="1"/>
  <c r="K11840" i="1"/>
  <c r="A11841" i="1"/>
  <c r="B11841" i="1"/>
  <c r="G11841" i="1"/>
  <c r="K11841" i="1"/>
  <c r="A11842" i="1"/>
  <c r="B11842" i="1"/>
  <c r="G11842" i="1"/>
  <c r="K11842" i="1"/>
  <c r="A11843" i="1"/>
  <c r="B11843" i="1"/>
  <c r="G11843" i="1"/>
  <c r="K11843" i="1"/>
  <c r="A11844" i="1"/>
  <c r="B11844" i="1"/>
  <c r="G11844" i="1"/>
  <c r="K11844" i="1"/>
  <c r="A11845" i="1"/>
  <c r="B11845" i="1"/>
  <c r="G11845" i="1"/>
  <c r="K11845" i="1"/>
  <c r="A11846" i="1"/>
  <c r="B11846" i="1"/>
  <c r="G11846" i="1"/>
  <c r="K11846" i="1"/>
  <c r="A11847" i="1"/>
  <c r="B11847" i="1"/>
  <c r="G11847" i="1"/>
  <c r="K11847" i="1"/>
  <c r="A11848" i="1"/>
  <c r="B11848" i="1"/>
  <c r="G11848" i="1"/>
  <c r="K11848" i="1"/>
  <c r="A11849" i="1"/>
  <c r="B11849" i="1"/>
  <c r="G11849" i="1"/>
  <c r="K11849" i="1"/>
  <c r="A11850" i="1"/>
  <c r="B11850" i="1"/>
  <c r="G11850" i="1"/>
  <c r="K11850" i="1"/>
  <c r="A11851" i="1"/>
  <c r="B11851" i="1"/>
  <c r="G11851" i="1"/>
  <c r="K11851" i="1"/>
  <c r="A11852" i="1"/>
  <c r="B11852" i="1"/>
  <c r="G11852" i="1"/>
  <c r="K11852" i="1"/>
  <c r="A11853" i="1"/>
  <c r="B11853" i="1"/>
  <c r="G11853" i="1"/>
  <c r="K11853" i="1"/>
  <c r="A11854" i="1"/>
  <c r="B11854" i="1"/>
  <c r="G11854" i="1"/>
  <c r="K11854" i="1"/>
  <c r="A11855" i="1"/>
  <c r="B11855" i="1"/>
  <c r="G11855" i="1"/>
  <c r="K11855" i="1"/>
  <c r="A11856" i="1"/>
  <c r="B11856" i="1"/>
  <c r="G11856" i="1"/>
  <c r="K11856" i="1"/>
  <c r="A11857" i="1"/>
  <c r="B11857" i="1"/>
  <c r="G11857" i="1"/>
  <c r="K11857" i="1"/>
  <c r="A11858" i="1"/>
  <c r="B11858" i="1"/>
  <c r="G11858" i="1"/>
  <c r="K11858" i="1"/>
  <c r="A11859" i="1"/>
  <c r="B11859" i="1"/>
  <c r="G11859" i="1"/>
  <c r="K11859" i="1"/>
  <c r="A11860" i="1"/>
  <c r="B11860" i="1"/>
  <c r="G11860" i="1"/>
  <c r="K11860" i="1"/>
  <c r="A11861" i="1"/>
  <c r="B11861" i="1"/>
  <c r="G11861" i="1"/>
  <c r="K11861" i="1"/>
  <c r="A11862" i="1"/>
  <c r="B11862" i="1"/>
  <c r="G11862" i="1"/>
  <c r="K11862" i="1"/>
  <c r="A11863" i="1"/>
  <c r="B11863" i="1"/>
  <c r="G11863" i="1"/>
  <c r="K11863" i="1"/>
  <c r="A11864" i="1"/>
  <c r="B11864" i="1"/>
  <c r="G11864" i="1"/>
  <c r="K11864" i="1"/>
  <c r="A11865" i="1"/>
  <c r="B11865" i="1"/>
  <c r="G11865" i="1"/>
  <c r="K11865" i="1"/>
  <c r="A11866" i="1"/>
  <c r="B11866" i="1"/>
  <c r="G11866" i="1"/>
  <c r="K11866" i="1"/>
  <c r="A11867" i="1"/>
  <c r="B11867" i="1"/>
  <c r="G11867" i="1"/>
  <c r="K11867" i="1"/>
  <c r="A11868" i="1"/>
  <c r="B11868" i="1"/>
  <c r="G11868" i="1"/>
  <c r="K11868" i="1"/>
  <c r="A11869" i="1"/>
  <c r="B11869" i="1"/>
  <c r="G11869" i="1"/>
  <c r="K11869" i="1"/>
  <c r="A11870" i="1"/>
  <c r="B11870" i="1"/>
  <c r="G11870" i="1"/>
  <c r="K11870" i="1"/>
  <c r="A11871" i="1"/>
  <c r="B11871" i="1"/>
  <c r="G11871" i="1"/>
  <c r="K11871" i="1"/>
  <c r="A11872" i="1"/>
  <c r="B11872" i="1"/>
  <c r="G11872" i="1"/>
  <c r="K11872" i="1"/>
  <c r="A11873" i="1"/>
  <c r="B11873" i="1"/>
  <c r="G11873" i="1"/>
  <c r="K11873" i="1"/>
  <c r="A11874" i="1"/>
  <c r="B11874" i="1"/>
  <c r="G11874" i="1"/>
  <c r="K11874" i="1"/>
  <c r="A11875" i="1"/>
  <c r="B11875" i="1"/>
  <c r="G11875" i="1"/>
  <c r="K11875" i="1"/>
  <c r="A11876" i="1"/>
  <c r="B11876" i="1"/>
  <c r="G11876" i="1"/>
  <c r="K11876" i="1"/>
  <c r="A11877" i="1"/>
  <c r="B11877" i="1"/>
  <c r="G11877" i="1"/>
  <c r="K11877" i="1"/>
  <c r="A11878" i="1"/>
  <c r="B11878" i="1"/>
  <c r="G11878" i="1"/>
  <c r="K11878" i="1"/>
  <c r="A11879" i="1"/>
  <c r="B11879" i="1"/>
  <c r="G11879" i="1"/>
  <c r="K11879" i="1"/>
  <c r="A11880" i="1"/>
  <c r="B11880" i="1"/>
  <c r="G11880" i="1"/>
  <c r="K11880" i="1"/>
  <c r="A11881" i="1"/>
  <c r="B11881" i="1"/>
  <c r="G11881" i="1"/>
  <c r="K11881" i="1"/>
  <c r="A11882" i="1"/>
  <c r="B11882" i="1"/>
  <c r="G11882" i="1"/>
  <c r="K11882" i="1"/>
  <c r="A11883" i="1"/>
  <c r="B11883" i="1"/>
  <c r="G11883" i="1"/>
  <c r="K11883" i="1"/>
  <c r="A11884" i="1"/>
  <c r="B11884" i="1"/>
  <c r="G11884" i="1"/>
  <c r="K11884" i="1"/>
  <c r="A11885" i="1"/>
  <c r="B11885" i="1"/>
  <c r="G11885" i="1"/>
  <c r="K11885" i="1"/>
  <c r="A11886" i="1"/>
  <c r="B11886" i="1"/>
  <c r="G11886" i="1"/>
  <c r="K11886" i="1"/>
  <c r="A11887" i="1"/>
  <c r="B11887" i="1"/>
  <c r="G11887" i="1"/>
  <c r="K11887" i="1"/>
  <c r="A11888" i="1"/>
  <c r="B11888" i="1"/>
  <c r="G11888" i="1"/>
  <c r="K11888" i="1"/>
  <c r="A11889" i="1"/>
  <c r="B11889" i="1"/>
  <c r="G11889" i="1"/>
  <c r="K11889" i="1"/>
  <c r="A11890" i="1"/>
  <c r="B11890" i="1"/>
  <c r="G11890" i="1"/>
  <c r="K11890" i="1"/>
  <c r="A11891" i="1"/>
  <c r="B11891" i="1"/>
  <c r="G11891" i="1"/>
  <c r="K11891" i="1"/>
  <c r="A11892" i="1"/>
  <c r="B11892" i="1"/>
  <c r="G11892" i="1"/>
  <c r="K11892" i="1"/>
  <c r="A11893" i="1"/>
  <c r="B11893" i="1"/>
  <c r="G11893" i="1"/>
  <c r="K11893" i="1"/>
  <c r="A11894" i="1"/>
  <c r="B11894" i="1"/>
  <c r="G11894" i="1"/>
  <c r="K11894" i="1"/>
  <c r="A11895" i="1"/>
  <c r="B11895" i="1"/>
  <c r="G11895" i="1"/>
  <c r="K11895" i="1"/>
  <c r="A11896" i="1"/>
  <c r="B11896" i="1"/>
  <c r="G11896" i="1"/>
  <c r="K11896" i="1"/>
  <c r="A11897" i="1"/>
  <c r="B11897" i="1"/>
  <c r="G11897" i="1"/>
  <c r="K11897" i="1"/>
  <c r="A11898" i="1"/>
  <c r="B11898" i="1"/>
  <c r="G11898" i="1"/>
  <c r="K11898" i="1"/>
  <c r="A11899" i="1"/>
  <c r="B11899" i="1"/>
  <c r="G11899" i="1"/>
  <c r="K11899" i="1"/>
  <c r="A11900" i="1"/>
  <c r="B11900" i="1"/>
  <c r="G11900" i="1"/>
  <c r="K11900" i="1"/>
  <c r="A11901" i="1"/>
  <c r="B11901" i="1"/>
  <c r="G11901" i="1"/>
  <c r="K11901" i="1"/>
  <c r="A11902" i="1"/>
  <c r="B11902" i="1"/>
  <c r="G11902" i="1"/>
  <c r="K11902" i="1"/>
  <c r="A11903" i="1"/>
  <c r="B11903" i="1"/>
  <c r="G11903" i="1"/>
  <c r="K11903" i="1"/>
  <c r="A11904" i="1"/>
  <c r="B11904" i="1"/>
  <c r="G11904" i="1"/>
  <c r="K11904" i="1"/>
  <c r="A11905" i="1"/>
  <c r="B11905" i="1"/>
  <c r="G11905" i="1"/>
  <c r="K11905" i="1"/>
  <c r="A11906" i="1"/>
  <c r="B11906" i="1"/>
  <c r="G11906" i="1"/>
  <c r="K11906" i="1"/>
  <c r="A11907" i="1"/>
  <c r="B11907" i="1"/>
  <c r="G11907" i="1"/>
  <c r="K11907" i="1"/>
  <c r="A11908" i="1"/>
  <c r="B11908" i="1"/>
  <c r="G11908" i="1"/>
  <c r="K11908" i="1"/>
  <c r="A11909" i="1"/>
  <c r="B11909" i="1"/>
  <c r="G11909" i="1"/>
  <c r="K11909" i="1"/>
  <c r="A11910" i="1"/>
  <c r="B11910" i="1"/>
  <c r="G11910" i="1"/>
  <c r="K11910" i="1"/>
  <c r="A11911" i="1"/>
  <c r="B11911" i="1"/>
  <c r="G11911" i="1"/>
  <c r="K11911" i="1"/>
  <c r="A11912" i="1"/>
  <c r="B11912" i="1"/>
  <c r="G11912" i="1"/>
  <c r="K11912" i="1"/>
  <c r="A11913" i="1"/>
  <c r="B11913" i="1"/>
  <c r="G11913" i="1"/>
  <c r="K11913" i="1"/>
  <c r="A11914" i="1"/>
  <c r="B11914" i="1"/>
  <c r="G11914" i="1"/>
  <c r="K11914" i="1"/>
  <c r="A11915" i="1"/>
  <c r="B11915" i="1"/>
  <c r="G11915" i="1"/>
  <c r="K11915" i="1"/>
  <c r="A11916" i="1"/>
  <c r="B11916" i="1"/>
  <c r="G11916" i="1"/>
  <c r="K11916" i="1"/>
  <c r="A11917" i="1"/>
  <c r="B11917" i="1"/>
  <c r="G11917" i="1"/>
  <c r="K11917" i="1"/>
  <c r="A11918" i="1"/>
  <c r="B11918" i="1"/>
  <c r="G11918" i="1"/>
  <c r="K11918" i="1"/>
  <c r="A11919" i="1"/>
  <c r="B11919" i="1"/>
  <c r="G11919" i="1"/>
  <c r="K11919" i="1"/>
  <c r="A11920" i="1"/>
  <c r="B11920" i="1"/>
  <c r="G11920" i="1"/>
  <c r="K11920" i="1"/>
  <c r="A11921" i="1"/>
  <c r="B11921" i="1"/>
  <c r="G11921" i="1"/>
  <c r="K11921" i="1"/>
  <c r="A11922" i="1"/>
  <c r="B11922" i="1"/>
  <c r="G11922" i="1"/>
  <c r="K11922" i="1"/>
  <c r="A11923" i="1"/>
  <c r="B11923" i="1"/>
  <c r="G11923" i="1"/>
  <c r="K11923" i="1"/>
  <c r="A11924" i="1"/>
  <c r="B11924" i="1"/>
  <c r="G11924" i="1"/>
  <c r="K11924" i="1"/>
  <c r="A11925" i="1"/>
  <c r="B11925" i="1"/>
  <c r="G11925" i="1"/>
  <c r="K11925" i="1"/>
  <c r="A11926" i="1"/>
  <c r="B11926" i="1"/>
  <c r="G11926" i="1"/>
  <c r="K11926" i="1"/>
  <c r="A11927" i="1"/>
  <c r="B11927" i="1"/>
  <c r="G11927" i="1"/>
  <c r="K11927" i="1"/>
  <c r="A11928" i="1"/>
  <c r="B11928" i="1"/>
  <c r="G11928" i="1"/>
  <c r="K11928" i="1"/>
  <c r="A11929" i="1"/>
  <c r="B11929" i="1"/>
  <c r="G11929" i="1"/>
  <c r="K11929" i="1"/>
  <c r="A11930" i="1"/>
  <c r="B11930" i="1"/>
  <c r="G11930" i="1"/>
  <c r="K11930" i="1"/>
  <c r="A11931" i="1"/>
  <c r="B11931" i="1"/>
  <c r="G11931" i="1"/>
  <c r="K11931" i="1"/>
  <c r="A11932" i="1"/>
  <c r="B11932" i="1"/>
  <c r="G11932" i="1"/>
  <c r="K11932" i="1"/>
  <c r="A11933" i="1"/>
  <c r="B11933" i="1"/>
  <c r="G11933" i="1"/>
  <c r="K11933" i="1"/>
  <c r="A11934" i="1"/>
  <c r="B11934" i="1"/>
  <c r="G11934" i="1"/>
  <c r="K11934" i="1"/>
  <c r="A11935" i="1"/>
  <c r="B11935" i="1"/>
  <c r="G11935" i="1"/>
  <c r="K11935" i="1"/>
  <c r="A11936" i="1"/>
  <c r="B11936" i="1"/>
  <c r="G11936" i="1"/>
  <c r="K11936" i="1"/>
  <c r="A11937" i="1"/>
  <c r="B11937" i="1"/>
  <c r="G11937" i="1"/>
  <c r="K11937" i="1"/>
  <c r="A11938" i="1"/>
  <c r="B11938" i="1"/>
  <c r="G11938" i="1"/>
  <c r="K11938" i="1"/>
  <c r="A11939" i="1"/>
  <c r="B11939" i="1"/>
  <c r="G11939" i="1"/>
  <c r="K11939" i="1"/>
  <c r="A11940" i="1"/>
  <c r="B11940" i="1"/>
  <c r="G11940" i="1"/>
  <c r="K11940" i="1"/>
  <c r="A11941" i="1"/>
  <c r="B11941" i="1"/>
  <c r="G11941" i="1"/>
  <c r="K11941" i="1"/>
  <c r="A11942" i="1"/>
  <c r="B11942" i="1"/>
  <c r="G11942" i="1"/>
  <c r="K11942" i="1"/>
  <c r="A11943" i="1"/>
  <c r="B11943" i="1"/>
  <c r="G11943" i="1"/>
  <c r="K11943" i="1"/>
  <c r="A11944" i="1"/>
  <c r="B11944" i="1"/>
  <c r="G11944" i="1"/>
  <c r="K11944" i="1"/>
  <c r="A11945" i="1"/>
  <c r="B11945" i="1"/>
  <c r="G11945" i="1"/>
  <c r="K11945" i="1"/>
  <c r="A11946" i="1"/>
  <c r="B11946" i="1"/>
  <c r="G11946" i="1"/>
  <c r="K11946" i="1"/>
  <c r="A11947" i="1"/>
  <c r="B11947" i="1"/>
  <c r="G11947" i="1"/>
  <c r="K11947" i="1"/>
  <c r="A11948" i="1"/>
  <c r="B11948" i="1"/>
  <c r="G11948" i="1"/>
  <c r="K11948" i="1"/>
  <c r="A11949" i="1"/>
  <c r="B11949" i="1"/>
  <c r="G11949" i="1"/>
  <c r="K11949" i="1"/>
  <c r="A11950" i="1"/>
  <c r="B11950" i="1"/>
  <c r="G11950" i="1"/>
  <c r="K11950" i="1"/>
  <c r="A11951" i="1"/>
  <c r="B11951" i="1"/>
  <c r="G11951" i="1"/>
  <c r="K11951" i="1"/>
  <c r="A11952" i="1"/>
  <c r="B11952" i="1"/>
  <c r="G11952" i="1"/>
  <c r="K11952" i="1"/>
  <c r="A11953" i="1"/>
  <c r="B11953" i="1"/>
  <c r="G11953" i="1"/>
  <c r="K11953" i="1"/>
  <c r="A11954" i="1"/>
  <c r="B11954" i="1"/>
  <c r="G11954" i="1"/>
  <c r="K11954" i="1"/>
  <c r="A11955" i="1"/>
  <c r="B11955" i="1"/>
  <c r="G11955" i="1"/>
  <c r="K11955" i="1"/>
  <c r="A11956" i="1"/>
  <c r="B11956" i="1"/>
  <c r="G11956" i="1"/>
  <c r="K11956" i="1"/>
  <c r="A11957" i="1"/>
  <c r="B11957" i="1"/>
  <c r="G11957" i="1"/>
  <c r="K11957" i="1"/>
  <c r="A11958" i="1"/>
  <c r="B11958" i="1"/>
  <c r="G11958" i="1"/>
  <c r="K11958" i="1"/>
  <c r="A11959" i="1"/>
  <c r="B11959" i="1"/>
  <c r="G11959" i="1"/>
  <c r="K11959" i="1"/>
  <c r="A11960" i="1"/>
  <c r="B11960" i="1"/>
  <c r="G11960" i="1"/>
  <c r="K11960" i="1"/>
  <c r="A11961" i="1"/>
  <c r="B11961" i="1"/>
  <c r="G11961" i="1"/>
  <c r="K11961" i="1"/>
  <c r="A11962" i="1"/>
  <c r="B11962" i="1"/>
  <c r="G11962" i="1"/>
  <c r="K11962" i="1"/>
  <c r="A11963" i="1"/>
  <c r="B11963" i="1"/>
  <c r="G11963" i="1"/>
  <c r="K11963" i="1"/>
  <c r="A11964" i="1"/>
  <c r="B11964" i="1"/>
  <c r="G11964" i="1"/>
  <c r="K11964" i="1"/>
  <c r="A11965" i="1"/>
  <c r="B11965" i="1"/>
  <c r="G11965" i="1"/>
  <c r="K11965" i="1"/>
  <c r="A11966" i="1"/>
  <c r="B11966" i="1"/>
  <c r="G11966" i="1"/>
  <c r="K11966" i="1"/>
  <c r="A11967" i="1"/>
  <c r="B11967" i="1"/>
  <c r="G11967" i="1"/>
  <c r="K11967" i="1"/>
  <c r="A11968" i="1"/>
  <c r="B11968" i="1"/>
  <c r="G11968" i="1"/>
  <c r="K11968" i="1"/>
  <c r="A11969" i="1"/>
  <c r="B11969" i="1"/>
  <c r="G11969" i="1"/>
  <c r="K11969" i="1"/>
  <c r="A11970" i="1"/>
  <c r="B11970" i="1"/>
  <c r="G11970" i="1"/>
  <c r="K11970" i="1"/>
  <c r="A11971" i="1"/>
  <c r="B11971" i="1"/>
  <c r="G11971" i="1"/>
  <c r="K11971" i="1"/>
  <c r="A11972" i="1"/>
  <c r="B11972" i="1"/>
  <c r="G11972" i="1"/>
  <c r="K11972" i="1"/>
  <c r="A11973" i="1"/>
  <c r="B11973" i="1"/>
  <c r="G11973" i="1"/>
  <c r="K11973" i="1"/>
  <c r="A11974" i="1"/>
  <c r="B11974" i="1"/>
  <c r="G11974" i="1"/>
  <c r="K11974" i="1"/>
  <c r="A11975" i="1"/>
  <c r="B11975" i="1"/>
  <c r="G11975" i="1"/>
  <c r="K11975" i="1"/>
  <c r="A11976" i="1"/>
  <c r="B11976" i="1"/>
  <c r="G11976" i="1"/>
  <c r="K11976" i="1"/>
  <c r="A11977" i="1"/>
  <c r="B11977" i="1"/>
  <c r="G11977" i="1"/>
  <c r="K11977" i="1"/>
  <c r="A11978" i="1"/>
  <c r="B11978" i="1"/>
  <c r="G11978" i="1"/>
  <c r="K11978" i="1"/>
  <c r="A11979" i="1"/>
  <c r="B11979" i="1"/>
  <c r="G11979" i="1"/>
  <c r="K11979" i="1"/>
  <c r="A11980" i="1"/>
  <c r="B11980" i="1"/>
  <c r="G11980" i="1"/>
  <c r="K11980" i="1"/>
  <c r="A11981" i="1"/>
  <c r="B11981" i="1"/>
  <c r="G11981" i="1"/>
  <c r="K11981" i="1"/>
  <c r="A11982" i="1"/>
  <c r="B11982" i="1"/>
  <c r="G11982" i="1"/>
  <c r="K11982" i="1"/>
  <c r="A11983" i="1"/>
  <c r="B11983" i="1"/>
  <c r="G11983" i="1"/>
  <c r="K11983" i="1"/>
  <c r="A11984" i="1"/>
  <c r="B11984" i="1"/>
  <c r="G11984" i="1"/>
  <c r="K11984" i="1"/>
  <c r="A11985" i="1"/>
  <c r="B11985" i="1"/>
  <c r="G11985" i="1"/>
  <c r="K11985" i="1"/>
  <c r="A11986" i="1"/>
  <c r="B11986" i="1"/>
  <c r="G11986" i="1"/>
  <c r="K11986" i="1"/>
  <c r="A11987" i="1"/>
  <c r="B11987" i="1"/>
  <c r="G11987" i="1"/>
  <c r="K11987" i="1"/>
  <c r="A11988" i="1"/>
  <c r="B11988" i="1"/>
  <c r="G11988" i="1"/>
  <c r="K11988" i="1"/>
  <c r="A11989" i="1"/>
  <c r="B11989" i="1"/>
  <c r="G11989" i="1"/>
  <c r="K11989" i="1"/>
  <c r="A11990" i="1"/>
  <c r="B11990" i="1"/>
  <c r="G11990" i="1"/>
  <c r="K11990" i="1"/>
  <c r="A11991" i="1"/>
  <c r="B11991" i="1"/>
  <c r="G11991" i="1"/>
  <c r="K11991" i="1"/>
  <c r="A11992" i="1"/>
  <c r="B11992" i="1"/>
  <c r="G11992" i="1"/>
  <c r="K11992" i="1"/>
  <c r="A11993" i="1"/>
  <c r="B11993" i="1"/>
  <c r="G11993" i="1"/>
  <c r="K11993" i="1"/>
  <c r="A11994" i="1"/>
  <c r="B11994" i="1"/>
  <c r="G11994" i="1"/>
  <c r="K11994" i="1"/>
  <c r="A11995" i="1"/>
  <c r="B11995" i="1"/>
  <c r="G11995" i="1"/>
  <c r="K11995" i="1"/>
  <c r="A11996" i="1"/>
  <c r="B11996" i="1"/>
  <c r="G11996" i="1"/>
  <c r="K11996" i="1"/>
  <c r="A11997" i="1"/>
  <c r="B11997" i="1"/>
  <c r="G11997" i="1"/>
  <c r="K11997" i="1"/>
  <c r="A11998" i="1"/>
  <c r="B11998" i="1"/>
  <c r="G11998" i="1"/>
  <c r="K11998" i="1"/>
  <c r="A11999" i="1"/>
  <c r="B11999" i="1"/>
  <c r="G11999" i="1"/>
  <c r="K11999" i="1"/>
  <c r="A12000" i="1"/>
  <c r="B12000" i="1"/>
  <c r="G12000" i="1"/>
  <c r="K12000" i="1"/>
  <c r="A12001" i="1"/>
  <c r="B12001" i="1"/>
  <c r="G12001" i="1"/>
  <c r="K12001" i="1"/>
  <c r="A12002" i="1"/>
  <c r="B12002" i="1"/>
  <c r="G12002" i="1"/>
  <c r="K12002" i="1"/>
  <c r="A12003" i="1"/>
  <c r="B12003" i="1"/>
  <c r="G12003" i="1"/>
  <c r="K12003" i="1"/>
  <c r="A12004" i="1"/>
  <c r="B12004" i="1"/>
  <c r="G12004" i="1"/>
  <c r="K12004" i="1"/>
  <c r="A12005" i="1"/>
  <c r="B12005" i="1"/>
  <c r="G12005" i="1"/>
  <c r="K12005" i="1"/>
  <c r="A12006" i="1"/>
  <c r="B12006" i="1"/>
  <c r="G12006" i="1"/>
  <c r="K12006" i="1"/>
  <c r="A12007" i="1"/>
  <c r="B12007" i="1"/>
  <c r="G12007" i="1"/>
  <c r="K12007" i="1"/>
  <c r="A12008" i="1"/>
  <c r="B12008" i="1"/>
  <c r="G12008" i="1"/>
  <c r="K12008" i="1"/>
  <c r="A12009" i="1"/>
  <c r="B12009" i="1"/>
  <c r="G12009" i="1"/>
  <c r="K12009" i="1"/>
  <c r="A12010" i="1"/>
  <c r="B12010" i="1"/>
  <c r="G12010" i="1"/>
  <c r="K12010" i="1"/>
  <c r="A12011" i="1"/>
  <c r="B12011" i="1"/>
  <c r="G12011" i="1"/>
  <c r="K12011" i="1"/>
  <c r="A12012" i="1"/>
  <c r="B12012" i="1"/>
  <c r="G12012" i="1"/>
  <c r="K12012" i="1"/>
  <c r="A12013" i="1"/>
  <c r="B12013" i="1"/>
  <c r="G12013" i="1"/>
  <c r="K12013" i="1"/>
  <c r="A12014" i="1"/>
  <c r="B12014" i="1"/>
  <c r="G12014" i="1"/>
  <c r="K12014" i="1"/>
  <c r="A12015" i="1"/>
  <c r="B12015" i="1"/>
  <c r="G12015" i="1"/>
  <c r="K12015" i="1"/>
  <c r="A12016" i="1"/>
  <c r="B12016" i="1"/>
  <c r="G12016" i="1"/>
  <c r="K12016" i="1"/>
  <c r="A12017" i="1"/>
  <c r="B12017" i="1"/>
  <c r="G12017" i="1"/>
  <c r="K12017" i="1"/>
  <c r="A12018" i="1"/>
  <c r="B12018" i="1"/>
  <c r="G12018" i="1"/>
  <c r="K12018" i="1"/>
  <c r="A12019" i="1"/>
  <c r="B12019" i="1"/>
  <c r="G12019" i="1"/>
  <c r="K12019" i="1"/>
  <c r="A12020" i="1"/>
  <c r="B12020" i="1"/>
  <c r="G12020" i="1"/>
  <c r="K12020" i="1"/>
  <c r="A12021" i="1"/>
  <c r="B12021" i="1"/>
  <c r="G12021" i="1"/>
  <c r="K12021" i="1"/>
  <c r="A12022" i="1"/>
  <c r="B12022" i="1"/>
  <c r="G12022" i="1"/>
  <c r="K12022" i="1"/>
  <c r="A12023" i="1"/>
  <c r="B12023" i="1"/>
  <c r="G12023" i="1"/>
  <c r="K12023" i="1"/>
  <c r="A12024" i="1"/>
  <c r="B12024" i="1"/>
  <c r="G12024" i="1"/>
  <c r="K12024" i="1"/>
  <c r="A12025" i="1"/>
  <c r="B12025" i="1"/>
  <c r="G12025" i="1"/>
  <c r="K12025" i="1"/>
  <c r="A12026" i="1"/>
  <c r="B12026" i="1"/>
  <c r="G12026" i="1"/>
  <c r="K12026" i="1"/>
  <c r="A12027" i="1"/>
  <c r="B12027" i="1"/>
  <c r="G12027" i="1"/>
  <c r="K12027" i="1"/>
  <c r="A12028" i="1"/>
  <c r="B12028" i="1"/>
  <c r="G12028" i="1"/>
  <c r="K12028" i="1"/>
  <c r="A12029" i="1"/>
  <c r="B12029" i="1"/>
  <c r="G12029" i="1"/>
  <c r="K12029" i="1"/>
  <c r="A12030" i="1"/>
  <c r="B12030" i="1"/>
  <c r="G12030" i="1"/>
  <c r="K12030" i="1"/>
  <c r="A12031" i="1"/>
  <c r="B12031" i="1"/>
  <c r="G12031" i="1"/>
  <c r="K12031" i="1"/>
  <c r="A12032" i="1"/>
  <c r="B12032" i="1"/>
  <c r="G12032" i="1"/>
  <c r="K12032" i="1"/>
  <c r="A12033" i="1"/>
  <c r="B12033" i="1"/>
  <c r="G12033" i="1"/>
  <c r="K12033" i="1"/>
  <c r="A12034" i="1"/>
  <c r="B12034" i="1"/>
  <c r="G12034" i="1"/>
  <c r="K12034" i="1"/>
  <c r="A12035" i="1"/>
  <c r="B12035" i="1"/>
  <c r="G12035" i="1"/>
  <c r="K12035" i="1"/>
  <c r="A12036" i="1"/>
  <c r="B12036" i="1"/>
  <c r="G12036" i="1"/>
  <c r="K12036" i="1"/>
  <c r="A12037" i="1"/>
  <c r="B12037" i="1"/>
  <c r="G12037" i="1"/>
  <c r="K12037" i="1"/>
  <c r="A12038" i="1"/>
  <c r="B12038" i="1"/>
  <c r="G12038" i="1"/>
  <c r="K12038" i="1"/>
  <c r="A12039" i="1"/>
  <c r="B12039" i="1"/>
  <c r="G12039" i="1"/>
  <c r="K12039" i="1"/>
  <c r="A12040" i="1"/>
  <c r="B12040" i="1"/>
  <c r="G12040" i="1"/>
  <c r="K12040" i="1"/>
  <c r="A12041" i="1"/>
  <c r="B12041" i="1"/>
  <c r="G12041" i="1"/>
  <c r="K12041" i="1"/>
  <c r="A12042" i="1"/>
  <c r="B12042" i="1"/>
  <c r="G12042" i="1"/>
  <c r="K12042" i="1"/>
  <c r="A12043" i="1"/>
  <c r="B12043" i="1"/>
  <c r="G12043" i="1"/>
  <c r="K12043" i="1"/>
  <c r="A12044" i="1"/>
  <c r="B12044" i="1"/>
  <c r="G12044" i="1"/>
  <c r="K12044" i="1"/>
  <c r="A12045" i="1"/>
  <c r="B12045" i="1"/>
  <c r="G12045" i="1"/>
  <c r="K12045" i="1"/>
  <c r="A12046" i="1"/>
  <c r="B12046" i="1"/>
  <c r="G12046" i="1"/>
  <c r="K12046" i="1"/>
  <c r="A12047" i="1"/>
  <c r="B12047" i="1"/>
  <c r="G12047" i="1"/>
  <c r="K12047" i="1"/>
  <c r="A12048" i="1"/>
  <c r="B12048" i="1"/>
  <c r="G12048" i="1"/>
  <c r="K12048" i="1"/>
  <c r="A12049" i="1"/>
  <c r="B12049" i="1"/>
  <c r="G12049" i="1"/>
  <c r="K12049" i="1"/>
  <c r="A12050" i="1"/>
  <c r="B12050" i="1"/>
  <c r="G12050" i="1"/>
  <c r="K12050" i="1"/>
  <c r="A12051" i="1"/>
  <c r="B12051" i="1"/>
  <c r="G12051" i="1"/>
  <c r="K12051" i="1"/>
  <c r="A12052" i="1"/>
  <c r="B12052" i="1"/>
  <c r="G12052" i="1"/>
  <c r="K12052" i="1"/>
  <c r="A12053" i="1"/>
  <c r="B12053" i="1"/>
  <c r="G12053" i="1"/>
  <c r="K12053" i="1"/>
  <c r="A12054" i="1"/>
  <c r="B12054" i="1"/>
  <c r="G12054" i="1"/>
  <c r="K12054" i="1"/>
  <c r="A12055" i="1"/>
  <c r="B12055" i="1"/>
  <c r="G12055" i="1"/>
  <c r="K12055" i="1"/>
  <c r="A12056" i="1"/>
  <c r="B12056" i="1"/>
  <c r="G12056" i="1"/>
  <c r="K12056" i="1"/>
  <c r="A12057" i="1"/>
  <c r="B12057" i="1"/>
  <c r="G12057" i="1"/>
  <c r="K12057" i="1"/>
  <c r="A12058" i="1"/>
  <c r="B12058" i="1"/>
  <c r="G12058" i="1"/>
  <c r="K12058" i="1"/>
  <c r="A12059" i="1"/>
  <c r="B12059" i="1"/>
  <c r="G12059" i="1"/>
  <c r="K12059" i="1"/>
  <c r="A12060" i="1"/>
  <c r="B12060" i="1"/>
  <c r="G12060" i="1"/>
  <c r="K12060" i="1"/>
  <c r="A12061" i="1"/>
  <c r="B12061" i="1"/>
  <c r="G12061" i="1"/>
  <c r="K12061" i="1"/>
  <c r="A12062" i="1"/>
  <c r="B12062" i="1"/>
  <c r="G12062" i="1"/>
  <c r="K12062" i="1"/>
  <c r="A12063" i="1"/>
  <c r="B12063" i="1"/>
  <c r="G12063" i="1"/>
  <c r="K12063" i="1"/>
  <c r="A12064" i="1"/>
  <c r="B12064" i="1"/>
  <c r="G12064" i="1"/>
  <c r="K12064" i="1"/>
  <c r="A12065" i="1"/>
  <c r="B12065" i="1"/>
  <c r="G12065" i="1"/>
  <c r="K12065" i="1"/>
  <c r="A12066" i="1"/>
  <c r="B12066" i="1"/>
  <c r="G12066" i="1"/>
  <c r="K12066" i="1"/>
  <c r="A12067" i="1"/>
  <c r="B12067" i="1"/>
  <c r="G12067" i="1"/>
  <c r="K12067" i="1"/>
  <c r="A12068" i="1"/>
  <c r="B12068" i="1"/>
  <c r="G12068" i="1"/>
  <c r="K12068" i="1"/>
  <c r="A12069" i="1"/>
  <c r="B12069" i="1"/>
  <c r="G12069" i="1"/>
  <c r="K12069" i="1"/>
  <c r="A12070" i="1"/>
  <c r="B12070" i="1"/>
  <c r="G12070" i="1"/>
  <c r="K12070" i="1"/>
  <c r="A12071" i="1"/>
  <c r="B12071" i="1"/>
  <c r="G12071" i="1"/>
  <c r="K12071" i="1"/>
  <c r="A12072" i="1"/>
  <c r="B12072" i="1"/>
  <c r="G12072" i="1"/>
  <c r="K12072" i="1"/>
  <c r="A12073" i="1"/>
  <c r="B12073" i="1"/>
  <c r="G12073" i="1"/>
  <c r="K12073" i="1"/>
  <c r="A12074" i="1"/>
  <c r="B12074" i="1"/>
  <c r="G12074" i="1"/>
  <c r="K12074" i="1"/>
  <c r="A12075" i="1"/>
  <c r="B12075" i="1"/>
  <c r="G12075" i="1"/>
  <c r="K12075" i="1"/>
  <c r="A12076" i="1"/>
  <c r="B12076" i="1"/>
  <c r="G12076" i="1"/>
  <c r="K12076" i="1"/>
  <c r="A12077" i="1"/>
  <c r="B12077" i="1"/>
  <c r="G12077" i="1"/>
  <c r="K12077" i="1"/>
  <c r="A12078" i="1"/>
  <c r="B12078" i="1"/>
  <c r="G12078" i="1"/>
  <c r="K12078" i="1"/>
  <c r="A12079" i="1"/>
  <c r="B12079" i="1"/>
  <c r="G12079" i="1"/>
  <c r="K12079" i="1"/>
  <c r="A12080" i="1"/>
  <c r="B12080" i="1"/>
  <c r="G12080" i="1"/>
  <c r="K12080" i="1"/>
  <c r="A12081" i="1"/>
  <c r="B12081" i="1"/>
  <c r="G12081" i="1"/>
  <c r="K12081" i="1"/>
  <c r="A12082" i="1"/>
  <c r="B12082" i="1"/>
  <c r="G12082" i="1"/>
  <c r="K12082" i="1"/>
  <c r="A12083" i="1"/>
  <c r="B12083" i="1"/>
  <c r="G12083" i="1"/>
  <c r="K12083" i="1"/>
  <c r="A12084" i="1"/>
  <c r="B12084" i="1"/>
  <c r="G12084" i="1"/>
  <c r="K12084" i="1"/>
  <c r="A12085" i="1"/>
  <c r="B12085" i="1"/>
  <c r="G12085" i="1"/>
  <c r="K12085" i="1"/>
  <c r="A12086" i="1"/>
  <c r="B12086" i="1"/>
  <c r="G12086" i="1"/>
  <c r="K12086" i="1"/>
  <c r="A12087" i="1"/>
  <c r="B12087" i="1"/>
  <c r="G12087" i="1"/>
  <c r="K12087" i="1"/>
  <c r="A12088" i="1"/>
  <c r="B12088" i="1"/>
  <c r="G12088" i="1"/>
  <c r="K12088" i="1"/>
  <c r="A12089" i="1"/>
  <c r="B12089" i="1"/>
  <c r="G12089" i="1"/>
  <c r="K12089" i="1"/>
  <c r="A12090" i="1"/>
  <c r="B12090" i="1"/>
  <c r="G12090" i="1"/>
  <c r="K12090" i="1"/>
  <c r="A12091" i="1"/>
  <c r="B12091" i="1"/>
  <c r="G12091" i="1"/>
  <c r="K12091" i="1"/>
  <c r="A12092" i="1"/>
  <c r="B12092" i="1"/>
  <c r="G12092" i="1"/>
  <c r="K12092" i="1"/>
  <c r="A12093" i="1"/>
  <c r="B12093" i="1"/>
  <c r="G12093" i="1"/>
  <c r="K12093" i="1"/>
  <c r="A12094" i="1"/>
  <c r="B12094" i="1"/>
  <c r="G12094" i="1"/>
  <c r="K12094" i="1"/>
  <c r="A12095" i="1"/>
  <c r="B12095" i="1"/>
  <c r="G12095" i="1"/>
  <c r="K12095" i="1"/>
  <c r="A12096" i="1"/>
  <c r="B12096" i="1"/>
  <c r="G12096" i="1"/>
  <c r="K12096" i="1"/>
  <c r="A12097" i="1"/>
  <c r="B12097" i="1"/>
  <c r="G12097" i="1"/>
  <c r="K12097" i="1"/>
  <c r="A12098" i="1"/>
  <c r="B12098" i="1"/>
  <c r="G12098" i="1"/>
  <c r="K12098" i="1"/>
  <c r="A12099" i="1"/>
  <c r="B12099" i="1"/>
  <c r="G12099" i="1"/>
  <c r="K12099" i="1"/>
  <c r="A12100" i="1"/>
  <c r="B12100" i="1"/>
  <c r="G12100" i="1"/>
  <c r="K12100" i="1"/>
  <c r="A12101" i="1"/>
  <c r="B12101" i="1"/>
  <c r="G12101" i="1"/>
  <c r="K12101" i="1"/>
  <c r="A12102" i="1"/>
  <c r="B12102" i="1"/>
  <c r="G12102" i="1"/>
  <c r="K12102" i="1"/>
  <c r="A12103" i="1"/>
  <c r="B12103" i="1"/>
  <c r="G12103" i="1"/>
  <c r="K12103" i="1"/>
  <c r="A12104" i="1"/>
  <c r="B12104" i="1"/>
  <c r="G12104" i="1"/>
  <c r="K12104" i="1"/>
  <c r="A12105" i="1"/>
  <c r="B12105" i="1"/>
  <c r="G12105" i="1"/>
  <c r="K12105" i="1"/>
  <c r="A12106" i="1"/>
  <c r="B12106" i="1"/>
  <c r="G12106" i="1"/>
  <c r="K12106" i="1"/>
  <c r="A12107" i="1"/>
  <c r="B12107" i="1"/>
  <c r="G12107" i="1"/>
  <c r="K12107" i="1"/>
  <c r="A12108" i="1"/>
  <c r="B12108" i="1"/>
  <c r="G12108" i="1"/>
  <c r="K12108" i="1"/>
  <c r="A12109" i="1"/>
  <c r="B12109" i="1"/>
  <c r="G12109" i="1"/>
  <c r="K12109" i="1"/>
  <c r="A12110" i="1"/>
  <c r="B12110" i="1"/>
  <c r="G12110" i="1"/>
  <c r="K12110" i="1"/>
  <c r="A12111" i="1"/>
  <c r="B12111" i="1"/>
  <c r="G12111" i="1"/>
  <c r="K12111" i="1"/>
  <c r="A12112" i="1"/>
  <c r="B12112" i="1"/>
  <c r="G12112" i="1"/>
  <c r="K12112" i="1"/>
  <c r="A12113" i="1"/>
  <c r="B12113" i="1"/>
  <c r="G12113" i="1"/>
  <c r="K12113" i="1"/>
  <c r="A12114" i="1"/>
  <c r="B12114" i="1"/>
  <c r="G12114" i="1"/>
  <c r="K12114" i="1"/>
  <c r="A12115" i="1"/>
  <c r="B12115" i="1"/>
  <c r="G12115" i="1"/>
  <c r="K12115" i="1"/>
  <c r="A12116" i="1"/>
  <c r="B12116" i="1"/>
  <c r="G12116" i="1"/>
  <c r="K12116" i="1"/>
  <c r="A12117" i="1"/>
  <c r="B12117" i="1"/>
  <c r="G12117" i="1"/>
  <c r="K12117" i="1"/>
  <c r="A12118" i="1"/>
  <c r="B12118" i="1"/>
  <c r="G12118" i="1"/>
  <c r="K12118" i="1"/>
  <c r="A12119" i="1"/>
  <c r="B12119" i="1"/>
  <c r="G12119" i="1"/>
  <c r="K12119" i="1"/>
  <c r="A12120" i="1"/>
  <c r="B12120" i="1"/>
  <c r="G12120" i="1"/>
  <c r="K12120" i="1"/>
  <c r="A12121" i="1"/>
  <c r="B12121" i="1"/>
  <c r="G12121" i="1"/>
  <c r="K12121" i="1"/>
  <c r="A12122" i="1"/>
  <c r="B12122" i="1"/>
  <c r="G12122" i="1"/>
  <c r="K12122" i="1"/>
  <c r="A12123" i="1"/>
  <c r="B12123" i="1"/>
  <c r="G12123" i="1"/>
  <c r="K12123" i="1"/>
  <c r="A12124" i="1"/>
  <c r="B12124" i="1"/>
  <c r="G12124" i="1"/>
  <c r="K12124" i="1"/>
  <c r="A12125" i="1"/>
  <c r="B12125" i="1"/>
  <c r="G12125" i="1"/>
  <c r="K12125" i="1"/>
  <c r="A12126" i="1"/>
  <c r="B12126" i="1"/>
  <c r="G12126" i="1"/>
  <c r="K12126" i="1"/>
  <c r="A12127" i="1"/>
  <c r="B12127" i="1"/>
  <c r="G12127" i="1"/>
  <c r="K12127" i="1"/>
  <c r="A12128" i="1"/>
  <c r="B12128" i="1"/>
  <c r="G12128" i="1"/>
  <c r="K12128" i="1"/>
  <c r="A12129" i="1"/>
  <c r="B12129" i="1"/>
  <c r="G12129" i="1"/>
  <c r="K12129" i="1"/>
  <c r="A12130" i="1"/>
  <c r="B12130" i="1"/>
  <c r="G12130" i="1"/>
  <c r="K12130" i="1"/>
  <c r="A12131" i="1"/>
  <c r="B12131" i="1"/>
  <c r="G12131" i="1"/>
  <c r="K12131" i="1"/>
  <c r="A12132" i="1"/>
  <c r="B12132" i="1"/>
  <c r="G12132" i="1"/>
  <c r="K12132" i="1"/>
  <c r="A12133" i="1"/>
  <c r="B12133" i="1"/>
  <c r="G12133" i="1"/>
  <c r="K12133" i="1"/>
  <c r="A12134" i="1"/>
  <c r="B12134" i="1"/>
  <c r="G12134" i="1"/>
  <c r="K12134" i="1"/>
  <c r="A12135" i="1"/>
  <c r="B12135" i="1"/>
  <c r="G12135" i="1"/>
  <c r="K12135" i="1"/>
  <c r="A12136" i="1"/>
  <c r="B12136" i="1"/>
  <c r="G12136" i="1"/>
  <c r="K12136" i="1"/>
  <c r="A12137" i="1"/>
  <c r="B12137" i="1"/>
  <c r="G12137" i="1"/>
  <c r="K12137" i="1"/>
  <c r="A12138" i="1"/>
  <c r="B12138" i="1"/>
  <c r="G12138" i="1"/>
  <c r="K12138" i="1"/>
  <c r="A12139" i="1"/>
  <c r="B12139" i="1"/>
  <c r="G12139" i="1"/>
  <c r="K12139" i="1"/>
  <c r="A12140" i="1"/>
  <c r="B12140" i="1"/>
  <c r="G12140" i="1"/>
  <c r="K12140" i="1"/>
  <c r="A12141" i="1"/>
  <c r="B12141" i="1"/>
  <c r="G12141" i="1"/>
  <c r="K12141" i="1"/>
  <c r="A12142" i="1"/>
  <c r="B12142" i="1"/>
  <c r="G12142" i="1"/>
  <c r="K12142" i="1"/>
  <c r="A12143" i="1"/>
  <c r="B12143" i="1"/>
  <c r="G12143" i="1"/>
  <c r="K12143" i="1"/>
  <c r="A12144" i="1"/>
  <c r="B12144" i="1"/>
  <c r="G12144" i="1"/>
  <c r="K12144" i="1"/>
  <c r="A12145" i="1"/>
  <c r="B12145" i="1"/>
  <c r="G12145" i="1"/>
  <c r="K12145" i="1"/>
  <c r="A12146" i="1"/>
  <c r="B12146" i="1"/>
  <c r="G12146" i="1"/>
  <c r="K12146" i="1"/>
  <c r="A12147" i="1"/>
  <c r="B12147" i="1"/>
  <c r="G12147" i="1"/>
  <c r="K12147" i="1"/>
  <c r="A12148" i="1"/>
  <c r="B12148" i="1"/>
  <c r="G12148" i="1"/>
  <c r="K12148" i="1"/>
  <c r="A12149" i="1"/>
  <c r="B12149" i="1"/>
  <c r="G12149" i="1"/>
  <c r="K12149" i="1"/>
  <c r="A12150" i="1"/>
  <c r="B12150" i="1"/>
  <c r="G12150" i="1"/>
  <c r="K12150" i="1"/>
  <c r="A12151" i="1"/>
  <c r="B12151" i="1"/>
  <c r="G12151" i="1"/>
  <c r="K12151" i="1"/>
  <c r="A12152" i="1"/>
  <c r="B12152" i="1"/>
  <c r="G12152" i="1"/>
  <c r="K12152" i="1"/>
  <c r="A12153" i="1"/>
  <c r="B12153" i="1"/>
  <c r="G12153" i="1"/>
  <c r="K12153" i="1"/>
  <c r="A12154" i="1"/>
  <c r="B12154" i="1"/>
  <c r="G12154" i="1"/>
  <c r="K12154" i="1"/>
  <c r="A12155" i="1"/>
  <c r="B12155" i="1"/>
  <c r="G12155" i="1"/>
  <c r="K12155" i="1"/>
  <c r="A12156" i="1"/>
  <c r="B12156" i="1"/>
  <c r="G12156" i="1"/>
  <c r="K12156" i="1"/>
  <c r="A12157" i="1"/>
  <c r="B12157" i="1"/>
  <c r="G12157" i="1"/>
  <c r="K12157" i="1"/>
  <c r="A12158" i="1"/>
  <c r="B12158" i="1"/>
  <c r="G12158" i="1"/>
  <c r="K12158" i="1"/>
  <c r="A12159" i="1"/>
  <c r="B12159" i="1"/>
  <c r="G12159" i="1"/>
  <c r="K12159" i="1"/>
  <c r="A12160" i="1"/>
  <c r="B12160" i="1"/>
  <c r="G12160" i="1"/>
  <c r="K12160" i="1"/>
  <c r="A12161" i="1"/>
  <c r="B12161" i="1"/>
  <c r="G12161" i="1"/>
  <c r="K12161" i="1"/>
  <c r="A12162" i="1"/>
  <c r="B12162" i="1"/>
  <c r="G12162" i="1"/>
  <c r="K12162" i="1"/>
  <c r="A12163" i="1"/>
  <c r="B12163" i="1"/>
  <c r="G12163" i="1"/>
  <c r="K12163" i="1"/>
  <c r="A12164" i="1"/>
  <c r="B12164" i="1"/>
  <c r="G12164" i="1"/>
  <c r="K12164" i="1"/>
  <c r="A12165" i="1"/>
  <c r="B12165" i="1"/>
  <c r="G12165" i="1"/>
  <c r="K12165" i="1"/>
  <c r="A12166" i="1"/>
  <c r="B12166" i="1"/>
  <c r="G12166" i="1"/>
  <c r="K12166" i="1"/>
  <c r="A12167" i="1"/>
  <c r="B12167" i="1"/>
  <c r="G12167" i="1"/>
  <c r="K12167" i="1"/>
  <c r="A12168" i="1"/>
  <c r="B12168" i="1"/>
  <c r="G12168" i="1"/>
  <c r="K12168" i="1"/>
  <c r="A12169" i="1"/>
  <c r="B12169" i="1"/>
  <c r="G12169" i="1"/>
  <c r="K12169" i="1"/>
  <c r="A12170" i="1"/>
  <c r="B12170" i="1"/>
  <c r="G12170" i="1"/>
  <c r="K12170" i="1"/>
  <c r="A12171" i="1"/>
  <c r="B12171" i="1"/>
  <c r="G12171" i="1"/>
  <c r="K12171" i="1"/>
  <c r="A12172" i="1"/>
  <c r="B12172" i="1"/>
  <c r="G12172" i="1"/>
  <c r="K12172" i="1"/>
  <c r="A12173" i="1"/>
  <c r="B12173" i="1"/>
  <c r="G12173" i="1"/>
  <c r="K12173" i="1"/>
  <c r="A12174" i="1"/>
  <c r="B12174" i="1"/>
  <c r="G12174" i="1"/>
  <c r="K12174" i="1"/>
  <c r="A12175" i="1"/>
  <c r="B12175" i="1"/>
  <c r="G12175" i="1"/>
  <c r="K12175" i="1"/>
  <c r="A12176" i="1"/>
  <c r="B12176" i="1"/>
  <c r="G12176" i="1"/>
  <c r="K12176" i="1"/>
  <c r="A12177" i="1"/>
  <c r="B12177" i="1"/>
  <c r="G12177" i="1"/>
  <c r="K12177" i="1"/>
  <c r="A12178" i="1"/>
  <c r="B12178" i="1"/>
  <c r="G12178" i="1"/>
  <c r="K12178" i="1"/>
  <c r="A12179" i="1"/>
  <c r="B12179" i="1"/>
  <c r="G12179" i="1"/>
  <c r="K12179" i="1"/>
  <c r="A12180" i="1"/>
  <c r="B12180" i="1"/>
  <c r="G12180" i="1"/>
  <c r="K12180" i="1"/>
  <c r="A12181" i="1"/>
  <c r="B12181" i="1"/>
  <c r="G12181" i="1"/>
  <c r="K12181" i="1"/>
  <c r="A12182" i="1"/>
  <c r="B12182" i="1"/>
  <c r="G12182" i="1"/>
  <c r="K12182" i="1"/>
  <c r="A12183" i="1"/>
  <c r="B12183" i="1"/>
  <c r="G12183" i="1"/>
  <c r="K12183" i="1"/>
  <c r="A12184" i="1"/>
  <c r="B12184" i="1"/>
  <c r="G12184" i="1"/>
  <c r="K12184" i="1"/>
  <c r="A12185" i="1"/>
  <c r="B12185" i="1"/>
  <c r="G12185" i="1"/>
  <c r="K12185" i="1"/>
  <c r="A12186" i="1"/>
  <c r="B12186" i="1"/>
  <c r="G12186" i="1"/>
  <c r="K12186" i="1"/>
  <c r="A12187" i="1"/>
  <c r="B12187" i="1"/>
  <c r="G12187" i="1"/>
  <c r="K12187" i="1"/>
  <c r="A12188" i="1"/>
  <c r="B12188" i="1"/>
  <c r="G12188" i="1"/>
  <c r="K12188" i="1"/>
  <c r="A12189" i="1"/>
  <c r="B12189" i="1"/>
  <c r="G12189" i="1"/>
  <c r="K12189" i="1"/>
  <c r="A12190" i="1"/>
  <c r="B12190" i="1"/>
  <c r="G12190" i="1"/>
  <c r="K12190" i="1"/>
  <c r="A12191" i="1"/>
  <c r="B12191" i="1"/>
  <c r="G12191" i="1"/>
  <c r="K12191" i="1"/>
  <c r="A12192" i="1"/>
  <c r="B12192" i="1"/>
  <c r="G12192" i="1"/>
  <c r="K12192" i="1"/>
  <c r="A12193" i="1"/>
  <c r="B12193" i="1"/>
  <c r="G12193" i="1"/>
  <c r="K12193" i="1"/>
  <c r="A12194" i="1"/>
  <c r="B12194" i="1"/>
  <c r="G12194" i="1"/>
  <c r="K12194" i="1"/>
  <c r="A12195" i="1"/>
  <c r="B12195" i="1"/>
  <c r="G12195" i="1"/>
  <c r="K12195" i="1"/>
  <c r="A12196" i="1"/>
  <c r="B12196" i="1"/>
  <c r="G12196" i="1"/>
  <c r="K12196" i="1"/>
  <c r="A12197" i="1"/>
  <c r="B12197" i="1"/>
  <c r="G12197" i="1"/>
  <c r="K12197" i="1"/>
  <c r="A12198" i="1"/>
  <c r="B12198" i="1"/>
  <c r="G12198" i="1"/>
  <c r="K12198" i="1"/>
  <c r="A12199" i="1"/>
  <c r="B12199" i="1"/>
  <c r="G12199" i="1"/>
  <c r="K12199" i="1"/>
  <c r="A12200" i="1"/>
  <c r="B12200" i="1"/>
  <c r="G12200" i="1"/>
  <c r="K12200" i="1"/>
  <c r="A12201" i="1"/>
  <c r="B12201" i="1"/>
  <c r="G12201" i="1"/>
  <c r="K12201" i="1"/>
  <c r="A12202" i="1"/>
  <c r="B12202" i="1"/>
  <c r="G12202" i="1"/>
  <c r="K12202" i="1"/>
  <c r="A12203" i="1"/>
  <c r="B12203" i="1"/>
  <c r="G12203" i="1"/>
  <c r="K12203" i="1"/>
  <c r="A12204" i="1"/>
  <c r="B12204" i="1"/>
  <c r="G12204" i="1"/>
  <c r="K12204" i="1"/>
  <c r="A12205" i="1"/>
  <c r="B12205" i="1"/>
  <c r="G12205" i="1"/>
  <c r="K12205" i="1"/>
  <c r="A12206" i="1"/>
  <c r="B12206" i="1"/>
  <c r="G12206" i="1"/>
  <c r="K12206" i="1"/>
  <c r="A12207" i="1"/>
  <c r="B12207" i="1"/>
  <c r="G12207" i="1"/>
  <c r="K12207" i="1"/>
  <c r="A12208" i="1"/>
  <c r="B12208" i="1"/>
  <c r="G12208" i="1"/>
  <c r="K12208" i="1"/>
  <c r="A12209" i="1"/>
  <c r="B12209" i="1"/>
  <c r="G12209" i="1"/>
  <c r="K12209" i="1"/>
  <c r="A12210" i="1"/>
  <c r="B12210" i="1"/>
  <c r="G12210" i="1"/>
  <c r="K12210" i="1"/>
  <c r="A12211" i="1"/>
  <c r="B12211" i="1"/>
  <c r="G12211" i="1"/>
  <c r="K12211" i="1"/>
  <c r="A12212" i="1"/>
  <c r="B12212" i="1"/>
  <c r="G12212" i="1"/>
  <c r="K12212" i="1"/>
  <c r="A12213" i="1"/>
  <c r="B12213" i="1"/>
  <c r="G12213" i="1"/>
  <c r="K12213" i="1"/>
  <c r="A12214" i="1"/>
  <c r="B12214" i="1"/>
  <c r="G12214" i="1"/>
  <c r="K12214" i="1"/>
  <c r="A12215" i="1"/>
  <c r="B12215" i="1"/>
  <c r="G12215" i="1"/>
  <c r="K12215" i="1"/>
  <c r="A12216" i="1"/>
  <c r="B12216" i="1"/>
  <c r="G12216" i="1"/>
  <c r="K12216" i="1"/>
  <c r="A12217" i="1"/>
  <c r="B12217" i="1"/>
  <c r="G12217" i="1"/>
  <c r="K12217" i="1"/>
  <c r="A12218" i="1"/>
  <c r="B12218" i="1"/>
  <c r="G12218" i="1"/>
  <c r="K12218" i="1"/>
  <c r="A12219" i="1"/>
  <c r="B12219" i="1"/>
  <c r="G12219" i="1"/>
  <c r="K12219" i="1"/>
  <c r="A12220" i="1"/>
  <c r="B12220" i="1"/>
  <c r="G12220" i="1"/>
  <c r="K12220" i="1"/>
  <c r="A12221" i="1"/>
  <c r="B12221" i="1"/>
  <c r="G12221" i="1"/>
  <c r="K12221" i="1"/>
  <c r="A12222" i="1"/>
  <c r="B12222" i="1"/>
  <c r="G12222" i="1"/>
  <c r="K12222" i="1"/>
  <c r="A12223" i="1"/>
  <c r="B12223" i="1"/>
  <c r="G12223" i="1"/>
  <c r="K12223" i="1"/>
  <c r="A12224" i="1"/>
  <c r="B12224" i="1"/>
  <c r="G12224" i="1"/>
  <c r="K12224" i="1"/>
  <c r="A12225" i="1"/>
  <c r="B12225" i="1"/>
  <c r="G12225" i="1"/>
  <c r="K12225" i="1"/>
  <c r="A12226" i="1"/>
  <c r="B12226" i="1"/>
  <c r="G12226" i="1"/>
  <c r="K12226" i="1"/>
  <c r="A12227" i="1"/>
  <c r="B12227" i="1"/>
  <c r="G12227" i="1"/>
  <c r="K12227" i="1"/>
  <c r="A12228" i="1"/>
  <c r="B12228" i="1"/>
  <c r="G12228" i="1"/>
  <c r="K12228" i="1"/>
  <c r="A12229" i="1"/>
  <c r="B12229" i="1"/>
  <c r="G12229" i="1"/>
  <c r="K12229" i="1"/>
  <c r="A12230" i="1"/>
  <c r="B12230" i="1"/>
  <c r="G12230" i="1"/>
  <c r="K12230" i="1"/>
  <c r="A12231" i="1"/>
  <c r="B12231" i="1"/>
  <c r="G12231" i="1"/>
  <c r="K12231" i="1"/>
  <c r="A12232" i="1"/>
  <c r="B12232" i="1"/>
  <c r="G12232" i="1"/>
  <c r="K12232" i="1"/>
  <c r="A12233" i="1"/>
  <c r="B12233" i="1"/>
  <c r="G12233" i="1"/>
  <c r="K12233" i="1"/>
  <c r="A12234" i="1"/>
  <c r="B12234" i="1"/>
  <c r="G12234" i="1"/>
  <c r="K12234" i="1"/>
  <c r="A12235" i="1"/>
  <c r="B12235" i="1"/>
  <c r="G12235" i="1"/>
  <c r="K12235" i="1"/>
  <c r="A12236" i="1"/>
  <c r="B12236" i="1"/>
  <c r="G12236" i="1"/>
  <c r="K12236" i="1"/>
  <c r="A12237" i="1"/>
  <c r="B12237" i="1"/>
  <c r="G12237" i="1"/>
  <c r="K12237" i="1"/>
  <c r="A12238" i="1"/>
  <c r="B12238" i="1"/>
  <c r="G12238" i="1"/>
  <c r="K12238" i="1"/>
  <c r="A12239" i="1"/>
  <c r="B12239" i="1"/>
  <c r="G12239" i="1"/>
  <c r="K12239" i="1"/>
  <c r="A12240" i="1"/>
  <c r="B12240" i="1"/>
  <c r="G12240" i="1"/>
  <c r="K12240" i="1"/>
  <c r="A12241" i="1"/>
  <c r="B12241" i="1"/>
  <c r="G12241" i="1"/>
  <c r="K12241" i="1"/>
  <c r="A12242" i="1"/>
  <c r="B12242" i="1"/>
  <c r="G12242" i="1"/>
  <c r="K12242" i="1"/>
  <c r="A12243" i="1"/>
  <c r="B12243" i="1"/>
  <c r="G12243" i="1"/>
  <c r="K12243" i="1"/>
  <c r="A12244" i="1"/>
  <c r="B12244" i="1"/>
  <c r="G12244" i="1"/>
  <c r="K12244" i="1"/>
  <c r="A12245" i="1"/>
  <c r="B12245" i="1"/>
  <c r="G12245" i="1"/>
  <c r="K12245" i="1"/>
  <c r="A12246" i="1"/>
  <c r="B12246" i="1"/>
  <c r="G12246" i="1"/>
  <c r="K12246" i="1"/>
  <c r="A12247" i="1"/>
  <c r="B12247" i="1"/>
  <c r="G12247" i="1"/>
  <c r="K12247" i="1"/>
  <c r="A12248" i="1"/>
  <c r="B12248" i="1"/>
  <c r="G12248" i="1"/>
  <c r="K12248" i="1"/>
  <c r="A12249" i="1"/>
  <c r="B12249" i="1"/>
  <c r="G12249" i="1"/>
  <c r="K12249" i="1"/>
  <c r="A12250" i="1"/>
  <c r="B12250" i="1"/>
  <c r="G12250" i="1"/>
  <c r="K12250" i="1"/>
  <c r="A12251" i="1"/>
  <c r="B12251" i="1"/>
  <c r="G12251" i="1"/>
  <c r="K12251" i="1"/>
  <c r="A12252" i="1"/>
  <c r="B12252" i="1"/>
  <c r="G12252" i="1"/>
  <c r="K12252" i="1"/>
  <c r="A12253" i="1"/>
  <c r="B12253" i="1"/>
  <c r="G12253" i="1"/>
  <c r="K12253" i="1"/>
  <c r="A12254" i="1"/>
  <c r="B12254" i="1"/>
  <c r="G12254" i="1"/>
  <c r="K12254" i="1"/>
  <c r="A12255" i="1"/>
  <c r="B12255" i="1"/>
  <c r="G12255" i="1"/>
  <c r="K12255" i="1"/>
  <c r="A12256" i="1"/>
  <c r="B12256" i="1"/>
  <c r="G12256" i="1"/>
  <c r="K12256" i="1"/>
  <c r="A12257" i="1"/>
  <c r="B12257" i="1"/>
  <c r="G12257" i="1"/>
  <c r="K12257" i="1"/>
  <c r="A12258" i="1"/>
  <c r="B12258" i="1"/>
  <c r="G12258" i="1"/>
  <c r="K12258" i="1"/>
  <c r="A12259" i="1"/>
  <c r="B12259" i="1"/>
  <c r="G12259" i="1"/>
  <c r="K12259" i="1"/>
  <c r="A12260" i="1"/>
  <c r="B12260" i="1"/>
  <c r="G12260" i="1"/>
  <c r="K12260" i="1"/>
  <c r="A12261" i="1"/>
  <c r="B12261" i="1"/>
  <c r="G12261" i="1"/>
  <c r="K12261" i="1"/>
  <c r="A12262" i="1"/>
  <c r="B12262" i="1"/>
  <c r="G12262" i="1"/>
  <c r="K12262" i="1"/>
  <c r="A12263" i="1"/>
  <c r="B12263" i="1"/>
  <c r="G12263" i="1"/>
  <c r="K12263" i="1"/>
  <c r="A12264" i="1"/>
  <c r="B12264" i="1"/>
  <c r="G12264" i="1"/>
  <c r="K12264" i="1"/>
  <c r="A12265" i="1"/>
  <c r="B12265" i="1"/>
  <c r="G12265" i="1"/>
  <c r="K12265" i="1"/>
  <c r="A12266" i="1"/>
  <c r="B12266" i="1"/>
  <c r="G12266" i="1"/>
  <c r="K12266" i="1"/>
  <c r="A12267" i="1"/>
  <c r="B12267" i="1"/>
  <c r="G12267" i="1"/>
  <c r="K12267" i="1"/>
  <c r="A12268" i="1"/>
  <c r="B12268" i="1"/>
  <c r="G12268" i="1"/>
  <c r="K12268" i="1"/>
  <c r="A12269" i="1"/>
  <c r="B12269" i="1"/>
  <c r="G12269" i="1"/>
  <c r="K12269" i="1"/>
  <c r="A12270" i="1"/>
  <c r="B12270" i="1"/>
  <c r="G12270" i="1"/>
  <c r="K12270" i="1"/>
  <c r="A12271" i="1"/>
  <c r="B12271" i="1"/>
  <c r="G12271" i="1"/>
  <c r="K12271" i="1"/>
  <c r="A12272" i="1"/>
  <c r="B12272" i="1"/>
  <c r="G12272" i="1"/>
  <c r="K12272" i="1"/>
  <c r="A12273" i="1"/>
  <c r="B12273" i="1"/>
  <c r="G12273" i="1"/>
  <c r="K12273" i="1"/>
  <c r="A12274" i="1"/>
  <c r="B12274" i="1"/>
  <c r="G12274" i="1"/>
  <c r="K12274" i="1"/>
  <c r="A12275" i="1"/>
  <c r="B12275" i="1"/>
  <c r="G12275" i="1"/>
  <c r="K12275" i="1"/>
  <c r="A12276" i="1"/>
  <c r="B12276" i="1"/>
  <c r="G12276" i="1"/>
  <c r="K12276" i="1"/>
  <c r="A12277" i="1"/>
  <c r="B12277" i="1"/>
  <c r="G12277" i="1"/>
  <c r="K12277" i="1"/>
  <c r="A12278" i="1"/>
  <c r="B12278" i="1"/>
  <c r="G12278" i="1"/>
  <c r="K12278" i="1"/>
  <c r="A12279" i="1"/>
  <c r="B12279" i="1"/>
  <c r="G12279" i="1"/>
  <c r="K12279" i="1"/>
  <c r="A12280" i="1"/>
  <c r="B12280" i="1"/>
  <c r="G12280" i="1"/>
  <c r="K12280" i="1"/>
  <c r="A12281" i="1"/>
  <c r="B12281" i="1"/>
  <c r="G12281" i="1"/>
  <c r="K12281" i="1"/>
  <c r="A12282" i="1"/>
  <c r="B12282" i="1"/>
  <c r="G12282" i="1"/>
  <c r="K12282" i="1"/>
  <c r="A12283" i="1"/>
  <c r="B12283" i="1"/>
  <c r="G12283" i="1"/>
  <c r="K12283" i="1"/>
  <c r="A12284" i="1"/>
  <c r="B12284" i="1"/>
  <c r="G12284" i="1"/>
  <c r="K12284" i="1"/>
  <c r="A12285" i="1"/>
  <c r="B12285" i="1"/>
  <c r="G12285" i="1"/>
  <c r="K12285" i="1"/>
  <c r="A12286" i="1"/>
  <c r="B12286" i="1"/>
  <c r="G12286" i="1"/>
  <c r="K12286" i="1"/>
  <c r="A12287" i="1"/>
  <c r="B12287" i="1"/>
  <c r="G12287" i="1"/>
  <c r="K12287" i="1"/>
  <c r="A12288" i="1"/>
  <c r="B12288" i="1"/>
  <c r="G12288" i="1"/>
  <c r="K12288" i="1"/>
  <c r="A12289" i="1"/>
  <c r="B12289" i="1"/>
  <c r="G12289" i="1"/>
  <c r="K12289" i="1"/>
  <c r="A12290" i="1"/>
  <c r="B12290" i="1"/>
  <c r="G12290" i="1"/>
  <c r="K12290" i="1"/>
  <c r="A12291" i="1"/>
  <c r="B12291" i="1"/>
  <c r="G12291" i="1"/>
  <c r="K12291" i="1"/>
  <c r="A12292" i="1"/>
  <c r="B12292" i="1"/>
  <c r="G12292" i="1"/>
  <c r="K12292" i="1"/>
  <c r="A12293" i="1"/>
  <c r="B12293" i="1"/>
  <c r="G12293" i="1"/>
  <c r="K12293" i="1"/>
  <c r="A12294" i="1"/>
  <c r="B12294" i="1"/>
  <c r="G12294" i="1"/>
  <c r="K12294" i="1"/>
  <c r="A12295" i="1"/>
  <c r="B12295" i="1"/>
  <c r="G12295" i="1"/>
  <c r="K12295" i="1"/>
  <c r="A12296" i="1"/>
  <c r="B12296" i="1"/>
  <c r="G12296" i="1"/>
  <c r="K12296" i="1"/>
  <c r="A12297" i="1"/>
  <c r="B12297" i="1"/>
  <c r="G12297" i="1"/>
  <c r="K12297" i="1"/>
  <c r="A12298" i="1"/>
  <c r="B12298" i="1"/>
  <c r="G12298" i="1"/>
  <c r="K12298" i="1"/>
  <c r="A12299" i="1"/>
  <c r="B12299" i="1"/>
  <c r="G12299" i="1"/>
  <c r="K12299" i="1"/>
  <c r="A12300" i="1"/>
  <c r="B12300" i="1"/>
  <c r="G12300" i="1"/>
  <c r="K12300" i="1"/>
  <c r="A12301" i="1"/>
  <c r="B12301" i="1"/>
  <c r="G12301" i="1"/>
  <c r="K12301" i="1"/>
  <c r="A12302" i="1"/>
  <c r="B12302" i="1"/>
  <c r="G12302" i="1"/>
  <c r="K12302" i="1"/>
  <c r="A12303" i="1"/>
  <c r="B12303" i="1"/>
  <c r="G12303" i="1"/>
  <c r="K12303" i="1"/>
  <c r="A12304" i="1"/>
  <c r="B12304" i="1"/>
  <c r="G12304" i="1"/>
  <c r="K12304" i="1"/>
  <c r="A12305" i="1"/>
  <c r="B12305" i="1"/>
  <c r="G12305" i="1"/>
  <c r="K12305" i="1"/>
  <c r="A12306" i="1"/>
  <c r="B12306" i="1"/>
  <c r="G12306" i="1"/>
  <c r="K12306" i="1"/>
  <c r="A12307" i="1"/>
  <c r="B12307" i="1"/>
  <c r="G12307" i="1"/>
  <c r="K12307" i="1"/>
  <c r="A12308" i="1"/>
  <c r="B12308" i="1"/>
  <c r="G12308" i="1"/>
  <c r="K12308" i="1"/>
  <c r="A12309" i="1"/>
  <c r="B12309" i="1"/>
  <c r="G12309" i="1"/>
  <c r="K12309" i="1"/>
  <c r="A12310" i="1"/>
  <c r="B12310" i="1"/>
  <c r="G12310" i="1"/>
  <c r="K12310" i="1"/>
  <c r="A12311" i="1"/>
  <c r="B12311" i="1"/>
  <c r="G12311" i="1"/>
  <c r="K12311" i="1"/>
  <c r="A12312" i="1"/>
  <c r="B12312" i="1"/>
  <c r="G12312" i="1"/>
  <c r="K12312" i="1"/>
  <c r="A12313" i="1"/>
  <c r="B12313" i="1"/>
  <c r="G12313" i="1"/>
  <c r="K12313" i="1"/>
  <c r="A12314" i="1"/>
  <c r="B12314" i="1"/>
  <c r="G12314" i="1"/>
  <c r="K12314" i="1"/>
  <c r="A12315" i="1"/>
  <c r="B12315" i="1"/>
  <c r="G12315" i="1"/>
  <c r="K12315" i="1"/>
  <c r="A12316" i="1"/>
  <c r="B12316" i="1"/>
  <c r="G12316" i="1"/>
  <c r="K12316" i="1"/>
  <c r="A12317" i="1"/>
  <c r="B12317" i="1"/>
  <c r="G12317" i="1"/>
  <c r="K12317" i="1"/>
  <c r="A12318" i="1"/>
  <c r="B12318" i="1"/>
  <c r="G12318" i="1"/>
  <c r="K12318" i="1"/>
  <c r="A12319" i="1"/>
  <c r="B12319" i="1"/>
  <c r="G12319" i="1"/>
  <c r="K12319" i="1"/>
  <c r="A12320" i="1"/>
  <c r="B12320" i="1"/>
  <c r="G12320" i="1"/>
  <c r="K12320" i="1"/>
  <c r="A12321" i="1"/>
  <c r="B12321" i="1"/>
  <c r="G12321" i="1"/>
  <c r="K12321" i="1"/>
  <c r="A12322" i="1"/>
  <c r="B12322" i="1"/>
  <c r="G12322" i="1"/>
  <c r="K12322" i="1"/>
  <c r="A12323" i="1"/>
  <c r="B12323" i="1"/>
  <c r="G12323" i="1"/>
  <c r="K12323" i="1"/>
  <c r="A12324" i="1"/>
  <c r="B12324" i="1"/>
  <c r="G12324" i="1"/>
  <c r="K12324" i="1"/>
  <c r="A12325" i="1"/>
  <c r="B12325" i="1"/>
  <c r="G12325" i="1"/>
  <c r="K12325" i="1"/>
  <c r="A12326" i="1"/>
  <c r="B12326" i="1"/>
  <c r="G12326" i="1"/>
  <c r="K12326" i="1"/>
  <c r="A12327" i="1"/>
  <c r="B12327" i="1"/>
  <c r="G12327" i="1"/>
  <c r="K12327" i="1"/>
  <c r="A12328" i="1"/>
  <c r="B12328" i="1"/>
  <c r="G12328" i="1"/>
  <c r="K12328" i="1"/>
  <c r="A12329" i="1"/>
  <c r="B12329" i="1"/>
  <c r="G12329" i="1"/>
  <c r="K12329" i="1"/>
  <c r="A12330" i="1"/>
  <c r="B12330" i="1"/>
  <c r="G12330" i="1"/>
  <c r="K12330" i="1"/>
  <c r="A12331" i="1"/>
  <c r="B12331" i="1"/>
  <c r="G12331" i="1"/>
  <c r="K12331" i="1"/>
  <c r="A12332" i="1"/>
  <c r="B12332" i="1"/>
  <c r="G12332" i="1"/>
  <c r="K12332" i="1"/>
  <c r="A12333" i="1"/>
  <c r="B12333" i="1"/>
  <c r="G12333" i="1"/>
  <c r="K12333" i="1"/>
  <c r="A12334" i="1"/>
  <c r="B12334" i="1"/>
  <c r="G12334" i="1"/>
  <c r="K12334" i="1"/>
  <c r="A12335" i="1"/>
  <c r="B12335" i="1"/>
  <c r="G12335" i="1"/>
  <c r="K12335" i="1"/>
  <c r="A12336" i="1"/>
  <c r="B12336" i="1"/>
  <c r="G12336" i="1"/>
  <c r="K12336" i="1"/>
  <c r="A12337" i="1"/>
  <c r="B12337" i="1"/>
  <c r="G12337" i="1"/>
  <c r="K12337" i="1"/>
  <c r="A12338" i="1"/>
  <c r="B12338" i="1"/>
  <c r="G12338" i="1"/>
  <c r="K12338" i="1"/>
  <c r="A12339" i="1"/>
  <c r="B12339" i="1"/>
  <c r="G12339" i="1"/>
  <c r="K12339" i="1"/>
  <c r="A12340" i="1"/>
  <c r="B12340" i="1"/>
  <c r="G12340" i="1"/>
  <c r="K12340" i="1"/>
  <c r="A12341" i="1"/>
  <c r="B12341" i="1"/>
  <c r="G12341" i="1"/>
  <c r="K12341" i="1"/>
  <c r="A12342" i="1"/>
  <c r="B12342" i="1"/>
  <c r="G12342" i="1"/>
  <c r="K12342" i="1"/>
  <c r="A12343" i="1"/>
  <c r="B12343" i="1"/>
  <c r="G12343" i="1"/>
  <c r="K12343" i="1"/>
  <c r="A12344" i="1"/>
  <c r="B12344" i="1"/>
  <c r="G12344" i="1"/>
  <c r="K12344" i="1"/>
  <c r="A12345" i="1"/>
  <c r="B12345" i="1"/>
  <c r="G12345" i="1"/>
  <c r="K12345" i="1"/>
  <c r="A12346" i="1"/>
  <c r="B12346" i="1"/>
  <c r="G12346" i="1"/>
  <c r="K12346" i="1"/>
  <c r="A12347" i="1"/>
  <c r="B12347" i="1"/>
  <c r="G12347" i="1"/>
  <c r="K12347" i="1"/>
  <c r="A12348" i="1"/>
  <c r="B12348" i="1"/>
  <c r="G12348" i="1"/>
  <c r="K12348" i="1"/>
  <c r="A12349" i="1"/>
  <c r="B12349" i="1"/>
  <c r="G12349" i="1"/>
  <c r="K12349" i="1"/>
  <c r="A12350" i="1"/>
  <c r="B12350" i="1"/>
  <c r="G12350" i="1"/>
  <c r="K12350" i="1"/>
  <c r="A12351" i="1"/>
  <c r="B12351" i="1"/>
  <c r="G12351" i="1"/>
  <c r="K12351" i="1"/>
  <c r="A12352" i="1"/>
  <c r="B12352" i="1"/>
  <c r="G12352" i="1"/>
  <c r="K12352" i="1"/>
  <c r="A12353" i="1"/>
  <c r="B12353" i="1"/>
  <c r="G12353" i="1"/>
  <c r="K12353" i="1"/>
  <c r="A12354" i="1"/>
  <c r="B12354" i="1"/>
  <c r="G12354" i="1"/>
  <c r="K12354" i="1"/>
  <c r="A12355" i="1"/>
  <c r="B12355" i="1"/>
  <c r="G12355" i="1"/>
  <c r="K12355" i="1"/>
  <c r="A12356" i="1"/>
  <c r="B12356" i="1"/>
  <c r="G12356" i="1"/>
  <c r="K12356" i="1"/>
  <c r="A12357" i="1"/>
  <c r="B12357" i="1"/>
  <c r="G12357" i="1"/>
  <c r="K12357" i="1"/>
  <c r="A12358" i="1"/>
  <c r="B12358" i="1"/>
  <c r="G12358" i="1"/>
  <c r="K12358" i="1"/>
  <c r="A12359" i="1"/>
  <c r="B12359" i="1"/>
  <c r="G12359" i="1"/>
  <c r="K12359" i="1"/>
  <c r="A12360" i="1"/>
  <c r="B12360" i="1"/>
  <c r="G12360" i="1"/>
  <c r="K12360" i="1"/>
  <c r="A12361" i="1"/>
  <c r="B12361" i="1"/>
  <c r="G12361" i="1"/>
  <c r="K12361" i="1"/>
  <c r="A12362" i="1"/>
  <c r="B12362" i="1"/>
  <c r="G12362" i="1"/>
  <c r="K12362" i="1"/>
  <c r="A12363" i="1"/>
  <c r="B12363" i="1"/>
  <c r="G12363" i="1"/>
  <c r="K12363" i="1"/>
  <c r="A12364" i="1"/>
  <c r="B12364" i="1"/>
  <c r="G12364" i="1"/>
  <c r="K12364" i="1"/>
  <c r="A12365" i="1"/>
  <c r="B12365" i="1"/>
  <c r="G12365" i="1"/>
  <c r="K12365" i="1"/>
  <c r="A12366" i="1"/>
  <c r="B12366" i="1"/>
  <c r="G12366" i="1"/>
  <c r="K12366" i="1"/>
  <c r="A12367" i="1"/>
  <c r="B12367" i="1"/>
  <c r="G12367" i="1"/>
  <c r="K12367" i="1"/>
  <c r="A12368" i="1"/>
  <c r="B12368" i="1"/>
  <c r="G12368" i="1"/>
  <c r="K12368" i="1"/>
  <c r="A12369" i="1"/>
  <c r="B12369" i="1"/>
  <c r="G12369" i="1"/>
  <c r="K12369" i="1"/>
  <c r="A12370" i="1"/>
  <c r="B12370" i="1"/>
  <c r="G12370" i="1"/>
  <c r="K12370" i="1"/>
  <c r="A12371" i="1"/>
  <c r="B12371" i="1"/>
  <c r="G12371" i="1"/>
  <c r="K12371" i="1"/>
  <c r="A12372" i="1"/>
  <c r="B12372" i="1"/>
  <c r="G12372" i="1"/>
  <c r="K12372" i="1"/>
  <c r="A12373" i="1"/>
  <c r="B12373" i="1"/>
  <c r="G12373" i="1"/>
  <c r="K12373" i="1"/>
  <c r="A12374" i="1"/>
  <c r="B12374" i="1"/>
  <c r="G12374" i="1"/>
  <c r="K12374" i="1"/>
  <c r="A12375" i="1"/>
  <c r="B12375" i="1"/>
  <c r="G12375" i="1"/>
  <c r="K12375" i="1"/>
  <c r="A12376" i="1"/>
  <c r="B12376" i="1"/>
  <c r="G12376" i="1"/>
  <c r="K12376" i="1"/>
  <c r="A12377" i="1"/>
  <c r="B12377" i="1"/>
  <c r="G12377" i="1"/>
  <c r="K12377" i="1"/>
  <c r="A12378" i="1"/>
  <c r="B12378" i="1"/>
  <c r="G12378" i="1"/>
  <c r="K12378" i="1"/>
  <c r="A12379" i="1"/>
  <c r="B12379" i="1"/>
  <c r="G12379" i="1"/>
  <c r="K12379" i="1"/>
  <c r="A12380" i="1"/>
  <c r="B12380" i="1"/>
  <c r="G12380" i="1"/>
  <c r="K12380" i="1"/>
  <c r="A12381" i="1"/>
  <c r="B12381" i="1"/>
  <c r="G12381" i="1"/>
  <c r="K12381" i="1"/>
  <c r="A12382" i="1"/>
  <c r="B12382" i="1"/>
  <c r="G12382" i="1"/>
  <c r="K12382" i="1"/>
  <c r="A12383" i="1"/>
  <c r="B12383" i="1"/>
  <c r="G12383" i="1"/>
  <c r="K12383" i="1"/>
  <c r="A12384" i="1"/>
  <c r="B12384" i="1"/>
  <c r="G12384" i="1"/>
  <c r="K12384" i="1"/>
  <c r="A12385" i="1"/>
  <c r="B12385" i="1"/>
  <c r="G12385" i="1"/>
  <c r="K12385" i="1"/>
  <c r="A12386" i="1"/>
  <c r="B12386" i="1"/>
  <c r="G12386" i="1"/>
  <c r="K12386" i="1"/>
  <c r="A12387" i="1"/>
  <c r="B12387" i="1"/>
  <c r="G12387" i="1"/>
  <c r="K12387" i="1"/>
  <c r="A12388" i="1"/>
  <c r="B12388" i="1"/>
  <c r="G12388" i="1"/>
  <c r="K12388" i="1"/>
  <c r="A12389" i="1"/>
  <c r="B12389" i="1"/>
  <c r="G12389" i="1"/>
  <c r="K12389" i="1"/>
  <c r="A12390" i="1"/>
  <c r="B12390" i="1"/>
  <c r="G12390" i="1"/>
  <c r="K12390" i="1"/>
  <c r="A12391" i="1"/>
  <c r="B12391" i="1"/>
  <c r="G12391" i="1"/>
  <c r="K12391" i="1"/>
  <c r="A12392" i="1"/>
  <c r="B12392" i="1"/>
  <c r="G12392" i="1"/>
  <c r="K12392" i="1"/>
  <c r="A12393" i="1"/>
  <c r="B12393" i="1"/>
  <c r="G12393" i="1"/>
  <c r="K12393" i="1"/>
  <c r="A12394" i="1"/>
  <c r="B12394" i="1"/>
  <c r="G12394" i="1"/>
  <c r="K12394" i="1"/>
  <c r="A12395" i="1"/>
  <c r="B12395" i="1"/>
  <c r="G12395" i="1"/>
  <c r="K12395" i="1"/>
  <c r="A12396" i="1"/>
  <c r="B12396" i="1"/>
  <c r="G12396" i="1"/>
  <c r="K12396" i="1"/>
  <c r="A12397" i="1"/>
  <c r="B12397" i="1"/>
  <c r="G12397" i="1"/>
  <c r="K12397" i="1"/>
  <c r="A12398" i="1"/>
  <c r="B12398" i="1"/>
  <c r="G12398" i="1"/>
  <c r="K12398" i="1"/>
  <c r="A12399" i="1"/>
  <c r="B12399" i="1"/>
  <c r="G12399" i="1"/>
  <c r="K12399" i="1"/>
  <c r="A12400" i="1"/>
  <c r="B12400" i="1"/>
  <c r="G12400" i="1"/>
  <c r="K12400" i="1"/>
  <c r="A12401" i="1"/>
  <c r="B12401" i="1"/>
  <c r="G12401" i="1"/>
  <c r="K12401" i="1"/>
  <c r="A12402" i="1"/>
  <c r="B12402" i="1"/>
  <c r="G12402" i="1"/>
  <c r="K12402" i="1"/>
  <c r="A12403" i="1"/>
  <c r="B12403" i="1"/>
  <c r="G12403" i="1"/>
  <c r="K12403" i="1"/>
  <c r="A12404" i="1"/>
  <c r="B12404" i="1"/>
  <c r="G12404" i="1"/>
  <c r="K12404" i="1"/>
  <c r="A12405" i="1"/>
  <c r="B12405" i="1"/>
  <c r="G12405" i="1"/>
  <c r="K12405" i="1"/>
  <c r="A12406" i="1"/>
  <c r="B12406" i="1"/>
  <c r="G12406" i="1"/>
  <c r="K12406" i="1"/>
  <c r="A12407" i="1"/>
  <c r="B12407" i="1"/>
  <c r="G12407" i="1"/>
  <c r="K12407" i="1"/>
  <c r="A12408" i="1"/>
  <c r="B12408" i="1"/>
  <c r="G12408" i="1"/>
  <c r="K12408" i="1"/>
  <c r="A12409" i="1"/>
  <c r="B12409" i="1"/>
  <c r="G12409" i="1"/>
  <c r="K12409" i="1"/>
  <c r="A12410" i="1"/>
  <c r="B12410" i="1"/>
  <c r="G12410" i="1"/>
  <c r="K12410" i="1"/>
  <c r="A12411" i="1"/>
  <c r="B12411" i="1"/>
  <c r="G12411" i="1"/>
  <c r="K12411" i="1"/>
  <c r="A12412" i="1"/>
  <c r="B12412" i="1"/>
  <c r="G12412" i="1"/>
  <c r="K12412" i="1"/>
  <c r="A12413" i="1"/>
  <c r="B12413" i="1"/>
  <c r="G12413" i="1"/>
  <c r="K12413" i="1"/>
  <c r="A12414" i="1"/>
  <c r="B12414" i="1"/>
  <c r="G12414" i="1"/>
  <c r="K12414" i="1"/>
  <c r="A12415" i="1"/>
  <c r="B12415" i="1"/>
  <c r="G12415" i="1"/>
  <c r="K12415" i="1"/>
  <c r="A12416" i="1"/>
  <c r="B12416" i="1"/>
  <c r="G12416" i="1"/>
  <c r="K12416" i="1"/>
  <c r="A12417" i="1"/>
  <c r="B12417" i="1"/>
  <c r="G12417" i="1"/>
  <c r="K12417" i="1"/>
  <c r="A12418" i="1"/>
  <c r="B12418" i="1"/>
  <c r="G12418" i="1"/>
  <c r="K12418" i="1"/>
  <c r="A12419" i="1"/>
  <c r="B12419" i="1"/>
  <c r="G12419" i="1"/>
  <c r="K12419" i="1"/>
  <c r="A12420" i="1"/>
  <c r="B12420" i="1"/>
  <c r="G12420" i="1"/>
  <c r="K12420" i="1"/>
  <c r="A12421" i="1"/>
  <c r="B12421" i="1"/>
  <c r="G12421" i="1"/>
  <c r="K12421" i="1"/>
  <c r="A12422" i="1"/>
  <c r="B12422" i="1"/>
  <c r="G12422" i="1"/>
  <c r="K12422" i="1"/>
  <c r="A12423" i="1"/>
  <c r="B12423" i="1"/>
  <c r="G12423" i="1"/>
  <c r="K12423" i="1"/>
  <c r="A12424" i="1"/>
  <c r="B12424" i="1"/>
  <c r="G12424" i="1"/>
  <c r="K12424" i="1"/>
  <c r="A12425" i="1"/>
  <c r="B12425" i="1"/>
  <c r="G12425" i="1"/>
  <c r="K12425" i="1"/>
  <c r="A12426" i="1"/>
  <c r="B12426" i="1"/>
  <c r="G12426" i="1"/>
  <c r="K12426" i="1"/>
  <c r="A12427" i="1"/>
  <c r="B12427" i="1"/>
  <c r="G12427" i="1"/>
  <c r="K12427" i="1"/>
  <c r="A12428" i="1"/>
  <c r="B12428" i="1"/>
  <c r="G12428" i="1"/>
  <c r="K12428" i="1"/>
  <c r="A12429" i="1"/>
  <c r="B12429" i="1"/>
  <c r="G12429" i="1"/>
  <c r="K12429" i="1"/>
  <c r="A12430" i="1"/>
  <c r="B12430" i="1"/>
  <c r="G12430" i="1"/>
  <c r="K12430" i="1"/>
  <c r="A12431" i="1"/>
  <c r="B12431" i="1"/>
  <c r="G12431" i="1"/>
  <c r="K12431" i="1"/>
  <c r="A12432" i="1"/>
  <c r="B12432" i="1"/>
  <c r="G12432" i="1"/>
  <c r="K12432" i="1"/>
  <c r="A12433" i="1"/>
  <c r="B12433" i="1"/>
  <c r="G12433" i="1"/>
  <c r="K12433" i="1"/>
  <c r="A12434" i="1"/>
  <c r="B12434" i="1"/>
  <c r="G12434" i="1"/>
  <c r="K12434" i="1"/>
  <c r="A12435" i="1"/>
  <c r="B12435" i="1"/>
  <c r="G12435" i="1"/>
  <c r="K12435" i="1"/>
  <c r="A12436" i="1"/>
  <c r="B12436" i="1"/>
  <c r="G12436" i="1"/>
  <c r="K12436" i="1"/>
  <c r="A12437" i="1"/>
  <c r="B12437" i="1"/>
  <c r="G12437" i="1"/>
  <c r="K12437" i="1"/>
  <c r="A12438" i="1"/>
  <c r="B12438" i="1"/>
  <c r="G12438" i="1"/>
  <c r="K12438" i="1"/>
  <c r="A12439" i="1"/>
  <c r="B12439" i="1"/>
  <c r="G12439" i="1"/>
  <c r="K12439" i="1"/>
  <c r="A12440" i="1"/>
  <c r="B12440" i="1"/>
  <c r="G12440" i="1"/>
  <c r="K12440" i="1"/>
  <c r="A12441" i="1"/>
  <c r="B12441" i="1"/>
  <c r="G12441" i="1"/>
  <c r="K12441" i="1"/>
  <c r="A12442" i="1"/>
  <c r="B12442" i="1"/>
  <c r="G12442" i="1"/>
  <c r="K12442" i="1"/>
  <c r="A12443" i="1"/>
  <c r="B12443" i="1"/>
  <c r="G12443" i="1"/>
  <c r="K12443" i="1"/>
  <c r="A12444" i="1"/>
  <c r="B12444" i="1"/>
  <c r="G12444" i="1"/>
  <c r="K12444" i="1"/>
  <c r="A12445" i="1"/>
  <c r="B12445" i="1"/>
  <c r="G12445" i="1"/>
  <c r="K12445" i="1"/>
  <c r="A12446" i="1"/>
  <c r="B12446" i="1"/>
  <c r="G12446" i="1"/>
  <c r="K12446" i="1"/>
  <c r="A12447" i="1"/>
  <c r="B12447" i="1"/>
  <c r="G12447" i="1"/>
  <c r="K12447" i="1"/>
  <c r="A12448" i="1"/>
  <c r="B12448" i="1"/>
  <c r="G12448" i="1"/>
  <c r="K12448" i="1"/>
  <c r="A12449" i="1"/>
  <c r="B12449" i="1"/>
  <c r="G12449" i="1"/>
  <c r="K12449" i="1"/>
  <c r="A12450" i="1"/>
  <c r="B12450" i="1"/>
  <c r="G12450" i="1"/>
  <c r="K12450" i="1"/>
  <c r="A12451" i="1"/>
  <c r="B12451" i="1"/>
  <c r="G12451" i="1"/>
  <c r="K12451" i="1"/>
  <c r="A12452" i="1"/>
  <c r="B12452" i="1"/>
  <c r="G12452" i="1"/>
  <c r="K12452" i="1"/>
  <c r="A12453" i="1"/>
  <c r="B12453" i="1"/>
  <c r="G12453" i="1"/>
  <c r="K12453" i="1"/>
  <c r="A12454" i="1"/>
  <c r="B12454" i="1"/>
  <c r="G12454" i="1"/>
  <c r="K12454" i="1"/>
  <c r="A12455" i="1"/>
  <c r="B12455" i="1"/>
  <c r="G12455" i="1"/>
  <c r="K12455" i="1"/>
  <c r="A12456" i="1"/>
  <c r="B12456" i="1"/>
  <c r="G12456" i="1"/>
  <c r="K12456" i="1"/>
  <c r="A12457" i="1"/>
  <c r="B12457" i="1"/>
  <c r="G12457" i="1"/>
  <c r="K12457" i="1"/>
  <c r="A12458" i="1"/>
  <c r="B12458" i="1"/>
  <c r="G12458" i="1"/>
  <c r="K12458" i="1"/>
  <c r="A12459" i="1"/>
  <c r="B12459" i="1"/>
  <c r="G12459" i="1"/>
  <c r="K12459" i="1"/>
  <c r="A12460" i="1"/>
  <c r="B12460" i="1"/>
  <c r="G12460" i="1"/>
  <c r="K12460" i="1"/>
  <c r="A12461" i="1"/>
  <c r="B12461" i="1"/>
  <c r="G12461" i="1"/>
  <c r="K12461" i="1"/>
  <c r="A12462" i="1"/>
  <c r="B12462" i="1"/>
  <c r="G12462" i="1"/>
  <c r="K12462" i="1"/>
  <c r="A12463" i="1"/>
  <c r="B12463" i="1"/>
  <c r="G12463" i="1"/>
  <c r="K12463" i="1"/>
  <c r="A12464" i="1"/>
  <c r="B12464" i="1"/>
  <c r="G12464" i="1"/>
  <c r="K12464" i="1"/>
  <c r="A12465" i="1"/>
  <c r="B12465" i="1"/>
  <c r="G12465" i="1"/>
  <c r="K12465" i="1"/>
  <c r="A12466" i="1"/>
  <c r="B12466" i="1"/>
  <c r="G12466" i="1"/>
  <c r="K12466" i="1"/>
  <c r="A12467" i="1"/>
  <c r="B12467" i="1"/>
  <c r="G12467" i="1"/>
  <c r="K12467" i="1"/>
  <c r="A12468" i="1"/>
  <c r="B12468" i="1"/>
  <c r="G12468" i="1"/>
  <c r="K12468" i="1"/>
  <c r="A12469" i="1"/>
  <c r="B12469" i="1"/>
  <c r="G12469" i="1"/>
  <c r="K12469" i="1"/>
  <c r="A12470" i="1"/>
  <c r="B12470" i="1"/>
  <c r="G12470" i="1"/>
  <c r="K12470" i="1"/>
  <c r="A12471" i="1"/>
  <c r="B12471" i="1"/>
  <c r="G12471" i="1"/>
  <c r="K12471" i="1"/>
  <c r="A12472" i="1"/>
  <c r="B12472" i="1"/>
  <c r="G12472" i="1"/>
  <c r="K12472" i="1"/>
  <c r="A12473" i="1"/>
  <c r="B12473" i="1"/>
  <c r="G12473" i="1"/>
  <c r="K12473" i="1"/>
  <c r="A12474" i="1"/>
  <c r="B12474" i="1"/>
  <c r="G12474" i="1"/>
  <c r="K12474" i="1"/>
  <c r="A12475" i="1"/>
  <c r="B12475" i="1"/>
  <c r="G12475" i="1"/>
  <c r="K12475" i="1"/>
  <c r="A12476" i="1"/>
  <c r="B12476" i="1"/>
  <c r="G12476" i="1"/>
  <c r="K12476" i="1"/>
  <c r="A12477" i="1"/>
  <c r="B12477" i="1"/>
  <c r="G12477" i="1"/>
  <c r="K12477" i="1"/>
  <c r="A12478" i="1"/>
  <c r="B12478" i="1"/>
  <c r="G12478" i="1"/>
  <c r="K12478" i="1"/>
  <c r="A12479" i="1"/>
  <c r="B12479" i="1"/>
  <c r="G12479" i="1"/>
  <c r="K12479" i="1"/>
  <c r="A12480" i="1"/>
  <c r="B12480" i="1"/>
  <c r="G12480" i="1"/>
  <c r="K12480" i="1"/>
  <c r="A12481" i="1"/>
  <c r="B12481" i="1"/>
  <c r="G12481" i="1"/>
  <c r="K12481" i="1"/>
  <c r="A12482" i="1"/>
  <c r="B12482" i="1"/>
  <c r="G12482" i="1"/>
  <c r="K12482" i="1"/>
  <c r="A12483" i="1"/>
  <c r="B12483" i="1"/>
  <c r="G12483" i="1"/>
  <c r="K12483" i="1"/>
  <c r="A12484" i="1"/>
  <c r="B12484" i="1"/>
  <c r="G12484" i="1"/>
  <c r="K12484" i="1"/>
  <c r="A12485" i="1"/>
  <c r="B12485" i="1"/>
  <c r="G12485" i="1"/>
  <c r="K12485" i="1"/>
  <c r="A12486" i="1"/>
  <c r="B12486" i="1"/>
  <c r="G12486" i="1"/>
  <c r="K12486" i="1"/>
  <c r="A12487" i="1"/>
  <c r="B12487" i="1"/>
  <c r="G12487" i="1"/>
  <c r="K12487" i="1"/>
  <c r="A12488" i="1"/>
  <c r="B12488" i="1"/>
  <c r="G12488" i="1"/>
  <c r="K12488" i="1"/>
  <c r="A12489" i="1"/>
  <c r="B12489" i="1"/>
  <c r="G12489" i="1"/>
  <c r="K12489" i="1"/>
  <c r="A12490" i="1"/>
  <c r="B12490" i="1"/>
  <c r="G12490" i="1"/>
  <c r="K12490" i="1"/>
  <c r="A12491" i="1"/>
  <c r="B12491" i="1"/>
  <c r="G12491" i="1"/>
  <c r="K12491" i="1"/>
  <c r="A12492" i="1"/>
  <c r="B12492" i="1"/>
  <c r="G12492" i="1"/>
  <c r="K12492" i="1"/>
  <c r="A12493" i="1"/>
  <c r="B12493" i="1"/>
  <c r="G12493" i="1"/>
  <c r="K12493" i="1"/>
  <c r="A12494" i="1"/>
  <c r="B12494" i="1"/>
  <c r="G12494" i="1"/>
  <c r="K12494" i="1"/>
  <c r="A12495" i="1"/>
  <c r="B12495" i="1"/>
  <c r="G12495" i="1"/>
  <c r="K12495" i="1"/>
  <c r="A12496" i="1"/>
  <c r="B12496" i="1"/>
  <c r="G12496" i="1"/>
  <c r="K12496" i="1"/>
  <c r="A12497" i="1"/>
  <c r="B12497" i="1"/>
  <c r="G12497" i="1"/>
  <c r="K12497" i="1"/>
  <c r="A12498" i="1"/>
  <c r="B12498" i="1"/>
  <c r="G12498" i="1"/>
  <c r="K12498" i="1"/>
  <c r="A12499" i="1"/>
  <c r="B12499" i="1"/>
  <c r="G12499" i="1"/>
  <c r="K12499" i="1"/>
  <c r="A12500" i="1"/>
  <c r="B12500" i="1"/>
  <c r="G12500" i="1"/>
  <c r="K12500" i="1"/>
  <c r="A12501" i="1"/>
  <c r="B12501" i="1"/>
  <c r="G12501" i="1"/>
  <c r="K12501" i="1"/>
  <c r="A12502" i="1"/>
  <c r="B12502" i="1"/>
  <c r="G12502" i="1"/>
  <c r="K12502" i="1"/>
  <c r="A12503" i="1"/>
  <c r="B12503" i="1"/>
  <c r="G12503" i="1"/>
  <c r="K12503" i="1"/>
  <c r="A12504" i="1"/>
  <c r="B12504" i="1"/>
  <c r="G12504" i="1"/>
  <c r="K12504" i="1"/>
  <c r="A12505" i="1"/>
  <c r="B12505" i="1"/>
  <c r="G12505" i="1"/>
  <c r="K12505" i="1"/>
  <c r="A12506" i="1"/>
  <c r="B12506" i="1"/>
  <c r="G12506" i="1"/>
  <c r="K12506" i="1"/>
  <c r="A12507" i="1"/>
  <c r="B12507" i="1"/>
  <c r="G12507" i="1"/>
  <c r="K12507" i="1"/>
  <c r="A12508" i="1"/>
  <c r="B12508" i="1"/>
  <c r="G12508" i="1"/>
  <c r="K12508" i="1"/>
  <c r="A12509" i="1"/>
  <c r="B12509" i="1"/>
  <c r="G12509" i="1"/>
  <c r="K12509" i="1"/>
  <c r="A12510" i="1"/>
  <c r="B12510" i="1"/>
  <c r="G12510" i="1"/>
  <c r="K12510" i="1"/>
  <c r="A12511" i="1"/>
  <c r="B12511" i="1"/>
  <c r="G12511" i="1"/>
  <c r="K12511" i="1"/>
  <c r="A12512" i="1"/>
  <c r="B12512" i="1"/>
  <c r="G12512" i="1"/>
  <c r="K12512" i="1"/>
  <c r="A12513" i="1"/>
  <c r="B12513" i="1"/>
  <c r="G12513" i="1"/>
  <c r="K12513" i="1"/>
  <c r="A12514" i="1"/>
  <c r="B12514" i="1"/>
  <c r="G12514" i="1"/>
  <c r="K12514" i="1"/>
  <c r="A12515" i="1"/>
  <c r="B12515" i="1"/>
  <c r="G12515" i="1"/>
  <c r="K12515" i="1"/>
  <c r="A12516" i="1"/>
  <c r="B12516" i="1"/>
  <c r="G12516" i="1"/>
  <c r="K12516" i="1"/>
  <c r="A12517" i="1"/>
  <c r="B12517" i="1"/>
  <c r="G12517" i="1"/>
  <c r="K12517" i="1"/>
  <c r="A12518" i="1"/>
  <c r="B12518" i="1"/>
  <c r="G12518" i="1"/>
  <c r="K12518" i="1"/>
  <c r="A12519" i="1"/>
  <c r="B12519" i="1"/>
  <c r="G12519" i="1"/>
  <c r="K12519" i="1"/>
  <c r="A12520" i="1"/>
  <c r="B12520" i="1"/>
  <c r="G12520" i="1"/>
  <c r="K12520" i="1"/>
  <c r="A12521" i="1"/>
  <c r="B12521" i="1"/>
  <c r="G12521" i="1"/>
  <c r="K12521" i="1"/>
  <c r="A12522" i="1"/>
  <c r="B12522" i="1"/>
  <c r="G12522" i="1"/>
  <c r="K12522" i="1"/>
  <c r="A12523" i="1"/>
  <c r="B12523" i="1"/>
  <c r="G12523" i="1"/>
  <c r="K12523" i="1"/>
  <c r="A12524" i="1"/>
  <c r="B12524" i="1"/>
  <c r="G12524" i="1"/>
  <c r="K12524" i="1"/>
  <c r="A12525" i="1"/>
  <c r="B12525" i="1"/>
  <c r="G12525" i="1"/>
  <c r="K12525" i="1"/>
  <c r="A12526" i="1"/>
  <c r="B12526" i="1"/>
  <c r="G12526" i="1"/>
  <c r="K12526" i="1"/>
  <c r="A12527" i="1"/>
  <c r="B12527" i="1"/>
  <c r="G12527" i="1"/>
  <c r="K12527" i="1"/>
  <c r="A12528" i="1"/>
  <c r="B12528" i="1"/>
  <c r="G12528" i="1"/>
  <c r="K12528" i="1"/>
  <c r="A12529" i="1"/>
  <c r="B12529" i="1"/>
  <c r="G12529" i="1"/>
  <c r="K12529" i="1"/>
  <c r="A12530" i="1"/>
  <c r="B12530" i="1"/>
  <c r="G12530" i="1"/>
  <c r="K12530" i="1"/>
  <c r="A12531" i="1"/>
  <c r="B12531" i="1"/>
  <c r="G12531" i="1"/>
  <c r="K12531" i="1"/>
  <c r="A12532" i="1"/>
  <c r="B12532" i="1"/>
  <c r="G12532" i="1"/>
  <c r="K12532" i="1"/>
  <c r="A12533" i="1"/>
  <c r="B12533" i="1"/>
  <c r="G12533" i="1"/>
  <c r="K12533" i="1"/>
  <c r="A12534" i="1"/>
  <c r="B12534" i="1"/>
  <c r="G12534" i="1"/>
  <c r="K12534" i="1"/>
  <c r="A12535" i="1"/>
  <c r="B12535" i="1"/>
  <c r="G12535" i="1"/>
  <c r="K12535" i="1"/>
  <c r="A12536" i="1"/>
  <c r="B12536" i="1"/>
  <c r="G12536" i="1"/>
  <c r="K12536" i="1"/>
  <c r="A12537" i="1"/>
  <c r="B12537" i="1"/>
  <c r="G12537" i="1"/>
  <c r="K12537" i="1"/>
  <c r="A12538" i="1"/>
  <c r="B12538" i="1"/>
  <c r="G12538" i="1"/>
  <c r="K12538" i="1"/>
  <c r="A12539" i="1"/>
  <c r="B12539" i="1"/>
  <c r="G12539" i="1"/>
  <c r="K12539" i="1"/>
  <c r="A12540" i="1"/>
  <c r="B12540" i="1"/>
  <c r="G12540" i="1"/>
  <c r="K12540" i="1"/>
  <c r="A12541" i="1"/>
  <c r="B12541" i="1"/>
  <c r="G12541" i="1"/>
  <c r="K12541" i="1"/>
  <c r="A12542" i="1"/>
  <c r="B12542" i="1"/>
  <c r="G12542" i="1"/>
  <c r="K12542" i="1"/>
  <c r="A12543" i="1"/>
  <c r="B12543" i="1"/>
  <c r="G12543" i="1"/>
  <c r="K12543" i="1"/>
  <c r="A12544" i="1"/>
  <c r="B12544" i="1"/>
  <c r="G12544" i="1"/>
  <c r="K12544" i="1"/>
  <c r="A12545" i="1"/>
  <c r="B12545" i="1"/>
  <c r="G12545" i="1"/>
  <c r="K12545" i="1"/>
  <c r="A12546" i="1"/>
  <c r="B12546" i="1"/>
  <c r="G12546" i="1"/>
  <c r="K12546" i="1"/>
  <c r="A12547" i="1"/>
  <c r="B12547" i="1"/>
  <c r="G12547" i="1"/>
  <c r="K12547" i="1"/>
  <c r="A12548" i="1"/>
  <c r="B12548" i="1"/>
  <c r="G12548" i="1"/>
  <c r="K12548" i="1"/>
  <c r="A12549" i="1"/>
  <c r="B12549" i="1"/>
  <c r="G12549" i="1"/>
  <c r="K12549" i="1"/>
  <c r="A12550" i="1"/>
  <c r="B12550" i="1"/>
  <c r="G12550" i="1"/>
  <c r="K12550" i="1"/>
  <c r="A12551" i="1"/>
  <c r="B12551" i="1"/>
  <c r="G12551" i="1"/>
  <c r="K12551" i="1"/>
  <c r="A12552" i="1"/>
  <c r="B12552" i="1"/>
  <c r="G12552" i="1"/>
  <c r="K12552" i="1"/>
  <c r="A12553" i="1"/>
  <c r="B12553" i="1"/>
  <c r="G12553" i="1"/>
  <c r="K12553" i="1"/>
  <c r="A12554" i="1"/>
  <c r="B12554" i="1"/>
  <c r="G12554" i="1"/>
  <c r="K12554" i="1"/>
  <c r="A12555" i="1"/>
  <c r="B12555" i="1"/>
  <c r="G12555" i="1"/>
  <c r="K12555" i="1"/>
  <c r="A12556" i="1"/>
  <c r="B12556" i="1"/>
  <c r="G12556" i="1"/>
  <c r="K12556" i="1"/>
  <c r="A12557" i="1"/>
  <c r="B12557" i="1"/>
  <c r="G12557" i="1"/>
  <c r="K12557" i="1"/>
  <c r="A12558" i="1"/>
  <c r="B12558" i="1"/>
  <c r="G12558" i="1"/>
  <c r="K12558" i="1"/>
  <c r="A12559" i="1"/>
  <c r="B12559" i="1"/>
  <c r="G12559" i="1"/>
  <c r="K12559" i="1"/>
  <c r="A12560" i="1"/>
  <c r="B12560" i="1"/>
  <c r="G12560" i="1"/>
  <c r="K12560" i="1"/>
  <c r="A12561" i="1"/>
  <c r="B12561" i="1"/>
  <c r="G12561" i="1"/>
  <c r="K12561" i="1"/>
  <c r="A12562" i="1"/>
  <c r="B12562" i="1"/>
  <c r="G12562" i="1"/>
  <c r="K12562" i="1"/>
  <c r="A12563" i="1"/>
  <c r="B12563" i="1"/>
  <c r="G12563" i="1"/>
  <c r="K12563" i="1"/>
  <c r="A12564" i="1"/>
  <c r="B12564" i="1"/>
  <c r="G12564" i="1"/>
  <c r="K12564" i="1"/>
  <c r="A12565" i="1"/>
  <c r="B12565" i="1"/>
  <c r="G12565" i="1"/>
  <c r="K12565" i="1"/>
  <c r="A12566" i="1"/>
  <c r="B12566" i="1"/>
  <c r="G12566" i="1"/>
  <c r="K12566" i="1"/>
  <c r="A12567" i="1"/>
  <c r="B12567" i="1"/>
  <c r="G12567" i="1"/>
  <c r="K12567" i="1"/>
  <c r="A12568" i="1"/>
  <c r="B12568" i="1"/>
  <c r="G12568" i="1"/>
  <c r="K12568" i="1"/>
  <c r="A12569" i="1"/>
  <c r="B12569" i="1"/>
  <c r="G12569" i="1"/>
  <c r="K12569" i="1"/>
  <c r="A12570" i="1"/>
  <c r="B12570" i="1"/>
  <c r="G12570" i="1"/>
  <c r="K12570" i="1"/>
  <c r="A12571" i="1"/>
  <c r="B12571" i="1"/>
  <c r="G12571" i="1"/>
  <c r="K12571" i="1"/>
  <c r="A12572" i="1"/>
  <c r="B12572" i="1"/>
  <c r="G12572" i="1"/>
  <c r="K12572" i="1"/>
  <c r="A12573" i="1"/>
  <c r="B12573" i="1"/>
  <c r="G12573" i="1"/>
  <c r="K12573" i="1"/>
  <c r="A12574" i="1"/>
  <c r="B12574" i="1"/>
  <c r="G12574" i="1"/>
  <c r="K12574" i="1"/>
  <c r="A12575" i="1"/>
  <c r="B12575" i="1"/>
  <c r="G12575" i="1"/>
  <c r="K12575" i="1"/>
  <c r="A12576" i="1"/>
  <c r="B12576" i="1"/>
  <c r="G12576" i="1"/>
  <c r="K12576" i="1"/>
  <c r="A12577" i="1"/>
  <c r="B12577" i="1"/>
  <c r="G12577" i="1"/>
  <c r="K12577" i="1"/>
  <c r="A12578" i="1"/>
  <c r="B12578" i="1"/>
  <c r="G12578" i="1"/>
  <c r="K12578" i="1"/>
  <c r="A12579" i="1"/>
  <c r="B12579" i="1"/>
  <c r="G12579" i="1"/>
  <c r="K12579" i="1"/>
  <c r="A12580" i="1"/>
  <c r="B12580" i="1"/>
  <c r="G12580" i="1"/>
  <c r="K12580" i="1"/>
  <c r="A12581" i="1"/>
  <c r="B12581" i="1"/>
  <c r="G12581" i="1"/>
  <c r="K12581" i="1"/>
  <c r="A12582" i="1"/>
  <c r="B12582" i="1"/>
  <c r="G12582" i="1"/>
  <c r="K12582" i="1"/>
  <c r="A12583" i="1"/>
  <c r="B12583" i="1"/>
  <c r="G12583" i="1"/>
  <c r="K12583" i="1"/>
  <c r="A12584" i="1"/>
  <c r="B12584" i="1"/>
  <c r="G12584" i="1"/>
  <c r="K12584" i="1"/>
  <c r="A12585" i="1"/>
  <c r="B12585" i="1"/>
  <c r="G12585" i="1"/>
  <c r="K12585" i="1"/>
  <c r="A12586" i="1"/>
  <c r="B12586" i="1"/>
  <c r="G12586" i="1"/>
  <c r="K12586" i="1"/>
  <c r="A12587" i="1"/>
  <c r="B12587" i="1"/>
  <c r="G12587" i="1"/>
  <c r="K12587" i="1"/>
  <c r="A12588" i="1"/>
  <c r="B12588" i="1"/>
  <c r="G12588" i="1"/>
  <c r="K12588" i="1"/>
  <c r="A12589" i="1"/>
  <c r="B12589" i="1"/>
  <c r="G12589" i="1"/>
  <c r="K12589" i="1"/>
  <c r="A12590" i="1"/>
  <c r="B12590" i="1"/>
  <c r="G12590" i="1"/>
  <c r="K12590" i="1"/>
  <c r="A12591" i="1"/>
  <c r="B12591" i="1"/>
  <c r="G12591" i="1"/>
  <c r="K12591" i="1"/>
  <c r="A12592" i="1"/>
  <c r="B12592" i="1"/>
  <c r="G12592" i="1"/>
  <c r="K12592" i="1"/>
  <c r="A12593" i="1"/>
  <c r="B12593" i="1"/>
  <c r="G12593" i="1"/>
  <c r="K12593" i="1"/>
  <c r="A12594" i="1"/>
  <c r="B12594" i="1"/>
  <c r="G12594" i="1"/>
  <c r="K12594" i="1"/>
  <c r="A12595" i="1"/>
  <c r="B12595" i="1"/>
  <c r="G12595" i="1"/>
  <c r="K12595" i="1"/>
  <c r="A12596" i="1"/>
  <c r="B12596" i="1"/>
  <c r="G12596" i="1"/>
  <c r="K12596" i="1"/>
  <c r="A12597" i="1"/>
  <c r="B12597" i="1"/>
  <c r="G12597" i="1"/>
  <c r="K12597" i="1"/>
  <c r="A12598" i="1"/>
  <c r="B12598" i="1"/>
  <c r="G12598" i="1"/>
  <c r="K12598" i="1"/>
  <c r="A12599" i="1"/>
  <c r="B12599" i="1"/>
  <c r="G12599" i="1"/>
  <c r="K12599" i="1"/>
  <c r="A12600" i="1"/>
  <c r="B12600" i="1"/>
  <c r="G12600" i="1"/>
  <c r="K12600" i="1"/>
  <c r="A12601" i="1"/>
  <c r="B12601" i="1"/>
  <c r="G12601" i="1"/>
  <c r="K12601" i="1"/>
  <c r="A12602" i="1"/>
  <c r="B12602" i="1"/>
  <c r="G12602" i="1"/>
  <c r="K12602" i="1"/>
  <c r="A12603" i="1"/>
  <c r="B12603" i="1"/>
  <c r="G12603" i="1"/>
  <c r="K12603" i="1"/>
  <c r="A12604" i="1"/>
  <c r="B12604" i="1"/>
  <c r="G12604" i="1"/>
  <c r="K12604" i="1"/>
  <c r="A12605" i="1"/>
  <c r="B12605" i="1"/>
  <c r="G12605" i="1"/>
  <c r="K12605" i="1"/>
  <c r="A12606" i="1"/>
  <c r="B12606" i="1"/>
  <c r="G12606" i="1"/>
  <c r="K12606" i="1"/>
  <c r="A12607" i="1"/>
  <c r="B12607" i="1"/>
  <c r="G12607" i="1"/>
  <c r="K12607" i="1"/>
  <c r="A12608" i="1"/>
  <c r="B12608" i="1"/>
  <c r="G12608" i="1"/>
  <c r="K12608" i="1"/>
  <c r="A12609" i="1"/>
  <c r="B12609" i="1"/>
  <c r="G12609" i="1"/>
  <c r="K12609" i="1"/>
  <c r="A12610" i="1"/>
  <c r="B12610" i="1"/>
  <c r="G12610" i="1"/>
  <c r="K12610" i="1"/>
  <c r="A12611" i="1"/>
  <c r="B12611" i="1"/>
  <c r="G12611" i="1"/>
  <c r="K12611" i="1"/>
  <c r="A12612" i="1"/>
  <c r="B12612" i="1"/>
  <c r="G12612" i="1"/>
  <c r="K12612" i="1"/>
  <c r="A12613" i="1"/>
  <c r="B12613" i="1"/>
  <c r="G12613" i="1"/>
  <c r="K12613" i="1"/>
  <c r="A12614" i="1"/>
  <c r="B12614" i="1"/>
  <c r="G12614" i="1"/>
  <c r="K12614" i="1"/>
  <c r="A12615" i="1"/>
  <c r="B12615" i="1"/>
  <c r="G12615" i="1"/>
  <c r="K12615" i="1"/>
  <c r="A12616" i="1"/>
  <c r="B12616" i="1"/>
  <c r="G12616" i="1"/>
  <c r="K12616" i="1"/>
  <c r="A12617" i="1"/>
  <c r="B12617" i="1"/>
  <c r="G12617" i="1"/>
  <c r="K12617" i="1"/>
  <c r="A12618" i="1"/>
  <c r="B12618" i="1"/>
  <c r="G12618" i="1"/>
  <c r="K12618" i="1"/>
  <c r="A12619" i="1"/>
  <c r="B12619" i="1"/>
  <c r="G12619" i="1"/>
  <c r="K12619" i="1"/>
  <c r="A12620" i="1"/>
  <c r="B12620" i="1"/>
  <c r="G12620" i="1"/>
  <c r="K12620" i="1"/>
  <c r="A12621" i="1"/>
  <c r="B12621" i="1"/>
  <c r="G12621" i="1"/>
  <c r="K12621" i="1"/>
  <c r="A12622" i="1"/>
  <c r="B12622" i="1"/>
  <c r="G12622" i="1"/>
  <c r="K12622" i="1"/>
  <c r="A12623" i="1"/>
  <c r="B12623" i="1"/>
  <c r="G12623" i="1"/>
  <c r="K12623" i="1"/>
  <c r="A12624" i="1"/>
  <c r="B12624" i="1"/>
  <c r="G12624" i="1"/>
  <c r="K12624" i="1"/>
  <c r="A12625" i="1"/>
  <c r="B12625" i="1"/>
  <c r="G12625" i="1"/>
  <c r="K12625" i="1"/>
  <c r="A12626" i="1"/>
  <c r="B12626" i="1"/>
  <c r="G12626" i="1"/>
  <c r="K12626" i="1"/>
  <c r="A12627" i="1"/>
  <c r="B12627" i="1"/>
  <c r="G12627" i="1"/>
  <c r="K12627" i="1"/>
  <c r="A12628" i="1"/>
  <c r="B12628" i="1"/>
  <c r="G12628" i="1"/>
  <c r="K12628" i="1"/>
  <c r="A12629" i="1"/>
  <c r="B12629" i="1"/>
  <c r="G12629" i="1"/>
  <c r="K12629" i="1"/>
  <c r="A12630" i="1"/>
  <c r="B12630" i="1"/>
  <c r="G12630" i="1"/>
  <c r="K12630" i="1"/>
  <c r="A12631" i="1"/>
  <c r="B12631" i="1"/>
  <c r="G12631" i="1"/>
  <c r="K12631" i="1"/>
  <c r="A12632" i="1"/>
  <c r="B12632" i="1"/>
  <c r="G12632" i="1"/>
  <c r="K12632" i="1"/>
  <c r="A12633" i="1"/>
  <c r="B12633" i="1"/>
  <c r="G12633" i="1"/>
  <c r="K12633" i="1"/>
  <c r="A12634" i="1"/>
  <c r="B12634" i="1"/>
  <c r="G12634" i="1"/>
  <c r="K12634" i="1"/>
  <c r="A12635" i="1"/>
  <c r="B12635" i="1"/>
  <c r="G12635" i="1"/>
  <c r="K12635" i="1"/>
  <c r="A12636" i="1"/>
  <c r="B12636" i="1"/>
  <c r="G12636" i="1"/>
  <c r="K12636" i="1"/>
  <c r="A12637" i="1"/>
  <c r="B12637" i="1"/>
  <c r="G12637" i="1"/>
  <c r="K12637" i="1"/>
  <c r="A12638" i="1"/>
  <c r="B12638" i="1"/>
  <c r="G12638" i="1"/>
  <c r="K12638" i="1"/>
  <c r="A12639" i="1"/>
  <c r="B12639" i="1"/>
  <c r="G12639" i="1"/>
  <c r="K12639" i="1"/>
  <c r="A12640" i="1"/>
  <c r="B12640" i="1"/>
  <c r="G12640" i="1"/>
  <c r="K12640" i="1"/>
  <c r="A12641" i="1"/>
  <c r="B12641" i="1"/>
  <c r="G12641" i="1"/>
  <c r="K12641" i="1"/>
  <c r="A12642" i="1"/>
  <c r="B12642" i="1"/>
  <c r="G12642" i="1"/>
  <c r="K12642" i="1"/>
  <c r="A12643" i="1"/>
  <c r="B12643" i="1"/>
  <c r="G12643" i="1"/>
  <c r="K12643" i="1"/>
  <c r="A12644" i="1"/>
  <c r="B12644" i="1"/>
  <c r="G12644" i="1"/>
  <c r="K12644" i="1"/>
  <c r="A12645" i="1"/>
  <c r="B12645" i="1"/>
  <c r="G12645" i="1"/>
  <c r="K12645" i="1"/>
  <c r="A12646" i="1"/>
  <c r="B12646" i="1"/>
  <c r="G12646" i="1"/>
  <c r="K12646" i="1"/>
  <c r="A12647" i="1"/>
  <c r="B12647" i="1"/>
  <c r="G12647" i="1"/>
  <c r="K12647" i="1"/>
  <c r="A12648" i="1"/>
  <c r="B12648" i="1"/>
  <c r="G12648" i="1"/>
  <c r="K12648" i="1"/>
  <c r="A12649" i="1"/>
  <c r="B12649" i="1"/>
  <c r="G12649" i="1"/>
  <c r="K12649" i="1"/>
  <c r="A12650" i="1"/>
  <c r="B12650" i="1"/>
  <c r="G12650" i="1"/>
  <c r="K12650" i="1"/>
  <c r="A12651" i="1"/>
  <c r="B12651" i="1"/>
  <c r="G12651" i="1"/>
  <c r="K12651" i="1"/>
  <c r="A12652" i="1"/>
  <c r="B12652" i="1"/>
  <c r="G12652" i="1"/>
  <c r="K12652" i="1"/>
  <c r="A12653" i="1"/>
  <c r="B12653" i="1"/>
  <c r="G12653" i="1"/>
  <c r="K12653" i="1"/>
  <c r="A12654" i="1"/>
  <c r="B12654" i="1"/>
  <c r="G12654" i="1"/>
  <c r="K12654" i="1"/>
  <c r="A12655" i="1"/>
  <c r="B12655" i="1"/>
  <c r="G12655" i="1"/>
  <c r="K12655" i="1"/>
  <c r="A12656" i="1"/>
  <c r="B12656" i="1"/>
  <c r="G12656" i="1"/>
  <c r="K12656" i="1"/>
  <c r="A12657" i="1"/>
  <c r="B12657" i="1"/>
  <c r="G12657" i="1"/>
  <c r="K12657" i="1"/>
  <c r="A12658" i="1"/>
  <c r="B12658" i="1"/>
  <c r="G12658" i="1"/>
  <c r="K12658" i="1"/>
  <c r="A12659" i="1"/>
  <c r="B12659" i="1"/>
  <c r="G12659" i="1"/>
  <c r="K12659" i="1"/>
  <c r="A12660" i="1"/>
  <c r="B12660" i="1"/>
  <c r="G12660" i="1"/>
  <c r="K12660" i="1"/>
  <c r="A12661" i="1"/>
  <c r="B12661" i="1"/>
  <c r="G12661" i="1"/>
  <c r="K12661" i="1"/>
  <c r="A12662" i="1"/>
  <c r="B12662" i="1"/>
  <c r="G12662" i="1"/>
  <c r="K12662" i="1"/>
  <c r="A12663" i="1"/>
  <c r="B12663" i="1"/>
  <c r="G12663" i="1"/>
  <c r="K12663" i="1"/>
  <c r="A12664" i="1"/>
  <c r="B12664" i="1"/>
  <c r="G12664" i="1"/>
  <c r="K12664" i="1"/>
  <c r="A12665" i="1"/>
  <c r="B12665" i="1"/>
  <c r="G12665" i="1"/>
  <c r="K12665" i="1"/>
  <c r="A12666" i="1"/>
  <c r="B12666" i="1"/>
  <c r="G12666" i="1"/>
  <c r="K12666" i="1"/>
  <c r="A12667" i="1"/>
  <c r="B12667" i="1"/>
  <c r="G12667" i="1"/>
  <c r="K12667" i="1"/>
  <c r="A12668" i="1"/>
  <c r="B12668" i="1"/>
  <c r="G12668" i="1"/>
  <c r="K12668" i="1"/>
  <c r="A12669" i="1"/>
  <c r="B12669" i="1"/>
  <c r="G12669" i="1"/>
  <c r="K12669" i="1"/>
  <c r="A12670" i="1"/>
  <c r="B12670" i="1"/>
  <c r="G12670" i="1"/>
  <c r="K12670" i="1"/>
  <c r="A12671" i="1"/>
  <c r="B12671" i="1"/>
  <c r="G12671" i="1"/>
  <c r="K12671" i="1"/>
  <c r="A12672" i="1"/>
  <c r="B12672" i="1"/>
  <c r="G12672" i="1"/>
  <c r="K12672" i="1"/>
  <c r="A12673" i="1"/>
  <c r="B12673" i="1"/>
  <c r="G12673" i="1"/>
  <c r="K12673" i="1"/>
  <c r="A12674" i="1"/>
  <c r="B12674" i="1"/>
  <c r="G12674" i="1"/>
  <c r="K12674" i="1"/>
  <c r="A12675" i="1"/>
  <c r="B12675" i="1"/>
  <c r="G12675" i="1"/>
  <c r="K12675" i="1"/>
  <c r="A12676" i="1"/>
  <c r="B12676" i="1"/>
  <c r="G12676" i="1"/>
  <c r="K12676" i="1"/>
  <c r="A12677" i="1"/>
  <c r="B12677" i="1"/>
  <c r="G12677" i="1"/>
  <c r="K12677" i="1"/>
  <c r="A12678" i="1"/>
  <c r="B12678" i="1"/>
  <c r="G12678" i="1"/>
  <c r="K12678" i="1"/>
  <c r="A12679" i="1"/>
  <c r="B12679" i="1"/>
  <c r="G12679" i="1"/>
  <c r="K12679" i="1"/>
  <c r="A12680" i="1"/>
  <c r="B12680" i="1"/>
  <c r="G12680" i="1"/>
  <c r="K12680" i="1"/>
  <c r="A12681" i="1"/>
  <c r="B12681" i="1"/>
  <c r="G12681" i="1"/>
  <c r="K12681" i="1"/>
  <c r="A12682" i="1"/>
  <c r="B12682" i="1"/>
  <c r="G12682" i="1"/>
  <c r="K12682" i="1"/>
  <c r="A12683" i="1"/>
  <c r="B12683" i="1"/>
  <c r="G12683" i="1"/>
  <c r="K12683" i="1"/>
  <c r="A12684" i="1"/>
  <c r="B12684" i="1"/>
  <c r="G12684" i="1"/>
  <c r="K12684" i="1"/>
  <c r="A12685" i="1"/>
  <c r="B12685" i="1"/>
  <c r="G12685" i="1"/>
  <c r="K12685" i="1"/>
  <c r="A12686" i="1"/>
  <c r="B12686" i="1"/>
  <c r="G12686" i="1"/>
  <c r="K12686" i="1"/>
  <c r="A12687" i="1"/>
  <c r="B12687" i="1"/>
  <c r="G12687" i="1"/>
  <c r="K12687" i="1"/>
  <c r="A12688" i="1"/>
  <c r="B12688" i="1"/>
  <c r="G12688" i="1"/>
  <c r="K12688" i="1"/>
  <c r="A12689" i="1"/>
  <c r="B12689" i="1"/>
  <c r="G12689" i="1"/>
  <c r="K12689" i="1"/>
  <c r="A12690" i="1"/>
  <c r="B12690" i="1"/>
  <c r="G12690" i="1"/>
  <c r="K12690" i="1"/>
  <c r="A12691" i="1"/>
  <c r="B12691" i="1"/>
  <c r="G12691" i="1"/>
  <c r="K12691" i="1"/>
  <c r="A12692" i="1"/>
  <c r="B12692" i="1"/>
  <c r="G12692" i="1"/>
  <c r="K12692" i="1"/>
  <c r="A12693" i="1"/>
  <c r="B12693" i="1"/>
  <c r="G12693" i="1"/>
  <c r="K12693" i="1"/>
  <c r="A12694" i="1"/>
  <c r="B12694" i="1"/>
  <c r="G12694" i="1"/>
  <c r="K12694" i="1"/>
  <c r="A12695" i="1"/>
  <c r="B12695" i="1"/>
  <c r="G12695" i="1"/>
  <c r="K12695" i="1"/>
  <c r="A12696" i="1"/>
  <c r="B12696" i="1"/>
  <c r="G12696" i="1"/>
  <c r="K12696" i="1"/>
  <c r="A12697" i="1"/>
  <c r="B12697" i="1"/>
  <c r="G12697" i="1"/>
  <c r="K12697" i="1"/>
  <c r="A12698" i="1"/>
  <c r="B12698" i="1"/>
  <c r="G12698" i="1"/>
  <c r="K12698" i="1"/>
  <c r="A12699" i="1"/>
  <c r="B12699" i="1"/>
  <c r="G12699" i="1"/>
  <c r="K12699" i="1"/>
  <c r="A12700" i="1"/>
  <c r="B12700" i="1"/>
  <c r="G12700" i="1"/>
  <c r="K12700" i="1"/>
  <c r="A12701" i="1"/>
  <c r="B12701" i="1"/>
  <c r="G12701" i="1"/>
  <c r="K12701" i="1"/>
  <c r="A12702" i="1"/>
  <c r="B12702" i="1"/>
  <c r="G12702" i="1"/>
  <c r="K12702" i="1"/>
  <c r="A12703" i="1"/>
  <c r="B12703" i="1"/>
  <c r="G12703" i="1"/>
  <c r="K12703" i="1"/>
  <c r="A12704" i="1"/>
  <c r="B12704" i="1"/>
  <c r="G12704" i="1"/>
  <c r="K12704" i="1"/>
  <c r="A12705" i="1"/>
  <c r="B12705" i="1"/>
  <c r="G12705" i="1"/>
  <c r="K12705" i="1"/>
  <c r="A12706" i="1"/>
  <c r="B12706" i="1"/>
  <c r="G12706" i="1"/>
  <c r="K12706" i="1"/>
  <c r="A12707" i="1"/>
  <c r="B12707" i="1"/>
  <c r="G12707" i="1"/>
  <c r="K12707" i="1"/>
  <c r="A12708" i="1"/>
  <c r="B12708" i="1"/>
  <c r="G12708" i="1"/>
  <c r="K12708" i="1"/>
  <c r="A12709" i="1"/>
  <c r="B12709" i="1"/>
  <c r="G12709" i="1"/>
  <c r="K12709" i="1"/>
  <c r="A12710" i="1"/>
  <c r="B12710" i="1"/>
  <c r="G12710" i="1"/>
  <c r="K12710" i="1"/>
  <c r="A12711" i="1"/>
  <c r="B12711" i="1"/>
  <c r="G12711" i="1"/>
  <c r="K12711" i="1"/>
  <c r="A12712" i="1"/>
  <c r="B12712" i="1"/>
  <c r="G12712" i="1"/>
  <c r="K12712" i="1"/>
  <c r="A12713" i="1"/>
  <c r="B12713" i="1"/>
  <c r="G12713" i="1"/>
  <c r="K12713" i="1"/>
  <c r="A12714" i="1"/>
  <c r="B12714" i="1"/>
  <c r="G12714" i="1"/>
  <c r="K12714" i="1"/>
  <c r="A12715" i="1"/>
  <c r="B12715" i="1"/>
  <c r="G12715" i="1"/>
  <c r="K12715" i="1"/>
  <c r="A12716" i="1"/>
  <c r="B12716" i="1"/>
  <c r="G12716" i="1"/>
  <c r="K12716" i="1"/>
  <c r="A12717" i="1"/>
  <c r="B12717" i="1"/>
  <c r="G12717" i="1"/>
  <c r="K12717" i="1"/>
  <c r="A12718" i="1"/>
  <c r="B12718" i="1"/>
  <c r="G12718" i="1"/>
  <c r="K12718" i="1"/>
  <c r="A12719" i="1"/>
  <c r="B12719" i="1"/>
  <c r="G12719" i="1"/>
  <c r="K12719" i="1"/>
  <c r="A12720" i="1"/>
  <c r="B12720" i="1"/>
  <c r="G12720" i="1"/>
  <c r="K12720" i="1"/>
  <c r="A12721" i="1"/>
  <c r="B12721" i="1"/>
  <c r="G12721" i="1"/>
  <c r="K12721" i="1"/>
  <c r="A12722" i="1"/>
  <c r="B12722" i="1"/>
  <c r="G12722" i="1"/>
  <c r="K12722" i="1"/>
  <c r="A12723" i="1"/>
  <c r="B12723" i="1"/>
  <c r="G12723" i="1"/>
  <c r="K12723" i="1"/>
  <c r="A12724" i="1"/>
  <c r="B12724" i="1"/>
  <c r="G12724" i="1"/>
  <c r="K12724" i="1"/>
  <c r="A12725" i="1"/>
  <c r="B12725" i="1"/>
  <c r="G12725" i="1"/>
  <c r="K12725" i="1"/>
  <c r="A12726" i="1"/>
  <c r="B12726" i="1"/>
  <c r="G12726" i="1"/>
  <c r="K12726" i="1"/>
  <c r="A12727" i="1"/>
  <c r="B12727" i="1"/>
  <c r="G12727" i="1"/>
  <c r="K12727" i="1"/>
  <c r="A12728" i="1"/>
  <c r="B12728" i="1"/>
  <c r="G12728" i="1"/>
  <c r="K12728" i="1"/>
  <c r="A12729" i="1"/>
  <c r="B12729" i="1"/>
  <c r="G12729" i="1"/>
  <c r="K12729" i="1"/>
  <c r="A12730" i="1"/>
  <c r="B12730" i="1"/>
  <c r="G12730" i="1"/>
  <c r="K12730" i="1"/>
  <c r="A12731" i="1"/>
  <c r="B12731" i="1"/>
  <c r="G12731" i="1"/>
  <c r="K12731" i="1"/>
  <c r="A12732" i="1"/>
  <c r="B12732" i="1"/>
  <c r="G12732" i="1"/>
  <c r="K12732" i="1"/>
  <c r="A12733" i="1"/>
  <c r="B12733" i="1"/>
  <c r="G12733" i="1"/>
  <c r="K12733" i="1"/>
  <c r="A12734" i="1"/>
  <c r="B12734" i="1"/>
  <c r="G12734" i="1"/>
  <c r="K12734" i="1"/>
  <c r="A12735" i="1"/>
  <c r="B12735" i="1"/>
  <c r="G12735" i="1"/>
  <c r="K12735" i="1"/>
  <c r="A12736" i="1"/>
  <c r="B12736" i="1"/>
  <c r="G12736" i="1"/>
  <c r="K12736" i="1"/>
  <c r="A12737" i="1"/>
  <c r="B12737" i="1"/>
  <c r="G12737" i="1"/>
  <c r="K12737" i="1"/>
  <c r="A12738" i="1"/>
  <c r="B12738" i="1"/>
  <c r="G12738" i="1"/>
  <c r="K12738" i="1"/>
  <c r="A12739" i="1"/>
  <c r="B12739" i="1"/>
  <c r="G12739" i="1"/>
  <c r="K12739" i="1"/>
  <c r="A12740" i="1"/>
  <c r="B12740" i="1"/>
  <c r="G12740" i="1"/>
  <c r="K12740" i="1"/>
  <c r="A12741" i="1"/>
  <c r="B12741" i="1"/>
  <c r="G12741" i="1"/>
  <c r="K12741" i="1"/>
  <c r="A12742" i="1"/>
  <c r="B12742" i="1"/>
  <c r="G12742" i="1"/>
  <c r="K12742" i="1"/>
  <c r="A12743" i="1"/>
  <c r="B12743" i="1"/>
  <c r="G12743" i="1"/>
  <c r="K12743" i="1"/>
  <c r="A12744" i="1"/>
  <c r="B12744" i="1"/>
  <c r="G12744" i="1"/>
  <c r="K12744" i="1"/>
  <c r="A12745" i="1"/>
  <c r="B12745" i="1"/>
  <c r="G12745" i="1"/>
  <c r="K12745" i="1"/>
  <c r="A12746" i="1"/>
  <c r="B12746" i="1"/>
  <c r="G12746" i="1"/>
  <c r="K12746" i="1"/>
  <c r="A12747" i="1"/>
  <c r="B12747" i="1"/>
  <c r="G12747" i="1"/>
  <c r="K12747" i="1"/>
  <c r="A12748" i="1"/>
  <c r="B12748" i="1"/>
  <c r="G12748" i="1"/>
  <c r="K12748" i="1"/>
  <c r="A12749" i="1"/>
  <c r="B12749" i="1"/>
  <c r="G12749" i="1"/>
  <c r="K12749" i="1"/>
  <c r="A12750" i="1"/>
  <c r="B12750" i="1"/>
  <c r="G12750" i="1"/>
  <c r="K12750" i="1"/>
  <c r="A12751" i="1"/>
  <c r="B12751" i="1"/>
  <c r="G12751" i="1"/>
  <c r="K12751" i="1"/>
  <c r="A12752" i="1"/>
  <c r="B12752" i="1"/>
  <c r="G12752" i="1"/>
  <c r="K12752" i="1"/>
  <c r="A12753" i="1"/>
  <c r="B12753" i="1"/>
  <c r="G12753" i="1"/>
  <c r="K12753" i="1"/>
  <c r="A12754" i="1"/>
  <c r="B12754" i="1"/>
  <c r="G12754" i="1"/>
  <c r="K12754" i="1"/>
  <c r="A12755" i="1"/>
  <c r="B12755" i="1"/>
  <c r="G12755" i="1"/>
  <c r="K12755" i="1"/>
  <c r="A12756" i="1"/>
  <c r="B12756" i="1"/>
  <c r="G12756" i="1"/>
  <c r="K12756" i="1"/>
  <c r="A12757" i="1"/>
  <c r="B12757" i="1"/>
  <c r="G12757" i="1"/>
  <c r="K12757" i="1"/>
  <c r="A12758" i="1"/>
  <c r="B12758" i="1"/>
  <c r="G12758" i="1"/>
  <c r="K12758" i="1"/>
  <c r="A12759" i="1"/>
  <c r="B12759" i="1"/>
  <c r="G12759" i="1"/>
  <c r="K12759" i="1"/>
  <c r="A12760" i="1"/>
  <c r="B12760" i="1"/>
  <c r="G12760" i="1"/>
  <c r="K12760" i="1"/>
  <c r="A12761" i="1"/>
  <c r="B12761" i="1"/>
  <c r="G12761" i="1"/>
  <c r="K12761" i="1"/>
  <c r="A12762" i="1"/>
  <c r="B12762" i="1"/>
  <c r="G12762" i="1"/>
  <c r="K12762" i="1"/>
  <c r="A12763" i="1"/>
  <c r="B12763" i="1"/>
  <c r="G12763" i="1"/>
  <c r="K12763" i="1"/>
  <c r="A12764" i="1"/>
  <c r="B12764" i="1"/>
  <c r="G12764" i="1"/>
  <c r="K12764" i="1"/>
  <c r="A12765" i="1"/>
  <c r="B12765" i="1"/>
  <c r="G12765" i="1"/>
  <c r="K12765" i="1"/>
  <c r="A12766" i="1"/>
  <c r="B12766" i="1"/>
  <c r="G12766" i="1"/>
  <c r="K12766" i="1"/>
  <c r="A12767" i="1"/>
  <c r="B12767" i="1"/>
  <c r="G12767" i="1"/>
  <c r="K12767" i="1"/>
  <c r="A12768" i="1"/>
  <c r="B12768" i="1"/>
  <c r="G12768" i="1"/>
  <c r="K12768" i="1"/>
  <c r="A12769" i="1"/>
  <c r="B12769" i="1"/>
  <c r="G12769" i="1"/>
  <c r="K12769" i="1"/>
  <c r="A12770" i="1"/>
  <c r="B12770" i="1"/>
  <c r="G12770" i="1"/>
  <c r="K12770" i="1"/>
  <c r="A12771" i="1"/>
  <c r="B12771" i="1"/>
  <c r="G12771" i="1"/>
  <c r="K12771" i="1"/>
  <c r="A12772" i="1"/>
  <c r="B12772" i="1"/>
  <c r="G12772" i="1"/>
  <c r="K12772" i="1"/>
  <c r="A12773" i="1"/>
  <c r="B12773" i="1"/>
  <c r="G12773" i="1"/>
  <c r="K12773" i="1"/>
  <c r="A12774" i="1"/>
  <c r="B12774" i="1"/>
  <c r="G12774" i="1"/>
  <c r="K12774" i="1"/>
  <c r="A12775" i="1"/>
  <c r="B12775" i="1"/>
  <c r="G12775" i="1"/>
  <c r="K12775" i="1"/>
  <c r="A12776" i="1"/>
  <c r="B12776" i="1"/>
  <c r="G12776" i="1"/>
  <c r="K12776" i="1"/>
  <c r="A12777" i="1"/>
  <c r="B12777" i="1"/>
  <c r="G12777" i="1"/>
  <c r="K12777" i="1"/>
  <c r="A12778" i="1"/>
  <c r="B12778" i="1"/>
  <c r="G12778" i="1"/>
  <c r="K12778" i="1"/>
  <c r="A12779" i="1"/>
  <c r="B12779" i="1"/>
  <c r="G12779" i="1"/>
  <c r="K12779" i="1"/>
  <c r="A12780" i="1"/>
  <c r="B12780" i="1"/>
  <c r="G12780" i="1"/>
  <c r="K12780" i="1"/>
  <c r="A12781" i="1"/>
  <c r="B12781" i="1"/>
  <c r="G12781" i="1"/>
  <c r="K12781" i="1"/>
  <c r="A12782" i="1"/>
  <c r="B12782" i="1"/>
  <c r="G12782" i="1"/>
  <c r="K12782" i="1"/>
  <c r="A12783" i="1"/>
  <c r="B12783" i="1"/>
  <c r="G12783" i="1"/>
  <c r="K12783" i="1"/>
  <c r="A12784" i="1"/>
  <c r="B12784" i="1"/>
  <c r="G12784" i="1"/>
  <c r="K12784" i="1"/>
  <c r="A12785" i="1"/>
  <c r="B12785" i="1"/>
  <c r="G12785" i="1"/>
  <c r="K12785" i="1"/>
  <c r="A12786" i="1"/>
  <c r="B12786" i="1"/>
  <c r="G12786" i="1"/>
  <c r="K12786" i="1"/>
  <c r="A12787" i="1"/>
  <c r="B12787" i="1"/>
  <c r="G12787" i="1"/>
  <c r="K12787" i="1"/>
  <c r="A12788" i="1"/>
  <c r="B12788" i="1"/>
  <c r="G12788" i="1"/>
  <c r="K12788" i="1"/>
  <c r="A12789" i="1"/>
  <c r="B12789" i="1"/>
  <c r="G12789" i="1"/>
  <c r="K12789" i="1"/>
  <c r="A12790" i="1"/>
  <c r="B12790" i="1"/>
  <c r="G12790" i="1"/>
  <c r="K12790" i="1"/>
  <c r="A12791" i="1"/>
  <c r="B12791" i="1"/>
  <c r="G12791" i="1"/>
  <c r="K12791" i="1"/>
  <c r="A12792" i="1"/>
  <c r="B12792" i="1"/>
  <c r="G12792" i="1"/>
  <c r="K12792" i="1"/>
  <c r="A12793" i="1"/>
  <c r="B12793" i="1"/>
  <c r="G12793" i="1"/>
  <c r="K12793" i="1"/>
  <c r="A12794" i="1"/>
  <c r="B12794" i="1"/>
  <c r="G12794" i="1"/>
  <c r="K12794" i="1"/>
  <c r="A12795" i="1"/>
  <c r="B12795" i="1"/>
  <c r="G12795" i="1"/>
  <c r="K12795" i="1"/>
  <c r="A12796" i="1"/>
  <c r="B12796" i="1"/>
  <c r="G12796" i="1"/>
  <c r="K12796" i="1"/>
  <c r="A12797" i="1"/>
  <c r="B12797" i="1"/>
  <c r="G12797" i="1"/>
  <c r="K12797" i="1"/>
  <c r="A12798" i="1"/>
  <c r="B12798" i="1"/>
  <c r="G12798" i="1"/>
  <c r="K12798" i="1"/>
  <c r="A12799" i="1"/>
  <c r="B12799" i="1"/>
  <c r="G12799" i="1"/>
  <c r="K12799" i="1"/>
  <c r="A12800" i="1"/>
  <c r="B12800" i="1"/>
  <c r="G12800" i="1"/>
  <c r="K12800" i="1"/>
  <c r="A12801" i="1"/>
  <c r="B12801" i="1"/>
  <c r="G12801" i="1"/>
  <c r="K12801" i="1"/>
  <c r="A12802" i="1"/>
  <c r="B12802" i="1"/>
  <c r="G12802" i="1"/>
  <c r="K12802" i="1"/>
  <c r="A12803" i="1"/>
  <c r="B12803" i="1"/>
  <c r="G12803" i="1"/>
  <c r="K12803" i="1"/>
  <c r="A12804" i="1"/>
  <c r="B12804" i="1"/>
  <c r="G12804" i="1"/>
  <c r="K12804" i="1"/>
  <c r="A12805" i="1"/>
  <c r="B12805" i="1"/>
  <c r="G12805" i="1"/>
  <c r="K12805" i="1"/>
  <c r="A12806" i="1"/>
  <c r="B12806" i="1"/>
  <c r="G12806" i="1"/>
  <c r="K12806" i="1"/>
  <c r="A12807" i="1"/>
  <c r="B12807" i="1"/>
  <c r="G12807" i="1"/>
  <c r="K12807" i="1"/>
  <c r="A12808" i="1"/>
  <c r="B12808" i="1"/>
  <c r="G12808" i="1"/>
  <c r="K12808" i="1"/>
  <c r="A12809" i="1"/>
  <c r="B12809" i="1"/>
  <c r="G12809" i="1"/>
  <c r="K12809" i="1"/>
  <c r="A12810" i="1"/>
  <c r="B12810" i="1"/>
  <c r="G12810" i="1"/>
  <c r="K12810" i="1"/>
  <c r="A12811" i="1"/>
  <c r="B12811" i="1"/>
  <c r="G12811" i="1"/>
  <c r="K12811" i="1"/>
  <c r="A12812" i="1"/>
  <c r="B12812" i="1"/>
  <c r="G12812" i="1"/>
  <c r="K12812" i="1"/>
  <c r="A12813" i="1"/>
  <c r="B12813" i="1"/>
  <c r="G12813" i="1"/>
  <c r="K12813" i="1"/>
  <c r="A12814" i="1"/>
  <c r="B12814" i="1"/>
  <c r="G12814" i="1"/>
  <c r="K12814" i="1"/>
  <c r="A12815" i="1"/>
  <c r="B12815" i="1"/>
  <c r="G12815" i="1"/>
  <c r="K12815" i="1"/>
  <c r="A12816" i="1"/>
  <c r="B12816" i="1"/>
  <c r="G12816" i="1"/>
  <c r="K12816" i="1"/>
  <c r="A12817" i="1"/>
  <c r="B12817" i="1"/>
  <c r="G12817" i="1"/>
  <c r="K12817" i="1"/>
  <c r="A12818" i="1"/>
  <c r="B12818" i="1"/>
  <c r="G12818" i="1"/>
  <c r="K12818" i="1"/>
  <c r="A12819" i="1"/>
  <c r="B12819" i="1"/>
  <c r="G12819" i="1"/>
  <c r="K12819" i="1"/>
  <c r="A12820" i="1"/>
  <c r="B12820" i="1"/>
  <c r="G12820" i="1"/>
  <c r="K12820" i="1"/>
  <c r="A12821" i="1"/>
  <c r="B12821" i="1"/>
  <c r="G12821" i="1"/>
  <c r="K12821" i="1"/>
  <c r="A12822" i="1"/>
  <c r="B12822" i="1"/>
  <c r="G12822" i="1"/>
  <c r="K12822" i="1"/>
  <c r="A12823" i="1"/>
  <c r="B12823" i="1"/>
  <c r="G12823" i="1"/>
  <c r="K12823" i="1"/>
  <c r="A12824" i="1"/>
  <c r="B12824" i="1"/>
  <c r="G12824" i="1"/>
  <c r="K12824" i="1"/>
  <c r="A12825" i="1"/>
  <c r="B12825" i="1"/>
  <c r="G12825" i="1"/>
  <c r="K12825" i="1"/>
  <c r="A12826" i="1"/>
  <c r="B12826" i="1"/>
  <c r="G12826" i="1"/>
  <c r="K12826" i="1"/>
  <c r="A12827" i="1"/>
  <c r="B12827" i="1"/>
  <c r="G12827" i="1"/>
  <c r="K12827" i="1"/>
  <c r="A12828" i="1"/>
  <c r="B12828" i="1"/>
  <c r="G12828" i="1"/>
  <c r="K12828" i="1"/>
  <c r="A12829" i="1"/>
  <c r="B12829" i="1"/>
  <c r="G12829" i="1"/>
  <c r="K12829" i="1"/>
  <c r="A12830" i="1"/>
  <c r="B12830" i="1"/>
  <c r="G12830" i="1"/>
  <c r="K12830" i="1"/>
  <c r="A12831" i="1"/>
  <c r="B12831" i="1"/>
  <c r="G12831" i="1"/>
  <c r="K12831" i="1"/>
  <c r="A12832" i="1"/>
  <c r="B12832" i="1"/>
  <c r="G12832" i="1"/>
  <c r="K12832" i="1"/>
  <c r="A12833" i="1"/>
  <c r="B12833" i="1"/>
  <c r="G12833" i="1"/>
  <c r="K12833" i="1"/>
  <c r="A12834" i="1"/>
  <c r="B12834" i="1"/>
  <c r="G12834" i="1"/>
  <c r="K12834" i="1"/>
  <c r="A12835" i="1"/>
  <c r="B12835" i="1"/>
  <c r="G12835" i="1"/>
  <c r="K12835" i="1"/>
  <c r="A12836" i="1"/>
  <c r="B12836" i="1"/>
  <c r="G12836" i="1"/>
  <c r="K12836" i="1"/>
  <c r="A12837" i="1"/>
  <c r="B12837" i="1"/>
  <c r="G12837" i="1"/>
  <c r="K12837" i="1"/>
  <c r="A12838" i="1"/>
  <c r="B12838" i="1"/>
  <c r="G12838" i="1"/>
  <c r="K12838" i="1"/>
  <c r="A12839" i="1"/>
  <c r="B12839" i="1"/>
  <c r="G12839" i="1"/>
  <c r="K12839" i="1"/>
  <c r="A12840" i="1"/>
  <c r="B12840" i="1"/>
  <c r="G12840" i="1"/>
  <c r="K12840" i="1"/>
  <c r="A12841" i="1"/>
  <c r="B12841" i="1"/>
  <c r="G12841" i="1"/>
  <c r="K12841" i="1"/>
  <c r="A12842" i="1"/>
  <c r="B12842" i="1"/>
  <c r="G12842" i="1"/>
  <c r="K12842" i="1"/>
  <c r="A12843" i="1"/>
  <c r="B12843" i="1"/>
  <c r="G12843" i="1"/>
  <c r="K12843" i="1"/>
  <c r="A12844" i="1"/>
  <c r="B12844" i="1"/>
  <c r="G12844" i="1"/>
  <c r="K12844" i="1"/>
  <c r="A12845" i="1"/>
  <c r="B12845" i="1"/>
  <c r="G12845" i="1"/>
  <c r="K12845" i="1"/>
  <c r="A12846" i="1"/>
  <c r="B12846" i="1"/>
  <c r="G12846" i="1"/>
  <c r="K12846" i="1"/>
  <c r="A12847" i="1"/>
  <c r="B12847" i="1"/>
  <c r="G12847" i="1"/>
  <c r="K12847" i="1"/>
  <c r="A12848" i="1"/>
  <c r="B12848" i="1"/>
  <c r="G12848" i="1"/>
  <c r="K12848" i="1"/>
  <c r="A12849" i="1"/>
  <c r="B12849" i="1"/>
  <c r="G12849" i="1"/>
  <c r="K12849" i="1"/>
  <c r="A12850" i="1"/>
  <c r="B12850" i="1"/>
  <c r="G12850" i="1"/>
  <c r="K12850" i="1"/>
  <c r="A12851" i="1"/>
  <c r="B12851" i="1"/>
  <c r="G12851" i="1"/>
  <c r="K12851" i="1"/>
  <c r="A12852" i="1"/>
  <c r="B12852" i="1"/>
  <c r="G12852" i="1"/>
  <c r="K12852" i="1"/>
  <c r="A12853" i="1"/>
  <c r="B12853" i="1"/>
  <c r="G12853" i="1"/>
  <c r="K12853" i="1"/>
  <c r="A12854" i="1"/>
  <c r="B12854" i="1"/>
  <c r="G12854" i="1"/>
  <c r="K12854" i="1"/>
  <c r="A12855" i="1"/>
  <c r="B12855" i="1"/>
  <c r="G12855" i="1"/>
  <c r="K12855" i="1"/>
  <c r="A12856" i="1"/>
  <c r="B12856" i="1"/>
  <c r="G12856" i="1"/>
  <c r="K12856" i="1"/>
  <c r="A12857" i="1"/>
  <c r="B12857" i="1"/>
  <c r="G12857" i="1"/>
  <c r="K12857" i="1"/>
  <c r="A12858" i="1"/>
  <c r="B12858" i="1"/>
  <c r="G12858" i="1"/>
  <c r="K12858" i="1"/>
  <c r="A12859" i="1"/>
  <c r="B12859" i="1"/>
  <c r="G12859" i="1"/>
  <c r="K12859" i="1"/>
  <c r="A12860" i="1"/>
  <c r="B12860" i="1"/>
  <c r="G12860" i="1"/>
  <c r="K12860" i="1"/>
  <c r="A12861" i="1"/>
  <c r="B12861" i="1"/>
  <c r="G12861" i="1"/>
  <c r="K12861" i="1"/>
  <c r="A12862" i="1"/>
  <c r="B12862" i="1"/>
  <c r="G12862" i="1"/>
  <c r="K12862" i="1"/>
  <c r="A12863" i="1"/>
  <c r="B12863" i="1"/>
  <c r="G12863" i="1"/>
  <c r="K12863" i="1"/>
  <c r="A12864" i="1"/>
  <c r="B12864" i="1"/>
  <c r="G12864" i="1"/>
  <c r="K12864" i="1"/>
  <c r="A12865" i="1"/>
  <c r="B12865" i="1"/>
  <c r="G12865" i="1"/>
  <c r="K12865" i="1"/>
  <c r="A12866" i="1"/>
  <c r="B12866" i="1"/>
  <c r="G12866" i="1"/>
  <c r="K12866" i="1"/>
  <c r="A12867" i="1"/>
  <c r="B12867" i="1"/>
  <c r="G12867" i="1"/>
  <c r="K12867" i="1"/>
  <c r="A12868" i="1"/>
  <c r="B12868" i="1"/>
  <c r="G12868" i="1"/>
  <c r="K12868" i="1"/>
  <c r="A12869" i="1"/>
  <c r="B12869" i="1"/>
  <c r="G12869" i="1"/>
  <c r="K12869" i="1"/>
  <c r="A12870" i="1"/>
  <c r="B12870" i="1"/>
  <c r="G12870" i="1"/>
  <c r="K12870" i="1"/>
  <c r="A12871" i="1"/>
  <c r="B12871" i="1"/>
  <c r="G12871" i="1"/>
  <c r="K12871" i="1"/>
  <c r="A12872" i="1"/>
  <c r="B12872" i="1"/>
  <c r="G12872" i="1"/>
  <c r="K12872" i="1"/>
  <c r="A12873" i="1"/>
  <c r="B12873" i="1"/>
  <c r="G12873" i="1"/>
  <c r="K12873" i="1"/>
  <c r="A12874" i="1"/>
  <c r="B12874" i="1"/>
  <c r="G12874" i="1"/>
  <c r="K12874" i="1"/>
  <c r="A12875" i="1"/>
  <c r="B12875" i="1"/>
  <c r="G12875" i="1"/>
  <c r="K12875" i="1"/>
  <c r="A12876" i="1"/>
  <c r="B12876" i="1"/>
  <c r="G12876" i="1"/>
  <c r="K12876" i="1"/>
  <c r="A12877" i="1"/>
  <c r="B12877" i="1"/>
  <c r="G12877" i="1"/>
  <c r="K12877" i="1"/>
  <c r="A12878" i="1"/>
  <c r="B12878" i="1"/>
  <c r="G12878" i="1"/>
  <c r="K12878" i="1"/>
  <c r="A12879" i="1"/>
  <c r="B12879" i="1"/>
  <c r="G12879" i="1"/>
  <c r="K12879" i="1"/>
  <c r="A12880" i="1"/>
  <c r="B12880" i="1"/>
  <c r="G12880" i="1"/>
  <c r="K12880" i="1"/>
  <c r="A12881" i="1"/>
  <c r="B12881" i="1"/>
  <c r="G12881" i="1"/>
  <c r="K12881" i="1"/>
  <c r="A12882" i="1"/>
  <c r="B12882" i="1"/>
  <c r="G12882" i="1"/>
  <c r="K12882" i="1"/>
  <c r="A12883" i="1"/>
  <c r="B12883" i="1"/>
  <c r="G12883" i="1"/>
  <c r="K12883" i="1"/>
  <c r="A12884" i="1"/>
  <c r="B12884" i="1"/>
  <c r="G12884" i="1"/>
  <c r="K12884" i="1"/>
  <c r="A12885" i="1"/>
  <c r="B12885" i="1"/>
  <c r="G12885" i="1"/>
  <c r="K12885" i="1"/>
  <c r="A12886" i="1"/>
  <c r="B12886" i="1"/>
  <c r="G12886" i="1"/>
  <c r="K12886" i="1"/>
  <c r="A12887" i="1"/>
  <c r="B12887" i="1"/>
  <c r="G12887" i="1"/>
  <c r="K12887" i="1"/>
  <c r="A12888" i="1"/>
  <c r="B12888" i="1"/>
  <c r="G12888" i="1"/>
  <c r="K12888" i="1"/>
  <c r="A12889" i="1"/>
  <c r="B12889" i="1"/>
  <c r="G12889" i="1"/>
  <c r="K12889" i="1"/>
  <c r="A12890" i="1"/>
  <c r="B12890" i="1"/>
  <c r="G12890" i="1"/>
  <c r="K12890" i="1"/>
  <c r="A12891" i="1"/>
  <c r="B12891" i="1"/>
  <c r="G12891" i="1"/>
  <c r="K12891" i="1"/>
  <c r="A12892" i="1"/>
  <c r="B12892" i="1"/>
  <c r="G12892" i="1"/>
  <c r="K12892" i="1"/>
  <c r="A12893" i="1"/>
  <c r="B12893" i="1"/>
  <c r="G12893" i="1"/>
  <c r="K12893" i="1"/>
  <c r="A12894" i="1"/>
  <c r="B12894" i="1"/>
  <c r="G12894" i="1"/>
  <c r="K12894" i="1"/>
  <c r="A12895" i="1"/>
  <c r="B12895" i="1"/>
  <c r="G12895" i="1"/>
  <c r="K12895" i="1"/>
  <c r="A12896" i="1"/>
  <c r="B12896" i="1"/>
  <c r="G12896" i="1"/>
  <c r="K12896" i="1"/>
  <c r="A12897" i="1"/>
  <c r="B12897" i="1"/>
  <c r="G12897" i="1"/>
  <c r="K12897" i="1"/>
  <c r="A12898" i="1"/>
  <c r="B12898" i="1"/>
  <c r="G12898" i="1"/>
  <c r="K12898" i="1"/>
  <c r="A12899" i="1"/>
  <c r="B12899" i="1"/>
  <c r="G12899" i="1"/>
  <c r="K12899" i="1"/>
  <c r="A12900" i="1"/>
  <c r="B12900" i="1"/>
  <c r="G12900" i="1"/>
  <c r="K12900" i="1"/>
  <c r="A12901" i="1"/>
  <c r="B12901" i="1"/>
  <c r="G12901" i="1"/>
  <c r="K12901" i="1"/>
  <c r="A12902" i="1"/>
  <c r="B12902" i="1"/>
  <c r="G12902" i="1"/>
  <c r="K12902" i="1"/>
  <c r="A12903" i="1"/>
  <c r="B12903" i="1"/>
  <c r="G12903" i="1"/>
  <c r="K12903" i="1"/>
  <c r="A12904" i="1"/>
  <c r="B12904" i="1"/>
  <c r="G12904" i="1"/>
  <c r="K12904" i="1"/>
  <c r="A12905" i="1"/>
  <c r="B12905" i="1"/>
  <c r="G12905" i="1"/>
  <c r="K12905" i="1"/>
  <c r="A12906" i="1"/>
  <c r="B12906" i="1"/>
  <c r="G12906" i="1"/>
  <c r="K12906" i="1"/>
  <c r="A12907" i="1"/>
  <c r="B12907" i="1"/>
  <c r="G12907" i="1"/>
  <c r="K12907" i="1"/>
  <c r="A12908" i="1"/>
  <c r="B12908" i="1"/>
  <c r="G12908" i="1"/>
  <c r="K12908" i="1"/>
  <c r="A12909" i="1"/>
  <c r="B12909" i="1"/>
  <c r="G12909" i="1"/>
  <c r="K12909" i="1"/>
  <c r="A12910" i="1"/>
  <c r="B12910" i="1"/>
  <c r="G12910" i="1"/>
  <c r="K12910" i="1"/>
  <c r="A12911" i="1"/>
  <c r="B12911" i="1"/>
  <c r="G12911" i="1"/>
  <c r="K12911" i="1"/>
  <c r="A12912" i="1"/>
  <c r="B12912" i="1"/>
  <c r="G12912" i="1"/>
  <c r="K12912" i="1"/>
  <c r="A12913" i="1"/>
  <c r="B12913" i="1"/>
  <c r="G12913" i="1"/>
  <c r="K12913" i="1"/>
  <c r="A12914" i="1"/>
  <c r="B12914" i="1"/>
  <c r="G12914" i="1"/>
  <c r="K12914" i="1"/>
  <c r="A12915" i="1"/>
  <c r="B12915" i="1"/>
  <c r="G12915" i="1"/>
  <c r="K12915" i="1"/>
  <c r="A12916" i="1"/>
  <c r="B12916" i="1"/>
  <c r="G12916" i="1"/>
  <c r="K12916" i="1"/>
  <c r="A12917" i="1"/>
  <c r="B12917" i="1"/>
  <c r="G12917" i="1"/>
  <c r="K12917" i="1"/>
  <c r="A12918" i="1"/>
  <c r="B12918" i="1"/>
  <c r="G12918" i="1"/>
  <c r="K12918" i="1"/>
  <c r="A12919" i="1"/>
  <c r="B12919" i="1"/>
  <c r="G12919" i="1"/>
  <c r="K12919" i="1"/>
  <c r="A12920" i="1"/>
  <c r="B12920" i="1"/>
  <c r="G12920" i="1"/>
  <c r="K12920" i="1"/>
  <c r="A12921" i="1"/>
  <c r="B12921" i="1"/>
  <c r="G12921" i="1"/>
  <c r="K12921" i="1"/>
  <c r="A12922" i="1"/>
  <c r="B12922" i="1"/>
  <c r="G12922" i="1"/>
  <c r="K12922" i="1"/>
  <c r="A12923" i="1"/>
  <c r="B12923" i="1"/>
  <c r="G12923" i="1"/>
  <c r="K12923" i="1"/>
  <c r="A12924" i="1"/>
  <c r="B12924" i="1"/>
  <c r="G12924" i="1"/>
  <c r="K12924" i="1"/>
  <c r="A12925" i="1"/>
  <c r="B12925" i="1"/>
  <c r="G12925" i="1"/>
  <c r="K12925" i="1"/>
  <c r="A12926" i="1"/>
  <c r="B12926" i="1"/>
  <c r="G12926" i="1"/>
  <c r="K12926" i="1"/>
  <c r="A12927" i="1"/>
  <c r="B12927" i="1"/>
  <c r="G12927" i="1"/>
  <c r="K12927" i="1"/>
  <c r="A12928" i="1"/>
  <c r="B12928" i="1"/>
  <c r="G12928" i="1"/>
  <c r="K12928" i="1"/>
  <c r="A12929" i="1"/>
  <c r="B12929" i="1"/>
  <c r="G12929" i="1"/>
  <c r="K12929" i="1"/>
  <c r="A12930" i="1"/>
  <c r="B12930" i="1"/>
  <c r="G12930" i="1"/>
  <c r="K12930" i="1"/>
  <c r="A12931" i="1"/>
  <c r="B12931" i="1"/>
  <c r="G12931" i="1"/>
  <c r="K12931" i="1"/>
  <c r="A12932" i="1"/>
  <c r="B12932" i="1"/>
  <c r="G12932" i="1"/>
  <c r="K12932" i="1"/>
  <c r="A12933" i="1"/>
  <c r="B12933" i="1"/>
  <c r="G12933" i="1"/>
  <c r="K12933" i="1"/>
  <c r="A12934" i="1"/>
  <c r="B12934" i="1"/>
  <c r="G12934" i="1"/>
  <c r="K12934" i="1"/>
  <c r="A12935" i="1"/>
  <c r="B12935" i="1"/>
  <c r="G12935" i="1"/>
  <c r="K12935" i="1"/>
  <c r="A12936" i="1"/>
  <c r="B12936" i="1"/>
  <c r="G12936" i="1"/>
  <c r="K12936" i="1"/>
  <c r="A12937" i="1"/>
  <c r="B12937" i="1"/>
  <c r="G12937" i="1"/>
  <c r="K12937" i="1"/>
  <c r="A12938" i="1"/>
  <c r="B12938" i="1"/>
  <c r="G12938" i="1"/>
  <c r="K12938" i="1"/>
  <c r="A12939" i="1"/>
  <c r="B12939" i="1"/>
  <c r="G12939" i="1"/>
  <c r="K12939" i="1"/>
  <c r="A12940" i="1"/>
  <c r="B12940" i="1"/>
  <c r="G12940" i="1"/>
  <c r="K12940" i="1"/>
  <c r="A12941" i="1"/>
  <c r="B12941" i="1"/>
  <c r="G12941" i="1"/>
  <c r="K12941" i="1"/>
  <c r="A12942" i="1"/>
  <c r="B12942" i="1"/>
  <c r="G12942" i="1"/>
  <c r="K12942" i="1"/>
  <c r="A12943" i="1"/>
  <c r="B12943" i="1"/>
  <c r="G12943" i="1"/>
  <c r="K12943" i="1"/>
  <c r="A12944" i="1"/>
  <c r="B12944" i="1"/>
  <c r="G12944" i="1"/>
  <c r="K12944" i="1"/>
  <c r="A12945" i="1"/>
  <c r="B12945" i="1"/>
  <c r="G12945" i="1"/>
  <c r="K12945" i="1"/>
  <c r="A12946" i="1"/>
  <c r="B12946" i="1"/>
  <c r="G12946" i="1"/>
  <c r="K12946" i="1"/>
  <c r="A12947" i="1"/>
  <c r="B12947" i="1"/>
  <c r="G12947" i="1"/>
  <c r="K12947" i="1"/>
  <c r="A12948" i="1"/>
  <c r="B12948" i="1"/>
  <c r="G12948" i="1"/>
  <c r="K12948" i="1"/>
  <c r="A12949" i="1"/>
  <c r="B12949" i="1"/>
  <c r="G12949" i="1"/>
  <c r="K12949" i="1"/>
  <c r="A12950" i="1"/>
  <c r="B12950" i="1"/>
  <c r="G12950" i="1"/>
  <c r="K12950" i="1"/>
  <c r="A12951" i="1"/>
  <c r="B12951" i="1"/>
  <c r="G12951" i="1"/>
  <c r="K12951" i="1"/>
  <c r="A12952" i="1"/>
  <c r="B12952" i="1"/>
  <c r="G12952" i="1"/>
  <c r="K12952" i="1"/>
  <c r="A12953" i="1"/>
  <c r="B12953" i="1"/>
  <c r="G12953" i="1"/>
  <c r="K12953" i="1"/>
  <c r="A12954" i="1"/>
  <c r="B12954" i="1"/>
  <c r="G12954" i="1"/>
  <c r="K12954" i="1"/>
  <c r="A12955" i="1"/>
  <c r="B12955" i="1"/>
  <c r="G12955" i="1"/>
  <c r="K12955" i="1"/>
  <c r="A12956" i="1"/>
  <c r="B12956" i="1"/>
  <c r="G12956" i="1"/>
  <c r="K12956" i="1"/>
  <c r="A12957" i="1"/>
  <c r="B12957" i="1"/>
  <c r="G12957" i="1"/>
  <c r="K12957" i="1"/>
  <c r="A12958" i="1"/>
  <c r="B12958" i="1"/>
  <c r="G12958" i="1"/>
  <c r="K12958" i="1"/>
  <c r="A12959" i="1"/>
  <c r="B12959" i="1"/>
  <c r="G12959" i="1"/>
  <c r="K12959" i="1"/>
  <c r="A12960" i="1"/>
  <c r="B12960" i="1"/>
  <c r="G12960" i="1"/>
  <c r="K12960" i="1"/>
  <c r="A12961" i="1"/>
  <c r="B12961" i="1"/>
  <c r="G12961" i="1"/>
  <c r="K12961" i="1"/>
  <c r="A12962" i="1"/>
  <c r="B12962" i="1"/>
  <c r="G12962" i="1"/>
  <c r="K12962" i="1"/>
  <c r="A12963" i="1"/>
  <c r="B12963" i="1"/>
  <c r="G12963" i="1"/>
  <c r="K12963" i="1"/>
  <c r="A12964" i="1"/>
  <c r="B12964" i="1"/>
  <c r="G12964" i="1"/>
  <c r="K12964" i="1"/>
  <c r="A12965" i="1"/>
  <c r="B12965" i="1"/>
  <c r="G12965" i="1"/>
  <c r="K12965" i="1"/>
  <c r="A12966" i="1"/>
  <c r="B12966" i="1"/>
  <c r="G12966" i="1"/>
  <c r="K12966" i="1"/>
  <c r="A12967" i="1"/>
  <c r="B12967" i="1"/>
  <c r="G12967" i="1"/>
  <c r="K12967" i="1"/>
  <c r="A12968" i="1"/>
  <c r="B12968" i="1"/>
  <c r="G12968" i="1"/>
  <c r="K12968" i="1"/>
  <c r="A12969" i="1"/>
  <c r="B12969" i="1"/>
  <c r="G12969" i="1"/>
  <c r="K12969" i="1"/>
  <c r="A12970" i="1"/>
  <c r="B12970" i="1"/>
  <c r="G12970" i="1"/>
  <c r="K12970" i="1"/>
  <c r="A12971" i="1"/>
  <c r="B12971" i="1"/>
  <c r="G12971" i="1"/>
  <c r="K12971" i="1"/>
  <c r="A12972" i="1"/>
  <c r="B12972" i="1"/>
  <c r="G12972" i="1"/>
  <c r="K12972" i="1"/>
  <c r="A12973" i="1"/>
  <c r="B12973" i="1"/>
  <c r="G12973" i="1"/>
  <c r="K12973" i="1"/>
  <c r="A12974" i="1"/>
  <c r="B12974" i="1"/>
  <c r="G12974" i="1"/>
  <c r="K12974" i="1"/>
  <c r="A12975" i="1"/>
  <c r="B12975" i="1"/>
  <c r="G12975" i="1"/>
  <c r="K12975" i="1"/>
  <c r="A12976" i="1"/>
  <c r="B12976" i="1"/>
  <c r="G12976" i="1"/>
  <c r="K12976" i="1"/>
  <c r="A12977" i="1"/>
  <c r="B12977" i="1"/>
  <c r="G12977" i="1"/>
  <c r="K12977" i="1"/>
  <c r="A12978" i="1"/>
  <c r="B12978" i="1"/>
  <c r="G12978" i="1"/>
  <c r="K12978" i="1"/>
  <c r="A12979" i="1"/>
  <c r="B12979" i="1"/>
  <c r="G12979" i="1"/>
  <c r="K12979" i="1"/>
  <c r="A12980" i="1"/>
  <c r="B12980" i="1"/>
  <c r="G12980" i="1"/>
  <c r="K12980" i="1"/>
  <c r="A12981" i="1"/>
  <c r="B12981" i="1"/>
  <c r="G12981" i="1"/>
  <c r="K12981" i="1"/>
  <c r="A12982" i="1"/>
  <c r="B12982" i="1"/>
  <c r="G12982" i="1"/>
  <c r="K12982" i="1"/>
  <c r="A12983" i="1"/>
  <c r="B12983" i="1"/>
  <c r="G12983" i="1"/>
  <c r="K12983" i="1"/>
  <c r="A12984" i="1"/>
  <c r="B12984" i="1"/>
  <c r="G12984" i="1"/>
  <c r="K12984" i="1"/>
  <c r="A12985" i="1"/>
  <c r="B12985" i="1"/>
  <c r="G12985" i="1"/>
  <c r="K12985" i="1"/>
  <c r="A12986" i="1"/>
  <c r="B12986" i="1"/>
  <c r="G12986" i="1"/>
  <c r="K12986" i="1"/>
  <c r="A12987" i="1"/>
  <c r="B12987" i="1"/>
  <c r="G12987" i="1"/>
  <c r="K12987" i="1"/>
  <c r="A12988" i="1"/>
  <c r="B12988" i="1"/>
  <c r="G12988" i="1"/>
  <c r="K12988" i="1"/>
  <c r="A12989" i="1"/>
  <c r="B12989" i="1"/>
  <c r="G12989" i="1"/>
  <c r="K12989" i="1"/>
  <c r="A12990" i="1"/>
  <c r="B12990" i="1"/>
  <c r="G12990" i="1"/>
  <c r="K12990" i="1"/>
  <c r="A12991" i="1"/>
  <c r="B12991" i="1"/>
  <c r="G12991" i="1"/>
  <c r="K12991" i="1"/>
  <c r="A12992" i="1"/>
  <c r="B12992" i="1"/>
  <c r="G12992" i="1"/>
  <c r="K12992" i="1"/>
  <c r="A12993" i="1"/>
  <c r="B12993" i="1"/>
  <c r="G12993" i="1"/>
  <c r="K12993" i="1"/>
  <c r="A12994" i="1"/>
  <c r="B12994" i="1"/>
  <c r="G12994" i="1"/>
  <c r="K12994" i="1"/>
  <c r="A12995" i="1"/>
  <c r="B12995" i="1"/>
  <c r="G12995" i="1"/>
  <c r="K12995" i="1"/>
  <c r="A12996" i="1"/>
  <c r="B12996" i="1"/>
  <c r="G12996" i="1"/>
  <c r="K12996" i="1"/>
  <c r="A12997" i="1"/>
  <c r="B12997" i="1"/>
  <c r="G12997" i="1"/>
  <c r="K12997" i="1"/>
  <c r="A12998" i="1"/>
  <c r="B12998" i="1"/>
  <c r="G12998" i="1"/>
  <c r="K12998" i="1"/>
  <c r="A12999" i="1"/>
  <c r="B12999" i="1"/>
  <c r="G12999" i="1"/>
  <c r="K12999" i="1"/>
  <c r="A13000" i="1"/>
  <c r="B13000" i="1"/>
  <c r="G13000" i="1"/>
  <c r="K13000" i="1"/>
  <c r="A13001" i="1"/>
  <c r="B13001" i="1"/>
  <c r="G13001" i="1"/>
  <c r="K13001" i="1"/>
  <c r="A13002" i="1"/>
  <c r="B13002" i="1"/>
  <c r="G13002" i="1"/>
  <c r="K13002" i="1"/>
  <c r="A13003" i="1"/>
  <c r="B13003" i="1"/>
  <c r="G13003" i="1"/>
  <c r="K13003" i="1"/>
  <c r="A13004" i="1"/>
  <c r="B13004" i="1"/>
  <c r="G13004" i="1"/>
  <c r="K13004" i="1"/>
  <c r="A13005" i="1"/>
  <c r="B13005" i="1"/>
  <c r="G13005" i="1"/>
  <c r="K13005" i="1"/>
  <c r="A13006" i="1"/>
  <c r="B13006" i="1"/>
  <c r="G13006" i="1"/>
  <c r="K13006" i="1"/>
  <c r="A13007" i="1"/>
  <c r="B13007" i="1"/>
  <c r="G13007" i="1"/>
  <c r="K13007" i="1"/>
  <c r="A13008" i="1"/>
  <c r="B13008" i="1"/>
  <c r="G13008" i="1"/>
  <c r="K13008" i="1"/>
  <c r="A13009" i="1"/>
  <c r="B13009" i="1"/>
  <c r="G13009" i="1"/>
  <c r="K13009" i="1"/>
  <c r="A13010" i="1"/>
  <c r="B13010" i="1"/>
  <c r="G13010" i="1"/>
  <c r="K13010" i="1"/>
  <c r="A13011" i="1"/>
  <c r="B13011" i="1"/>
  <c r="G13011" i="1"/>
  <c r="K13011" i="1"/>
  <c r="A13012" i="1"/>
  <c r="B13012" i="1"/>
  <c r="G13012" i="1"/>
  <c r="K13012" i="1"/>
  <c r="A13013" i="1"/>
  <c r="B13013" i="1"/>
  <c r="G13013" i="1"/>
  <c r="K13013" i="1"/>
  <c r="A13014" i="1"/>
  <c r="B13014" i="1"/>
  <c r="G13014" i="1"/>
  <c r="K13014" i="1"/>
  <c r="A13015" i="1"/>
  <c r="B13015" i="1"/>
  <c r="G13015" i="1"/>
  <c r="K13015" i="1"/>
  <c r="A13016" i="1"/>
  <c r="B13016" i="1"/>
  <c r="G13016" i="1"/>
  <c r="K13016" i="1"/>
  <c r="A13017" i="1"/>
  <c r="B13017" i="1"/>
  <c r="G13017" i="1"/>
  <c r="K13017" i="1"/>
  <c r="A13018" i="1"/>
  <c r="B13018" i="1"/>
  <c r="G13018" i="1"/>
  <c r="K13018" i="1"/>
  <c r="A13019" i="1"/>
  <c r="B13019" i="1"/>
  <c r="G13019" i="1"/>
  <c r="K13019" i="1"/>
  <c r="A13020" i="1"/>
  <c r="B13020" i="1"/>
  <c r="G13020" i="1"/>
  <c r="K13020" i="1"/>
  <c r="A13021" i="1"/>
  <c r="B13021" i="1"/>
  <c r="G13021" i="1"/>
  <c r="K13021" i="1"/>
  <c r="A13022" i="1"/>
  <c r="B13022" i="1"/>
  <c r="G13022" i="1"/>
  <c r="K13022" i="1"/>
  <c r="A13023" i="1"/>
  <c r="B13023" i="1"/>
  <c r="G13023" i="1"/>
  <c r="K13023" i="1"/>
  <c r="A13024" i="1"/>
  <c r="B13024" i="1"/>
  <c r="G13024" i="1"/>
  <c r="K13024" i="1"/>
  <c r="A13025" i="1"/>
  <c r="B13025" i="1"/>
  <c r="G13025" i="1"/>
  <c r="K13025" i="1"/>
  <c r="A13026" i="1"/>
  <c r="B13026" i="1"/>
  <c r="G13026" i="1"/>
  <c r="K13026" i="1"/>
  <c r="A13027" i="1"/>
  <c r="B13027" i="1"/>
  <c r="G13027" i="1"/>
  <c r="K13027" i="1"/>
  <c r="A13028" i="1"/>
  <c r="B13028" i="1"/>
  <c r="G13028" i="1"/>
  <c r="K13028" i="1"/>
  <c r="A13029" i="1"/>
  <c r="B13029" i="1"/>
  <c r="G13029" i="1"/>
  <c r="K13029" i="1"/>
  <c r="A13030" i="1"/>
  <c r="B13030" i="1"/>
  <c r="G13030" i="1"/>
  <c r="K13030" i="1"/>
  <c r="A13031" i="1"/>
  <c r="B13031" i="1"/>
  <c r="G13031" i="1"/>
  <c r="K13031" i="1"/>
  <c r="A13032" i="1"/>
  <c r="B13032" i="1"/>
  <c r="G13032" i="1"/>
  <c r="K13032" i="1"/>
  <c r="A13033" i="1"/>
  <c r="B13033" i="1"/>
  <c r="G13033" i="1"/>
  <c r="K13033" i="1"/>
  <c r="A13034" i="1"/>
  <c r="B13034" i="1"/>
  <c r="G13034" i="1"/>
  <c r="K13034" i="1"/>
  <c r="A13035" i="1"/>
  <c r="B13035" i="1"/>
  <c r="G13035" i="1"/>
  <c r="K13035" i="1"/>
  <c r="A13036" i="1"/>
  <c r="B13036" i="1"/>
  <c r="G13036" i="1"/>
  <c r="K13036" i="1"/>
  <c r="A13037" i="1"/>
  <c r="B13037" i="1"/>
  <c r="G13037" i="1"/>
  <c r="K13037" i="1"/>
  <c r="A13038" i="1"/>
  <c r="B13038" i="1"/>
  <c r="G13038" i="1"/>
  <c r="K13038" i="1"/>
  <c r="A13039" i="1"/>
  <c r="B13039" i="1"/>
  <c r="G13039" i="1"/>
  <c r="K13039" i="1"/>
  <c r="A13040" i="1"/>
  <c r="B13040" i="1"/>
  <c r="G13040" i="1"/>
  <c r="K13040" i="1"/>
  <c r="A13041" i="1"/>
  <c r="B13041" i="1"/>
  <c r="G13041" i="1"/>
  <c r="K13041" i="1"/>
  <c r="A13042" i="1"/>
  <c r="B13042" i="1"/>
  <c r="G13042" i="1"/>
  <c r="K13042" i="1"/>
  <c r="A13043" i="1"/>
  <c r="B13043" i="1"/>
  <c r="G13043" i="1"/>
  <c r="K13043" i="1"/>
  <c r="A13044" i="1"/>
  <c r="B13044" i="1"/>
  <c r="G13044" i="1"/>
  <c r="K13044" i="1"/>
  <c r="A13045" i="1"/>
  <c r="B13045" i="1"/>
  <c r="G13045" i="1"/>
  <c r="K13045" i="1"/>
  <c r="A13046" i="1"/>
  <c r="B13046" i="1"/>
  <c r="G13046" i="1"/>
  <c r="K13046" i="1"/>
  <c r="A13047" i="1"/>
  <c r="B13047" i="1"/>
  <c r="G13047" i="1"/>
  <c r="K13047" i="1"/>
  <c r="A13048" i="1"/>
  <c r="B13048" i="1"/>
  <c r="G13048" i="1"/>
  <c r="K13048" i="1"/>
  <c r="A13049" i="1"/>
  <c r="B13049" i="1"/>
  <c r="G13049" i="1"/>
  <c r="K13049" i="1"/>
  <c r="A13050" i="1"/>
  <c r="B13050" i="1"/>
  <c r="G13050" i="1"/>
  <c r="K13050" i="1"/>
  <c r="A13051" i="1"/>
  <c r="B13051" i="1"/>
  <c r="G13051" i="1"/>
  <c r="K13051" i="1"/>
  <c r="A13052" i="1"/>
  <c r="B13052" i="1"/>
  <c r="G13052" i="1"/>
  <c r="K13052" i="1"/>
  <c r="A13053" i="1"/>
  <c r="B13053" i="1"/>
  <c r="G13053" i="1"/>
  <c r="K13053" i="1"/>
  <c r="A13054" i="1"/>
  <c r="B13054" i="1"/>
  <c r="G13054" i="1"/>
  <c r="K13054" i="1"/>
  <c r="A13055" i="1"/>
  <c r="B13055" i="1"/>
  <c r="G13055" i="1"/>
  <c r="K13055" i="1"/>
  <c r="A13056" i="1"/>
  <c r="B13056" i="1"/>
  <c r="G13056" i="1"/>
  <c r="K13056" i="1"/>
  <c r="A13057" i="1"/>
  <c r="B13057" i="1"/>
  <c r="G13057" i="1"/>
  <c r="K13057" i="1"/>
  <c r="A13058" i="1"/>
  <c r="B13058" i="1"/>
  <c r="G13058" i="1"/>
  <c r="K13058" i="1"/>
  <c r="A13059" i="1"/>
  <c r="B13059" i="1"/>
  <c r="G13059" i="1"/>
  <c r="K13059" i="1"/>
  <c r="A13060" i="1"/>
  <c r="B13060" i="1"/>
  <c r="G13060" i="1"/>
  <c r="K13060" i="1"/>
  <c r="A13061" i="1"/>
  <c r="B13061" i="1"/>
  <c r="G13061" i="1"/>
  <c r="K13061" i="1"/>
  <c r="A13062" i="1"/>
  <c r="B13062" i="1"/>
  <c r="G13062" i="1"/>
  <c r="K13062" i="1"/>
  <c r="A13063" i="1"/>
  <c r="B13063" i="1"/>
  <c r="G13063" i="1"/>
  <c r="K13063" i="1"/>
  <c r="A13064" i="1"/>
  <c r="B13064" i="1"/>
  <c r="G13064" i="1"/>
  <c r="K13064" i="1"/>
  <c r="A13065" i="1"/>
  <c r="B13065" i="1"/>
  <c r="G13065" i="1"/>
  <c r="K13065" i="1"/>
  <c r="A13066" i="1"/>
  <c r="B13066" i="1"/>
  <c r="G13066" i="1"/>
  <c r="K13066" i="1"/>
  <c r="A13067" i="1"/>
  <c r="B13067" i="1"/>
  <c r="G13067" i="1"/>
  <c r="K13067" i="1"/>
  <c r="A13068" i="1"/>
  <c r="B13068" i="1"/>
  <c r="G13068" i="1"/>
  <c r="K13068" i="1"/>
  <c r="A13069" i="1"/>
  <c r="B13069" i="1"/>
  <c r="G13069" i="1"/>
  <c r="K13069" i="1"/>
  <c r="A13070" i="1"/>
  <c r="B13070" i="1"/>
  <c r="G13070" i="1"/>
  <c r="K13070" i="1"/>
  <c r="A13071" i="1"/>
  <c r="B13071" i="1"/>
  <c r="G13071" i="1"/>
  <c r="K13071" i="1"/>
  <c r="A13072" i="1"/>
  <c r="B13072" i="1"/>
  <c r="G13072" i="1"/>
  <c r="K13072" i="1"/>
  <c r="A13073" i="1"/>
  <c r="B13073" i="1"/>
  <c r="G13073" i="1"/>
  <c r="K13073" i="1"/>
  <c r="A13074" i="1"/>
  <c r="B13074" i="1"/>
  <c r="G13074" i="1"/>
  <c r="K13074" i="1"/>
  <c r="A13075" i="1"/>
  <c r="B13075" i="1"/>
  <c r="G13075" i="1"/>
  <c r="K13075" i="1"/>
  <c r="A13076" i="1"/>
  <c r="B13076" i="1"/>
  <c r="G13076" i="1"/>
  <c r="K13076" i="1"/>
  <c r="A13077" i="1"/>
  <c r="B13077" i="1"/>
  <c r="G13077" i="1"/>
  <c r="K13077" i="1"/>
  <c r="A13078" i="1"/>
  <c r="B13078" i="1"/>
  <c r="G13078" i="1"/>
  <c r="K13078" i="1"/>
  <c r="A13079" i="1"/>
  <c r="B13079" i="1"/>
  <c r="G13079" i="1"/>
  <c r="K13079" i="1"/>
  <c r="A13080" i="1"/>
  <c r="B13080" i="1"/>
  <c r="G13080" i="1"/>
  <c r="K13080" i="1"/>
  <c r="A13081" i="1"/>
  <c r="B13081" i="1"/>
  <c r="G13081" i="1"/>
  <c r="K13081" i="1"/>
  <c r="A13082" i="1"/>
  <c r="B13082" i="1"/>
  <c r="G13082" i="1"/>
  <c r="K13082" i="1"/>
  <c r="A13083" i="1"/>
  <c r="B13083" i="1"/>
  <c r="G13083" i="1"/>
  <c r="K13083" i="1"/>
  <c r="A13084" i="1"/>
  <c r="B13084" i="1"/>
  <c r="G13084" i="1"/>
  <c r="K13084" i="1"/>
  <c r="A13085" i="1"/>
  <c r="B13085" i="1"/>
  <c r="G13085" i="1"/>
  <c r="K13085" i="1"/>
  <c r="A13086" i="1"/>
  <c r="B13086" i="1"/>
  <c r="G13086" i="1"/>
  <c r="K13086" i="1"/>
  <c r="A13087" i="1"/>
  <c r="B13087" i="1"/>
  <c r="G13087" i="1"/>
  <c r="K13087" i="1"/>
  <c r="A13088" i="1"/>
  <c r="B13088" i="1"/>
  <c r="G13088" i="1"/>
  <c r="K13088" i="1"/>
  <c r="A13089" i="1"/>
  <c r="B13089" i="1"/>
  <c r="G13089" i="1"/>
  <c r="K13089" i="1"/>
  <c r="A13090" i="1"/>
  <c r="B13090" i="1"/>
  <c r="G13090" i="1"/>
  <c r="K13090" i="1"/>
  <c r="A13091" i="1"/>
  <c r="B13091" i="1"/>
  <c r="G13091" i="1"/>
  <c r="K13091" i="1"/>
  <c r="A13092" i="1"/>
  <c r="B13092" i="1"/>
  <c r="G13092" i="1"/>
  <c r="K13092" i="1"/>
  <c r="A13093" i="1"/>
  <c r="B13093" i="1"/>
  <c r="G13093" i="1"/>
  <c r="K13093" i="1"/>
  <c r="A13094" i="1"/>
  <c r="B13094" i="1"/>
  <c r="G13094" i="1"/>
  <c r="K13094" i="1"/>
  <c r="A13095" i="1"/>
  <c r="B13095" i="1"/>
  <c r="G13095" i="1"/>
  <c r="K13095" i="1"/>
  <c r="A13096" i="1"/>
  <c r="B13096" i="1"/>
  <c r="G13096" i="1"/>
  <c r="K13096" i="1"/>
  <c r="A13097" i="1"/>
  <c r="B13097" i="1"/>
  <c r="G13097" i="1"/>
  <c r="K13097" i="1"/>
  <c r="A13098" i="1"/>
  <c r="B13098" i="1"/>
  <c r="G13098" i="1"/>
  <c r="K13098" i="1"/>
  <c r="A13099" i="1"/>
  <c r="B13099" i="1"/>
  <c r="G13099" i="1"/>
  <c r="K13099" i="1"/>
  <c r="A13100" i="1"/>
  <c r="B13100" i="1"/>
  <c r="G13100" i="1"/>
  <c r="K13100" i="1"/>
  <c r="A13101" i="1"/>
  <c r="B13101" i="1"/>
  <c r="G13101" i="1"/>
  <c r="K13101" i="1"/>
  <c r="A13102" i="1"/>
  <c r="B13102" i="1"/>
  <c r="G13102" i="1"/>
  <c r="K13102" i="1"/>
  <c r="A13103" i="1"/>
  <c r="B13103" i="1"/>
  <c r="G13103" i="1"/>
  <c r="K13103" i="1"/>
  <c r="A13104" i="1"/>
  <c r="B13104" i="1"/>
  <c r="G13104" i="1"/>
  <c r="K13104" i="1"/>
  <c r="A13105" i="1"/>
  <c r="B13105" i="1"/>
  <c r="G13105" i="1"/>
  <c r="K13105" i="1"/>
  <c r="A13106" i="1"/>
  <c r="B13106" i="1"/>
  <c r="G13106" i="1"/>
  <c r="K13106" i="1"/>
  <c r="A13107" i="1"/>
  <c r="B13107" i="1"/>
  <c r="G13107" i="1"/>
  <c r="K13107" i="1"/>
  <c r="A13108" i="1"/>
  <c r="B13108" i="1"/>
  <c r="G13108" i="1"/>
  <c r="K13108" i="1"/>
  <c r="A13109" i="1"/>
  <c r="B13109" i="1"/>
  <c r="G13109" i="1"/>
  <c r="K13109" i="1"/>
  <c r="A13110" i="1"/>
  <c r="B13110" i="1"/>
  <c r="G13110" i="1"/>
  <c r="K13110" i="1"/>
  <c r="A13111" i="1"/>
  <c r="B13111" i="1"/>
  <c r="G13111" i="1"/>
  <c r="K13111" i="1"/>
  <c r="A13112" i="1"/>
  <c r="B13112" i="1"/>
  <c r="G13112" i="1"/>
  <c r="K13112" i="1"/>
  <c r="A13113" i="1"/>
  <c r="B13113" i="1"/>
  <c r="G13113" i="1"/>
  <c r="K13113" i="1"/>
  <c r="A13114" i="1"/>
  <c r="B13114" i="1"/>
  <c r="G13114" i="1"/>
  <c r="K13114" i="1"/>
  <c r="A13115" i="1"/>
  <c r="B13115" i="1"/>
  <c r="G13115" i="1"/>
  <c r="K13115" i="1"/>
  <c r="A13116" i="1"/>
  <c r="B13116" i="1"/>
  <c r="G13116" i="1"/>
  <c r="K13116" i="1"/>
  <c r="A13117" i="1"/>
  <c r="B13117" i="1"/>
  <c r="G13117" i="1"/>
  <c r="K13117" i="1"/>
  <c r="A13118" i="1"/>
  <c r="B13118" i="1"/>
  <c r="G13118" i="1"/>
  <c r="K13118" i="1"/>
  <c r="A13119" i="1"/>
  <c r="B13119" i="1"/>
  <c r="G13119" i="1"/>
  <c r="K13119" i="1"/>
  <c r="A13120" i="1"/>
  <c r="B13120" i="1"/>
  <c r="G13120" i="1"/>
  <c r="K13120" i="1"/>
  <c r="A13121" i="1"/>
  <c r="B13121" i="1"/>
  <c r="G13121" i="1"/>
  <c r="K13121" i="1"/>
  <c r="A13122" i="1"/>
  <c r="B13122" i="1"/>
  <c r="G13122" i="1"/>
  <c r="K13122" i="1"/>
  <c r="A13123" i="1"/>
  <c r="B13123" i="1"/>
  <c r="G13123" i="1"/>
  <c r="K13123" i="1"/>
  <c r="A13124" i="1"/>
  <c r="B13124" i="1"/>
  <c r="G13124" i="1"/>
  <c r="K13124" i="1"/>
  <c r="A13125" i="1"/>
  <c r="B13125" i="1"/>
  <c r="G13125" i="1"/>
  <c r="K13125" i="1"/>
  <c r="A13126" i="1"/>
  <c r="B13126" i="1"/>
  <c r="G13126" i="1"/>
  <c r="K13126" i="1"/>
  <c r="A13127" i="1"/>
  <c r="B13127" i="1"/>
  <c r="G13127" i="1"/>
  <c r="K13127" i="1"/>
  <c r="A13128" i="1"/>
  <c r="B13128" i="1"/>
  <c r="G13128" i="1"/>
  <c r="K13128" i="1"/>
  <c r="A13129" i="1"/>
  <c r="B13129" i="1"/>
  <c r="G13129" i="1"/>
  <c r="K13129" i="1"/>
  <c r="A13130" i="1"/>
  <c r="B13130" i="1"/>
  <c r="G13130" i="1"/>
  <c r="K13130" i="1"/>
  <c r="A13131" i="1"/>
  <c r="B13131" i="1"/>
  <c r="G13131" i="1"/>
  <c r="K13131" i="1"/>
  <c r="A13132" i="1"/>
  <c r="B13132" i="1"/>
  <c r="G13132" i="1"/>
  <c r="K13132" i="1"/>
  <c r="A13133" i="1"/>
  <c r="B13133" i="1"/>
  <c r="G13133" i="1"/>
  <c r="K13133" i="1"/>
  <c r="A13134" i="1"/>
  <c r="B13134" i="1"/>
  <c r="G13134" i="1"/>
  <c r="K13134" i="1"/>
  <c r="A13135" i="1"/>
  <c r="B13135" i="1"/>
  <c r="G13135" i="1"/>
  <c r="K13135" i="1"/>
  <c r="A13136" i="1"/>
  <c r="B13136" i="1"/>
  <c r="G13136" i="1"/>
  <c r="K13136" i="1"/>
  <c r="A13137" i="1"/>
  <c r="B13137" i="1"/>
  <c r="G13137" i="1"/>
  <c r="K13137" i="1"/>
  <c r="A13138" i="1"/>
  <c r="B13138" i="1"/>
  <c r="G13138" i="1"/>
  <c r="K13138" i="1"/>
  <c r="A13139" i="1"/>
  <c r="B13139" i="1"/>
  <c r="G13139" i="1"/>
  <c r="K13139" i="1"/>
  <c r="A13140" i="1"/>
  <c r="B13140" i="1"/>
  <c r="G13140" i="1"/>
  <c r="K13140" i="1"/>
  <c r="A13141" i="1"/>
  <c r="B13141" i="1"/>
  <c r="G13141" i="1"/>
  <c r="K13141" i="1"/>
  <c r="A13142" i="1"/>
  <c r="B13142" i="1"/>
  <c r="G13142" i="1"/>
  <c r="K13142" i="1"/>
  <c r="A13143" i="1"/>
  <c r="B13143" i="1"/>
  <c r="G13143" i="1"/>
  <c r="K13143" i="1"/>
  <c r="A13144" i="1"/>
  <c r="B13144" i="1"/>
  <c r="G13144" i="1"/>
  <c r="K13144" i="1"/>
  <c r="A13145" i="1"/>
  <c r="B13145" i="1"/>
  <c r="G13145" i="1"/>
  <c r="K13145" i="1"/>
  <c r="A13146" i="1"/>
  <c r="B13146" i="1"/>
  <c r="G13146" i="1"/>
  <c r="K13146" i="1"/>
  <c r="A13147" i="1"/>
  <c r="B13147" i="1"/>
  <c r="G13147" i="1"/>
  <c r="K13147" i="1"/>
  <c r="A13148" i="1"/>
  <c r="B13148" i="1"/>
  <c r="G13148" i="1"/>
  <c r="K13148" i="1"/>
  <c r="A13149" i="1"/>
  <c r="B13149" i="1"/>
  <c r="G13149" i="1"/>
  <c r="K13149" i="1"/>
  <c r="A13150" i="1"/>
  <c r="B13150" i="1"/>
  <c r="G13150" i="1"/>
  <c r="K13150" i="1"/>
  <c r="A13151" i="1"/>
  <c r="B13151" i="1"/>
  <c r="G13151" i="1"/>
  <c r="K13151" i="1"/>
  <c r="A13152" i="1"/>
  <c r="B13152" i="1"/>
  <c r="G13152" i="1"/>
  <c r="K13152" i="1"/>
  <c r="A13153" i="1"/>
  <c r="B13153" i="1"/>
  <c r="G13153" i="1"/>
  <c r="K13153" i="1"/>
  <c r="A13154" i="1"/>
  <c r="B13154" i="1"/>
  <c r="G13154" i="1"/>
  <c r="K13154" i="1"/>
  <c r="A13155" i="1"/>
  <c r="B13155" i="1"/>
  <c r="G13155" i="1"/>
  <c r="K13155" i="1"/>
  <c r="A13156" i="1"/>
  <c r="B13156" i="1"/>
  <c r="G13156" i="1"/>
  <c r="K13156" i="1"/>
  <c r="A13157" i="1"/>
  <c r="B13157" i="1"/>
  <c r="G13157" i="1"/>
  <c r="K13157" i="1"/>
  <c r="A13158" i="1"/>
  <c r="B13158" i="1"/>
  <c r="G13158" i="1"/>
  <c r="K13158" i="1"/>
  <c r="A13159" i="1"/>
  <c r="B13159" i="1"/>
  <c r="G13159" i="1"/>
  <c r="K13159" i="1"/>
  <c r="A13160" i="1"/>
  <c r="B13160" i="1"/>
  <c r="G13160" i="1"/>
  <c r="K13160" i="1"/>
  <c r="A13161" i="1"/>
  <c r="B13161" i="1"/>
  <c r="G13161" i="1"/>
  <c r="K13161" i="1"/>
  <c r="A13162" i="1"/>
  <c r="B13162" i="1"/>
  <c r="G13162" i="1"/>
  <c r="K13162" i="1"/>
  <c r="A13163" i="1"/>
  <c r="B13163" i="1"/>
  <c r="G13163" i="1"/>
  <c r="K13163" i="1"/>
  <c r="A13164" i="1"/>
  <c r="B13164" i="1"/>
  <c r="G13164" i="1"/>
  <c r="K13164" i="1"/>
  <c r="A13165" i="1"/>
  <c r="B13165" i="1"/>
  <c r="G13165" i="1"/>
  <c r="K13165" i="1"/>
  <c r="A13166" i="1"/>
  <c r="B13166" i="1"/>
  <c r="G13166" i="1"/>
  <c r="K13166" i="1"/>
  <c r="A13167" i="1"/>
  <c r="B13167" i="1"/>
  <c r="G13167" i="1"/>
  <c r="K13167" i="1"/>
  <c r="A13168" i="1"/>
  <c r="B13168" i="1"/>
  <c r="G13168" i="1"/>
  <c r="K13168" i="1"/>
  <c r="A13169" i="1"/>
  <c r="B13169" i="1"/>
  <c r="G13169" i="1"/>
  <c r="K13169" i="1"/>
  <c r="A13170" i="1"/>
  <c r="B13170" i="1"/>
  <c r="G13170" i="1"/>
  <c r="K13170" i="1"/>
  <c r="A13171" i="1"/>
  <c r="B13171" i="1"/>
  <c r="G13171" i="1"/>
  <c r="K13171" i="1"/>
  <c r="A13172" i="1"/>
  <c r="B13172" i="1"/>
  <c r="G13172" i="1"/>
  <c r="K13172" i="1"/>
  <c r="A13173" i="1"/>
  <c r="B13173" i="1"/>
  <c r="G13173" i="1"/>
  <c r="K13173" i="1"/>
  <c r="A13174" i="1"/>
  <c r="B13174" i="1"/>
  <c r="G13174" i="1"/>
  <c r="K13174" i="1"/>
  <c r="A13175" i="1"/>
  <c r="B13175" i="1"/>
  <c r="G13175" i="1"/>
  <c r="K13175" i="1"/>
  <c r="A13176" i="1"/>
  <c r="B13176" i="1"/>
  <c r="G13176" i="1"/>
  <c r="K13176" i="1"/>
  <c r="A13177" i="1"/>
  <c r="B13177" i="1"/>
  <c r="G13177" i="1"/>
  <c r="K13177" i="1"/>
  <c r="A13178" i="1"/>
  <c r="B13178" i="1"/>
  <c r="G13178" i="1"/>
  <c r="K13178" i="1"/>
  <c r="A13179" i="1"/>
  <c r="B13179" i="1"/>
  <c r="G13179" i="1"/>
  <c r="K13179" i="1"/>
  <c r="A13180" i="1"/>
  <c r="B13180" i="1"/>
  <c r="G13180" i="1"/>
  <c r="K13180" i="1"/>
  <c r="A13181" i="1"/>
  <c r="B13181" i="1"/>
  <c r="G13181" i="1"/>
  <c r="K13181" i="1"/>
  <c r="A13182" i="1"/>
  <c r="B13182" i="1"/>
  <c r="G13182" i="1"/>
  <c r="K13182" i="1"/>
  <c r="A13183" i="1"/>
  <c r="B13183" i="1"/>
  <c r="G13183" i="1"/>
  <c r="K13183" i="1"/>
  <c r="A13184" i="1"/>
  <c r="B13184" i="1"/>
  <c r="G13184" i="1"/>
  <c r="K13184" i="1"/>
  <c r="A13185" i="1"/>
  <c r="B13185" i="1"/>
  <c r="G13185" i="1"/>
  <c r="K13185" i="1"/>
  <c r="A13186" i="1"/>
  <c r="B13186" i="1"/>
  <c r="G13186" i="1"/>
  <c r="K13186" i="1"/>
  <c r="A13187" i="1"/>
  <c r="B13187" i="1"/>
  <c r="G13187" i="1"/>
  <c r="K13187" i="1"/>
  <c r="A13188" i="1"/>
  <c r="B13188" i="1"/>
  <c r="G13188" i="1"/>
  <c r="K13188" i="1"/>
  <c r="A13189" i="1"/>
  <c r="B13189" i="1"/>
  <c r="G13189" i="1"/>
  <c r="K13189" i="1"/>
  <c r="A13190" i="1"/>
  <c r="B13190" i="1"/>
  <c r="G13190" i="1"/>
  <c r="K13190" i="1"/>
  <c r="A13191" i="1"/>
  <c r="B13191" i="1"/>
  <c r="G13191" i="1"/>
  <c r="K13191" i="1"/>
  <c r="A13192" i="1"/>
  <c r="B13192" i="1"/>
  <c r="G13192" i="1"/>
  <c r="K13192" i="1"/>
  <c r="A13193" i="1"/>
  <c r="B13193" i="1"/>
  <c r="G13193" i="1"/>
  <c r="K13193" i="1"/>
  <c r="A13194" i="1"/>
  <c r="B13194" i="1"/>
  <c r="G13194" i="1"/>
  <c r="K13194" i="1"/>
  <c r="A13195" i="1"/>
  <c r="B13195" i="1"/>
  <c r="G13195" i="1"/>
  <c r="K13195" i="1"/>
  <c r="A13196" i="1"/>
  <c r="B13196" i="1"/>
  <c r="G13196" i="1"/>
  <c r="K13196" i="1"/>
  <c r="A13197" i="1"/>
  <c r="B13197" i="1"/>
  <c r="G13197" i="1"/>
  <c r="K13197" i="1"/>
  <c r="A13198" i="1"/>
  <c r="B13198" i="1"/>
  <c r="G13198" i="1"/>
  <c r="K13198" i="1"/>
  <c r="A13199" i="1"/>
  <c r="B13199" i="1"/>
  <c r="G13199" i="1"/>
  <c r="K13199" i="1"/>
  <c r="A13200" i="1"/>
  <c r="B13200" i="1"/>
  <c r="G13200" i="1"/>
  <c r="K13200" i="1"/>
  <c r="A13201" i="1"/>
  <c r="B13201" i="1"/>
  <c r="G13201" i="1"/>
  <c r="K13201" i="1"/>
  <c r="A13202" i="1"/>
  <c r="B13202" i="1"/>
  <c r="G13202" i="1"/>
  <c r="K13202" i="1"/>
  <c r="A13203" i="1"/>
  <c r="B13203" i="1"/>
  <c r="G13203" i="1"/>
  <c r="K13203" i="1"/>
  <c r="A13204" i="1"/>
  <c r="B13204" i="1"/>
  <c r="G13204" i="1"/>
  <c r="K13204" i="1"/>
  <c r="A13205" i="1"/>
  <c r="B13205" i="1"/>
  <c r="G13205" i="1"/>
  <c r="K13205" i="1"/>
  <c r="A13206" i="1"/>
  <c r="B13206" i="1"/>
  <c r="G13206" i="1"/>
  <c r="K13206" i="1"/>
  <c r="A13207" i="1"/>
  <c r="B13207" i="1"/>
  <c r="G13207" i="1"/>
  <c r="K13207" i="1"/>
  <c r="A13208" i="1"/>
  <c r="B13208" i="1"/>
  <c r="G13208" i="1"/>
  <c r="K13208" i="1"/>
  <c r="A13209" i="1"/>
  <c r="B13209" i="1"/>
  <c r="G13209" i="1"/>
  <c r="K13209" i="1"/>
  <c r="A13210" i="1"/>
  <c r="B13210" i="1"/>
  <c r="G13210" i="1"/>
  <c r="K13210" i="1"/>
  <c r="A13211" i="1"/>
  <c r="B13211" i="1"/>
  <c r="G13211" i="1"/>
  <c r="K13211" i="1"/>
  <c r="A13212" i="1"/>
  <c r="B13212" i="1"/>
  <c r="G13212" i="1"/>
  <c r="K13212" i="1"/>
  <c r="A13213" i="1"/>
  <c r="B13213" i="1"/>
  <c r="G13213" i="1"/>
  <c r="K13213" i="1"/>
  <c r="A13214" i="1"/>
  <c r="B13214" i="1"/>
  <c r="G13214" i="1"/>
  <c r="K13214" i="1"/>
  <c r="A13215" i="1"/>
  <c r="B13215" i="1"/>
  <c r="G13215" i="1"/>
  <c r="K13215" i="1"/>
  <c r="A13216" i="1"/>
  <c r="B13216" i="1"/>
  <c r="G13216" i="1"/>
  <c r="K13216" i="1"/>
  <c r="A13217" i="1"/>
  <c r="B13217" i="1"/>
  <c r="G13217" i="1"/>
  <c r="K13217" i="1"/>
  <c r="A13218" i="1"/>
  <c r="B13218" i="1"/>
  <c r="G13218" i="1"/>
  <c r="K13218" i="1"/>
  <c r="A13219" i="1"/>
  <c r="B13219" i="1"/>
  <c r="G13219" i="1"/>
  <c r="K13219" i="1"/>
  <c r="A13220" i="1"/>
  <c r="B13220" i="1"/>
  <c r="G13220" i="1"/>
  <c r="K13220" i="1"/>
  <c r="A13221" i="1"/>
  <c r="B13221" i="1"/>
  <c r="G13221" i="1"/>
  <c r="K13221" i="1"/>
  <c r="A13222" i="1"/>
  <c r="B13222" i="1"/>
  <c r="G13222" i="1"/>
  <c r="K13222" i="1"/>
  <c r="A13223" i="1"/>
  <c r="B13223" i="1"/>
  <c r="G13223" i="1"/>
  <c r="K13223" i="1"/>
  <c r="A13224" i="1"/>
  <c r="B13224" i="1"/>
  <c r="G13224" i="1"/>
  <c r="K13224" i="1"/>
  <c r="A13225" i="1"/>
  <c r="B13225" i="1"/>
  <c r="G13225" i="1"/>
  <c r="K13225" i="1"/>
  <c r="A13226" i="1"/>
  <c r="B13226" i="1"/>
  <c r="G13226" i="1"/>
  <c r="K13226" i="1"/>
  <c r="A13227" i="1"/>
  <c r="B13227" i="1"/>
  <c r="G13227" i="1"/>
  <c r="K13227" i="1"/>
  <c r="A13228" i="1"/>
  <c r="B13228" i="1"/>
  <c r="G13228" i="1"/>
  <c r="K13228" i="1"/>
  <c r="A13229" i="1"/>
  <c r="B13229" i="1"/>
  <c r="G13229" i="1"/>
  <c r="K13229" i="1"/>
  <c r="A13230" i="1"/>
  <c r="B13230" i="1"/>
  <c r="G13230" i="1"/>
  <c r="K13230" i="1"/>
  <c r="A13231" i="1"/>
  <c r="B13231" i="1"/>
  <c r="G13231" i="1"/>
  <c r="K13231" i="1"/>
  <c r="A13232" i="1"/>
  <c r="B13232" i="1"/>
  <c r="G13232" i="1"/>
  <c r="K13232" i="1"/>
  <c r="A13233" i="1"/>
  <c r="B13233" i="1"/>
  <c r="G13233" i="1"/>
  <c r="K13233" i="1"/>
  <c r="A13234" i="1"/>
  <c r="B13234" i="1"/>
  <c r="G13234" i="1"/>
  <c r="K13234" i="1"/>
  <c r="A13235" i="1"/>
  <c r="B13235" i="1"/>
  <c r="G13235" i="1"/>
  <c r="K13235" i="1"/>
  <c r="A13236" i="1"/>
  <c r="B13236" i="1"/>
  <c r="G13236" i="1"/>
  <c r="K13236" i="1"/>
  <c r="A13237" i="1"/>
  <c r="B13237" i="1"/>
  <c r="G13237" i="1"/>
  <c r="K13237" i="1"/>
  <c r="A13238" i="1"/>
  <c r="B13238" i="1"/>
  <c r="G13238" i="1"/>
  <c r="K13238" i="1"/>
  <c r="A13239" i="1"/>
  <c r="B13239" i="1"/>
  <c r="G13239" i="1"/>
  <c r="K13239" i="1"/>
  <c r="A13240" i="1"/>
  <c r="B13240" i="1"/>
  <c r="G13240" i="1"/>
  <c r="K13240" i="1"/>
  <c r="A13241" i="1"/>
  <c r="B13241" i="1"/>
  <c r="G13241" i="1"/>
  <c r="K13241" i="1"/>
  <c r="A13242" i="1"/>
  <c r="B13242" i="1"/>
  <c r="G13242" i="1"/>
  <c r="K13242" i="1"/>
  <c r="A13243" i="1"/>
  <c r="B13243" i="1"/>
  <c r="G13243" i="1"/>
  <c r="K13243" i="1"/>
  <c r="A13244" i="1"/>
  <c r="B13244" i="1"/>
  <c r="G13244" i="1"/>
  <c r="K13244" i="1"/>
  <c r="A13245" i="1"/>
  <c r="B13245" i="1"/>
  <c r="G13245" i="1"/>
  <c r="K13245" i="1"/>
  <c r="A13246" i="1"/>
  <c r="B13246" i="1"/>
  <c r="G13246" i="1"/>
  <c r="K13246" i="1"/>
  <c r="A13247" i="1"/>
  <c r="B13247" i="1"/>
  <c r="G13247" i="1"/>
  <c r="K13247" i="1"/>
  <c r="A13248" i="1"/>
  <c r="B13248" i="1"/>
  <c r="G13248" i="1"/>
  <c r="K13248" i="1"/>
  <c r="A13249" i="1"/>
  <c r="B13249" i="1"/>
  <c r="G13249" i="1"/>
  <c r="K13249" i="1"/>
  <c r="A13250" i="1"/>
  <c r="B13250" i="1"/>
  <c r="G13250" i="1"/>
  <c r="K13250" i="1"/>
  <c r="A13251" i="1"/>
  <c r="B13251" i="1"/>
  <c r="G13251" i="1"/>
  <c r="K13251" i="1"/>
  <c r="A13252" i="1"/>
  <c r="B13252" i="1"/>
  <c r="G13252" i="1"/>
  <c r="K13252" i="1"/>
  <c r="A13253" i="1"/>
  <c r="B13253" i="1"/>
  <c r="G13253" i="1"/>
  <c r="K13253" i="1"/>
  <c r="A13254" i="1"/>
  <c r="B13254" i="1"/>
  <c r="G13254" i="1"/>
  <c r="K13254" i="1"/>
  <c r="A13255" i="1"/>
  <c r="B13255" i="1"/>
  <c r="G13255" i="1"/>
  <c r="K13255" i="1"/>
  <c r="A13256" i="1"/>
  <c r="B13256" i="1"/>
  <c r="G13256" i="1"/>
  <c r="K13256" i="1"/>
  <c r="A13257" i="1"/>
  <c r="B13257" i="1"/>
  <c r="G13257" i="1"/>
  <c r="K13257" i="1"/>
  <c r="A13258" i="1"/>
  <c r="B13258" i="1"/>
  <c r="G13258" i="1"/>
  <c r="K13258" i="1"/>
  <c r="A13259" i="1"/>
  <c r="B13259" i="1"/>
  <c r="G13259" i="1"/>
  <c r="K13259" i="1"/>
  <c r="A13260" i="1"/>
  <c r="B13260" i="1"/>
  <c r="G13260" i="1"/>
  <c r="K13260" i="1"/>
  <c r="A13261" i="1"/>
  <c r="B13261" i="1"/>
  <c r="G13261" i="1"/>
  <c r="K13261" i="1"/>
  <c r="A13262" i="1"/>
  <c r="B13262" i="1"/>
  <c r="G13262" i="1"/>
  <c r="K13262" i="1"/>
  <c r="A13263" i="1"/>
  <c r="B13263" i="1"/>
  <c r="G13263" i="1"/>
  <c r="K13263" i="1"/>
  <c r="A13264" i="1"/>
  <c r="B13264" i="1"/>
  <c r="G13264" i="1"/>
  <c r="K13264" i="1"/>
  <c r="A13265" i="1"/>
  <c r="B13265" i="1"/>
  <c r="G13265" i="1"/>
  <c r="K13265" i="1"/>
  <c r="A13266" i="1"/>
  <c r="B13266" i="1"/>
  <c r="G13266" i="1"/>
  <c r="K13266" i="1"/>
  <c r="A13267" i="1"/>
  <c r="B13267" i="1"/>
  <c r="G13267" i="1"/>
  <c r="K13267" i="1"/>
  <c r="A13268" i="1"/>
  <c r="B13268" i="1"/>
  <c r="G13268" i="1"/>
  <c r="K13268" i="1"/>
  <c r="A13269" i="1"/>
  <c r="B13269" i="1"/>
  <c r="G13269" i="1"/>
  <c r="K13269" i="1"/>
  <c r="A13270" i="1"/>
  <c r="B13270" i="1"/>
  <c r="G13270" i="1"/>
  <c r="K13270" i="1"/>
  <c r="A13271" i="1"/>
  <c r="B13271" i="1"/>
  <c r="G13271" i="1"/>
  <c r="K13271" i="1"/>
  <c r="A13272" i="1"/>
  <c r="B13272" i="1"/>
  <c r="G13272" i="1"/>
  <c r="K13272" i="1"/>
  <c r="A13273" i="1"/>
  <c r="B13273" i="1"/>
  <c r="G13273" i="1"/>
  <c r="K13273" i="1"/>
  <c r="A13274" i="1"/>
  <c r="B13274" i="1"/>
  <c r="G13274" i="1"/>
  <c r="K13274" i="1"/>
  <c r="A13275" i="1"/>
  <c r="B13275" i="1"/>
  <c r="G13275" i="1"/>
  <c r="K13275" i="1"/>
  <c r="A13276" i="1"/>
  <c r="B13276" i="1"/>
  <c r="G13276" i="1"/>
  <c r="K13276" i="1"/>
  <c r="A13277" i="1"/>
  <c r="B13277" i="1"/>
  <c r="G13277" i="1"/>
  <c r="K13277" i="1"/>
  <c r="A13278" i="1"/>
  <c r="B13278" i="1"/>
  <c r="G13278" i="1"/>
  <c r="K13278" i="1"/>
  <c r="A13279" i="1"/>
  <c r="B13279" i="1"/>
  <c r="G13279" i="1"/>
  <c r="K13279" i="1"/>
  <c r="A13280" i="1"/>
  <c r="B13280" i="1"/>
  <c r="G13280" i="1"/>
  <c r="K13280" i="1"/>
  <c r="A13281" i="1"/>
  <c r="B13281" i="1"/>
  <c r="G13281" i="1"/>
  <c r="K13281" i="1"/>
  <c r="A13282" i="1"/>
  <c r="B13282" i="1"/>
  <c r="G13282" i="1"/>
  <c r="K13282" i="1"/>
  <c r="A13283" i="1"/>
  <c r="B13283" i="1"/>
  <c r="G13283" i="1"/>
  <c r="K13283" i="1"/>
  <c r="A13284" i="1"/>
  <c r="B13284" i="1"/>
  <c r="G13284" i="1"/>
  <c r="K13284" i="1"/>
  <c r="A13285" i="1"/>
  <c r="B13285" i="1"/>
  <c r="G13285" i="1"/>
  <c r="K13285" i="1"/>
  <c r="A13286" i="1"/>
  <c r="B13286" i="1"/>
  <c r="G13286" i="1"/>
  <c r="K13286" i="1"/>
  <c r="A13287" i="1"/>
  <c r="B13287" i="1"/>
  <c r="G13287" i="1"/>
  <c r="K13287" i="1"/>
  <c r="A13288" i="1"/>
  <c r="B13288" i="1"/>
  <c r="G13288" i="1"/>
  <c r="K13288" i="1"/>
  <c r="A13289" i="1"/>
  <c r="B13289" i="1"/>
  <c r="G13289" i="1"/>
  <c r="K13289" i="1"/>
  <c r="A13290" i="1"/>
  <c r="B13290" i="1"/>
  <c r="G13290" i="1"/>
  <c r="K13290" i="1"/>
  <c r="A13291" i="1"/>
  <c r="B13291" i="1"/>
  <c r="G13291" i="1"/>
  <c r="K13291" i="1"/>
  <c r="A13292" i="1"/>
  <c r="B13292" i="1"/>
  <c r="G13292" i="1"/>
  <c r="K13292" i="1"/>
  <c r="A13293" i="1"/>
  <c r="B13293" i="1"/>
  <c r="G13293" i="1"/>
  <c r="K13293" i="1"/>
  <c r="A13294" i="1"/>
  <c r="B13294" i="1"/>
  <c r="G13294" i="1"/>
  <c r="K13294" i="1"/>
  <c r="A13295" i="1"/>
  <c r="B13295" i="1"/>
  <c r="G13295" i="1"/>
  <c r="K13295" i="1"/>
  <c r="A13296" i="1"/>
  <c r="B13296" i="1"/>
  <c r="G13296" i="1"/>
  <c r="K13296" i="1"/>
  <c r="A13297" i="1"/>
  <c r="B13297" i="1"/>
  <c r="G13297" i="1"/>
  <c r="K13297" i="1"/>
  <c r="A13298" i="1"/>
  <c r="B13298" i="1"/>
  <c r="G13298" i="1"/>
  <c r="K13298" i="1"/>
  <c r="A13299" i="1"/>
  <c r="B13299" i="1"/>
  <c r="G13299" i="1"/>
  <c r="K13299" i="1"/>
  <c r="A13300" i="1"/>
  <c r="B13300" i="1"/>
  <c r="G13300" i="1"/>
  <c r="K13300" i="1"/>
  <c r="A13301" i="1"/>
  <c r="B13301" i="1"/>
  <c r="G13301" i="1"/>
  <c r="K13301" i="1"/>
  <c r="A13302" i="1"/>
  <c r="B13302" i="1"/>
  <c r="G13302" i="1"/>
  <c r="K13302" i="1"/>
  <c r="A13303" i="1"/>
  <c r="B13303" i="1"/>
  <c r="G13303" i="1"/>
  <c r="K13303" i="1"/>
  <c r="A13304" i="1"/>
  <c r="B13304" i="1"/>
  <c r="G13304" i="1"/>
  <c r="K13304" i="1"/>
  <c r="A13305" i="1"/>
  <c r="B13305" i="1"/>
  <c r="G13305" i="1"/>
  <c r="K13305" i="1"/>
  <c r="A13306" i="1"/>
  <c r="B13306" i="1"/>
  <c r="G13306" i="1"/>
  <c r="K13306" i="1"/>
  <c r="A13307" i="1"/>
  <c r="B13307" i="1"/>
  <c r="G13307" i="1"/>
  <c r="K13307" i="1"/>
  <c r="A13308" i="1"/>
  <c r="B13308" i="1"/>
  <c r="G13308" i="1"/>
  <c r="K13308" i="1"/>
  <c r="A13309" i="1"/>
  <c r="B13309" i="1"/>
  <c r="G13309" i="1"/>
  <c r="K13309" i="1"/>
  <c r="A13310" i="1"/>
  <c r="B13310" i="1"/>
  <c r="G13310" i="1"/>
  <c r="K13310" i="1"/>
  <c r="A13311" i="1"/>
  <c r="B13311" i="1"/>
  <c r="G13311" i="1"/>
  <c r="K13311" i="1"/>
  <c r="A13312" i="1"/>
  <c r="B13312" i="1"/>
  <c r="G13312" i="1"/>
  <c r="K13312" i="1"/>
  <c r="A13313" i="1"/>
  <c r="B13313" i="1"/>
  <c r="G13313" i="1"/>
  <c r="K13313" i="1"/>
  <c r="A13314" i="1"/>
  <c r="B13314" i="1"/>
  <c r="G13314" i="1"/>
  <c r="K13314" i="1"/>
  <c r="A13315" i="1"/>
  <c r="B13315" i="1"/>
  <c r="G13315" i="1"/>
  <c r="K13315" i="1"/>
  <c r="A13316" i="1"/>
  <c r="B13316" i="1"/>
  <c r="G13316" i="1"/>
  <c r="K13316" i="1"/>
  <c r="A13317" i="1"/>
  <c r="B13317" i="1"/>
  <c r="G13317" i="1"/>
  <c r="K13317" i="1"/>
  <c r="A13318" i="1"/>
  <c r="B13318" i="1"/>
  <c r="G13318" i="1"/>
  <c r="K13318" i="1"/>
  <c r="A13319" i="1"/>
  <c r="B13319" i="1"/>
  <c r="G13319" i="1"/>
  <c r="K13319" i="1"/>
  <c r="A13320" i="1"/>
  <c r="B13320" i="1"/>
  <c r="G13320" i="1"/>
  <c r="K13320" i="1"/>
  <c r="A13321" i="1"/>
  <c r="B13321" i="1"/>
  <c r="G13321" i="1"/>
  <c r="K13321" i="1"/>
  <c r="A13322" i="1"/>
  <c r="B13322" i="1"/>
  <c r="G13322" i="1"/>
  <c r="K13322" i="1"/>
  <c r="A13323" i="1"/>
  <c r="B13323" i="1"/>
  <c r="G13323" i="1"/>
  <c r="K13323" i="1"/>
  <c r="A13324" i="1"/>
  <c r="B13324" i="1"/>
  <c r="G13324" i="1"/>
  <c r="K13324" i="1"/>
  <c r="A13325" i="1"/>
  <c r="B13325" i="1"/>
  <c r="G13325" i="1"/>
  <c r="K13325" i="1"/>
  <c r="A13326" i="1"/>
  <c r="B13326" i="1"/>
  <c r="G13326" i="1"/>
  <c r="K13326" i="1"/>
  <c r="A13327" i="1"/>
  <c r="B13327" i="1"/>
  <c r="G13327" i="1"/>
  <c r="K13327" i="1"/>
  <c r="A13328" i="1"/>
  <c r="B13328" i="1"/>
  <c r="G13328" i="1"/>
  <c r="K13328" i="1"/>
  <c r="A13329" i="1"/>
  <c r="B13329" i="1"/>
  <c r="G13329" i="1"/>
  <c r="K13329" i="1"/>
  <c r="A13330" i="1"/>
  <c r="B13330" i="1"/>
  <c r="G13330" i="1"/>
  <c r="K13330" i="1"/>
  <c r="A13331" i="1"/>
  <c r="B13331" i="1"/>
  <c r="G13331" i="1"/>
  <c r="K13331" i="1"/>
  <c r="A13332" i="1"/>
  <c r="B13332" i="1"/>
  <c r="G13332" i="1"/>
  <c r="K13332" i="1"/>
  <c r="A13333" i="1"/>
  <c r="B13333" i="1"/>
  <c r="G13333" i="1"/>
  <c r="K13333" i="1"/>
  <c r="A13334" i="1"/>
  <c r="B13334" i="1"/>
  <c r="G13334" i="1"/>
  <c r="K13334" i="1"/>
  <c r="A13335" i="1"/>
  <c r="B13335" i="1"/>
  <c r="G13335" i="1"/>
  <c r="K13335" i="1"/>
  <c r="A13336" i="1"/>
  <c r="B13336" i="1"/>
  <c r="G13336" i="1"/>
  <c r="K13336" i="1"/>
  <c r="A13337" i="1"/>
  <c r="B13337" i="1"/>
  <c r="G13337" i="1"/>
  <c r="K13337" i="1"/>
  <c r="A13338" i="1"/>
  <c r="B13338" i="1"/>
  <c r="G13338" i="1"/>
  <c r="K13338" i="1"/>
  <c r="A13339" i="1"/>
  <c r="B13339" i="1"/>
  <c r="G13339" i="1"/>
  <c r="K13339" i="1"/>
  <c r="A13340" i="1"/>
  <c r="B13340" i="1"/>
  <c r="G13340" i="1"/>
  <c r="K13340" i="1"/>
  <c r="A13341" i="1"/>
  <c r="B13341" i="1"/>
  <c r="G13341" i="1"/>
  <c r="K13341" i="1"/>
  <c r="A13342" i="1"/>
  <c r="B13342" i="1"/>
  <c r="G13342" i="1"/>
  <c r="K13342" i="1"/>
  <c r="A13343" i="1"/>
  <c r="B13343" i="1"/>
  <c r="G13343" i="1"/>
  <c r="K13343" i="1"/>
  <c r="A13344" i="1"/>
  <c r="B13344" i="1"/>
  <c r="G13344" i="1"/>
  <c r="K13344" i="1"/>
  <c r="A13345" i="1"/>
  <c r="B13345" i="1"/>
  <c r="G13345" i="1"/>
  <c r="K13345" i="1"/>
  <c r="A13346" i="1"/>
  <c r="B13346" i="1"/>
  <c r="G13346" i="1"/>
  <c r="K13346" i="1"/>
  <c r="A13347" i="1"/>
  <c r="B13347" i="1"/>
  <c r="G13347" i="1"/>
  <c r="K13347" i="1"/>
  <c r="A13348" i="1"/>
  <c r="B13348" i="1"/>
  <c r="G13348" i="1"/>
  <c r="K13348" i="1"/>
  <c r="A13349" i="1"/>
  <c r="B13349" i="1"/>
  <c r="G13349" i="1"/>
  <c r="K13349" i="1"/>
  <c r="A13350" i="1"/>
  <c r="B13350" i="1"/>
  <c r="G13350" i="1"/>
  <c r="K13350" i="1"/>
  <c r="A13351" i="1"/>
  <c r="B13351" i="1"/>
  <c r="G13351" i="1"/>
  <c r="K13351" i="1"/>
  <c r="A13352" i="1"/>
  <c r="B13352" i="1"/>
  <c r="G13352" i="1"/>
  <c r="K13352" i="1"/>
  <c r="A13353" i="1"/>
  <c r="B13353" i="1"/>
  <c r="G13353" i="1"/>
  <c r="K13353" i="1"/>
  <c r="A13354" i="1"/>
  <c r="B13354" i="1"/>
  <c r="G13354" i="1"/>
  <c r="K13354" i="1"/>
  <c r="A13355" i="1"/>
  <c r="B13355" i="1"/>
  <c r="G13355" i="1"/>
  <c r="K13355" i="1"/>
  <c r="A13356" i="1"/>
  <c r="B13356" i="1"/>
  <c r="G13356" i="1"/>
  <c r="K13356" i="1"/>
  <c r="A13357" i="1"/>
  <c r="B13357" i="1"/>
  <c r="G13357" i="1"/>
  <c r="K13357" i="1"/>
  <c r="A13358" i="1"/>
  <c r="B13358" i="1"/>
  <c r="G13358" i="1"/>
  <c r="K13358" i="1"/>
  <c r="A13359" i="1"/>
  <c r="B13359" i="1"/>
  <c r="G13359" i="1"/>
  <c r="K13359" i="1"/>
  <c r="A13360" i="1"/>
  <c r="B13360" i="1"/>
  <c r="G13360" i="1"/>
  <c r="K13360" i="1"/>
  <c r="A13361" i="1"/>
  <c r="B13361" i="1"/>
  <c r="G13361" i="1"/>
  <c r="K13361" i="1"/>
  <c r="A13362" i="1"/>
  <c r="B13362" i="1"/>
  <c r="G13362" i="1"/>
  <c r="K13362" i="1"/>
  <c r="A13363" i="1"/>
  <c r="B13363" i="1"/>
  <c r="G13363" i="1"/>
  <c r="K13363" i="1"/>
  <c r="A13364" i="1"/>
  <c r="B13364" i="1"/>
  <c r="G13364" i="1"/>
  <c r="K13364" i="1"/>
  <c r="A13365" i="1"/>
  <c r="B13365" i="1"/>
  <c r="G13365" i="1"/>
  <c r="K13365" i="1"/>
  <c r="A13366" i="1"/>
  <c r="B13366" i="1"/>
  <c r="G13366" i="1"/>
  <c r="K13366" i="1"/>
  <c r="A13367" i="1"/>
  <c r="B13367" i="1"/>
  <c r="G13367" i="1"/>
  <c r="K13367" i="1"/>
  <c r="A13368" i="1"/>
  <c r="B13368" i="1"/>
  <c r="G13368" i="1"/>
  <c r="K13368" i="1"/>
  <c r="A13369" i="1"/>
  <c r="B13369" i="1"/>
  <c r="G13369" i="1"/>
  <c r="K13369" i="1"/>
  <c r="A13370" i="1"/>
  <c r="B13370" i="1"/>
  <c r="G13370" i="1"/>
  <c r="K13370" i="1"/>
  <c r="A13371" i="1"/>
  <c r="B13371" i="1"/>
  <c r="G13371" i="1"/>
  <c r="K13371" i="1"/>
  <c r="A13372" i="1"/>
  <c r="B13372" i="1"/>
  <c r="G13372" i="1"/>
  <c r="K13372" i="1"/>
  <c r="A13373" i="1"/>
  <c r="B13373" i="1"/>
  <c r="G13373" i="1"/>
  <c r="K13373" i="1"/>
  <c r="A13374" i="1"/>
  <c r="B13374" i="1"/>
  <c r="G13374" i="1"/>
  <c r="K13374" i="1"/>
  <c r="A13375" i="1"/>
  <c r="B13375" i="1"/>
  <c r="G13375" i="1"/>
  <c r="K13375" i="1"/>
  <c r="A13376" i="1"/>
  <c r="B13376" i="1"/>
  <c r="G13376" i="1"/>
  <c r="K13376" i="1"/>
  <c r="A13377" i="1"/>
  <c r="B13377" i="1"/>
  <c r="G13377" i="1"/>
  <c r="K13377" i="1"/>
  <c r="A13378" i="1"/>
  <c r="B13378" i="1"/>
  <c r="G13378" i="1"/>
  <c r="K13378" i="1"/>
  <c r="A13379" i="1"/>
  <c r="B13379" i="1"/>
  <c r="G13379" i="1"/>
  <c r="K13379" i="1"/>
  <c r="A13380" i="1"/>
  <c r="B13380" i="1"/>
  <c r="G13380" i="1"/>
  <c r="K13380" i="1"/>
  <c r="A13381" i="1"/>
  <c r="B13381" i="1"/>
  <c r="G13381" i="1"/>
  <c r="K13381" i="1"/>
  <c r="A13382" i="1"/>
  <c r="B13382" i="1"/>
  <c r="G13382" i="1"/>
  <c r="K13382" i="1"/>
  <c r="A13383" i="1"/>
  <c r="B13383" i="1"/>
  <c r="G13383" i="1"/>
  <c r="K13383" i="1"/>
  <c r="A13384" i="1"/>
  <c r="B13384" i="1"/>
  <c r="G13384" i="1"/>
  <c r="K13384" i="1"/>
  <c r="A13385" i="1"/>
  <c r="B13385" i="1"/>
  <c r="G13385" i="1"/>
  <c r="K13385" i="1"/>
  <c r="A13386" i="1"/>
  <c r="B13386" i="1"/>
  <c r="G13386" i="1"/>
  <c r="K13386" i="1"/>
  <c r="A13387" i="1"/>
  <c r="B13387" i="1"/>
  <c r="G13387" i="1"/>
  <c r="K13387" i="1"/>
  <c r="A13388" i="1"/>
  <c r="B13388" i="1"/>
  <c r="G13388" i="1"/>
  <c r="K13388" i="1"/>
  <c r="A13389" i="1"/>
  <c r="B13389" i="1"/>
  <c r="G13389" i="1"/>
  <c r="K13389" i="1"/>
  <c r="A13390" i="1"/>
  <c r="B13390" i="1"/>
  <c r="G13390" i="1"/>
  <c r="K13390" i="1"/>
  <c r="A13391" i="1"/>
  <c r="B13391" i="1"/>
  <c r="G13391" i="1"/>
  <c r="K13391" i="1"/>
  <c r="A13392" i="1"/>
  <c r="B13392" i="1"/>
  <c r="G13392" i="1"/>
  <c r="K13392" i="1"/>
  <c r="A13393" i="1"/>
  <c r="B13393" i="1"/>
  <c r="G13393" i="1"/>
  <c r="K13393" i="1"/>
  <c r="A13394" i="1"/>
  <c r="B13394" i="1"/>
  <c r="G13394" i="1"/>
  <c r="K13394" i="1"/>
  <c r="A13395" i="1"/>
  <c r="B13395" i="1"/>
  <c r="G13395" i="1"/>
  <c r="K13395" i="1"/>
  <c r="A13396" i="1"/>
  <c r="B13396" i="1"/>
  <c r="G13396" i="1"/>
  <c r="K13396" i="1"/>
  <c r="A13397" i="1"/>
  <c r="B13397" i="1"/>
  <c r="G13397" i="1"/>
  <c r="K13397" i="1"/>
  <c r="A13398" i="1"/>
  <c r="B13398" i="1"/>
  <c r="G13398" i="1"/>
  <c r="K13398" i="1"/>
  <c r="A13399" i="1"/>
  <c r="B13399" i="1"/>
  <c r="G13399" i="1"/>
  <c r="K13399" i="1"/>
  <c r="A13400" i="1"/>
  <c r="B13400" i="1"/>
  <c r="G13400" i="1"/>
  <c r="K13400" i="1"/>
  <c r="A13401" i="1"/>
  <c r="B13401" i="1"/>
  <c r="G13401" i="1"/>
  <c r="K13401" i="1"/>
  <c r="A13402" i="1"/>
  <c r="B13402" i="1"/>
  <c r="G13402" i="1"/>
  <c r="K13402" i="1"/>
  <c r="A13403" i="1"/>
  <c r="B13403" i="1"/>
  <c r="G13403" i="1"/>
  <c r="K13403" i="1"/>
  <c r="A13404" i="1"/>
  <c r="B13404" i="1"/>
  <c r="G13404" i="1"/>
  <c r="K13404" i="1"/>
  <c r="A13405" i="1"/>
  <c r="B13405" i="1"/>
  <c r="G13405" i="1"/>
  <c r="K13405" i="1"/>
  <c r="A13406" i="1"/>
  <c r="B13406" i="1"/>
  <c r="G13406" i="1"/>
  <c r="K13406" i="1"/>
  <c r="A13407" i="1"/>
  <c r="B13407" i="1"/>
  <c r="G13407" i="1"/>
  <c r="K13407" i="1"/>
  <c r="A13408" i="1"/>
  <c r="B13408" i="1"/>
  <c r="G13408" i="1"/>
  <c r="K13408" i="1"/>
  <c r="A13409" i="1"/>
  <c r="B13409" i="1"/>
  <c r="G13409" i="1"/>
  <c r="K13409" i="1"/>
  <c r="A13410" i="1"/>
  <c r="B13410" i="1"/>
  <c r="G13410" i="1"/>
  <c r="K13410" i="1"/>
  <c r="A13411" i="1"/>
  <c r="B13411" i="1"/>
  <c r="G13411" i="1"/>
  <c r="K13411" i="1"/>
  <c r="A13412" i="1"/>
  <c r="B13412" i="1"/>
  <c r="G13412" i="1"/>
  <c r="K13412" i="1"/>
  <c r="A13413" i="1"/>
  <c r="B13413" i="1"/>
  <c r="G13413" i="1"/>
  <c r="K13413" i="1"/>
  <c r="A13414" i="1"/>
  <c r="B13414" i="1"/>
  <c r="G13414" i="1"/>
  <c r="K13414" i="1"/>
  <c r="A13415" i="1"/>
  <c r="B13415" i="1"/>
  <c r="G13415" i="1"/>
  <c r="K13415" i="1"/>
  <c r="A13416" i="1"/>
  <c r="B13416" i="1"/>
  <c r="G13416" i="1"/>
  <c r="K13416" i="1"/>
  <c r="A13417" i="1"/>
  <c r="B13417" i="1"/>
  <c r="G13417" i="1"/>
  <c r="K13417" i="1"/>
  <c r="A13418" i="1"/>
  <c r="B13418" i="1"/>
  <c r="G13418" i="1"/>
  <c r="K13418" i="1"/>
  <c r="A13419" i="1"/>
  <c r="B13419" i="1"/>
  <c r="G13419" i="1"/>
  <c r="K13419" i="1"/>
  <c r="A13420" i="1"/>
  <c r="B13420" i="1"/>
  <c r="G13420" i="1"/>
  <c r="K13420" i="1"/>
  <c r="A13421" i="1"/>
  <c r="B13421" i="1"/>
  <c r="G13421" i="1"/>
  <c r="K13421" i="1"/>
  <c r="A13422" i="1"/>
  <c r="B13422" i="1"/>
  <c r="G13422" i="1"/>
  <c r="K13422" i="1"/>
  <c r="A13423" i="1"/>
  <c r="B13423" i="1"/>
  <c r="G13423" i="1"/>
  <c r="K13423" i="1"/>
  <c r="A13424" i="1"/>
  <c r="B13424" i="1"/>
  <c r="G13424" i="1"/>
  <c r="K13424" i="1"/>
  <c r="A13425" i="1"/>
  <c r="B13425" i="1"/>
  <c r="G13425" i="1"/>
  <c r="K13425" i="1"/>
  <c r="A13426" i="1"/>
  <c r="B13426" i="1"/>
  <c r="G13426" i="1"/>
  <c r="K13426" i="1"/>
  <c r="A13427" i="1"/>
  <c r="B13427" i="1"/>
  <c r="G13427" i="1"/>
  <c r="K13427" i="1"/>
  <c r="A13428" i="1"/>
  <c r="B13428" i="1"/>
  <c r="G13428" i="1"/>
  <c r="K13428" i="1"/>
  <c r="A13429" i="1"/>
  <c r="B13429" i="1"/>
  <c r="G13429" i="1"/>
  <c r="K13429" i="1"/>
  <c r="A13430" i="1"/>
  <c r="B13430" i="1"/>
  <c r="G13430" i="1"/>
  <c r="K13430" i="1"/>
  <c r="A13431" i="1"/>
  <c r="B13431" i="1"/>
  <c r="G13431" i="1"/>
  <c r="K13431" i="1"/>
  <c r="A13432" i="1"/>
  <c r="B13432" i="1"/>
  <c r="G13432" i="1"/>
  <c r="K13432" i="1"/>
  <c r="A13433" i="1"/>
  <c r="B13433" i="1"/>
  <c r="G13433" i="1"/>
  <c r="K13433" i="1"/>
  <c r="A13434" i="1"/>
  <c r="B13434" i="1"/>
  <c r="G13434" i="1"/>
  <c r="K13434" i="1"/>
  <c r="A13435" i="1"/>
  <c r="B13435" i="1"/>
  <c r="G13435" i="1"/>
  <c r="K13435" i="1"/>
  <c r="A13436" i="1"/>
  <c r="B13436" i="1"/>
  <c r="G13436" i="1"/>
  <c r="K13436" i="1"/>
  <c r="A13437" i="1"/>
  <c r="B13437" i="1"/>
  <c r="G13437" i="1"/>
  <c r="K13437" i="1"/>
  <c r="A13438" i="1"/>
  <c r="B13438" i="1"/>
  <c r="G13438" i="1"/>
  <c r="K13438" i="1"/>
  <c r="A13439" i="1"/>
  <c r="B13439" i="1"/>
  <c r="G13439" i="1"/>
  <c r="K13439" i="1"/>
  <c r="A13440" i="1"/>
  <c r="B13440" i="1"/>
  <c r="G13440" i="1"/>
  <c r="K13440" i="1"/>
  <c r="A13441" i="1"/>
  <c r="B13441" i="1"/>
  <c r="G13441" i="1"/>
  <c r="K13441" i="1"/>
  <c r="A13442" i="1"/>
  <c r="B13442" i="1"/>
  <c r="G13442" i="1"/>
  <c r="K13442" i="1"/>
  <c r="A13443" i="1"/>
  <c r="B13443" i="1"/>
  <c r="G13443" i="1"/>
  <c r="K13443" i="1"/>
  <c r="A13444" i="1"/>
  <c r="B13444" i="1"/>
  <c r="G13444" i="1"/>
  <c r="K13444" i="1"/>
  <c r="A13445" i="1"/>
  <c r="B13445" i="1"/>
  <c r="G13445" i="1"/>
  <c r="K13445" i="1"/>
  <c r="A13446" i="1"/>
  <c r="B13446" i="1"/>
  <c r="G13446" i="1"/>
  <c r="K13446" i="1"/>
  <c r="A13447" i="1"/>
  <c r="B13447" i="1"/>
  <c r="G13447" i="1"/>
  <c r="K13447" i="1"/>
  <c r="A13448" i="1"/>
  <c r="B13448" i="1"/>
  <c r="G13448" i="1"/>
  <c r="K13448" i="1"/>
  <c r="A13449" i="1"/>
  <c r="B13449" i="1"/>
  <c r="G13449" i="1"/>
  <c r="K13449" i="1"/>
  <c r="A13450" i="1"/>
  <c r="B13450" i="1"/>
  <c r="G13450" i="1"/>
  <c r="K13450" i="1"/>
  <c r="A13451" i="1"/>
  <c r="B13451" i="1"/>
  <c r="G13451" i="1"/>
  <c r="K13451" i="1"/>
  <c r="A13452" i="1"/>
  <c r="B13452" i="1"/>
  <c r="G13452" i="1"/>
  <c r="K13452" i="1"/>
  <c r="A13453" i="1"/>
  <c r="B13453" i="1"/>
  <c r="G13453" i="1"/>
  <c r="K13453" i="1"/>
  <c r="A13454" i="1"/>
  <c r="B13454" i="1"/>
  <c r="G13454" i="1"/>
  <c r="K13454" i="1"/>
  <c r="A13455" i="1"/>
  <c r="B13455" i="1"/>
  <c r="G13455" i="1"/>
  <c r="K13455" i="1"/>
  <c r="A13456" i="1"/>
  <c r="B13456" i="1"/>
  <c r="G13456" i="1"/>
  <c r="K13456" i="1"/>
  <c r="A13457" i="1"/>
  <c r="B13457" i="1"/>
  <c r="G13457" i="1"/>
  <c r="K13457" i="1"/>
  <c r="A13458" i="1"/>
  <c r="B13458" i="1"/>
  <c r="G13458" i="1"/>
  <c r="K13458" i="1"/>
  <c r="A13459" i="1"/>
  <c r="B13459" i="1"/>
  <c r="G13459" i="1"/>
  <c r="K13459" i="1"/>
  <c r="A13460" i="1"/>
  <c r="B13460" i="1"/>
  <c r="G13460" i="1"/>
  <c r="K13460" i="1"/>
  <c r="A13461" i="1"/>
  <c r="B13461" i="1"/>
  <c r="G13461" i="1"/>
  <c r="K13461" i="1"/>
  <c r="A13462" i="1"/>
  <c r="B13462" i="1"/>
  <c r="G13462" i="1"/>
  <c r="K13462" i="1"/>
  <c r="A13463" i="1"/>
  <c r="B13463" i="1"/>
  <c r="G13463" i="1"/>
  <c r="K13463" i="1"/>
  <c r="A13464" i="1"/>
  <c r="B13464" i="1"/>
  <c r="G13464" i="1"/>
  <c r="K13464" i="1"/>
  <c r="A13465" i="1"/>
  <c r="B13465" i="1"/>
  <c r="G13465" i="1"/>
  <c r="K13465" i="1"/>
  <c r="A13466" i="1"/>
  <c r="B13466" i="1"/>
  <c r="G13466" i="1"/>
  <c r="K13466" i="1"/>
  <c r="A13467" i="1"/>
  <c r="B13467" i="1"/>
  <c r="G13467" i="1"/>
  <c r="K13467" i="1"/>
  <c r="A13468" i="1"/>
  <c r="B13468" i="1"/>
  <c r="G13468" i="1"/>
  <c r="K13468" i="1"/>
  <c r="A13469" i="1"/>
  <c r="B13469" i="1"/>
  <c r="G13469" i="1"/>
  <c r="K13469" i="1"/>
  <c r="A13470" i="1"/>
  <c r="B13470" i="1"/>
  <c r="G13470" i="1"/>
  <c r="K13470" i="1"/>
  <c r="A13471" i="1"/>
  <c r="B13471" i="1"/>
  <c r="G13471" i="1"/>
  <c r="K13471" i="1"/>
  <c r="A13472" i="1"/>
  <c r="B13472" i="1"/>
  <c r="G13472" i="1"/>
  <c r="K13472" i="1"/>
  <c r="A13473" i="1"/>
  <c r="B13473" i="1"/>
  <c r="G13473" i="1"/>
  <c r="K13473" i="1"/>
  <c r="A13474" i="1"/>
  <c r="B13474" i="1"/>
  <c r="G13474" i="1"/>
  <c r="K13474" i="1"/>
  <c r="A13475" i="1"/>
  <c r="B13475" i="1"/>
  <c r="G13475" i="1"/>
  <c r="K13475" i="1"/>
  <c r="A13476" i="1"/>
  <c r="B13476" i="1"/>
  <c r="G13476" i="1"/>
  <c r="K13476" i="1"/>
  <c r="A13477" i="1"/>
  <c r="B13477" i="1"/>
  <c r="G13477" i="1"/>
  <c r="K13477" i="1"/>
  <c r="A13478" i="1"/>
  <c r="B13478" i="1"/>
  <c r="G13478" i="1"/>
  <c r="K13478" i="1"/>
  <c r="A13479" i="1"/>
  <c r="B13479" i="1"/>
  <c r="G13479" i="1"/>
  <c r="K13479" i="1"/>
  <c r="A13480" i="1"/>
  <c r="B13480" i="1"/>
  <c r="G13480" i="1"/>
  <c r="K13480" i="1"/>
  <c r="A13481" i="1"/>
  <c r="B13481" i="1"/>
  <c r="G13481" i="1"/>
  <c r="K13481" i="1"/>
  <c r="A13482" i="1"/>
  <c r="B13482" i="1"/>
  <c r="G13482" i="1"/>
  <c r="K13482" i="1"/>
  <c r="A13483" i="1"/>
  <c r="B13483" i="1"/>
  <c r="G13483" i="1"/>
  <c r="K13483" i="1"/>
  <c r="A13484" i="1"/>
  <c r="B13484" i="1"/>
  <c r="G13484" i="1"/>
  <c r="K13484" i="1"/>
  <c r="A13485" i="1"/>
  <c r="B13485" i="1"/>
  <c r="G13485" i="1"/>
  <c r="K13485" i="1"/>
  <c r="A13486" i="1"/>
  <c r="B13486" i="1"/>
  <c r="G13486" i="1"/>
  <c r="K13486" i="1"/>
  <c r="A13487" i="1"/>
  <c r="B13487" i="1"/>
  <c r="G13487" i="1"/>
  <c r="K13487" i="1"/>
  <c r="A13488" i="1"/>
  <c r="B13488" i="1"/>
  <c r="G13488" i="1"/>
  <c r="K13488" i="1"/>
  <c r="A13489" i="1"/>
  <c r="B13489" i="1"/>
  <c r="G13489" i="1"/>
  <c r="K13489" i="1"/>
  <c r="A13490" i="1"/>
  <c r="B13490" i="1"/>
  <c r="G13490" i="1"/>
  <c r="K13490" i="1"/>
  <c r="A13491" i="1"/>
  <c r="B13491" i="1"/>
  <c r="G13491" i="1"/>
  <c r="K13491" i="1"/>
  <c r="A13492" i="1"/>
  <c r="B13492" i="1"/>
  <c r="G13492" i="1"/>
  <c r="K13492" i="1"/>
  <c r="A13493" i="1"/>
  <c r="B13493" i="1"/>
  <c r="G13493" i="1"/>
  <c r="K13493" i="1"/>
  <c r="A13494" i="1"/>
  <c r="B13494" i="1"/>
  <c r="G13494" i="1"/>
  <c r="K13494" i="1"/>
  <c r="A13495" i="1"/>
  <c r="B13495" i="1"/>
  <c r="G13495" i="1"/>
  <c r="K13495" i="1"/>
  <c r="A13496" i="1"/>
  <c r="B13496" i="1"/>
  <c r="G13496" i="1"/>
  <c r="K13496" i="1"/>
  <c r="A13497" i="1"/>
  <c r="B13497" i="1"/>
  <c r="G13497" i="1"/>
  <c r="K13497" i="1"/>
  <c r="A13498" i="1"/>
  <c r="B13498" i="1"/>
  <c r="G13498" i="1"/>
  <c r="K13498" i="1"/>
  <c r="A13499" i="1"/>
  <c r="B13499" i="1"/>
  <c r="G13499" i="1"/>
  <c r="K13499" i="1"/>
  <c r="A13500" i="1"/>
  <c r="B13500" i="1"/>
  <c r="G13500" i="1"/>
  <c r="K13500" i="1"/>
  <c r="A13501" i="1"/>
  <c r="B13501" i="1"/>
  <c r="G13501" i="1"/>
  <c r="K13501" i="1"/>
  <c r="A13502" i="1"/>
  <c r="B13502" i="1"/>
  <c r="G13502" i="1"/>
  <c r="K13502" i="1"/>
  <c r="A13503" i="1"/>
  <c r="B13503" i="1"/>
  <c r="G13503" i="1"/>
  <c r="K13503" i="1"/>
  <c r="A13504" i="1"/>
  <c r="B13504" i="1"/>
  <c r="G13504" i="1"/>
  <c r="K13504" i="1"/>
  <c r="A13505" i="1"/>
  <c r="B13505" i="1"/>
  <c r="G13505" i="1"/>
  <c r="K13505" i="1"/>
  <c r="A13506" i="1"/>
  <c r="B13506" i="1"/>
  <c r="G13506" i="1"/>
  <c r="K13506" i="1"/>
  <c r="A13507" i="1"/>
  <c r="B13507" i="1"/>
  <c r="G13507" i="1"/>
  <c r="K13507" i="1"/>
  <c r="A13508" i="1"/>
  <c r="B13508" i="1"/>
  <c r="G13508" i="1"/>
  <c r="K13508" i="1"/>
  <c r="A13509" i="1"/>
  <c r="B13509" i="1"/>
  <c r="G13509" i="1"/>
  <c r="K13509" i="1"/>
  <c r="A13510" i="1"/>
  <c r="B13510" i="1"/>
  <c r="G13510" i="1"/>
  <c r="K13510" i="1"/>
  <c r="A13511" i="1"/>
  <c r="B13511" i="1"/>
  <c r="G13511" i="1"/>
  <c r="K13511" i="1"/>
  <c r="A13512" i="1"/>
  <c r="B13512" i="1"/>
  <c r="G13512" i="1"/>
  <c r="K13512" i="1"/>
  <c r="A13513" i="1"/>
  <c r="B13513" i="1"/>
  <c r="G13513" i="1"/>
  <c r="K13513" i="1"/>
  <c r="A13514" i="1"/>
  <c r="B13514" i="1"/>
  <c r="G13514" i="1"/>
  <c r="K13514" i="1"/>
  <c r="A13515" i="1"/>
  <c r="B13515" i="1"/>
  <c r="G13515" i="1"/>
  <c r="K13515" i="1"/>
  <c r="A13516" i="1"/>
  <c r="B13516" i="1"/>
  <c r="G13516" i="1"/>
  <c r="K13516" i="1"/>
  <c r="A13517" i="1"/>
  <c r="B13517" i="1"/>
  <c r="G13517" i="1"/>
  <c r="K13517" i="1"/>
  <c r="A13518" i="1"/>
  <c r="B13518" i="1"/>
  <c r="G13518" i="1"/>
  <c r="K13518" i="1"/>
  <c r="A13519" i="1"/>
  <c r="B13519" i="1"/>
  <c r="G13519" i="1"/>
  <c r="K13519" i="1"/>
  <c r="A13520" i="1"/>
  <c r="B13520" i="1"/>
  <c r="G13520" i="1"/>
  <c r="K13520" i="1"/>
  <c r="A13521" i="1"/>
  <c r="B13521" i="1"/>
  <c r="G13521" i="1"/>
  <c r="K13521" i="1"/>
</calcChain>
</file>

<file path=xl/sharedStrings.xml><?xml version="1.0" encoding="utf-8"?>
<sst xmlns="http://schemas.openxmlformats.org/spreadsheetml/2006/main" count="51027" uniqueCount="8453">
  <si>
    <t>IČZ</t>
  </si>
  <si>
    <t>Druh poj.</t>
  </si>
  <si>
    <t>Č.pojištěnce</t>
  </si>
  <si>
    <t>Příjetí</t>
  </si>
  <si>
    <t>Propuštění</t>
  </si>
  <si>
    <t>Ukonč</t>
  </si>
  <si>
    <t>Zákl.DG</t>
  </si>
  <si>
    <t>Skupina DRG</t>
  </si>
  <si>
    <t>CASE MIX</t>
  </si>
  <si>
    <t>Ost.diag.</t>
  </si>
  <si>
    <t>Vyhl</t>
  </si>
  <si>
    <t>Odbornost</t>
  </si>
  <si>
    <t>H800</t>
  </si>
  <si>
    <t>H901</t>
  </si>
  <si>
    <t>A</t>
  </si>
  <si>
    <t>CZ</t>
  </si>
  <si>
    <t>M512</t>
  </si>
  <si>
    <t>D</t>
  </si>
  <si>
    <t>Q620</t>
  </si>
  <si>
    <t>Q621</t>
  </si>
  <si>
    <t>S6260</t>
  </si>
  <si>
    <t>W1999,U6975</t>
  </si>
  <si>
    <t>H473</t>
  </si>
  <si>
    <t>K353</t>
  </si>
  <si>
    <t>C</t>
  </si>
  <si>
    <t>F231</t>
  </si>
  <si>
    <t>F120,U6975,Z818</t>
  </si>
  <si>
    <t>H</t>
  </si>
  <si>
    <t>D110</t>
  </si>
  <si>
    <t>S836</t>
  </si>
  <si>
    <t>W0100</t>
  </si>
  <si>
    <t>M511</t>
  </si>
  <si>
    <t>S2200</t>
  </si>
  <si>
    <t>V4061,F109</t>
  </si>
  <si>
    <t>S860</t>
  </si>
  <si>
    <t>W2681,U6975</t>
  </si>
  <si>
    <t>U6975,G218</t>
  </si>
  <si>
    <t>F101,U6975</t>
  </si>
  <si>
    <t>I219</t>
  </si>
  <si>
    <t>K048</t>
  </si>
  <si>
    <t>K219</t>
  </si>
  <si>
    <t>G473</t>
  </si>
  <si>
    <t>J310,E063,E785</t>
  </si>
  <si>
    <t>K358</t>
  </si>
  <si>
    <t>Q430</t>
  </si>
  <si>
    <t>I409</t>
  </si>
  <si>
    <t>A045</t>
  </si>
  <si>
    <t>M2416</t>
  </si>
  <si>
    <t>K810</t>
  </si>
  <si>
    <t>G939</t>
  </si>
  <si>
    <t>H55</t>
  </si>
  <si>
    <t>N994</t>
  </si>
  <si>
    <t>N736</t>
  </si>
  <si>
    <t>F152</t>
  </si>
  <si>
    <t>F150,Z813,U6975</t>
  </si>
  <si>
    <t>F155</t>
  </si>
  <si>
    <t>F152,Z813,U6975</t>
  </si>
  <si>
    <t>O848</t>
  </si>
  <si>
    <t>O601,O300,O718</t>
  </si>
  <si>
    <t>E</t>
  </si>
  <si>
    <t>O600</t>
  </si>
  <si>
    <t>O820</t>
  </si>
  <si>
    <t>O342</t>
  </si>
  <si>
    <t>D162</t>
  </si>
  <si>
    <t>M674</t>
  </si>
  <si>
    <t>T818</t>
  </si>
  <si>
    <t>Y838,U071</t>
  </si>
  <si>
    <t>I635</t>
  </si>
  <si>
    <t>T008</t>
  </si>
  <si>
    <t>V4401</t>
  </si>
  <si>
    <t>L700</t>
  </si>
  <si>
    <t>S832</t>
  </si>
  <si>
    <t>O993</t>
  </si>
  <si>
    <t>F418,O990</t>
  </si>
  <si>
    <t>O210</t>
  </si>
  <si>
    <t>O800</t>
  </si>
  <si>
    <t>O718</t>
  </si>
  <si>
    <t>F603</t>
  </si>
  <si>
    <t>F200</t>
  </si>
  <si>
    <t>C73</t>
  </si>
  <si>
    <t>Z510,E890</t>
  </si>
  <si>
    <t>E042</t>
  </si>
  <si>
    <t>O821</t>
  </si>
  <si>
    <t>O654</t>
  </si>
  <si>
    <t>N609</t>
  </si>
  <si>
    <t>O810</t>
  </si>
  <si>
    <t>O908</t>
  </si>
  <si>
    <t>L209</t>
  </si>
  <si>
    <t>J304</t>
  </si>
  <si>
    <t>S678</t>
  </si>
  <si>
    <t>W3128,S6260,T798</t>
  </si>
  <si>
    <t>O998</t>
  </si>
  <si>
    <t>R55</t>
  </si>
  <si>
    <t>F510,R51,Z818</t>
  </si>
  <si>
    <t>T509</t>
  </si>
  <si>
    <t>X6491,F603</t>
  </si>
  <si>
    <t>N10</t>
  </si>
  <si>
    <t>G409</t>
  </si>
  <si>
    <t>F432</t>
  </si>
  <si>
    <t>Z731,Z818</t>
  </si>
  <si>
    <t>O001</t>
  </si>
  <si>
    <t>K661</t>
  </si>
  <si>
    <t>J039</t>
  </si>
  <si>
    <t>R070</t>
  </si>
  <si>
    <t>Q676</t>
  </si>
  <si>
    <t>D649,I959,Z470</t>
  </si>
  <si>
    <t>B</t>
  </si>
  <si>
    <t>S3270</t>
  </si>
  <si>
    <t>W0191,G819,G951</t>
  </si>
  <si>
    <t>Z501</t>
  </si>
  <si>
    <t>G811,Q676,U5010</t>
  </si>
  <si>
    <t>M2441</t>
  </si>
  <si>
    <t>O814</t>
  </si>
  <si>
    <t>O631,O680,O718,Z292</t>
  </si>
  <si>
    <t>J342</t>
  </si>
  <si>
    <t>J352,J310</t>
  </si>
  <si>
    <t>O601</t>
  </si>
  <si>
    <t>O420</t>
  </si>
  <si>
    <t>O718,Z292</t>
  </si>
  <si>
    <t>S557</t>
  </si>
  <si>
    <t>Y2809,F100,S567,S518,S547,U6975</t>
  </si>
  <si>
    <t>T925,U6975,U5010</t>
  </si>
  <si>
    <t>O631,O680</t>
  </si>
  <si>
    <t>K070</t>
  </si>
  <si>
    <t>Q238</t>
  </si>
  <si>
    <t>O998,O992,O244</t>
  </si>
  <si>
    <t>O120</t>
  </si>
  <si>
    <t>O244,O992</t>
  </si>
  <si>
    <t>O631,O714,Z292</t>
  </si>
  <si>
    <t>F410,F172,E660,U6975</t>
  </si>
  <si>
    <t>F411</t>
  </si>
  <si>
    <t>O631,O680,O714</t>
  </si>
  <si>
    <t>K122</t>
  </si>
  <si>
    <t>I889</t>
  </si>
  <si>
    <t>L040</t>
  </si>
  <si>
    <t>J459,D899</t>
  </si>
  <si>
    <t>S8221</t>
  </si>
  <si>
    <t>Y2901</t>
  </si>
  <si>
    <t>R251</t>
  </si>
  <si>
    <t>K769</t>
  </si>
  <si>
    <t>S0230</t>
  </si>
  <si>
    <t>W1999,S0601,S0240</t>
  </si>
  <si>
    <t>S0241</t>
  </si>
  <si>
    <t>V1841</t>
  </si>
  <si>
    <t>D381</t>
  </si>
  <si>
    <t>Z514</t>
  </si>
  <si>
    <t>C833</t>
  </si>
  <si>
    <t>Z511,U6975,Z452,Z978</t>
  </si>
  <si>
    <t>E840</t>
  </si>
  <si>
    <t>E440,K900,E139,M8193,B965</t>
  </si>
  <si>
    <t>E41,K900,E139</t>
  </si>
  <si>
    <t>K409</t>
  </si>
  <si>
    <t>F410</t>
  </si>
  <si>
    <t>I498</t>
  </si>
  <si>
    <t>D618</t>
  </si>
  <si>
    <t>D613</t>
  </si>
  <si>
    <t>J128,U071,H356,Z978</t>
  </si>
  <si>
    <t>S0261</t>
  </si>
  <si>
    <t>W0101,K083</t>
  </si>
  <si>
    <t>F510</t>
  </si>
  <si>
    <t>F480,U6975</t>
  </si>
  <si>
    <t>F150</t>
  </si>
  <si>
    <t>S661</t>
  </si>
  <si>
    <t>W9999</t>
  </si>
  <si>
    <t>D352</t>
  </si>
  <si>
    <t>E240,E228,E291</t>
  </si>
  <si>
    <t>F422,F131,Z818</t>
  </si>
  <si>
    <t>M2351</t>
  </si>
  <si>
    <t>U6975</t>
  </si>
  <si>
    <t>S0691</t>
  </si>
  <si>
    <t>W4999,J9600,S0670,R402</t>
  </si>
  <si>
    <t>K513</t>
  </si>
  <si>
    <t>E86,E441,E834,D638,U6975</t>
  </si>
  <si>
    <t>Z470</t>
  </si>
  <si>
    <t>N47</t>
  </si>
  <si>
    <t>I801</t>
  </si>
  <si>
    <t>D688,N26</t>
  </si>
  <si>
    <t>S640</t>
  </si>
  <si>
    <t>S3700</t>
  </si>
  <si>
    <t>V999,J958</t>
  </si>
  <si>
    <t>O700</t>
  </si>
  <si>
    <t>F401</t>
  </si>
  <si>
    <t>F101</t>
  </si>
  <si>
    <t>L500</t>
  </si>
  <si>
    <t>S644</t>
  </si>
  <si>
    <t>W2600,S661</t>
  </si>
  <si>
    <t>I471</t>
  </si>
  <si>
    <t>O021</t>
  </si>
  <si>
    <t>N710</t>
  </si>
  <si>
    <t>Q180</t>
  </si>
  <si>
    <t>F481,F401,Z731,U6975</t>
  </si>
  <si>
    <t>H46</t>
  </si>
  <si>
    <t>E559</t>
  </si>
  <si>
    <t>J449,D649</t>
  </si>
  <si>
    <t>R51</t>
  </si>
  <si>
    <t>U6975,J458,F172</t>
  </si>
  <si>
    <t>W0190,U6975</t>
  </si>
  <si>
    <t>J320</t>
  </si>
  <si>
    <t>K083,T818,Z920</t>
  </si>
  <si>
    <t>T068</t>
  </si>
  <si>
    <t>V4999,S3270,S009,S136</t>
  </si>
  <si>
    <t>J158</t>
  </si>
  <si>
    <t>J91</t>
  </si>
  <si>
    <t>F401,U6975</t>
  </si>
  <si>
    <t>L52</t>
  </si>
  <si>
    <t>I828,M5456,D869</t>
  </si>
  <si>
    <t>W0130,S835</t>
  </si>
  <si>
    <t>A083</t>
  </si>
  <si>
    <t>S3200</t>
  </si>
  <si>
    <t>W1990</t>
  </si>
  <si>
    <t>S8270</t>
  </si>
  <si>
    <t>W0180,U6975</t>
  </si>
  <si>
    <t>M220</t>
  </si>
  <si>
    <t>L721</t>
  </si>
  <si>
    <t>R629,G408</t>
  </si>
  <si>
    <t>S8260</t>
  </si>
  <si>
    <t>W1999,S932</t>
  </si>
  <si>
    <t>J128</t>
  </si>
  <si>
    <t>U071,G919</t>
  </si>
  <si>
    <t>S202</t>
  </si>
  <si>
    <t>V4999,S308,S108</t>
  </si>
  <si>
    <t>G250</t>
  </si>
  <si>
    <t>F122,R05,U6975</t>
  </si>
  <si>
    <t>J458,U6975,Z811</t>
  </si>
  <si>
    <t>K021</t>
  </si>
  <si>
    <t>J459,F708</t>
  </si>
  <si>
    <t>F192,F121,R451,Z911,U6975</t>
  </si>
  <si>
    <t>F192,F172,U6975,Z911</t>
  </si>
  <si>
    <t>F192,F172,R451,U6975,Z911</t>
  </si>
  <si>
    <t>H262</t>
  </si>
  <si>
    <t>M0899,Z961,H200,H404</t>
  </si>
  <si>
    <t>F61</t>
  </si>
  <si>
    <t>S430</t>
  </si>
  <si>
    <t>W0190</t>
  </si>
  <si>
    <t>J352</t>
  </si>
  <si>
    <t>T068,G811,U6975,U5040</t>
  </si>
  <si>
    <t>V4391,J9600,S0610,S2740,S2720,S3270</t>
  </si>
  <si>
    <t>I313</t>
  </si>
  <si>
    <t>I328,J90,J9690</t>
  </si>
  <si>
    <t>M318</t>
  </si>
  <si>
    <t>R065</t>
  </si>
  <si>
    <t>J459</t>
  </si>
  <si>
    <t>F400,U6975</t>
  </si>
  <si>
    <t>S6240</t>
  </si>
  <si>
    <t>W0199</t>
  </si>
  <si>
    <t>N434</t>
  </si>
  <si>
    <t>G562</t>
  </si>
  <si>
    <t>R739</t>
  </si>
  <si>
    <t>U071</t>
  </si>
  <si>
    <t>M752,U6975,Z038</t>
  </si>
  <si>
    <t>Y0441</t>
  </si>
  <si>
    <t>M2324</t>
  </si>
  <si>
    <t>T185</t>
  </si>
  <si>
    <t>X7909</t>
  </si>
  <si>
    <t>F230</t>
  </si>
  <si>
    <t>F172,F121,U6975</t>
  </si>
  <si>
    <t>O714</t>
  </si>
  <si>
    <t>F422</t>
  </si>
  <si>
    <t>F951,F510,U6975</t>
  </si>
  <si>
    <t>H811</t>
  </si>
  <si>
    <t>J36</t>
  </si>
  <si>
    <t>R600</t>
  </si>
  <si>
    <t>T398</t>
  </si>
  <si>
    <t>X8499,F063</t>
  </si>
  <si>
    <t>I676</t>
  </si>
  <si>
    <t>G431</t>
  </si>
  <si>
    <t>N832</t>
  </si>
  <si>
    <t>R53,F419</t>
  </si>
  <si>
    <t>K253</t>
  </si>
  <si>
    <t>O680</t>
  </si>
  <si>
    <t>D500,J301,B279</t>
  </si>
  <si>
    <t>F191</t>
  </si>
  <si>
    <t>F190,Z731,U6975</t>
  </si>
  <si>
    <t>Z458</t>
  </si>
  <si>
    <t>U071,Z290</t>
  </si>
  <si>
    <t>U099</t>
  </si>
  <si>
    <t>F152,G211,U6975,R451</t>
  </si>
  <si>
    <t>O601,O680</t>
  </si>
  <si>
    <t>T432</t>
  </si>
  <si>
    <t>X6103,F603</t>
  </si>
  <si>
    <t>Q523</t>
  </si>
  <si>
    <t>Q279</t>
  </si>
  <si>
    <t>K501</t>
  </si>
  <si>
    <t>D509</t>
  </si>
  <si>
    <t>K508</t>
  </si>
  <si>
    <t>L519</t>
  </si>
  <si>
    <t>ZAH</t>
  </si>
  <si>
    <t>S0600</t>
  </si>
  <si>
    <t>W1999,S202</t>
  </si>
  <si>
    <t>G418</t>
  </si>
  <si>
    <t>I460</t>
  </si>
  <si>
    <t>J189,J9600,J939</t>
  </si>
  <si>
    <t>S5240</t>
  </si>
  <si>
    <t>Y0491,F100,S0600,S0240,S013</t>
  </si>
  <si>
    <t>S830</t>
  </si>
  <si>
    <t>W0199,U6975</t>
  </si>
  <si>
    <t>M8630</t>
  </si>
  <si>
    <t>U071,Z290,E109,E86,E348</t>
  </si>
  <si>
    <t>Y0499</t>
  </si>
  <si>
    <t>J931</t>
  </si>
  <si>
    <t>N200</t>
  </si>
  <si>
    <t>Z731</t>
  </si>
  <si>
    <t>E660</t>
  </si>
  <si>
    <t>K760</t>
  </si>
  <si>
    <t>E101</t>
  </si>
  <si>
    <t>L022,B956,L020,U6975,E86</t>
  </si>
  <si>
    <t>J459,F841</t>
  </si>
  <si>
    <t>T846</t>
  </si>
  <si>
    <t>Y792</t>
  </si>
  <si>
    <t>M755</t>
  </si>
  <si>
    <t>X6301,F432</t>
  </si>
  <si>
    <t>H720</t>
  </si>
  <si>
    <t>M2390,M2350</t>
  </si>
  <si>
    <t>J350</t>
  </si>
  <si>
    <t>S0260</t>
  </si>
  <si>
    <t>Y0881,U071,Z290,F129,F159</t>
  </si>
  <si>
    <t>S0650</t>
  </si>
  <si>
    <t>Y0401,S0220</t>
  </si>
  <si>
    <t>M2147</t>
  </si>
  <si>
    <t>M201</t>
  </si>
  <si>
    <t>K083</t>
  </si>
  <si>
    <t>F840</t>
  </si>
  <si>
    <t>Q780</t>
  </si>
  <si>
    <t>K510</t>
  </si>
  <si>
    <t>A047</t>
  </si>
  <si>
    <t>K518</t>
  </si>
  <si>
    <t>H501</t>
  </si>
  <si>
    <t>I861</t>
  </si>
  <si>
    <t>I803</t>
  </si>
  <si>
    <t>U6975,D685</t>
  </si>
  <si>
    <t>T191</t>
  </si>
  <si>
    <t>X6401</t>
  </si>
  <si>
    <t>K859</t>
  </si>
  <si>
    <t>K868</t>
  </si>
  <si>
    <t>K210</t>
  </si>
  <si>
    <t>K801</t>
  </si>
  <si>
    <t>O031</t>
  </si>
  <si>
    <t>W0199,S134,X8001,F603</t>
  </si>
  <si>
    <t>R72</t>
  </si>
  <si>
    <t>I982,R161,D695,K754</t>
  </si>
  <si>
    <t>M2446</t>
  </si>
  <si>
    <t>K523</t>
  </si>
  <si>
    <t>F438,F400,U6975</t>
  </si>
  <si>
    <t>N202</t>
  </si>
  <si>
    <t>N132</t>
  </si>
  <si>
    <t>N009</t>
  </si>
  <si>
    <t>M5457,H105,B80</t>
  </si>
  <si>
    <t>Q644</t>
  </si>
  <si>
    <t>E039</t>
  </si>
  <si>
    <t>K529</t>
  </si>
  <si>
    <t>E109,E86,U6975</t>
  </si>
  <si>
    <t>E109</t>
  </si>
  <si>
    <t>T510</t>
  </si>
  <si>
    <t>Y1501</t>
  </si>
  <si>
    <t>E86</t>
  </si>
  <si>
    <t>U6975,A090</t>
  </si>
  <si>
    <t>B962</t>
  </si>
  <si>
    <t>F929</t>
  </si>
  <si>
    <t>F191,U6975</t>
  </si>
  <si>
    <t>Y0408</t>
  </si>
  <si>
    <t>T519</t>
  </si>
  <si>
    <t>X6001,F928,U6975</t>
  </si>
  <si>
    <t>K599</t>
  </si>
  <si>
    <t>T814,B962</t>
  </si>
  <si>
    <t>Q430,A099</t>
  </si>
  <si>
    <t>Y0481,F101</t>
  </si>
  <si>
    <t>M8414</t>
  </si>
  <si>
    <t>K522</t>
  </si>
  <si>
    <t>D509,J459</t>
  </si>
  <si>
    <t>L029</t>
  </si>
  <si>
    <t>L720,U6975,B968</t>
  </si>
  <si>
    <t>S8231</t>
  </si>
  <si>
    <t>J343,J342,J352</t>
  </si>
  <si>
    <t>J208</t>
  </si>
  <si>
    <t>J450,U071</t>
  </si>
  <si>
    <t>D432</t>
  </si>
  <si>
    <t>E230,U6975</t>
  </si>
  <si>
    <t>G911</t>
  </si>
  <si>
    <t>E893</t>
  </si>
  <si>
    <t>H540,R32</t>
  </si>
  <si>
    <t>S5260</t>
  </si>
  <si>
    <t>W1999</t>
  </si>
  <si>
    <t>Z258</t>
  </si>
  <si>
    <t>U071,E271,K754</t>
  </si>
  <si>
    <t>D487</t>
  </si>
  <si>
    <t>I400</t>
  </si>
  <si>
    <t>U6975,B974,A749</t>
  </si>
  <si>
    <t>S633</t>
  </si>
  <si>
    <t>M308</t>
  </si>
  <si>
    <t>K358,J90,U109</t>
  </si>
  <si>
    <t>N433</t>
  </si>
  <si>
    <t>F988</t>
  </si>
  <si>
    <t>G061</t>
  </si>
  <si>
    <t>Z228,U071,Z290,B956</t>
  </si>
  <si>
    <t>G368</t>
  </si>
  <si>
    <t>W0189</t>
  </si>
  <si>
    <t>S4240</t>
  </si>
  <si>
    <t>W0199,S5210,U6975</t>
  </si>
  <si>
    <t>K402</t>
  </si>
  <si>
    <t>F454</t>
  </si>
  <si>
    <t>N509</t>
  </si>
  <si>
    <t>J46</t>
  </si>
  <si>
    <t>J450</t>
  </si>
  <si>
    <t>H200</t>
  </si>
  <si>
    <t>K296</t>
  </si>
  <si>
    <t>B980</t>
  </si>
  <si>
    <t>S3240</t>
  </si>
  <si>
    <t>K102</t>
  </si>
  <si>
    <t>K025</t>
  </si>
  <si>
    <t>S835</t>
  </si>
  <si>
    <t>W0181</t>
  </si>
  <si>
    <t>S835,U5010</t>
  </si>
  <si>
    <t>L508</t>
  </si>
  <si>
    <t>Z421</t>
  </si>
  <si>
    <t>F500</t>
  </si>
  <si>
    <t>F508</t>
  </si>
  <si>
    <t>E876</t>
  </si>
  <si>
    <t>D165</t>
  </si>
  <si>
    <t>A692</t>
  </si>
  <si>
    <t>L705</t>
  </si>
  <si>
    <t>E100</t>
  </si>
  <si>
    <t>U6975,F150</t>
  </si>
  <si>
    <t>G588</t>
  </si>
  <si>
    <t>H531,U6975</t>
  </si>
  <si>
    <t>K803</t>
  </si>
  <si>
    <t>K821</t>
  </si>
  <si>
    <t>O420,O718</t>
  </si>
  <si>
    <t>E038,K297</t>
  </si>
  <si>
    <t>F500,U6975</t>
  </si>
  <si>
    <t>F100</t>
  </si>
  <si>
    <t>T402</t>
  </si>
  <si>
    <t>X6201,J9609</t>
  </si>
  <si>
    <t>O990,O994</t>
  </si>
  <si>
    <t>O85,O468,O718,Z292</t>
  </si>
  <si>
    <t>W1799,S3700,S2710,S2730</t>
  </si>
  <si>
    <t>F502</t>
  </si>
  <si>
    <t>F510,U6975</t>
  </si>
  <si>
    <t>K754</t>
  </si>
  <si>
    <t>K766,K746</t>
  </si>
  <si>
    <t>J038</t>
  </si>
  <si>
    <t>R51,R161</t>
  </si>
  <si>
    <t>Z988</t>
  </si>
  <si>
    <t>K035</t>
  </si>
  <si>
    <t>X6400</t>
  </si>
  <si>
    <t>U6975,Z290,E063,K590</t>
  </si>
  <si>
    <t>S5250</t>
  </si>
  <si>
    <t>W0000,U6975</t>
  </si>
  <si>
    <t>N358</t>
  </si>
  <si>
    <t>N390</t>
  </si>
  <si>
    <t>H500</t>
  </si>
  <si>
    <t>H530</t>
  </si>
  <si>
    <t>G441</t>
  </si>
  <si>
    <t>K299</t>
  </si>
  <si>
    <t>F412</t>
  </si>
  <si>
    <t>S634</t>
  </si>
  <si>
    <t>W0101,U6975</t>
  </si>
  <si>
    <t>S7240</t>
  </si>
  <si>
    <t>S4200</t>
  </si>
  <si>
    <t>V1999</t>
  </si>
  <si>
    <t>V0101,S608,U6975</t>
  </si>
  <si>
    <t>K011</t>
  </si>
  <si>
    <t>J030</t>
  </si>
  <si>
    <t>U6975,A409,E669</t>
  </si>
  <si>
    <t>U6975,J039</t>
  </si>
  <si>
    <t>L059</t>
  </si>
  <si>
    <t>S430,W2200</t>
  </si>
  <si>
    <t>V1700</t>
  </si>
  <si>
    <t>R104</t>
  </si>
  <si>
    <t>I272,I500,D731,F708,G473</t>
  </si>
  <si>
    <t>G01</t>
  </si>
  <si>
    <t>G510,A692</t>
  </si>
  <si>
    <t>H661</t>
  </si>
  <si>
    <t>N459</t>
  </si>
  <si>
    <t>I802</t>
  </si>
  <si>
    <t>S009,W1999</t>
  </si>
  <si>
    <t>E119</t>
  </si>
  <si>
    <t>E660,R104,E790,E039</t>
  </si>
  <si>
    <t>A047,D638,N390,R629</t>
  </si>
  <si>
    <t>H260,E063,U6975</t>
  </si>
  <si>
    <t>A418</t>
  </si>
  <si>
    <t>N390,B962,F711</t>
  </si>
  <si>
    <t>M2554</t>
  </si>
  <si>
    <t>J339</t>
  </si>
  <si>
    <t>B279</t>
  </si>
  <si>
    <t>T399</t>
  </si>
  <si>
    <t>X4000</t>
  </si>
  <si>
    <t>Q273</t>
  </si>
  <si>
    <t>S0641</t>
  </si>
  <si>
    <t>V4761,S0600</t>
  </si>
  <si>
    <t>I10</t>
  </si>
  <si>
    <t>D168</t>
  </si>
  <si>
    <t>D162,D62</t>
  </si>
  <si>
    <t>Y1520</t>
  </si>
  <si>
    <t>Y1501,U6975</t>
  </si>
  <si>
    <t>R290</t>
  </si>
  <si>
    <t>R064</t>
  </si>
  <si>
    <t>M2322</t>
  </si>
  <si>
    <t>F109</t>
  </si>
  <si>
    <t>G020</t>
  </si>
  <si>
    <t>A870</t>
  </si>
  <si>
    <t>K509</t>
  </si>
  <si>
    <t>N048,U6975</t>
  </si>
  <si>
    <t>N059</t>
  </si>
  <si>
    <t>F981</t>
  </si>
  <si>
    <t>K602</t>
  </si>
  <si>
    <t>W5000,U6975</t>
  </si>
  <si>
    <t>N369</t>
  </si>
  <si>
    <t>A021</t>
  </si>
  <si>
    <t>R291,E86,R392</t>
  </si>
  <si>
    <t>H186</t>
  </si>
  <si>
    <t>L600</t>
  </si>
  <si>
    <t>S5241</t>
  </si>
  <si>
    <t>W0180</t>
  </si>
  <si>
    <t>S5221</t>
  </si>
  <si>
    <t>W0101,S5241,W1999</t>
  </si>
  <si>
    <t>G440</t>
  </si>
  <si>
    <t>K519,A080</t>
  </si>
  <si>
    <t>K519</t>
  </si>
  <si>
    <t>S300</t>
  </si>
  <si>
    <t>V2931</t>
  </si>
  <si>
    <t>G510</t>
  </si>
  <si>
    <t>S711</t>
  </si>
  <si>
    <t>W1900,U6975</t>
  </si>
  <si>
    <t>N44</t>
  </si>
  <si>
    <t>M2410</t>
  </si>
  <si>
    <t>G800</t>
  </si>
  <si>
    <t>I878</t>
  </si>
  <si>
    <t>W0199,S835</t>
  </si>
  <si>
    <t>N481,U6975,E86</t>
  </si>
  <si>
    <t>K291</t>
  </si>
  <si>
    <t>U6975,E86</t>
  </si>
  <si>
    <t>K222</t>
  </si>
  <si>
    <t>T181</t>
  </si>
  <si>
    <t>W4901</t>
  </si>
  <si>
    <t>J351</t>
  </si>
  <si>
    <t>S3600</t>
  </si>
  <si>
    <t>V1801,S301</t>
  </si>
  <si>
    <t>M0005</t>
  </si>
  <si>
    <t>A410</t>
  </si>
  <si>
    <t>F928</t>
  </si>
  <si>
    <t>C835</t>
  </si>
  <si>
    <t>Z511</t>
  </si>
  <si>
    <t>Z452,D70,D684,Y433,J91,J9609</t>
  </si>
  <si>
    <t>V1801</t>
  </si>
  <si>
    <t>L400</t>
  </si>
  <si>
    <t>R631</t>
  </si>
  <si>
    <t>B002</t>
  </si>
  <si>
    <t>H722</t>
  </si>
  <si>
    <t>W1991</t>
  </si>
  <si>
    <t>T810,D62</t>
  </si>
  <si>
    <t>K805</t>
  </si>
  <si>
    <t>K297</t>
  </si>
  <si>
    <t>E86,U6975</t>
  </si>
  <si>
    <t>K040</t>
  </si>
  <si>
    <t>U6975,N390</t>
  </si>
  <si>
    <t>J341</t>
  </si>
  <si>
    <t>M2415</t>
  </si>
  <si>
    <t>M1395</t>
  </si>
  <si>
    <t>S311</t>
  </si>
  <si>
    <t>W2600,U6975</t>
  </si>
  <si>
    <t>S9240</t>
  </si>
  <si>
    <t>W2281</t>
  </si>
  <si>
    <t>G400</t>
  </si>
  <si>
    <t>K590</t>
  </si>
  <si>
    <t>Q431</t>
  </si>
  <si>
    <t>M930</t>
  </si>
  <si>
    <t>K500</t>
  </si>
  <si>
    <t>A045,U6975</t>
  </si>
  <si>
    <t>K291,B980</t>
  </si>
  <si>
    <t>S9250</t>
  </si>
  <si>
    <t>W2200</t>
  </si>
  <si>
    <t>S8220</t>
  </si>
  <si>
    <t>W0000</t>
  </si>
  <si>
    <t>R101</t>
  </si>
  <si>
    <t>I880</t>
  </si>
  <si>
    <t>T814</t>
  </si>
  <si>
    <t>Y839,U821,Z290,B956</t>
  </si>
  <si>
    <t>S5230</t>
  </si>
  <si>
    <t>Y0481,U6975</t>
  </si>
  <si>
    <t>M0095</t>
  </si>
  <si>
    <t>E343</t>
  </si>
  <si>
    <t>V1981,S008,U6975</t>
  </si>
  <si>
    <t>W5020</t>
  </si>
  <si>
    <t>I748</t>
  </si>
  <si>
    <t>U6975,I808,I828</t>
  </si>
  <si>
    <t>M2586</t>
  </si>
  <si>
    <t>K121</t>
  </si>
  <si>
    <t>U6975,H162</t>
  </si>
  <si>
    <t>K858</t>
  </si>
  <si>
    <t>K863</t>
  </si>
  <si>
    <t>W1999,W0181</t>
  </si>
  <si>
    <t>E232</t>
  </si>
  <si>
    <t>J069</t>
  </si>
  <si>
    <t>K802</t>
  </si>
  <si>
    <t>S8250</t>
  </si>
  <si>
    <t>N832,K661,U6975</t>
  </si>
  <si>
    <t>U6975,N832</t>
  </si>
  <si>
    <t>G723</t>
  </si>
  <si>
    <t>R55,U6975</t>
  </si>
  <si>
    <t>G918</t>
  </si>
  <si>
    <t>C710</t>
  </si>
  <si>
    <t>C710,G910</t>
  </si>
  <si>
    <t>L509</t>
  </si>
  <si>
    <t>J988</t>
  </si>
  <si>
    <t>E86,A020</t>
  </si>
  <si>
    <t>S000</t>
  </si>
  <si>
    <t>W0109</t>
  </si>
  <si>
    <t>N183</t>
  </si>
  <si>
    <t>N085,M313</t>
  </si>
  <si>
    <t>S4220</t>
  </si>
  <si>
    <t>V0311,U6975,S0200,F709</t>
  </si>
  <si>
    <t>D580</t>
  </si>
  <si>
    <t>N831</t>
  </si>
  <si>
    <t>H662</t>
  </si>
  <si>
    <t>S831</t>
  </si>
  <si>
    <t>W0100,U6975</t>
  </si>
  <si>
    <t>D160</t>
  </si>
  <si>
    <t>A090</t>
  </si>
  <si>
    <t>F453</t>
  </si>
  <si>
    <t>U6975,R55</t>
  </si>
  <si>
    <t>S4270</t>
  </si>
  <si>
    <t>H521</t>
  </si>
  <si>
    <t>H502</t>
  </si>
  <si>
    <t>H71</t>
  </si>
  <si>
    <t>E740</t>
  </si>
  <si>
    <t>J9601</t>
  </si>
  <si>
    <t>E740,Z431,Z430,J938,U6975</t>
  </si>
  <si>
    <t>J9699</t>
  </si>
  <si>
    <t>J151,J153,E740,B852,Z998</t>
  </si>
  <si>
    <t>Y0491</t>
  </si>
  <si>
    <t>K352</t>
  </si>
  <si>
    <t>K36</t>
  </si>
  <si>
    <t>K429</t>
  </si>
  <si>
    <t>W0290</t>
  </si>
  <si>
    <t>K900,U6975</t>
  </si>
  <si>
    <t>S0601</t>
  </si>
  <si>
    <t>V1721</t>
  </si>
  <si>
    <t>C811</t>
  </si>
  <si>
    <t>Z511,Z452</t>
  </si>
  <si>
    <t>S5290</t>
  </si>
  <si>
    <t>W0101</t>
  </si>
  <si>
    <t>Q659</t>
  </si>
  <si>
    <t>J353</t>
  </si>
  <si>
    <t>Z538</t>
  </si>
  <si>
    <t>Q531</t>
  </si>
  <si>
    <t>N47,N359</t>
  </si>
  <si>
    <t>T189</t>
  </si>
  <si>
    <t>W8001</t>
  </si>
  <si>
    <t>I781</t>
  </si>
  <si>
    <t>B348</t>
  </si>
  <si>
    <t>H540,F798</t>
  </si>
  <si>
    <t>E104</t>
  </si>
  <si>
    <t>K090</t>
  </si>
  <si>
    <t>N835</t>
  </si>
  <si>
    <t>N701</t>
  </si>
  <si>
    <t>H534</t>
  </si>
  <si>
    <t>Z451</t>
  </si>
  <si>
    <t>S7290</t>
  </si>
  <si>
    <t>W1700,U6975</t>
  </si>
  <si>
    <t>J40</t>
  </si>
  <si>
    <t>G403</t>
  </si>
  <si>
    <t>W0198</t>
  </si>
  <si>
    <t>F445</t>
  </si>
  <si>
    <t>U071,E86,B80,Z290</t>
  </si>
  <si>
    <t>R103</t>
  </si>
  <si>
    <t>Y2801,W0181</t>
  </si>
  <si>
    <t>L270</t>
  </si>
  <si>
    <t>Y466,U6975,T887,K818</t>
  </si>
  <si>
    <t>W4410</t>
  </si>
  <si>
    <t>N23</t>
  </si>
  <si>
    <t>K631</t>
  </si>
  <si>
    <t>K567,L089</t>
  </si>
  <si>
    <t>D377</t>
  </si>
  <si>
    <t>J459,U6975,K648</t>
  </si>
  <si>
    <t>V1141</t>
  </si>
  <si>
    <t>T140</t>
  </si>
  <si>
    <t>W0129,U6975</t>
  </si>
  <si>
    <t>W0200</t>
  </si>
  <si>
    <t>S2730</t>
  </si>
  <si>
    <t>W1791,S300,S2240</t>
  </si>
  <si>
    <t>W0981</t>
  </si>
  <si>
    <t>V1741</t>
  </si>
  <si>
    <t>E804,R161</t>
  </si>
  <si>
    <t>S101</t>
  </si>
  <si>
    <t>W0199,S008,S800,U6975</t>
  </si>
  <si>
    <t>T594</t>
  </si>
  <si>
    <t>W8400</t>
  </si>
  <si>
    <t>B980,K296</t>
  </si>
  <si>
    <t>C810</t>
  </si>
  <si>
    <t>H958</t>
  </si>
  <si>
    <t>K221</t>
  </si>
  <si>
    <t>K20</t>
  </si>
  <si>
    <t>W0191,U6975</t>
  </si>
  <si>
    <t>W2181</t>
  </si>
  <si>
    <t>S3610</t>
  </si>
  <si>
    <t>W0241,U6975</t>
  </si>
  <si>
    <t>D163</t>
  </si>
  <si>
    <t>M8597</t>
  </si>
  <si>
    <t>N830</t>
  </si>
  <si>
    <t>D62</t>
  </si>
  <si>
    <t>N921</t>
  </si>
  <si>
    <t>W0111,U6975</t>
  </si>
  <si>
    <t>H471</t>
  </si>
  <si>
    <t>G932</t>
  </si>
  <si>
    <t>W1101,U6975</t>
  </si>
  <si>
    <t>M0296</t>
  </si>
  <si>
    <t>H701</t>
  </si>
  <si>
    <t>H741,H001</t>
  </si>
  <si>
    <t>W0041,U6975</t>
  </si>
  <si>
    <t>K564</t>
  </si>
  <si>
    <t>H742</t>
  </si>
  <si>
    <t>V0311,S2730,S0241</t>
  </si>
  <si>
    <t>H519</t>
  </si>
  <si>
    <t>H738</t>
  </si>
  <si>
    <t>H663</t>
  </si>
  <si>
    <t>S0240</t>
  </si>
  <si>
    <t>V1801,S032</t>
  </si>
  <si>
    <t>V2890</t>
  </si>
  <si>
    <t>K565</t>
  </si>
  <si>
    <t>Q431,D210,J952,D684</t>
  </si>
  <si>
    <t>A099</t>
  </si>
  <si>
    <t>U6975,Q765</t>
  </si>
  <si>
    <t>R040</t>
  </si>
  <si>
    <t>W5030,U6975</t>
  </si>
  <si>
    <t>K561</t>
  </si>
  <si>
    <t>D180</t>
  </si>
  <si>
    <t>Q541</t>
  </si>
  <si>
    <t>N360</t>
  </si>
  <si>
    <t>L022</t>
  </si>
  <si>
    <t>Q644,K429</t>
  </si>
  <si>
    <t>K116</t>
  </si>
  <si>
    <t>A020</t>
  </si>
  <si>
    <t>Q660</t>
  </si>
  <si>
    <t>M2127</t>
  </si>
  <si>
    <t>W1999,S8230</t>
  </si>
  <si>
    <t>S8230</t>
  </si>
  <si>
    <t>W1701</t>
  </si>
  <si>
    <t>N762</t>
  </si>
  <si>
    <t>S5210</t>
  </si>
  <si>
    <t>W0109,U6975,S531</t>
  </si>
  <si>
    <t>M321</t>
  </si>
  <si>
    <t>N085</t>
  </si>
  <si>
    <t>I159,N164,M321</t>
  </si>
  <si>
    <t>T439</t>
  </si>
  <si>
    <t>X4401</t>
  </si>
  <si>
    <t>N911,U6975,J301</t>
  </si>
  <si>
    <t>J869,T802,B957,G800,F731,G404</t>
  </si>
  <si>
    <t>J160,U109</t>
  </si>
  <si>
    <t>W1999,W0101</t>
  </si>
  <si>
    <t>H741</t>
  </si>
  <si>
    <t>N394</t>
  </si>
  <si>
    <t>Q627</t>
  </si>
  <si>
    <t>H740</t>
  </si>
  <si>
    <t>H652</t>
  </si>
  <si>
    <t>H906</t>
  </si>
  <si>
    <t>K508,E86</t>
  </si>
  <si>
    <t>R451</t>
  </si>
  <si>
    <t>T018</t>
  </si>
  <si>
    <t>W5481,U6975</t>
  </si>
  <si>
    <t>H022,U6975</t>
  </si>
  <si>
    <t>S010</t>
  </si>
  <si>
    <t>W2221</t>
  </si>
  <si>
    <t>T847</t>
  </si>
  <si>
    <t>Y883,R263,Z470,Q780,B956</t>
  </si>
  <si>
    <t>C719</t>
  </si>
  <si>
    <t>Z290,G003,G978,R470,U821</t>
  </si>
  <si>
    <t>Z886,U6975</t>
  </si>
  <si>
    <t>J343</t>
  </si>
  <si>
    <t>J302,J450</t>
  </si>
  <si>
    <t>U6975,F959</t>
  </si>
  <si>
    <t>T58</t>
  </si>
  <si>
    <t>X4710,U071,J028</t>
  </si>
  <si>
    <t>S5251</t>
  </si>
  <si>
    <t>Y2900,W1999</t>
  </si>
  <si>
    <t>J010</t>
  </si>
  <si>
    <t>C719,R32,H540,U6975</t>
  </si>
  <si>
    <t>N359</t>
  </si>
  <si>
    <t>W0981,U6975</t>
  </si>
  <si>
    <t>R11</t>
  </si>
  <si>
    <t>G808</t>
  </si>
  <si>
    <t>S0200</t>
  </si>
  <si>
    <t>M2186</t>
  </si>
  <si>
    <t>S913</t>
  </si>
  <si>
    <t>Y2801</t>
  </si>
  <si>
    <t>M7666</t>
  </si>
  <si>
    <t>E050</t>
  </si>
  <si>
    <t>J848</t>
  </si>
  <si>
    <t>H508</t>
  </si>
  <si>
    <t>D680</t>
  </si>
  <si>
    <t>M4850</t>
  </si>
  <si>
    <t>A748</t>
  </si>
  <si>
    <t>R502,Y547</t>
  </si>
  <si>
    <t>R31</t>
  </si>
  <si>
    <t>K439</t>
  </si>
  <si>
    <t>K919</t>
  </si>
  <si>
    <t>L021</t>
  </si>
  <si>
    <t>B850</t>
  </si>
  <si>
    <t>B962,U6975</t>
  </si>
  <si>
    <t>S6220</t>
  </si>
  <si>
    <t>W0101,S000,U6975</t>
  </si>
  <si>
    <t>M0810</t>
  </si>
  <si>
    <t>U6975,A045,B379</t>
  </si>
  <si>
    <t>M0890</t>
  </si>
  <si>
    <t>H168,K508</t>
  </si>
  <si>
    <t>S5200</t>
  </si>
  <si>
    <t>W0191,S4240</t>
  </si>
  <si>
    <t>U109,R571,U6975</t>
  </si>
  <si>
    <t>H653</t>
  </si>
  <si>
    <t>J00,Z530</t>
  </si>
  <si>
    <t>W1490</t>
  </si>
  <si>
    <t>G800,G400,E86</t>
  </si>
  <si>
    <t>S2700</t>
  </si>
  <si>
    <t>W1940</t>
  </si>
  <si>
    <t>W0109,U6975</t>
  </si>
  <si>
    <t>S301</t>
  </si>
  <si>
    <t>V4999</t>
  </si>
  <si>
    <t>K560,U071,Z290</t>
  </si>
  <si>
    <t>A084</t>
  </si>
  <si>
    <t>W0191</t>
  </si>
  <si>
    <t>T179</t>
  </si>
  <si>
    <t>W8000</t>
  </si>
  <si>
    <t>I330</t>
  </si>
  <si>
    <t>M8605,E760,U6975,B956,Q233</t>
  </si>
  <si>
    <t>Q175</t>
  </si>
  <si>
    <t>J029</t>
  </si>
  <si>
    <t>U6975,B974</t>
  </si>
  <si>
    <t>W9999,K36,T182,K561</t>
  </si>
  <si>
    <t>W1000</t>
  </si>
  <si>
    <t>G405</t>
  </si>
  <si>
    <t>N138</t>
  </si>
  <si>
    <t>Q627,N390</t>
  </si>
  <si>
    <t>H353</t>
  </si>
  <si>
    <t>U6975,Z290</t>
  </si>
  <si>
    <t>W1000,T928</t>
  </si>
  <si>
    <t>Z431</t>
  </si>
  <si>
    <t>G800,G404,F731</t>
  </si>
  <si>
    <t>G972</t>
  </si>
  <si>
    <t>G911,J189,Z968</t>
  </si>
  <si>
    <t>U6975,A692</t>
  </si>
  <si>
    <t>S118</t>
  </si>
  <si>
    <t>W5401</t>
  </si>
  <si>
    <t>J209</t>
  </si>
  <si>
    <t>H532</t>
  </si>
  <si>
    <t>H520,H522</t>
  </si>
  <si>
    <t>F721,F840,U6975</t>
  </si>
  <si>
    <t>G931</t>
  </si>
  <si>
    <t>H660,Z431,F069,G938</t>
  </si>
  <si>
    <t>T751,W7398,H681,T68,J9601,G931</t>
  </si>
  <si>
    <t>X4509,U6975</t>
  </si>
  <si>
    <t>C837</t>
  </si>
  <si>
    <t>A411</t>
  </si>
  <si>
    <t>C837,D70,K123,D648,Z290,Z511</t>
  </si>
  <si>
    <t>D70,A419,K122,D630</t>
  </si>
  <si>
    <t>Z511,K123,I158,Z452</t>
  </si>
  <si>
    <t>D70,A047,D611,Y433,U6975</t>
  </si>
  <si>
    <t>D695</t>
  </si>
  <si>
    <t>D62,Y433,C837,R040</t>
  </si>
  <si>
    <t>D70</t>
  </si>
  <si>
    <t>C837,A080,Z290</t>
  </si>
  <si>
    <t>R628</t>
  </si>
  <si>
    <t>E669</t>
  </si>
  <si>
    <t>K046</t>
  </si>
  <si>
    <t>K022</t>
  </si>
  <si>
    <t>S017</t>
  </si>
  <si>
    <t>W5481</t>
  </si>
  <si>
    <t>W1999,S7231</t>
  </si>
  <si>
    <t>S7230</t>
  </si>
  <si>
    <t>G243</t>
  </si>
  <si>
    <t>G801</t>
  </si>
  <si>
    <t>U6975,J459</t>
  </si>
  <si>
    <t>G410</t>
  </si>
  <si>
    <t>J9600,U6975,G403</t>
  </si>
  <si>
    <t>S817</t>
  </si>
  <si>
    <t>H028</t>
  </si>
  <si>
    <t>K861</t>
  </si>
  <si>
    <t>K045</t>
  </si>
  <si>
    <t>N151</t>
  </si>
  <si>
    <t>K528</t>
  </si>
  <si>
    <t>Y899</t>
  </si>
  <si>
    <t>J040</t>
  </si>
  <si>
    <t>A084,U6975</t>
  </si>
  <si>
    <t>J029,Q858,G409,G808</t>
  </si>
  <si>
    <t>U109</t>
  </si>
  <si>
    <t>K920</t>
  </si>
  <si>
    <t>W9909</t>
  </si>
  <si>
    <t>Z530</t>
  </si>
  <si>
    <t>S0220</t>
  </si>
  <si>
    <t>W2080</t>
  </si>
  <si>
    <t>K830</t>
  </si>
  <si>
    <t>J310</t>
  </si>
  <si>
    <t>R628,U6975</t>
  </si>
  <si>
    <t>H950</t>
  </si>
  <si>
    <t>Q178</t>
  </si>
  <si>
    <t>U071,E86</t>
  </si>
  <si>
    <t>J042</t>
  </si>
  <si>
    <t>W8001,U6975</t>
  </si>
  <si>
    <t>W4401,U6975</t>
  </si>
  <si>
    <t>S500</t>
  </si>
  <si>
    <t>W0910,U6975,S530</t>
  </si>
  <si>
    <t>G419</t>
  </si>
  <si>
    <t>G802,G400,F721</t>
  </si>
  <si>
    <t>Q662</t>
  </si>
  <si>
    <t>W4400</t>
  </si>
  <si>
    <t>K642</t>
  </si>
  <si>
    <t>K622</t>
  </si>
  <si>
    <t>S681</t>
  </si>
  <si>
    <t>W2701</t>
  </si>
  <si>
    <t>Q381</t>
  </si>
  <si>
    <t>D225</t>
  </si>
  <si>
    <t>D223</t>
  </si>
  <si>
    <t>F959</t>
  </si>
  <si>
    <t>C920</t>
  </si>
  <si>
    <t>D630,D695,Z290,D70</t>
  </si>
  <si>
    <t>V1801,S007,U6975</t>
  </si>
  <si>
    <t>W1401</t>
  </si>
  <si>
    <t>W0101,Z880</t>
  </si>
  <si>
    <t>B07</t>
  </si>
  <si>
    <t>K429,N47</t>
  </si>
  <si>
    <t>H522</t>
  </si>
  <si>
    <t>W9999,S011</t>
  </si>
  <si>
    <t>D320</t>
  </si>
  <si>
    <t>J101</t>
  </si>
  <si>
    <t>U6975,H113,T151,W4499</t>
  </si>
  <si>
    <t>R14</t>
  </si>
  <si>
    <t>A080</t>
  </si>
  <si>
    <t>W1441</t>
  </si>
  <si>
    <t>J9609</t>
  </si>
  <si>
    <t>U6975,H400</t>
  </si>
  <si>
    <t>E86,U6975,E46</t>
  </si>
  <si>
    <t>H900</t>
  </si>
  <si>
    <t>W4401</t>
  </si>
  <si>
    <t>L720</t>
  </si>
  <si>
    <t>Z452</t>
  </si>
  <si>
    <t>C910</t>
  </si>
  <si>
    <t>G620,D630,A415,B961,Z511,D695</t>
  </si>
  <si>
    <t>B259,U6975</t>
  </si>
  <si>
    <t>C910,D611,D695,Y433,U6975</t>
  </si>
  <si>
    <t>E038</t>
  </si>
  <si>
    <t>K420</t>
  </si>
  <si>
    <t>N432</t>
  </si>
  <si>
    <t>Q726</t>
  </si>
  <si>
    <t>J450,U6975</t>
  </si>
  <si>
    <t>F402</t>
  </si>
  <si>
    <t>U6975,K590,R33</t>
  </si>
  <si>
    <t>R104,K561,Q430</t>
  </si>
  <si>
    <t>Q432</t>
  </si>
  <si>
    <t>T172</t>
  </si>
  <si>
    <t>W4409</t>
  </si>
  <si>
    <t>D197</t>
  </si>
  <si>
    <t>V4400,S4220,S8280,U6975</t>
  </si>
  <si>
    <t>J205</t>
  </si>
  <si>
    <t>J152</t>
  </si>
  <si>
    <t>J90</t>
  </si>
  <si>
    <t>D164</t>
  </si>
  <si>
    <t>Z435</t>
  </si>
  <si>
    <t>N133</t>
  </si>
  <si>
    <t>M4362</t>
  </si>
  <si>
    <t>A081</t>
  </si>
  <si>
    <t>Q625,Q626</t>
  </si>
  <si>
    <t>N949</t>
  </si>
  <si>
    <t>C716</t>
  </si>
  <si>
    <t>J952,I958,D62,G941</t>
  </si>
  <si>
    <t>J9600</t>
  </si>
  <si>
    <t>J151,Q355,Q958,F739,G409,Z934</t>
  </si>
  <si>
    <t>L139</t>
  </si>
  <si>
    <t>I888,U6975</t>
  </si>
  <si>
    <t>J00</t>
  </si>
  <si>
    <t>D489</t>
  </si>
  <si>
    <t>Q650</t>
  </si>
  <si>
    <t>R220</t>
  </si>
  <si>
    <t>Q825</t>
  </si>
  <si>
    <t>R270</t>
  </si>
  <si>
    <t>M0820</t>
  </si>
  <si>
    <t>M0828</t>
  </si>
  <si>
    <t>I309</t>
  </si>
  <si>
    <t>B80,U6975</t>
  </si>
  <si>
    <t>N209</t>
  </si>
  <si>
    <t>B003,U6975</t>
  </si>
  <si>
    <t>W0790</t>
  </si>
  <si>
    <t>J189</t>
  </si>
  <si>
    <t>J028</t>
  </si>
  <si>
    <t>U071,Z290,H650</t>
  </si>
  <si>
    <t>J121</t>
  </si>
  <si>
    <t>T171</t>
  </si>
  <si>
    <t>W8001,U071,Z290,J028</t>
  </si>
  <si>
    <t>J160</t>
  </si>
  <si>
    <t>H650,U6975,B001</t>
  </si>
  <si>
    <t>B270</t>
  </si>
  <si>
    <t>D898</t>
  </si>
  <si>
    <t>W0681</t>
  </si>
  <si>
    <t>J157</t>
  </si>
  <si>
    <t>U6975,A748</t>
  </si>
  <si>
    <t>X4710</t>
  </si>
  <si>
    <t>L309,U6975</t>
  </si>
  <si>
    <t>G910</t>
  </si>
  <si>
    <t>R568</t>
  </si>
  <si>
    <t>L050</t>
  </si>
  <si>
    <t>M4388</t>
  </si>
  <si>
    <t>A419</t>
  </si>
  <si>
    <t>R104,E86</t>
  </si>
  <si>
    <t>T232</t>
  </si>
  <si>
    <t>X1100,T212,U6975</t>
  </si>
  <si>
    <t>U6975,N184,Q622,B968</t>
  </si>
  <si>
    <t>R560</t>
  </si>
  <si>
    <t>J00,U6975</t>
  </si>
  <si>
    <t>E160</t>
  </si>
  <si>
    <t>R33</t>
  </si>
  <si>
    <t>J9600,U6975</t>
  </si>
  <si>
    <t>A415</t>
  </si>
  <si>
    <t>K710,U6975,K912,Z958,B968</t>
  </si>
  <si>
    <t>Q431,R629,K768,N182,Z931,T857</t>
  </si>
  <si>
    <t>K044</t>
  </si>
  <si>
    <t>E250,U6975,B974,J029</t>
  </si>
  <si>
    <t>A085</t>
  </si>
  <si>
    <t>Q323</t>
  </si>
  <si>
    <t>W0101,S5250</t>
  </si>
  <si>
    <t>H118</t>
  </si>
  <si>
    <t>Q684</t>
  </si>
  <si>
    <t>T782</t>
  </si>
  <si>
    <t>Y578</t>
  </si>
  <si>
    <t>A080,U6975</t>
  </si>
  <si>
    <t>E86,E162</t>
  </si>
  <si>
    <t>W4429</t>
  </si>
  <si>
    <t>T857,B968,U6975,Z431,E729</t>
  </si>
  <si>
    <t>H608</t>
  </si>
  <si>
    <t>B965,E711,Z934,E86</t>
  </si>
  <si>
    <t>J188</t>
  </si>
  <si>
    <t>E711,J209,H603,G404,F731,U6975</t>
  </si>
  <si>
    <t>J159</t>
  </si>
  <si>
    <t>A401,B951,B965,J952</t>
  </si>
  <si>
    <t>S011</t>
  </si>
  <si>
    <t>W1881,U6975,S008</t>
  </si>
  <si>
    <t>G404,U6975</t>
  </si>
  <si>
    <t>N049</t>
  </si>
  <si>
    <t>I151</t>
  </si>
  <si>
    <t>W8009,U6975</t>
  </si>
  <si>
    <t>U6975,R11</t>
  </si>
  <si>
    <t>A020,U6975</t>
  </si>
  <si>
    <t>X5899,U6975</t>
  </si>
  <si>
    <t>D693</t>
  </si>
  <si>
    <t>S015</t>
  </si>
  <si>
    <t>W6401,U6975</t>
  </si>
  <si>
    <t>Y2801,S610,S661</t>
  </si>
  <si>
    <t>U6975,A020</t>
  </si>
  <si>
    <t>L028</t>
  </si>
  <si>
    <t>B368</t>
  </si>
  <si>
    <t>T542</t>
  </si>
  <si>
    <t>X4901</t>
  </si>
  <si>
    <t>Y3401,Y844,U6975,J698</t>
  </si>
  <si>
    <t>A029</t>
  </si>
  <si>
    <t>U6975,L52</t>
  </si>
  <si>
    <t>N500</t>
  </si>
  <si>
    <t>T608</t>
  </si>
  <si>
    <t>X4801,U6975</t>
  </si>
  <si>
    <t>N319,R33,N390</t>
  </si>
  <si>
    <t>K561,U6975</t>
  </si>
  <si>
    <t>H650</t>
  </si>
  <si>
    <t>T543</t>
  </si>
  <si>
    <t>X4901,U6975,N309</t>
  </si>
  <si>
    <t>R221</t>
  </si>
  <si>
    <t>W7901,U6975</t>
  </si>
  <si>
    <t>N137</t>
  </si>
  <si>
    <t>E871,E86,E440,T868,Z948</t>
  </si>
  <si>
    <t>B374</t>
  </si>
  <si>
    <t>T460</t>
  </si>
  <si>
    <t>X4301</t>
  </si>
  <si>
    <t>M303</t>
  </si>
  <si>
    <t>R21</t>
  </si>
  <si>
    <t>J850,J90,J9601,J210,D648</t>
  </si>
  <si>
    <t>W4901,W8001</t>
  </si>
  <si>
    <t>Y3304</t>
  </si>
  <si>
    <t>U6975,K121</t>
  </si>
  <si>
    <t>J108</t>
  </si>
  <si>
    <t>U6975,B962</t>
  </si>
  <si>
    <t>Q627,B962</t>
  </si>
  <si>
    <t>S314</t>
  </si>
  <si>
    <t>W0931</t>
  </si>
  <si>
    <t>S310</t>
  </si>
  <si>
    <t>S014</t>
  </si>
  <si>
    <t>W2201</t>
  </si>
  <si>
    <t>Z511,Z290,C910,D611,D695</t>
  </si>
  <si>
    <t>D70,Z290,Z511,D611,Y433</t>
  </si>
  <si>
    <t>Z511,I159,D611</t>
  </si>
  <si>
    <t>Z511,Z290,I158,D684,K590,D695</t>
  </si>
  <si>
    <t>D70,D611,Y433,K123,I158</t>
  </si>
  <si>
    <t>Z511,I272,D684,D695</t>
  </si>
  <si>
    <t>D70,D611,Y433,D684,Z290,C910</t>
  </si>
  <si>
    <t>W0199,T885</t>
  </si>
  <si>
    <t>J200</t>
  </si>
  <si>
    <t>J157,U6975</t>
  </si>
  <si>
    <t>N048</t>
  </si>
  <si>
    <t>J069,U6975</t>
  </si>
  <si>
    <t>X4901,U6975</t>
  </si>
  <si>
    <t>H050</t>
  </si>
  <si>
    <t>U6975,J014</t>
  </si>
  <si>
    <t>N390,N138</t>
  </si>
  <si>
    <t>J180</t>
  </si>
  <si>
    <t>J219,U6975</t>
  </si>
  <si>
    <t>E86,E872,Q234</t>
  </si>
  <si>
    <t>W9900,U6975</t>
  </si>
  <si>
    <t>X4319,U6975</t>
  </si>
  <si>
    <t>T528</t>
  </si>
  <si>
    <t>X3911</t>
  </si>
  <si>
    <t>R061</t>
  </si>
  <si>
    <t>G040</t>
  </si>
  <si>
    <t>B002,B370,E86</t>
  </si>
  <si>
    <t>J129,J209</t>
  </si>
  <si>
    <t>E872,E86,U6975</t>
  </si>
  <si>
    <t>W1309</t>
  </si>
  <si>
    <t>C910,D611,D695,Y433,Z511</t>
  </si>
  <si>
    <t>Z452,Z290,K123,U6975,D611,D688</t>
  </si>
  <si>
    <t>C910,Z290,U6975,Y433</t>
  </si>
  <si>
    <t>K593</t>
  </si>
  <si>
    <t>S682</t>
  </si>
  <si>
    <t>W2700</t>
  </si>
  <si>
    <t>H010</t>
  </si>
  <si>
    <t>K403</t>
  </si>
  <si>
    <t>J980</t>
  </si>
  <si>
    <t>B965,U6975,D808</t>
  </si>
  <si>
    <t>L989</t>
  </si>
  <si>
    <t>T446</t>
  </si>
  <si>
    <t>J129</t>
  </si>
  <si>
    <t>J040,U6975</t>
  </si>
  <si>
    <t>R068</t>
  </si>
  <si>
    <t>K650</t>
  </si>
  <si>
    <t>K631,K567,T188</t>
  </si>
  <si>
    <t>Z090</t>
  </si>
  <si>
    <t>U6975,L309,J069</t>
  </si>
  <si>
    <t>S810</t>
  </si>
  <si>
    <t>W2281,W0181,U6975</t>
  </si>
  <si>
    <t>Q690,J00</t>
  </si>
  <si>
    <t>W0131</t>
  </si>
  <si>
    <t>R42</t>
  </si>
  <si>
    <t>W1908</t>
  </si>
  <si>
    <t>W1201</t>
  </si>
  <si>
    <t>T754</t>
  </si>
  <si>
    <t>W8709</t>
  </si>
  <si>
    <t>T182</t>
  </si>
  <si>
    <t>H001</t>
  </si>
  <si>
    <t>H660,U6975</t>
  </si>
  <si>
    <t>I880,U6975</t>
  </si>
  <si>
    <t>M8635</t>
  </si>
  <si>
    <t>T450</t>
  </si>
  <si>
    <t>X4499</t>
  </si>
  <si>
    <t>L032</t>
  </si>
  <si>
    <t>W5401,H010</t>
  </si>
  <si>
    <t>U109,A082</t>
  </si>
  <si>
    <t>A080,U071,Z290,E86</t>
  </si>
  <si>
    <t>L010</t>
  </si>
  <si>
    <t>U6975,B950</t>
  </si>
  <si>
    <t>U6975,K409,E86</t>
  </si>
  <si>
    <t>J188,U6975</t>
  </si>
  <si>
    <t>B349</t>
  </si>
  <si>
    <t>R560,J00</t>
  </si>
  <si>
    <t>B965,U6975</t>
  </si>
  <si>
    <t>Q627,B961,R21,U6975</t>
  </si>
  <si>
    <t>Q188</t>
  </si>
  <si>
    <t>D761</t>
  </si>
  <si>
    <t>U109,U071,A411,J209,Z290,D695</t>
  </si>
  <si>
    <t>Q658</t>
  </si>
  <si>
    <t>L033</t>
  </si>
  <si>
    <t>U6975,B956,B961,U821,Z290</t>
  </si>
  <si>
    <t>Q315</t>
  </si>
  <si>
    <t>Z930,J386</t>
  </si>
  <si>
    <t>G404</t>
  </si>
  <si>
    <t>U6975,J00</t>
  </si>
  <si>
    <t>L239</t>
  </si>
  <si>
    <t>J038,B956,U6975</t>
  </si>
  <si>
    <t>S701</t>
  </si>
  <si>
    <t>W1708,U6975</t>
  </si>
  <si>
    <t>Q622</t>
  </si>
  <si>
    <t>U6975,B348</t>
  </si>
  <si>
    <t>Q622,N138</t>
  </si>
  <si>
    <t>Q627,N138,N12,B374,N47</t>
  </si>
  <si>
    <t>Q627,N47</t>
  </si>
  <si>
    <t>Z435,B968,B374</t>
  </si>
  <si>
    <t>W4401,T808,U6975</t>
  </si>
  <si>
    <t>Q532</t>
  </si>
  <si>
    <t>T212</t>
  </si>
  <si>
    <t>X1109</t>
  </si>
  <si>
    <t>N358,Q541</t>
  </si>
  <si>
    <t>U109,R571</t>
  </si>
  <si>
    <t>N390,B968</t>
  </si>
  <si>
    <t>S7270</t>
  </si>
  <si>
    <t>W0791</t>
  </si>
  <si>
    <t>W8010,J00</t>
  </si>
  <si>
    <t>G930,R402</t>
  </si>
  <si>
    <t>K410</t>
  </si>
  <si>
    <t>L024</t>
  </si>
  <si>
    <t>M7939</t>
  </si>
  <si>
    <t>T183</t>
  </si>
  <si>
    <t>W4499</t>
  </si>
  <si>
    <t>A081,B956,A441</t>
  </si>
  <si>
    <t>R590</t>
  </si>
  <si>
    <t>U6975,A080</t>
  </si>
  <si>
    <t>S009</t>
  </si>
  <si>
    <t>B082</t>
  </si>
  <si>
    <t>T622</t>
  </si>
  <si>
    <t>I422</t>
  </si>
  <si>
    <t>R509</t>
  </si>
  <si>
    <t>N481</t>
  </si>
  <si>
    <t>J219</t>
  </si>
  <si>
    <t>C710,Q909</t>
  </si>
  <si>
    <t>Q909,D695,D630</t>
  </si>
  <si>
    <t>L089</t>
  </si>
  <si>
    <t>W0101,K121,U6975</t>
  </si>
  <si>
    <t>W0189,U6975</t>
  </si>
  <si>
    <t>Q642</t>
  </si>
  <si>
    <t>U6975,B965</t>
  </si>
  <si>
    <t>E872,E86,Z290,B019</t>
  </si>
  <si>
    <t>P071</t>
  </si>
  <si>
    <t>P220,P271,P590,P612,P236</t>
  </si>
  <si>
    <t>F</t>
  </si>
  <si>
    <t>P220,P271</t>
  </si>
  <si>
    <t>T230</t>
  </si>
  <si>
    <t>X1201,H660</t>
  </si>
  <si>
    <t>A749</t>
  </si>
  <si>
    <t>E888,E86</t>
  </si>
  <si>
    <t>B962,E728</t>
  </si>
  <si>
    <t>U6975,E728</t>
  </si>
  <si>
    <t>P371</t>
  </si>
  <si>
    <t>P073</t>
  </si>
  <si>
    <t>P220,P590,P520</t>
  </si>
  <si>
    <t>R629</t>
  </si>
  <si>
    <t>P220,P590,P612,P520</t>
  </si>
  <si>
    <t>S0660</t>
  </si>
  <si>
    <t>Y3499,D62,T741</t>
  </si>
  <si>
    <t>P612</t>
  </si>
  <si>
    <t>K429,U6975</t>
  </si>
  <si>
    <t>P284,P590,Z380</t>
  </si>
  <si>
    <t>I880,B80</t>
  </si>
  <si>
    <t>Z038</t>
  </si>
  <si>
    <t>J9699,J180,G911,R068,Q046</t>
  </si>
  <si>
    <t>B258,U6975</t>
  </si>
  <si>
    <t>G404,F729,G800,F509,Z930</t>
  </si>
  <si>
    <t>D361</t>
  </si>
  <si>
    <t>H669</t>
  </si>
  <si>
    <t>U6975,E86,K121</t>
  </si>
  <si>
    <t>Q651</t>
  </si>
  <si>
    <t>B968,Q627,L089</t>
  </si>
  <si>
    <t>N300</t>
  </si>
  <si>
    <t>U6975,Z290,E45</t>
  </si>
  <si>
    <t>W0300,U6975</t>
  </si>
  <si>
    <t>U6975,J209</t>
  </si>
  <si>
    <t>Z048</t>
  </si>
  <si>
    <t>U6975,N835</t>
  </si>
  <si>
    <t>W0609,U6975</t>
  </si>
  <si>
    <t>B962,Q625</t>
  </si>
  <si>
    <t>S0280</t>
  </si>
  <si>
    <t>H660</t>
  </si>
  <si>
    <t>H660,E86,Z290</t>
  </si>
  <si>
    <t>Q620,Q625</t>
  </si>
  <si>
    <t>U6975,D70</t>
  </si>
  <si>
    <t>Q626,N138,B961,N390</t>
  </si>
  <si>
    <t>U6975,J069,Q070</t>
  </si>
  <si>
    <t>W0690</t>
  </si>
  <si>
    <t>G406</t>
  </si>
  <si>
    <t>U071,J068</t>
  </si>
  <si>
    <t>P590</t>
  </si>
  <si>
    <t>P916</t>
  </si>
  <si>
    <t>P90,P239,R629,P120,P210</t>
  </si>
  <si>
    <t>Z380</t>
  </si>
  <si>
    <t>Z762</t>
  </si>
  <si>
    <t>P369,P221</t>
  </si>
  <si>
    <t>P599</t>
  </si>
  <si>
    <t>P220,P590,P391,P072</t>
  </si>
  <si>
    <t>P550</t>
  </si>
  <si>
    <t>P290,P291,P252,P60</t>
  </si>
  <si>
    <t>P544,P925,P831,P589</t>
  </si>
  <si>
    <t>P211</t>
  </si>
  <si>
    <t>W0409,U6975</t>
  </si>
  <si>
    <t>N298</t>
  </si>
  <si>
    <t>E835,E673,N390,E86</t>
  </si>
  <si>
    <t>P769</t>
  </si>
  <si>
    <t>U071,Q431,Z290,A083</t>
  </si>
  <si>
    <t>K611</t>
  </si>
  <si>
    <t>P589</t>
  </si>
  <si>
    <t>P360</t>
  </si>
  <si>
    <t>P925</t>
  </si>
  <si>
    <t>R934</t>
  </si>
  <si>
    <t>J156</t>
  </si>
  <si>
    <t>U6975,E840,Z258</t>
  </si>
  <si>
    <t>P220</t>
  </si>
  <si>
    <t>P073,P369,P590</t>
  </si>
  <si>
    <t>R010,P925,P121,Z380</t>
  </si>
  <si>
    <t>P369,P590,P120,P220,P391</t>
  </si>
  <si>
    <t>R010</t>
  </si>
  <si>
    <t>P590,P520,P071</t>
  </si>
  <si>
    <t>P369</t>
  </si>
  <si>
    <t>P071,P220,P590</t>
  </si>
  <si>
    <t>P369,Z383</t>
  </si>
  <si>
    <t>P704</t>
  </si>
  <si>
    <t>P929,P153</t>
  </si>
  <si>
    <t>P210,P285,P299,P590,P073,P60</t>
  </si>
  <si>
    <t>P369,P590,P073</t>
  </si>
  <si>
    <t>P070</t>
  </si>
  <si>
    <t>P220,P271,H351,P590,P284,Z383</t>
  </si>
  <si>
    <t>K610</t>
  </si>
  <si>
    <t>B952,B968</t>
  </si>
  <si>
    <t>K112</t>
  </si>
  <si>
    <t>U6975,B956,E86</t>
  </si>
  <si>
    <t>P590,P073</t>
  </si>
  <si>
    <t>P134,P120,P140</t>
  </si>
  <si>
    <t>E871,E86,B962,U6975</t>
  </si>
  <si>
    <t>P831</t>
  </si>
  <si>
    <t>R948</t>
  </si>
  <si>
    <t>R948,P831</t>
  </si>
  <si>
    <t>P369,P590,P831,P073</t>
  </si>
  <si>
    <t>P120</t>
  </si>
  <si>
    <t>Q690</t>
  </si>
  <si>
    <t>J210</t>
  </si>
  <si>
    <t>Q704</t>
  </si>
  <si>
    <t>P050</t>
  </si>
  <si>
    <t>P599,Q699,Z380</t>
  </si>
  <si>
    <t>Z383,P220,P590</t>
  </si>
  <si>
    <t>T269</t>
  </si>
  <si>
    <t>X4581,U071</t>
  </si>
  <si>
    <t>P220,P590,Z383</t>
  </si>
  <si>
    <t>Z383,P220,P590,P925</t>
  </si>
  <si>
    <t>P551</t>
  </si>
  <si>
    <t>P590,P610,R010,P073</t>
  </si>
  <si>
    <t>L030</t>
  </si>
  <si>
    <t>P220,P590,P718,R010,P073,P612</t>
  </si>
  <si>
    <t>P929,P592</t>
  </si>
  <si>
    <t>P590,P520</t>
  </si>
  <si>
    <t>P221,P369,P611,P073,P590,P700</t>
  </si>
  <si>
    <t>P831,L304</t>
  </si>
  <si>
    <t>P590,L304,P831</t>
  </si>
  <si>
    <t>P050,P228</t>
  </si>
  <si>
    <t>Z430</t>
  </si>
  <si>
    <t>P916,J9619</t>
  </si>
  <si>
    <t>Q210,P293,P073</t>
  </si>
  <si>
    <t>Q221</t>
  </si>
  <si>
    <t>L304</t>
  </si>
  <si>
    <t>Z036</t>
  </si>
  <si>
    <t>P610</t>
  </si>
  <si>
    <t>A564,U6975</t>
  </si>
  <si>
    <t>P592</t>
  </si>
  <si>
    <t>Z383</t>
  </si>
  <si>
    <t>P220,P251,P271,P369,H351,P290</t>
  </si>
  <si>
    <t>D649</t>
  </si>
  <si>
    <t>P080,P599</t>
  </si>
  <si>
    <t>S0690</t>
  </si>
  <si>
    <t>P129,P925,R948</t>
  </si>
  <si>
    <t>P831,P551</t>
  </si>
  <si>
    <t>P121,P925</t>
  </si>
  <si>
    <t>P080</t>
  </si>
  <si>
    <t>J210,U6975</t>
  </si>
  <si>
    <t>P220,P590</t>
  </si>
  <si>
    <t>P590,Z383,P220,P612</t>
  </si>
  <si>
    <t>P073,P590,P220</t>
  </si>
  <si>
    <t>P590,P925</t>
  </si>
  <si>
    <t>P590,P284,P925</t>
  </si>
  <si>
    <t>P925,P211</t>
  </si>
  <si>
    <t>P073,P590</t>
  </si>
  <si>
    <t>P211,P220,P590</t>
  </si>
  <si>
    <t>P073,P925</t>
  </si>
  <si>
    <t>Q620,Z435,B965</t>
  </si>
  <si>
    <t>P590,P369,P221,Z383</t>
  </si>
  <si>
    <t>Z383,P221,P369</t>
  </si>
  <si>
    <t>H105</t>
  </si>
  <si>
    <t>H045,B965</t>
  </si>
  <si>
    <t>P590,P925,Z383,P369</t>
  </si>
  <si>
    <t>P925,P599</t>
  </si>
  <si>
    <t>Q627,U6975</t>
  </si>
  <si>
    <t>U6975,B962,J00</t>
  </si>
  <si>
    <t>P220,P612,P708,H351,P925</t>
  </si>
  <si>
    <t>P121</t>
  </si>
  <si>
    <t>P220,P701,Q210,P073,P961</t>
  </si>
  <si>
    <t>P599,R948</t>
  </si>
  <si>
    <t>P120,H024,P590,Z380</t>
  </si>
  <si>
    <t>P240,I270,P228,P369,Q210</t>
  </si>
  <si>
    <t>E86,B962,U6975</t>
  </si>
  <si>
    <t>P072</t>
  </si>
  <si>
    <t>P073,P590,P391</t>
  </si>
  <si>
    <t>P220,P073,P590</t>
  </si>
  <si>
    <t>P590,P708</t>
  </si>
  <si>
    <t>P598</t>
  </si>
  <si>
    <t>K922</t>
  </si>
  <si>
    <t>P052</t>
  </si>
  <si>
    <t>S003</t>
  </si>
  <si>
    <t>W2281,J00</t>
  </si>
  <si>
    <t>W7901</t>
  </si>
  <si>
    <t>P391</t>
  </si>
  <si>
    <t>N136,D62,Q622,E86,Z436</t>
  </si>
  <si>
    <t>P228,P614</t>
  </si>
  <si>
    <t>Q622,P073</t>
  </si>
  <si>
    <t>P369,P580</t>
  </si>
  <si>
    <t>P831,R948</t>
  </si>
  <si>
    <t>Z383,P220,P590,P612</t>
  </si>
  <si>
    <t>U6975,N133</t>
  </si>
  <si>
    <t>P134</t>
  </si>
  <si>
    <t>P599,L304</t>
  </si>
  <si>
    <t>P929,P589,P121,R934</t>
  </si>
  <si>
    <t>P211,Z380,P120</t>
  </si>
  <si>
    <t>R011</t>
  </si>
  <si>
    <t>P220,P529,H351,P612,P590</t>
  </si>
  <si>
    <t>R948,P925,P201</t>
  </si>
  <si>
    <t>P220,P590,Z380</t>
  </si>
  <si>
    <t>P210,P220,P250,P522,P369</t>
  </si>
  <si>
    <t>P590,Q210,Z380</t>
  </si>
  <si>
    <t>P289</t>
  </si>
  <si>
    <t>P050,P704</t>
  </si>
  <si>
    <t>Z383,P284,P838</t>
  </si>
  <si>
    <t>P551,R948,P831,P925</t>
  </si>
  <si>
    <t>P835</t>
  </si>
  <si>
    <t>T492</t>
  </si>
  <si>
    <t>P221,P073,P590</t>
  </si>
  <si>
    <t>P073,P221,P590</t>
  </si>
  <si>
    <t>B974,B370,U6975</t>
  </si>
  <si>
    <t>Q391,P220,P369,P072</t>
  </si>
  <si>
    <t>Q391,P369,P612,Q410</t>
  </si>
  <si>
    <t>P831,P925</t>
  </si>
  <si>
    <t>P073,P008,P080,P590,P221,P701</t>
  </si>
  <si>
    <t>P080,R948</t>
  </si>
  <si>
    <t>Q400</t>
  </si>
  <si>
    <t>P700</t>
  </si>
  <si>
    <t>P221,P700</t>
  </si>
  <si>
    <t>R934,P298</t>
  </si>
  <si>
    <t>P120,R934</t>
  </si>
  <si>
    <t>J068</t>
  </si>
  <si>
    <t>P073,P080,P251,P369,P590</t>
  </si>
  <si>
    <t>P221</t>
  </si>
  <si>
    <t>Z768</t>
  </si>
  <si>
    <t>P033,P123,R934</t>
  </si>
  <si>
    <t>U071,P612,P220,P590,B348</t>
  </si>
  <si>
    <t>P251,P073,P369</t>
  </si>
  <si>
    <t>P369,P080,P592</t>
  </si>
  <si>
    <t>P700,P592</t>
  </si>
  <si>
    <t>P599,P080</t>
  </si>
  <si>
    <t>P210</t>
  </si>
  <si>
    <t>Q391</t>
  </si>
  <si>
    <t>Q423,P050,Z380</t>
  </si>
  <si>
    <t>P080,P551</t>
  </si>
  <si>
    <t>Z380,R948</t>
  </si>
  <si>
    <t>P050,P610,P599</t>
  </si>
  <si>
    <t>R934,P121</t>
  </si>
  <si>
    <t>P619</t>
  </si>
  <si>
    <t>P704,P073</t>
  </si>
  <si>
    <t>P121,R948</t>
  </si>
  <si>
    <t>P121,P831</t>
  </si>
  <si>
    <t>R010,P831</t>
  </si>
  <si>
    <t>P90</t>
  </si>
  <si>
    <t>P526,P525</t>
  </si>
  <si>
    <t>P050,P704,P369,P598</t>
  </si>
  <si>
    <t>P551,R010,P831,P925</t>
  </si>
  <si>
    <t>P599,P073</t>
  </si>
  <si>
    <t>P929</t>
  </si>
  <si>
    <t>N288</t>
  </si>
  <si>
    <t>P929,P121</t>
  </si>
  <si>
    <t>P073,P220,P271,P284,P590,P070</t>
  </si>
  <si>
    <t>B343</t>
  </si>
  <si>
    <t>P369,P589,P229</t>
  </si>
  <si>
    <t>P050,P132,P134</t>
  </si>
  <si>
    <t>J9601,U6975</t>
  </si>
  <si>
    <t>P211,P925</t>
  </si>
  <si>
    <t>P050,P220,P590,P363,P612,P072</t>
  </si>
  <si>
    <t>P925,P551</t>
  </si>
  <si>
    <t>P925,P051</t>
  </si>
  <si>
    <t>Z041</t>
  </si>
  <si>
    <t>D100</t>
  </si>
  <si>
    <t>U6975,P220,P239</t>
  </si>
  <si>
    <t>Y0801,U6975,T741</t>
  </si>
  <si>
    <t>P073,P925,P220,P590</t>
  </si>
  <si>
    <t>P052,P073</t>
  </si>
  <si>
    <t>P831,P590,P925</t>
  </si>
  <si>
    <t>L308</t>
  </si>
  <si>
    <t>P520</t>
  </si>
  <si>
    <t>Z380,P590,P073</t>
  </si>
  <si>
    <t>U6975,B968</t>
  </si>
  <si>
    <t>P590,P391</t>
  </si>
  <si>
    <t>P925,P592</t>
  </si>
  <si>
    <t>P071,P590,Z380</t>
  </si>
  <si>
    <t>R011,R934</t>
  </si>
  <si>
    <t>P369,P599,P221</t>
  </si>
  <si>
    <t>P704,P391,P831,P925,P592</t>
  </si>
  <si>
    <t>E722</t>
  </si>
  <si>
    <t>U6975,J121</t>
  </si>
  <si>
    <t>P590,P925,P073</t>
  </si>
  <si>
    <t>P153</t>
  </si>
  <si>
    <t>Q112,Q111,P925,Q040</t>
  </si>
  <si>
    <t>C715</t>
  </si>
  <si>
    <t>G404,G930,J9609,D62,D630</t>
  </si>
  <si>
    <t>P284</t>
  </si>
  <si>
    <t>P229</t>
  </si>
  <si>
    <t>Q511,Q521,Q613,Q422</t>
  </si>
  <si>
    <t>P220,P072,P369,P590,P271,H351</t>
  </si>
  <si>
    <t>Z383,P220,P369,P590,P271,H351</t>
  </si>
  <si>
    <t>P121,P369</t>
  </si>
  <si>
    <t>P831,P121</t>
  </si>
  <si>
    <t>P369,P285,P929</t>
  </si>
  <si>
    <t>P008</t>
  </si>
  <si>
    <t>P590,H351,P271,P612,P363,P220</t>
  </si>
  <si>
    <t>K404</t>
  </si>
  <si>
    <t>P925,R948</t>
  </si>
  <si>
    <t>P052,P209</t>
  </si>
  <si>
    <t>P220,H351,P590,R934,R935</t>
  </si>
  <si>
    <t>Q644,D372</t>
  </si>
  <si>
    <t>J9619,P292,K750,J189,G800</t>
  </si>
  <si>
    <t>Q211,Q210</t>
  </si>
  <si>
    <t>E889</t>
  </si>
  <si>
    <t>E872,I629</t>
  </si>
  <si>
    <t>Z000</t>
  </si>
  <si>
    <t>R011,P831</t>
  </si>
  <si>
    <t>P589,P551</t>
  </si>
  <si>
    <t>P589,P121,P700,P704</t>
  </si>
  <si>
    <t>P831,R011</t>
  </si>
  <si>
    <t>J121,U6975</t>
  </si>
  <si>
    <t>P928</t>
  </si>
  <si>
    <t>P073,P551,P559</t>
  </si>
  <si>
    <t>P551,P590,P073</t>
  </si>
  <si>
    <t>Z381</t>
  </si>
  <si>
    <t>P271,P369,P612,P590,P220</t>
  </si>
  <si>
    <t>K420,Q644</t>
  </si>
  <si>
    <t>P925,P201</t>
  </si>
  <si>
    <t>P583</t>
  </si>
  <si>
    <t>P220,P590,P284,P612</t>
  </si>
  <si>
    <t>P050,P590,Z380</t>
  </si>
  <si>
    <t>R628,P925</t>
  </si>
  <si>
    <t>Q909</t>
  </si>
  <si>
    <t>P220,P590,P925</t>
  </si>
  <si>
    <t>P071,P590,P284</t>
  </si>
  <si>
    <t>Z383,P590,P220</t>
  </si>
  <si>
    <t>P589,P831</t>
  </si>
  <si>
    <t>P599,P925,R934</t>
  </si>
  <si>
    <t>R948,P925</t>
  </si>
  <si>
    <t>R011,P925</t>
  </si>
  <si>
    <t>P393</t>
  </si>
  <si>
    <t>B961</t>
  </si>
  <si>
    <t>Z380,P251,P369,P589,P611</t>
  </si>
  <si>
    <t>P221,P925,P590,P283,P391</t>
  </si>
  <si>
    <t>P368</t>
  </si>
  <si>
    <t>U6975,P284,R001</t>
  </si>
  <si>
    <t>P925,P120</t>
  </si>
  <si>
    <t>P120,P592</t>
  </si>
  <si>
    <t>P220,P369</t>
  </si>
  <si>
    <t>P925,P121</t>
  </si>
  <si>
    <t>P831,P080</t>
  </si>
  <si>
    <t>P080,R011</t>
  </si>
  <si>
    <t>E274</t>
  </si>
  <si>
    <t>U071,N309,E86</t>
  </si>
  <si>
    <t>Z290,U071</t>
  </si>
  <si>
    <t>U071,Z290,E86</t>
  </si>
  <si>
    <t>I634</t>
  </si>
  <si>
    <t>I482,I10,E119,C443,N309</t>
  </si>
  <si>
    <t>I420</t>
  </si>
  <si>
    <t>K625</t>
  </si>
  <si>
    <t>N184,E875,R263,U6975,E785</t>
  </si>
  <si>
    <t>I509</t>
  </si>
  <si>
    <t>N020</t>
  </si>
  <si>
    <t>I258,B968,N189,I272,I351</t>
  </si>
  <si>
    <t>C509</t>
  </si>
  <si>
    <t>I10,I250,I480,E118,Z881</t>
  </si>
  <si>
    <t>I269</t>
  </si>
  <si>
    <t>N183,I259,I252,I489,E119</t>
  </si>
  <si>
    <t>I7020</t>
  </si>
  <si>
    <t>I259,I10</t>
  </si>
  <si>
    <t>I259</t>
  </si>
  <si>
    <t>I350</t>
  </si>
  <si>
    <t>I482,D529,D690</t>
  </si>
  <si>
    <t>A043,B952,K811,I10,F019</t>
  </si>
  <si>
    <t>K831</t>
  </si>
  <si>
    <t>I10,F019,E118,E039</t>
  </si>
  <si>
    <t>I472</t>
  </si>
  <si>
    <t>I442,J938,I259,I350</t>
  </si>
  <si>
    <t>C711</t>
  </si>
  <si>
    <t>G409,I10</t>
  </si>
  <si>
    <t>I442</t>
  </si>
  <si>
    <t>J189,N185</t>
  </si>
  <si>
    <t>C443</t>
  </si>
  <si>
    <t>I10,I259,I489</t>
  </si>
  <si>
    <t>U071,Z290,I250,E119,I10</t>
  </si>
  <si>
    <t>K567</t>
  </si>
  <si>
    <t>N184,N10,D500,I250,I119</t>
  </si>
  <si>
    <t>I742</t>
  </si>
  <si>
    <t>T810,I693,I259,I10,I489</t>
  </si>
  <si>
    <t>W0101,L022,I10,E034,G301,U5121</t>
  </si>
  <si>
    <t>G938,U6975,E118,I258</t>
  </si>
  <si>
    <t>W0181,S7210,I10</t>
  </si>
  <si>
    <t>I441</t>
  </si>
  <si>
    <t>E119,I480</t>
  </si>
  <si>
    <t>I7021</t>
  </si>
  <si>
    <t>E115,I10,I259,I489,E785</t>
  </si>
  <si>
    <t>I472,I259,I350,N390</t>
  </si>
  <si>
    <t>K808</t>
  </si>
  <si>
    <t>K802,I10,E039,U6975</t>
  </si>
  <si>
    <t>I10,E039</t>
  </si>
  <si>
    <t>K801,A099,D648,I10,E039</t>
  </si>
  <si>
    <t>N189,I10</t>
  </si>
  <si>
    <t>U071,Z290,G629,H903,E86</t>
  </si>
  <si>
    <t>I10,I258,I489</t>
  </si>
  <si>
    <t>M159,I672,U072,I259,I489,I10</t>
  </si>
  <si>
    <t>K851,I481,E119,I259</t>
  </si>
  <si>
    <t>C670</t>
  </si>
  <si>
    <t>I350,U6975,C911,E109,I259</t>
  </si>
  <si>
    <t>R572</t>
  </si>
  <si>
    <t>J180,I214,N183,A418,I501</t>
  </si>
  <si>
    <t>T840</t>
  </si>
  <si>
    <t>Y792,I200,N40,I259,U6975</t>
  </si>
  <si>
    <t>I501</t>
  </si>
  <si>
    <t>J189,I259</t>
  </si>
  <si>
    <t>N189,E86,F009,G309,I482</t>
  </si>
  <si>
    <t>I500</t>
  </si>
  <si>
    <t>I489,E86,I10,D638,E785</t>
  </si>
  <si>
    <t>I495</t>
  </si>
  <si>
    <t>I480,I10,E785</t>
  </si>
  <si>
    <t>I480</t>
  </si>
  <si>
    <t>D510,I10,N184,E107,M159,N300</t>
  </si>
  <si>
    <t>I633</t>
  </si>
  <si>
    <t>I10,E782,E119,M5446,G309</t>
  </si>
  <si>
    <t>N111</t>
  </si>
  <si>
    <t>E46,U6975,E876,I10,E119</t>
  </si>
  <si>
    <t>D414</t>
  </si>
  <si>
    <t>C678,I10,E119,B968,G20</t>
  </si>
  <si>
    <t>T848</t>
  </si>
  <si>
    <t>S7210</t>
  </si>
  <si>
    <t>W0180,I10,I258,D62</t>
  </si>
  <si>
    <t>I959</t>
  </si>
  <si>
    <t>I509,N300,I259,I10</t>
  </si>
  <si>
    <t>I210</t>
  </si>
  <si>
    <t>E785,E119,I10</t>
  </si>
  <si>
    <t>C787</t>
  </si>
  <si>
    <t>N189,I489,I10,N200,N300,Z936</t>
  </si>
  <si>
    <t>I469</t>
  </si>
  <si>
    <t>C229,I10,E43,N288</t>
  </si>
  <si>
    <t>E785,I10,I350</t>
  </si>
  <si>
    <t>H341</t>
  </si>
  <si>
    <t>I259,I10,N40</t>
  </si>
  <si>
    <t>E86,N189,U6975,I500,I482</t>
  </si>
  <si>
    <t>U071,Z290,E86,I672,E119</t>
  </si>
  <si>
    <t>J9600,J188,I500,N179,I259</t>
  </si>
  <si>
    <t>C911</t>
  </si>
  <si>
    <t>I269,R509,U6975</t>
  </si>
  <si>
    <t>H82,M8199</t>
  </si>
  <si>
    <t>A46,I259,I10,I482,U6975</t>
  </si>
  <si>
    <t>U071,Z290,I10,N189,E785</t>
  </si>
  <si>
    <t>D649,U071,J128,K228,Z290,F019</t>
  </si>
  <si>
    <t>U6975,I489,I340,J90,N390,U585</t>
  </si>
  <si>
    <t>N309</t>
  </si>
  <si>
    <t>I10,B370</t>
  </si>
  <si>
    <t>F019,E86,I802,U6975,I489,E782</t>
  </si>
  <si>
    <t>I251,I489,F019,I10,E782</t>
  </si>
  <si>
    <t>L893,A047,S7210,W0199,I489</t>
  </si>
  <si>
    <t>S7200</t>
  </si>
  <si>
    <t>W0180,S7210,D683,T0250,G820</t>
  </si>
  <si>
    <t>U071,D648,I10,G218,G308</t>
  </si>
  <si>
    <t>J150</t>
  </si>
  <si>
    <t>I500,I255,I10,R042,K219</t>
  </si>
  <si>
    <t>F019,N300,E86,I10,E117,U5050</t>
  </si>
  <si>
    <t>I351,I340,I10</t>
  </si>
  <si>
    <t>I429</t>
  </si>
  <si>
    <t>I259,I10,E785</t>
  </si>
  <si>
    <t>N138,N201,A418,F019,E039,Z936</t>
  </si>
  <si>
    <t>N10,N201,F019,E86,N179,E039</t>
  </si>
  <si>
    <t>U071,Z290,I10,E119,I480</t>
  </si>
  <si>
    <t>H431,T852,I259,I489</t>
  </si>
  <si>
    <t>J9690,I259,I489</t>
  </si>
  <si>
    <t>I350,I10,E118,D649,U584</t>
  </si>
  <si>
    <t>I480,I10</t>
  </si>
  <si>
    <t>N10,I210,I694,I255</t>
  </si>
  <si>
    <t>I64</t>
  </si>
  <si>
    <t>J9600,J128,U071,I489,N189</t>
  </si>
  <si>
    <t>I10,I7020,E119,J449</t>
  </si>
  <si>
    <t>N178,U071,Z290,J068,J160,H100</t>
  </si>
  <si>
    <t>S3250</t>
  </si>
  <si>
    <t>J441,I500,I10,B953,I482,K210</t>
  </si>
  <si>
    <t>E86,B961,D638,I489,E790</t>
  </si>
  <si>
    <t>I350,I351,Z952,I489</t>
  </si>
  <si>
    <t>J9611</t>
  </si>
  <si>
    <t>I509,I259,I489,F019,N183,J158</t>
  </si>
  <si>
    <t>J9600,N179,G473,I509,F019,I482</t>
  </si>
  <si>
    <t>J180,I259,I489,F019,I10,U586</t>
  </si>
  <si>
    <t>I213</t>
  </si>
  <si>
    <t>I500,U589,I10</t>
  </si>
  <si>
    <t>M5459</t>
  </si>
  <si>
    <t>M169,I481,I10,E789,N189</t>
  </si>
  <si>
    <t>E117,I10,I480,F920</t>
  </si>
  <si>
    <t>W0180,U6975,D683</t>
  </si>
  <si>
    <t>I10,E785,C679,C61,B968</t>
  </si>
  <si>
    <t>C672</t>
  </si>
  <si>
    <t>I269,N40,I10,C61,I258</t>
  </si>
  <si>
    <t>I489,I10,E114,I633</t>
  </si>
  <si>
    <t>I489,I10,E114</t>
  </si>
  <si>
    <t>I214</t>
  </si>
  <si>
    <t>E785,I10,E119</t>
  </si>
  <si>
    <t>I10,N185</t>
  </si>
  <si>
    <t>J182</t>
  </si>
  <si>
    <t>J9600,I500,G301,E119,I251</t>
  </si>
  <si>
    <t>H431</t>
  </si>
  <si>
    <t>H314,H332,I10,U6975</t>
  </si>
  <si>
    <t>K800</t>
  </si>
  <si>
    <t>C240,I10,I7020,K830,E43,U5040</t>
  </si>
  <si>
    <t>K803,I10,E441</t>
  </si>
  <si>
    <t>C240</t>
  </si>
  <si>
    <t>J182,K830,I10,I7020,E440</t>
  </si>
  <si>
    <t>J189,I259,I350</t>
  </si>
  <si>
    <t>I350,I480,J209</t>
  </si>
  <si>
    <t>C444</t>
  </si>
  <si>
    <t>I482,G510,I517,Q619,N433,J952</t>
  </si>
  <si>
    <t>I639</t>
  </si>
  <si>
    <t>F019,I10,E789</t>
  </si>
  <si>
    <t>W1999,D62</t>
  </si>
  <si>
    <t>W0341,D62,I131,N048,N183</t>
  </si>
  <si>
    <t>E86,N178,K573,N10,U071</t>
  </si>
  <si>
    <t>Z488</t>
  </si>
  <si>
    <t>H431,H210,H405</t>
  </si>
  <si>
    <t>I480,I10,N183,E039</t>
  </si>
  <si>
    <t>N300,E871,R001,I259,E039</t>
  </si>
  <si>
    <t>E785,I10,I259</t>
  </si>
  <si>
    <t>I350,E785,I10,I259,I429</t>
  </si>
  <si>
    <t>I500,I251,E785,I10,I499,D638</t>
  </si>
  <si>
    <t>I259,I714,I482,N184</t>
  </si>
  <si>
    <t>E86,E875,N178,G309,E118</t>
  </si>
  <si>
    <t>U099,N390,J450,G35,I10,I258</t>
  </si>
  <si>
    <t>W0681,I442,E108,I10,G301,D62</t>
  </si>
  <si>
    <t>E118,I10,I259,Z988</t>
  </si>
  <si>
    <t>N201</t>
  </si>
  <si>
    <t>E119,J448,I10</t>
  </si>
  <si>
    <t>U6975,G409,I10</t>
  </si>
  <si>
    <t>U071,I500,I489,Z290,E86</t>
  </si>
  <si>
    <t>S009,S0650,D648,E118,I10</t>
  </si>
  <si>
    <t>N178</t>
  </si>
  <si>
    <t>E86,D728,K123,M0580,N182,U6975</t>
  </si>
  <si>
    <t>I482,I10,E119,I252,M8180</t>
  </si>
  <si>
    <t>W1999,S7290,U071,Z290</t>
  </si>
  <si>
    <t>S7240,N342,U5020</t>
  </si>
  <si>
    <t>N189,I10,I516,E785,I252,E789</t>
  </si>
  <si>
    <t>D412</t>
  </si>
  <si>
    <t>N189,I10,E782,Z988,U6975</t>
  </si>
  <si>
    <t>I634,I480,U5020</t>
  </si>
  <si>
    <t>I10,I484,E782</t>
  </si>
  <si>
    <t>C729</t>
  </si>
  <si>
    <t>E785,I10,E119,I259</t>
  </si>
  <si>
    <t>J702</t>
  </si>
  <si>
    <t>I489,I10,E785,E039</t>
  </si>
  <si>
    <t>U071,Z290,E86,I672,B371</t>
  </si>
  <si>
    <t>B962,D649</t>
  </si>
  <si>
    <t>U071,Z290,I500,I482</t>
  </si>
  <si>
    <t>I489,I259,I10,D539,I839</t>
  </si>
  <si>
    <t>E117</t>
  </si>
  <si>
    <t>I7090,I482,I652,I10,N40</t>
  </si>
  <si>
    <t>I484,E785,N179,I10,C509</t>
  </si>
  <si>
    <t>R402</t>
  </si>
  <si>
    <t>G419,U071,Z290,J9600</t>
  </si>
  <si>
    <t>U071,Z228,Z290,I839</t>
  </si>
  <si>
    <t>N179,I259,E108,U6975</t>
  </si>
  <si>
    <t>M8000</t>
  </si>
  <si>
    <t>N390,I482,I350,I10,E785,E441</t>
  </si>
  <si>
    <t>W0101,D62,I10,I872,K802</t>
  </si>
  <si>
    <t>X6081,F018,N184,I10,E039</t>
  </si>
  <si>
    <t>I255,I500,U581,U6975,E039</t>
  </si>
  <si>
    <t>I10,E785,I501</t>
  </si>
  <si>
    <t>E875</t>
  </si>
  <si>
    <t>N183,F229,D510,J849,I10</t>
  </si>
  <si>
    <t>K295</t>
  </si>
  <si>
    <t>K317,D510,U6975,I10,E660</t>
  </si>
  <si>
    <t>I744</t>
  </si>
  <si>
    <t>I10,I743,I259,E785,E039</t>
  </si>
  <si>
    <t>T810,I743</t>
  </si>
  <si>
    <t>J952,A418,I10,E789</t>
  </si>
  <si>
    <t>U071,Z290,I10,E118</t>
  </si>
  <si>
    <t>J189,I495</t>
  </si>
  <si>
    <t>C780</t>
  </si>
  <si>
    <t>N390,K529,F329,I482,I672</t>
  </si>
  <si>
    <t>G629</t>
  </si>
  <si>
    <t>I259,E039,E785,M1995,M5456</t>
  </si>
  <si>
    <t>H024</t>
  </si>
  <si>
    <t>H251,I10,I259,I482,E116,E790</t>
  </si>
  <si>
    <t>H258,I10,I259,I482,E116,E790</t>
  </si>
  <si>
    <t>S0210</t>
  </si>
  <si>
    <t>W1900,I10,E118</t>
  </si>
  <si>
    <t>I672,N300,G20,I10</t>
  </si>
  <si>
    <t>N184,D509,I482,E117</t>
  </si>
  <si>
    <t>B962,Z988,I10,E789</t>
  </si>
  <si>
    <t>R509,C61,I10,B968</t>
  </si>
  <si>
    <t>K649,D696,E440,I10,E86</t>
  </si>
  <si>
    <t>S2240</t>
  </si>
  <si>
    <t>W1999,S2210</t>
  </si>
  <si>
    <t>U071,Z290,I489,I7020,L892</t>
  </si>
  <si>
    <t>I480,E782,I10,E139,N40</t>
  </si>
  <si>
    <t>I340</t>
  </si>
  <si>
    <t>D696,J90,J189,N390,Z223,Z290</t>
  </si>
  <si>
    <t>U071,I482,I251,I058,Z290</t>
  </si>
  <si>
    <t>I340,I489,I251,I10,D469</t>
  </si>
  <si>
    <t>E785,I10,I501,I259</t>
  </si>
  <si>
    <t>I482</t>
  </si>
  <si>
    <t>I340,I259,N183</t>
  </si>
  <si>
    <t>K224</t>
  </si>
  <si>
    <t>F019,B378,U6975,I110,E117</t>
  </si>
  <si>
    <t>U071,Z290,I119,G20</t>
  </si>
  <si>
    <t>U6975,Z511,Z978,I10</t>
  </si>
  <si>
    <t>Z514,I10,D738,I672,K769</t>
  </si>
  <si>
    <t>D738</t>
  </si>
  <si>
    <t>I10,C780,I672,K769,K802</t>
  </si>
  <si>
    <t>J9690</t>
  </si>
  <si>
    <t>J128,I139,G20,U071,E785,Z290</t>
  </si>
  <si>
    <t>C61,E038</t>
  </si>
  <si>
    <t>N139</t>
  </si>
  <si>
    <t>Z850,I10,E109,Z851</t>
  </si>
  <si>
    <t>F019</t>
  </si>
  <si>
    <t>I10,E86,I672,I119,D638</t>
  </si>
  <si>
    <t>I482,I452,E782,N182,I10</t>
  </si>
  <si>
    <t>C549</t>
  </si>
  <si>
    <t>I259,I489,I10</t>
  </si>
  <si>
    <t>Z530,D509</t>
  </si>
  <si>
    <t>N950</t>
  </si>
  <si>
    <t>E86,G309,F009,I10</t>
  </si>
  <si>
    <t>I10,E789,E114</t>
  </si>
  <si>
    <t>W0100,J068,U071,I10,E785</t>
  </si>
  <si>
    <t>B351</t>
  </si>
  <si>
    <t>I890,I10,F331,F063,F001,U5111</t>
  </si>
  <si>
    <t>F002</t>
  </si>
  <si>
    <t>G308,N309,M5499,K590,U6975</t>
  </si>
  <si>
    <t>I352</t>
  </si>
  <si>
    <t>I250</t>
  </si>
  <si>
    <t>U099,A047,Z290,I500,I10,E116</t>
  </si>
  <si>
    <t>J128,J9600,U071,Z290,J158,I272</t>
  </si>
  <si>
    <t>I447</t>
  </si>
  <si>
    <t>I259,U072,Z992,N185,I489</t>
  </si>
  <si>
    <t>I10,N183,E782</t>
  </si>
  <si>
    <t>N183,E785,I10</t>
  </si>
  <si>
    <t>J9600,N179,U071,J128,Z290</t>
  </si>
  <si>
    <t>M353</t>
  </si>
  <si>
    <t>I481,N183,D638,M5390,M1090</t>
  </si>
  <si>
    <t>M8090</t>
  </si>
  <si>
    <t>E039,J848</t>
  </si>
  <si>
    <t>M8090,S3200,M5456,E039,U6975</t>
  </si>
  <si>
    <t>I509,N185,D648,Z950,U072</t>
  </si>
  <si>
    <t>M0096</t>
  </si>
  <si>
    <t>M171,I10,M0008,N185,I509,I672</t>
  </si>
  <si>
    <t>D500</t>
  </si>
  <si>
    <t>N10,I119</t>
  </si>
  <si>
    <t>W0190,I119,J180,D62,I839</t>
  </si>
  <si>
    <t>I672</t>
  </si>
  <si>
    <t>H819,I10,I259,E119,I482</t>
  </si>
  <si>
    <t>U071,Z290,E86,F013,J128</t>
  </si>
  <si>
    <t>U071,I10,E119,F320,N300,Z228</t>
  </si>
  <si>
    <t>W1900,J189,I259</t>
  </si>
  <si>
    <t>U583,U071,I482,I110,J410</t>
  </si>
  <si>
    <t>K227</t>
  </si>
  <si>
    <t>I509,I489</t>
  </si>
  <si>
    <t>K562</t>
  </si>
  <si>
    <t>I255</t>
  </si>
  <si>
    <t>E86,N179,E876,D649,U6975</t>
  </si>
  <si>
    <t>I259,I10,E118,N189,D62</t>
  </si>
  <si>
    <t>N309,N183,E117,F019,I10</t>
  </si>
  <si>
    <t>I10,E117,N183,I259,I350</t>
  </si>
  <si>
    <t>J849</t>
  </si>
  <si>
    <t>I482,I500,N183,E118</t>
  </si>
  <si>
    <t>K821,E86,F019,E440,K649</t>
  </si>
  <si>
    <t>I259,I252,U6975</t>
  </si>
  <si>
    <t>U071,J128,I259,I500,J9600</t>
  </si>
  <si>
    <t>C169</t>
  </si>
  <si>
    <t>E440,K315,I724,D630,I7020</t>
  </si>
  <si>
    <t>J849,G309,F009,I10</t>
  </si>
  <si>
    <t>F018,J848,I258,I10,N40</t>
  </si>
  <si>
    <t>E876,E86,E119,M8008,I672,B962</t>
  </si>
  <si>
    <t>E871,D682,I208,I259</t>
  </si>
  <si>
    <t>I10,I259,N183,Z950,G473</t>
  </si>
  <si>
    <t>K068</t>
  </si>
  <si>
    <t>E119,I839,K861</t>
  </si>
  <si>
    <t>K862,I481,N184,I421,I10</t>
  </si>
  <si>
    <t>E117,U6975,I481,I10,I259</t>
  </si>
  <si>
    <t>C258</t>
  </si>
  <si>
    <t>I81,R18,I489,E119,E440</t>
  </si>
  <si>
    <t>K862,I421,I208,I481,N184</t>
  </si>
  <si>
    <t>F019,I728,E871,E440,N309,E86</t>
  </si>
  <si>
    <t>C440</t>
  </si>
  <si>
    <t>E119,I10</t>
  </si>
  <si>
    <t>G401,I693,I10,E782,I482</t>
  </si>
  <si>
    <t>K574</t>
  </si>
  <si>
    <t>A418,J850,J9600,I500,J158</t>
  </si>
  <si>
    <t>J128,U071,I10,I259,E039</t>
  </si>
  <si>
    <t>D648</t>
  </si>
  <si>
    <t>B378,K210,K228,K573,U6975</t>
  </si>
  <si>
    <t>I481</t>
  </si>
  <si>
    <t>I429,I10,E785,E039</t>
  </si>
  <si>
    <t>U071,J128,J9600,I10,I259</t>
  </si>
  <si>
    <t>E871</t>
  </si>
  <si>
    <t>E86,N183,F019,E039,N300,U5121</t>
  </si>
  <si>
    <t>R55,I10,U6975</t>
  </si>
  <si>
    <t>G405,I10,J182,A418</t>
  </si>
  <si>
    <t>J9600,I269,D62,D683,F019,U071</t>
  </si>
  <si>
    <t>W0109,G409,N309,H353,E441</t>
  </si>
  <si>
    <t>G409,H353,E441,F019</t>
  </si>
  <si>
    <t>M5437,E86,I672,I489,I119,Z901</t>
  </si>
  <si>
    <t>C433,I10,E039,Z921,M1099,K508</t>
  </si>
  <si>
    <t>D233,I10,E039,Z921,M1099,K508</t>
  </si>
  <si>
    <t>Z420</t>
  </si>
  <si>
    <t>Z858,I10,Z921,E119,E039,K508</t>
  </si>
  <si>
    <t>W0101,I10,I350,E785,C445</t>
  </si>
  <si>
    <t>I340,N10,J068,U071,Z290</t>
  </si>
  <si>
    <t>E785</t>
  </si>
  <si>
    <t>J168</t>
  </si>
  <si>
    <t>I619</t>
  </si>
  <si>
    <t>I10,I489,E039</t>
  </si>
  <si>
    <t>M9954</t>
  </si>
  <si>
    <t>K862,I10,E86,M5450,I672</t>
  </si>
  <si>
    <t>R33,K862,I10,E86,M5450</t>
  </si>
  <si>
    <t>M5447</t>
  </si>
  <si>
    <t>I10,I672</t>
  </si>
  <si>
    <t>D688,I10,I672,L129,M5447</t>
  </si>
  <si>
    <t>L120</t>
  </si>
  <si>
    <t>I10,I839,H409,K219</t>
  </si>
  <si>
    <t>M5450</t>
  </si>
  <si>
    <t>I10,I672,Z988</t>
  </si>
  <si>
    <t>T868</t>
  </si>
  <si>
    <t>Y830,H182,I10,I499,N40</t>
  </si>
  <si>
    <t>H185</t>
  </si>
  <si>
    <t>H262,Z961,I10,I499,E785</t>
  </si>
  <si>
    <t>Z952,Z950,I500,I272</t>
  </si>
  <si>
    <t>I710</t>
  </si>
  <si>
    <t>S007</t>
  </si>
  <si>
    <t>W0111,U071,S300,Z228,Z290</t>
  </si>
  <si>
    <t>C340</t>
  </si>
  <si>
    <t>I500,I259,I489,I7020,I10</t>
  </si>
  <si>
    <t>U071,Z290,E86,E119,F013,L891</t>
  </si>
  <si>
    <t>M5447,I489,E119,E785</t>
  </si>
  <si>
    <t>U071,I489,I10,Z290</t>
  </si>
  <si>
    <t>I10,M5449,N183,U6975</t>
  </si>
  <si>
    <t>F109,E86,I489,I259,N309</t>
  </si>
  <si>
    <t>E119,N19,I694,I10</t>
  </si>
  <si>
    <t>W0000,U099,I10,K803</t>
  </si>
  <si>
    <t>I10,I252,I259,Z988</t>
  </si>
  <si>
    <t>I10,I259,E115,E782,Z480</t>
  </si>
  <si>
    <t>I200</t>
  </si>
  <si>
    <t>I255,I500,I110,E118,N258,N185</t>
  </si>
  <si>
    <t>I770</t>
  </si>
  <si>
    <t>N189</t>
  </si>
  <si>
    <t>I482,I10,I500</t>
  </si>
  <si>
    <t>I482,I259,I10,E785,E119</t>
  </si>
  <si>
    <t>H912</t>
  </si>
  <si>
    <t>I10,N40,Z850</t>
  </si>
  <si>
    <t>I635,D689,I489,K270,I10</t>
  </si>
  <si>
    <t>Z228</t>
  </si>
  <si>
    <t>U071,Z290,E86,E118</t>
  </si>
  <si>
    <t>I428</t>
  </si>
  <si>
    <t>E038,J449</t>
  </si>
  <si>
    <t>C65</t>
  </si>
  <si>
    <t>C66,U6975</t>
  </si>
  <si>
    <t>J9600,C340,I10</t>
  </si>
  <si>
    <t>I350,I10</t>
  </si>
  <si>
    <t>I340,K802,G20,E119,C509,U589</t>
  </si>
  <si>
    <t>U071,Z290,I255,I10,D638</t>
  </si>
  <si>
    <t>I259,D648,K210,K221,U072</t>
  </si>
  <si>
    <t>D649,I10,E782,U099,U071,Z290</t>
  </si>
  <si>
    <t>K819</t>
  </si>
  <si>
    <t>E039,I10,I482,U6975,I259</t>
  </si>
  <si>
    <t>M5457</t>
  </si>
  <si>
    <t>C19,N183,I694,I10,E780</t>
  </si>
  <si>
    <t>H023</t>
  </si>
  <si>
    <t>W1999,S3200,S013,S400,S010</t>
  </si>
  <si>
    <t>U071,J9600,K661,D683,D62</t>
  </si>
  <si>
    <t>C250</t>
  </si>
  <si>
    <t>C787,E46,E86,J189,U6975</t>
  </si>
  <si>
    <t>G20</t>
  </si>
  <si>
    <t>E782,I10,E119,M5446</t>
  </si>
  <si>
    <t>I10,K804,E86</t>
  </si>
  <si>
    <t>I10,F432</t>
  </si>
  <si>
    <t>I10,E785</t>
  </si>
  <si>
    <t>I250,I480,I10</t>
  </si>
  <si>
    <t>E118,I480,E790,E782,I10</t>
  </si>
  <si>
    <t>R060</t>
  </si>
  <si>
    <t>I10,E782,N40</t>
  </si>
  <si>
    <t>U071,I10,E039</t>
  </si>
  <si>
    <t>J180,U099,I500,I10,N179,C967</t>
  </si>
  <si>
    <t>I420,Z950,M1099,U6975,I482,U589</t>
  </si>
  <si>
    <t>I255,I500</t>
  </si>
  <si>
    <t>M161</t>
  </si>
  <si>
    <t>D62,U6975,Z038</t>
  </si>
  <si>
    <t>G122</t>
  </si>
  <si>
    <t>M4702,I10</t>
  </si>
  <si>
    <t>K802,K429,N201,E780,U072</t>
  </si>
  <si>
    <t>E782,E118,N40,N182,I10</t>
  </si>
  <si>
    <t>I420,I500</t>
  </si>
  <si>
    <t>I481,I10,E785</t>
  </si>
  <si>
    <t>I500,I482,I10</t>
  </si>
  <si>
    <t>A415,B962,N201,N182,E785</t>
  </si>
  <si>
    <t>H348</t>
  </si>
  <si>
    <t>H353,Z961,I10,E118</t>
  </si>
  <si>
    <t>K30</t>
  </si>
  <si>
    <t>U6975,M511,C911,J449</t>
  </si>
  <si>
    <t>C259</t>
  </si>
  <si>
    <t>I10,E118</t>
  </si>
  <si>
    <t>I10,E118,E876,E86</t>
  </si>
  <si>
    <t>I489,E118,N40,E790</t>
  </si>
  <si>
    <t>G459</t>
  </si>
  <si>
    <t>G409,I489,C900,E118,I259</t>
  </si>
  <si>
    <t>I489,I10,C900</t>
  </si>
  <si>
    <t>J952</t>
  </si>
  <si>
    <t>K119</t>
  </si>
  <si>
    <t>N40</t>
  </si>
  <si>
    <t>I10,E782,E038</t>
  </si>
  <si>
    <t>W1999,N10,E871,E119,I489,B172</t>
  </si>
  <si>
    <t>E878</t>
  </si>
  <si>
    <t>E040,J068,U071,Z290,K228</t>
  </si>
  <si>
    <t>U071,Z290,F019,N189</t>
  </si>
  <si>
    <t>W0199,D62</t>
  </si>
  <si>
    <t>I340,I481,I10,E785</t>
  </si>
  <si>
    <t>E86,I259,I482,I10,E039</t>
  </si>
  <si>
    <t>W1999,U6975,D62</t>
  </si>
  <si>
    <t>K449</t>
  </si>
  <si>
    <t>I10,J459,G309</t>
  </si>
  <si>
    <t>I672,E870,E86,I489,F019</t>
  </si>
  <si>
    <t>I211</t>
  </si>
  <si>
    <t>D529,I10,K259</t>
  </si>
  <si>
    <t>C160</t>
  </si>
  <si>
    <t>Z515,C787,I269,E441</t>
  </si>
  <si>
    <t>N812</t>
  </si>
  <si>
    <t>I10,T784,E118,F002</t>
  </si>
  <si>
    <t>W1993,N300,I10,E876,M0690</t>
  </si>
  <si>
    <t>K210,K221,E876,E119,I10</t>
  </si>
  <si>
    <t>I10,E039,F019</t>
  </si>
  <si>
    <t>W1999,U6975,D62,F012</t>
  </si>
  <si>
    <t>C787,J180,E440,E119,I10,E86</t>
  </si>
  <si>
    <t>U071,N309,F001,Z290,G301</t>
  </si>
  <si>
    <t>J128,U071,Z290,I10,I482</t>
  </si>
  <si>
    <t>W1999,M175,I119</t>
  </si>
  <si>
    <t>I250,I482,I10,E119,M5446</t>
  </si>
  <si>
    <t>I10,I259,I482,E117,E039,N189</t>
  </si>
  <si>
    <t>J322</t>
  </si>
  <si>
    <t>J321,J341,J459,D758,H409,Z888</t>
  </si>
  <si>
    <t>U6975,E786,I10</t>
  </si>
  <si>
    <t>S1210</t>
  </si>
  <si>
    <t>W1990,I10,M8199,I839</t>
  </si>
  <si>
    <t>U071,Z290,I10</t>
  </si>
  <si>
    <t>M5446</t>
  </si>
  <si>
    <t>Z950,I258,I10,J448,N40</t>
  </si>
  <si>
    <t>I350,I482,I501,I10,I7020</t>
  </si>
  <si>
    <t>I350,I482,I501,I10,I258,J448</t>
  </si>
  <si>
    <t>C187</t>
  </si>
  <si>
    <t>I483,J069,I10,E782,N40</t>
  </si>
  <si>
    <t>I258</t>
  </si>
  <si>
    <t>I509,I340,I480,E119,I10,N184</t>
  </si>
  <si>
    <t>N200,I259,I10,E785,N133</t>
  </si>
  <si>
    <t>I259,I252,I10,E789,Z988</t>
  </si>
  <si>
    <t>E789</t>
  </si>
  <si>
    <t>K831,I489,E876,I10</t>
  </si>
  <si>
    <t>C164</t>
  </si>
  <si>
    <t>I500,U6975,I10,I482,E117</t>
  </si>
  <si>
    <t>E875,N183,D371,U6975</t>
  </si>
  <si>
    <t>N390,E118,Z904</t>
  </si>
  <si>
    <t>U6975,E119,Z904</t>
  </si>
  <si>
    <t>D519</t>
  </si>
  <si>
    <t>I500,U6975,I10</t>
  </si>
  <si>
    <t>I10,E119,N40</t>
  </si>
  <si>
    <t>I269,I693,I10,E039</t>
  </si>
  <si>
    <t>E790,E119,E782</t>
  </si>
  <si>
    <t>U071,J9600,N308,N179,A047</t>
  </si>
  <si>
    <t>D374</t>
  </si>
  <si>
    <t>E119,U6975</t>
  </si>
  <si>
    <t>U071,I442,D696,I489,I269,Z290</t>
  </si>
  <si>
    <t>I714</t>
  </si>
  <si>
    <t>I10,I259,E115,E039,I839,E785</t>
  </si>
  <si>
    <t>K838,I10,M8140</t>
  </si>
  <si>
    <t>D376</t>
  </si>
  <si>
    <t>K831,A498,I10,K210</t>
  </si>
  <si>
    <t>I421</t>
  </si>
  <si>
    <t>I10,E785,E118,I499</t>
  </si>
  <si>
    <t>J90,E854,I119,I259,I489,U583</t>
  </si>
  <si>
    <t>U071,I10,I252,I480,N182,J128</t>
  </si>
  <si>
    <t>E86,K317,E042,I10,E782</t>
  </si>
  <si>
    <t>K317</t>
  </si>
  <si>
    <t>D62,I10,E782</t>
  </si>
  <si>
    <t>F019,N10,U072,E119</t>
  </si>
  <si>
    <t>W0191,I10,U6975,E118,E441</t>
  </si>
  <si>
    <t>I10,I481,I442,I259,E039</t>
  </si>
  <si>
    <t>I259,I10,E785,E119,J449</t>
  </si>
  <si>
    <t>H330</t>
  </si>
  <si>
    <t>C787,K315,K831,E46,I10</t>
  </si>
  <si>
    <t>G259,H819,I10,E038,E785</t>
  </si>
  <si>
    <t>I10,F412,I672,M508,E038,E222</t>
  </si>
  <si>
    <t>I10,F321,F419,M508,E038</t>
  </si>
  <si>
    <t>G309,F051,I10,E039,N309</t>
  </si>
  <si>
    <t>I10,I062</t>
  </si>
  <si>
    <t>I10,E782,E063</t>
  </si>
  <si>
    <t>E221</t>
  </si>
  <si>
    <t>E86,F019,I489,N10,B962,E240</t>
  </si>
  <si>
    <t>F019,N178,U072,N133,I10</t>
  </si>
  <si>
    <t>G402</t>
  </si>
  <si>
    <t>I10,F009,G309</t>
  </si>
  <si>
    <t>I248,I10,U6975</t>
  </si>
  <si>
    <t>K092</t>
  </si>
  <si>
    <t>E104,G632,E039,J459,I10,E785</t>
  </si>
  <si>
    <t>J156,J410,Z227,E042,I251</t>
  </si>
  <si>
    <t>J410,Z227,E042,I251,Z514</t>
  </si>
  <si>
    <t>K803,I10</t>
  </si>
  <si>
    <t>E86,E876,I10</t>
  </si>
  <si>
    <t>Z035,I480</t>
  </si>
  <si>
    <t>M5499</t>
  </si>
  <si>
    <t>N300,M8199,N959,K429,R490</t>
  </si>
  <si>
    <t>D487,I10,U6975</t>
  </si>
  <si>
    <t>W0199,U6975,Z038</t>
  </si>
  <si>
    <t>C340,Z514,I489,N183,E039</t>
  </si>
  <si>
    <t>U071,Z290,I10,J448,C341</t>
  </si>
  <si>
    <t>K270</t>
  </si>
  <si>
    <t>D62,J459,J069,I481,I10</t>
  </si>
  <si>
    <t>U071,Z290,R31,H911,I259</t>
  </si>
  <si>
    <t>Z961</t>
  </si>
  <si>
    <t>S8200</t>
  </si>
  <si>
    <t>I350,I509</t>
  </si>
  <si>
    <t>U071,E114,I10,Z290</t>
  </si>
  <si>
    <t>I489,J189</t>
  </si>
  <si>
    <t>Z951</t>
  </si>
  <si>
    <t>A481</t>
  </si>
  <si>
    <t>J448,E876,I480,I10,E785</t>
  </si>
  <si>
    <t>I259,E86</t>
  </si>
  <si>
    <t>I10,G408,E789,Z988</t>
  </si>
  <si>
    <t>I258,I10,E115,Z488</t>
  </si>
  <si>
    <t>K750</t>
  </si>
  <si>
    <t>E86,I489,E43,L899</t>
  </si>
  <si>
    <t>E662</t>
  </si>
  <si>
    <t>G473,J448,N189</t>
  </si>
  <si>
    <t>I480,I10,E782,I440,N183</t>
  </si>
  <si>
    <t>I251,I10,E118,N40</t>
  </si>
  <si>
    <t>I255,I489,I340</t>
  </si>
  <si>
    <t>I272</t>
  </si>
  <si>
    <t>N40,U6975,C66,I489,I259,I10</t>
  </si>
  <si>
    <t>M4316</t>
  </si>
  <si>
    <t>I10,E119</t>
  </si>
  <si>
    <t>K573</t>
  </si>
  <si>
    <t>D126,M353,I10,E660,M159</t>
  </si>
  <si>
    <t>K573,I10</t>
  </si>
  <si>
    <t>I481,I10,E785,I255</t>
  </si>
  <si>
    <t>U071,J9600,N40,A419</t>
  </si>
  <si>
    <t>I631</t>
  </si>
  <si>
    <t>I480,N390,I693,F058,I10</t>
  </si>
  <si>
    <t>W1999,S0600</t>
  </si>
  <si>
    <t>Z966,M7105,I500,D683,K661</t>
  </si>
  <si>
    <t>U071,Z290,I10,E785</t>
  </si>
  <si>
    <t>Z966,M2545,M7105</t>
  </si>
  <si>
    <t>E110</t>
  </si>
  <si>
    <t>E162,E112,D520,I255,I495</t>
  </si>
  <si>
    <t>J441</t>
  </si>
  <si>
    <t>I481,E102,F019,N182,A46</t>
  </si>
  <si>
    <t>W0199,I481,J441,E102,F013</t>
  </si>
  <si>
    <t>M8190</t>
  </si>
  <si>
    <t>W0108,F019,S2210,C55,D519</t>
  </si>
  <si>
    <t>I442,E118,I509,I10,E782</t>
  </si>
  <si>
    <t>I270</t>
  </si>
  <si>
    <t>G473,I495,I259</t>
  </si>
  <si>
    <t>Z511,Z515,J449,E050</t>
  </si>
  <si>
    <t>U071,Z290,I481</t>
  </si>
  <si>
    <t>M0590,U072,I350,E119,E049</t>
  </si>
  <si>
    <t>I7091,U071,I352,E138,E86</t>
  </si>
  <si>
    <t>W1999,S2230,S5250,S010,S500</t>
  </si>
  <si>
    <t>C186</t>
  </si>
  <si>
    <t>K635,I10</t>
  </si>
  <si>
    <t>M5303</t>
  </si>
  <si>
    <t>I725,F03,I10,E114,E782</t>
  </si>
  <si>
    <t>N184</t>
  </si>
  <si>
    <t>C900,N184</t>
  </si>
  <si>
    <t>E162,I10,E039,I490</t>
  </si>
  <si>
    <t>E104,G632,I119,I489,E038</t>
  </si>
  <si>
    <t>E162</t>
  </si>
  <si>
    <t>E108,E86</t>
  </si>
  <si>
    <t>M5302,I10</t>
  </si>
  <si>
    <t>I428,I484</t>
  </si>
  <si>
    <t>I420,I489,E039,I10</t>
  </si>
  <si>
    <t>O840</t>
  </si>
  <si>
    <t>Z290,U071,I471,I802,I10</t>
  </si>
  <si>
    <t>I489,I10,R001,E039</t>
  </si>
  <si>
    <t>G379</t>
  </si>
  <si>
    <t>I10,J459,R730</t>
  </si>
  <si>
    <t>I350,E782,I10</t>
  </si>
  <si>
    <t>S8281</t>
  </si>
  <si>
    <t>W1999,S8260,W0190</t>
  </si>
  <si>
    <t>I10,K297,E86,E440,U6975</t>
  </si>
  <si>
    <t>J128,U071,E117,G20,I500</t>
  </si>
  <si>
    <t>I489,I10,E119,E785,A099</t>
  </si>
  <si>
    <t>E86,F019,E118,I10,E834</t>
  </si>
  <si>
    <t>F03</t>
  </si>
  <si>
    <t>N308,F409,G250</t>
  </si>
  <si>
    <t>I693</t>
  </si>
  <si>
    <t>J182,J9609,G20,I10</t>
  </si>
  <si>
    <t>R31,E871,I489,I10</t>
  </si>
  <si>
    <t>Z488,Z961,I10,M8188,U6975</t>
  </si>
  <si>
    <t>G301</t>
  </si>
  <si>
    <t>R451,U6975</t>
  </si>
  <si>
    <t>I10,D62</t>
  </si>
  <si>
    <t>E119,I10,E039,E785</t>
  </si>
  <si>
    <t>D131</t>
  </si>
  <si>
    <t>I633,I480,U5020</t>
  </si>
  <si>
    <t>I10,E782</t>
  </si>
  <si>
    <t>U071,Z290,E034,E119,I10</t>
  </si>
  <si>
    <t>C251</t>
  </si>
  <si>
    <t>C787,E117,I10</t>
  </si>
  <si>
    <t>Z511,E883,E877,R11,E063,U6975</t>
  </si>
  <si>
    <t>K529,E86,I10,E119,Z905</t>
  </si>
  <si>
    <t>I480,I259</t>
  </si>
  <si>
    <t>I259,I10,E782,I489</t>
  </si>
  <si>
    <t>K558</t>
  </si>
  <si>
    <t>D500,I10,I489,I259,U6975</t>
  </si>
  <si>
    <t>I139,M1390,E119</t>
  </si>
  <si>
    <t>U071,Z290,I10,E114</t>
  </si>
  <si>
    <t>M4646</t>
  </si>
  <si>
    <t>E119,E039,I10,I259</t>
  </si>
  <si>
    <t>J841</t>
  </si>
  <si>
    <t>E038,I480,I10,E784,F328</t>
  </si>
  <si>
    <t>U583,I500,I340,N189</t>
  </si>
  <si>
    <t>H021</t>
  </si>
  <si>
    <t>I10,Z961</t>
  </si>
  <si>
    <t>E118,I10</t>
  </si>
  <si>
    <t>K358,E119,I10</t>
  </si>
  <si>
    <t>U6975,I10,E119,K868,E86</t>
  </si>
  <si>
    <t>M8120,M174,I10,K219</t>
  </si>
  <si>
    <t>L80,E039,E789</t>
  </si>
  <si>
    <t>U071,E118,I500,I259,A047</t>
  </si>
  <si>
    <t>W0100,C61,C182,D62,U6975</t>
  </si>
  <si>
    <t>I10,E782,E114,J182</t>
  </si>
  <si>
    <t>I10,E117,E782,I500,E660,G459</t>
  </si>
  <si>
    <t>J380</t>
  </si>
  <si>
    <t>N189,I500,I10</t>
  </si>
  <si>
    <t>I635,N183,J449,I489,I251</t>
  </si>
  <si>
    <t>F079,I489</t>
  </si>
  <si>
    <t>K839</t>
  </si>
  <si>
    <t>I10,I259</t>
  </si>
  <si>
    <t>C220</t>
  </si>
  <si>
    <t>I489,I10,E789</t>
  </si>
  <si>
    <t>A022,E118,I259,N189</t>
  </si>
  <si>
    <t>E117,N183,E782,A499</t>
  </si>
  <si>
    <t>C180</t>
  </si>
  <si>
    <t>Z514,D70,E876,B99,D630</t>
  </si>
  <si>
    <t>T813,Y838</t>
  </si>
  <si>
    <t>I482,N183</t>
  </si>
  <si>
    <t>I259,E119,N183,D441,I489</t>
  </si>
  <si>
    <t>I482,E785,E117,I428</t>
  </si>
  <si>
    <t>C772,Z511</t>
  </si>
  <si>
    <t>C188</t>
  </si>
  <si>
    <t>C180,Z511</t>
  </si>
  <si>
    <t>C180,C07,Z511,C772</t>
  </si>
  <si>
    <t>Z511,C07,C772</t>
  </si>
  <si>
    <t>C64</t>
  </si>
  <si>
    <t>I723,I10</t>
  </si>
  <si>
    <t>M1098,E785</t>
  </si>
  <si>
    <t>K850,J188,N179,U6975,I259</t>
  </si>
  <si>
    <t>E118</t>
  </si>
  <si>
    <t>I258,I10,K831</t>
  </si>
  <si>
    <t>I480,E785,I10</t>
  </si>
  <si>
    <t>I483</t>
  </si>
  <si>
    <t>I10,E104,E782,N40,H409</t>
  </si>
  <si>
    <t>I501,E785,I10,I481</t>
  </si>
  <si>
    <t>N430</t>
  </si>
  <si>
    <t>C155</t>
  </si>
  <si>
    <t>K227,I259,K263,N183</t>
  </si>
  <si>
    <t>K227,I259,E789,E86,D440</t>
  </si>
  <si>
    <t>I10,I489,I340</t>
  </si>
  <si>
    <t>E119,I10,E039</t>
  </si>
  <si>
    <t>I258,I10,E782,E790</t>
  </si>
  <si>
    <t>I635,J111,U6975,U5010</t>
  </si>
  <si>
    <t>I10,E119,E785</t>
  </si>
  <si>
    <t>W1999,G935,G822,U6975,Z921,I10</t>
  </si>
  <si>
    <t>I10,I209,N40,Z988</t>
  </si>
  <si>
    <t>J459,I10</t>
  </si>
  <si>
    <t>C518</t>
  </si>
  <si>
    <t>Z511,I10,I351,E119,E790</t>
  </si>
  <si>
    <t>Z513,D611,Z515</t>
  </si>
  <si>
    <t>J449</t>
  </si>
  <si>
    <t>I509,I429,M8198</t>
  </si>
  <si>
    <t>I428,I10</t>
  </si>
  <si>
    <t>I259,I10,E105</t>
  </si>
  <si>
    <t>H160</t>
  </si>
  <si>
    <t>H168,Z961,I10,M0699</t>
  </si>
  <si>
    <t>N951</t>
  </si>
  <si>
    <t>C679</t>
  </si>
  <si>
    <t>I10,G409,E038,E892,C73</t>
  </si>
  <si>
    <t>I10,E119,I350,N185</t>
  </si>
  <si>
    <t>I259,N185,E118,I10,E039</t>
  </si>
  <si>
    <t>I517</t>
  </si>
  <si>
    <t>J158,I480,E117,I10,E038,J9600</t>
  </si>
  <si>
    <t>L97</t>
  </si>
  <si>
    <t>B353,B351,I10,B964,D649,I7021</t>
  </si>
  <si>
    <t>Y792,U6975,Z038</t>
  </si>
  <si>
    <t>D443</t>
  </si>
  <si>
    <t>E876,E871,I10</t>
  </si>
  <si>
    <t>J9600,N300,N178,E117,I480,I7020</t>
  </si>
  <si>
    <t>U071,I500,N189,E875,E116</t>
  </si>
  <si>
    <t>F023,R451,U6975</t>
  </si>
  <si>
    <t>U6975,E038,E119,B968</t>
  </si>
  <si>
    <t>B965,E118,I10,Z988</t>
  </si>
  <si>
    <t>C341,Z902,I110,G700,I258</t>
  </si>
  <si>
    <t>F064</t>
  </si>
  <si>
    <t>M1398,I10</t>
  </si>
  <si>
    <t>E782</t>
  </si>
  <si>
    <t>I489,I259,I10,F03</t>
  </si>
  <si>
    <t>I612</t>
  </si>
  <si>
    <t>I10,I269,H408</t>
  </si>
  <si>
    <t>K210,K449,D131,U6975</t>
  </si>
  <si>
    <t>U6975,I10</t>
  </si>
  <si>
    <t>I10,E789,E559,E612</t>
  </si>
  <si>
    <t>M0520</t>
  </si>
  <si>
    <t>M8100,I10,I252,K922</t>
  </si>
  <si>
    <t>I420,I482,I10,E785,I340</t>
  </si>
  <si>
    <t>U071,G250,M5450,M8109,M179,Z290</t>
  </si>
  <si>
    <t>I480,I10,J459,I859,G473,E038</t>
  </si>
  <si>
    <t>G473,I10,J459,I480</t>
  </si>
  <si>
    <t>Y792,I959,D62,U6975</t>
  </si>
  <si>
    <t>C001</t>
  </si>
  <si>
    <t>K053,I10,E079,I209</t>
  </si>
  <si>
    <t>G255</t>
  </si>
  <si>
    <t>I10,E782,E114</t>
  </si>
  <si>
    <t>E114,I10</t>
  </si>
  <si>
    <t>Z510,C778,D611</t>
  </si>
  <si>
    <t>N840</t>
  </si>
  <si>
    <t>I259,E785,I10,E118,F329,N19</t>
  </si>
  <si>
    <t>I489,I10</t>
  </si>
  <si>
    <t>N390,I10,E118,E782,H903</t>
  </si>
  <si>
    <t>I420,I482,Z952,I350,E785,U589</t>
  </si>
  <si>
    <t>I350,I482,E119,I10,N183</t>
  </si>
  <si>
    <t>I139,E119</t>
  </si>
  <si>
    <t>I500,E118,I7090,I10,N189</t>
  </si>
  <si>
    <t>M501</t>
  </si>
  <si>
    <t>E785,E039</t>
  </si>
  <si>
    <t>E038,E782</t>
  </si>
  <si>
    <t>I500,D638</t>
  </si>
  <si>
    <t>H401,Z961,E107,G20,I259,I10</t>
  </si>
  <si>
    <t>C857</t>
  </si>
  <si>
    <t>Z511,I10,U6975,Z978</t>
  </si>
  <si>
    <t>U071,J448,I10,E118,Z290,J9690</t>
  </si>
  <si>
    <t>W0100,U6975,D62,S2700</t>
  </si>
  <si>
    <t>U071,J9600,I258,I10,E118,N183</t>
  </si>
  <si>
    <t>I10,E789</t>
  </si>
  <si>
    <t>G20,I359,H544,Z905</t>
  </si>
  <si>
    <t>I259,Z950,I482,E119,N189</t>
  </si>
  <si>
    <t>I10,C831,N40,G628</t>
  </si>
  <si>
    <t>C435</t>
  </si>
  <si>
    <t>Z514,C771,I500,J940</t>
  </si>
  <si>
    <t>T827</t>
  </si>
  <si>
    <t>T845</t>
  </si>
  <si>
    <t>Y792,I10</t>
  </si>
  <si>
    <t>W1999,Z489</t>
  </si>
  <si>
    <t>I620</t>
  </si>
  <si>
    <t>D500,J952,I10,I481,J189</t>
  </si>
  <si>
    <t>U071,J80,J9600,I481,I119</t>
  </si>
  <si>
    <t>Z992,I068,I110,U071,J128,N185</t>
  </si>
  <si>
    <t>J449,I259,Z950,E780,U072</t>
  </si>
  <si>
    <t>K830,R64,R18,U6975</t>
  </si>
  <si>
    <t>E114,I10,E790,N40</t>
  </si>
  <si>
    <t>U071,R060,E119,I10,N40,Z290</t>
  </si>
  <si>
    <t>K045,Z921,I10,Z855,Z923</t>
  </si>
  <si>
    <t>E115</t>
  </si>
  <si>
    <t>I480,I678,F019,N390</t>
  </si>
  <si>
    <t>S3230</t>
  </si>
  <si>
    <t>W0000,S3200,S3790,S3780</t>
  </si>
  <si>
    <t>W1999,S2720,S2781,S3610,S204,D683</t>
  </si>
  <si>
    <t>I484,I10,E112,N183</t>
  </si>
  <si>
    <t>I208,I484,I10,E118,N183,I501</t>
  </si>
  <si>
    <t>U071,Z290,J9600,I10,I259</t>
  </si>
  <si>
    <t>J440</t>
  </si>
  <si>
    <t>I489,E876,I10</t>
  </si>
  <si>
    <t>I652</t>
  </si>
  <si>
    <t>I10,I201,I259,E782</t>
  </si>
  <si>
    <t>W1999,I10,I259</t>
  </si>
  <si>
    <t>I509,I340,E118</t>
  </si>
  <si>
    <t>I693,I10,D649,N189</t>
  </si>
  <si>
    <t>C341</t>
  </si>
  <si>
    <t>I500,N179,I251,I480,Z515</t>
  </si>
  <si>
    <t>E780</t>
  </si>
  <si>
    <t>I10,E782,K259</t>
  </si>
  <si>
    <t>I10,E782,I259</t>
  </si>
  <si>
    <t>K635</t>
  </si>
  <si>
    <t>I10,U6975</t>
  </si>
  <si>
    <t>I10,I480,E785</t>
  </si>
  <si>
    <t>I489,I259</t>
  </si>
  <si>
    <t>E86,F019,I489</t>
  </si>
  <si>
    <t>I209</t>
  </si>
  <si>
    <t>H401</t>
  </si>
  <si>
    <t>H258,I10,E118,N40</t>
  </si>
  <si>
    <t>C795</t>
  </si>
  <si>
    <t>Z514,C780,C787,C797,C435</t>
  </si>
  <si>
    <t>I803,J449,I259,I10</t>
  </si>
  <si>
    <t>G309,I259,I10,M0699,N40</t>
  </si>
  <si>
    <t>N178,I252,I481</t>
  </si>
  <si>
    <t>K621</t>
  </si>
  <si>
    <t>D375</t>
  </si>
  <si>
    <t>E114,I10,E785,I489,B353</t>
  </si>
  <si>
    <t>I489,I10,E785</t>
  </si>
  <si>
    <t>I259,I10,E118</t>
  </si>
  <si>
    <t>I10,I428</t>
  </si>
  <si>
    <t>M1090</t>
  </si>
  <si>
    <t>I509,I259,I489,I10,D472</t>
  </si>
  <si>
    <t>I10,J448</t>
  </si>
  <si>
    <t>I481,I10,E785,E119,E039</t>
  </si>
  <si>
    <t>I481,I340,I489,I10,E119,U586</t>
  </si>
  <si>
    <t>I340,I10,E785,E119</t>
  </si>
  <si>
    <t>E042,E063,E890</t>
  </si>
  <si>
    <t>E042,E890,U6975,I10,I499</t>
  </si>
  <si>
    <t>U072,I10,E660,E782,F063</t>
  </si>
  <si>
    <t>M0600,J848,I428,E039,M5458,B962</t>
  </si>
  <si>
    <t>J9610,I272,E117,I10,E785</t>
  </si>
  <si>
    <t>C773</t>
  </si>
  <si>
    <t>I489</t>
  </si>
  <si>
    <t>Z952,I10,E782,E038,M8159</t>
  </si>
  <si>
    <t>I495,E785,I340,E039</t>
  </si>
  <si>
    <t>I480,I340</t>
  </si>
  <si>
    <t>U071,I10,E119,E876,Z290</t>
  </si>
  <si>
    <t>U6975,Z961,J448</t>
  </si>
  <si>
    <t>I470</t>
  </si>
  <si>
    <t>U071,Z290,G412,E86,I509</t>
  </si>
  <si>
    <t>I10,F018,J22,U5030,U5121</t>
  </si>
  <si>
    <t>T671,X3201,I10,J42,T670</t>
  </si>
  <si>
    <t>N020,I10,N134,N182,Z988</t>
  </si>
  <si>
    <t>I10,K510,N189</t>
  </si>
  <si>
    <t>I341</t>
  </si>
  <si>
    <t>I259,I369,Q250,I481</t>
  </si>
  <si>
    <t>I361,I480,Q250,I10,N182</t>
  </si>
  <si>
    <t>U6975,E119,E041,D374</t>
  </si>
  <si>
    <t>M171</t>
  </si>
  <si>
    <t>I10,E782,E119,U6975,Z038</t>
  </si>
  <si>
    <t>N390,F019,L409,I10,E107</t>
  </si>
  <si>
    <t>E039,F019,L409,I10,E117</t>
  </si>
  <si>
    <t>E039,I10</t>
  </si>
  <si>
    <t>B962,I10,I489,E86,E871</t>
  </si>
  <si>
    <t>E86,E876,K449,I10</t>
  </si>
  <si>
    <t>I10,E782,I480</t>
  </si>
  <si>
    <t>E441,I10,E119,I489,E785</t>
  </si>
  <si>
    <t>K210,B378,N300,N183,I480</t>
  </si>
  <si>
    <t>N390,B964,I482,I10,E86</t>
  </si>
  <si>
    <t>E117,U071,E86,R195,R739,Z290</t>
  </si>
  <si>
    <t>I10,N183,E119,J459</t>
  </si>
  <si>
    <t>E119,E782,I10,N183,J459</t>
  </si>
  <si>
    <t>G473,I10</t>
  </si>
  <si>
    <t>G309</t>
  </si>
  <si>
    <t>I482,I10,E039,E119,I495</t>
  </si>
  <si>
    <t>W9900,I10,E039,D62</t>
  </si>
  <si>
    <t>J128,U071,G473,I270,I110,Z290</t>
  </si>
  <si>
    <t>R64,G20,I10,I64</t>
  </si>
  <si>
    <t>I802,I10,U6975,Z901,Y429</t>
  </si>
  <si>
    <t>E785,I10</t>
  </si>
  <si>
    <t>U071,Z290,I10,F03,H409,J450</t>
  </si>
  <si>
    <t>I10,E039,U6975,Z038</t>
  </si>
  <si>
    <t>D128</t>
  </si>
  <si>
    <t>S5271</t>
  </si>
  <si>
    <t>L309</t>
  </si>
  <si>
    <t>C343</t>
  </si>
  <si>
    <t>Z514,J91,I10</t>
  </si>
  <si>
    <t>K565,I10,E782,E039</t>
  </si>
  <si>
    <t>K579</t>
  </si>
  <si>
    <t>I259,I10,E119,E785</t>
  </si>
  <si>
    <t>I872,E660,M5490,I119,E782,U072</t>
  </si>
  <si>
    <t>J9600,K261,R651,N179,E118,I10</t>
  </si>
  <si>
    <t>I10,F019,E782</t>
  </si>
  <si>
    <t>E118,E162,U071</t>
  </si>
  <si>
    <t>I633,U6975,U5020</t>
  </si>
  <si>
    <t>I10,E114,I259</t>
  </si>
  <si>
    <t>J9691</t>
  </si>
  <si>
    <t>J441,C341,U6975,E790,E119</t>
  </si>
  <si>
    <t>M160,Z966,U5010</t>
  </si>
  <si>
    <t>E118,E782,I10,E038,E790</t>
  </si>
  <si>
    <t>U071,Z290,I480,I10,E789</t>
  </si>
  <si>
    <t>E115,I10,E785,Z488</t>
  </si>
  <si>
    <t>I10,E790,E115,I259,E785</t>
  </si>
  <si>
    <t>I259,I10,E115</t>
  </si>
  <si>
    <t>I481,E119,I10</t>
  </si>
  <si>
    <t>I499,E118,Z904</t>
  </si>
  <si>
    <t>E109,I10,U6975</t>
  </si>
  <si>
    <t>E115,I10,N189,I739</t>
  </si>
  <si>
    <t>R074</t>
  </si>
  <si>
    <t>I10,E785,I482</t>
  </si>
  <si>
    <t>E785,I259,D62,U6975</t>
  </si>
  <si>
    <t>I259,E785,U6975,Z038</t>
  </si>
  <si>
    <t>I10,N40</t>
  </si>
  <si>
    <t>C184</t>
  </si>
  <si>
    <t>U6975,C66,I489,E108</t>
  </si>
  <si>
    <t>I259,I482,Z291,U6975</t>
  </si>
  <si>
    <t>Z950,N182,E112,E785,D696</t>
  </si>
  <si>
    <t>I10,I259,E790,E115</t>
  </si>
  <si>
    <t>Z940,N189,I652,I10,E115,T810</t>
  </si>
  <si>
    <t>E790,I10,N40,E785,Z952,Z966</t>
  </si>
  <si>
    <t>N200,I119,I872</t>
  </si>
  <si>
    <t>J449,I259</t>
  </si>
  <si>
    <t>I350,E785</t>
  </si>
  <si>
    <t>U071,E119,J9600</t>
  </si>
  <si>
    <t>C679,U071,I7020,N184</t>
  </si>
  <si>
    <t>C678</t>
  </si>
  <si>
    <t>Z514,C778,C793</t>
  </si>
  <si>
    <t>Z511,N40,Z452,Z978,U6975</t>
  </si>
  <si>
    <t>C851</t>
  </si>
  <si>
    <t>E790</t>
  </si>
  <si>
    <t>I10,E114</t>
  </si>
  <si>
    <t>C61,I10</t>
  </si>
  <si>
    <t>N020,I10</t>
  </si>
  <si>
    <t>H405</t>
  </si>
  <si>
    <t>H350,Z961,U6975,I672,I480,I10</t>
  </si>
  <si>
    <t>Z510,C793,Z515,E86,J448,J938</t>
  </si>
  <si>
    <t>E785,I442,I440,Z950,Z450</t>
  </si>
  <si>
    <t>I259,I480,N185,I10,E112</t>
  </si>
  <si>
    <t>R31,U6975,C61,I259,I10,Z988</t>
  </si>
  <si>
    <t>C436</t>
  </si>
  <si>
    <t>I259,I10,I489,D686</t>
  </si>
  <si>
    <t>D45</t>
  </si>
  <si>
    <t>N390,Z511,N10,U6975,C830,A419</t>
  </si>
  <si>
    <t>I489,I10,E118,I340,I495</t>
  </si>
  <si>
    <t>I10,I493,E782</t>
  </si>
  <si>
    <t>I10,M5328,E118,E782</t>
  </si>
  <si>
    <t>D259</t>
  </si>
  <si>
    <t>I10,I489</t>
  </si>
  <si>
    <t>C56</t>
  </si>
  <si>
    <t>M348</t>
  </si>
  <si>
    <t>M8100,E782,E038</t>
  </si>
  <si>
    <t>D62,J952</t>
  </si>
  <si>
    <t>N189,U586,I350,I489,I259</t>
  </si>
  <si>
    <t>I10,E039,I480</t>
  </si>
  <si>
    <t>U071,Z290,J9600,A419,E876</t>
  </si>
  <si>
    <t>C062</t>
  </si>
  <si>
    <t>I10,F320,H409,J958</t>
  </si>
  <si>
    <t>I10,F320,H409</t>
  </si>
  <si>
    <t>C031</t>
  </si>
  <si>
    <t>Z514,I10,F320,H409</t>
  </si>
  <si>
    <t>M8799,I10,K081</t>
  </si>
  <si>
    <t>I350,I481,E118,E782</t>
  </si>
  <si>
    <t>C579</t>
  </si>
  <si>
    <t>I269,R18</t>
  </si>
  <si>
    <t>C182</t>
  </si>
  <si>
    <t>K660,D376,J189</t>
  </si>
  <si>
    <t>U071,J9600,E119,Z290,I832</t>
  </si>
  <si>
    <t>U071,I10,J459</t>
  </si>
  <si>
    <t>I481,I495</t>
  </si>
  <si>
    <t>U071,J128,I10</t>
  </si>
  <si>
    <t>L303</t>
  </si>
  <si>
    <t>I10,E118,E785</t>
  </si>
  <si>
    <t>M5490,I10,I7020,E118,E86</t>
  </si>
  <si>
    <t>I233,I312,I10</t>
  </si>
  <si>
    <t>N200,M171,I10,K076,K760</t>
  </si>
  <si>
    <t>T852</t>
  </si>
  <si>
    <t>Y772,U6975,Z961,I10,I839,K449</t>
  </si>
  <si>
    <t>Y772,Z961,I10,I839,E785,U6975</t>
  </si>
  <si>
    <t>D27</t>
  </si>
  <si>
    <t>K805,I10,U6975</t>
  </si>
  <si>
    <t>I10,E115</t>
  </si>
  <si>
    <t>M7737</t>
  </si>
  <si>
    <t>I482,I10,I7020</t>
  </si>
  <si>
    <t>E785,N182</t>
  </si>
  <si>
    <t>N10,S700,W0109,A46,D469</t>
  </si>
  <si>
    <t>X4411,I10</t>
  </si>
  <si>
    <t>G402,M8109,I10,E782,K287</t>
  </si>
  <si>
    <t>U071,I259,I489,I10,E785</t>
  </si>
  <si>
    <t>F330</t>
  </si>
  <si>
    <t>F510,N300,I952,K590,G442</t>
  </si>
  <si>
    <t>U6975,E108,E039</t>
  </si>
  <si>
    <t>J128,U071,C833,E108,E785,Z290</t>
  </si>
  <si>
    <t>N958</t>
  </si>
  <si>
    <t>J189,I10,E782</t>
  </si>
  <si>
    <t>Z961,I839,K449</t>
  </si>
  <si>
    <t>C342</t>
  </si>
  <si>
    <t>Z511,C771</t>
  </si>
  <si>
    <t>Z511,E119,I10</t>
  </si>
  <si>
    <t>Z514,D70,C771</t>
  </si>
  <si>
    <t>C771,Z511</t>
  </si>
  <si>
    <t>U6974</t>
  </si>
  <si>
    <t>E107</t>
  </si>
  <si>
    <t>E118,R060</t>
  </si>
  <si>
    <t>I10,E785,I481,E118,K210</t>
  </si>
  <si>
    <t>C772</t>
  </si>
  <si>
    <t>Z511,C187</t>
  </si>
  <si>
    <t>Z511,C780,C778</t>
  </si>
  <si>
    <t>Z511,C778</t>
  </si>
  <si>
    <t>Z511,C778,C780</t>
  </si>
  <si>
    <t>Z511,C780</t>
  </si>
  <si>
    <t>Z514,C778</t>
  </si>
  <si>
    <t>C778</t>
  </si>
  <si>
    <t>Z511,C187,C780</t>
  </si>
  <si>
    <t>Z511,E119,I119,J450</t>
  </si>
  <si>
    <t>J189,N390</t>
  </si>
  <si>
    <t>K591</t>
  </si>
  <si>
    <t>K297,K641,E780,M0580,I10</t>
  </si>
  <si>
    <t>N200,I10</t>
  </si>
  <si>
    <t>H654,H742,I10,E039,M8199</t>
  </si>
  <si>
    <t>H722,E039,E785,I693</t>
  </si>
  <si>
    <t>E86,S7210,W1999,J449,I10,D62</t>
  </si>
  <si>
    <t>E115,I10,J448,Z480</t>
  </si>
  <si>
    <t>I250,I480</t>
  </si>
  <si>
    <t>N183,E660,E785,I10</t>
  </si>
  <si>
    <t>N841</t>
  </si>
  <si>
    <t>R521</t>
  </si>
  <si>
    <t>W0199,E119,E782,I10,U6975,Z038</t>
  </si>
  <si>
    <t>N393</t>
  </si>
  <si>
    <t>E785,I10,E118,I259,R55</t>
  </si>
  <si>
    <t>I10,E785,I259</t>
  </si>
  <si>
    <t>I10,E116,Z950,E785,N40</t>
  </si>
  <si>
    <t>I209,I501,I10,I350</t>
  </si>
  <si>
    <t>I10,E782,I489,I251,I7020,U6974</t>
  </si>
  <si>
    <t>I259,I10,E782,E115,I489,Z488</t>
  </si>
  <si>
    <t>U071,I251,E117,I10,I259</t>
  </si>
  <si>
    <t>Y792,J128,U071,I269,D649</t>
  </si>
  <si>
    <t>C61</t>
  </si>
  <si>
    <t>J869,C795,C778,J168,A419,Z514</t>
  </si>
  <si>
    <t>R31,I10,E119</t>
  </si>
  <si>
    <t>W1990,I10</t>
  </si>
  <si>
    <t>U071,J170,I693,I259,E118</t>
  </si>
  <si>
    <t>I633,U5010</t>
  </si>
  <si>
    <t>I10,C911,I958,I716</t>
  </si>
  <si>
    <t>I10,C919,I714</t>
  </si>
  <si>
    <t>I10,C672,C911,D62,I716,B968</t>
  </si>
  <si>
    <t>N133,C679,C61,B968,I10,C911</t>
  </si>
  <si>
    <t>M1901</t>
  </si>
  <si>
    <t>C918,I10,I722,C61</t>
  </si>
  <si>
    <t>C911,I10,E790</t>
  </si>
  <si>
    <t>C793,G936,E86,Z515,I251</t>
  </si>
  <si>
    <t>I259,I10,I639,N40,J448</t>
  </si>
  <si>
    <t>I493</t>
  </si>
  <si>
    <t>G20,D519,U072</t>
  </si>
  <si>
    <t>I259,I480,E118,E782,I10</t>
  </si>
  <si>
    <t>I208</t>
  </si>
  <si>
    <t>I509,R55,I480</t>
  </si>
  <si>
    <t>C341,J152</t>
  </si>
  <si>
    <t>E86,U071,I489,I10</t>
  </si>
  <si>
    <t>G401,I10,E782,G301,F051</t>
  </si>
  <si>
    <t>U071,I480,I10,J128</t>
  </si>
  <si>
    <t>N111,D171,K210,K500,I10</t>
  </si>
  <si>
    <t>U071,I10,Z290,E876,A749</t>
  </si>
  <si>
    <t>I10,U6975,N40</t>
  </si>
  <si>
    <t>I10,E440,K210,T432,Y1184</t>
  </si>
  <si>
    <t>J441,I259</t>
  </si>
  <si>
    <t>C827</t>
  </si>
  <si>
    <t>I10,E784</t>
  </si>
  <si>
    <t>J930</t>
  </si>
  <si>
    <t>J128,U071,I10,I269,E782</t>
  </si>
  <si>
    <t>I480,E785,I10,I500</t>
  </si>
  <si>
    <t>I10,E785,I652,J9610</t>
  </si>
  <si>
    <t>J848,I10,E789,J9610</t>
  </si>
  <si>
    <t>U6975,I259</t>
  </si>
  <si>
    <t>U6975,I259,I10,E789</t>
  </si>
  <si>
    <t>C900</t>
  </si>
  <si>
    <t>Z511,U6975,D630,I10,N390,E834</t>
  </si>
  <si>
    <t>J988,U099,E118,N40,I10</t>
  </si>
  <si>
    <t>U071,I10,E115,N40</t>
  </si>
  <si>
    <t>U071,B961,E119,H409,E039,Z290</t>
  </si>
  <si>
    <t>I480,I10,E785,I500</t>
  </si>
  <si>
    <t>I489,E119,D649,I10</t>
  </si>
  <si>
    <t>I259,I10,E782,N40</t>
  </si>
  <si>
    <t>W1999,U6975,S600,D62</t>
  </si>
  <si>
    <t>D333</t>
  </si>
  <si>
    <t>I10,E119,J952</t>
  </si>
  <si>
    <t>G98</t>
  </si>
  <si>
    <t>G218,I10,I693,E114,I258</t>
  </si>
  <si>
    <t>Z511,D611,Z515,J449,U6975</t>
  </si>
  <si>
    <t>Z081</t>
  </si>
  <si>
    <t>C73,E890</t>
  </si>
  <si>
    <t>I10,I259,I252</t>
  </si>
  <si>
    <t>U071,E112,Z940,N179,I259</t>
  </si>
  <si>
    <t>I509,J9609,J158,I481,I10,J90</t>
  </si>
  <si>
    <t>G473,I10,E116,E785,I480</t>
  </si>
  <si>
    <t>E876,I10,M169,M5390,N281</t>
  </si>
  <si>
    <t>I259,I484,I10,E119</t>
  </si>
  <si>
    <t>K929</t>
  </si>
  <si>
    <t>K922,D689</t>
  </si>
  <si>
    <t>I493,I10,E116,N183,E785</t>
  </si>
  <si>
    <t>Z432</t>
  </si>
  <si>
    <t>C20,Z932,I10,I489</t>
  </si>
  <si>
    <t>U071,Z290,I500,N183,I482</t>
  </si>
  <si>
    <t>I489,I10,I693,I652</t>
  </si>
  <si>
    <t>I480,I10,E114</t>
  </si>
  <si>
    <t>I10,E785,C61,J449,I958,D62</t>
  </si>
  <si>
    <t>W0101,D62</t>
  </si>
  <si>
    <t>U071,Z290,F019</t>
  </si>
  <si>
    <t>K869</t>
  </si>
  <si>
    <t>K30,I10,I839,M179</t>
  </si>
  <si>
    <t>K560,F019,I10,Z905,E119</t>
  </si>
  <si>
    <t>K102,M8198,M1398</t>
  </si>
  <si>
    <t>Z931,J209,I10,I352,G819</t>
  </si>
  <si>
    <t>I719</t>
  </si>
  <si>
    <t>I349</t>
  </si>
  <si>
    <t>J458</t>
  </si>
  <si>
    <t>J9600,G410,D62,I10,S8210,Z290</t>
  </si>
  <si>
    <t>I828</t>
  </si>
  <si>
    <t>N309,I10,E039</t>
  </si>
  <si>
    <t>I10,M0690,E039,E789,Z988</t>
  </si>
  <si>
    <t>M0598,E038,I10,I058,E785</t>
  </si>
  <si>
    <t>C509,I10,E785,E039</t>
  </si>
  <si>
    <t>N184,K638,E871,E876</t>
  </si>
  <si>
    <t>I480,I10,J939</t>
  </si>
  <si>
    <t>E119,E785</t>
  </si>
  <si>
    <t>E114,E789,I10</t>
  </si>
  <si>
    <t>B86</t>
  </si>
  <si>
    <t>I10,E669,I839,H409,B351,E790</t>
  </si>
  <si>
    <t>Z961,U6975,I10,E118,E780</t>
  </si>
  <si>
    <t>U071,I10,Z290,G309</t>
  </si>
  <si>
    <t>W1999,I259,I10,E039</t>
  </si>
  <si>
    <t>M5422</t>
  </si>
  <si>
    <t>Z961,U6975,I10,E780,G629,M8190</t>
  </si>
  <si>
    <t>W1999,I10,M8109,F412,E441</t>
  </si>
  <si>
    <t>E118,D62,I259</t>
  </si>
  <si>
    <t>S4230</t>
  </si>
  <si>
    <t>C880</t>
  </si>
  <si>
    <t>Z511,D630,U6975,E880</t>
  </si>
  <si>
    <t>E119,I10,E785,K277,D62</t>
  </si>
  <si>
    <t>Z966,M171,N342,U5010</t>
  </si>
  <si>
    <t>J9690,N182,I10,E118</t>
  </si>
  <si>
    <t>I480,I10,R55</t>
  </si>
  <si>
    <t>I10,E039,Z904</t>
  </si>
  <si>
    <t>Z961,J448,M8109</t>
  </si>
  <si>
    <t>I10,M0699</t>
  </si>
  <si>
    <t>C348</t>
  </si>
  <si>
    <t>J449,I10,I959,Z514,Z853</t>
  </si>
  <si>
    <t>Z961,I10,E785,E118,I872</t>
  </si>
  <si>
    <t>G700</t>
  </si>
  <si>
    <t>Q282,I10,E039</t>
  </si>
  <si>
    <t>Q282</t>
  </si>
  <si>
    <t>E86,I119,I489,E039</t>
  </si>
  <si>
    <t>U6975,Z511,E878,K720,N179</t>
  </si>
  <si>
    <t>D166</t>
  </si>
  <si>
    <t>F001,K590</t>
  </si>
  <si>
    <t>K831,I10,K859,U6975</t>
  </si>
  <si>
    <t>K831,I10,K267,E790,E788</t>
  </si>
  <si>
    <t>I610</t>
  </si>
  <si>
    <t>A46</t>
  </si>
  <si>
    <t>N390,E86,E117</t>
  </si>
  <si>
    <t>I10,E785,E039</t>
  </si>
  <si>
    <t>I7020,I259,I480,J449,E117</t>
  </si>
  <si>
    <t>L97,E117,D509,U586,U580</t>
  </si>
  <si>
    <t>I349,I230,I233</t>
  </si>
  <si>
    <t>K767</t>
  </si>
  <si>
    <t>K746,E871,R18,D538,E834</t>
  </si>
  <si>
    <t>W0109,I10,J450,D62,N390</t>
  </si>
  <si>
    <t>M165</t>
  </si>
  <si>
    <t>D62,L891,I10,J450,F019</t>
  </si>
  <si>
    <t>Y792,D62,U6975,Z038</t>
  </si>
  <si>
    <t>I10,E876</t>
  </si>
  <si>
    <t>K430,J958,E116,E669,I480</t>
  </si>
  <si>
    <t>U071,J068,Z290,I890,E116,I481</t>
  </si>
  <si>
    <t>H251</t>
  </si>
  <si>
    <t>H401,G309</t>
  </si>
  <si>
    <t>I829</t>
  </si>
  <si>
    <t>E119,E785,I10,J189,I259</t>
  </si>
  <si>
    <t>N390,F010,I10,M0690</t>
  </si>
  <si>
    <t>C180,J189,E039</t>
  </si>
  <si>
    <t>K389</t>
  </si>
  <si>
    <t>E039,K650</t>
  </si>
  <si>
    <t>J955</t>
  </si>
  <si>
    <t>Z514,E119,I482,I10</t>
  </si>
  <si>
    <t>H110</t>
  </si>
  <si>
    <t>E838</t>
  </si>
  <si>
    <t>U071,Z290,J128,I483,I259</t>
  </si>
  <si>
    <t>D126</t>
  </si>
  <si>
    <t>I251,N183,E138,I10,E782</t>
  </si>
  <si>
    <t>K850</t>
  </si>
  <si>
    <t>J449,I489,U6975,I10,E117</t>
  </si>
  <si>
    <t>C080</t>
  </si>
  <si>
    <t>Z511,C787,C778</t>
  </si>
  <si>
    <t>Z511,C787,C771</t>
  </si>
  <si>
    <t>Z514,C795,C780,C779,E876</t>
  </si>
  <si>
    <t>F079</t>
  </si>
  <si>
    <t>N309,E834,I480,I10</t>
  </si>
  <si>
    <t>I119,I481,J189</t>
  </si>
  <si>
    <t>D649,M5490,J459,I10,E782</t>
  </si>
  <si>
    <t>U071,J9600,N178,I10,E119</t>
  </si>
  <si>
    <t>U071,I10,E119,J128</t>
  </si>
  <si>
    <t>D62,K579,I259,N183,G473</t>
  </si>
  <si>
    <t>M4696</t>
  </si>
  <si>
    <t>J068,U071,Z290,I10,E118</t>
  </si>
  <si>
    <t>I420,I10,I482,E118,E785</t>
  </si>
  <si>
    <t>C183</t>
  </si>
  <si>
    <t>I10,E119,E789</t>
  </si>
  <si>
    <t>U071,J9600,J80,N179,C900,Z290</t>
  </si>
  <si>
    <t>E108,I10,E782,K590</t>
  </si>
  <si>
    <t>E104,I10</t>
  </si>
  <si>
    <t>M0280</t>
  </si>
  <si>
    <t>I10,N309,I481,I509,D638</t>
  </si>
  <si>
    <t>E117,I7021,I10,I490,N183</t>
  </si>
  <si>
    <t>I259,I489,U6975,E875,E119,U583</t>
  </si>
  <si>
    <t>U071,I10,E118,J128</t>
  </si>
  <si>
    <t>I672,J441,L97,I10,E117</t>
  </si>
  <si>
    <t>M4806,M5490,E669,I10,M1099</t>
  </si>
  <si>
    <t>I10,C64,N40,E039</t>
  </si>
  <si>
    <t>W1999,U6975,J189,C900,F058,N183</t>
  </si>
  <si>
    <t>S8280</t>
  </si>
  <si>
    <t>W2981,I10,E039,E789</t>
  </si>
  <si>
    <t>K740</t>
  </si>
  <si>
    <t>I10,J449</t>
  </si>
  <si>
    <t>U071,I480,N40</t>
  </si>
  <si>
    <t>I509,I498,I10,E782,E790</t>
  </si>
  <si>
    <t>I480,N300,M171,E119,I10</t>
  </si>
  <si>
    <t>E782,E118,I10</t>
  </si>
  <si>
    <t>W0100,I10,I259</t>
  </si>
  <si>
    <t>C679,N134</t>
  </si>
  <si>
    <t>I495,E118,N183</t>
  </si>
  <si>
    <t>B956,Z992,Z978,N185,N258</t>
  </si>
  <si>
    <t>I482,I259,I495,I350</t>
  </si>
  <si>
    <t>C151</t>
  </si>
  <si>
    <t>Z514,Z513,D611,D696</t>
  </si>
  <si>
    <t>Z511,Z510,I489</t>
  </si>
  <si>
    <t>J9600,I269,F050,I10,E118,U071</t>
  </si>
  <si>
    <t>U071,C340,I10,I259,Z290,J9600</t>
  </si>
  <si>
    <t>Z510,I871,I828,I10,E785</t>
  </si>
  <si>
    <t>D70,Z922,I10,E785,N40</t>
  </si>
  <si>
    <t>C340,D70,I10,Z921</t>
  </si>
  <si>
    <t>I672,I693,I489,I10,E119,U585</t>
  </si>
  <si>
    <t>J168,D70,Z511,D695,N280,U6975</t>
  </si>
  <si>
    <t>W0180,S934,S0600,S008,R55</t>
  </si>
  <si>
    <t>J188,I259,U072,E660</t>
  </si>
  <si>
    <t>I10,J301</t>
  </si>
  <si>
    <t>J9600,N390,B370,I259,I10</t>
  </si>
  <si>
    <t>I633,U5020</t>
  </si>
  <si>
    <t>I635,I10</t>
  </si>
  <si>
    <t>I10,Z878,B351</t>
  </si>
  <si>
    <t>E876,E871,E86,S009,W0101</t>
  </si>
  <si>
    <t>Z515,E117,I10,C787,C795</t>
  </si>
  <si>
    <t>I10,E782,E118</t>
  </si>
  <si>
    <t>I10,E785,E119</t>
  </si>
  <si>
    <t>K802,U6975,I10</t>
  </si>
  <si>
    <t>E119,N183</t>
  </si>
  <si>
    <t>W0180,S6250,D62</t>
  </si>
  <si>
    <t>W0001,D62,U6975</t>
  </si>
  <si>
    <t>I489,E871,I10</t>
  </si>
  <si>
    <t>H052</t>
  </si>
  <si>
    <t>E062,I489,I119</t>
  </si>
  <si>
    <t>C541</t>
  </si>
  <si>
    <t>Z923</t>
  </si>
  <si>
    <t>I480,I10,D849</t>
  </si>
  <si>
    <t>K260,U071,E86,F011,I10,Z290</t>
  </si>
  <si>
    <t>I10,E876,E782</t>
  </si>
  <si>
    <t>E86,E440,I10</t>
  </si>
  <si>
    <t>J128,U099,A047,I480,I10</t>
  </si>
  <si>
    <t>I672,E875,I480,I119</t>
  </si>
  <si>
    <t>E785,I10,B968</t>
  </si>
  <si>
    <t>N136</t>
  </si>
  <si>
    <t>I10,E785,B968,Z988</t>
  </si>
  <si>
    <t>G454</t>
  </si>
  <si>
    <t>C437</t>
  </si>
  <si>
    <t>E118,E782,I10,E038</t>
  </si>
  <si>
    <t>C772,E119,I10,F410</t>
  </si>
  <si>
    <t>Z514,C772,D695,D70,E876</t>
  </si>
  <si>
    <t>C772,E119,Z511</t>
  </si>
  <si>
    <t>E117,I10,U6975,N183</t>
  </si>
  <si>
    <t>N179,I259,E108,I10</t>
  </si>
  <si>
    <t>E119,I10,I839</t>
  </si>
  <si>
    <t>M5456,M171,U5010</t>
  </si>
  <si>
    <t>M7757</t>
  </si>
  <si>
    <t>I10,E785,E119,I259,D62</t>
  </si>
  <si>
    <t>G629,E124,M5456,G409,I10</t>
  </si>
  <si>
    <t>U071,Z290,N390,E117,I10</t>
  </si>
  <si>
    <t>N390,I10,E119,E039</t>
  </si>
  <si>
    <t>Z966,M161,U5010</t>
  </si>
  <si>
    <t>U6975,Z038,D62</t>
  </si>
  <si>
    <t>I10,L97,I489,E114,I7090</t>
  </si>
  <si>
    <t>B351,B353,B952,I10</t>
  </si>
  <si>
    <t>C946</t>
  </si>
  <si>
    <t>U071,N390</t>
  </si>
  <si>
    <t>M329</t>
  </si>
  <si>
    <t>N184,I489,I10,E038</t>
  </si>
  <si>
    <t>R402,N189,I489,I10,E038</t>
  </si>
  <si>
    <t>N189,I489,I10,E038</t>
  </si>
  <si>
    <t>M5446,I10,E785,M8198</t>
  </si>
  <si>
    <t>G912</t>
  </si>
  <si>
    <t>M8198,M5446,I10,E785</t>
  </si>
  <si>
    <t>B009,I119,F023</t>
  </si>
  <si>
    <t>I10,F018,R251,I839,F068</t>
  </si>
  <si>
    <t>I10,E756,E440,F03</t>
  </si>
  <si>
    <t>I480,E782,N183</t>
  </si>
  <si>
    <t>I480,E782,N183,N300,I255</t>
  </si>
  <si>
    <t>J9600,U071,Z290</t>
  </si>
  <si>
    <t>M175</t>
  </si>
  <si>
    <t>N362</t>
  </si>
  <si>
    <t>J304,E785,I258,I10</t>
  </si>
  <si>
    <t>K045,I10,E785</t>
  </si>
  <si>
    <t>M160,Z966,U5020</t>
  </si>
  <si>
    <t>U6975,I489,E119,I10,I340,U585</t>
  </si>
  <si>
    <t>I259,I489,E119,U072,J128</t>
  </si>
  <si>
    <t>I351</t>
  </si>
  <si>
    <t>I480,N182</t>
  </si>
  <si>
    <t>N10,B342,U071,Z290,I119</t>
  </si>
  <si>
    <t>I638</t>
  </si>
  <si>
    <t>C531</t>
  </si>
  <si>
    <t>F050</t>
  </si>
  <si>
    <t>F013,N390</t>
  </si>
  <si>
    <t>T788,I480,E039,F412,U6975</t>
  </si>
  <si>
    <t>V1351,J952,D62,S1210</t>
  </si>
  <si>
    <t>D688,I10,J459,F920</t>
  </si>
  <si>
    <t>W0188</t>
  </si>
  <si>
    <t>W0188,I10,K519,N390,E785</t>
  </si>
  <si>
    <t>I10,K519,N390,E785,S7210</t>
  </si>
  <si>
    <t>S7210,U5030</t>
  </si>
  <si>
    <t>E789,E038,Z988</t>
  </si>
  <si>
    <t>G430,E119,F328,E038,E784</t>
  </si>
  <si>
    <t>U071,Z290,I10,E782,M8100</t>
  </si>
  <si>
    <t>A881,E785,H409</t>
  </si>
  <si>
    <t>E118,E782,N182</t>
  </si>
  <si>
    <t>Z514,R18,C787,C786</t>
  </si>
  <si>
    <t>U071,Z290,J9600</t>
  </si>
  <si>
    <t>I952</t>
  </si>
  <si>
    <t>U099,A020,E86,N178,I480</t>
  </si>
  <si>
    <t>I693,I10,I482,E127,H409</t>
  </si>
  <si>
    <t>I10,E114,E782,I481,E038</t>
  </si>
  <si>
    <t>K221,I10,E834,E117,I482</t>
  </si>
  <si>
    <t>H258,I498,J448,I10,I830,E038</t>
  </si>
  <si>
    <t>C501</t>
  </si>
  <si>
    <t>K868,E038,E782</t>
  </si>
  <si>
    <t>U6975,E46,E782</t>
  </si>
  <si>
    <t>K219,I7021</t>
  </si>
  <si>
    <t>I489,E119,I10,E039,M8199</t>
  </si>
  <si>
    <t>I340,I481,E039,N189,E118</t>
  </si>
  <si>
    <t>U071,Z290,E871,K768,I480</t>
  </si>
  <si>
    <t>I10,U6975,I480,E871,E782</t>
  </si>
  <si>
    <t>I10,I489,E789</t>
  </si>
  <si>
    <t>I10,E785,N183,E119</t>
  </si>
  <si>
    <t>C503</t>
  </si>
  <si>
    <t>Z514,C793</t>
  </si>
  <si>
    <t>I10,E782,E119</t>
  </si>
  <si>
    <t>G300</t>
  </si>
  <si>
    <t>E210</t>
  </si>
  <si>
    <t>E876,U6975,Z038</t>
  </si>
  <si>
    <t>K746</t>
  </si>
  <si>
    <t>K432,E834,E441,J91,E039</t>
  </si>
  <si>
    <t>H401,E118,E785</t>
  </si>
  <si>
    <t>I495,E785</t>
  </si>
  <si>
    <t>C780,K746,K766,R18,K767</t>
  </si>
  <si>
    <t>J323</t>
  </si>
  <si>
    <t>E119,K649,K571,D649,J42,M169</t>
  </si>
  <si>
    <t>I10,I259,E115,I7020,I714</t>
  </si>
  <si>
    <t>C20</t>
  </si>
  <si>
    <t>K660,I10,E789,E119,N189</t>
  </si>
  <si>
    <t>E118,W0189,C341,Z515,Z511</t>
  </si>
  <si>
    <t>Z514,E876,I10,E118,I482</t>
  </si>
  <si>
    <t>S8210</t>
  </si>
  <si>
    <t>W1999,D683,E117</t>
  </si>
  <si>
    <t>C252,H903,I10,I803,E789</t>
  </si>
  <si>
    <t>C61,I10,E107,Z904,N200</t>
  </si>
  <si>
    <t>E118,I10,E782,E790,N183</t>
  </si>
  <si>
    <t>U071,Z290,D381,E139,C250</t>
  </si>
  <si>
    <t>E139,J958,J449,Z921</t>
  </si>
  <si>
    <t>E46,E86,K830,I10,U6975</t>
  </si>
  <si>
    <t>D377,E118</t>
  </si>
  <si>
    <t>E139,C250,J449,Z514</t>
  </si>
  <si>
    <t>I64,I269,N178,A047,Z930</t>
  </si>
  <si>
    <t>J449,I10,E119</t>
  </si>
  <si>
    <t>K510,K518,K658,J189,K650</t>
  </si>
  <si>
    <t>U071,Z290,K518,C61,K760,J128</t>
  </si>
  <si>
    <t>N182,I250,I119,D500,I482</t>
  </si>
  <si>
    <t>I10,I481,I255,K769,Z952</t>
  </si>
  <si>
    <t>I442,I259,I482,E119</t>
  </si>
  <si>
    <t>K703</t>
  </si>
  <si>
    <t>N390,N19,B968,I828,D649</t>
  </si>
  <si>
    <t>K704</t>
  </si>
  <si>
    <t>A418,K767,E440,N179</t>
  </si>
  <si>
    <t>I832</t>
  </si>
  <si>
    <t>I10,E079,E119,E785,I489,B353</t>
  </si>
  <si>
    <t>I259,I480</t>
  </si>
  <si>
    <t>I10,E790,H314,H444</t>
  </si>
  <si>
    <t>J441,E119,I10,J9600,E785,I259</t>
  </si>
  <si>
    <t>J151,J440,I500,E117,I259,F058</t>
  </si>
  <si>
    <t>K579,I489,I10,E785</t>
  </si>
  <si>
    <t>K659</t>
  </si>
  <si>
    <t>I259,K929,K631,Z930</t>
  </si>
  <si>
    <t>C838</t>
  </si>
  <si>
    <t>Z511,U6975</t>
  </si>
  <si>
    <t>Z511,C787</t>
  </si>
  <si>
    <t>I639,I635,J449,J952,A419</t>
  </si>
  <si>
    <t>J449,J90,T174,J180,K458</t>
  </si>
  <si>
    <t>J181,E117,I10</t>
  </si>
  <si>
    <t>M8180,M5446,I10,I482</t>
  </si>
  <si>
    <t>Z511,D630,E118,Z978,U6975</t>
  </si>
  <si>
    <t>Z511,I10,E118,E883,D688,U6975</t>
  </si>
  <si>
    <t>B968,E119,I259,I10</t>
  </si>
  <si>
    <t>I10,I258,E118,B964,I252</t>
  </si>
  <si>
    <t>D731,K717,K766,E118,I10</t>
  </si>
  <si>
    <t>D649,D731,K717,K766,E118</t>
  </si>
  <si>
    <t>K767,E440,D649,D731,D758</t>
  </si>
  <si>
    <t>I200,I259,E785,I341</t>
  </si>
  <si>
    <t>I482,I10</t>
  </si>
  <si>
    <t>T814,K800,J90,A047</t>
  </si>
  <si>
    <t>K432,T810,K800</t>
  </si>
  <si>
    <t>J128,U071,J158,I260,D649,J458</t>
  </si>
  <si>
    <t>W1800,J439,J450,M158,I10,M8280</t>
  </si>
  <si>
    <t>J189,C900,I251</t>
  </si>
  <si>
    <t>F019,I259,I10,E119,U072</t>
  </si>
  <si>
    <t>I10,N189</t>
  </si>
  <si>
    <t>C447</t>
  </si>
  <si>
    <t>N358,I10,I482</t>
  </si>
  <si>
    <t>K045,I10,E799,F102,K760,M1099</t>
  </si>
  <si>
    <t>D630</t>
  </si>
  <si>
    <t>U072,C61,D648,Z907,K449</t>
  </si>
  <si>
    <t>U071,Z290,C61</t>
  </si>
  <si>
    <t>C61,U6975,Z038</t>
  </si>
  <si>
    <t>H908,K219</t>
  </si>
  <si>
    <t>I10,N309</t>
  </si>
  <si>
    <t>I610,N342,U6975,U5040</t>
  </si>
  <si>
    <t>F321</t>
  </si>
  <si>
    <t>F510,I10,Z818</t>
  </si>
  <si>
    <t>I10,E105</t>
  </si>
  <si>
    <t>W1701,S018,S0200,G20,M358</t>
  </si>
  <si>
    <t>M358,N40,G473</t>
  </si>
  <si>
    <t>I10,E118,E038,N184,E782</t>
  </si>
  <si>
    <t>I10,E039,E785,Z988</t>
  </si>
  <si>
    <t>I10,E785,E117</t>
  </si>
  <si>
    <t>E789,I259</t>
  </si>
  <si>
    <t>K260</t>
  </si>
  <si>
    <t>F068</t>
  </si>
  <si>
    <t>W0189,T009,M0600,G720,S3270</t>
  </si>
  <si>
    <t>I10,S9290</t>
  </si>
  <si>
    <t>M6290</t>
  </si>
  <si>
    <t>I420,E119,I10,D648,E782</t>
  </si>
  <si>
    <t>Z511,D696,I10,Z452,Z978,U6975</t>
  </si>
  <si>
    <t>E117,I10,D62,J458,E038</t>
  </si>
  <si>
    <t>Z514,E440,N300</t>
  </si>
  <si>
    <t>W0111,I10,E785,E119,N309</t>
  </si>
  <si>
    <t>N300,J180,C835,D648</t>
  </si>
  <si>
    <t>I209,I259,I10,E119,E785</t>
  </si>
  <si>
    <t>Z514,C781,K523,K858,E273</t>
  </si>
  <si>
    <t>Z514,C772,I269</t>
  </si>
  <si>
    <t>I509,I350</t>
  </si>
  <si>
    <t>K250,D62,I259</t>
  </si>
  <si>
    <t>I712</t>
  </si>
  <si>
    <t>I350,I235,I312,J951,N390</t>
  </si>
  <si>
    <t>N903</t>
  </si>
  <si>
    <t>L900</t>
  </si>
  <si>
    <t>Z932,E86,E871,E441,E058</t>
  </si>
  <si>
    <t>E86,K500,Z932,U071</t>
  </si>
  <si>
    <t>K500,N179,E86,Z932</t>
  </si>
  <si>
    <t>K500,N179,E86,Z932,U6975</t>
  </si>
  <si>
    <t>M4649</t>
  </si>
  <si>
    <t>K501,E86,E876,E834,E441</t>
  </si>
  <si>
    <t>C787,N390,E871,E790,I10</t>
  </si>
  <si>
    <t>J90,I269,J189,C787,N390</t>
  </si>
  <si>
    <t>U071,Z290,I480,I10</t>
  </si>
  <si>
    <t>K869,E039</t>
  </si>
  <si>
    <t>Z511,C772,C165</t>
  </si>
  <si>
    <t>C772,E119,I10,F410,Z514</t>
  </si>
  <si>
    <t>D350</t>
  </si>
  <si>
    <t>G551,I10,E114</t>
  </si>
  <si>
    <t>E119,I10,K277,U6975,U072</t>
  </si>
  <si>
    <t>U072,Z290,I10,K277,E119</t>
  </si>
  <si>
    <t>E039,E789</t>
  </si>
  <si>
    <t>W0191,D62,N309,I10,E039</t>
  </si>
  <si>
    <t>E785,E039,R739,U6975,Z038</t>
  </si>
  <si>
    <t>E118,E039,I10</t>
  </si>
  <si>
    <t>Z514,D611</t>
  </si>
  <si>
    <t>C320</t>
  </si>
  <si>
    <t>J959,Z930,I10,Z921,K287,E118</t>
  </si>
  <si>
    <t>Z510,I10,I802</t>
  </si>
  <si>
    <t>Z930,K219,E118,E660,I10</t>
  </si>
  <si>
    <t>E119,M5489,M179,I744,H749</t>
  </si>
  <si>
    <t>J450,K519,I10,E039,E789</t>
  </si>
  <si>
    <t>I10,E782,M8150,H409,F419</t>
  </si>
  <si>
    <t>C782</t>
  </si>
  <si>
    <t>C341,J91,Z515,D649,H408</t>
  </si>
  <si>
    <t>Z508,Z902,I10,H408,A047</t>
  </si>
  <si>
    <t>J90,I10,H408</t>
  </si>
  <si>
    <t>H271</t>
  </si>
  <si>
    <t>I259,I480,I10</t>
  </si>
  <si>
    <t>I259,I10,J42,K259,Z488</t>
  </si>
  <si>
    <t>C183,I119,E119,K861,F920,Z514</t>
  </si>
  <si>
    <t>C793</t>
  </si>
  <si>
    <t>Z511,C183,C797,Z510</t>
  </si>
  <si>
    <t>I480,I10,E119</t>
  </si>
  <si>
    <t>E892</t>
  </si>
  <si>
    <t>U071,J160,N390,G473,I10,Z290</t>
  </si>
  <si>
    <t>E119,I10,E785,I259</t>
  </si>
  <si>
    <t>M169,M8580,E559,I10,M1990</t>
  </si>
  <si>
    <t>H258,H521,I10,I498,E785</t>
  </si>
  <si>
    <t>I481,D62,E86,E138,I10</t>
  </si>
  <si>
    <t>C022</t>
  </si>
  <si>
    <t>J958,I10</t>
  </si>
  <si>
    <t>I10,E782,I450,I480</t>
  </si>
  <si>
    <t>K010,K083,E785,I10</t>
  </si>
  <si>
    <t>W1999,D683,E660,I10,E031,U6975</t>
  </si>
  <si>
    <t>F066,U071,Z228,M5457</t>
  </si>
  <si>
    <t>Z922</t>
  </si>
  <si>
    <t>Y838</t>
  </si>
  <si>
    <t>Y838,C541</t>
  </si>
  <si>
    <t>D181</t>
  </si>
  <si>
    <t>A46,R509</t>
  </si>
  <si>
    <t>D381,N300,J448,I10,E118</t>
  </si>
  <si>
    <t>J90,I10,Z853,U6975,D381</t>
  </si>
  <si>
    <t>N183,I10,J449</t>
  </si>
  <si>
    <t>G473,I10,E118,U071,E86,J448</t>
  </si>
  <si>
    <t>G473,J448,I10,E118,J441</t>
  </si>
  <si>
    <t>E116</t>
  </si>
  <si>
    <t>E162,I500,I10,U585,E660</t>
  </si>
  <si>
    <t>J449,G473,I10,E118,Z950</t>
  </si>
  <si>
    <t>W1999,S5250,U6975</t>
  </si>
  <si>
    <t>M163</t>
  </si>
  <si>
    <t>I10,K219,M5450</t>
  </si>
  <si>
    <t>C680</t>
  </si>
  <si>
    <t>Z514,N300</t>
  </si>
  <si>
    <t>Z514,C797,C680,N390</t>
  </si>
  <si>
    <t>C672,I958,I498,B968,U6975</t>
  </si>
  <si>
    <t>I482,U6975,I10,E782</t>
  </si>
  <si>
    <t>I10,E114,E789</t>
  </si>
  <si>
    <t>I10,G409</t>
  </si>
  <si>
    <t>C441</t>
  </si>
  <si>
    <t>I500,I10,E785,E118</t>
  </si>
  <si>
    <t>I409,E107</t>
  </si>
  <si>
    <t>D383</t>
  </si>
  <si>
    <t>F001,E059,I10,M5457</t>
  </si>
  <si>
    <t>K575</t>
  </si>
  <si>
    <t>J459,I10,J449,Z902,K635</t>
  </si>
  <si>
    <t>G528</t>
  </si>
  <si>
    <t>I10,R730,T784</t>
  </si>
  <si>
    <t>J341,M5489,D689</t>
  </si>
  <si>
    <t>L039</t>
  </si>
  <si>
    <t>N183,E138,I10</t>
  </si>
  <si>
    <t>K766,R18,K283,D648,I10</t>
  </si>
  <si>
    <t>R18,K766,D648,I489,I10</t>
  </si>
  <si>
    <t>I259,I10,E789,Z932</t>
  </si>
  <si>
    <t>I10,E790,E785</t>
  </si>
  <si>
    <t>C060</t>
  </si>
  <si>
    <t>C770,U071,Z514,E441,J128</t>
  </si>
  <si>
    <t>C620</t>
  </si>
  <si>
    <t>I10,E790</t>
  </si>
  <si>
    <t>I132,E117,N185,D638</t>
  </si>
  <si>
    <t>I441,I258,E118,E785</t>
  </si>
  <si>
    <t>R572,J9600,A419,C187,K660</t>
  </si>
  <si>
    <t>I10,N40,M5456</t>
  </si>
  <si>
    <t>E115,I10,I258,J448,N189</t>
  </si>
  <si>
    <t>E115,I10,I258,E789</t>
  </si>
  <si>
    <t>E115,I259,N189,Z488</t>
  </si>
  <si>
    <t>I10,E118,U071,Z951,J449</t>
  </si>
  <si>
    <t>Z961,I10,I693,G473,U6975</t>
  </si>
  <si>
    <t>N308</t>
  </si>
  <si>
    <t>I481,I10,E119</t>
  </si>
  <si>
    <t>Y772,Z961,H405,I10,I259,E118</t>
  </si>
  <si>
    <t>N183,I489</t>
  </si>
  <si>
    <t>E782,I10</t>
  </si>
  <si>
    <t>Z514,Z852,M9953,J448,I10</t>
  </si>
  <si>
    <t>J449,I10,Z514,Z852</t>
  </si>
  <si>
    <t>C61,J449,J989</t>
  </si>
  <si>
    <t>U6975,I248,I10</t>
  </si>
  <si>
    <t>U071,J9600,A047,J156,N178</t>
  </si>
  <si>
    <t>Z514,C779</t>
  </si>
  <si>
    <t>Z514,C795,C911,C61,N390</t>
  </si>
  <si>
    <t>Z514,C61,C911,I10,N300,D611</t>
  </si>
  <si>
    <t>E115,E785,I10</t>
  </si>
  <si>
    <t>M8198,R730</t>
  </si>
  <si>
    <t>E108,I10,E789</t>
  </si>
  <si>
    <t>J128,U071,I10,N40</t>
  </si>
  <si>
    <t>U071,J9600,A419</t>
  </si>
  <si>
    <t>K083,I10,E785,J42,I259</t>
  </si>
  <si>
    <t>N210,I10,E785,N189</t>
  </si>
  <si>
    <t>M5326,I10,I839</t>
  </si>
  <si>
    <t>R091,C911,K295,E139,I10,N179</t>
  </si>
  <si>
    <t>C090</t>
  </si>
  <si>
    <t>C250,E118,I10,J383</t>
  </si>
  <si>
    <t>C250,E119,I10</t>
  </si>
  <si>
    <t>R600,E119,I10,R490</t>
  </si>
  <si>
    <t>C250,R600,E119,I10,R490</t>
  </si>
  <si>
    <t>E86,E876,I489,E117,I119</t>
  </si>
  <si>
    <t>E118,E782,I351,I10</t>
  </si>
  <si>
    <t>D477</t>
  </si>
  <si>
    <t>D691,K769,I259,Z514</t>
  </si>
  <si>
    <t>I958,I259,I10,N189,D62</t>
  </si>
  <si>
    <t>C749,N200,N201,I10,I259</t>
  </si>
  <si>
    <t>J128,U099,E119,I10,U071,Z290</t>
  </si>
  <si>
    <t>I671</t>
  </si>
  <si>
    <t>I725,I259,I481,E782,I10</t>
  </si>
  <si>
    <t>E052</t>
  </si>
  <si>
    <t>E214,T818,I10,E118,E785,H749</t>
  </si>
  <si>
    <t>I501,I259,I10,E789</t>
  </si>
  <si>
    <t>I259,I10,N189,E782</t>
  </si>
  <si>
    <t>C621,Z510</t>
  </si>
  <si>
    <t>M7969</t>
  </si>
  <si>
    <t>N183,Z988,Z855,E782,I10</t>
  </si>
  <si>
    <t>N210,U6975,I10,Z904</t>
  </si>
  <si>
    <t>J180,I10,E660,C64,D410</t>
  </si>
  <si>
    <t>I633,I480,U5010</t>
  </si>
  <si>
    <t>I489,I10,N309</t>
  </si>
  <si>
    <t>E116,I10,I251,M5456</t>
  </si>
  <si>
    <t>J989,I10</t>
  </si>
  <si>
    <t>I743</t>
  </si>
  <si>
    <t>I10,I259,C900,N40,I7021</t>
  </si>
  <si>
    <t>E875,E039</t>
  </si>
  <si>
    <t>A047,I500,N179,I259,E118</t>
  </si>
  <si>
    <t>S051,S053,W0101,K717,K766,K729</t>
  </si>
  <si>
    <t>U071,Z290,J9600,E115,C900,N189</t>
  </si>
  <si>
    <t>U6975,Z511,I259,I10,D630</t>
  </si>
  <si>
    <t>E876,E86,K253,I10,N40</t>
  </si>
  <si>
    <t>U6975,G629,J988,I10</t>
  </si>
  <si>
    <t>N459,U6975,G629,J998</t>
  </si>
  <si>
    <t>I431</t>
  </si>
  <si>
    <t>W1999,U6975,E117</t>
  </si>
  <si>
    <t>E105,I10,I259,G309,G20</t>
  </si>
  <si>
    <t>I10,E785,E038,U6975,Z038</t>
  </si>
  <si>
    <t>F205</t>
  </si>
  <si>
    <t>I10,I744,Z933,U6975</t>
  </si>
  <si>
    <t>J189,I10,I480,E119</t>
  </si>
  <si>
    <t>G35,M8008,M5456,F412</t>
  </si>
  <si>
    <t>I10,E119,E782,Z988</t>
  </si>
  <si>
    <t>T841</t>
  </si>
  <si>
    <t>Y792,D62,I10,E782,U6975</t>
  </si>
  <si>
    <t>E782,E118</t>
  </si>
  <si>
    <t>M450</t>
  </si>
  <si>
    <t>M332,M1901,M5450,I10,M8105</t>
  </si>
  <si>
    <t>C771</t>
  </si>
  <si>
    <t>Z514,C795,C780,C782,C504</t>
  </si>
  <si>
    <t>I481,I10,E119,E785</t>
  </si>
  <si>
    <t>D62,I480,K625,U6975</t>
  </si>
  <si>
    <t>C510</t>
  </si>
  <si>
    <t>T814,I10</t>
  </si>
  <si>
    <t>U071,Z290,E86,K769</t>
  </si>
  <si>
    <t>Z511,E876,U6975,E039,Z978</t>
  </si>
  <si>
    <t>Z511,U6975,Z978</t>
  </si>
  <si>
    <t>Z511,D630,U6975,D70,R509,Z452</t>
  </si>
  <si>
    <t>Z511,E878,Z978,U6975</t>
  </si>
  <si>
    <t>C118</t>
  </si>
  <si>
    <t>T810</t>
  </si>
  <si>
    <t>U6975,Z511,D70,I481,E118,Z452</t>
  </si>
  <si>
    <t>Z511,I482,Z431,Z452,Z978</t>
  </si>
  <si>
    <t>Z511,E118,I489,U6975,Z978</t>
  </si>
  <si>
    <t>I489,E785,E119</t>
  </si>
  <si>
    <t>D434</t>
  </si>
  <si>
    <t>M358</t>
  </si>
  <si>
    <t>M6089,N300,J848,J440,E038</t>
  </si>
  <si>
    <t>H251,I259,I498,Z950,U6975,E107</t>
  </si>
  <si>
    <t>K862</t>
  </si>
  <si>
    <t>U071,J9600,A418,I10,E118,Z290</t>
  </si>
  <si>
    <t>E440,E118,I119,C504</t>
  </si>
  <si>
    <t>I480,I10,E46</t>
  </si>
  <si>
    <t>I633,I10</t>
  </si>
  <si>
    <t>I10,K219</t>
  </si>
  <si>
    <t>I7010</t>
  </si>
  <si>
    <t>I495,I480,E039,I150</t>
  </si>
  <si>
    <t>Z450,Z950</t>
  </si>
  <si>
    <t>H114</t>
  </si>
  <si>
    <t>I10,M8109</t>
  </si>
  <si>
    <t>S0270</t>
  </si>
  <si>
    <t>W0101,I10,E039,K219,S0290</t>
  </si>
  <si>
    <t>U071,I470,J128</t>
  </si>
  <si>
    <t>M1097</t>
  </si>
  <si>
    <t>M1307,E117,I10,E660,N183</t>
  </si>
  <si>
    <t>I458,E875,I252,E039,I10</t>
  </si>
  <si>
    <t>U071,Z290,C509</t>
  </si>
  <si>
    <t>I10,E782,E115,N189</t>
  </si>
  <si>
    <t>I500,J459,F070,I499</t>
  </si>
  <si>
    <t>W0100,D62,U6975,Z038,E117</t>
  </si>
  <si>
    <t>U071,Z290,J068,I489</t>
  </si>
  <si>
    <t>I693,I10,I489,E789</t>
  </si>
  <si>
    <t>U071,J9600,J849,E789,J301,K760</t>
  </si>
  <si>
    <t>K622,Z932,E039</t>
  </si>
  <si>
    <t>K623,K631,K573</t>
  </si>
  <si>
    <t>J128,U099,N309,I10,E785</t>
  </si>
  <si>
    <t>I10,E785,E118</t>
  </si>
  <si>
    <t>I10,I7020</t>
  </si>
  <si>
    <t>N398</t>
  </si>
  <si>
    <t>E782,E063</t>
  </si>
  <si>
    <t>U071,Z290,E117,E782,I10</t>
  </si>
  <si>
    <t>E119,I10,E785,I259,U6975</t>
  </si>
  <si>
    <t>N850</t>
  </si>
  <si>
    <t>K219,E785,I10</t>
  </si>
  <si>
    <t>J156,E876,G35,U6975</t>
  </si>
  <si>
    <t>U071,N390,I272,I480,I10,I500</t>
  </si>
  <si>
    <t>J381,D109</t>
  </si>
  <si>
    <t>M170,Z966,U5010</t>
  </si>
  <si>
    <t>U071,Z940,N183,D638,Z290,J128</t>
  </si>
  <si>
    <t>N184,E875,L089,E118,I10</t>
  </si>
  <si>
    <t>I10,E116,K659,D649</t>
  </si>
  <si>
    <t>G409,I10,J180,I489,J9699</t>
  </si>
  <si>
    <t>E785,U6975,Z038</t>
  </si>
  <si>
    <t>Z966,M171,U5010</t>
  </si>
  <si>
    <t>I10,E119,I481</t>
  </si>
  <si>
    <t>I481,I259,I10</t>
  </si>
  <si>
    <t>E785,I10,E039</t>
  </si>
  <si>
    <t>I10,D374</t>
  </si>
  <si>
    <t>I802,K30,E86,F019,K210</t>
  </si>
  <si>
    <t>N300,I64,I10</t>
  </si>
  <si>
    <t>K30,E86,N390,U6975</t>
  </si>
  <si>
    <t>E871,K30,E86,N390,F019</t>
  </si>
  <si>
    <t>N390,E870,I10,G631,C509</t>
  </si>
  <si>
    <t>I10,I259,I489,U589</t>
  </si>
  <si>
    <t>H402</t>
  </si>
  <si>
    <t>H314,H401,H182,U6975,Z961,E785</t>
  </si>
  <si>
    <t>C439</t>
  </si>
  <si>
    <t>I10,E039,E789,E790</t>
  </si>
  <si>
    <t>C446</t>
  </si>
  <si>
    <t>U071,J9600,I10,R060,C509,Z290</t>
  </si>
  <si>
    <t>D62,E118,I10,E784,J448</t>
  </si>
  <si>
    <t>H470</t>
  </si>
  <si>
    <t>H258,I489</t>
  </si>
  <si>
    <t>N178,K263,N184,I500,I482</t>
  </si>
  <si>
    <t>K263,K30,I500,I482,E107</t>
  </si>
  <si>
    <t>C950</t>
  </si>
  <si>
    <t>Z452,Z978</t>
  </si>
  <si>
    <t>U6975,I10,E790,N40,G473</t>
  </si>
  <si>
    <t>K045,I489</t>
  </si>
  <si>
    <t>E114</t>
  </si>
  <si>
    <t>E162,I10,E780,I7090</t>
  </si>
  <si>
    <t>G629,E118,I10,F03</t>
  </si>
  <si>
    <t>C23</t>
  </si>
  <si>
    <t>U071,I119,E119,J9600,Z290</t>
  </si>
  <si>
    <t>U071,Z290,I10,M0730,L405</t>
  </si>
  <si>
    <t>C66</t>
  </si>
  <si>
    <t>Z514,C787,C780,D689</t>
  </si>
  <si>
    <t>U071,J9600,I441,I10,Z290</t>
  </si>
  <si>
    <t>H401,H251,E119,N40</t>
  </si>
  <si>
    <t>I258,I495</t>
  </si>
  <si>
    <t>I499,N184</t>
  </si>
  <si>
    <t>I311</t>
  </si>
  <si>
    <t>D122</t>
  </si>
  <si>
    <t>I10,E789,M1099,K560</t>
  </si>
  <si>
    <t>U6975,I10,I252</t>
  </si>
  <si>
    <t>Z511,Z515,I251,I10,E790</t>
  </si>
  <si>
    <t>Z511,Z515,I251,D611,I10</t>
  </si>
  <si>
    <t>I426,M1000,F101,F108,N183</t>
  </si>
  <si>
    <t>S9200</t>
  </si>
  <si>
    <t>W0148</t>
  </si>
  <si>
    <t>K115</t>
  </si>
  <si>
    <t>R55,N189,E86,U6975,Z988</t>
  </si>
  <si>
    <t>I482,I10,E785,E039</t>
  </si>
  <si>
    <t>I10,N390,I489,E039,E782</t>
  </si>
  <si>
    <t>J440,I10,E117,I481,E440</t>
  </si>
  <si>
    <t>N184,I10</t>
  </si>
  <si>
    <t>S532</t>
  </si>
  <si>
    <t>W0181,S5250,S540</t>
  </si>
  <si>
    <t>H490</t>
  </si>
  <si>
    <t>I693,I10,E118</t>
  </si>
  <si>
    <t>F510,I10,U6975,Z915,M5457</t>
  </si>
  <si>
    <t>U071,J9600,Z290,N40</t>
  </si>
  <si>
    <t>N40,J988,B968</t>
  </si>
  <si>
    <t>J448,I259</t>
  </si>
  <si>
    <t>N182</t>
  </si>
  <si>
    <t>U071,Z290,I259,E117,E790,J128</t>
  </si>
  <si>
    <t>U6975,Z514,I259,I10,I482</t>
  </si>
  <si>
    <t>Z514,I259,I10,I482,E785,E790</t>
  </si>
  <si>
    <t>T810,Z921</t>
  </si>
  <si>
    <t>I259,I350,F079</t>
  </si>
  <si>
    <t>W0000,T938</t>
  </si>
  <si>
    <t>D377,K315,E440,J449,K579</t>
  </si>
  <si>
    <t>J939</t>
  </si>
  <si>
    <t>Z511,C772</t>
  </si>
  <si>
    <t>I10,E789,J189,K560</t>
  </si>
  <si>
    <t>I483,E785,N184</t>
  </si>
  <si>
    <t>C770</t>
  </si>
  <si>
    <t>J380,I10,E119</t>
  </si>
  <si>
    <t>Z930,E876,E119,E790,I839</t>
  </si>
  <si>
    <t>I350,E785,I10</t>
  </si>
  <si>
    <t>D376,E46,E86,I10</t>
  </si>
  <si>
    <t>I10,J448,E118</t>
  </si>
  <si>
    <t>J448,I10,D381,E138</t>
  </si>
  <si>
    <t>W0109,E039</t>
  </si>
  <si>
    <t>I10,E119,E785,H814,M161</t>
  </si>
  <si>
    <t>I10,E119,E785,H814,M161,Z966</t>
  </si>
  <si>
    <t>M1917</t>
  </si>
  <si>
    <t>C714</t>
  </si>
  <si>
    <t>I10,E149,E039</t>
  </si>
  <si>
    <t>Z961,H341,I10,K721</t>
  </si>
  <si>
    <t>C65,U071,Z290</t>
  </si>
  <si>
    <t>I10,I350,K760,E782</t>
  </si>
  <si>
    <t>I252,I693,I10,E117,E782</t>
  </si>
  <si>
    <t>U071,Z290,I10,E782,M1090</t>
  </si>
  <si>
    <t>Z514,C180</t>
  </si>
  <si>
    <t>J9600,E876,K769,U071,I10</t>
  </si>
  <si>
    <t>M351</t>
  </si>
  <si>
    <t>K298,K449,I509,I340,I10</t>
  </si>
  <si>
    <t>J128,U071,Z290,I269</t>
  </si>
  <si>
    <t>I220</t>
  </si>
  <si>
    <t>I10,I259,E780</t>
  </si>
  <si>
    <t>U6975,E118,D374,I252,J459</t>
  </si>
  <si>
    <t>I259,I489,E119,E785,D374</t>
  </si>
  <si>
    <t>U071,D638,I489,E116,I10</t>
  </si>
  <si>
    <t>C672,U6975,E119,I259,I489,E785</t>
  </si>
  <si>
    <t>I252,Z988,E118,E789,I499,J449</t>
  </si>
  <si>
    <t>R572,I714,K550,E118,J189,J9600</t>
  </si>
  <si>
    <t>I693,I10,E789</t>
  </si>
  <si>
    <t>Z511,C786,C787</t>
  </si>
  <si>
    <t>I10,E782,N182</t>
  </si>
  <si>
    <t>E107,I10,E86,K760,C180,Q211</t>
  </si>
  <si>
    <t>K250,I693,I10,D381,J449</t>
  </si>
  <si>
    <t>I10,I259,I258,E785</t>
  </si>
  <si>
    <t>I500,G473,I251,I489</t>
  </si>
  <si>
    <t>J189,B370,I500,J440,G473</t>
  </si>
  <si>
    <t>J440,I500,G473,U6975,I251</t>
  </si>
  <si>
    <t>D382,I10,Z514</t>
  </si>
  <si>
    <t>U049,I252,E116,U099,J158</t>
  </si>
  <si>
    <t>I481,I10</t>
  </si>
  <si>
    <t>I10,L088</t>
  </si>
  <si>
    <t>D686</t>
  </si>
  <si>
    <t>I10,F171,I802</t>
  </si>
  <si>
    <t>Z950</t>
  </si>
  <si>
    <t>D377,J958,I958,A419,E108</t>
  </si>
  <si>
    <t>Z511,C795,D649</t>
  </si>
  <si>
    <t>U071,J128,D70</t>
  </si>
  <si>
    <t>C795,Z510,Z515,D649</t>
  </si>
  <si>
    <t>S460</t>
  </si>
  <si>
    <t>I10,E039,B353,L232</t>
  </si>
  <si>
    <t>I10,E785,K219,U6975,Z038</t>
  </si>
  <si>
    <t>U071,Z290,E039,I139,I447,E871</t>
  </si>
  <si>
    <t>Z511,I10</t>
  </si>
  <si>
    <t>I480,N10</t>
  </si>
  <si>
    <t>N816</t>
  </si>
  <si>
    <t>K622,R15</t>
  </si>
  <si>
    <t>U6975,Z961,E107,N083,E785,E038</t>
  </si>
  <si>
    <t>E039,E780</t>
  </si>
  <si>
    <t>C504</t>
  </si>
  <si>
    <t>I10,N183,I489</t>
  </si>
  <si>
    <t>I481,I495,I10,N183</t>
  </si>
  <si>
    <t>C780,Z514</t>
  </si>
  <si>
    <t>H353,Z961,F329,I10</t>
  </si>
  <si>
    <t>T922,M8903</t>
  </si>
  <si>
    <t>U6975,Z961,I10</t>
  </si>
  <si>
    <t>I10,I259,I481,E039</t>
  </si>
  <si>
    <t>T921,T928,U5010</t>
  </si>
  <si>
    <t>S4270,U6975,U5010</t>
  </si>
  <si>
    <t>E118,I10,E789</t>
  </si>
  <si>
    <t>C343,E440,F920,I10,E789</t>
  </si>
  <si>
    <t>C765</t>
  </si>
  <si>
    <t>U071,Z290,I872,H819,J9600</t>
  </si>
  <si>
    <t>W1900,M5303,G638,M169</t>
  </si>
  <si>
    <t>I482,I10,E119,C340</t>
  </si>
  <si>
    <t>C343,K062,K081,I481,M1097</t>
  </si>
  <si>
    <t>I489,U071,Z290,E118</t>
  </si>
  <si>
    <t>Z514,I10,E118</t>
  </si>
  <si>
    <t>I340,T814,N189,I499</t>
  </si>
  <si>
    <t>D642,Z514</t>
  </si>
  <si>
    <t>W1998,G936,J9600,J128,U071,Z290</t>
  </si>
  <si>
    <t>Y792,D62,E039,I10</t>
  </si>
  <si>
    <t>G822,I10,E119</t>
  </si>
  <si>
    <t>N133,N200,N10,I480,G35</t>
  </si>
  <si>
    <t>E214</t>
  </si>
  <si>
    <t>U071,J9600,I259,I499</t>
  </si>
  <si>
    <t>K760,D509,E660,I10,E782</t>
  </si>
  <si>
    <t>D500,E660,I10,E782</t>
  </si>
  <si>
    <t>E107,E660,I10,E782,N183</t>
  </si>
  <si>
    <t>I482,I10,E119,I259,M1099</t>
  </si>
  <si>
    <t>E119,K760,K219</t>
  </si>
  <si>
    <t>I10,E039,E119</t>
  </si>
  <si>
    <t>E038,I10</t>
  </si>
  <si>
    <t>I10,E038</t>
  </si>
  <si>
    <t>M5456</t>
  </si>
  <si>
    <t>E117,I10,I481,E669,E785</t>
  </si>
  <si>
    <t>U071,Z290,I10,E785,E117</t>
  </si>
  <si>
    <t>I10,U6975,E782</t>
  </si>
  <si>
    <t>H314,H444,H162,I480,E063</t>
  </si>
  <si>
    <t>M8448,E785,Z850,Z853,Z923,J958</t>
  </si>
  <si>
    <t>I10,J958</t>
  </si>
  <si>
    <t>D170,J958,Z431,E059,E785</t>
  </si>
  <si>
    <t>S5220</t>
  </si>
  <si>
    <t>W0101,S6260,S9240</t>
  </si>
  <si>
    <t>Z961,I10,E785,I455</t>
  </si>
  <si>
    <t>U071,Z290,N390,E86,I10</t>
  </si>
  <si>
    <t>Z511,E039,E119,I480,Z452,Z978</t>
  </si>
  <si>
    <t>U6975,A415,D630,E834</t>
  </si>
  <si>
    <t>D630,D70,A415,L959,I10,E118</t>
  </si>
  <si>
    <t>K760,U6975,I10,E785,J459</t>
  </si>
  <si>
    <t>U071,R55,Z290,E86,J128</t>
  </si>
  <si>
    <t>E210,N10,U071,I500,J128</t>
  </si>
  <si>
    <t>A692,K635,I802</t>
  </si>
  <si>
    <t>H405,F412,E038,Z721,I839</t>
  </si>
  <si>
    <t>U071,Z290,E039,E876,G20</t>
  </si>
  <si>
    <t>J328</t>
  </si>
  <si>
    <t>J320,J342,U6975</t>
  </si>
  <si>
    <t>Z511,Z452,Z978</t>
  </si>
  <si>
    <t>Z511,E883,D630,D70,E877,U6975</t>
  </si>
  <si>
    <t>D630,A415,U6975,D70,N300</t>
  </si>
  <si>
    <t>I499,I10,Z988</t>
  </si>
  <si>
    <t>U6975,I10,I480</t>
  </si>
  <si>
    <t>I481,I10,I958</t>
  </si>
  <si>
    <t>I10,E785,I082</t>
  </si>
  <si>
    <t>E785,I231</t>
  </si>
  <si>
    <t>I459,I10,E785,E118</t>
  </si>
  <si>
    <t>U071,Z290,E789,I10,E118,D689</t>
  </si>
  <si>
    <t>I10,F920</t>
  </si>
  <si>
    <t>I10,F920,E038</t>
  </si>
  <si>
    <t>R31,N133,I500</t>
  </si>
  <si>
    <t>J9610</t>
  </si>
  <si>
    <t>J849,Z514,I10</t>
  </si>
  <si>
    <t>M0580</t>
  </si>
  <si>
    <t>N300,I258,D501,I10</t>
  </si>
  <si>
    <t>Y600,E118,N200,D62,I10</t>
  </si>
  <si>
    <t>G500</t>
  </si>
  <si>
    <t>I10,E662,I499</t>
  </si>
  <si>
    <t>I859,D62,K317,K766,B980</t>
  </si>
  <si>
    <t>I480,E785</t>
  </si>
  <si>
    <t>I10,E669,E039</t>
  </si>
  <si>
    <t>K432</t>
  </si>
  <si>
    <t>G936,D62</t>
  </si>
  <si>
    <t>J459,I10,E119,M1098,E038</t>
  </si>
  <si>
    <t>I10,E119,M1098</t>
  </si>
  <si>
    <t>C20,J449</t>
  </si>
  <si>
    <t>D391</t>
  </si>
  <si>
    <t>E109,E039,I10</t>
  </si>
  <si>
    <t>W0199,S8270,W0180</t>
  </si>
  <si>
    <t>F010</t>
  </si>
  <si>
    <t>H518</t>
  </si>
  <si>
    <t>U071,Z290,E86,J068,N179</t>
  </si>
  <si>
    <t>M173</t>
  </si>
  <si>
    <t>I10,E039,K709</t>
  </si>
  <si>
    <t>K560</t>
  </si>
  <si>
    <t>I672,F019,E86</t>
  </si>
  <si>
    <t>W0100,I10,Z038,U6975</t>
  </si>
  <si>
    <t>E106,E782,I10,I250</t>
  </si>
  <si>
    <t>R31,C61,C64,I10,E785,I441</t>
  </si>
  <si>
    <t>I10,I441,E789</t>
  </si>
  <si>
    <t>K299,I460,D649,J9600,J189,E107</t>
  </si>
  <si>
    <t>I10,E118,E782,J449,I501,I350</t>
  </si>
  <si>
    <t>F059,I10,E782,I7021,J182</t>
  </si>
  <si>
    <t>C250,E46,E119,I10,U6975</t>
  </si>
  <si>
    <t>I500,I258,J449,I10</t>
  </si>
  <si>
    <t>J449,I10,E785</t>
  </si>
  <si>
    <t>K419</t>
  </si>
  <si>
    <t>F323</t>
  </si>
  <si>
    <t>I489,I10,I050,E785,R066</t>
  </si>
  <si>
    <t>U071,J150,L892,J128,G20</t>
  </si>
  <si>
    <t>E875,I7020</t>
  </si>
  <si>
    <t>C340,J440,I10,E785</t>
  </si>
  <si>
    <t>I10,F09,E789</t>
  </si>
  <si>
    <t>J9600,U071,E116,I10,N40</t>
  </si>
  <si>
    <t>J189,J91,C782,D688,I672</t>
  </si>
  <si>
    <t>I259,N300,I489,U584,N183</t>
  </si>
  <si>
    <t>Z514,C787,A499,E876,Z515</t>
  </si>
  <si>
    <t>U071,Z290,J128,R651,R572,J80</t>
  </si>
  <si>
    <t>I259,E119,I10</t>
  </si>
  <si>
    <t>I10,E119,I259,C169,E039</t>
  </si>
  <si>
    <t>I259,E119</t>
  </si>
  <si>
    <t>I259,I10,E669,E118</t>
  </si>
  <si>
    <t>M2416,M170</t>
  </si>
  <si>
    <t>I200,I480</t>
  </si>
  <si>
    <t>I10,I480,E119</t>
  </si>
  <si>
    <t>E785,E790,I259,N40,B351</t>
  </si>
  <si>
    <t>K858,E86,I10</t>
  </si>
  <si>
    <t>K858,E86,E119,E440</t>
  </si>
  <si>
    <t>F063</t>
  </si>
  <si>
    <t>F013,I10,R451</t>
  </si>
  <si>
    <t>D591</t>
  </si>
  <si>
    <t>U6975,D630,E880,Z511,Z452,Z978</t>
  </si>
  <si>
    <t>K250</t>
  </si>
  <si>
    <t>J188,U6975,I269,J160</t>
  </si>
  <si>
    <t>J841,I516,I10,E119,E785</t>
  </si>
  <si>
    <t>N183,Z940,I151</t>
  </si>
  <si>
    <t>M2325</t>
  </si>
  <si>
    <t>I501,I251,Z955,M0608,I269</t>
  </si>
  <si>
    <t>Z961,H200,E559,I808,M0599</t>
  </si>
  <si>
    <t>H200,H162,Z961,M0599,I259</t>
  </si>
  <si>
    <t>I614</t>
  </si>
  <si>
    <t>I10,J180,G309</t>
  </si>
  <si>
    <t>U071,Z290,N182,I10</t>
  </si>
  <si>
    <t>H440</t>
  </si>
  <si>
    <t>Z961,U6975,I259,E785,I10</t>
  </si>
  <si>
    <t>Z510,Z514,C770</t>
  </si>
  <si>
    <t>M751,M752</t>
  </si>
  <si>
    <t>J159,I10,E118,I460</t>
  </si>
  <si>
    <t>C185</t>
  </si>
  <si>
    <t>K660,I10,E119</t>
  </si>
  <si>
    <t>I10,I259,E789,E115</t>
  </si>
  <si>
    <t>W1919</t>
  </si>
  <si>
    <t>I10,I610</t>
  </si>
  <si>
    <t>Y883,Z952</t>
  </si>
  <si>
    <t>Y883,Z470,Z952</t>
  </si>
  <si>
    <t>C099</t>
  </si>
  <si>
    <t>I10,E785,Z952</t>
  </si>
  <si>
    <t>C491</t>
  </si>
  <si>
    <t>Z511,C780,C795,S4230</t>
  </si>
  <si>
    <t>Z511,C780,C795</t>
  </si>
  <si>
    <t>Z514,Z513</t>
  </si>
  <si>
    <t>Z514,C787</t>
  </si>
  <si>
    <t>K250,C189,I10,E789</t>
  </si>
  <si>
    <t>J986,E660,E117,I10</t>
  </si>
  <si>
    <t>I219,I259,I214,I7090,N189</t>
  </si>
  <si>
    <t>Z514,E871,I672,E065,I694</t>
  </si>
  <si>
    <t>Z511,Z515,I672,I10,U6975</t>
  </si>
  <si>
    <t>Z511,E871,I10,Z515,N390</t>
  </si>
  <si>
    <t>Z511,D611,I10,Z515,N390</t>
  </si>
  <si>
    <t>Z511,E871,I10,Z515</t>
  </si>
  <si>
    <t>D70,Z511,D630,Z515,I10</t>
  </si>
  <si>
    <t>Z511,I10,Z515,R790</t>
  </si>
  <si>
    <t>E871,E065,I694,C787,U072</t>
  </si>
  <si>
    <t>E119,I10,U6975</t>
  </si>
  <si>
    <t>M161,Z966,U5010</t>
  </si>
  <si>
    <t>E782,I10,I481,E119</t>
  </si>
  <si>
    <t>I10,E789,J449,K269</t>
  </si>
  <si>
    <t>I10,E782,E118,I7020</t>
  </si>
  <si>
    <t>U071,I10,I489</t>
  </si>
  <si>
    <t>U071,J128,Z290,U580,N179</t>
  </si>
  <si>
    <t>I10,E789,E038,E660</t>
  </si>
  <si>
    <t>I10,E785,E660</t>
  </si>
  <si>
    <t>I10,E785,Z950</t>
  </si>
  <si>
    <t>I10,E785,I452</t>
  </si>
  <si>
    <t>J171,U071,E440,F03</t>
  </si>
  <si>
    <t>M1911</t>
  </si>
  <si>
    <t>M752</t>
  </si>
  <si>
    <t>M500</t>
  </si>
  <si>
    <t>G992,I10</t>
  </si>
  <si>
    <t>Z515,C780,C787,C61,K729</t>
  </si>
  <si>
    <t>F510,I952,I10,G442,U6975</t>
  </si>
  <si>
    <t>H360,E113,H401,I10,E785</t>
  </si>
  <si>
    <t>G254</t>
  </si>
  <si>
    <t>I10,E782,I832</t>
  </si>
  <si>
    <t>J448</t>
  </si>
  <si>
    <t>J459,E113,I10,E785</t>
  </si>
  <si>
    <t>J381</t>
  </si>
  <si>
    <t>J459,E042,M5489,E119,R42,I839</t>
  </si>
  <si>
    <t>U071,J848,I489,M159</t>
  </si>
  <si>
    <t>U071,J9600,A419,Z290</t>
  </si>
  <si>
    <t>I10,E118,I499,E790,E785</t>
  </si>
  <si>
    <t>I10,R730,U6975,Z038</t>
  </si>
  <si>
    <t>N183,M0580,I10,E785</t>
  </si>
  <si>
    <t>G710</t>
  </si>
  <si>
    <t>I10,E785,E790,M331</t>
  </si>
  <si>
    <t>E785,N182,U6975,Z038</t>
  </si>
  <si>
    <t>S2740</t>
  </si>
  <si>
    <t>V4939,S400,S201,S009,U6975</t>
  </si>
  <si>
    <t>E109,I258,I10,J450,D62</t>
  </si>
  <si>
    <t>K011,I10,E785,E039</t>
  </si>
  <si>
    <t>S3210</t>
  </si>
  <si>
    <t>E440</t>
  </si>
  <si>
    <t>F412,J450,E834,E86,U6975</t>
  </si>
  <si>
    <t>Z961,I10,E785</t>
  </si>
  <si>
    <t>I259,I10,E108</t>
  </si>
  <si>
    <t>Z514,I801,C773,C795</t>
  </si>
  <si>
    <t>E039,I10,J449,U6975,E876</t>
  </si>
  <si>
    <t>E038,E785,I10,B968</t>
  </si>
  <si>
    <t>C787,I269,I10,M8108</t>
  </si>
  <si>
    <t>I10,E782,N183</t>
  </si>
  <si>
    <t>S2200,S3200,I10,E782,M8020</t>
  </si>
  <si>
    <t>U071,I480,I10,Z290,J449</t>
  </si>
  <si>
    <t>G062</t>
  </si>
  <si>
    <t>M8440</t>
  </si>
  <si>
    <t>Z514,C795,C792,N179,K528</t>
  </si>
  <si>
    <t>F412,I10,M5422,M8199</t>
  </si>
  <si>
    <t>Z511,I119,E782</t>
  </si>
  <si>
    <t>K660,E039,I10,I471</t>
  </si>
  <si>
    <t>C786</t>
  </si>
  <si>
    <t>R18,I489,I10</t>
  </si>
  <si>
    <t>I489,I259,E782</t>
  </si>
  <si>
    <t>I340,I10,E785,T810</t>
  </si>
  <si>
    <t>I369,I489,J90</t>
  </si>
  <si>
    <t>H162,I10</t>
  </si>
  <si>
    <t>I272,I10,H409,J841</t>
  </si>
  <si>
    <t>I272,H409,I10</t>
  </si>
  <si>
    <t>J841,I272,H409,U071,I10</t>
  </si>
  <si>
    <t>I259,J448</t>
  </si>
  <si>
    <t>U071,I10,Z290</t>
  </si>
  <si>
    <t>H333</t>
  </si>
  <si>
    <t>I890,H251</t>
  </si>
  <si>
    <t>H252,H431,I10,E785</t>
  </si>
  <si>
    <t>Z952</t>
  </si>
  <si>
    <t>I10,E149</t>
  </si>
  <si>
    <t>C19</t>
  </si>
  <si>
    <t>C796,K660,I10</t>
  </si>
  <si>
    <t>D474</t>
  </si>
  <si>
    <t>U6975,D630,D695,D70,N309,E834</t>
  </si>
  <si>
    <t>U071,Z290,A418,M313,N189</t>
  </si>
  <si>
    <t>I481,I495,E782,E039,I10</t>
  </si>
  <si>
    <t>I495,I481,E785</t>
  </si>
  <si>
    <t>K851</t>
  </si>
  <si>
    <t>K802,E834,U6975</t>
  </si>
  <si>
    <t>U071,I269,Z290,I10</t>
  </si>
  <si>
    <t>U071,Z290,E86,I10,E782</t>
  </si>
  <si>
    <t>J128,U071,Z290,N179,I500,I259</t>
  </si>
  <si>
    <t>U6975,I10,E117</t>
  </si>
  <si>
    <t>I480,N390</t>
  </si>
  <si>
    <t>H251,H360,E117,I482,E785</t>
  </si>
  <si>
    <t>E86,N178,E117,I119,L890</t>
  </si>
  <si>
    <t>N300,E86,E876,F009,I10</t>
  </si>
  <si>
    <t>T844</t>
  </si>
  <si>
    <t>Y792,I10,E785,E039,D62</t>
  </si>
  <si>
    <t>C800</t>
  </si>
  <si>
    <t>N10,E119,U072,I10,D648</t>
  </si>
  <si>
    <t>I10,E114,Z880</t>
  </si>
  <si>
    <t>I10,J450,I480,E785</t>
  </si>
  <si>
    <t>S9230</t>
  </si>
  <si>
    <t>I633,I482,I10,M8100,E119</t>
  </si>
  <si>
    <t>D70,D696,D630,B259,N309,U6975</t>
  </si>
  <si>
    <t>J459,E038,G473</t>
  </si>
  <si>
    <t>C693</t>
  </si>
  <si>
    <t>I10,E785,F412</t>
  </si>
  <si>
    <t>I859,K703,K317,I10,E119</t>
  </si>
  <si>
    <t>K317,I10,E119</t>
  </si>
  <si>
    <t>C162</t>
  </si>
  <si>
    <t>I693,I10,E115,C250</t>
  </si>
  <si>
    <t>I482,I10,E785</t>
  </si>
  <si>
    <t>E46</t>
  </si>
  <si>
    <t>E86,K299,E876,E117,I10</t>
  </si>
  <si>
    <t>H401,I839</t>
  </si>
  <si>
    <t>F411,M169,I10</t>
  </si>
  <si>
    <t>I259,I489,E785,E118,I10,N184</t>
  </si>
  <si>
    <t>I255,E118,E782,I480,N184</t>
  </si>
  <si>
    <t>D101</t>
  </si>
  <si>
    <t>E86,I489,C108,J151,J448</t>
  </si>
  <si>
    <t>I482,I10,E117,N183,E785</t>
  </si>
  <si>
    <t>I259,E118,E785,A499</t>
  </si>
  <si>
    <t>Z921,I839</t>
  </si>
  <si>
    <t>I693,I10,M1991</t>
  </si>
  <si>
    <t>C158</t>
  </si>
  <si>
    <t>C771,C780,Z514</t>
  </si>
  <si>
    <t>Z515,C787,C780,C771</t>
  </si>
  <si>
    <t>I10,E782,N40,U6975,Z038</t>
  </si>
  <si>
    <t>V2338,U071,Z290,S2710,J068</t>
  </si>
  <si>
    <t>N323</t>
  </si>
  <si>
    <t>Q644,N210</t>
  </si>
  <si>
    <t>I800</t>
  </si>
  <si>
    <t>I10,E660,E782,N40</t>
  </si>
  <si>
    <t>I500,A419</t>
  </si>
  <si>
    <t>I258,I10,E785,E790,B968</t>
  </si>
  <si>
    <t>N309,I255</t>
  </si>
  <si>
    <t>I10,U6975,E46</t>
  </si>
  <si>
    <t>I10,K20,K257</t>
  </si>
  <si>
    <t>Z511,I481,E883,E877,I10,U6975</t>
  </si>
  <si>
    <t>C809</t>
  </si>
  <si>
    <t>Z514,I481,Z922,I10</t>
  </si>
  <si>
    <t>U6975,Z511,I489,E118,Z452,Z978</t>
  </si>
  <si>
    <t>Z511,I10,E877,E118,U6975</t>
  </si>
  <si>
    <t>Z511,I489,E876,E877,Z978,U6975</t>
  </si>
  <si>
    <t>I10,E785,E114</t>
  </si>
  <si>
    <t>E119,I10,E785</t>
  </si>
  <si>
    <t>U6975,E114,I10</t>
  </si>
  <si>
    <t>J128,U071,J80,Z290,E119,I10</t>
  </si>
  <si>
    <t>C390,C951,J399</t>
  </si>
  <si>
    <t>I350,T814,A412</t>
  </si>
  <si>
    <t>G20,E838,K449,I10</t>
  </si>
  <si>
    <t>H811,I10,E119</t>
  </si>
  <si>
    <t>U071,J128,I119,I259,A419</t>
  </si>
  <si>
    <t>J128,U071,I259,I10,Z290</t>
  </si>
  <si>
    <t>J160,E782,I10</t>
  </si>
  <si>
    <t>R570,I501</t>
  </si>
  <si>
    <t>N390,F079,J939,I480</t>
  </si>
  <si>
    <t>Z850,Z923,J958</t>
  </si>
  <si>
    <t>G638</t>
  </si>
  <si>
    <t>I10,E109,I250</t>
  </si>
  <si>
    <t>I10,E785,Z878,E118,E790</t>
  </si>
  <si>
    <t>K045,K083</t>
  </si>
  <si>
    <t>K257,K703,K766,I859,E834</t>
  </si>
  <si>
    <t>I10,E119,E780,K650,C64</t>
  </si>
  <si>
    <t>Z511,C186,C64,I10,E118</t>
  </si>
  <si>
    <t>N219,K760,I10,K20,E782,G632</t>
  </si>
  <si>
    <t>I10,I7020,E119</t>
  </si>
  <si>
    <t>I10,I7020,E785,E119</t>
  </si>
  <si>
    <t>Y792,I10,E782,N40,E039</t>
  </si>
  <si>
    <t>Z511,C029,C778</t>
  </si>
  <si>
    <t>I259,I460,J189,I119,I501</t>
  </si>
  <si>
    <t>I509,E782,I10,N183,I482</t>
  </si>
  <si>
    <t>I259,E782,I10,N183,I482</t>
  </si>
  <si>
    <t>N183,I10,I493</t>
  </si>
  <si>
    <t>I64,I482,I10,J182,G405</t>
  </si>
  <si>
    <t>U071,J9600,I139,U584,I350,E119</t>
  </si>
  <si>
    <t>I10,E039,E790,E785</t>
  </si>
  <si>
    <t>U099,Z930</t>
  </si>
  <si>
    <t>Z930,U099,C320,K219,I693</t>
  </si>
  <si>
    <t>W1980,F100,R400,G409</t>
  </si>
  <si>
    <t>I10,E119,U6975</t>
  </si>
  <si>
    <t>I10,M1991</t>
  </si>
  <si>
    <t>U071,N390,Z290,F013</t>
  </si>
  <si>
    <t>N017,N184,I250,E117,I119</t>
  </si>
  <si>
    <t>Z966,M171,U6975</t>
  </si>
  <si>
    <t>D120</t>
  </si>
  <si>
    <t>I259,I10,E119</t>
  </si>
  <si>
    <t>U6975,I10,F409</t>
  </si>
  <si>
    <t>I259,I10,I482,E119</t>
  </si>
  <si>
    <t>I259,E782,I10</t>
  </si>
  <si>
    <t>J128,I489,I10,U071,I7020</t>
  </si>
  <si>
    <t>I10,N182,E119,E785,I500</t>
  </si>
  <si>
    <t>Z902,Z508,E876,J448,I694</t>
  </si>
  <si>
    <t>Z514,I694,I10</t>
  </si>
  <si>
    <t>I10,J449,T818,Y839</t>
  </si>
  <si>
    <t>J9600,U071,I482,E117,F051,I258</t>
  </si>
  <si>
    <t>Z511,U6975,I10,N179</t>
  </si>
  <si>
    <t>M202</t>
  </si>
  <si>
    <t>Z514,I828,C780,I501</t>
  </si>
  <si>
    <t>I724</t>
  </si>
  <si>
    <t>I10,E105,I501</t>
  </si>
  <si>
    <t>K277,D500,E440,U6975</t>
  </si>
  <si>
    <t>G039</t>
  </si>
  <si>
    <t>A419,J180,U071,I209,I489</t>
  </si>
  <si>
    <t>J441,B370,U6975,I10</t>
  </si>
  <si>
    <t>K118</t>
  </si>
  <si>
    <t>U071,I639,I119,J189,Z290</t>
  </si>
  <si>
    <t>I10,E114,E785</t>
  </si>
  <si>
    <t>R410</t>
  </si>
  <si>
    <t>G218,E114,I10,E782,G632</t>
  </si>
  <si>
    <t>U071,Z290,J9600,I10,E119</t>
  </si>
  <si>
    <t>C154</t>
  </si>
  <si>
    <t>Z514,C795,C787,N300</t>
  </si>
  <si>
    <t>U6975,Z904</t>
  </si>
  <si>
    <t>W0100,U6975,Z038</t>
  </si>
  <si>
    <t>I10,E118,E790,B351,B353</t>
  </si>
  <si>
    <t>W1999,S134,S400</t>
  </si>
  <si>
    <t>M319</t>
  </si>
  <si>
    <t>I052,A047,E876,I500,D509</t>
  </si>
  <si>
    <t>C821</t>
  </si>
  <si>
    <t>R572,D70,R34,E878,J189,U6975</t>
  </si>
  <si>
    <t>D70,A419,D630,B370,K769,U6975</t>
  </si>
  <si>
    <t>J9600,U071,I10,J449,E119</t>
  </si>
  <si>
    <t>Z948,D70,K521,A408</t>
  </si>
  <si>
    <t>U6975,D70,I10,E834</t>
  </si>
  <si>
    <t>W1999,I10</t>
  </si>
  <si>
    <t>Z511,E876,E871,I259,E785</t>
  </si>
  <si>
    <t>U071,G409,E871,F019,I10,Z290</t>
  </si>
  <si>
    <t>Z992,N185,I120,I426,I481</t>
  </si>
  <si>
    <t>E118,E784,U6975,Z038</t>
  </si>
  <si>
    <t>I10,Z878</t>
  </si>
  <si>
    <t>H250,U6975</t>
  </si>
  <si>
    <t>J189,E119,J310,K219</t>
  </si>
  <si>
    <t>T810,I7020,E115,M0690,I10</t>
  </si>
  <si>
    <t>I489,I10,E789,E114</t>
  </si>
  <si>
    <t>L238,B351,I10,E039,E118</t>
  </si>
  <si>
    <t>R104,K590,A044</t>
  </si>
  <si>
    <t>I743,I10,I259,I489</t>
  </si>
  <si>
    <t>I10,E039,E799,E116</t>
  </si>
  <si>
    <t>Z514,C787,C693</t>
  </si>
  <si>
    <t>N328</t>
  </si>
  <si>
    <t>I10,E789,Z988</t>
  </si>
  <si>
    <t>C762</t>
  </si>
  <si>
    <t>K660,I489,I10,D649</t>
  </si>
  <si>
    <t>C480</t>
  </si>
  <si>
    <t>Z511,C786,C780,C795,C798</t>
  </si>
  <si>
    <t>E039,Z514,J158,D62</t>
  </si>
  <si>
    <t>I10,E782,D62,U6975,Z038</t>
  </si>
  <si>
    <t>I672,G20,E86,N390,U6975</t>
  </si>
  <si>
    <t>M350</t>
  </si>
  <si>
    <t>M8190,I10,E785</t>
  </si>
  <si>
    <t>U071,I672,G404,N185,I151,J128</t>
  </si>
  <si>
    <t>N185</t>
  </si>
  <si>
    <t>Z992,I501,U580,G404,I672</t>
  </si>
  <si>
    <t>C780,N189,E875,N300,E119</t>
  </si>
  <si>
    <t>Z514,C778,E835</t>
  </si>
  <si>
    <t>I10,N19,E118</t>
  </si>
  <si>
    <t>C65,I10,N19,E118</t>
  </si>
  <si>
    <t>I10,E786</t>
  </si>
  <si>
    <t>J9600,A415,J450,A047,L891,I480</t>
  </si>
  <si>
    <t>U071,J9600,I693,I10,Z290</t>
  </si>
  <si>
    <t>I631,G811,N342,U6975,U5050</t>
  </si>
  <si>
    <t>K559</t>
  </si>
  <si>
    <t>I10,I259,K769,N189,K550,E039</t>
  </si>
  <si>
    <t>D321</t>
  </si>
  <si>
    <t>I259,U583</t>
  </si>
  <si>
    <t>C252</t>
  </si>
  <si>
    <t>I10,E119,J156,D136,K801</t>
  </si>
  <si>
    <t>I10,E785,C162</t>
  </si>
  <si>
    <t>E893,I10,E119,R600,G459,J952</t>
  </si>
  <si>
    <t>D500,I10,I480,I259,E115</t>
  </si>
  <si>
    <t>I10,I839</t>
  </si>
  <si>
    <t>W0199,U6975,G20</t>
  </si>
  <si>
    <t>E114,F412,E782,I10,K257</t>
  </si>
  <si>
    <t>I499,E785</t>
  </si>
  <si>
    <t>U071,K509,I10,E039</t>
  </si>
  <si>
    <t>U6975,C501,I10,E119</t>
  </si>
  <si>
    <t>I119,E119</t>
  </si>
  <si>
    <t>E871,I489,E782,I10,U586,F329</t>
  </si>
  <si>
    <t>I481,K449,I10,E117,E660</t>
  </si>
  <si>
    <t>U071,Z966,M160,M8190,M5499</t>
  </si>
  <si>
    <t>C780,C787,C793,E440,E118</t>
  </si>
  <si>
    <t>E118,E039</t>
  </si>
  <si>
    <t>J958,E662,K650</t>
  </si>
  <si>
    <t>K620</t>
  </si>
  <si>
    <t>K635,E782,E138,I10</t>
  </si>
  <si>
    <t>Z961,I10,I259,E039,E785</t>
  </si>
  <si>
    <t>E032,G473,I500,I10,E785</t>
  </si>
  <si>
    <t>I10,E785,N183,I481,I259</t>
  </si>
  <si>
    <t>I500,I10,E785,N183,I258,I481</t>
  </si>
  <si>
    <t>B962,E116,N183</t>
  </si>
  <si>
    <t>U071,J128,I7021,J9600,I10,Z290</t>
  </si>
  <si>
    <t>C180,C549,J449,I10,E116</t>
  </si>
  <si>
    <t>I10,E039,G822,E785</t>
  </si>
  <si>
    <t>I743,C820,U6975,M459,I10</t>
  </si>
  <si>
    <t>K760,J450,I10,I839,U6975</t>
  </si>
  <si>
    <t>I480,E118,I10,E039</t>
  </si>
  <si>
    <t>I255,U582,E119,E039,I10</t>
  </si>
  <si>
    <t>E109,I489,Z921</t>
  </si>
  <si>
    <t>U6975,I489,E118,N189,I10</t>
  </si>
  <si>
    <t>I669</t>
  </si>
  <si>
    <t>N179,E86,E875,U6975,I259</t>
  </si>
  <si>
    <t>I693,I652,E114,I10,I489</t>
  </si>
  <si>
    <t>K229</t>
  </si>
  <si>
    <t>I10,E782,E118,E790</t>
  </si>
  <si>
    <t>N872</t>
  </si>
  <si>
    <t>Z511,D70,D638,E835,U6975,N183</t>
  </si>
  <si>
    <t>M0699</t>
  </si>
  <si>
    <t>D638,M158</t>
  </si>
  <si>
    <t>I259,U099</t>
  </si>
  <si>
    <t>J939,I480</t>
  </si>
  <si>
    <t>U6975,I10,E119,I480</t>
  </si>
  <si>
    <t>C349</t>
  </si>
  <si>
    <t>J449,I10,Z514,U6975</t>
  </si>
  <si>
    <t>N179</t>
  </si>
  <si>
    <t>E86,E875,I269,B379,J449</t>
  </si>
  <si>
    <t>U6975,J441,I269,I500</t>
  </si>
  <si>
    <t>J849,U6975,M0589,E039,I269</t>
  </si>
  <si>
    <t>U071,Z290,I10,E876,D860</t>
  </si>
  <si>
    <t>W0101,G20,F329,N390,A047</t>
  </si>
  <si>
    <t>Z988,U6975,I10,I500,Z853</t>
  </si>
  <si>
    <t>I10,Z853</t>
  </si>
  <si>
    <t>I10,E119,E039</t>
  </si>
  <si>
    <t>U071,Z290,C504,I10,E118,E030</t>
  </si>
  <si>
    <t>E038,I10,U6975</t>
  </si>
  <si>
    <t>U071,J128,C348,C787,J450,Z290</t>
  </si>
  <si>
    <t>I10,E785,E790</t>
  </si>
  <si>
    <t>U071,Z290,N183</t>
  </si>
  <si>
    <t>J9600,U071,I251,E118,I10,I7020</t>
  </si>
  <si>
    <t>Z896,I7021,E107,T814,U5020</t>
  </si>
  <si>
    <t>Z896,L97,E115,I10,N182</t>
  </si>
  <si>
    <t>M301</t>
  </si>
  <si>
    <t>K778,E41,M0280</t>
  </si>
  <si>
    <t>M0280,J450,E782,F920,E559</t>
  </si>
  <si>
    <t>N210,I480,I10</t>
  </si>
  <si>
    <t>I10,E785,I472,J449</t>
  </si>
  <si>
    <t>C161</t>
  </si>
  <si>
    <t>I10,E119,E789,J180,B957,N300</t>
  </si>
  <si>
    <t>I10,J459</t>
  </si>
  <si>
    <t>I489,E785</t>
  </si>
  <si>
    <t>M4655</t>
  </si>
  <si>
    <t>I10,I489,I509,E660,U6975</t>
  </si>
  <si>
    <t>I212</t>
  </si>
  <si>
    <t>I10,E785,I255</t>
  </si>
  <si>
    <t>I633,Z896,U5030</t>
  </si>
  <si>
    <t>I10,C250</t>
  </si>
  <si>
    <t>J301,J450,I10</t>
  </si>
  <si>
    <t>M750</t>
  </si>
  <si>
    <t>Z511,D70</t>
  </si>
  <si>
    <t>Y792,I228,E118,I64,G819</t>
  </si>
  <si>
    <t>S7220</t>
  </si>
  <si>
    <t>W1999,F102</t>
  </si>
  <si>
    <t>G92,K921,I982,K766,K801</t>
  </si>
  <si>
    <t>G92,I982,K766,K801,I10</t>
  </si>
  <si>
    <t>K766</t>
  </si>
  <si>
    <t>K767,K746,E86</t>
  </si>
  <si>
    <t>C249</t>
  </si>
  <si>
    <t>Z514,C772</t>
  </si>
  <si>
    <t>U071,Z290,C249,T855,Z938</t>
  </si>
  <si>
    <t>J189,N300,I259,I10</t>
  </si>
  <si>
    <t>Z511,C672,I209,Z258</t>
  </si>
  <si>
    <t>Z514,D70,A499,D689,D611</t>
  </si>
  <si>
    <t>I10,J449,E785</t>
  </si>
  <si>
    <t>Z514,C672</t>
  </si>
  <si>
    <t>Z511,C672</t>
  </si>
  <si>
    <t>L920</t>
  </si>
  <si>
    <t>I272,I10,E118,R760,L920,N183</t>
  </si>
  <si>
    <t>D300</t>
  </si>
  <si>
    <t>Z514,C780</t>
  </si>
  <si>
    <t>E118,I10,E660</t>
  </si>
  <si>
    <t>N40,C672,B961,I259,E108</t>
  </si>
  <si>
    <t>Z905,C672,N178,N40,N10</t>
  </si>
  <si>
    <t>N40,I259,I252,E108,E789</t>
  </si>
  <si>
    <t>L97,G638,I10,E660,I7020</t>
  </si>
  <si>
    <t>G619</t>
  </si>
  <si>
    <t>E114,I481,I10,E782,G560</t>
  </si>
  <si>
    <t>M5437,E114,I481,E782,I10</t>
  </si>
  <si>
    <t>I250,E118,I259,I10</t>
  </si>
  <si>
    <t>U071,J128,N300,E119,I10</t>
  </si>
  <si>
    <t>I10,E118,E782,U6975</t>
  </si>
  <si>
    <t>I639,I484</t>
  </si>
  <si>
    <t>W1999,D683</t>
  </si>
  <si>
    <t>F331</t>
  </si>
  <si>
    <t>I480,T821</t>
  </si>
  <si>
    <t>U6975,C672</t>
  </si>
  <si>
    <t>I481,E041,I10,E782</t>
  </si>
  <si>
    <t>Z514,I10,E119,C780</t>
  </si>
  <si>
    <t>U071,Z290,C64,J952,M5499,E119</t>
  </si>
  <si>
    <t>I691,R470,I10</t>
  </si>
  <si>
    <t>M7939,G991,I10,E063</t>
  </si>
  <si>
    <t>N320</t>
  </si>
  <si>
    <t>C61,I10,E118,Z988</t>
  </si>
  <si>
    <t>J449,E785,I10,J938</t>
  </si>
  <si>
    <t>M510</t>
  </si>
  <si>
    <t>G20,G992</t>
  </si>
  <si>
    <t>H433</t>
  </si>
  <si>
    <t>E118,Z961,I10,E785</t>
  </si>
  <si>
    <t>I259,I312,I639,I480</t>
  </si>
  <si>
    <t>N189,I259,Z940,I489</t>
  </si>
  <si>
    <t>S8261</t>
  </si>
  <si>
    <t>I10,E789,I259</t>
  </si>
  <si>
    <t>I634,B028</t>
  </si>
  <si>
    <t>C679,I10,G35,J952,B968</t>
  </si>
  <si>
    <t>I10,M511,M510,G35,E789,Z904</t>
  </si>
  <si>
    <t>J952,G35,I10</t>
  </si>
  <si>
    <t>N390,I10,E789,Z904,G64</t>
  </si>
  <si>
    <t>U071,I255,I259,I10</t>
  </si>
  <si>
    <t>I350,I500</t>
  </si>
  <si>
    <t>I481,I429,I10,N185</t>
  </si>
  <si>
    <t>I420,N185,I481</t>
  </si>
  <si>
    <t>K254</t>
  </si>
  <si>
    <t>D62,C258,E128,C787,K831</t>
  </si>
  <si>
    <t>Z511,C787,D630,D689,I81</t>
  </si>
  <si>
    <t>C341,I10,E118,F329</t>
  </si>
  <si>
    <t>J180,C340,F050,I480,E118</t>
  </si>
  <si>
    <t>I258,E119,I480,I10</t>
  </si>
  <si>
    <t>J156,G20,I10,Z540,N300</t>
  </si>
  <si>
    <t>I672,E871,F101,F102,F108</t>
  </si>
  <si>
    <t>I252,E785</t>
  </si>
  <si>
    <t>G473,I252,E785</t>
  </si>
  <si>
    <t>J384</t>
  </si>
  <si>
    <t>D638</t>
  </si>
  <si>
    <t>E117,I119,N184</t>
  </si>
  <si>
    <t>I10,E785,E790,E115</t>
  </si>
  <si>
    <t>U071,Z290,T455,Y442,I480</t>
  </si>
  <si>
    <t>C787,K831,E440,E86,E117</t>
  </si>
  <si>
    <t>K830,K831,E871,E119,E440</t>
  </si>
  <si>
    <t>R600,I10,E785,E039,N398</t>
  </si>
  <si>
    <t>W0180,S8270</t>
  </si>
  <si>
    <t>C482,I10</t>
  </si>
  <si>
    <t>C481</t>
  </si>
  <si>
    <t>C679,R18,I10</t>
  </si>
  <si>
    <t>Z514,C786</t>
  </si>
  <si>
    <t>C679,I10</t>
  </si>
  <si>
    <t>Z932,J449</t>
  </si>
  <si>
    <t>I10,J459,E038,U6975,Z038</t>
  </si>
  <si>
    <t>M511,U5000</t>
  </si>
  <si>
    <t>S8271</t>
  </si>
  <si>
    <t>V999</t>
  </si>
  <si>
    <t>M167</t>
  </si>
  <si>
    <t>I10,U6975,Z038</t>
  </si>
  <si>
    <t>Z511,E119,E039</t>
  </si>
  <si>
    <t>C189</t>
  </si>
  <si>
    <t>K567,E039,H409</t>
  </si>
  <si>
    <t>E111</t>
  </si>
  <si>
    <t>R739,F209</t>
  </si>
  <si>
    <t>N139,I10,C530,B961</t>
  </si>
  <si>
    <t>U071,K567,K760,K851,Z988,Z228</t>
  </si>
  <si>
    <t>I411</t>
  </si>
  <si>
    <t>U071,Z290,E118,E86,I10</t>
  </si>
  <si>
    <t>C65,I10</t>
  </si>
  <si>
    <t>C402,Z966,U5040</t>
  </si>
  <si>
    <t>J9601,D500,N182,K259,E660,E117</t>
  </si>
  <si>
    <t>C720</t>
  </si>
  <si>
    <t>I10,I481,E782,E669,E118</t>
  </si>
  <si>
    <t>U6975,I10,E039</t>
  </si>
  <si>
    <t>I255,I10,E785,N185</t>
  </si>
  <si>
    <t>I255,E117,N184,I10</t>
  </si>
  <si>
    <t>J128,U071,D630,C900,G473</t>
  </si>
  <si>
    <t>Z511,E876,Z452,Z978</t>
  </si>
  <si>
    <t>M5455,I10,J449,R730</t>
  </si>
  <si>
    <t>M8140,M8100,I10,M8000,M5455</t>
  </si>
  <si>
    <t>Z940,E119,I151,E212,D686</t>
  </si>
  <si>
    <t>J958,R18,N183,Z940,I10</t>
  </si>
  <si>
    <t>U071,Z290,Z940,I10,B379</t>
  </si>
  <si>
    <t>Z940</t>
  </si>
  <si>
    <t>U071,E119,I10,Z290</t>
  </si>
  <si>
    <t>J450,K449</t>
  </si>
  <si>
    <t>D465</t>
  </si>
  <si>
    <t>D630,Z452,Z978</t>
  </si>
  <si>
    <t>K635,E119,I10</t>
  </si>
  <si>
    <t>I10,E660,K760</t>
  </si>
  <si>
    <t>L304,B351,B353,I10,E118</t>
  </si>
  <si>
    <t>J9600,U071,D860,N183,D808,I10</t>
  </si>
  <si>
    <t>E119,E039</t>
  </si>
  <si>
    <t>E119,I10,C349</t>
  </si>
  <si>
    <t>C472</t>
  </si>
  <si>
    <t>Z422</t>
  </si>
  <si>
    <t>D212</t>
  </si>
  <si>
    <t>I10,K269,L97</t>
  </si>
  <si>
    <t>I10,E119,E785,M1010,U6975,D62</t>
  </si>
  <si>
    <t>E119,I10,E669</t>
  </si>
  <si>
    <t>J380,I10,C921,B961</t>
  </si>
  <si>
    <t>Z514,C778,E230</t>
  </si>
  <si>
    <t>Z514,A415,C778</t>
  </si>
  <si>
    <t>W1999,G939,R402,J9600</t>
  </si>
  <si>
    <t>Z510,E43,K520,J189,E876,Z514</t>
  </si>
  <si>
    <t>Z511,G936,E878,R11,N300,Z978</t>
  </si>
  <si>
    <t>Z511,E878,E883,Z978,U6975</t>
  </si>
  <si>
    <t>Z511,H409,I10,U6975,D630,Z978</t>
  </si>
  <si>
    <t>Z511,U6975,H409,D630,Z978</t>
  </si>
  <si>
    <t>Z511,D70,E876,E834,U6975</t>
  </si>
  <si>
    <t>N185,M321,I481,D638</t>
  </si>
  <si>
    <t>R42,I10,M8199,G409</t>
  </si>
  <si>
    <t>R252</t>
  </si>
  <si>
    <t>E038,E114,G250</t>
  </si>
  <si>
    <t>K053,D471,I10,N059</t>
  </si>
  <si>
    <t>J449,Z514,J448,E785</t>
  </si>
  <si>
    <t>Z514,U6975,C780,J448,E785</t>
  </si>
  <si>
    <t>C321</t>
  </si>
  <si>
    <t>I259,J449,I481,M8199,M0539</t>
  </si>
  <si>
    <t>C840</t>
  </si>
  <si>
    <t>I10,E114,E785,Z878,B351</t>
  </si>
  <si>
    <t>I480,I10,E785,F412</t>
  </si>
  <si>
    <t>Z511,C786,E440</t>
  </si>
  <si>
    <t>M8190,I10</t>
  </si>
  <si>
    <t>C786,I864,E119,I10</t>
  </si>
  <si>
    <t>Z514,C786,C772,R18,A415</t>
  </si>
  <si>
    <t>W0181,B956,U6975</t>
  </si>
  <si>
    <t>M179</t>
  </si>
  <si>
    <t>U591,N182</t>
  </si>
  <si>
    <t>N133,I10,E789</t>
  </si>
  <si>
    <t>N201,U6975,E038,B968</t>
  </si>
  <si>
    <t>I480,I10,E785,E119,E039</t>
  </si>
  <si>
    <t>U099,J91,J189,I269,E118</t>
  </si>
  <si>
    <t>I269,U071,E118,I10,J128,Z290</t>
  </si>
  <si>
    <t>Z511,Z978</t>
  </si>
  <si>
    <t>U6975,Z511,Z452,Z978</t>
  </si>
  <si>
    <t>U071,Z290,J158</t>
  </si>
  <si>
    <t>U071,Z290,I269,N309,I500</t>
  </si>
  <si>
    <t>E118,E782,E669,I10,N182</t>
  </si>
  <si>
    <t>I10,K838</t>
  </si>
  <si>
    <t>F064,F068,I489,E86,I672,U589</t>
  </si>
  <si>
    <t>D172</t>
  </si>
  <si>
    <t>D239</t>
  </si>
  <si>
    <t>J954,S2740,J985,J949,S1220</t>
  </si>
  <si>
    <t>K550,C348,I501,K566,J9600,R572</t>
  </si>
  <si>
    <t>Z510,Z515,I10,E039,G473</t>
  </si>
  <si>
    <t>I10,E039,G473,E790</t>
  </si>
  <si>
    <t>Z511,Z515,I10,E039</t>
  </si>
  <si>
    <t>Z511,Z515,I10,E039,N390</t>
  </si>
  <si>
    <t>Z511,I10,U6975,D70</t>
  </si>
  <si>
    <t>Z511,E878,I480,J81,U6975</t>
  </si>
  <si>
    <t>D860</t>
  </si>
  <si>
    <t>J938,I255,E119,I10,E784</t>
  </si>
  <si>
    <t>D330</t>
  </si>
  <si>
    <t>D164,I258,E039,J449,M159,E785</t>
  </si>
  <si>
    <t>B962,I10</t>
  </si>
  <si>
    <t>I259,E118,I10,C675,N183</t>
  </si>
  <si>
    <t>C679,N134,I259,I10,E117</t>
  </si>
  <si>
    <t>J989,E119</t>
  </si>
  <si>
    <t>K573,J451,I10,E660,K760</t>
  </si>
  <si>
    <t>I10,I500,I481,J448</t>
  </si>
  <si>
    <t>W0109,I10,I481,Z038,U6975</t>
  </si>
  <si>
    <t>I10,E118,G473</t>
  </si>
  <si>
    <t>J9600,U071,I10</t>
  </si>
  <si>
    <t>K045,I10,Z958,Z921</t>
  </si>
  <si>
    <t>G560</t>
  </si>
  <si>
    <t>I10,E118,E789,D686,G562</t>
  </si>
  <si>
    <t>M7204</t>
  </si>
  <si>
    <t>I10,E118,E789,D686,G560</t>
  </si>
  <si>
    <t>U071,J171,N179,J459,E042</t>
  </si>
  <si>
    <t>J9600,J158,Z930,I495,I480</t>
  </si>
  <si>
    <t>L408</t>
  </si>
  <si>
    <t>L309,I255,I259,I10</t>
  </si>
  <si>
    <t>D384,Z514,E107,I489,I7020</t>
  </si>
  <si>
    <t>M8618</t>
  </si>
  <si>
    <t>I480,E106</t>
  </si>
  <si>
    <t>I480,M0699,M0729,N40</t>
  </si>
  <si>
    <t>I694,I10,J180,I269,K083</t>
  </si>
  <si>
    <t>I10,E118,E790,F920,G473</t>
  </si>
  <si>
    <t>C679,E119,I10,E790,E785</t>
  </si>
  <si>
    <t>E785,I10,E790,E119</t>
  </si>
  <si>
    <t>J849,Z902,J449,E119</t>
  </si>
  <si>
    <t>E117,L030,I7021,N183,D638</t>
  </si>
  <si>
    <t>I482,I501,J449,N300,N178</t>
  </si>
  <si>
    <t>I10,K219,E785,U6975,Z038</t>
  </si>
  <si>
    <t>M171,Z966,U5010</t>
  </si>
  <si>
    <t>Z961,H401,E790</t>
  </si>
  <si>
    <t>C189,C64,Z515,I10,J449</t>
  </si>
  <si>
    <t>I232</t>
  </si>
  <si>
    <t>I259,J951,I312,R570,J90,N179</t>
  </si>
  <si>
    <t>D400,I252,I258,E119</t>
  </si>
  <si>
    <t>C341,I259,D62,E119,I252</t>
  </si>
  <si>
    <t>I258,I10,E119</t>
  </si>
  <si>
    <t>W0181,U6975</t>
  </si>
  <si>
    <t>W1904,T07,S2200,I10,S7220</t>
  </si>
  <si>
    <t>H360,E117,E785,K758,I10,U6975</t>
  </si>
  <si>
    <t>C187,N183,I10,E782,I7020</t>
  </si>
  <si>
    <t>D70,Z511,D695,D630</t>
  </si>
  <si>
    <t>J9609,J189,R64,A411,U6975,Z978</t>
  </si>
  <si>
    <t>D695,D630,J189,U6975,Z978</t>
  </si>
  <si>
    <t>I10,E782,M1099</t>
  </si>
  <si>
    <t>E782,I10,E118,N183,I350</t>
  </si>
  <si>
    <t>N183,I10,E782,I509</t>
  </si>
  <si>
    <t>I489,I7020,I10,F171,F172</t>
  </si>
  <si>
    <t>I7020,I10,F171,F172,F101,U589</t>
  </si>
  <si>
    <t>M4300</t>
  </si>
  <si>
    <t>K501,E782</t>
  </si>
  <si>
    <t>J989</t>
  </si>
  <si>
    <t>E118,I10,E782</t>
  </si>
  <si>
    <t>M511,U6975,U5000</t>
  </si>
  <si>
    <t>I7021,I10,E115,E782,I259,Z480</t>
  </si>
  <si>
    <t>W1999,S3200</t>
  </si>
  <si>
    <t>Z511,C772,C787,C780</t>
  </si>
  <si>
    <t>R442,R64,J181</t>
  </si>
  <si>
    <t>U071,C343,Z850,F412,K519</t>
  </si>
  <si>
    <t>C343,Z850,F412,K519</t>
  </si>
  <si>
    <t>J938</t>
  </si>
  <si>
    <t>D381,Z850,F412,K519</t>
  </si>
  <si>
    <t>N201,I258,I252,I10</t>
  </si>
  <si>
    <t>I248,I252</t>
  </si>
  <si>
    <t>I250,I119,E117</t>
  </si>
  <si>
    <t>I259,I10,E782,E118</t>
  </si>
  <si>
    <t>I251</t>
  </si>
  <si>
    <t>I481,E119,I10,E039,E785</t>
  </si>
  <si>
    <t>I10,I259,J449,E785,J9600</t>
  </si>
  <si>
    <t>E785,I10,I714</t>
  </si>
  <si>
    <t>I208,I509,I499,I10</t>
  </si>
  <si>
    <t>E876,I10,R55,J448</t>
  </si>
  <si>
    <t>W0190,E127,I778,G20,F03,D62</t>
  </si>
  <si>
    <t>J47</t>
  </si>
  <si>
    <t>B965,R64,M8198,Z038</t>
  </si>
  <si>
    <t>I10,I259,E039</t>
  </si>
  <si>
    <t>E038,R12</t>
  </si>
  <si>
    <t>Z514,C787,C778,K831,K858</t>
  </si>
  <si>
    <t>K578</t>
  </si>
  <si>
    <t>I10,E785,I480</t>
  </si>
  <si>
    <t>I480,I10,E782,E118</t>
  </si>
  <si>
    <t>G632,I259,I10,E660,E782</t>
  </si>
  <si>
    <t>Z511,C786</t>
  </si>
  <si>
    <t>C786,Z511</t>
  </si>
  <si>
    <t>Z514,D611,E440,C786</t>
  </si>
  <si>
    <t>Z511,E440,C786</t>
  </si>
  <si>
    <t>Z511,C786,R18,E441</t>
  </si>
  <si>
    <t>M1914</t>
  </si>
  <si>
    <t>C248</t>
  </si>
  <si>
    <t>C787,R18,E46,J91</t>
  </si>
  <si>
    <t>A414</t>
  </si>
  <si>
    <t>C248,K830,E46,D630,I10</t>
  </si>
  <si>
    <t>N178,J449,I10,I672,F018</t>
  </si>
  <si>
    <t>N390,K529,D638,E118,U071,N178</t>
  </si>
  <si>
    <t>Z514,K746,K721,E118,E440</t>
  </si>
  <si>
    <t>W1999,J449,E119,I10,E039,I839</t>
  </si>
  <si>
    <t>I10,E789,J449</t>
  </si>
  <si>
    <t>I259,E789,E114</t>
  </si>
  <si>
    <t>C343,J449,N183,M5490,K219</t>
  </si>
  <si>
    <t>J189,Z511,J448,N183,M5490</t>
  </si>
  <si>
    <t>Y792,I10,E782,D62</t>
  </si>
  <si>
    <t>I259,I10,Z930,J449,J952</t>
  </si>
  <si>
    <t>I259,M5489,J449</t>
  </si>
  <si>
    <t>G20,U5020</t>
  </si>
  <si>
    <t>M332</t>
  </si>
  <si>
    <t>G122,D519,I10,E119,A692</t>
  </si>
  <si>
    <t>D519,I10,E119,A692</t>
  </si>
  <si>
    <t>I500,I10</t>
  </si>
  <si>
    <t>W0190,I119</t>
  </si>
  <si>
    <t>I10,E780,D473</t>
  </si>
  <si>
    <t>M2380,M2550</t>
  </si>
  <si>
    <t>M751</t>
  </si>
  <si>
    <t>L891,E86,G35,I10,E441</t>
  </si>
  <si>
    <t>I481,E118,E782</t>
  </si>
  <si>
    <t>K729,I10,J459</t>
  </si>
  <si>
    <t>E119,I259</t>
  </si>
  <si>
    <t>C64,I10,E789,N189</t>
  </si>
  <si>
    <t>A499</t>
  </si>
  <si>
    <t>E876,M313,E042,J380</t>
  </si>
  <si>
    <t>Z512,T810,M313,I10,N085</t>
  </si>
  <si>
    <t>J173,B485,M313,E43,I801</t>
  </si>
  <si>
    <t>M313</t>
  </si>
  <si>
    <t>I10,F019,E440,E039,Z512</t>
  </si>
  <si>
    <t>C713</t>
  </si>
  <si>
    <t>G936,G935,Z921,U6975,I10</t>
  </si>
  <si>
    <t>U071,A419,R572,N179,J9601</t>
  </si>
  <si>
    <t>I10,E109,I259,Z905,I252</t>
  </si>
  <si>
    <t>K869,C65,E119,I252,I10</t>
  </si>
  <si>
    <t>F000</t>
  </si>
  <si>
    <t>G300,I10,E785,E038,E118</t>
  </si>
  <si>
    <t>U071,J128,E119,E669</t>
  </si>
  <si>
    <t>I10,E785,I7021</t>
  </si>
  <si>
    <t>W1991,J068,U071,J160,Z290,F321</t>
  </si>
  <si>
    <t>Z510,C151,C771</t>
  </si>
  <si>
    <t>V0301,I482,I258,C151,I698</t>
  </si>
  <si>
    <t>E039,I839</t>
  </si>
  <si>
    <t>E113,I10,M8180,Z961,U6975</t>
  </si>
  <si>
    <t>G936</t>
  </si>
  <si>
    <t>U071,I10,E789,C541</t>
  </si>
  <si>
    <t>K746,I10,J449</t>
  </si>
  <si>
    <t>U071,J9690,J80,J150,A419,Z290</t>
  </si>
  <si>
    <t>C341,J938,E789,E119,J459</t>
  </si>
  <si>
    <t>Z511,C218,C795</t>
  </si>
  <si>
    <t>C218</t>
  </si>
  <si>
    <t>Z511,I10,E119</t>
  </si>
  <si>
    <t>Z511,C218,I10,E119</t>
  </si>
  <si>
    <t>Z511,C787,I10,E119</t>
  </si>
  <si>
    <t>Z510,Z511</t>
  </si>
  <si>
    <t>W0199,E039,J459,U6975,Z038</t>
  </si>
  <si>
    <t>I10,E785,U6975,Z038</t>
  </si>
  <si>
    <t>U6975,E785,E039</t>
  </si>
  <si>
    <t>I10,E789,E119,J459</t>
  </si>
  <si>
    <t>K010</t>
  </si>
  <si>
    <t>K122,I10</t>
  </si>
  <si>
    <t>G409,I829,J42,I10,E785,E790</t>
  </si>
  <si>
    <t>J958,J449,I10,E785</t>
  </si>
  <si>
    <t>I10,E785,E790,C320,Z921</t>
  </si>
  <si>
    <t>C320,I10,E784</t>
  </si>
  <si>
    <t>Z514,J449,I10,E785</t>
  </si>
  <si>
    <t>Z514,C340,J449,I10,E785</t>
  </si>
  <si>
    <t>Z932,K567,E876</t>
  </si>
  <si>
    <t>I351,I10,M0597,E782,N182</t>
  </si>
  <si>
    <t>Z514,I251,I10,E119,E782</t>
  </si>
  <si>
    <t>U071,E119,J449,Z228,Z290,D649</t>
  </si>
  <si>
    <t>I260</t>
  </si>
  <si>
    <t>I828,I484,S0220,C001</t>
  </si>
  <si>
    <t>I481,N183,I10,E785</t>
  </si>
  <si>
    <t>M5489</t>
  </si>
  <si>
    <t>M169,I10,E782</t>
  </si>
  <si>
    <t>U071,E038,J9600</t>
  </si>
  <si>
    <t>Z511,C778,D70</t>
  </si>
  <si>
    <t>C772,Z511,I803</t>
  </si>
  <si>
    <t>C166</t>
  </si>
  <si>
    <t>D62,I10</t>
  </si>
  <si>
    <t>U071,J188,E118,D70,D695</t>
  </si>
  <si>
    <t>U6975,Z038</t>
  </si>
  <si>
    <t>G629,I480,L80</t>
  </si>
  <si>
    <t>E785,I10,I480</t>
  </si>
  <si>
    <t>I259,I480,E782,I10</t>
  </si>
  <si>
    <t>J9601,J188,J440,I500,U6975</t>
  </si>
  <si>
    <t>I500,J189,N179,K720,R572,I259</t>
  </si>
  <si>
    <t>Z511,Z515,J449,I10,K219</t>
  </si>
  <si>
    <t>C340,Z515,B370,J449,E139</t>
  </si>
  <si>
    <t>D70,D611,Z515,B370,C787</t>
  </si>
  <si>
    <t>J154</t>
  </si>
  <si>
    <t>J690,J938,I7020,E785</t>
  </si>
  <si>
    <t>U071,Z290,J9600,I10,E117</t>
  </si>
  <si>
    <t>I10,I489,E118,E785,B351</t>
  </si>
  <si>
    <t>I350,N182,E782,E118</t>
  </si>
  <si>
    <t>D860,J448,C672,N40,E118</t>
  </si>
  <si>
    <t>I258,E107,N189,I10,E790,I481</t>
  </si>
  <si>
    <t>E86,E117,I489</t>
  </si>
  <si>
    <t>W0190,S909,U6975</t>
  </si>
  <si>
    <t>J90,C61,I489,I10,E876</t>
  </si>
  <si>
    <t>U071,Z290,I10,E119,E669</t>
  </si>
  <si>
    <t>E785,E118,B351</t>
  </si>
  <si>
    <t>D377,J449,I10</t>
  </si>
  <si>
    <t>I258,I480</t>
  </si>
  <si>
    <t>J849,I489,I10,E785</t>
  </si>
  <si>
    <t>K280,E116,I255</t>
  </si>
  <si>
    <t>U071,Z290,J128</t>
  </si>
  <si>
    <t>U071,J9600,I10</t>
  </si>
  <si>
    <t>C820</t>
  </si>
  <si>
    <t>U6975,Z511,E119,I10,E834,Z452</t>
  </si>
  <si>
    <t>W1999,S2240,S510,U6975,S0600,S2730</t>
  </si>
  <si>
    <t>U071,Z290,I10,I800,E782</t>
  </si>
  <si>
    <t>I10,E119,Z514</t>
  </si>
  <si>
    <t>I492,I251,D500,I119</t>
  </si>
  <si>
    <t>K838</t>
  </si>
  <si>
    <t>I10,K257,K219,M171,K269</t>
  </si>
  <si>
    <t>U6975,E119,E038,I10,E785,E790</t>
  </si>
  <si>
    <t>I489,E785,I10</t>
  </si>
  <si>
    <t>M2321</t>
  </si>
  <si>
    <t>Z433</t>
  </si>
  <si>
    <t>C20,I10,E119</t>
  </si>
  <si>
    <t>G629,E038,I10,B968</t>
  </si>
  <si>
    <t>M4646,E038,I10,N40</t>
  </si>
  <si>
    <t>Z911,Z818,I10,U6975</t>
  </si>
  <si>
    <t>J952,E118,I10,J449</t>
  </si>
  <si>
    <t>I10,E782,E118,E669</t>
  </si>
  <si>
    <t>I500,I259,I10,E119</t>
  </si>
  <si>
    <t>E118,E782</t>
  </si>
  <si>
    <t>C01</t>
  </si>
  <si>
    <t>Z510</t>
  </si>
  <si>
    <t>J9600,A419,N179,K850,I10,I259</t>
  </si>
  <si>
    <t>E790,C919</t>
  </si>
  <si>
    <t>D372</t>
  </si>
  <si>
    <t>U071,N183,E118,I10,E785,J9600</t>
  </si>
  <si>
    <t>J189,Z038,I255,R572,L409</t>
  </si>
  <si>
    <t>E785,N358,E119,I10</t>
  </si>
  <si>
    <t>I10,I259,E105</t>
  </si>
  <si>
    <t>I10,E038,E790,N189</t>
  </si>
  <si>
    <t>K760,I10,E790</t>
  </si>
  <si>
    <t>I610,I10</t>
  </si>
  <si>
    <t>I772</t>
  </si>
  <si>
    <t>I778,U6975,E117,D62</t>
  </si>
  <si>
    <t>Z514,E440,C786</t>
  </si>
  <si>
    <t>E440,Z514,C786</t>
  </si>
  <si>
    <t>E038,I10,E785,F320,B968</t>
  </si>
  <si>
    <t>D143,I10,E119</t>
  </si>
  <si>
    <t>I10,E039,E785,E118,E790</t>
  </si>
  <si>
    <t>Z948,D70,K521,I260,U6975</t>
  </si>
  <si>
    <t>M8408</t>
  </si>
  <si>
    <t>U6975,W1999</t>
  </si>
  <si>
    <t>J9600,U071,E118,J450,E875,Z290</t>
  </si>
  <si>
    <t>U071,Z290,E839</t>
  </si>
  <si>
    <t>I482,I10,E119</t>
  </si>
  <si>
    <t>I10,I482</t>
  </si>
  <si>
    <t>U6975,D630</t>
  </si>
  <si>
    <t>Z932,I10,E039</t>
  </si>
  <si>
    <t>I802,K760,K802,U6975,E660</t>
  </si>
  <si>
    <t>K660,K36,E119,J459,K630</t>
  </si>
  <si>
    <t>I694</t>
  </si>
  <si>
    <t>U071,Z941,I489,Z290,E118,J9600</t>
  </si>
  <si>
    <t>B351,I10,F329,E785</t>
  </si>
  <si>
    <t>C921,I489,E789</t>
  </si>
  <si>
    <t>E789,I489,C921,I259</t>
  </si>
  <si>
    <t>I10,I489,E782,E039</t>
  </si>
  <si>
    <t>B962,E86</t>
  </si>
  <si>
    <t>Z853,U6975,I10</t>
  </si>
  <si>
    <t>Z514,Z853</t>
  </si>
  <si>
    <t>D862</t>
  </si>
  <si>
    <t>E835,N184</t>
  </si>
  <si>
    <t>H250,H178,E038,E785</t>
  </si>
  <si>
    <t>U071,I10,J459,F329,Z290</t>
  </si>
  <si>
    <t>M2410,I10,E789,H409</t>
  </si>
  <si>
    <t>N189,Z992,I255</t>
  </si>
  <si>
    <t>U071,I500,Z290</t>
  </si>
  <si>
    <t>I10,E038,N111,Z988</t>
  </si>
  <si>
    <t>Z514,I10,E039,E119</t>
  </si>
  <si>
    <t>E785,K219</t>
  </si>
  <si>
    <t>I460,I428,I489,J690</t>
  </si>
  <si>
    <t>Z514,C787,C786,D70,E440</t>
  </si>
  <si>
    <t>G629,I10,I420,M5450</t>
  </si>
  <si>
    <t>U071,Z290,F209</t>
  </si>
  <si>
    <t>I269,Z511,D611,Z515,J458</t>
  </si>
  <si>
    <t>Z511,C19,C775,C780</t>
  </si>
  <si>
    <t>Z511,I10,C787,C780</t>
  </si>
  <si>
    <t>Z514,N179,C780,C787</t>
  </si>
  <si>
    <t>Z511,I10,M2555</t>
  </si>
  <si>
    <t>Z511,C787,C775,C19</t>
  </si>
  <si>
    <t>Z511,C787,C775,C780</t>
  </si>
  <si>
    <t>Z511,C780,C787</t>
  </si>
  <si>
    <t>Z511,C787,C780,N181</t>
  </si>
  <si>
    <t>Z514,C787,C775,C780</t>
  </si>
  <si>
    <t>I500,I10,E119,E042</t>
  </si>
  <si>
    <t>U071,N189,I119,Z290</t>
  </si>
  <si>
    <t>I369,I349,I441</t>
  </si>
  <si>
    <t>E785,I10,I480,I340,J440</t>
  </si>
  <si>
    <t>D62,I10,E118,E784,I839</t>
  </si>
  <si>
    <t>K802,K227,U6975</t>
  </si>
  <si>
    <t>M159</t>
  </si>
  <si>
    <t>M8100</t>
  </si>
  <si>
    <t>U071,J9600,J180,R572,R651,Z290</t>
  </si>
  <si>
    <t>I10,E115,I7020</t>
  </si>
  <si>
    <t>I830,I10,E116,E039,I499,E785</t>
  </si>
  <si>
    <t>L088,E116,I890,B965</t>
  </si>
  <si>
    <t>I839</t>
  </si>
  <si>
    <t>I10,I489,I739</t>
  </si>
  <si>
    <t>K822</t>
  </si>
  <si>
    <t>K573,Z433,J459</t>
  </si>
  <si>
    <t>M8699,K222,Z850,Z923</t>
  </si>
  <si>
    <t>Y792,U6975,Z038,D62</t>
  </si>
  <si>
    <t>J952,J459,I10,N40</t>
  </si>
  <si>
    <t>J160,I10,E039,J458</t>
  </si>
  <si>
    <t>G728,U099,U5020</t>
  </si>
  <si>
    <t>J9600,G728,E119,D849,Z290,U071</t>
  </si>
  <si>
    <t>U6975,I10,E785</t>
  </si>
  <si>
    <t>I10,I420</t>
  </si>
  <si>
    <t>E782,E669</t>
  </si>
  <si>
    <t>Z966,M160,U5010</t>
  </si>
  <si>
    <t>J958</t>
  </si>
  <si>
    <t>I10,E039,E119,E660,N189,U071</t>
  </si>
  <si>
    <t>I10,E789,Z480,F104</t>
  </si>
  <si>
    <t>M1098</t>
  </si>
  <si>
    <t>V2961,J9600,S0630,S0260,S202,J690</t>
  </si>
  <si>
    <t>W1999,I10,J952,G409</t>
  </si>
  <si>
    <t>I352,I500,E112,L97,N183</t>
  </si>
  <si>
    <t>E789,I725</t>
  </si>
  <si>
    <t>I10,E114,E782</t>
  </si>
  <si>
    <t>I10,E782,I501</t>
  </si>
  <si>
    <t>W1999,S5260</t>
  </si>
  <si>
    <t>M0680,I10,E790</t>
  </si>
  <si>
    <t>M0006</t>
  </si>
  <si>
    <t>E118,I259,I10,N182,E782</t>
  </si>
  <si>
    <t>I10,N189,Z490</t>
  </si>
  <si>
    <t>Z514,A419,C772,E875,N178</t>
  </si>
  <si>
    <t>J942</t>
  </si>
  <si>
    <t>U6975,E118,I10,J180,I500</t>
  </si>
  <si>
    <t>E117,I672,I119,I251,L97</t>
  </si>
  <si>
    <t>G638,I7021,I259,I10,E107,E782</t>
  </si>
  <si>
    <t>I10,I7020,E785</t>
  </si>
  <si>
    <t>I489,E118,I10,E785,E790</t>
  </si>
  <si>
    <t>E118,I480,E785,E790</t>
  </si>
  <si>
    <t>I10,I498,Z921</t>
  </si>
  <si>
    <t>U071,Z290,J128,E86</t>
  </si>
  <si>
    <t>H168</t>
  </si>
  <si>
    <t>H133,U6975,H401,E119,I10</t>
  </si>
  <si>
    <t>U071,Z290,I10,G20,E117</t>
  </si>
  <si>
    <t>U6975,I10,E119</t>
  </si>
  <si>
    <t>I10,E119,F412,N40,E785</t>
  </si>
  <si>
    <t>J22</t>
  </si>
  <si>
    <t>N390,J448,N182,I10,N40</t>
  </si>
  <si>
    <t>G934,F019,D648</t>
  </si>
  <si>
    <t>I350,I10,E782,E790,C61</t>
  </si>
  <si>
    <t>I489,U6975</t>
  </si>
  <si>
    <t>J156,I259,I10,E782</t>
  </si>
  <si>
    <t>I675,G919</t>
  </si>
  <si>
    <t>E875,K315,I10,E119,E440</t>
  </si>
  <si>
    <t>K311</t>
  </si>
  <si>
    <t>E440,K863,E118,E86,I10,U6975</t>
  </si>
  <si>
    <t>K863,E118,E86,I10</t>
  </si>
  <si>
    <t>E118,E86,I10</t>
  </si>
  <si>
    <t>K831,K868,E138,I10</t>
  </si>
  <si>
    <t>C139</t>
  </si>
  <si>
    <t>C109,E785</t>
  </si>
  <si>
    <t>E789,C139</t>
  </si>
  <si>
    <t>I259,I119,J189,E119,I472</t>
  </si>
  <si>
    <t>G729</t>
  </si>
  <si>
    <t>M8599,I10,K449,E780</t>
  </si>
  <si>
    <t>K045,I10,Z854</t>
  </si>
  <si>
    <t>K083,M8788,Z851,Z855,I10,Z926</t>
  </si>
  <si>
    <t>U071,Z290,I10,E660,E782</t>
  </si>
  <si>
    <t>G404,I480,U6975</t>
  </si>
  <si>
    <t>I10,E118,E790,E780</t>
  </si>
  <si>
    <t>Z513,D611</t>
  </si>
  <si>
    <t>K801,K760,U6975</t>
  </si>
  <si>
    <t>K800,K820,I10,U6975</t>
  </si>
  <si>
    <t>I119,K769</t>
  </si>
  <si>
    <t>U6975,K642,M7046,F321,I10</t>
  </si>
  <si>
    <t>C37</t>
  </si>
  <si>
    <t>Z514,I251,I489,Z921,I10</t>
  </si>
  <si>
    <t>I259,E059,J158,I489,E149</t>
  </si>
  <si>
    <t>J448,I10,I251</t>
  </si>
  <si>
    <t>K740,K766,U589,E115</t>
  </si>
  <si>
    <t>W0101,I10,E119,U071,Z290,G20</t>
  </si>
  <si>
    <t>W0100,I10,E119,U6975,Z038</t>
  </si>
  <si>
    <t>G638,I10,E782</t>
  </si>
  <si>
    <t>I480,I10,E119,E785</t>
  </si>
  <si>
    <t>U6975,E038,Z988</t>
  </si>
  <si>
    <t>D529,N390,U6975,I10</t>
  </si>
  <si>
    <t>I10,E144</t>
  </si>
  <si>
    <t>I10,E119,E785,E660,N40,U6975</t>
  </si>
  <si>
    <t>I10,E118,E660,N40</t>
  </si>
  <si>
    <t>C64,K053,I259,I693,I10,Z922</t>
  </si>
  <si>
    <t>Z940,N011,N185,I255,N390</t>
  </si>
  <si>
    <t>E117,I259,I489,N189,Z490</t>
  </si>
  <si>
    <t>I10,I251,E118,E790</t>
  </si>
  <si>
    <t>Z514,K839,C786</t>
  </si>
  <si>
    <t>Z514,C787,K830</t>
  </si>
  <si>
    <t>I723</t>
  </si>
  <si>
    <t>W1999,S0660,F100,I10,S0200,J952</t>
  </si>
  <si>
    <t>C911,E790</t>
  </si>
  <si>
    <t>S461</t>
  </si>
  <si>
    <t>W0199,S460</t>
  </si>
  <si>
    <t>D611,Z514,C787</t>
  </si>
  <si>
    <t>J458,I10,M4306,R730,J328</t>
  </si>
  <si>
    <t>J9601,J449,E440</t>
  </si>
  <si>
    <t>J9601,J449,N390,I500,E440</t>
  </si>
  <si>
    <t>N23,N40,I119,K221,U6975</t>
  </si>
  <si>
    <t>Z514,C780,C782,I269,E835</t>
  </si>
  <si>
    <t>Z087</t>
  </si>
  <si>
    <t>I10,E660</t>
  </si>
  <si>
    <t>C508</t>
  </si>
  <si>
    <t>C793,Z515</t>
  </si>
  <si>
    <t>R42,G919,C509</t>
  </si>
  <si>
    <t>G35</t>
  </si>
  <si>
    <t>M5417,I10,M8100</t>
  </si>
  <si>
    <t>M5437,I10,M5423,M8140</t>
  </si>
  <si>
    <t>H052,Z959,E050</t>
  </si>
  <si>
    <t>M0690</t>
  </si>
  <si>
    <t>I10,E784,M8199</t>
  </si>
  <si>
    <t>I81</t>
  </si>
  <si>
    <t>Z081,E890</t>
  </si>
  <si>
    <t>U071,Z290,B370</t>
  </si>
  <si>
    <t>E039,I10,J449,U6975,Z038</t>
  </si>
  <si>
    <t>U071,J9600,C857,Z290</t>
  </si>
  <si>
    <t>U6975,Z491,Z511,I489,R34,E876</t>
  </si>
  <si>
    <t>D70,I10,U6975</t>
  </si>
  <si>
    <t>E876,D500,J180,I10</t>
  </si>
  <si>
    <t>U071,Z290,I10,M5416,E86</t>
  </si>
  <si>
    <t>S0630</t>
  </si>
  <si>
    <t>W1999,E039,I839</t>
  </si>
  <si>
    <t>U071,Z290,I269</t>
  </si>
  <si>
    <t>S7230,N342,U6975,U5020</t>
  </si>
  <si>
    <t>C56,B968</t>
  </si>
  <si>
    <t>C56,C786</t>
  </si>
  <si>
    <t>W0000,I10,E780,E039</t>
  </si>
  <si>
    <t>E039,I10,U6975,Z038</t>
  </si>
  <si>
    <t>S731</t>
  </si>
  <si>
    <t>W0199,D128</t>
  </si>
  <si>
    <t>M8005,U5010</t>
  </si>
  <si>
    <t>Z511,Z948,D70,D630</t>
  </si>
  <si>
    <t>D70,D630,R51,E878,U6975</t>
  </si>
  <si>
    <t>Z511,I10,U6975</t>
  </si>
  <si>
    <t>U071,E039,G20,Z290,I481</t>
  </si>
  <si>
    <t>J9699,I10,E785,G943</t>
  </si>
  <si>
    <t>T812</t>
  </si>
  <si>
    <t>F412,M5490,G513</t>
  </si>
  <si>
    <t>I10,E039,E785</t>
  </si>
  <si>
    <t>U071,E039,I10,E86,Z290</t>
  </si>
  <si>
    <t>D649,D70,I10,N309,Z978,U6975</t>
  </si>
  <si>
    <t>C884</t>
  </si>
  <si>
    <t>Z511,D591,D688,R509,U6975,Z452</t>
  </si>
  <si>
    <t>Z511,U6975,D630,Z978,I10,E834</t>
  </si>
  <si>
    <t>I10,M8199,E785</t>
  </si>
  <si>
    <t>I10,M0699,M5480,E790</t>
  </si>
  <si>
    <t>H402,Z961,I10,E785,E038,F411</t>
  </si>
  <si>
    <t>F606</t>
  </si>
  <si>
    <t>F411,U6975,H163,H402,H353</t>
  </si>
  <si>
    <t>K729</t>
  </si>
  <si>
    <t>U071,Z290,K746,K766,Z228,D62</t>
  </si>
  <si>
    <t>Q211</t>
  </si>
  <si>
    <t>C168</t>
  </si>
  <si>
    <t>C169,I10,Z950,L932,A419</t>
  </si>
  <si>
    <t>J128,U071,E118,I10</t>
  </si>
  <si>
    <t>H812</t>
  </si>
  <si>
    <t>M5456,G20,U5010</t>
  </si>
  <si>
    <t>E785,I10,I500</t>
  </si>
  <si>
    <t>U6975,E038</t>
  </si>
  <si>
    <t>N993</t>
  </si>
  <si>
    <t>E119,I119,D62</t>
  </si>
  <si>
    <t>K083,I10</t>
  </si>
  <si>
    <t>I10,E785,M0738,E119,L409,L405</t>
  </si>
  <si>
    <t>M0006,D62,K264,E119,N183</t>
  </si>
  <si>
    <t>M340</t>
  </si>
  <si>
    <t>J848,M8105,I340,I351,K219</t>
  </si>
  <si>
    <t>U071,Z290,K769,E039</t>
  </si>
  <si>
    <t>K660</t>
  </si>
  <si>
    <t>W1999,S8270,W0180</t>
  </si>
  <si>
    <t>I724,T810,J448,E785,I259</t>
  </si>
  <si>
    <t>E039,U099</t>
  </si>
  <si>
    <t>F103</t>
  </si>
  <si>
    <t>F102,E876,K709,U6975</t>
  </si>
  <si>
    <t>N069,E784</t>
  </si>
  <si>
    <t>I443</t>
  </si>
  <si>
    <t>I484,N183,I429</t>
  </si>
  <si>
    <t>C56,C787</t>
  </si>
  <si>
    <t>M2380</t>
  </si>
  <si>
    <t>M316</t>
  </si>
  <si>
    <t>I10,E119,E660</t>
  </si>
  <si>
    <t>M315</t>
  </si>
  <si>
    <t>E119,E660,I10</t>
  </si>
  <si>
    <t>I350,I10,E785,E790</t>
  </si>
  <si>
    <t>J440,E662,I500,E116,I10</t>
  </si>
  <si>
    <t>Z510,I10,E118,I871,E782</t>
  </si>
  <si>
    <t>C492</t>
  </si>
  <si>
    <t>F101,F102,F100,F171,F172</t>
  </si>
  <si>
    <t>H258</t>
  </si>
  <si>
    <t>U6975,J448,C300</t>
  </si>
  <si>
    <t>I10,I481</t>
  </si>
  <si>
    <t>Z514,U6975,I10,E118,I251</t>
  </si>
  <si>
    <t>Z514,C089,U6975,I10,E118</t>
  </si>
  <si>
    <t>Z902,Z508,E116,I500,I10</t>
  </si>
  <si>
    <t>I890,Z902,Z508,E116,I500</t>
  </si>
  <si>
    <t>A419,N179,K593,D689,E118</t>
  </si>
  <si>
    <t>K053,K051,Z878,Z921</t>
  </si>
  <si>
    <t>M4316,I259</t>
  </si>
  <si>
    <t>D529,U6975</t>
  </si>
  <si>
    <t>Z514,D70,E876,C787,J168</t>
  </si>
  <si>
    <t>I259,I119,E785</t>
  </si>
  <si>
    <t>J841,C349,J449,Z515,J128,U071</t>
  </si>
  <si>
    <t>I10,E119,H904</t>
  </si>
  <si>
    <t>B968,I10,E785</t>
  </si>
  <si>
    <t>U071,J9609</t>
  </si>
  <si>
    <t>I214,E107,Z940</t>
  </si>
  <si>
    <t>E107,Z940,I151</t>
  </si>
  <si>
    <t>N185,I10,E102,E785</t>
  </si>
  <si>
    <t>R572,J189,K720,I10</t>
  </si>
  <si>
    <t>I10,F102,F172</t>
  </si>
  <si>
    <t>I633,I10,U5020</t>
  </si>
  <si>
    <t>J342,J321,I10</t>
  </si>
  <si>
    <t>G473,E782,E038,I10,E119,I480</t>
  </si>
  <si>
    <t>I10,N201,Q618,M170</t>
  </si>
  <si>
    <t>I259,I10,E782,I7081,N183</t>
  </si>
  <si>
    <t>M8698,U6975</t>
  </si>
  <si>
    <t>E883,E877,E118,I10,U6975</t>
  </si>
  <si>
    <t>H162,I10,H406</t>
  </si>
  <si>
    <t>J441,I516</t>
  </si>
  <si>
    <t>W0100,U6975,Z038,J449</t>
  </si>
  <si>
    <t>I339</t>
  </si>
  <si>
    <t>U071,I10,J129</t>
  </si>
  <si>
    <t>Y792,F920,U6975,Z038,D62</t>
  </si>
  <si>
    <t>N210,I10</t>
  </si>
  <si>
    <t>M2416,U6975,I10</t>
  </si>
  <si>
    <t>C041,M8669,I610,I10,E41</t>
  </si>
  <si>
    <t>U6975,I480,E119,E038,I10</t>
  </si>
  <si>
    <t>C814</t>
  </si>
  <si>
    <t>J189,I7020,I10,E876,U6975</t>
  </si>
  <si>
    <t>I10,E669</t>
  </si>
  <si>
    <t>M1907</t>
  </si>
  <si>
    <t>U071,Z290,E119,J449,I259</t>
  </si>
  <si>
    <t>E118,I10,N40,E782</t>
  </si>
  <si>
    <t>I482,E118,I10,E782</t>
  </si>
  <si>
    <t>U071,I119,E119,I489,J9600</t>
  </si>
  <si>
    <t>U071,C348,J9600,J448,E118,Z290</t>
  </si>
  <si>
    <t>E274,N184</t>
  </si>
  <si>
    <t>N184,E274,I131</t>
  </si>
  <si>
    <t>U071,J128,E274,C64,C65,Z290</t>
  </si>
  <si>
    <t>D694,E274,N184,C65,I131</t>
  </si>
  <si>
    <t>D302</t>
  </si>
  <si>
    <t>D410,U6975</t>
  </si>
  <si>
    <t>J9600,U071,I10,Z290,I471</t>
  </si>
  <si>
    <t>I10,E669,U590</t>
  </si>
  <si>
    <t>J448,I10,E118,F920</t>
  </si>
  <si>
    <t>T813</t>
  </si>
  <si>
    <t>Y792,M161,I10,E785,E119,D62</t>
  </si>
  <si>
    <t>M171,N182,I10,E790,J151,J9600</t>
  </si>
  <si>
    <t>H353,Z961,I10,E785</t>
  </si>
  <si>
    <t>K700</t>
  </si>
  <si>
    <t>F101,F102,F108,I509,I672</t>
  </si>
  <si>
    <t>E46,E86</t>
  </si>
  <si>
    <t>B182,L409,I672,G379</t>
  </si>
  <si>
    <t>I10,E785,N429</t>
  </si>
  <si>
    <t>D62,K769,A419</t>
  </si>
  <si>
    <t>R490</t>
  </si>
  <si>
    <t>I10,E785,Z227,J387,C04</t>
  </si>
  <si>
    <t>L400,I10,I259,E876,B980</t>
  </si>
  <si>
    <t>L400,I10</t>
  </si>
  <si>
    <t>I7021,N170,I250,I10,I489</t>
  </si>
  <si>
    <t>I691,G810,G911,G401,Q282,E86</t>
  </si>
  <si>
    <t>E872,E86,I959,D648</t>
  </si>
  <si>
    <t>J958,T810,L040,K900,J459,E039</t>
  </si>
  <si>
    <t>U071,C780,Z290</t>
  </si>
  <si>
    <t>E785,M0690,U6975,Z038</t>
  </si>
  <si>
    <t>J9609,I489,N202,K573,I259</t>
  </si>
  <si>
    <t>I10,U6975,E785,I258</t>
  </si>
  <si>
    <t>M511,M161,U5000</t>
  </si>
  <si>
    <t>M5302</t>
  </si>
  <si>
    <t>M5490,E669,E114,E782,I10</t>
  </si>
  <si>
    <t>K30,E785,E660,I10</t>
  </si>
  <si>
    <t>M5490,E669,E114,I10,E782</t>
  </si>
  <si>
    <t>U071,Z290,K224,E117,J448,E86</t>
  </si>
  <si>
    <t>C505</t>
  </si>
  <si>
    <t>H360,Z961,E117,I10,E785,I7020</t>
  </si>
  <si>
    <t>N10,I10,E789,E118</t>
  </si>
  <si>
    <t>J849,J449,I10,I313</t>
  </si>
  <si>
    <t>J849,J449,I10,I313,M8199</t>
  </si>
  <si>
    <t>D473,F412,M5448</t>
  </si>
  <si>
    <t>U071,E835,Z940,N183,I151</t>
  </si>
  <si>
    <t>T813,I10,J958,E039</t>
  </si>
  <si>
    <t>I10,E039,M6534,E660</t>
  </si>
  <si>
    <t>J128,U071,I259,E116,I489,Z290</t>
  </si>
  <si>
    <t>F322</t>
  </si>
  <si>
    <t>F510,M5422,U6975,E440</t>
  </si>
  <si>
    <t>E876,I10,E785,K210</t>
  </si>
  <si>
    <t>J440,I500,I472,L304,E118,I272</t>
  </si>
  <si>
    <t>Z514,C787,C772,E440,E876</t>
  </si>
  <si>
    <t>K831,U6975,I10,E440</t>
  </si>
  <si>
    <t>J9600,U071,J80,N179,I714,Z290</t>
  </si>
  <si>
    <t>L081,E117,I10,N183,D500</t>
  </si>
  <si>
    <t>U6975,Z961</t>
  </si>
  <si>
    <t>K635,J450,I10</t>
  </si>
  <si>
    <t>Z511,C168,C793,D695,D630</t>
  </si>
  <si>
    <t>J848,I10,E782</t>
  </si>
  <si>
    <t>Z510,K746</t>
  </si>
  <si>
    <t>J128,U071,J9600,Z514</t>
  </si>
  <si>
    <t>D136</t>
  </si>
  <si>
    <t>M5416</t>
  </si>
  <si>
    <t>E118,I480,E782,E660</t>
  </si>
  <si>
    <t>J041</t>
  </si>
  <si>
    <t>A310,J988,K513,I10,M0604</t>
  </si>
  <si>
    <t>A310,J988,Y434,K513,I10,Z518</t>
  </si>
  <si>
    <t>C182,E039</t>
  </si>
  <si>
    <t>Z514,D70</t>
  </si>
  <si>
    <t>I10,I803,J42</t>
  </si>
  <si>
    <t>Z514,M160,M161,M6584,M2147</t>
  </si>
  <si>
    <t>C787,Z511</t>
  </si>
  <si>
    <t>C20,J958,I958,I10,E785</t>
  </si>
  <si>
    <t>M314</t>
  </si>
  <si>
    <t>G405,F059,F102,F108,F107</t>
  </si>
  <si>
    <t>G401,K267,I10,U6975</t>
  </si>
  <si>
    <t>I269,J9600,W7888,I359,G409</t>
  </si>
  <si>
    <t>F019,G401,I10,J459,I350</t>
  </si>
  <si>
    <t>S5250,W0190</t>
  </si>
  <si>
    <t>M328,Z512,E660,M4846,I119</t>
  </si>
  <si>
    <t>L308,M329,E119,M8000,I10,Z512</t>
  </si>
  <si>
    <t>I479,L569,E139,D891,I10</t>
  </si>
  <si>
    <t>W0148,S0601,S010,S5210</t>
  </si>
  <si>
    <t>E785,Z881</t>
  </si>
  <si>
    <t>I10,F412,K210</t>
  </si>
  <si>
    <t>J051</t>
  </si>
  <si>
    <t>N390,B961,J9601,G473,I10</t>
  </si>
  <si>
    <t>U6975,I10,E789,E038</t>
  </si>
  <si>
    <t>J9601,U6975,B965,J9610,G473,I500</t>
  </si>
  <si>
    <t>B449,I10,E039,G473,E662</t>
  </si>
  <si>
    <t>J9610,I10,I272,U6975,E038</t>
  </si>
  <si>
    <t>J9601,G473,E662,I272,I10,E790</t>
  </si>
  <si>
    <t>J440,G473,E662,B965,I272,I10</t>
  </si>
  <si>
    <t>I159</t>
  </si>
  <si>
    <t>K643</t>
  </si>
  <si>
    <t>M8449</t>
  </si>
  <si>
    <t>M0594</t>
  </si>
  <si>
    <t>M8288,S3200,M5499,K228</t>
  </si>
  <si>
    <t>C20,K660</t>
  </si>
  <si>
    <t>T932,U6975,U5020</t>
  </si>
  <si>
    <t>J869</t>
  </si>
  <si>
    <t>C340,D440,J189,J448</t>
  </si>
  <si>
    <t>U071,C340,Z290,J449</t>
  </si>
  <si>
    <t>J869,D440,U6975,J448</t>
  </si>
  <si>
    <t>C928</t>
  </si>
  <si>
    <t>C823,B028,K769,D695,U6975</t>
  </si>
  <si>
    <t>E106</t>
  </si>
  <si>
    <t>N12</t>
  </si>
  <si>
    <t>I633,N390,U6975,U5040</t>
  </si>
  <si>
    <t>I489,I10,I693</t>
  </si>
  <si>
    <t>C831</t>
  </si>
  <si>
    <t>Z511,T887,D630,Z978</t>
  </si>
  <si>
    <t>C830</t>
  </si>
  <si>
    <t>Z511,D630,U6975,Z452,Z978</t>
  </si>
  <si>
    <t>E883,E877,U6975</t>
  </si>
  <si>
    <t>K573,I259,I10,J459</t>
  </si>
  <si>
    <t>H168,H200,I10,M169</t>
  </si>
  <si>
    <t>W0112</t>
  </si>
  <si>
    <t>I259,I10,E119,F102</t>
  </si>
  <si>
    <t>E46,E871,I10</t>
  </si>
  <si>
    <t>D500,Z513,G819</t>
  </si>
  <si>
    <t>I480,I7020,I10,E785</t>
  </si>
  <si>
    <t>I200,I489,I10</t>
  </si>
  <si>
    <t>I254,Y605</t>
  </si>
  <si>
    <t>I10,E782,E118,J459,N182</t>
  </si>
  <si>
    <t>E785,I481</t>
  </si>
  <si>
    <t>I10,E789,E660</t>
  </si>
  <si>
    <t>K620,E118,I10</t>
  </si>
  <si>
    <t>I489,C919,G473,I10,E785,K760</t>
  </si>
  <si>
    <t>I10,E789,E119</t>
  </si>
  <si>
    <t>U071,J9600,J80,N179,Z290</t>
  </si>
  <si>
    <t>I501,I480,I10,E782,J449</t>
  </si>
  <si>
    <t>H810</t>
  </si>
  <si>
    <t>E789,Z988</t>
  </si>
  <si>
    <t>U6974,I10,I490,E782,E660</t>
  </si>
  <si>
    <t>A418,L030,E117,I10,E782</t>
  </si>
  <si>
    <t>U071,J128,E117,L030,I10</t>
  </si>
  <si>
    <t>K045,Z950,I259,E789,J449</t>
  </si>
  <si>
    <t>J450,I10,E785,Z878,N40</t>
  </si>
  <si>
    <t>I10,R942</t>
  </si>
  <si>
    <t>H360,H405,E117,I10</t>
  </si>
  <si>
    <t>N178,E116,I252</t>
  </si>
  <si>
    <t>J128,U071,G473,A047</t>
  </si>
  <si>
    <t>I500,E785,I481</t>
  </si>
  <si>
    <t>F079,I480</t>
  </si>
  <si>
    <t>I10,E119,N40,Z905</t>
  </si>
  <si>
    <t>L400,Z878,E119,B353,E785</t>
  </si>
  <si>
    <t>C781</t>
  </si>
  <si>
    <t>C159,I10</t>
  </si>
  <si>
    <t>M171,Z966,U071,Z228,U5010</t>
  </si>
  <si>
    <t>C098</t>
  </si>
  <si>
    <t>I10,E119,I259</t>
  </si>
  <si>
    <t>C028</t>
  </si>
  <si>
    <t>E440,E119,I259,E785,I10</t>
  </si>
  <si>
    <t>Z940,T861,Z512,U6975,D500</t>
  </si>
  <si>
    <t>Z940,I119,N258,K861</t>
  </si>
  <si>
    <t>E117,G638,R060,J841,I500</t>
  </si>
  <si>
    <t>J128,U071,E117,I248,I10,Z290</t>
  </si>
  <si>
    <t>I10,E785,N40,E660</t>
  </si>
  <si>
    <t>M169,M5456,N40,I10</t>
  </si>
  <si>
    <t>G308</t>
  </si>
  <si>
    <t>F002,I10,N40</t>
  </si>
  <si>
    <t>C921,U6975,A418,D695,D630,E109</t>
  </si>
  <si>
    <t>D630,D695,D70,R509,U6975,C921</t>
  </si>
  <si>
    <t>F102,I10,K709,Z811,U6975</t>
  </si>
  <si>
    <t>F102,I10,K709,G628,Z811</t>
  </si>
  <si>
    <t>Z904,U6975</t>
  </si>
  <si>
    <t>I10,E782,E669</t>
  </si>
  <si>
    <t>Z511,C787,C187</t>
  </si>
  <si>
    <t>Z511,C187,C787</t>
  </si>
  <si>
    <t>Z511,C772,C787</t>
  </si>
  <si>
    <t>C787,C772,Z511</t>
  </si>
  <si>
    <t>C187,Z511</t>
  </si>
  <si>
    <t>Z511,D169,Z258</t>
  </si>
  <si>
    <t>D169,Z258,Z511</t>
  </si>
  <si>
    <t>Z511,N179,C787</t>
  </si>
  <si>
    <t>N40,E780,U6975,D630</t>
  </si>
  <si>
    <t>J178,D70,D630,D695,J9690,Z978</t>
  </si>
  <si>
    <t>U071,Z290,E118,J128,H259</t>
  </si>
  <si>
    <t>U071,I480</t>
  </si>
  <si>
    <t>W0130</t>
  </si>
  <si>
    <t>S5250,E115</t>
  </si>
  <si>
    <t>H613</t>
  </si>
  <si>
    <t>Z489</t>
  </si>
  <si>
    <t>G822,I10,E114</t>
  </si>
  <si>
    <t>I490</t>
  </si>
  <si>
    <t>I10,I259,E782</t>
  </si>
  <si>
    <t>J9609,G473,E789,E669,I499</t>
  </si>
  <si>
    <t>I10,E118,I499,E790</t>
  </si>
  <si>
    <t>I10,H409</t>
  </si>
  <si>
    <t>I159,K210,U6975</t>
  </si>
  <si>
    <t>G401</t>
  </si>
  <si>
    <t>K703,F070</t>
  </si>
  <si>
    <t>Z514,J448,I10</t>
  </si>
  <si>
    <t>Z290,U071,I10,E138</t>
  </si>
  <si>
    <t>C439,Z514,J448,I10</t>
  </si>
  <si>
    <t>D117</t>
  </si>
  <si>
    <t>I10,L409,E785</t>
  </si>
  <si>
    <t>D686,I10</t>
  </si>
  <si>
    <t>Z478</t>
  </si>
  <si>
    <t>U6975,Z511,Z978</t>
  </si>
  <si>
    <t>I10,D439,J448,E118</t>
  </si>
  <si>
    <t>E785,E790,E115,I10</t>
  </si>
  <si>
    <t>K764</t>
  </si>
  <si>
    <t>E119,I10,K802</t>
  </si>
  <si>
    <t>I480,I10,E782</t>
  </si>
  <si>
    <t>K831,E785</t>
  </si>
  <si>
    <t>K703,I10</t>
  </si>
  <si>
    <t>U6975,J449,Z988</t>
  </si>
  <si>
    <t>Z511,Z510,C348,U6975,I500,N390</t>
  </si>
  <si>
    <t>M350,U591,D686</t>
  </si>
  <si>
    <t>K011,I10,E789,E118,F339,M179</t>
  </si>
  <si>
    <t>I651,I10,F329,E782</t>
  </si>
  <si>
    <t>F102,F172,F205,U6975,K30</t>
  </si>
  <si>
    <t>D462</t>
  </si>
  <si>
    <t>A411,J9600,D688,D630,D695,Z978</t>
  </si>
  <si>
    <t>C787,Z514</t>
  </si>
  <si>
    <t>J151</t>
  </si>
  <si>
    <t>J9600,C250,I10,E117,Z930,D696</t>
  </si>
  <si>
    <t>Z511,C772,I10,E119</t>
  </si>
  <si>
    <t>J90,I10,E119,T814,Y839</t>
  </si>
  <si>
    <t>I10,E117</t>
  </si>
  <si>
    <t>Z511,D70,K521,E878,U6975</t>
  </si>
  <si>
    <t>Z511,D630,D695,U6975</t>
  </si>
  <si>
    <t>M5456,G822,U6975,N189,M8199</t>
  </si>
  <si>
    <t>Z511,N300,U6975,Z452,Z978</t>
  </si>
  <si>
    <t>Z511,Z948,D630,D70,U6975,Z978</t>
  </si>
  <si>
    <t>D250</t>
  </si>
  <si>
    <t>I803,C501,M4134,M8100,N393</t>
  </si>
  <si>
    <t>U071,C911,E876,Z452,Z978</t>
  </si>
  <si>
    <t>Z514,C792,D611,A499,C773</t>
  </si>
  <si>
    <t>I10,I259,E871,E875</t>
  </si>
  <si>
    <t>U071,K573,I10,Z290,E876</t>
  </si>
  <si>
    <t>I252,I10</t>
  </si>
  <si>
    <t>U071,J128,Z290</t>
  </si>
  <si>
    <t>Z034,I10,I500</t>
  </si>
  <si>
    <t>E785,E119</t>
  </si>
  <si>
    <t>W0199,S910,I10,U6975</t>
  </si>
  <si>
    <t>I119,E039</t>
  </si>
  <si>
    <t>E119,I10,E789</t>
  </si>
  <si>
    <t>M2416,M2322</t>
  </si>
  <si>
    <t>U071,I10,B348</t>
  </si>
  <si>
    <t>I10,E039,E789,E119</t>
  </si>
  <si>
    <t>I259,E119,I10,E785,J958</t>
  </si>
  <si>
    <t>U071,E876,E119,I10,Z290</t>
  </si>
  <si>
    <t>K800,K831,E86,B000</t>
  </si>
  <si>
    <t>K803,I10,K802,E86,U6975</t>
  </si>
  <si>
    <t>Z514,C787,C786,D630,D696</t>
  </si>
  <si>
    <t>K250,K922,I489,I10,U6975</t>
  </si>
  <si>
    <t>W0081,U6975,D860</t>
  </si>
  <si>
    <t>I609</t>
  </si>
  <si>
    <t>G910,J952</t>
  </si>
  <si>
    <t>Z961,H401,E038</t>
  </si>
  <si>
    <t>Z961,H401,E038,U6975</t>
  </si>
  <si>
    <t>J128,U071,E034,Z290,I10,E86</t>
  </si>
  <si>
    <t>T812,M5399,C509,K632</t>
  </si>
  <si>
    <t>U071,Z290,E034,C502</t>
  </si>
  <si>
    <t>I499,K287,D134,U6975</t>
  </si>
  <si>
    <t>K287</t>
  </si>
  <si>
    <t>I499,K635,D134,U6975</t>
  </si>
  <si>
    <t>U071,Z290,E785</t>
  </si>
  <si>
    <t>U071,Z290,B009,I10,J459,C509</t>
  </si>
  <si>
    <t>U071,J9600,J80,R572</t>
  </si>
  <si>
    <t>K639,Z932,K660,D500,N183</t>
  </si>
  <si>
    <t>N171,N189,D500,E440</t>
  </si>
  <si>
    <t>I10,E789,K639,K660,Z932</t>
  </si>
  <si>
    <t>J958,Z932,K519,N183</t>
  </si>
  <si>
    <t>C509,C765,I10</t>
  </si>
  <si>
    <t>E871,I10,R104</t>
  </si>
  <si>
    <t>K929,E119,I10</t>
  </si>
  <si>
    <t>U071,N851,I10,E119,E039,Z290</t>
  </si>
  <si>
    <t>I10,E789,U6975</t>
  </si>
  <si>
    <t>I10,E109,E790,M0588</t>
  </si>
  <si>
    <t>I10,E119,E790,U6975,M1398</t>
  </si>
  <si>
    <t>T876</t>
  </si>
  <si>
    <t>V4994,M7978</t>
  </si>
  <si>
    <t>D649,N189,E118,K740</t>
  </si>
  <si>
    <t>G122,D751,I10,I252,J9611</t>
  </si>
  <si>
    <t>S2220</t>
  </si>
  <si>
    <t>W1999,S0600,S510,S1280</t>
  </si>
  <si>
    <t>I441,E782,I489</t>
  </si>
  <si>
    <t>I802,I10,E119,U072</t>
  </si>
  <si>
    <t>E038,E782,N40</t>
  </si>
  <si>
    <t>U071,J9600,I10,I872,J128</t>
  </si>
  <si>
    <t>H438</t>
  </si>
  <si>
    <t>H271,H252,H405,H358</t>
  </si>
  <si>
    <t>G638,I10,E782,E660</t>
  </si>
  <si>
    <t>C621</t>
  </si>
  <si>
    <t>Z511,D649,Z515,J189,I480</t>
  </si>
  <si>
    <t>J988,Z934,Z515,I489,I10</t>
  </si>
  <si>
    <t>C155,I10,E789,Z932</t>
  </si>
  <si>
    <t>I312</t>
  </si>
  <si>
    <t>E115,I10</t>
  </si>
  <si>
    <t>U071,Z290,I269,J128,E118</t>
  </si>
  <si>
    <t>E116,I10,J958,K259</t>
  </si>
  <si>
    <t>I350,I480</t>
  </si>
  <si>
    <t>L400,E46,I10</t>
  </si>
  <si>
    <t>K810,K822,J189,J952,K650</t>
  </si>
  <si>
    <t>Z511,Z452,Z978,U6975</t>
  </si>
  <si>
    <t>E117,I259</t>
  </si>
  <si>
    <t>E115,I499,I259,I7021</t>
  </si>
  <si>
    <t>E108,U585,G473,I10,E785</t>
  </si>
  <si>
    <t>M161,Z966,U5020</t>
  </si>
  <si>
    <t>I10,E785,J459,N40,U6975,Z038</t>
  </si>
  <si>
    <t>F058</t>
  </si>
  <si>
    <t>I10,I258,E785</t>
  </si>
  <si>
    <t>N450</t>
  </si>
  <si>
    <t>Z511,D630,D70,E876,U6975</t>
  </si>
  <si>
    <t>U071,Z290,K768</t>
  </si>
  <si>
    <t>K811</t>
  </si>
  <si>
    <t>I10,Q283,C250</t>
  </si>
  <si>
    <t>I10,Q283</t>
  </si>
  <si>
    <t>E112,N182,E86,I489,Q213</t>
  </si>
  <si>
    <t>X2303,Y442,T455,I420,I495</t>
  </si>
  <si>
    <t>H360,E107,U6975,I259,I10,E785</t>
  </si>
  <si>
    <t>K635,I10,K861,K769</t>
  </si>
  <si>
    <t>G638,I10,E782,M8080,K860</t>
  </si>
  <si>
    <t>U071,J9600,K210,I260,I460</t>
  </si>
  <si>
    <t>C64,I10,E785</t>
  </si>
  <si>
    <t>E039,U6975</t>
  </si>
  <si>
    <t>D630,I10,I480,I712</t>
  </si>
  <si>
    <t>N118,C61,I10</t>
  </si>
  <si>
    <t>C672,J989,D62</t>
  </si>
  <si>
    <t>U071,J9600,J448,I119,N182,Z290</t>
  </si>
  <si>
    <t>I10,E078,Z858</t>
  </si>
  <si>
    <t>V1319,U6975</t>
  </si>
  <si>
    <t>K115,U6975</t>
  </si>
  <si>
    <t>I10,E782,E669,G473,I493</t>
  </si>
  <si>
    <t>I420,I10,E785</t>
  </si>
  <si>
    <t>I258,E785,I10</t>
  </si>
  <si>
    <t>U071,Z290,N40,I10,K257</t>
  </si>
  <si>
    <t>N179,K700,F059,F101,S2240</t>
  </si>
  <si>
    <t>U071,J9600,I828,I269,A410</t>
  </si>
  <si>
    <t>N430,I10,E790</t>
  </si>
  <si>
    <t>J380,I10,J459</t>
  </si>
  <si>
    <t>G936,G935,F920,E032</t>
  </si>
  <si>
    <t>G810,F801</t>
  </si>
  <si>
    <t>J458,I10</t>
  </si>
  <si>
    <t>I119,J848,M359,F412,E782</t>
  </si>
  <si>
    <t>U071,I10,N183,Z290</t>
  </si>
  <si>
    <t>J449,R002</t>
  </si>
  <si>
    <t>U071,Z290,J849,I270,M340</t>
  </si>
  <si>
    <t>M340,I270</t>
  </si>
  <si>
    <t>K658,I10,E785</t>
  </si>
  <si>
    <t>D375,I10,E789,J459,G632,I500</t>
  </si>
  <si>
    <t>E119,I10,E789,I259,C20</t>
  </si>
  <si>
    <t>M0590</t>
  </si>
  <si>
    <t>M2322,M2416</t>
  </si>
  <si>
    <t>J9600,U071,J459,E116,E660</t>
  </si>
  <si>
    <t>E119,J459,I10,M5489,H259,E892</t>
  </si>
  <si>
    <t>E785,N183</t>
  </si>
  <si>
    <t>E876,E86,F064,F102,I10</t>
  </si>
  <si>
    <t>X6010,F064,F101,I10,E838</t>
  </si>
  <si>
    <t>W1999,F103,F102,M2555,R263</t>
  </si>
  <si>
    <t>F102,U6975,E876,N309,G442</t>
  </si>
  <si>
    <t>M2147,M205</t>
  </si>
  <si>
    <t>W0101,I10,E039,E119</t>
  </si>
  <si>
    <t>I959,I7021,E107,K449,K210</t>
  </si>
  <si>
    <t>I742,E105,I10,I489,I259,N189</t>
  </si>
  <si>
    <t>Z992,N185,I959,I7021,E107</t>
  </si>
  <si>
    <t>N189,I770</t>
  </si>
  <si>
    <t>G919</t>
  </si>
  <si>
    <t>E118,I10,E782,E790</t>
  </si>
  <si>
    <t>U6975,I10,E118,Z452,Z978</t>
  </si>
  <si>
    <t>J841,I272,M340,E118,I10,I258</t>
  </si>
  <si>
    <t>J841,I272,M340,E118,I10</t>
  </si>
  <si>
    <t>E86,I10,D686</t>
  </si>
  <si>
    <t>R42,E785</t>
  </si>
  <si>
    <t>M2147,D62</t>
  </si>
  <si>
    <t>D62,U6975</t>
  </si>
  <si>
    <t>U071,K769,E039,E785,Z290</t>
  </si>
  <si>
    <t>W1999,E039</t>
  </si>
  <si>
    <t>J189,J449,U6975,I480,I249</t>
  </si>
  <si>
    <t>F320,I10,E875,K299,M5490,K760</t>
  </si>
  <si>
    <t>D518</t>
  </si>
  <si>
    <t>E117,D500</t>
  </si>
  <si>
    <t>H442,Z961,H401</t>
  </si>
  <si>
    <t>E063,L80,U6975,K769</t>
  </si>
  <si>
    <t>E063</t>
  </si>
  <si>
    <t>G473,J310,U099,E118,E038</t>
  </si>
  <si>
    <t>I10,E118,J458,E038</t>
  </si>
  <si>
    <t>I10,E118,J459,E039</t>
  </si>
  <si>
    <t>I10,G992</t>
  </si>
  <si>
    <t>C509,J449,I10,E039</t>
  </si>
  <si>
    <t>Z514,C503,I10,E039</t>
  </si>
  <si>
    <t>C503,Z514,J449,I10,E039</t>
  </si>
  <si>
    <t>Z514,I119</t>
  </si>
  <si>
    <t>N815</t>
  </si>
  <si>
    <t>N183,I10,E782,E119,E785,J459</t>
  </si>
  <si>
    <t>J151,J9610,I10,N184,K768</t>
  </si>
  <si>
    <t>I10,I672,F019</t>
  </si>
  <si>
    <t>N300,I489,J450</t>
  </si>
  <si>
    <t>G310</t>
  </si>
  <si>
    <t>F020,E038</t>
  </si>
  <si>
    <t>D371</t>
  </si>
  <si>
    <t>E115,I258,E789</t>
  </si>
  <si>
    <t>A499,E440,Z515,C770</t>
  </si>
  <si>
    <t>Z511,C770</t>
  </si>
  <si>
    <t>Z514,T814,C770,E440</t>
  </si>
  <si>
    <t>Y772,H403,I10,E785,D891</t>
  </si>
  <si>
    <t>D891</t>
  </si>
  <si>
    <t>U072,I10,L52,M359</t>
  </si>
  <si>
    <t>I10,E785,U6975</t>
  </si>
  <si>
    <t>F100,F101,F102,F108,U6975</t>
  </si>
  <si>
    <t>F102,K709,I803,U6975</t>
  </si>
  <si>
    <t>G473,I10,E118</t>
  </si>
  <si>
    <t>U071,J069,Z290,K766,E46</t>
  </si>
  <si>
    <t>K703,R18,K767</t>
  </si>
  <si>
    <t>K703,U6975,K767,J91,K766</t>
  </si>
  <si>
    <t>K282</t>
  </si>
  <si>
    <t>K703,E46,E876,E86</t>
  </si>
  <si>
    <t>K703,R18,E876,J180</t>
  </si>
  <si>
    <t>I10,J459,K649,U6975</t>
  </si>
  <si>
    <t>N40,U071</t>
  </si>
  <si>
    <t>I635,U099,N459,M2557</t>
  </si>
  <si>
    <t>K821,E116</t>
  </si>
  <si>
    <t>E113,H360,H262,E785,I10</t>
  </si>
  <si>
    <t>K102,T180,E116,I10</t>
  </si>
  <si>
    <t>W1990,S2720,S3600,I10,I259</t>
  </si>
  <si>
    <t>N219,I10,E119</t>
  </si>
  <si>
    <t>I10,E107,E038,E660,K760,I500</t>
  </si>
  <si>
    <t>U071,Z290,J9600,I10,E107</t>
  </si>
  <si>
    <t>Z514,J91,C795,C778</t>
  </si>
  <si>
    <t>K565,I10</t>
  </si>
  <si>
    <t>I10,Z904</t>
  </si>
  <si>
    <t>I489,Z951</t>
  </si>
  <si>
    <t>E118,E782,I10,E660</t>
  </si>
  <si>
    <t>E117,E785,I10</t>
  </si>
  <si>
    <t>M349,J9610,J849,M358,I272</t>
  </si>
  <si>
    <t>N139,I10</t>
  </si>
  <si>
    <t>G824,M4640,U099,N308,U5040</t>
  </si>
  <si>
    <t>K766,I10</t>
  </si>
  <si>
    <t>L97,I10,I259,I208,I489</t>
  </si>
  <si>
    <t>E782,I10,E790</t>
  </si>
  <si>
    <t>U6975,I248,C857</t>
  </si>
  <si>
    <t>U071,J129,I10,N40</t>
  </si>
  <si>
    <t>G473,U6975,C678,I480</t>
  </si>
  <si>
    <t>D382</t>
  </si>
  <si>
    <t>D385,I10,E119,J449,J90</t>
  </si>
  <si>
    <t>C960</t>
  </si>
  <si>
    <t>U071,Z290,E118,I10</t>
  </si>
  <si>
    <t>K083,I10,E078</t>
  </si>
  <si>
    <t>S837</t>
  </si>
  <si>
    <t>M171,I10</t>
  </si>
  <si>
    <t>W1999,W0180</t>
  </si>
  <si>
    <t>Z515,I7020</t>
  </si>
  <si>
    <t>G473,I10,E785,E790</t>
  </si>
  <si>
    <t>G473,I10,E785,E790,R739</t>
  </si>
  <si>
    <t>M2410,M2350,M171</t>
  </si>
  <si>
    <t>G834</t>
  </si>
  <si>
    <t>U071,Z290,I10,M511</t>
  </si>
  <si>
    <t>Z511,Z514,J449,I10</t>
  </si>
  <si>
    <t>Z511,J449,I10</t>
  </si>
  <si>
    <t>H609,I489,E785,I10</t>
  </si>
  <si>
    <t>I269,J189,I500,U6975,I10</t>
  </si>
  <si>
    <t>N300,I10,J459</t>
  </si>
  <si>
    <t>I7020,I10,E782</t>
  </si>
  <si>
    <t>U071,I252,I10</t>
  </si>
  <si>
    <t>W9999,G409,I798,I7020,I10</t>
  </si>
  <si>
    <t>W0101,T793,M8416,B968</t>
  </si>
  <si>
    <t>W0101,T798,T846,I10,W0081</t>
  </si>
  <si>
    <t>T932,T935,U5020</t>
  </si>
  <si>
    <t>W0000,I7020,I10,E114,U6975,B956</t>
  </si>
  <si>
    <t>J128,U071,Z290,F070,I489</t>
  </si>
  <si>
    <t>U071,J128,I471,I10</t>
  </si>
  <si>
    <t>I10,I499,E108,E789,I418</t>
  </si>
  <si>
    <t>I258,E114,E782,I10,E780</t>
  </si>
  <si>
    <t>Z514,C780,G936</t>
  </si>
  <si>
    <t>Z514,C64</t>
  </si>
  <si>
    <t>Z514,C780,C793</t>
  </si>
  <si>
    <t>Z514,C793,K769,E108</t>
  </si>
  <si>
    <t>M1000</t>
  </si>
  <si>
    <t>M5480,M158,E118,C61,E782</t>
  </si>
  <si>
    <t>Z948,D70,K521,A411,Z511,Z452</t>
  </si>
  <si>
    <t>I850,K920,K766,D449,I10</t>
  </si>
  <si>
    <t>Z514,E112,C780,C787,A499</t>
  </si>
  <si>
    <t>D449</t>
  </si>
  <si>
    <t>U071,E119,E785,Z290,J9600</t>
  </si>
  <si>
    <t>I10,E785,E119,J448,R91</t>
  </si>
  <si>
    <t>L238</t>
  </si>
  <si>
    <t>G003</t>
  </si>
  <si>
    <t>R402,G406,J9600,A418,G940</t>
  </si>
  <si>
    <t>U071,Z290,J450</t>
  </si>
  <si>
    <t>C61,I10,E790</t>
  </si>
  <si>
    <t>E662,M0588,E118,I10,N183</t>
  </si>
  <si>
    <t>E117,K768,K573,E782,E660</t>
  </si>
  <si>
    <t>D648,Z895,E117,N182,I10</t>
  </si>
  <si>
    <t>E038,M512,M4195,G992</t>
  </si>
  <si>
    <t>E890,I10</t>
  </si>
  <si>
    <t>E890</t>
  </si>
  <si>
    <t>A749,M0690,I10</t>
  </si>
  <si>
    <t>C343,J449,I10,I259,J189</t>
  </si>
  <si>
    <t>D379</t>
  </si>
  <si>
    <t>I10,K868</t>
  </si>
  <si>
    <t>E669,E109</t>
  </si>
  <si>
    <t>I259,M0599</t>
  </si>
  <si>
    <t>M169,I480,E039,E789,K219</t>
  </si>
  <si>
    <t>I10,E782,E063,F341</t>
  </si>
  <si>
    <t>U071,I500,B964,N10,C900</t>
  </si>
  <si>
    <t>W1999,C900,D610,F200,F172</t>
  </si>
  <si>
    <t>U071,Z290,J459,M8008,E062</t>
  </si>
  <si>
    <t>Z998,I269,G35,I10</t>
  </si>
  <si>
    <t>G35,Z998,G638,E065</t>
  </si>
  <si>
    <t>Z966,M171,U6975,U5010</t>
  </si>
  <si>
    <t>K439,I10,I259</t>
  </si>
  <si>
    <t>N908</t>
  </si>
  <si>
    <t>J952,E118,I10</t>
  </si>
  <si>
    <t>R18,E876,Z514</t>
  </si>
  <si>
    <t>U6975,D695,D70,R509</t>
  </si>
  <si>
    <t>Z511,D70,D695,N309,U6975,Z948</t>
  </si>
  <si>
    <t>U071,J128,A419,N179,E116</t>
  </si>
  <si>
    <t>E871,E86,D649</t>
  </si>
  <si>
    <t>K509,E790,B968</t>
  </si>
  <si>
    <t>I269,D649,K509,I10</t>
  </si>
  <si>
    <t>U071,I269</t>
  </si>
  <si>
    <t>A415,B961,N130,E871,E875</t>
  </si>
  <si>
    <t>N185,M8188,K500,B961</t>
  </si>
  <si>
    <t>N390,N209,E46,D649</t>
  </si>
  <si>
    <t>N183,N201,E876,K500</t>
  </si>
  <si>
    <t>Z510,Z513,C56,C787,C780</t>
  </si>
  <si>
    <t>C780,C787,C56,Z511</t>
  </si>
  <si>
    <t>T812,J958,I958,Z902</t>
  </si>
  <si>
    <t>Z511,C780,C787,C56,N390</t>
  </si>
  <si>
    <t>C787,C786,C772,Z511</t>
  </si>
  <si>
    <t>Z514,C780,C787,C795,N390</t>
  </si>
  <si>
    <t>Z511,C56,C787,C780</t>
  </si>
  <si>
    <t>Z511,C787,C780,C56,M0533</t>
  </si>
  <si>
    <t>C787,C780,C779,C56,M0690,Z511</t>
  </si>
  <si>
    <t>C56,C341,M4647,M7112,D391,Z511</t>
  </si>
  <si>
    <t>C787,C780,C779,C56,M0690,Z514</t>
  </si>
  <si>
    <t>C787,C778,C56,Z511</t>
  </si>
  <si>
    <t>Z511,C787,C780,C778</t>
  </si>
  <si>
    <t>Z511,C793,C787</t>
  </si>
  <si>
    <t>T784,M1398</t>
  </si>
  <si>
    <t>K804</t>
  </si>
  <si>
    <t>W0190,Q619,U6975</t>
  </si>
  <si>
    <t>K509,E440,F412</t>
  </si>
  <si>
    <t>D508,D538,E440,F412,E834</t>
  </si>
  <si>
    <t>D62,K860,E782,I10,I859</t>
  </si>
  <si>
    <t>T796</t>
  </si>
  <si>
    <t>W0189,K709,D649,K860,J449</t>
  </si>
  <si>
    <t>U071,Z290,K769,J449,E876</t>
  </si>
  <si>
    <t>Z511,D630,U6975,Z978</t>
  </si>
  <si>
    <t>Z514,Z511,R103,L022</t>
  </si>
  <si>
    <t>Z511,C180,C786,E440,K121</t>
  </si>
  <si>
    <t>Z511,C772,C786</t>
  </si>
  <si>
    <t>C180,C787,C786,Z511</t>
  </si>
  <si>
    <t>W1999,I10,I839</t>
  </si>
  <si>
    <t>J450,E785</t>
  </si>
  <si>
    <t>W0189,U6975,W0180</t>
  </si>
  <si>
    <t>M5450,F412</t>
  </si>
  <si>
    <t>M5456,F412</t>
  </si>
  <si>
    <t>D500,I119,N258</t>
  </si>
  <si>
    <t>S610</t>
  </si>
  <si>
    <t>Y2809,I10,S661</t>
  </si>
  <si>
    <t>F251</t>
  </si>
  <si>
    <t>K210,Z911,Z818,U6975</t>
  </si>
  <si>
    <t>I10,J450</t>
  </si>
  <si>
    <t>Y0401</t>
  </si>
  <si>
    <t>I259,I480,I10,E785</t>
  </si>
  <si>
    <t>M2326</t>
  </si>
  <si>
    <t>Z514,C780,C787,C771,D382</t>
  </si>
  <si>
    <t>S3200,S0660,U5020</t>
  </si>
  <si>
    <t>K831,G473,E039,U6975</t>
  </si>
  <si>
    <t>W0101,S3200</t>
  </si>
  <si>
    <t>E784,L405</t>
  </si>
  <si>
    <t>J9600,U071,Z290,M0599,C509,J459</t>
  </si>
  <si>
    <t>S9220</t>
  </si>
  <si>
    <t>D62,I10,E784,I872,U6975,Z038</t>
  </si>
  <si>
    <t>W0190,S8260</t>
  </si>
  <si>
    <t>D62,I10,E118,J458,G458</t>
  </si>
  <si>
    <t>H801</t>
  </si>
  <si>
    <t>H906,I839</t>
  </si>
  <si>
    <t>J958,T814,Y839</t>
  </si>
  <si>
    <t>W1000,I10,S8280,W1081</t>
  </si>
  <si>
    <t>J321,J322,J459,I10,E785</t>
  </si>
  <si>
    <t>J952,J390,J853,I10,U6975,E039</t>
  </si>
  <si>
    <t>U6975,J189,K519</t>
  </si>
  <si>
    <t>T813,A499,Y838</t>
  </si>
  <si>
    <t>T424</t>
  </si>
  <si>
    <t>X8499,F205,F621</t>
  </si>
  <si>
    <t>E119,J458,I10</t>
  </si>
  <si>
    <t>T810,Y849</t>
  </si>
  <si>
    <t>K510,I10</t>
  </si>
  <si>
    <t>A099,I10,I7020,U6975</t>
  </si>
  <si>
    <t>I10,J449,E785,E790</t>
  </si>
  <si>
    <t>M511,Z895,U6975,U5010</t>
  </si>
  <si>
    <t>E876,I110,J448,E118,E790</t>
  </si>
  <si>
    <t>K435</t>
  </si>
  <si>
    <t>D649,U071,C782,I251,I481</t>
  </si>
  <si>
    <t>E119,I259,E789,I7020,C348</t>
  </si>
  <si>
    <t>E119,I10,E785,I481,J209,I500</t>
  </si>
  <si>
    <t>J22,I259,I7020,E115,E785</t>
  </si>
  <si>
    <t>E040,I10,F329</t>
  </si>
  <si>
    <t>W0112,S461</t>
  </si>
  <si>
    <t>C162,K830,D379,K659,J958</t>
  </si>
  <si>
    <t>J9600,U071,Z290,A419</t>
  </si>
  <si>
    <t>I489,I10,E785,K709,E876,N182</t>
  </si>
  <si>
    <t>S3200,U6975,U5010</t>
  </si>
  <si>
    <t>I10,M1099,B948,A692</t>
  </si>
  <si>
    <t>C170</t>
  </si>
  <si>
    <t>K429,I10</t>
  </si>
  <si>
    <t>I10,M5457,N281,D638</t>
  </si>
  <si>
    <t>I259,E118,E789,I10</t>
  </si>
  <si>
    <t>L030,E117,I7021,I10,E782</t>
  </si>
  <si>
    <t>F104</t>
  </si>
  <si>
    <t>F102,R451,F172,U6975</t>
  </si>
  <si>
    <t>I10,E039,Z988</t>
  </si>
  <si>
    <t>I472,I482,I10</t>
  </si>
  <si>
    <t>I259,I482</t>
  </si>
  <si>
    <t>J156,I10,I272,J9601</t>
  </si>
  <si>
    <t>I10,E119,G620</t>
  </si>
  <si>
    <t>E109,I10,G408</t>
  </si>
  <si>
    <t>F209,E119,E660</t>
  </si>
  <si>
    <t>N40,U6975</t>
  </si>
  <si>
    <t>S462</t>
  </si>
  <si>
    <t>U071,I460,J128,G409,F104,I10</t>
  </si>
  <si>
    <t>E109,I259,I10</t>
  </si>
  <si>
    <t>Z514,Z852,J410,E039</t>
  </si>
  <si>
    <t>I809</t>
  </si>
  <si>
    <t>C61,I480</t>
  </si>
  <si>
    <t>M0533,M169,M8140,M5455,I635</t>
  </si>
  <si>
    <t>G35,I10,I693,M5447,M0599</t>
  </si>
  <si>
    <t>J958,E118,K210,I10,I839</t>
  </si>
  <si>
    <t>L040,I10,E119,K219,I839</t>
  </si>
  <si>
    <t>B250</t>
  </si>
  <si>
    <t>J171,L892,B964,I10</t>
  </si>
  <si>
    <t>J439</t>
  </si>
  <si>
    <t>M4310</t>
  </si>
  <si>
    <t>K852</t>
  </si>
  <si>
    <t>F101,I10,E782</t>
  </si>
  <si>
    <t>I10,E118,E782</t>
  </si>
  <si>
    <t>W1999,F101,S0660,G911,J952,D62</t>
  </si>
  <si>
    <t>E871,G919,J952,D62</t>
  </si>
  <si>
    <t>M4317</t>
  </si>
  <si>
    <t>E669,I10,E119</t>
  </si>
  <si>
    <t>J9600,G232,N40,I832,G931</t>
  </si>
  <si>
    <t>R13,H532,N40</t>
  </si>
  <si>
    <t>G232</t>
  </si>
  <si>
    <t>N40,I832</t>
  </si>
  <si>
    <t>U6975,I10,I071</t>
  </si>
  <si>
    <t>U6975,I10,E789,Z904</t>
  </si>
  <si>
    <t>U6975,I10,I351,E785</t>
  </si>
  <si>
    <t>U071,Z290,I10,I259,E118,C218</t>
  </si>
  <si>
    <t>Z966,M161,U6975</t>
  </si>
  <si>
    <t>F102,R460,R461,R462,R468</t>
  </si>
  <si>
    <t>G934</t>
  </si>
  <si>
    <t>N358,R33,I252,I10,E118,Z905</t>
  </si>
  <si>
    <t>F058,E876,F019,E612,D538</t>
  </si>
  <si>
    <t>C844</t>
  </si>
  <si>
    <t>Z511,Z228,U071</t>
  </si>
  <si>
    <t>Z511,U6975,E883</t>
  </si>
  <si>
    <t>Z511,D630,R11,Z978,U6975</t>
  </si>
  <si>
    <t>Z511,E878,R11,U6975,Z978</t>
  </si>
  <si>
    <t>Z950,I259,I489,E782,K760</t>
  </si>
  <si>
    <t>Z450</t>
  </si>
  <si>
    <t>I259,Z950,I489,I442</t>
  </si>
  <si>
    <t>I10,E785,I839,N40</t>
  </si>
  <si>
    <t>F658,I10,E109,E669,L400</t>
  </si>
  <si>
    <t>I10,E119,E669,I259,I839</t>
  </si>
  <si>
    <t>M2410,M2322</t>
  </si>
  <si>
    <t>I602</t>
  </si>
  <si>
    <t>N811</t>
  </si>
  <si>
    <t>E211,I10</t>
  </si>
  <si>
    <t>M158</t>
  </si>
  <si>
    <t>M5450,E781,Z988,E834</t>
  </si>
  <si>
    <t>E785,M8199</t>
  </si>
  <si>
    <t>I10,E782,F172</t>
  </si>
  <si>
    <t>K703,F920,E876,E785,F108</t>
  </si>
  <si>
    <t>R18,E876,E785,F920</t>
  </si>
  <si>
    <t>Z966,M160,U099</t>
  </si>
  <si>
    <t>M0590,E039,D832,F412,Z966</t>
  </si>
  <si>
    <t>Y792,U6975,Z038,I10</t>
  </si>
  <si>
    <t>Z966,M160</t>
  </si>
  <si>
    <t>J128,U071,J459,I10,E118,Z290</t>
  </si>
  <si>
    <t>U071,I10,E119,G473</t>
  </si>
  <si>
    <t>U099,I10,E119</t>
  </si>
  <si>
    <t>E874,N179,I10,K760,U6975</t>
  </si>
  <si>
    <t>E660,I10,E039,L408,I890,E118</t>
  </si>
  <si>
    <t>J9600,Z938</t>
  </si>
  <si>
    <t>M450,M8199</t>
  </si>
  <si>
    <t>J180,U071,E039</t>
  </si>
  <si>
    <t>W0100,S833</t>
  </si>
  <si>
    <t>U6975,I10,H258</t>
  </si>
  <si>
    <t>F510,Z818,U6975,U089</t>
  </si>
  <si>
    <t>I10,E109,J952</t>
  </si>
  <si>
    <t>C922</t>
  </si>
  <si>
    <t>T860,U6975,I10,R060</t>
  </si>
  <si>
    <t>E119,F412,G439,M158,M169</t>
  </si>
  <si>
    <t>Z514,C771</t>
  </si>
  <si>
    <t>I10,M5489</t>
  </si>
  <si>
    <t>M4193</t>
  </si>
  <si>
    <t>C502</t>
  </si>
  <si>
    <t>I10,M8195,E782,I730,H048</t>
  </si>
  <si>
    <t>E249,I10,E042,Z908</t>
  </si>
  <si>
    <t>D441,I10</t>
  </si>
  <si>
    <t>E248</t>
  </si>
  <si>
    <t>I10,D509</t>
  </si>
  <si>
    <t>U071,J128,Z290,J9600,J459</t>
  </si>
  <si>
    <t>M2410,M751</t>
  </si>
  <si>
    <t>G408</t>
  </si>
  <si>
    <t>U6975,I10,K295</t>
  </si>
  <si>
    <t>I10,E118,I872,U6975,Z038</t>
  </si>
  <si>
    <t>U099,A047,B370,E039,M8199,J9690</t>
  </si>
  <si>
    <t>Z514,J702,C773</t>
  </si>
  <si>
    <t>M0290</t>
  </si>
  <si>
    <t>M170,M2566,U5010</t>
  </si>
  <si>
    <t>M339,B353,J450,J988</t>
  </si>
  <si>
    <t>M331</t>
  </si>
  <si>
    <t>B258,Y434,D642,B980,K296</t>
  </si>
  <si>
    <t>U072,M8000,J450</t>
  </si>
  <si>
    <t>U071,N185,Z290</t>
  </si>
  <si>
    <t>Z992,U6975,D638,Z490</t>
  </si>
  <si>
    <t>D70,D649,U6975,Z978</t>
  </si>
  <si>
    <t>U6975,Z511,E876,E835,Z978</t>
  </si>
  <si>
    <t>K045,D103,K083</t>
  </si>
  <si>
    <t>U071,J9600,I10,K277</t>
  </si>
  <si>
    <t>I10,E785,E039,F510</t>
  </si>
  <si>
    <t>I10,K219,G473</t>
  </si>
  <si>
    <t>L299</t>
  </si>
  <si>
    <t>I10,E119,G629</t>
  </si>
  <si>
    <t>W1999,G934,R400,D684,K768</t>
  </si>
  <si>
    <t>K566,K660,K432,E876</t>
  </si>
  <si>
    <t>D103,I10</t>
  </si>
  <si>
    <t>C052,C119,K210,F109,Z886</t>
  </si>
  <si>
    <t>I10,E119,C119,F100,I839,C052</t>
  </si>
  <si>
    <t>T348,L088,Z290,U6975</t>
  </si>
  <si>
    <t>J449,E785</t>
  </si>
  <si>
    <t>C20,I10,A419,N300,Z436,N995</t>
  </si>
  <si>
    <t>C20,C780,Z936,N10,B962</t>
  </si>
  <si>
    <t>I480,I10,E782,N182</t>
  </si>
  <si>
    <t>M511,U5010</t>
  </si>
  <si>
    <t>Z510,Z511,D70,I871,I822</t>
  </si>
  <si>
    <t>I871,I822,I10,E876,E785</t>
  </si>
  <si>
    <t>J9600,U071,J150,Z290</t>
  </si>
  <si>
    <t>I7020,E118,I258,E785</t>
  </si>
  <si>
    <t>W0199,S202,S007,S933,S600</t>
  </si>
  <si>
    <t>I250,I482,I10,E782,I500</t>
  </si>
  <si>
    <t>K851,E119</t>
  </si>
  <si>
    <t>I501,E782,I10</t>
  </si>
  <si>
    <t>M170</t>
  </si>
  <si>
    <t>J449,I259,I10,E118,E785</t>
  </si>
  <si>
    <t>J9600,U071,J158,N179,E119</t>
  </si>
  <si>
    <t>Z514,U099,L600,E119,I10</t>
  </si>
  <si>
    <t>I472,J939</t>
  </si>
  <si>
    <t>M162,Z966,U5010</t>
  </si>
  <si>
    <t>Z514,J849,I10</t>
  </si>
  <si>
    <t>C20,Z932,K660</t>
  </si>
  <si>
    <t>K573,E117,I10,E785</t>
  </si>
  <si>
    <t>K831,E46,U6975</t>
  </si>
  <si>
    <t>I10,E785,N40</t>
  </si>
  <si>
    <t>I10,J189</t>
  </si>
  <si>
    <t>K766,I489,E46,I10,U6975</t>
  </si>
  <si>
    <t>N300,K703,G934,E86,K766</t>
  </si>
  <si>
    <t>G934,E86,K766,E440,I10</t>
  </si>
  <si>
    <t>K766,I481</t>
  </si>
  <si>
    <t>R18,E46,I10,U6975</t>
  </si>
  <si>
    <t>Z511,M160</t>
  </si>
  <si>
    <t>Z511,I828</t>
  </si>
  <si>
    <t>U089,A049,L959,I259,I10</t>
  </si>
  <si>
    <t>T928,U6975</t>
  </si>
  <si>
    <t>T921</t>
  </si>
  <si>
    <t>W0000,I489,I10,U6975,D683</t>
  </si>
  <si>
    <t>F259,E118</t>
  </si>
  <si>
    <t>U071,E107,I10,E782,Z290,J9600</t>
  </si>
  <si>
    <t>S5261</t>
  </si>
  <si>
    <t>W0180,I10</t>
  </si>
  <si>
    <t>V1981,I10,S5260</t>
  </si>
  <si>
    <t>G473,I10,E790</t>
  </si>
  <si>
    <t>I501,I10,I480,E782</t>
  </si>
  <si>
    <t>I259,I482,I10,E785</t>
  </si>
  <si>
    <t>M2416,I10</t>
  </si>
  <si>
    <t>Z921,I10,M0690,I200</t>
  </si>
  <si>
    <t>K083,M6248</t>
  </si>
  <si>
    <t>I255,N182,I10</t>
  </si>
  <si>
    <t>N411,N394</t>
  </si>
  <si>
    <t>M359</t>
  </si>
  <si>
    <t>D688,I10,E039,E065,C639</t>
  </si>
  <si>
    <t>I10,E039,E789</t>
  </si>
  <si>
    <t>C024</t>
  </si>
  <si>
    <t>I10,G519,C32</t>
  </si>
  <si>
    <t>C109</t>
  </si>
  <si>
    <t>R13,I10,Z931</t>
  </si>
  <si>
    <t>U6975,I10,Z988</t>
  </si>
  <si>
    <t>I7021,E117,N184,I10</t>
  </si>
  <si>
    <t>U071,Z290,I7021,E117,M0599,I10</t>
  </si>
  <si>
    <t>E115,I7021,I10,E782</t>
  </si>
  <si>
    <t>G831</t>
  </si>
  <si>
    <t>I10,D472,G473</t>
  </si>
  <si>
    <t>V1801,I10,H409,E785</t>
  </si>
  <si>
    <t>J22,I10,E118</t>
  </si>
  <si>
    <t>W1999,S432</t>
  </si>
  <si>
    <t>I10,K115,N40,K900,T818</t>
  </si>
  <si>
    <t>B968,G20,U6975,I10,E785</t>
  </si>
  <si>
    <t>Z513</t>
  </si>
  <si>
    <t>I10,D860,G473</t>
  </si>
  <si>
    <t>G473,D860,I10</t>
  </si>
  <si>
    <t>E112</t>
  </si>
  <si>
    <t>F200,E660,Z905,J459,K449</t>
  </si>
  <si>
    <t>J128,U071,I260,C911,I10,Z290</t>
  </si>
  <si>
    <t>M678,E038</t>
  </si>
  <si>
    <t>L899,U089,M5437,M8149,D649</t>
  </si>
  <si>
    <t>E232,I10,E782,F059</t>
  </si>
  <si>
    <t>D321,I10,E038</t>
  </si>
  <si>
    <t>I10,E785,D62</t>
  </si>
  <si>
    <t>E119,I839,E669</t>
  </si>
  <si>
    <t>F510,Z911,K219,H920,U6975</t>
  </si>
  <si>
    <t>H653,J459,E039</t>
  </si>
  <si>
    <t>U071,J80,J9600,Z290,E660,I251</t>
  </si>
  <si>
    <t>M158,J459,K760,K294,K317</t>
  </si>
  <si>
    <t>U071,E86,R11</t>
  </si>
  <si>
    <t>K760,I10,E117</t>
  </si>
  <si>
    <t>I10,E789,K719,F920,G822</t>
  </si>
  <si>
    <t>E119,K358</t>
  </si>
  <si>
    <t>I10,E782,I420,E119,J449</t>
  </si>
  <si>
    <t>J9600,G319,G111,I10,S2710</t>
  </si>
  <si>
    <t>U071,Z290,E782,R290</t>
  </si>
  <si>
    <t>Z514,C509</t>
  </si>
  <si>
    <t>R002</t>
  </si>
  <si>
    <t>U071,R509,K591,I10</t>
  </si>
  <si>
    <t>J9600,U071,C820,I10,E114,Z290</t>
  </si>
  <si>
    <t>Z514,K830,D611,A047</t>
  </si>
  <si>
    <t>I10,E785,K769,E790,G638</t>
  </si>
  <si>
    <t>M459</t>
  </si>
  <si>
    <t>M5410,E118</t>
  </si>
  <si>
    <t>G433</t>
  </si>
  <si>
    <t>E782,H408</t>
  </si>
  <si>
    <t>Z514,U099,G728,E118,I10,E038</t>
  </si>
  <si>
    <t>C798</t>
  </si>
  <si>
    <t>C493,C509,J459,E119,I10</t>
  </si>
  <si>
    <t>U071,J9600,A047,N390,J459</t>
  </si>
  <si>
    <t>J9600,U071,I10,E660,U592</t>
  </si>
  <si>
    <t>N938</t>
  </si>
  <si>
    <t>L271</t>
  </si>
  <si>
    <t>B351,I10,E876</t>
  </si>
  <si>
    <t>D447,I728</t>
  </si>
  <si>
    <t>E039,K432</t>
  </si>
  <si>
    <t>L405</t>
  </si>
  <si>
    <t>I10,M0739</t>
  </si>
  <si>
    <t>C20,K660,Z932,I10,E115</t>
  </si>
  <si>
    <t>D630,E876,I10,U6975</t>
  </si>
  <si>
    <t>U071,Z290,D638,E107,N183</t>
  </si>
  <si>
    <t>C931</t>
  </si>
  <si>
    <t>Z511,C787,A499,C778,Z514</t>
  </si>
  <si>
    <t>C787,C778,I10,K729,E785</t>
  </si>
  <si>
    <t>C672,U6975,I10,E785</t>
  </si>
  <si>
    <t>F320</t>
  </si>
  <si>
    <t>F510,F101,Z731,U6975</t>
  </si>
  <si>
    <t>U6975,Z038,I10,E785</t>
  </si>
  <si>
    <t>U071,I7020</t>
  </si>
  <si>
    <t>I10,E784,E119</t>
  </si>
  <si>
    <t>G20,M5429,M5469</t>
  </si>
  <si>
    <t>I10,E079</t>
  </si>
  <si>
    <t>I10,E118,E660,E782,K760</t>
  </si>
  <si>
    <t>E660,K760,E782,U591</t>
  </si>
  <si>
    <t>J448,I10,I258,I7020</t>
  </si>
  <si>
    <t>E055</t>
  </si>
  <si>
    <t>E038,I480</t>
  </si>
  <si>
    <t>E039,E782,I10,E117,N183,I258</t>
  </si>
  <si>
    <t>E782,I258,E038,N182</t>
  </si>
  <si>
    <t>U071,I500,L400,K802</t>
  </si>
  <si>
    <t>J9600,I10,U6975</t>
  </si>
  <si>
    <t>C248,K658,I10,Z921</t>
  </si>
  <si>
    <t>F450,F510,U6975,Z731</t>
  </si>
  <si>
    <t>Z514,C770,C786,K858,K528</t>
  </si>
  <si>
    <t>K317,I803,K210</t>
  </si>
  <si>
    <t>K298,I803</t>
  </si>
  <si>
    <t>U071,Z290,I269,I802</t>
  </si>
  <si>
    <t>M2410,M2320,E119,E790,I10</t>
  </si>
  <si>
    <t>B968,E782,F020,R470</t>
  </si>
  <si>
    <t>C493</t>
  </si>
  <si>
    <t>Z511,C795,C782,C778</t>
  </si>
  <si>
    <t>Z511,C795,C782</t>
  </si>
  <si>
    <t>D219,N182</t>
  </si>
  <si>
    <t>K083,I10,L409,E789,Z921</t>
  </si>
  <si>
    <t>I259,E782</t>
  </si>
  <si>
    <t>F459</t>
  </si>
  <si>
    <t>M5456,G473</t>
  </si>
  <si>
    <t>C051</t>
  </si>
  <si>
    <t>E119,I10,M459,J449,Z854</t>
  </si>
  <si>
    <t>I10,Z988</t>
  </si>
  <si>
    <t>K251</t>
  </si>
  <si>
    <t>I10,E118,K650,E039</t>
  </si>
  <si>
    <t>F510,I10,R51,U6975</t>
  </si>
  <si>
    <t>I679,I802,D686</t>
  </si>
  <si>
    <t>Z961,I10,E785,E118</t>
  </si>
  <si>
    <t>W0390</t>
  </si>
  <si>
    <t>I499,Z852,I352,I251,I110,C340</t>
  </si>
  <si>
    <t>G628</t>
  </si>
  <si>
    <t>E114,I10,F018</t>
  </si>
  <si>
    <t>I489,I209,J180,I10,E669</t>
  </si>
  <si>
    <t>U071,Z290,I119,E118,E785</t>
  </si>
  <si>
    <t>I10,E678</t>
  </si>
  <si>
    <t>I10,D869</t>
  </si>
  <si>
    <t>I693,I10,U6975</t>
  </si>
  <si>
    <t>F102,F068,F172,R51,Z560</t>
  </si>
  <si>
    <t>G822,T911,N342,U5040</t>
  </si>
  <si>
    <t>W1999,S341,D62</t>
  </si>
  <si>
    <t>U071,I10,E669</t>
  </si>
  <si>
    <t>S833</t>
  </si>
  <si>
    <t>N40,U6975,I10</t>
  </si>
  <si>
    <t>J9600,U071,F920,I10,M5450</t>
  </si>
  <si>
    <t>W1001,S003,S202,S0270,I10</t>
  </si>
  <si>
    <t>T266</t>
  </si>
  <si>
    <t>X4903,I10,E785</t>
  </si>
  <si>
    <t>I10,K760,G628</t>
  </si>
  <si>
    <t>R202</t>
  </si>
  <si>
    <t>I10,H931,R730</t>
  </si>
  <si>
    <t>E782,E118,G473</t>
  </si>
  <si>
    <t>G943,I859,I10,K766</t>
  </si>
  <si>
    <t>M8718,Z853,I10</t>
  </si>
  <si>
    <t>M8718,Z853</t>
  </si>
  <si>
    <t>I10,M9400</t>
  </si>
  <si>
    <t>F193</t>
  </si>
  <si>
    <t>F102,I10,E784,E038,K700</t>
  </si>
  <si>
    <t>F102,R520,Z911,I10,E039</t>
  </si>
  <si>
    <t>N10,I131,D638,N185,D694</t>
  </si>
  <si>
    <t>W0111</t>
  </si>
  <si>
    <t>M5450,F412,Z722</t>
  </si>
  <si>
    <t>M1991</t>
  </si>
  <si>
    <t>J320,Z850,Z923</t>
  </si>
  <si>
    <t>W1999,F100,L024</t>
  </si>
  <si>
    <t>U6975,K550</t>
  </si>
  <si>
    <t>J189,E876,E440</t>
  </si>
  <si>
    <t>J128,M5456,R252,R92</t>
  </si>
  <si>
    <t>C509,G442,Z818,U6975</t>
  </si>
  <si>
    <t>F332</t>
  </si>
  <si>
    <t>U6975,C509,Z818</t>
  </si>
  <si>
    <t>Z932,K660</t>
  </si>
  <si>
    <t>I10,Z853,E780</t>
  </si>
  <si>
    <t>I10,Z853,K769</t>
  </si>
  <si>
    <t>K658</t>
  </si>
  <si>
    <t>J160,N185,Z492,H903,I151</t>
  </si>
  <si>
    <t>J9600,K658,Z492,H903,I151</t>
  </si>
  <si>
    <t>F102</t>
  </si>
  <si>
    <t>D381,M0690,F329</t>
  </si>
  <si>
    <t>G632,I10,E782</t>
  </si>
  <si>
    <t>Y792,I10,E039,U6975</t>
  </si>
  <si>
    <t>K30,K210,C64,U6975</t>
  </si>
  <si>
    <t>E039,E118,I10,E785,E669,F328</t>
  </si>
  <si>
    <t>C089</t>
  </si>
  <si>
    <t>C07</t>
  </si>
  <si>
    <t>C20,D685</t>
  </si>
  <si>
    <t>Z932</t>
  </si>
  <si>
    <t>R060,U071</t>
  </si>
  <si>
    <t>I10,K279</t>
  </si>
  <si>
    <t>I10,E039,J459,K760</t>
  </si>
  <si>
    <t>I693,I10,E114,E782</t>
  </si>
  <si>
    <t>I10,E119,E782,M5450</t>
  </si>
  <si>
    <t>I10,J449,N300,T813</t>
  </si>
  <si>
    <t>I481,I340</t>
  </si>
  <si>
    <t>U071,J128,J459,G35,K760</t>
  </si>
  <si>
    <t>F220</t>
  </si>
  <si>
    <t>N300,E039,U6975</t>
  </si>
  <si>
    <t>F410,N309,U6975</t>
  </si>
  <si>
    <t>F510,N309,U6975,I10</t>
  </si>
  <si>
    <t>M2410,M2350</t>
  </si>
  <si>
    <t>W1991,U6975</t>
  </si>
  <si>
    <t>M171,M2410</t>
  </si>
  <si>
    <t>T810,I10</t>
  </si>
  <si>
    <t>D509,E119,K900</t>
  </si>
  <si>
    <t>E119,I10,D618,R161</t>
  </si>
  <si>
    <t>Z511,C787,E119</t>
  </si>
  <si>
    <t>Z514,R18,K729,C787</t>
  </si>
  <si>
    <t>Z514,C787,C772</t>
  </si>
  <si>
    <t>J189,J9609,U6975,Z978</t>
  </si>
  <si>
    <t>E785,I10,E118,N40</t>
  </si>
  <si>
    <t>G992,I130,U6975,I10</t>
  </si>
  <si>
    <t>M1901,M751</t>
  </si>
  <si>
    <t>C041</t>
  </si>
  <si>
    <t>K083,Z930,Z931,J958</t>
  </si>
  <si>
    <t>E43</t>
  </si>
  <si>
    <t>C049</t>
  </si>
  <si>
    <t>J9600,J80,U071,A418,J158,Z290</t>
  </si>
  <si>
    <t>I859,K703,D638</t>
  </si>
  <si>
    <t>U071,Z290,J9609,E119,I10</t>
  </si>
  <si>
    <t>I10,E782,U072,M5480</t>
  </si>
  <si>
    <t>C241</t>
  </si>
  <si>
    <t>D136,J958</t>
  </si>
  <si>
    <t>C241,Z511,C772</t>
  </si>
  <si>
    <t>Z511,C772,C241</t>
  </si>
  <si>
    <t>Z511,C258</t>
  </si>
  <si>
    <t>I259,I119,E119,E782</t>
  </si>
  <si>
    <t>U6975,I480,I10,B968</t>
  </si>
  <si>
    <t>Z961,M459,I10,H405</t>
  </si>
  <si>
    <t>K572</t>
  </si>
  <si>
    <t>K574,I10,E119</t>
  </si>
  <si>
    <t>K011,K045,K122,K112</t>
  </si>
  <si>
    <t>C160,C770,C772,C786,C787</t>
  </si>
  <si>
    <t>U071,I10</t>
  </si>
  <si>
    <t>S052</t>
  </si>
  <si>
    <t>W0181,I259,I489,I10,E785</t>
  </si>
  <si>
    <t>U071,R05,R060,Z290</t>
  </si>
  <si>
    <t>D101,K045,K709,I859</t>
  </si>
  <si>
    <t>C023</t>
  </si>
  <si>
    <t>Z431,K709,I859</t>
  </si>
  <si>
    <t>C911,E108</t>
  </si>
  <si>
    <t>U071,Z290,I10,E782</t>
  </si>
  <si>
    <t>I10,E782,E118,E669,E790</t>
  </si>
  <si>
    <t>I10,Z480</t>
  </si>
  <si>
    <t>G801,F428</t>
  </si>
  <si>
    <t>I10,U072,I501,I428,F200</t>
  </si>
  <si>
    <t>M7126</t>
  </si>
  <si>
    <t>M171,M6534</t>
  </si>
  <si>
    <t>B371,J150,E441,E117,I10</t>
  </si>
  <si>
    <t>D383,K277,I10,E789</t>
  </si>
  <si>
    <t>Z514,Z852</t>
  </si>
  <si>
    <t>C182,U6975,J989</t>
  </si>
  <si>
    <t>K260,K210,K709,M0698</t>
  </si>
  <si>
    <t>K260,B980,K210,I10</t>
  </si>
  <si>
    <t>M170,I10</t>
  </si>
  <si>
    <t>U071,E119,I10,Z290,J9600</t>
  </si>
  <si>
    <t>K642,G35</t>
  </si>
  <si>
    <t>N300,K868</t>
  </si>
  <si>
    <t>C712</t>
  </si>
  <si>
    <t>U071,I259,I139,I460,S2230,Z290</t>
  </si>
  <si>
    <t>U071,J9600,I269,I489,E785,I259</t>
  </si>
  <si>
    <t>M2427</t>
  </si>
  <si>
    <t>Z514,E441,C778</t>
  </si>
  <si>
    <t>Z511,C778,D611</t>
  </si>
  <si>
    <t>Z514,U6975,I10,E102,N183</t>
  </si>
  <si>
    <t>I802,U6975</t>
  </si>
  <si>
    <t>S0650,I10,F079</t>
  </si>
  <si>
    <t>N309,F070</t>
  </si>
  <si>
    <t>U6975,E789,F329</t>
  </si>
  <si>
    <t>E785,I10,K760,G473,E660</t>
  </si>
  <si>
    <t>E039,E114</t>
  </si>
  <si>
    <t>M2320,M7126,M2321</t>
  </si>
  <si>
    <t>I10,E782,E115</t>
  </si>
  <si>
    <t>I7020,M4290,I10,Z480</t>
  </si>
  <si>
    <t>Z514,C787,J189,Z290,U071</t>
  </si>
  <si>
    <t>R11,R104</t>
  </si>
  <si>
    <t>I10,E890</t>
  </si>
  <si>
    <t>I259,E785,I10</t>
  </si>
  <si>
    <t>I10,U071,I872</t>
  </si>
  <si>
    <t>R600,I10,E785,E039</t>
  </si>
  <si>
    <t>F410,F401,E119,U071,Z228</t>
  </si>
  <si>
    <t>M224</t>
  </si>
  <si>
    <t>M2329</t>
  </si>
  <si>
    <t>U071,Z290,E039</t>
  </si>
  <si>
    <t>C342,I10,E669</t>
  </si>
  <si>
    <t>Z514,Z921,E660</t>
  </si>
  <si>
    <t>M5456,M160,U6975,U5010</t>
  </si>
  <si>
    <t>M5313</t>
  </si>
  <si>
    <t>K632</t>
  </si>
  <si>
    <t>K316</t>
  </si>
  <si>
    <t>J450,E039</t>
  </si>
  <si>
    <t>K316,G473,E039</t>
  </si>
  <si>
    <t>I10,E039,K769,D508,U071</t>
  </si>
  <si>
    <t>H405,H360,Z961,E102,Z992,E038</t>
  </si>
  <si>
    <t>I10,E038,E785</t>
  </si>
  <si>
    <t>I480,I10,E785,U6975,C64</t>
  </si>
  <si>
    <t>C64,I10,B968</t>
  </si>
  <si>
    <t>Z511,D630,D695,J019,U6975</t>
  </si>
  <si>
    <t>Z511,Z948,D630,D695,R509,D70</t>
  </si>
  <si>
    <t>U071,Z511,D70,R509,D630</t>
  </si>
  <si>
    <t>D70,D630,Z511,U6975</t>
  </si>
  <si>
    <t>Z511,D70,D695,E118,U6975</t>
  </si>
  <si>
    <t>Z511,D70,A419,D695,D630,U6975</t>
  </si>
  <si>
    <t>Z511,U6975,D630,D695</t>
  </si>
  <si>
    <t>I10,D62,E048</t>
  </si>
  <si>
    <t>I10,E782,M5447</t>
  </si>
  <si>
    <t>U071,I270,Z290,K744,I509</t>
  </si>
  <si>
    <t>F604</t>
  </si>
  <si>
    <t>F411,F510,R51,E039,M8199</t>
  </si>
  <si>
    <t>M7967,E782,J128</t>
  </si>
  <si>
    <t>I259,I119</t>
  </si>
  <si>
    <t>H162,I10,L940</t>
  </si>
  <si>
    <t>M511,I10,M8100</t>
  </si>
  <si>
    <t>C457</t>
  </si>
  <si>
    <t>C269,J958</t>
  </si>
  <si>
    <t>I10,K590</t>
  </si>
  <si>
    <t>S302</t>
  </si>
  <si>
    <t>Y0729,L309,L279</t>
  </si>
  <si>
    <t>A630</t>
  </si>
  <si>
    <t>M2417</t>
  </si>
  <si>
    <t>S3240,U099</t>
  </si>
  <si>
    <t>W1999,U071,J9600,D683,I489</t>
  </si>
  <si>
    <t>U099,I10</t>
  </si>
  <si>
    <t>M7970</t>
  </si>
  <si>
    <t>C508,G620,E782,K224,E038</t>
  </si>
  <si>
    <t>V4361,J9600,J80,S202,S1220,K661</t>
  </si>
  <si>
    <t>M5450,K573,E038,I10</t>
  </si>
  <si>
    <t>I802,G442,B370,M5450,K573</t>
  </si>
  <si>
    <t>M181</t>
  </si>
  <si>
    <t>B968,I10</t>
  </si>
  <si>
    <t>F133</t>
  </si>
  <si>
    <t>F132,F621,K080,U6975</t>
  </si>
  <si>
    <t>Z511,U6975,D630,D70,E876</t>
  </si>
  <si>
    <t>Y792,D62</t>
  </si>
  <si>
    <t>M2418,M2351</t>
  </si>
  <si>
    <t>K709,I10</t>
  </si>
  <si>
    <t>F413</t>
  </si>
  <si>
    <t>M7023</t>
  </si>
  <si>
    <t>K388</t>
  </si>
  <si>
    <t>U6975,E876,I10,I251</t>
  </si>
  <si>
    <t>F102,F621,G621,L408,R51</t>
  </si>
  <si>
    <t>I10,E118,C672,C66,C775,N133</t>
  </si>
  <si>
    <t>Z511,R509,D70,D594,U6975</t>
  </si>
  <si>
    <t>Z511,D630,J041,E835,I500</t>
  </si>
  <si>
    <t>I10,E789,N181</t>
  </si>
  <si>
    <t>U071,Z290,C900</t>
  </si>
  <si>
    <t>Z961,E785</t>
  </si>
  <si>
    <t>E785,Z961</t>
  </si>
  <si>
    <t>R042</t>
  </si>
  <si>
    <t>J160,I10,J42,F172,U6975</t>
  </si>
  <si>
    <t>T925</t>
  </si>
  <si>
    <t>F333</t>
  </si>
  <si>
    <t>F621,F172,Z911,Z915,U6975</t>
  </si>
  <si>
    <t>I489,F101,F102,Z590,T698</t>
  </si>
  <si>
    <t>I340,I10</t>
  </si>
  <si>
    <t>D410,C780,F04</t>
  </si>
  <si>
    <t>C64,F028,S0640,W1999</t>
  </si>
  <si>
    <t>K831,Z514,I10</t>
  </si>
  <si>
    <t>D62,C780,F019,I10</t>
  </si>
  <si>
    <t>K819,K830,E86,E440,D410</t>
  </si>
  <si>
    <t>K850,R18,K760</t>
  </si>
  <si>
    <t>K858,C250,K802,E440,R18</t>
  </si>
  <si>
    <t>J952,I10,E789,E118</t>
  </si>
  <si>
    <t>G633,I139</t>
  </si>
  <si>
    <t>I10,E114,D892</t>
  </si>
  <si>
    <t>C889,E114,I10</t>
  </si>
  <si>
    <t>Z511,D70,U6975,Z978,D695</t>
  </si>
  <si>
    <t>Z511,D630,D70,D695,U6975,Z978</t>
  </si>
  <si>
    <t>D70,D695,U6975,Z511,Z978,D630</t>
  </si>
  <si>
    <t>W1991,S202,S3700,S2240,I722</t>
  </si>
  <si>
    <t>I10,M1099</t>
  </si>
  <si>
    <t>U071,C900,N048,E853,U586</t>
  </si>
  <si>
    <t>M4934</t>
  </si>
  <si>
    <t>Z992,M4620,I151,N258</t>
  </si>
  <si>
    <t>J441,D686</t>
  </si>
  <si>
    <t>T827,I10</t>
  </si>
  <si>
    <t>T921,U5010</t>
  </si>
  <si>
    <t>I269,I259,I10</t>
  </si>
  <si>
    <t>M171,M2326</t>
  </si>
  <si>
    <t>T810,I10,J958</t>
  </si>
  <si>
    <t>I259,I10,E785,E118,K219</t>
  </si>
  <si>
    <t>F102,K709,I10,U6975</t>
  </si>
  <si>
    <t>F102,I10,Z911,U6975</t>
  </si>
  <si>
    <t>S0231</t>
  </si>
  <si>
    <t>W2001,L309</t>
  </si>
  <si>
    <t>L409</t>
  </si>
  <si>
    <t>E782,E038</t>
  </si>
  <si>
    <t>I10,E782,E790</t>
  </si>
  <si>
    <t>L97,I7021,I10,E117,N182,E782</t>
  </si>
  <si>
    <t>H360,E107,I10,I482,E785</t>
  </si>
  <si>
    <t>N179,E117,I10,A419</t>
  </si>
  <si>
    <t>H958,I10</t>
  </si>
  <si>
    <t>W1081,S000,U6975</t>
  </si>
  <si>
    <t>U6975,F920,E46,Z988</t>
  </si>
  <si>
    <t>J459,U6975,K649,L80</t>
  </si>
  <si>
    <t>U6975,K649,L80</t>
  </si>
  <si>
    <t>Z290,B956,J459,E039,I10</t>
  </si>
  <si>
    <t>W0000,I10,U6975</t>
  </si>
  <si>
    <t>U072,Z290,I10,T784,H521</t>
  </si>
  <si>
    <t>U071,Z290,E660,E038,E782</t>
  </si>
  <si>
    <t>W9999,Z421</t>
  </si>
  <si>
    <t>W0181,I10</t>
  </si>
  <si>
    <t>M205</t>
  </si>
  <si>
    <t>T932,U6975,U5010</t>
  </si>
  <si>
    <t>I10,E039,U6975</t>
  </si>
  <si>
    <t>Z853</t>
  </si>
  <si>
    <t>U071,Z290,C921,J9600</t>
  </si>
  <si>
    <t>I10,I269,E789,Z988</t>
  </si>
  <si>
    <t>W1999,W0000</t>
  </si>
  <si>
    <t>E871,E876,E441</t>
  </si>
  <si>
    <t>K509,Z880,N189,J958,Z932</t>
  </si>
  <si>
    <t>J342,I10,E785,D105</t>
  </si>
  <si>
    <t>E038,I442</t>
  </si>
  <si>
    <t>U071,Z290,J938,I609</t>
  </si>
  <si>
    <t>U071,Z290,A083,E86</t>
  </si>
  <si>
    <t>H720,M8199,K588</t>
  </si>
  <si>
    <t>E038,H400</t>
  </si>
  <si>
    <t>M1304,M5303</t>
  </si>
  <si>
    <t>M8109,L232</t>
  </si>
  <si>
    <t>W0103,E118,I10,E785</t>
  </si>
  <si>
    <t>J958,I499</t>
  </si>
  <si>
    <t>M2147,M204</t>
  </si>
  <si>
    <t>G048,K709,F108,N300,E875</t>
  </si>
  <si>
    <t>E876,R55,E86,E834,I10</t>
  </si>
  <si>
    <t>D140</t>
  </si>
  <si>
    <t>E059,G560</t>
  </si>
  <si>
    <t>J959</t>
  </si>
  <si>
    <t>E660,M5396</t>
  </si>
  <si>
    <t>K132</t>
  </si>
  <si>
    <t>K045,E039</t>
  </si>
  <si>
    <t>E078</t>
  </si>
  <si>
    <t>M8690</t>
  </si>
  <si>
    <t>I10,E119,E042,H912</t>
  </si>
  <si>
    <t>S2780</t>
  </si>
  <si>
    <t>W1908,E876,I10,K440</t>
  </si>
  <si>
    <t>D109</t>
  </si>
  <si>
    <t>G448</t>
  </si>
  <si>
    <t>H360,Z961,E107,E063,M0699</t>
  </si>
  <si>
    <t>H358</t>
  </si>
  <si>
    <t>Z488,E107,E038,M0698,E785</t>
  </si>
  <si>
    <t>G620,D649,E871</t>
  </si>
  <si>
    <t>G628,I10</t>
  </si>
  <si>
    <t>G629,I10,D649</t>
  </si>
  <si>
    <t>I10,D519,L899</t>
  </si>
  <si>
    <t>K319,E069</t>
  </si>
  <si>
    <t>B009,I10</t>
  </si>
  <si>
    <t>M8199</t>
  </si>
  <si>
    <t>J458,J988,E038,E790</t>
  </si>
  <si>
    <t>C711,G811,R470</t>
  </si>
  <si>
    <t>C711,G811,G402,U5020</t>
  </si>
  <si>
    <t>G936,G935,I10,J952,D62</t>
  </si>
  <si>
    <t>G119</t>
  </si>
  <si>
    <t>G632,E114,M5437,G560</t>
  </si>
  <si>
    <t>E114,G629</t>
  </si>
  <si>
    <t>D303</t>
  </si>
  <si>
    <t>D483</t>
  </si>
  <si>
    <t>E46,B374,M355,U6975</t>
  </si>
  <si>
    <t>C506</t>
  </si>
  <si>
    <t>E876,F101,F102,F108,K709</t>
  </si>
  <si>
    <t>M4317,U5010</t>
  </si>
  <si>
    <t>N851</t>
  </si>
  <si>
    <t>S2200,N390,U5010</t>
  </si>
  <si>
    <t>W5512,I10</t>
  </si>
  <si>
    <t>Z992,D500,I250,I119</t>
  </si>
  <si>
    <t>W1900,I10</t>
  </si>
  <si>
    <t>M1900</t>
  </si>
  <si>
    <t>J448,J9610,I272,E118,I10,E785</t>
  </si>
  <si>
    <t>W1999,I10,E119</t>
  </si>
  <si>
    <t>C138</t>
  </si>
  <si>
    <t>U6975,Z930,Z931,K038,Z409</t>
  </si>
  <si>
    <t>J952,K769,K219</t>
  </si>
  <si>
    <t>I607</t>
  </si>
  <si>
    <t>I10,J952,D62</t>
  </si>
  <si>
    <t>V1301,S3200</t>
  </si>
  <si>
    <t>U6975,E46,I10,E119,G409</t>
  </si>
  <si>
    <t>R490,U6975</t>
  </si>
  <si>
    <t>Z511,E883,D688,Z452,Z978,U6975</t>
  </si>
  <si>
    <t>I10,Z038,U6975</t>
  </si>
  <si>
    <t>I10,E789,E790</t>
  </si>
  <si>
    <t>I10,E118,R11,U6975</t>
  </si>
  <si>
    <t>I10,D860,D868</t>
  </si>
  <si>
    <t>U071,K766,I850,J069,K703</t>
  </si>
  <si>
    <t>I859,K766,D500,E86</t>
  </si>
  <si>
    <t>Y883,D66</t>
  </si>
  <si>
    <t>U071,C160,Z290,I742</t>
  </si>
  <si>
    <t>Z031,U6975,I10</t>
  </si>
  <si>
    <t>D685,Z921</t>
  </si>
  <si>
    <t>N179,D638,U6975</t>
  </si>
  <si>
    <t>D472</t>
  </si>
  <si>
    <t>Z511,I10,E785,E790,H001,U6975</t>
  </si>
  <si>
    <t>E118,E782,I10</t>
  </si>
  <si>
    <t>C021</t>
  </si>
  <si>
    <t>C021,F172,Y845,J958,C770</t>
  </si>
  <si>
    <t>Z514,C258</t>
  </si>
  <si>
    <t>C258,Z514,K830</t>
  </si>
  <si>
    <t>T814,B968</t>
  </si>
  <si>
    <t>R060,E782,I10</t>
  </si>
  <si>
    <t>C110</t>
  </si>
  <si>
    <t>M5489,M179</t>
  </si>
  <si>
    <t>I10,J958,C112,L020</t>
  </si>
  <si>
    <t>I859,B182,U6975</t>
  </si>
  <si>
    <t>I859,K766</t>
  </si>
  <si>
    <t>I10,B353,E785</t>
  </si>
  <si>
    <t>M752,M1900,M755</t>
  </si>
  <si>
    <t>U071,J128,Z290,I10,N179,J80</t>
  </si>
  <si>
    <t>U071,G728,G405</t>
  </si>
  <si>
    <t>C786,C258</t>
  </si>
  <si>
    <t>M752,M1901</t>
  </si>
  <si>
    <t>W1900,D688,J449</t>
  </si>
  <si>
    <t>K573,I10,E789,T814,Y839</t>
  </si>
  <si>
    <t>I10,E785,E660,E790</t>
  </si>
  <si>
    <t>I10,I652</t>
  </si>
  <si>
    <t>I632</t>
  </si>
  <si>
    <t>U071,Z290,I10,J128,N309</t>
  </si>
  <si>
    <t>U071,I633,U5020</t>
  </si>
  <si>
    <t>K819,I10</t>
  </si>
  <si>
    <t>K293,I10,E782,U6975</t>
  </si>
  <si>
    <t>I150,E039,E785,G473</t>
  </si>
  <si>
    <t>I10,Z490,I770</t>
  </si>
  <si>
    <t>U071,I10,E660,J9600,Z290</t>
  </si>
  <si>
    <t>E119,I839</t>
  </si>
  <si>
    <t>Z511,C795,C775,E119,D630</t>
  </si>
  <si>
    <t>Z514,N300,C795,C778,C793</t>
  </si>
  <si>
    <t>G912,Z514,C795,I10,E118</t>
  </si>
  <si>
    <t>Z514,C678,E118,N390</t>
  </si>
  <si>
    <t>G934,Z930,E660,K760,E789</t>
  </si>
  <si>
    <t>W1999,S8280,W0181</t>
  </si>
  <si>
    <t>S4200,I635,I10,E785,I724</t>
  </si>
  <si>
    <t>G811,C714,U5020</t>
  </si>
  <si>
    <t>U071,E118,Z290</t>
  </si>
  <si>
    <t>Z511,D630,D70,D695</t>
  </si>
  <si>
    <t>Z511,D630,D695,U6975,Z978</t>
  </si>
  <si>
    <t>U6975,Z511,D630,D695,D70,R509</t>
  </si>
  <si>
    <t>R509,R060,U6975,Z978</t>
  </si>
  <si>
    <t>Z511,D70,Z978</t>
  </si>
  <si>
    <t>C845</t>
  </si>
  <si>
    <t>Z511,D70,Z978,Z228</t>
  </si>
  <si>
    <t>U071,D70,D695,D630,E876,B348</t>
  </si>
  <si>
    <t>E039,Z290,U071</t>
  </si>
  <si>
    <t>Z511,C775</t>
  </si>
  <si>
    <t>C775</t>
  </si>
  <si>
    <t>Z511,C20</t>
  </si>
  <si>
    <t>Z511,C798,C774,C775</t>
  </si>
  <si>
    <t>Z511,C798</t>
  </si>
  <si>
    <t>Z511,C20,I269,I801</t>
  </si>
  <si>
    <t>I269,C20,C772,Z514</t>
  </si>
  <si>
    <t>K112,E039</t>
  </si>
  <si>
    <t>M7157</t>
  </si>
  <si>
    <t>M7757,M7666</t>
  </si>
  <si>
    <t>Z514,C795,C787,N300,E835</t>
  </si>
  <si>
    <t>C787,C795,Z514</t>
  </si>
  <si>
    <t>Z514,C795</t>
  </si>
  <si>
    <t>C412</t>
  </si>
  <si>
    <t>G822,C412,U5010</t>
  </si>
  <si>
    <t>G822,C412,N342,U5020</t>
  </si>
  <si>
    <t>M751,U6975</t>
  </si>
  <si>
    <t>M750,N342,U5010</t>
  </si>
  <si>
    <t>R42,M5456,M5422,G258,I10</t>
  </si>
  <si>
    <t>E660,U6975</t>
  </si>
  <si>
    <t>D685,E782</t>
  </si>
  <si>
    <t>D441,I159,M0599,D649</t>
  </si>
  <si>
    <t>I7020,I10,E785,E119</t>
  </si>
  <si>
    <t>Z896,T940,U6975,U5010</t>
  </si>
  <si>
    <t>Z896,U5020</t>
  </si>
  <si>
    <t>I10,E785,J459</t>
  </si>
  <si>
    <t>I10,I259,E785</t>
  </si>
  <si>
    <t>M7086</t>
  </si>
  <si>
    <t>F190,K044,F172,K219,I10,U6975</t>
  </si>
  <si>
    <t>D62,I10,E660,I839</t>
  </si>
  <si>
    <t>E86,N005,E876,E118,I119</t>
  </si>
  <si>
    <t>G442</t>
  </si>
  <si>
    <t>G442,G439</t>
  </si>
  <si>
    <t>K509,I10</t>
  </si>
  <si>
    <t>Z511,Z514,N300,E876</t>
  </si>
  <si>
    <t>Z514,N390,D70,E876</t>
  </si>
  <si>
    <t>Z514,D630,N189</t>
  </si>
  <si>
    <t>Z510,D611</t>
  </si>
  <si>
    <t>N300,B962,E839,Z511</t>
  </si>
  <si>
    <t>E115,E875,I10,Z941</t>
  </si>
  <si>
    <t>A419,U6975,N179,E876,E108,I119</t>
  </si>
  <si>
    <t>U6975,N10,Z941,N179,E872,B961</t>
  </si>
  <si>
    <t>I10,N182,E782</t>
  </si>
  <si>
    <t>M2418,M2538</t>
  </si>
  <si>
    <t>A415,U099,I10,E039,U071,J9600</t>
  </si>
  <si>
    <t>G442,Z731,Z915</t>
  </si>
  <si>
    <t>D472,I10</t>
  </si>
  <si>
    <t>I10,D638</t>
  </si>
  <si>
    <t>H521,Z961,E038,I10,E785,E116</t>
  </si>
  <si>
    <t>U071,N178,E669,E119,I119,J9600</t>
  </si>
  <si>
    <t>F102,F172,K700,E876,E871</t>
  </si>
  <si>
    <t>I480,I10,E790,I429</t>
  </si>
  <si>
    <t>S836,W0181</t>
  </si>
  <si>
    <t>I982,R18,K766,I10</t>
  </si>
  <si>
    <t>I859</t>
  </si>
  <si>
    <t>K703,I982,R18,K766,I10</t>
  </si>
  <si>
    <t>I420,I10,E782,E118,E669</t>
  </si>
  <si>
    <t>Z940,I119,D500</t>
  </si>
  <si>
    <t>K083,Z933,Z923,Z926,Z850,I10</t>
  </si>
  <si>
    <t>I691,I10,E785</t>
  </si>
  <si>
    <t>I484</t>
  </si>
  <si>
    <t>R060,U6975</t>
  </si>
  <si>
    <t>U071,Z290,I251,I10</t>
  </si>
  <si>
    <t>H813</t>
  </si>
  <si>
    <t>I693,K228</t>
  </si>
  <si>
    <t>M6534</t>
  </si>
  <si>
    <t>T932,U5010</t>
  </si>
  <si>
    <t>S8201</t>
  </si>
  <si>
    <t>W0100,S2240,I10,S3640,M0096,T814</t>
  </si>
  <si>
    <t>U071,Z290,J128,A419</t>
  </si>
  <si>
    <t>D860,I10,I398,N189,E116</t>
  </si>
  <si>
    <t>F062</t>
  </si>
  <si>
    <t>H021,Z818,Z560,U6975</t>
  </si>
  <si>
    <t>Z942,U6975,E785,E139</t>
  </si>
  <si>
    <t>J171</t>
  </si>
  <si>
    <t>U071,J189,Z942,E785,E139</t>
  </si>
  <si>
    <t>C159</t>
  </si>
  <si>
    <t>J958,H200,I269,H401</t>
  </si>
  <si>
    <t>C601</t>
  </si>
  <si>
    <t>E119,I10,G409</t>
  </si>
  <si>
    <t>I10,E789,E118</t>
  </si>
  <si>
    <t>Z511,Z510,C770</t>
  </si>
  <si>
    <t>E559,N085,I480</t>
  </si>
  <si>
    <t>I269,I480,N085</t>
  </si>
  <si>
    <t>E660,I10,E785</t>
  </si>
  <si>
    <t>W0291,U6975</t>
  </si>
  <si>
    <t>I10,M2454</t>
  </si>
  <si>
    <t>I369,I489,I330</t>
  </si>
  <si>
    <t>N428,A748,E660,K760,E063</t>
  </si>
  <si>
    <t>M6090</t>
  </si>
  <si>
    <t>E063,U592,E660,A692</t>
  </si>
  <si>
    <t>I489,I10,N40</t>
  </si>
  <si>
    <t>M457</t>
  </si>
  <si>
    <t>M5480,I10,U6975,E668</t>
  </si>
  <si>
    <t>Z511,C771,C775</t>
  </si>
  <si>
    <t>Z511,E440</t>
  </si>
  <si>
    <t>Z514,N300,D611,E876</t>
  </si>
  <si>
    <t>Z933</t>
  </si>
  <si>
    <t>E117,N181,I7021,E782,I10</t>
  </si>
  <si>
    <t>I10,E116,G473</t>
  </si>
  <si>
    <t>J128,U071,J80,E107,E038</t>
  </si>
  <si>
    <t>E785,E119,I10,G409</t>
  </si>
  <si>
    <t>I10,I482,N183</t>
  </si>
  <si>
    <t>H401,I10</t>
  </si>
  <si>
    <t>J180,Z515,I10,D630</t>
  </si>
  <si>
    <t>Z511,Z515,U6975,E785</t>
  </si>
  <si>
    <t>Z515,Z514,U6975,J189,Z511</t>
  </si>
  <si>
    <t>U071,J9600,Z290,U590,A419</t>
  </si>
  <si>
    <t>I10,K769,N40</t>
  </si>
  <si>
    <t>E059</t>
  </si>
  <si>
    <t>H588,I10,E118,F409</t>
  </si>
  <si>
    <t>I10,U6975,Z911,E118,F132</t>
  </si>
  <si>
    <t>D219</t>
  </si>
  <si>
    <t>U071,F102,F103,Z290,Z228</t>
  </si>
  <si>
    <t>G473,F920,I10</t>
  </si>
  <si>
    <t>D103,I10,N280</t>
  </si>
  <si>
    <t>Y1519,I809,N170,Y442</t>
  </si>
  <si>
    <t>E109,I10,E785</t>
  </si>
  <si>
    <t>H220</t>
  </si>
  <si>
    <t>B005</t>
  </si>
  <si>
    <t>U071,Z290,I259,I489,I10</t>
  </si>
  <si>
    <t>C924</t>
  </si>
  <si>
    <t>Z511,D70,D695,L408,K625,J068</t>
  </si>
  <si>
    <t>Z511,I828,U6975,L408,L031</t>
  </si>
  <si>
    <t>W1980,G936</t>
  </si>
  <si>
    <t>I10,L400,I259</t>
  </si>
  <si>
    <t>E660,M0600,I10,E038,J458</t>
  </si>
  <si>
    <t>E660,M0600,I10,J458,E782</t>
  </si>
  <si>
    <t>I259,E785</t>
  </si>
  <si>
    <t>E039,C942</t>
  </si>
  <si>
    <t>I10,I441</t>
  </si>
  <si>
    <t>I499</t>
  </si>
  <si>
    <t>I483,I10</t>
  </si>
  <si>
    <t>K083,E789,J459,I10</t>
  </si>
  <si>
    <t>M750,T918,U5010</t>
  </si>
  <si>
    <t>I460,J189,J955</t>
  </si>
  <si>
    <t>Z514,C56,B029</t>
  </si>
  <si>
    <t>Z511,C56</t>
  </si>
  <si>
    <t>I10,U6975,E119</t>
  </si>
  <si>
    <t>R590,I10,E039,U6975</t>
  </si>
  <si>
    <t>Z514,E039,I10</t>
  </si>
  <si>
    <t>M1904</t>
  </si>
  <si>
    <t>N992</t>
  </si>
  <si>
    <t>N390,N209,R263</t>
  </si>
  <si>
    <t>I10,Z018</t>
  </si>
  <si>
    <t>T818,W9999</t>
  </si>
  <si>
    <t>M2147,U6975</t>
  </si>
  <si>
    <t>M752,M755</t>
  </si>
  <si>
    <t>B968,I480,I10</t>
  </si>
  <si>
    <t>W0181,W0101,J450,U6975</t>
  </si>
  <si>
    <t>C20,E039,E876,Z932,E063</t>
  </si>
  <si>
    <t>Z511,C787,C772</t>
  </si>
  <si>
    <t>M5489,D469,K760</t>
  </si>
  <si>
    <t>D469,I10,E876,N309,U071,J9600</t>
  </si>
  <si>
    <t>U089,N342,U5020</t>
  </si>
  <si>
    <t>G409,K650,U6975,B371,E149</t>
  </si>
  <si>
    <t>K299,G500</t>
  </si>
  <si>
    <t>K277,G500</t>
  </si>
  <si>
    <t>K257</t>
  </si>
  <si>
    <t>J9600,I864,J189,N390,I10,N182</t>
  </si>
  <si>
    <t>C482</t>
  </si>
  <si>
    <t>N300,J189,K560</t>
  </si>
  <si>
    <t>E107,K649</t>
  </si>
  <si>
    <t>W0180,S8280,W0181</t>
  </si>
  <si>
    <t>F101,K861,R653,N179,K720,I460</t>
  </si>
  <si>
    <t>Z515,J189,I10,E039,N139</t>
  </si>
  <si>
    <t>F316</t>
  </si>
  <si>
    <t>K219,N209,J952</t>
  </si>
  <si>
    <t>T810,J959</t>
  </si>
  <si>
    <t>U6975,Z511,D630,D70,Z978</t>
  </si>
  <si>
    <t>Y883,Z951,A411,I442</t>
  </si>
  <si>
    <t>I10,E782,J448</t>
  </si>
  <si>
    <t>T634</t>
  </si>
  <si>
    <t>W5701,T784</t>
  </si>
  <si>
    <t>E119,I10,N40,C04</t>
  </si>
  <si>
    <t>C914</t>
  </si>
  <si>
    <t>Z511,I872,U6975,I10,D70</t>
  </si>
  <si>
    <t>K011,K083,I10</t>
  </si>
  <si>
    <t>J448,K635,I10,E782,U6975</t>
  </si>
  <si>
    <t>N210</t>
  </si>
  <si>
    <t>I10,Z950,E660</t>
  </si>
  <si>
    <t>G551,I10</t>
  </si>
  <si>
    <t>H613,M5489,K709,G560</t>
  </si>
  <si>
    <t>M755,M752</t>
  </si>
  <si>
    <t>W0199,S2240,S0600,S2720,D62</t>
  </si>
  <si>
    <t>E109,I10</t>
  </si>
  <si>
    <t>I10,J459,E785,E662,K768</t>
  </si>
  <si>
    <t>U6975,T455,E119,E785,J9610</t>
  </si>
  <si>
    <t>U6975,E119,E785</t>
  </si>
  <si>
    <t>U6975,E119</t>
  </si>
  <si>
    <t>J9600,U071,N179,E119,A047</t>
  </si>
  <si>
    <t>N041</t>
  </si>
  <si>
    <t>Z940,N184,N390,B961,U822</t>
  </si>
  <si>
    <t>I10,H335,H405,H118,Z961</t>
  </si>
  <si>
    <t>J182,I633,C761,K700,E782</t>
  </si>
  <si>
    <t>Z479</t>
  </si>
  <si>
    <t>I10,K289,N158,E871,K859,D62</t>
  </si>
  <si>
    <t>K630</t>
  </si>
  <si>
    <t>I10,E785,E115</t>
  </si>
  <si>
    <t>E115,I10,E785</t>
  </si>
  <si>
    <t>K746,D696</t>
  </si>
  <si>
    <t>M2321,M2416,M2322,E782</t>
  </si>
  <si>
    <t>K045,D66</t>
  </si>
  <si>
    <t>F102,I10,U6975</t>
  </si>
  <si>
    <t>H906,J352,K509</t>
  </si>
  <si>
    <t>K612</t>
  </si>
  <si>
    <t>K613</t>
  </si>
  <si>
    <t>U071,G473,I10,Z290</t>
  </si>
  <si>
    <t>Z511,C187,C771</t>
  </si>
  <si>
    <t>C19,Z511</t>
  </si>
  <si>
    <t>U071,Z290,J128,J160</t>
  </si>
  <si>
    <t>M0688,E038</t>
  </si>
  <si>
    <t>N995</t>
  </si>
  <si>
    <t>H020</t>
  </si>
  <si>
    <t>N926</t>
  </si>
  <si>
    <t>C787,E118,K315,N309,K805</t>
  </si>
  <si>
    <t>Z514,C787,C772,K830</t>
  </si>
  <si>
    <t>U071,Z290,E149</t>
  </si>
  <si>
    <t>Z853,M8149,J459,M159</t>
  </si>
  <si>
    <t>C780,J90</t>
  </si>
  <si>
    <t>D103</t>
  </si>
  <si>
    <t>K220</t>
  </si>
  <si>
    <t>N10,F100,D648,K760,F102</t>
  </si>
  <si>
    <t>W0180,S0600</t>
  </si>
  <si>
    <t>Z966,M1921,U6975,U5010</t>
  </si>
  <si>
    <t>M751,I10,J449,D62</t>
  </si>
  <si>
    <t>K076</t>
  </si>
  <si>
    <t>C040</t>
  </si>
  <si>
    <t>I10,E078</t>
  </si>
  <si>
    <t>I10,E039,E119,E669</t>
  </si>
  <si>
    <t>Y838,D509,R55</t>
  </si>
  <si>
    <t>U071,Z290,I10,I839</t>
  </si>
  <si>
    <t>U6975,I10,R002</t>
  </si>
  <si>
    <t>M8719,I10,Z850,Z926</t>
  </si>
  <si>
    <t>U071,I10,R060,Z290</t>
  </si>
  <si>
    <t>U071,Z290,E259,B378,E876</t>
  </si>
  <si>
    <t>I10,F329</t>
  </si>
  <si>
    <t>C509,I10</t>
  </si>
  <si>
    <t>I7020,I10,E119,E785</t>
  </si>
  <si>
    <t>M5400,I10,I201</t>
  </si>
  <si>
    <t>Z992,N185,J42,M0531,D638</t>
  </si>
  <si>
    <t>I10,D62,E669,R400,J459,J952</t>
  </si>
  <si>
    <t>Z514,C787,C798</t>
  </si>
  <si>
    <t>Z514,C786,D611,R18</t>
  </si>
  <si>
    <t>K566</t>
  </si>
  <si>
    <t>K565,C786</t>
  </si>
  <si>
    <t>C56,I10,D648</t>
  </si>
  <si>
    <t>C787,C786,Z511,R18</t>
  </si>
  <si>
    <t>Z514,C786,R18</t>
  </si>
  <si>
    <t>R451,M2557,Z560,U6975</t>
  </si>
  <si>
    <t>E876,E834,K760,Z290</t>
  </si>
  <si>
    <t>K604</t>
  </si>
  <si>
    <t>E782,L400</t>
  </si>
  <si>
    <t>I10,M1099,J449</t>
  </si>
  <si>
    <t>I10,E660,G473,U6975</t>
  </si>
  <si>
    <t>I10,F920,R739,E790</t>
  </si>
  <si>
    <t>W0804,S631,U6975,D62</t>
  </si>
  <si>
    <t>J383</t>
  </si>
  <si>
    <t>M2562</t>
  </si>
  <si>
    <t>W1999,U6975,T928,Z470</t>
  </si>
  <si>
    <t>E876,F101,F102,E41,F108</t>
  </si>
  <si>
    <t>W1999,F107,J9600,I958</t>
  </si>
  <si>
    <t>I210,I480,I10,I872,E660</t>
  </si>
  <si>
    <t>M2323</t>
  </si>
  <si>
    <t>K746,E118,U6975</t>
  </si>
  <si>
    <t>E118,G621,E782</t>
  </si>
  <si>
    <t>I859,D131,K766,E118,D731</t>
  </si>
  <si>
    <t>I982,K766,K703,E119</t>
  </si>
  <si>
    <t>E785,G408,I499,K861</t>
  </si>
  <si>
    <t>E660,G409,E785,K861,E876</t>
  </si>
  <si>
    <t>Z514,C780,C772</t>
  </si>
  <si>
    <t>K830,E46,E86,I10,E785</t>
  </si>
  <si>
    <t>E119,K831,I10,U6975</t>
  </si>
  <si>
    <t>K803,E119,I10,U6975</t>
  </si>
  <si>
    <t>E46,K858</t>
  </si>
  <si>
    <t>D649,I10</t>
  </si>
  <si>
    <t>K863,J189,K210,I10</t>
  </si>
  <si>
    <t>K863,K869,U6975,K210,I10</t>
  </si>
  <si>
    <t>K831,K863,K869,K861,I10</t>
  </si>
  <si>
    <t>K831,D136,E86,I10,U6975</t>
  </si>
  <si>
    <t>K831,U6975,I10,E119</t>
  </si>
  <si>
    <t>K219,I10,E119</t>
  </si>
  <si>
    <t>Z514,C795,C780,C771,E870,F050</t>
  </si>
  <si>
    <t>G35,I10,T788,U6975</t>
  </si>
  <si>
    <t>I480,I214</t>
  </si>
  <si>
    <t>N185,Z992,I119,K639</t>
  </si>
  <si>
    <t>E107,E782,I10</t>
  </si>
  <si>
    <t>I850</t>
  </si>
  <si>
    <t>D62,K766,K703,U6975,I10</t>
  </si>
  <si>
    <t>M752,M1900</t>
  </si>
  <si>
    <t>E669,I10,E118,E782</t>
  </si>
  <si>
    <t>D401</t>
  </si>
  <si>
    <t>S134</t>
  </si>
  <si>
    <t>V999,E116,E660,U6975</t>
  </si>
  <si>
    <t>L088</t>
  </si>
  <si>
    <t>I10,B353</t>
  </si>
  <si>
    <t>I10,M1009</t>
  </si>
  <si>
    <t>F070</t>
  </si>
  <si>
    <t>F102,I10,K219,Z560,Z590</t>
  </si>
  <si>
    <t>U071,L400,K719,W0100,S7200</t>
  </si>
  <si>
    <t>S667</t>
  </si>
  <si>
    <t>W2908</t>
  </si>
  <si>
    <t>Z514,C771,C787,C795,K754</t>
  </si>
  <si>
    <t>E107,I250,I119,D500</t>
  </si>
  <si>
    <t>D161</t>
  </si>
  <si>
    <t>I10,E119,E039,E785,N183</t>
  </si>
  <si>
    <t>M5459,F409</t>
  </si>
  <si>
    <t>M5440,F412</t>
  </si>
  <si>
    <t>M5490,F412</t>
  </si>
  <si>
    <t>K091</t>
  </si>
  <si>
    <t>J9690,J9600,A419,R651,N179</t>
  </si>
  <si>
    <t>I10,T818,Z854</t>
  </si>
  <si>
    <t>R470</t>
  </si>
  <si>
    <t>T861,Z940,E139,I151,Q612</t>
  </si>
  <si>
    <t>E86,N179,I10,E660,U6975</t>
  </si>
  <si>
    <t>X6099</t>
  </si>
  <si>
    <t>A985</t>
  </si>
  <si>
    <t>E559,I10,K295</t>
  </si>
  <si>
    <t>W0190,S2240</t>
  </si>
  <si>
    <t>E117,Z961,I10</t>
  </si>
  <si>
    <t>H262,E113,H360,I10,E785</t>
  </si>
  <si>
    <t>J324</t>
  </si>
  <si>
    <t>J320,J330,J342</t>
  </si>
  <si>
    <t>J320,J459,E039,E790</t>
  </si>
  <si>
    <t>X4108,F323,K210,E039,I10</t>
  </si>
  <si>
    <t>G511</t>
  </si>
  <si>
    <t>U582,E054,E063,I472</t>
  </si>
  <si>
    <t>Z853,Z926,M8718</t>
  </si>
  <si>
    <t>C509,Z926</t>
  </si>
  <si>
    <t>B029</t>
  </si>
  <si>
    <t>N859</t>
  </si>
  <si>
    <t>F102,G403,K709,U6975</t>
  </si>
  <si>
    <t>F102,G409,K709,F510</t>
  </si>
  <si>
    <t>G20,M5446,M5429</t>
  </si>
  <si>
    <t>K614</t>
  </si>
  <si>
    <t>N202,G35,Z888</t>
  </si>
  <si>
    <t>M1916</t>
  </si>
  <si>
    <t>I630,U6975,U5050</t>
  </si>
  <si>
    <t>I10,E118,E669,E782</t>
  </si>
  <si>
    <t>I10,M5465,I501</t>
  </si>
  <si>
    <t>E115,E782,D685,I259,I10,N189</t>
  </si>
  <si>
    <t>C172</t>
  </si>
  <si>
    <t>Z514,Z511,C787</t>
  </si>
  <si>
    <t>I81,U6975,K766</t>
  </si>
  <si>
    <t>G968</t>
  </si>
  <si>
    <t>I10,E038,M5480,F412,G560</t>
  </si>
  <si>
    <t>J458,Z988</t>
  </si>
  <si>
    <t>Z514,C509,E039</t>
  </si>
  <si>
    <t>K509,C798</t>
  </si>
  <si>
    <t>H250</t>
  </si>
  <si>
    <t>H402,I10</t>
  </si>
  <si>
    <t>W0111,S833</t>
  </si>
  <si>
    <t>N170,E116,E871,K811,E86</t>
  </si>
  <si>
    <t>E038,I10,E790</t>
  </si>
  <si>
    <t>D251</t>
  </si>
  <si>
    <t>M0600</t>
  </si>
  <si>
    <t>J459,G473</t>
  </si>
  <si>
    <t>K010,I10</t>
  </si>
  <si>
    <t>U6975,M513</t>
  </si>
  <si>
    <t>I10,H931</t>
  </si>
  <si>
    <t>K861,K709</t>
  </si>
  <si>
    <t>U099,F412,J303</t>
  </si>
  <si>
    <t>U099,F920</t>
  </si>
  <si>
    <t>S967</t>
  </si>
  <si>
    <t>W0180,S913</t>
  </si>
  <si>
    <t>I259,I10,E782,E118,I501</t>
  </si>
  <si>
    <t>E117,G409,F102</t>
  </si>
  <si>
    <t>S433</t>
  </si>
  <si>
    <t>W0100,M751</t>
  </si>
  <si>
    <t>J343,C180</t>
  </si>
  <si>
    <t>I10,E039,J459</t>
  </si>
  <si>
    <t>K053,U6975</t>
  </si>
  <si>
    <t>K045,K092</t>
  </si>
  <si>
    <t>I10,E118,E790,J459,H609</t>
  </si>
  <si>
    <t>J440,J189,E660,G403,I10</t>
  </si>
  <si>
    <t>J440,J189,G403,I10,E662,E785</t>
  </si>
  <si>
    <t>J320,D233</t>
  </si>
  <si>
    <t>K851,K802,I10,E785,K869</t>
  </si>
  <si>
    <t>U071,C911,D849,D649</t>
  </si>
  <si>
    <t>U071,Z290,C911</t>
  </si>
  <si>
    <t>C911,D849,U099</t>
  </si>
  <si>
    <t>V4091,J952,S3670,S2240,S7290,T068</t>
  </si>
  <si>
    <t>K432,I10</t>
  </si>
  <si>
    <t>S867</t>
  </si>
  <si>
    <t>W3199,S851,S840,W0190</t>
  </si>
  <si>
    <t>Z818,Z720</t>
  </si>
  <si>
    <t>Z940,I151,N258,I672</t>
  </si>
  <si>
    <t>U071,E86,Z290</t>
  </si>
  <si>
    <t>J168,J9600,U071,J459,F059</t>
  </si>
  <si>
    <t>J370</t>
  </si>
  <si>
    <t>J381,I10,E785</t>
  </si>
  <si>
    <t>E119,E660</t>
  </si>
  <si>
    <t>E46,U6975,F920</t>
  </si>
  <si>
    <t>C20,K650,I958,K833</t>
  </si>
  <si>
    <t>C029</t>
  </si>
  <si>
    <t>K083,Z431</t>
  </si>
  <si>
    <t>D252</t>
  </si>
  <si>
    <t>U6975,N390,I10</t>
  </si>
  <si>
    <t>D611,N300,Z942,G821,L892</t>
  </si>
  <si>
    <t>Z942,G821,L892,E039,I10,E118</t>
  </si>
  <si>
    <t>B485,J172,Z942,N300,E118,I10</t>
  </si>
  <si>
    <t>Z942,R11,G821,E039,I10</t>
  </si>
  <si>
    <t>Z942,G821,E039,E118,I10</t>
  </si>
  <si>
    <t>Z942,G821,E039,I10,U6975</t>
  </si>
  <si>
    <t>L893</t>
  </si>
  <si>
    <t>Z942,N300,E138,G821,E039</t>
  </si>
  <si>
    <t>L893,Z942,G821,E039</t>
  </si>
  <si>
    <t>I10,J459,R91</t>
  </si>
  <si>
    <t>E834</t>
  </si>
  <si>
    <t>J352,I10,E785,E790</t>
  </si>
  <si>
    <t>G473,I10,J448,E660,E118</t>
  </si>
  <si>
    <t>M2326,M171</t>
  </si>
  <si>
    <t>E669,I10</t>
  </si>
  <si>
    <t>N924</t>
  </si>
  <si>
    <t>J9600,U071,E118,F209,I10,Z290</t>
  </si>
  <si>
    <t>F510,R252,R451,U6975</t>
  </si>
  <si>
    <t>M169,Z988,M4302,K760</t>
  </si>
  <si>
    <t>E039,Z480</t>
  </si>
  <si>
    <t>I10,K802,K760,E86,U6975</t>
  </si>
  <si>
    <t>M750,M751</t>
  </si>
  <si>
    <t>H103,B001</t>
  </si>
  <si>
    <t>U071,C821,Z978</t>
  </si>
  <si>
    <t>E660,U099,N182,M457,E790,I10</t>
  </si>
  <si>
    <t>W4404,I808</t>
  </si>
  <si>
    <t>J9611,G473,I10,E119</t>
  </si>
  <si>
    <t>I10,T818</t>
  </si>
  <si>
    <t>E109,I259,E785</t>
  </si>
  <si>
    <t>G401,E782,F412,Q211,E559</t>
  </si>
  <si>
    <t>M8180,U6975</t>
  </si>
  <si>
    <t>D170</t>
  </si>
  <si>
    <t>E103,H360,Z961,I10,Z992,E790</t>
  </si>
  <si>
    <t>D441</t>
  </si>
  <si>
    <t>I152</t>
  </si>
  <si>
    <t>U071,Z290,E115,I482,I420</t>
  </si>
  <si>
    <t>I693,E789</t>
  </si>
  <si>
    <t>L038</t>
  </si>
  <si>
    <t>I10,E86,U6975</t>
  </si>
  <si>
    <t>N995,R000,E43,G10,N209</t>
  </si>
  <si>
    <t>E107,Z964,Z940,I151,E210,H262</t>
  </si>
  <si>
    <t>H350,E107,Z964,Z940,H360,I151</t>
  </si>
  <si>
    <t>G439</t>
  </si>
  <si>
    <t>I10,Z731,U6975</t>
  </si>
  <si>
    <t>U071,E722,I444,D688</t>
  </si>
  <si>
    <t>F412,M5422,M5456</t>
  </si>
  <si>
    <t>S761</t>
  </si>
  <si>
    <t>W0042,E790,E118</t>
  </si>
  <si>
    <t>R201</t>
  </si>
  <si>
    <t>G992,I10,J459,R730</t>
  </si>
  <si>
    <t>G048,M170,U6975,U5030</t>
  </si>
  <si>
    <t>G049</t>
  </si>
  <si>
    <t>M2424</t>
  </si>
  <si>
    <t>V990</t>
  </si>
  <si>
    <t>I10,I693</t>
  </si>
  <si>
    <t>I10,E113,U6975</t>
  </si>
  <si>
    <t>I10,H749</t>
  </si>
  <si>
    <t>T932</t>
  </si>
  <si>
    <t>W0180,B956</t>
  </si>
  <si>
    <t>M8416</t>
  </si>
  <si>
    <t>W1999,T932</t>
  </si>
  <si>
    <t>I730</t>
  </si>
  <si>
    <t>U071,I10,I839,Z930</t>
  </si>
  <si>
    <t>E660,I10,E118,E785</t>
  </si>
  <si>
    <t>K702,K860,E128</t>
  </si>
  <si>
    <t>K860</t>
  </si>
  <si>
    <t>K702,E128</t>
  </si>
  <si>
    <t>K766,I859,K861,E119</t>
  </si>
  <si>
    <t>E871,U6975,E107</t>
  </si>
  <si>
    <t>C787,K861,U6975,K831,I880</t>
  </si>
  <si>
    <t>U6975,K831,I880,E441</t>
  </si>
  <si>
    <t>K649,F420</t>
  </si>
  <si>
    <t>J448,I10</t>
  </si>
  <si>
    <t>M7105,U6975</t>
  </si>
  <si>
    <t>G992</t>
  </si>
  <si>
    <t>I10,M181</t>
  </si>
  <si>
    <t>K900</t>
  </si>
  <si>
    <t>K061,I209,I10</t>
  </si>
  <si>
    <t>I630,R470,U5010</t>
  </si>
  <si>
    <t>U099,J150,N309,I10,E660</t>
  </si>
  <si>
    <t>U071,J128,I10,E660</t>
  </si>
  <si>
    <t>D730,E804</t>
  </si>
  <si>
    <t>S3600,E804,N398</t>
  </si>
  <si>
    <t>N183,I480,J459</t>
  </si>
  <si>
    <t>Z511,C787,A499</t>
  </si>
  <si>
    <t>I10,F412</t>
  </si>
  <si>
    <t>I10,F328</t>
  </si>
  <si>
    <t>M5498</t>
  </si>
  <si>
    <t>Z630,F334,E038,R520,U6975</t>
  </si>
  <si>
    <t>G473,I258,E118,F319</t>
  </si>
  <si>
    <t>U6975,D320,E222</t>
  </si>
  <si>
    <t>D151</t>
  </si>
  <si>
    <t>E789,E105,I10</t>
  </si>
  <si>
    <t>N609,R104</t>
  </si>
  <si>
    <t>G360</t>
  </si>
  <si>
    <t>M350,M8199,K900,D509</t>
  </si>
  <si>
    <t>M350,M8100,K900,E039,D500</t>
  </si>
  <si>
    <t>R18,D648,E039,E119</t>
  </si>
  <si>
    <t>Z883</t>
  </si>
  <si>
    <t>W0101,I10</t>
  </si>
  <si>
    <t>G114</t>
  </si>
  <si>
    <t>M5450,I10,C73,J459</t>
  </si>
  <si>
    <t>T932,U5020</t>
  </si>
  <si>
    <t>M679</t>
  </si>
  <si>
    <t>N700</t>
  </si>
  <si>
    <t>D015</t>
  </si>
  <si>
    <t>K227,I10,E876</t>
  </si>
  <si>
    <t>S0640</t>
  </si>
  <si>
    <t>W1999,S0660,F100,S0211,S2220</t>
  </si>
  <si>
    <t>L910,D227</t>
  </si>
  <si>
    <t>D509,I10,N850,E660</t>
  </si>
  <si>
    <t>C539</t>
  </si>
  <si>
    <t>F510,U6975,Z598,R600</t>
  </si>
  <si>
    <t>I119,D500,N258</t>
  </si>
  <si>
    <t>I81,E118,I10,K318</t>
  </si>
  <si>
    <t>K622,K623</t>
  </si>
  <si>
    <t>J150,U6975,J450,K500,M5450</t>
  </si>
  <si>
    <t>N608,T810,W9999,D649,I10</t>
  </si>
  <si>
    <t>C770,U6975</t>
  </si>
  <si>
    <t>E042,I10</t>
  </si>
  <si>
    <t>F102,U6975,K709</t>
  </si>
  <si>
    <t>I10,E063,M359,C32</t>
  </si>
  <si>
    <t>G930</t>
  </si>
  <si>
    <t>J952,R600,J029</t>
  </si>
  <si>
    <t>K083,K090,J450,E834,H000</t>
  </si>
  <si>
    <t>Z400</t>
  </si>
  <si>
    <t>F102,Z911,U6975,M7965</t>
  </si>
  <si>
    <t>H350</t>
  </si>
  <si>
    <t>E113,H353,E785,I10</t>
  </si>
  <si>
    <t>E113,E785</t>
  </si>
  <si>
    <t>I10,E118,E785,E790,E660</t>
  </si>
  <si>
    <t>G473,I10,E118,E785,E790,E876</t>
  </si>
  <si>
    <t>C031,M8718,M6248,Z931</t>
  </si>
  <si>
    <t>Z511,C770,C771</t>
  </si>
  <si>
    <t>C770,C771,Z511</t>
  </si>
  <si>
    <t>K083,Z850,Z923,M6248</t>
  </si>
  <si>
    <t>Q667</t>
  </si>
  <si>
    <t>K083,E119,E668,E039,J9609,I10</t>
  </si>
  <si>
    <t>I608</t>
  </si>
  <si>
    <t>G936,I10,I610,J952</t>
  </si>
  <si>
    <t>G811</t>
  </si>
  <si>
    <t>I671,G811,H540,U6975,U5040</t>
  </si>
  <si>
    <t>D611,Z514,C795</t>
  </si>
  <si>
    <t>Q180,J958,Z855,E780,G473,M160</t>
  </si>
  <si>
    <t>J310,J320</t>
  </si>
  <si>
    <t>J310,J342,J320</t>
  </si>
  <si>
    <t>E662,I10,E119,E780</t>
  </si>
  <si>
    <t>H268</t>
  </si>
  <si>
    <t>I514</t>
  </si>
  <si>
    <t>W0100,I10</t>
  </si>
  <si>
    <t>F111,F317,G409,Z818,U6975</t>
  </si>
  <si>
    <t>T435</t>
  </si>
  <si>
    <t>X6311,F317</t>
  </si>
  <si>
    <t>I420,A419,I500</t>
  </si>
  <si>
    <t>I269,M313,N017,N258,J91,I151</t>
  </si>
  <si>
    <t>N017</t>
  </si>
  <si>
    <t>J90,M313,N258,I151</t>
  </si>
  <si>
    <t>J90,N017,N258,I151</t>
  </si>
  <si>
    <t>I269,J90,N017,N258,I151</t>
  </si>
  <si>
    <t>J941,N017,N189,E789,M313</t>
  </si>
  <si>
    <t>W1301,S901,F100</t>
  </si>
  <si>
    <t>H252</t>
  </si>
  <si>
    <t>E118,I10,I482,E038</t>
  </si>
  <si>
    <t>R91</t>
  </si>
  <si>
    <t>J448,J459,E662,E118</t>
  </si>
  <si>
    <t>N183,I119,Z966,E790</t>
  </si>
  <si>
    <t>I10,E790,G473</t>
  </si>
  <si>
    <t>I509,R402</t>
  </si>
  <si>
    <t>J9600,I269,N390,I10,U099,K868</t>
  </si>
  <si>
    <t>J988,I269,U099,U5010</t>
  </si>
  <si>
    <t>F102,I10,E785</t>
  </si>
  <si>
    <t>C439,E785,I693</t>
  </si>
  <si>
    <t>U6975,Z511,R509,E834,D70</t>
  </si>
  <si>
    <t>N832,N924</t>
  </si>
  <si>
    <t>M8198</t>
  </si>
  <si>
    <t>E559,D509,K900,D829,K769,U6975</t>
  </si>
  <si>
    <t>M8320</t>
  </si>
  <si>
    <t>K900,E835</t>
  </si>
  <si>
    <t>G919,I671,J952</t>
  </si>
  <si>
    <t>Q639,I10,G409,H408,E039,K219</t>
  </si>
  <si>
    <t>Q639,I10,G409,H408,K219</t>
  </si>
  <si>
    <t>J459,T818,W9999</t>
  </si>
  <si>
    <t>G832</t>
  </si>
  <si>
    <t>I10,E782,K700</t>
  </si>
  <si>
    <t>L020,I10</t>
  </si>
  <si>
    <t>W0101,S8280</t>
  </si>
  <si>
    <t>F412,G479</t>
  </si>
  <si>
    <t>L281</t>
  </si>
  <si>
    <t>N085,T784,I688,E559,D591</t>
  </si>
  <si>
    <t>N085,I688,E559,D591,H269</t>
  </si>
  <si>
    <t>C340,F04,Z515</t>
  </si>
  <si>
    <t>Z480</t>
  </si>
  <si>
    <t>M4200,I839</t>
  </si>
  <si>
    <t>Q623,Z988</t>
  </si>
  <si>
    <t>M162</t>
  </si>
  <si>
    <t>E039,I872,D685</t>
  </si>
  <si>
    <t>E039,D649,U6975,Z038</t>
  </si>
  <si>
    <t>Z511,C188</t>
  </si>
  <si>
    <t>Z511,C787,U6975,Z290</t>
  </si>
  <si>
    <t>C188,Z511</t>
  </si>
  <si>
    <t>D860,C182,Z511</t>
  </si>
  <si>
    <t>I10,E119,I489,C787</t>
  </si>
  <si>
    <t>N181,E785,G35,F063</t>
  </si>
  <si>
    <t>D691</t>
  </si>
  <si>
    <t>M5422,G608,D180</t>
  </si>
  <si>
    <t>Z952,Z921,E038,G379,J448,F172</t>
  </si>
  <si>
    <t>I269,E039</t>
  </si>
  <si>
    <t>N342,D729</t>
  </si>
  <si>
    <t>R402,J9609,D62</t>
  </si>
  <si>
    <t>E876,U6975</t>
  </si>
  <si>
    <t>K802,M0598,U6975</t>
  </si>
  <si>
    <t>I808,K850,M0694</t>
  </si>
  <si>
    <t>N189,I10,E785,I259</t>
  </si>
  <si>
    <t>E211</t>
  </si>
  <si>
    <t>N189,I770,Z490,I10</t>
  </si>
  <si>
    <t>B962,I269,E107,I219,G638</t>
  </si>
  <si>
    <t>F444,K590,M5459,U6975</t>
  </si>
  <si>
    <t>W0100,B956</t>
  </si>
  <si>
    <t>M2416,M2406,M0690</t>
  </si>
  <si>
    <t>I859,G621,K210,F102</t>
  </si>
  <si>
    <t>M752,M1901,E038,M1900</t>
  </si>
  <si>
    <t>E114,I10,E785,E669,K739</t>
  </si>
  <si>
    <t>Z514,E119,I10</t>
  </si>
  <si>
    <t>I802,H409</t>
  </si>
  <si>
    <t>D339</t>
  </si>
  <si>
    <t>V4709,S2780,S2720,S3600</t>
  </si>
  <si>
    <t>G551</t>
  </si>
  <si>
    <t>Z290,U071,J128</t>
  </si>
  <si>
    <t>I10,E118,E782,E790</t>
  </si>
  <si>
    <t>S2250</t>
  </si>
  <si>
    <t>W1999,S3610,J938,K661,J9601</t>
  </si>
  <si>
    <t>S1220</t>
  </si>
  <si>
    <t>W1501,S2200,F100</t>
  </si>
  <si>
    <t>K650,T813</t>
  </si>
  <si>
    <t>K083,H408,I839,J459</t>
  </si>
  <si>
    <t>K760,I10,E660</t>
  </si>
  <si>
    <t>U6975,D751,E876,I489,E660,I10</t>
  </si>
  <si>
    <t>I481,E785,I501,I10</t>
  </si>
  <si>
    <t>I739</t>
  </si>
  <si>
    <t>U6975,C099</t>
  </si>
  <si>
    <t>A519</t>
  </si>
  <si>
    <t>Z290</t>
  </si>
  <si>
    <t>T921,U6975,U5010</t>
  </si>
  <si>
    <t>S5201</t>
  </si>
  <si>
    <t>W0189,I10</t>
  </si>
  <si>
    <t>L732</t>
  </si>
  <si>
    <t>K567,K660,I10,T814,Y839</t>
  </si>
  <si>
    <t>K929,J189</t>
  </si>
  <si>
    <t>J958,E118,J449</t>
  </si>
  <si>
    <t>G638,E782</t>
  </si>
  <si>
    <t>E114,I259,E782</t>
  </si>
  <si>
    <t>F510,Z634,Z563,U6975</t>
  </si>
  <si>
    <t>H163</t>
  </si>
  <si>
    <t>H191,U6975</t>
  </si>
  <si>
    <t>M750,U5010</t>
  </si>
  <si>
    <t>I10,R739</t>
  </si>
  <si>
    <t>W0180,E660</t>
  </si>
  <si>
    <t>K011,K083</t>
  </si>
  <si>
    <t>G470</t>
  </si>
  <si>
    <t>U6975,E46,Z988</t>
  </si>
  <si>
    <t>J128,U071,Z290,J9690,K869</t>
  </si>
  <si>
    <t>E118,E789</t>
  </si>
  <si>
    <t>I351,I440</t>
  </si>
  <si>
    <t>F400,F410,I10,K277</t>
  </si>
  <si>
    <t>H521,H400,I10,M350</t>
  </si>
  <si>
    <t>U099,J9600,N390,B002,I313,F411</t>
  </si>
  <si>
    <t>M1910</t>
  </si>
  <si>
    <t>K635,K625</t>
  </si>
  <si>
    <t>T933,M8907,U5010</t>
  </si>
  <si>
    <t>U6975,Z930,N390,Z931,E876,G408</t>
  </si>
  <si>
    <t>F252</t>
  </si>
  <si>
    <t>D211</t>
  </si>
  <si>
    <t>I10,M5499</t>
  </si>
  <si>
    <t>L405,M0700,A748,E038,J450</t>
  </si>
  <si>
    <t>L509,U6975</t>
  </si>
  <si>
    <t>M753</t>
  </si>
  <si>
    <t>K250,I10</t>
  </si>
  <si>
    <t>K122,K083,U6975</t>
  </si>
  <si>
    <t>I10,E063</t>
  </si>
  <si>
    <t>W0190,S3200,S6260,S608</t>
  </si>
  <si>
    <t>L719</t>
  </si>
  <si>
    <t>I10,H102</t>
  </si>
  <si>
    <t>U6975,T923</t>
  </si>
  <si>
    <t>I10,E039,E118</t>
  </si>
  <si>
    <t>F259,E079,C501</t>
  </si>
  <si>
    <t>I10,E118,Z904</t>
  </si>
  <si>
    <t>M2416,M2351,E038</t>
  </si>
  <si>
    <t>N10,I350,K590,J459,I872</t>
  </si>
  <si>
    <t>T814,Y839</t>
  </si>
  <si>
    <t>U071,J9600,I10,J458,E662,A419</t>
  </si>
  <si>
    <t>I676,M500,N342,U5030</t>
  </si>
  <si>
    <t>M4802,E039,G438</t>
  </si>
  <si>
    <t>J9600,U071,A418,A047,Z930</t>
  </si>
  <si>
    <t>D390</t>
  </si>
  <si>
    <t>H958,E063,I831</t>
  </si>
  <si>
    <t>N608</t>
  </si>
  <si>
    <t>H653,U6975</t>
  </si>
  <si>
    <t>H701,J459,J320</t>
  </si>
  <si>
    <t>K629,I10</t>
  </si>
  <si>
    <t>S2230,R600,I10,E559,E660,U6975</t>
  </si>
  <si>
    <t>R730,E568</t>
  </si>
  <si>
    <t>R730</t>
  </si>
  <si>
    <t>R001,R730</t>
  </si>
  <si>
    <t>E780,Z998,I10,G632</t>
  </si>
  <si>
    <t>E138,E782,K219,I10</t>
  </si>
  <si>
    <t>R572,E118,I10,E789</t>
  </si>
  <si>
    <t>K863,E119,E785,I10</t>
  </si>
  <si>
    <t>I10,E790,N300,I428</t>
  </si>
  <si>
    <t>I429,I10</t>
  </si>
  <si>
    <t>W0189,S010,G409,D62</t>
  </si>
  <si>
    <t>S800</t>
  </si>
  <si>
    <t>W1299</t>
  </si>
  <si>
    <t>I159,E785</t>
  </si>
  <si>
    <t>M4636</t>
  </si>
  <si>
    <t>B956,N185,Z992,N258,I151</t>
  </si>
  <si>
    <t>N185,B956,Z992,N258,I151</t>
  </si>
  <si>
    <t>K579,T814</t>
  </si>
  <si>
    <t>U6975,T860,D695,D630,Z978,C443</t>
  </si>
  <si>
    <t>C859,E114,E785</t>
  </si>
  <si>
    <t>U071,Z880</t>
  </si>
  <si>
    <t>S431</t>
  </si>
  <si>
    <t>W0101,S2240,S2220,S2720,S0600</t>
  </si>
  <si>
    <t>N134</t>
  </si>
  <si>
    <t>N289</t>
  </si>
  <si>
    <t>K635,K317,I10,D500,U6975</t>
  </si>
  <si>
    <t>E034,J449,J959,K631,A419</t>
  </si>
  <si>
    <t>G128</t>
  </si>
  <si>
    <t>I10,U071</t>
  </si>
  <si>
    <t>E038,U6975</t>
  </si>
  <si>
    <t>W0100,S310,I10,G473</t>
  </si>
  <si>
    <t>K642,F102,F104</t>
  </si>
  <si>
    <t>R739,D751,E660,F920,E785</t>
  </si>
  <si>
    <t>J860</t>
  </si>
  <si>
    <t>J938,J156</t>
  </si>
  <si>
    <t>D62,I982,K766,E119,I10</t>
  </si>
  <si>
    <t>K766,I850,K703,U6975,E119</t>
  </si>
  <si>
    <t>I859,K703,K290</t>
  </si>
  <si>
    <t>E788</t>
  </si>
  <si>
    <t>S4210</t>
  </si>
  <si>
    <t>Y2902,S010,S0601,U6975</t>
  </si>
  <si>
    <t>I259,J189,N179,D65,J9600</t>
  </si>
  <si>
    <t>I660,I634,U5020</t>
  </si>
  <si>
    <t>I660,J189,J9690</t>
  </si>
  <si>
    <t>Z961,I259</t>
  </si>
  <si>
    <t>N289,U6975,I10,B961,N312</t>
  </si>
  <si>
    <t>L97,E117,I10,E782</t>
  </si>
  <si>
    <t>L97,E115,I10</t>
  </si>
  <si>
    <t>I7021,E115,I10</t>
  </si>
  <si>
    <t>E115,I10,L97</t>
  </si>
  <si>
    <t>Z896,E107,U5010</t>
  </si>
  <si>
    <t>C210</t>
  </si>
  <si>
    <t>I743,I10</t>
  </si>
  <si>
    <t>I359</t>
  </si>
  <si>
    <t>J988,N181</t>
  </si>
  <si>
    <t>Z290,U071,E789,N182</t>
  </si>
  <si>
    <t>U6975,D62,C349,L400</t>
  </si>
  <si>
    <t>T918,U5000</t>
  </si>
  <si>
    <t>B027,H603,I10,U6975</t>
  </si>
  <si>
    <t>E662,J449,I10</t>
  </si>
  <si>
    <t>M512,G551,E039</t>
  </si>
  <si>
    <t>F412,H409</t>
  </si>
  <si>
    <t>I633,G811</t>
  </si>
  <si>
    <t>K219,E038,R002,M5499,E660</t>
  </si>
  <si>
    <t>M5489,K219,G439,I499</t>
  </si>
  <si>
    <t>J958,K862</t>
  </si>
  <si>
    <t>U6975,E785</t>
  </si>
  <si>
    <t>F252,U6975</t>
  </si>
  <si>
    <t>W0180,T928</t>
  </si>
  <si>
    <t>O680,O13,O244,Z292</t>
  </si>
  <si>
    <t>I10,N309,U099,A047,U071,J9600</t>
  </si>
  <si>
    <t>W1999,U071,Z228,Z290,I10</t>
  </si>
  <si>
    <t>K767,R18,E43,E871,G934</t>
  </si>
  <si>
    <t>J80,U071,J9600,N179,E106,Z290</t>
  </si>
  <si>
    <t>J321</t>
  </si>
  <si>
    <t>J342,J320,M0699,M459,J459</t>
  </si>
  <si>
    <t>J448,G473,I10,R000,E038</t>
  </si>
  <si>
    <t>G473,J448,I10,R000,E038</t>
  </si>
  <si>
    <t>Z424</t>
  </si>
  <si>
    <t>I7021,E115,I259,I10</t>
  </si>
  <si>
    <t>H150</t>
  </si>
  <si>
    <t>Z512,I10,E139</t>
  </si>
  <si>
    <t>I158,E138</t>
  </si>
  <si>
    <t>Z512,I10,E118,E782,E669</t>
  </si>
  <si>
    <t>I10,E113,E785,Z512</t>
  </si>
  <si>
    <t>Z512,E118,I10,E782,E669</t>
  </si>
  <si>
    <t>F510,Z634,U6975</t>
  </si>
  <si>
    <t>M201,M2322,U6975</t>
  </si>
  <si>
    <t>M5400</t>
  </si>
  <si>
    <t>M158,E038,E559,G560</t>
  </si>
  <si>
    <t>E107,Z940,Z948,I10,E063</t>
  </si>
  <si>
    <t>E249</t>
  </si>
  <si>
    <t>T784,I780,E063</t>
  </si>
  <si>
    <t>U071,Z290,T784,D62,I780</t>
  </si>
  <si>
    <t>T784</t>
  </si>
  <si>
    <t>Y899,E063</t>
  </si>
  <si>
    <t>F101,M5499,K590,S518,X6108</t>
  </si>
  <si>
    <t>K045,E789,U6975</t>
  </si>
  <si>
    <t>S531</t>
  </si>
  <si>
    <t>W1999,S132,S1210,S5250,S532,U6975</t>
  </si>
  <si>
    <t>D686,F920,T810</t>
  </si>
  <si>
    <t>I10,E790,N189,Z490</t>
  </si>
  <si>
    <t>C099,T818,J958,J940,Z513,K900</t>
  </si>
  <si>
    <t>U6975,K590,Z635,Z818</t>
  </si>
  <si>
    <t>S6261</t>
  </si>
  <si>
    <t>Y2803,S661,S644,S610,W2981,U6975</t>
  </si>
  <si>
    <t>W2281,U6975</t>
  </si>
  <si>
    <t>E785,H314</t>
  </si>
  <si>
    <t>S051</t>
  </si>
  <si>
    <t>W2241,H330,S011,H313,H431</t>
  </si>
  <si>
    <t>J450,I10,D759</t>
  </si>
  <si>
    <t>G632,I10,U6974,E782</t>
  </si>
  <si>
    <t>W2462</t>
  </si>
  <si>
    <t>K820,Z514</t>
  </si>
  <si>
    <t>E119,I10,E785,E668</t>
  </si>
  <si>
    <t>M2321,M2416</t>
  </si>
  <si>
    <t>J958,J384,J390,I10,I259,E660</t>
  </si>
  <si>
    <t>D369</t>
  </si>
  <si>
    <t>D839</t>
  </si>
  <si>
    <t>D761,D70,A408,B343,J188,U6975</t>
  </si>
  <si>
    <t>A046,I10</t>
  </si>
  <si>
    <t>M5449</t>
  </si>
  <si>
    <t>D649,C797,Z515,E871,I251</t>
  </si>
  <si>
    <t>G936,E876,R51,F079,R739</t>
  </si>
  <si>
    <t>W0181,S2230,J459</t>
  </si>
  <si>
    <t>V1981,T798</t>
  </si>
  <si>
    <t>V1812</t>
  </si>
  <si>
    <t>I10,E782,E660,G473,E162</t>
  </si>
  <si>
    <t>I10,E782,G473,E669</t>
  </si>
  <si>
    <t>J14</t>
  </si>
  <si>
    <t>J160,N300,B964,F718,G406</t>
  </si>
  <si>
    <t>C181</t>
  </si>
  <si>
    <t>M512,U5010</t>
  </si>
  <si>
    <t>I456</t>
  </si>
  <si>
    <t>E039,E669</t>
  </si>
  <si>
    <t>W1990,S3200</t>
  </si>
  <si>
    <t>A210</t>
  </si>
  <si>
    <t>J150,E86</t>
  </si>
  <si>
    <t>E785,I10,J459,K760,E669</t>
  </si>
  <si>
    <t>J128,U071,I10,E660</t>
  </si>
  <si>
    <t>K263,I10</t>
  </si>
  <si>
    <t>U071,J9600,E660,J170,Z290,J939</t>
  </si>
  <si>
    <t>U6975,Z988</t>
  </si>
  <si>
    <t>U071,D693,E118,I110</t>
  </si>
  <si>
    <t>J840</t>
  </si>
  <si>
    <t>M2440,M751</t>
  </si>
  <si>
    <t>Z511,Z948,D70,D695,D630,A498</t>
  </si>
  <si>
    <t>M678</t>
  </si>
  <si>
    <t>E079</t>
  </si>
  <si>
    <t>U071,J459</t>
  </si>
  <si>
    <t>G992,E039</t>
  </si>
  <si>
    <t>G478</t>
  </si>
  <si>
    <t>I10,M5447</t>
  </si>
  <si>
    <t>I10,M5446</t>
  </si>
  <si>
    <t>K851,K509</t>
  </si>
  <si>
    <t>L040,I10,E785</t>
  </si>
  <si>
    <t>I10,E785,L409</t>
  </si>
  <si>
    <t>D121</t>
  </si>
  <si>
    <t>G551,I839</t>
  </si>
  <si>
    <t>E039,M159</t>
  </si>
  <si>
    <t>J418</t>
  </si>
  <si>
    <t>N390,I10</t>
  </si>
  <si>
    <t>M7712</t>
  </si>
  <si>
    <t>I259,M6248</t>
  </si>
  <si>
    <t>M0590,J990</t>
  </si>
  <si>
    <t>E039,R11</t>
  </si>
  <si>
    <t>G970</t>
  </si>
  <si>
    <t>G440,E782</t>
  </si>
  <si>
    <t>Z908,E063,E660</t>
  </si>
  <si>
    <t>U071,Z290,J459</t>
  </si>
  <si>
    <t>K265</t>
  </si>
  <si>
    <t>R104,K271,K650</t>
  </si>
  <si>
    <t>G451,I269,E782,L405</t>
  </si>
  <si>
    <t>M5499,I10</t>
  </si>
  <si>
    <t>M329,E782,J42,I259,I10</t>
  </si>
  <si>
    <t>J301,J342</t>
  </si>
  <si>
    <t>G578,U5000</t>
  </si>
  <si>
    <t>N185,I259,E107</t>
  </si>
  <si>
    <t>W0111,S000</t>
  </si>
  <si>
    <t>C786,J958,K632</t>
  </si>
  <si>
    <t>C488,D136</t>
  </si>
  <si>
    <t>I10,J952,I958</t>
  </si>
  <si>
    <t>K649,I10,I259</t>
  </si>
  <si>
    <t>I10,M2534</t>
  </si>
  <si>
    <t>K802,E039</t>
  </si>
  <si>
    <t>Z942,U6975,U072,E112,N184</t>
  </si>
  <si>
    <t>G408,I10</t>
  </si>
  <si>
    <t>D751,I10</t>
  </si>
  <si>
    <t>F068,F172,R522</t>
  </si>
  <si>
    <t>T902,Y0481</t>
  </si>
  <si>
    <t>W0190,C921</t>
  </si>
  <si>
    <t>K831,I10</t>
  </si>
  <si>
    <t>W1991,I10,W2281</t>
  </si>
  <si>
    <t>M171,M2147</t>
  </si>
  <si>
    <t>L893,L892,I489,I10,E118</t>
  </si>
  <si>
    <t>J9600,I500,N179,I490,I472</t>
  </si>
  <si>
    <t>I339,E118</t>
  </si>
  <si>
    <t>I255,I480</t>
  </si>
  <si>
    <t>I7020,Z950,I481</t>
  </si>
  <si>
    <t>U071,Z290,N309</t>
  </si>
  <si>
    <t>I7020,G629,U099,I259</t>
  </si>
  <si>
    <t>T0281</t>
  </si>
  <si>
    <t>V2399,S7231,S8221,S4240,S3600</t>
  </si>
  <si>
    <t>J841,J47,U6975</t>
  </si>
  <si>
    <t>M752,M751</t>
  </si>
  <si>
    <t>F192,F200,E119,M5457,U6975</t>
  </si>
  <si>
    <t>C382</t>
  </si>
  <si>
    <t>D384</t>
  </si>
  <si>
    <t>U071,Z290,G473,E660,I10</t>
  </si>
  <si>
    <t>S2720</t>
  </si>
  <si>
    <t>V4409,S2240,S008,S619</t>
  </si>
  <si>
    <t>I10,R91</t>
  </si>
  <si>
    <t>W1999,S010,U6975</t>
  </si>
  <si>
    <t>G473,E039</t>
  </si>
  <si>
    <t>K701,S7200,J188,J9600</t>
  </si>
  <si>
    <t>J180,K701,K858,I489,F101</t>
  </si>
  <si>
    <t>J90,U071,I10</t>
  </si>
  <si>
    <t>U071,Z290,K719</t>
  </si>
  <si>
    <t>M5302,M5446</t>
  </si>
  <si>
    <t>C494</t>
  </si>
  <si>
    <t>I481,I10,I720</t>
  </si>
  <si>
    <t>D67</t>
  </si>
  <si>
    <t>D212,J301,T810,U6975</t>
  </si>
  <si>
    <t>N23,U6975,I10</t>
  </si>
  <si>
    <t>I10,K760</t>
  </si>
  <si>
    <t>M175,M2322</t>
  </si>
  <si>
    <t>F411,F231</t>
  </si>
  <si>
    <t>G030,A692,E063</t>
  </si>
  <si>
    <t>G409,U071,Z290</t>
  </si>
  <si>
    <t>F400</t>
  </si>
  <si>
    <t>F410,F411,E668,E119,U6975</t>
  </si>
  <si>
    <t>W0190,S8220,U6975</t>
  </si>
  <si>
    <t>M7227</t>
  </si>
  <si>
    <t>F410,F132,Z915,I10,U6975</t>
  </si>
  <si>
    <t>J958,K509,R600,I10</t>
  </si>
  <si>
    <t>N751</t>
  </si>
  <si>
    <t>E785,E790</t>
  </si>
  <si>
    <t>M8418</t>
  </si>
  <si>
    <t>G439,K449</t>
  </si>
  <si>
    <t>J958,E662,U089</t>
  </si>
  <si>
    <t>K638</t>
  </si>
  <si>
    <t>R202,E559,M5490</t>
  </si>
  <si>
    <t>S2710</t>
  </si>
  <si>
    <t>W0180,S2240,S3281</t>
  </si>
  <si>
    <t>X8009,S2240,S2700,S3600,S3250</t>
  </si>
  <si>
    <t>J9609,U071,A047</t>
  </si>
  <si>
    <t>A099,M511</t>
  </si>
  <si>
    <t>E039,E660</t>
  </si>
  <si>
    <t>E039,L409</t>
  </si>
  <si>
    <t>J330,H409</t>
  </si>
  <si>
    <t>C432</t>
  </si>
  <si>
    <t>Z514,K754</t>
  </si>
  <si>
    <t>M750,M7712</t>
  </si>
  <si>
    <t>M8406</t>
  </si>
  <si>
    <t>W0100,S8221</t>
  </si>
  <si>
    <t>F412,E660</t>
  </si>
  <si>
    <t>I730,M8140,E038,F419,M5480</t>
  </si>
  <si>
    <t>E46,E871,E876,N390</t>
  </si>
  <si>
    <t>M509,M518,M0599</t>
  </si>
  <si>
    <t>N72</t>
  </si>
  <si>
    <t>I10,N920</t>
  </si>
  <si>
    <t>N879</t>
  </si>
  <si>
    <t>D62,G910</t>
  </si>
  <si>
    <t>D329</t>
  </si>
  <si>
    <t>U071,E039</t>
  </si>
  <si>
    <t>J128,U071,Z290,H438,D320,E200</t>
  </si>
  <si>
    <t>J952,D62,I10</t>
  </si>
  <si>
    <t>U6975,E039,G408</t>
  </si>
  <si>
    <t>E669,D320</t>
  </si>
  <si>
    <t>G919,J129,D62,E039,G403,E669</t>
  </si>
  <si>
    <t>R600,J069,E039</t>
  </si>
  <si>
    <t>I10,E118,E785,J448,J459,F412</t>
  </si>
  <si>
    <t>M7713</t>
  </si>
  <si>
    <t>Q189</t>
  </si>
  <si>
    <t>T810,I10,E039,Z881</t>
  </si>
  <si>
    <t>Z511,D70,D695,A419,Z948</t>
  </si>
  <si>
    <t>K083,K045,E078,M6248</t>
  </si>
  <si>
    <t>T427</t>
  </si>
  <si>
    <t>I10,E039,J450</t>
  </si>
  <si>
    <t>C902</t>
  </si>
  <si>
    <t>Z948,Z511,R11,D70</t>
  </si>
  <si>
    <t>D331</t>
  </si>
  <si>
    <t>E039,F410,H532,G936,G935</t>
  </si>
  <si>
    <t>Z511,E039,R11,U6975</t>
  </si>
  <si>
    <t>W1900</t>
  </si>
  <si>
    <t>F339,M5490,I10,E119</t>
  </si>
  <si>
    <t>E039,M8199,K210,D134</t>
  </si>
  <si>
    <t>F450,Z731,U6975</t>
  </si>
  <si>
    <t>F101,Z731,U6975</t>
  </si>
  <si>
    <t>G551,G628</t>
  </si>
  <si>
    <t>W0180,T008,S0220,S307</t>
  </si>
  <si>
    <t>K564,K858</t>
  </si>
  <si>
    <t>I81,E871,F101</t>
  </si>
  <si>
    <t>S5280</t>
  </si>
  <si>
    <t>F412,M8140,R730</t>
  </si>
  <si>
    <t>F412,M8140</t>
  </si>
  <si>
    <t>F412,M8199</t>
  </si>
  <si>
    <t>W1999,S800,S501,S000,F100</t>
  </si>
  <si>
    <t>A692,A748</t>
  </si>
  <si>
    <t>I514,J9600,J069</t>
  </si>
  <si>
    <t>W1202,S098,U6975,R402,J952</t>
  </si>
  <si>
    <t>L040,Z886,I10</t>
  </si>
  <si>
    <t>I10,E118,E780</t>
  </si>
  <si>
    <t>E660,E119,I10,J42,E834</t>
  </si>
  <si>
    <t>W1002</t>
  </si>
  <si>
    <t>H506</t>
  </si>
  <si>
    <t>H052,I10,E271,E039,H400</t>
  </si>
  <si>
    <t>D360,I10,Z988</t>
  </si>
  <si>
    <t>F419,I10</t>
  </si>
  <si>
    <t>F419,I10,E834</t>
  </si>
  <si>
    <t>I489,N19,Z905,F058,F55</t>
  </si>
  <si>
    <t>I501,I236,I259,I472</t>
  </si>
  <si>
    <t>F100,F102,U6975,I10</t>
  </si>
  <si>
    <t>U071,G473,G628,M0704</t>
  </si>
  <si>
    <t>G628,J128,U099,G473</t>
  </si>
  <si>
    <t>W0000,U6975,S837</t>
  </si>
  <si>
    <t>W0181,S8270,U6975,S460</t>
  </si>
  <si>
    <t>I420,I10,I480</t>
  </si>
  <si>
    <t>R161,I10,E785,E118,K819</t>
  </si>
  <si>
    <t>F102,U6975,K709,D696</t>
  </si>
  <si>
    <t>R000</t>
  </si>
  <si>
    <t>N483</t>
  </si>
  <si>
    <t>U071,E86,Z290,T455,Y442</t>
  </si>
  <si>
    <t>I10,E669,E118,E782</t>
  </si>
  <si>
    <t>E138</t>
  </si>
  <si>
    <t>E162,J459,K861</t>
  </si>
  <si>
    <t>N994,E669</t>
  </si>
  <si>
    <t>K720</t>
  </si>
  <si>
    <t>G934,D688,K501</t>
  </si>
  <si>
    <t>H445</t>
  </si>
  <si>
    <t>H405,G409,F329,H168,Z961</t>
  </si>
  <si>
    <t>U071,L309</t>
  </si>
  <si>
    <t>K760,J188</t>
  </si>
  <si>
    <t>J352,K900,C509</t>
  </si>
  <si>
    <t>H722,C505,K900,H901</t>
  </si>
  <si>
    <t>G473,I10,E119,E039,I500</t>
  </si>
  <si>
    <t>U071,J9690</t>
  </si>
  <si>
    <t>K851,D689</t>
  </si>
  <si>
    <t>I808,I10,E660</t>
  </si>
  <si>
    <t>W0100,S200</t>
  </si>
  <si>
    <t>F069</t>
  </si>
  <si>
    <t>F259,F700,I10</t>
  </si>
  <si>
    <t>G960,U6975,E114,E785,E039</t>
  </si>
  <si>
    <t>U6975,E114,E785,E039,I10,G935</t>
  </si>
  <si>
    <t>W1999,S634</t>
  </si>
  <si>
    <t>Z305</t>
  </si>
  <si>
    <t>O998,O992</t>
  </si>
  <si>
    <t>U071,Z290,D860</t>
  </si>
  <si>
    <t>M5301,A692,F419</t>
  </si>
  <si>
    <t>J951,G936,I10</t>
  </si>
  <si>
    <t>G969</t>
  </si>
  <si>
    <t>J418,K219</t>
  </si>
  <si>
    <t>N61</t>
  </si>
  <si>
    <t>T813,W9999</t>
  </si>
  <si>
    <t>E108</t>
  </si>
  <si>
    <t>E86,N300,K210</t>
  </si>
  <si>
    <t>K210,K297,G638</t>
  </si>
  <si>
    <t>F412,E559</t>
  </si>
  <si>
    <t>M8647</t>
  </si>
  <si>
    <t>M8417</t>
  </si>
  <si>
    <t>T936</t>
  </si>
  <si>
    <t>M8411</t>
  </si>
  <si>
    <t>W1969,U6975</t>
  </si>
  <si>
    <t>T928,U6975,U5010</t>
  </si>
  <si>
    <t>F102,U6975,I10</t>
  </si>
  <si>
    <t>N028</t>
  </si>
  <si>
    <t>Z492,D500,I119,N185</t>
  </si>
  <si>
    <t>K598,C509</t>
  </si>
  <si>
    <t>C817</t>
  </si>
  <si>
    <t>Z452,Z978,U6975</t>
  </si>
  <si>
    <t>Z511,C778,C793,C787</t>
  </si>
  <si>
    <t>C787,C778,Z511,C793</t>
  </si>
  <si>
    <t>Z514,C787,C778,C793</t>
  </si>
  <si>
    <t>Z510,C793,C778</t>
  </si>
  <si>
    <t>Z514,C508,C778,I269</t>
  </si>
  <si>
    <t>Z511,C793,C778,C798</t>
  </si>
  <si>
    <t>Z992,E038</t>
  </si>
  <si>
    <t>Z940,N185,N068,E038,D686</t>
  </si>
  <si>
    <t>J459,I10,U071,J128</t>
  </si>
  <si>
    <t>E039,E790,E660</t>
  </si>
  <si>
    <t>I10,R001</t>
  </si>
  <si>
    <t>S7230,S3240,S8210,S531,U5040</t>
  </si>
  <si>
    <t>V2742,S8210,S531,S3270</t>
  </si>
  <si>
    <t>W1001,K102,K083</t>
  </si>
  <si>
    <t>Z731,F411</t>
  </si>
  <si>
    <t>K766,I859</t>
  </si>
  <si>
    <t>J320,I10,Q359</t>
  </si>
  <si>
    <t>H182</t>
  </si>
  <si>
    <t>J342,J304</t>
  </si>
  <si>
    <t>A841</t>
  </si>
  <si>
    <t>I872,E118,I10,B351</t>
  </si>
  <si>
    <t>F432,E039,U6975</t>
  </si>
  <si>
    <t>L040,K509,M5489,K802</t>
  </si>
  <si>
    <t>T931,T934,U5010</t>
  </si>
  <si>
    <t>T931,T934,T921,U5000</t>
  </si>
  <si>
    <t>Z511,C780,C782</t>
  </si>
  <si>
    <t>Z511,C782,C780,C771</t>
  </si>
  <si>
    <t>Z511,C782,C778,C780</t>
  </si>
  <si>
    <t>Z511,C782,C780</t>
  </si>
  <si>
    <t>F250</t>
  </si>
  <si>
    <t>F100,R451,U6975</t>
  </si>
  <si>
    <t>F319</t>
  </si>
  <si>
    <t>M2350,M2410</t>
  </si>
  <si>
    <t>U099,J849,M510</t>
  </si>
  <si>
    <t>K358,K660</t>
  </si>
  <si>
    <t>I10,E038,U071,Z290</t>
  </si>
  <si>
    <t>W4991,S0220,I10</t>
  </si>
  <si>
    <t>Y0408,S0220</t>
  </si>
  <si>
    <t>E662,I10</t>
  </si>
  <si>
    <t>K703,E871,E46</t>
  </si>
  <si>
    <t>D292</t>
  </si>
  <si>
    <t>I10,U6975,E785</t>
  </si>
  <si>
    <t>Z511,C780,I10</t>
  </si>
  <si>
    <t>I859,D648,K860</t>
  </si>
  <si>
    <t>K831,K766,D648,D696</t>
  </si>
  <si>
    <t>K860,K830,E138,U071,E440</t>
  </si>
  <si>
    <t>K921</t>
  </si>
  <si>
    <t>D62,K861,K318,K761,K766</t>
  </si>
  <si>
    <t>W1999,U071</t>
  </si>
  <si>
    <t>I10,E669,E109,E785,E790</t>
  </si>
  <si>
    <t>J848,I10,M179,G620,E782</t>
  </si>
  <si>
    <t>U071,Z290,J068</t>
  </si>
  <si>
    <t>Z511,C774</t>
  </si>
  <si>
    <t>M2431</t>
  </si>
  <si>
    <t>W1999,S460,T923,U6975</t>
  </si>
  <si>
    <t>G630,U089,K862,N342,U5040</t>
  </si>
  <si>
    <t>U071,J9600,J459,G629,R739,J150</t>
  </si>
  <si>
    <t>R18,J9600,J958,J158,E117</t>
  </si>
  <si>
    <t>N870</t>
  </si>
  <si>
    <t>J952,T810,G459,I10</t>
  </si>
  <si>
    <t>E039,E660,U6975</t>
  </si>
  <si>
    <t>M750,U6975,U5010</t>
  </si>
  <si>
    <t>J209,F411</t>
  </si>
  <si>
    <t>U071,J459,Z290</t>
  </si>
  <si>
    <t>M5486</t>
  </si>
  <si>
    <t>N801</t>
  </si>
  <si>
    <t>F051</t>
  </si>
  <si>
    <t>I10,E119,E790</t>
  </si>
  <si>
    <t>L040,I10,E119,E669,E282,H905</t>
  </si>
  <si>
    <t>G451</t>
  </si>
  <si>
    <t>K083,E039,Z857</t>
  </si>
  <si>
    <t>I10,E782,K259,F339</t>
  </si>
  <si>
    <t>F510,U6975,I10,Z560,Z634</t>
  </si>
  <si>
    <t>G252</t>
  </si>
  <si>
    <t>T798</t>
  </si>
  <si>
    <t>F908,R51,U6975</t>
  </si>
  <si>
    <t>O364,U071,Z290</t>
  </si>
  <si>
    <t>F130</t>
  </si>
  <si>
    <t>F100,X6491</t>
  </si>
  <si>
    <t>C504,D630</t>
  </si>
  <si>
    <t>J392</t>
  </si>
  <si>
    <t>I479,R290,Z880,Z881,E079</t>
  </si>
  <si>
    <t>H906,E039,I10,K759</t>
  </si>
  <si>
    <t>E871,G409,E039,U6975</t>
  </si>
  <si>
    <t>W1900,E669</t>
  </si>
  <si>
    <t>L208</t>
  </si>
  <si>
    <t>D685,I10</t>
  </si>
  <si>
    <t>O603,O120,O140,O992,O244</t>
  </si>
  <si>
    <t>M2320</t>
  </si>
  <si>
    <t>N925</t>
  </si>
  <si>
    <t>E039,K769,U6975</t>
  </si>
  <si>
    <t>C229</t>
  </si>
  <si>
    <t>I10,F329,J958</t>
  </si>
  <si>
    <t>J848,I500,D751,E119,I10</t>
  </si>
  <si>
    <t>K802,U6975</t>
  </si>
  <si>
    <t>Z511,C786,C772,E876</t>
  </si>
  <si>
    <t>Z511,C786,C772</t>
  </si>
  <si>
    <t>M1099</t>
  </si>
  <si>
    <t>W1999,F100,F102,J952</t>
  </si>
  <si>
    <t>E660,K760,E782,I10,U592</t>
  </si>
  <si>
    <t>U071,E86,E660,E119,G473</t>
  </si>
  <si>
    <t>W0000,I10,S836,U6975</t>
  </si>
  <si>
    <t>R18,K766,E876,U6975</t>
  </si>
  <si>
    <t>N028,L309,J459</t>
  </si>
  <si>
    <t>G939,I10,N028,L309,J459</t>
  </si>
  <si>
    <t>K746,D62,D688,K767</t>
  </si>
  <si>
    <t>U071,N179,I400,I489,A047</t>
  </si>
  <si>
    <t>J128,U071</t>
  </si>
  <si>
    <t>I10,E782,E669,G473</t>
  </si>
  <si>
    <t>I10,F410</t>
  </si>
  <si>
    <t>I651,I10</t>
  </si>
  <si>
    <t>W2701,D696,K769</t>
  </si>
  <si>
    <t>W0018,U6975</t>
  </si>
  <si>
    <t>F132</t>
  </si>
  <si>
    <t>F410,F920</t>
  </si>
  <si>
    <t>F61,F331,F448,F132</t>
  </si>
  <si>
    <t>W0201,U6975</t>
  </si>
  <si>
    <t>N806</t>
  </si>
  <si>
    <t>D259,T810</t>
  </si>
  <si>
    <t>V4701,S2240,S2720,S4230,J9600,S0650</t>
  </si>
  <si>
    <t>W1999,T844,V4981</t>
  </si>
  <si>
    <t>W1109</t>
  </si>
  <si>
    <t>I601</t>
  </si>
  <si>
    <t>G936,Z529,I10,J459,J9600</t>
  </si>
  <si>
    <t>R33,N178,R410</t>
  </si>
  <si>
    <t>O718,O992</t>
  </si>
  <si>
    <t>A099,E039,U6975</t>
  </si>
  <si>
    <t>J42</t>
  </si>
  <si>
    <t>C718</t>
  </si>
  <si>
    <t>C712,G811,N342,U5030</t>
  </si>
  <si>
    <t>D761,N178,B259,J81,K523</t>
  </si>
  <si>
    <t>K523,D70,B338,D761,Z948,U6975</t>
  </si>
  <si>
    <t>N178,B259,B338,E838</t>
  </si>
  <si>
    <t>Z948,D70,K121,Z511</t>
  </si>
  <si>
    <t>D761,D70,N178,B259,Z978,U6975</t>
  </si>
  <si>
    <t>W1081,U6975</t>
  </si>
  <si>
    <t>K567,Z932</t>
  </si>
  <si>
    <t>E782,M5447</t>
  </si>
  <si>
    <t>U099,U072,H532,R51,H522</t>
  </si>
  <si>
    <t>E041</t>
  </si>
  <si>
    <t>M5301</t>
  </si>
  <si>
    <t>G442,K802</t>
  </si>
  <si>
    <t>O342,O244,O723</t>
  </si>
  <si>
    <t>M5497,G618,I872</t>
  </si>
  <si>
    <t>M5497,G618,I872,U072,E660</t>
  </si>
  <si>
    <t>F102,F411,I10,U6975,L718</t>
  </si>
  <si>
    <t>H521,U6975</t>
  </si>
  <si>
    <t>U6975,Z911</t>
  </si>
  <si>
    <t>T464</t>
  </si>
  <si>
    <t>X6011,F330,I10,E660</t>
  </si>
  <si>
    <t>J450,K219,E038,U099</t>
  </si>
  <si>
    <t>I269,J450,U071,E038,K219</t>
  </si>
  <si>
    <t>U071,Z290,I10,J450</t>
  </si>
  <si>
    <t>M752,M501,U5010</t>
  </si>
  <si>
    <t>E039,K210,G439,Z880</t>
  </si>
  <si>
    <t>M7713,L022,U5010</t>
  </si>
  <si>
    <t>K509,K564</t>
  </si>
  <si>
    <t>F411,U6975,Z596</t>
  </si>
  <si>
    <t>R451,R51,R252,I839</t>
  </si>
  <si>
    <t>N800</t>
  </si>
  <si>
    <t>E039,K30</t>
  </si>
  <si>
    <t>Z911,U6975</t>
  </si>
  <si>
    <t>Z992,I159,N048,D820</t>
  </si>
  <si>
    <t>W0180,T938</t>
  </si>
  <si>
    <t>I361</t>
  </si>
  <si>
    <t>F209</t>
  </si>
  <si>
    <t>E139</t>
  </si>
  <si>
    <t>M1900,I10</t>
  </si>
  <si>
    <t>H405,K509</t>
  </si>
  <si>
    <t>K011,I10,I259</t>
  </si>
  <si>
    <t>W1999,I10,J9600,U071,S0610,Z290</t>
  </si>
  <si>
    <t>W0199,T922</t>
  </si>
  <si>
    <t>J387</t>
  </si>
  <si>
    <t>M5489,J381</t>
  </si>
  <si>
    <t>W1999,J459</t>
  </si>
  <si>
    <t>F102,K709</t>
  </si>
  <si>
    <t>F102,Z911,U6975,F105</t>
  </si>
  <si>
    <t>U071,Z290,K509</t>
  </si>
  <si>
    <t>W8000,W4400</t>
  </si>
  <si>
    <t>Z992,D500,I151</t>
  </si>
  <si>
    <t>M179,K519</t>
  </si>
  <si>
    <t>U071,E876,E660,I10,Z290</t>
  </si>
  <si>
    <t>V2304,J9600,S0660,S2241,S2210,S2720</t>
  </si>
  <si>
    <t>S2210</t>
  </si>
  <si>
    <t>V2304,J208,F058,K519,S5250,S0660</t>
  </si>
  <si>
    <t>I401</t>
  </si>
  <si>
    <t>Z988,I10,U6975,K929,N182</t>
  </si>
  <si>
    <t>Z942,Z514,N183,E118</t>
  </si>
  <si>
    <t>G638,L97,E782</t>
  </si>
  <si>
    <t>S862</t>
  </si>
  <si>
    <t>W0180,W0000</t>
  </si>
  <si>
    <t>S3270,S7241,U5010</t>
  </si>
  <si>
    <t>T068,S3270,S7241,U6975,U5020</t>
  </si>
  <si>
    <t>V1801,S0600</t>
  </si>
  <si>
    <t>M5437</t>
  </si>
  <si>
    <t>S3780</t>
  </si>
  <si>
    <t>I272,I460,I270,Q210</t>
  </si>
  <si>
    <t>U071,G408,E349</t>
  </si>
  <si>
    <t>I610,U099,E271,U5020</t>
  </si>
  <si>
    <t>E871,E222,I10</t>
  </si>
  <si>
    <t>M7065</t>
  </si>
  <si>
    <t>T810,J958,E804</t>
  </si>
  <si>
    <t>F102,F105,K709,M5496,U6975</t>
  </si>
  <si>
    <t>J9600,F102,G408,F105,K709</t>
  </si>
  <si>
    <t>B487,H200,E039,Z961</t>
  </si>
  <si>
    <t>H184,B487,E039</t>
  </si>
  <si>
    <t>K319</t>
  </si>
  <si>
    <t>J952,E660,K210,R572,K318,K650</t>
  </si>
  <si>
    <t>G628,N342,U5010</t>
  </si>
  <si>
    <t>E789,J459</t>
  </si>
  <si>
    <t>F411,E660,E785</t>
  </si>
  <si>
    <t>I119</t>
  </si>
  <si>
    <t>E835</t>
  </si>
  <si>
    <t>F419</t>
  </si>
  <si>
    <t>F602,E782,I870,G409</t>
  </si>
  <si>
    <t>I808</t>
  </si>
  <si>
    <t>M359,F445,Q828,F602,E782</t>
  </si>
  <si>
    <t>M0699,E559</t>
  </si>
  <si>
    <t>J851</t>
  </si>
  <si>
    <t>K911,K668,E118,I119</t>
  </si>
  <si>
    <t>W1999,S4200</t>
  </si>
  <si>
    <t>E106,Z998,H360,G638</t>
  </si>
  <si>
    <t>E039,Z818</t>
  </si>
  <si>
    <t>F920,G439</t>
  </si>
  <si>
    <t>R509,I828,A047,M5490,F412</t>
  </si>
  <si>
    <t>G35,F131,Z818</t>
  </si>
  <si>
    <t>I839,D170</t>
  </si>
  <si>
    <t>W0190,L024,U6975,B956</t>
  </si>
  <si>
    <t>E109,E038,M5422</t>
  </si>
  <si>
    <t>E114,E039</t>
  </si>
  <si>
    <t>I10,E660,Z358</t>
  </si>
  <si>
    <t>H350,E118,U6975</t>
  </si>
  <si>
    <t>O140,Q514</t>
  </si>
  <si>
    <t>Z514,C787,C772,K767,K720</t>
  </si>
  <si>
    <t>O322,Z292</t>
  </si>
  <si>
    <t>F206</t>
  </si>
  <si>
    <t>I788</t>
  </si>
  <si>
    <t>Z896,E038</t>
  </si>
  <si>
    <t>E230,E660</t>
  </si>
  <si>
    <t>Z896,J459,I500,T936,Z518</t>
  </si>
  <si>
    <t>Z518,J459,Z896</t>
  </si>
  <si>
    <t>Z896,E039,R730</t>
  </si>
  <si>
    <t>K011,G408,E785,I10</t>
  </si>
  <si>
    <t>K053,K703,K766,D688,I850</t>
  </si>
  <si>
    <t>E039,Z878,F329</t>
  </si>
  <si>
    <t>G936,G935,G402</t>
  </si>
  <si>
    <t>U071,I10,K500,Z290</t>
  </si>
  <si>
    <t>U6975,E030</t>
  </si>
  <si>
    <t>M501,U5000</t>
  </si>
  <si>
    <t>C451</t>
  </si>
  <si>
    <t>J952,T814,E46,U089,Z932</t>
  </si>
  <si>
    <t>C772,N19,A419,C798,C786</t>
  </si>
  <si>
    <t>D201</t>
  </si>
  <si>
    <t>K661,D379,I959,C482</t>
  </si>
  <si>
    <t>M8641</t>
  </si>
  <si>
    <t>W0199,B956,U6975</t>
  </si>
  <si>
    <t>T921,U5000</t>
  </si>
  <si>
    <t>A539</t>
  </si>
  <si>
    <t>W1999,I10,I429</t>
  </si>
  <si>
    <t>W1999,S0280,F100,F120,J952,D62</t>
  </si>
  <si>
    <t>I420,I481</t>
  </si>
  <si>
    <t>W1999,S3600,S4210,S3240,S2240,J9600</t>
  </si>
  <si>
    <t>S6230</t>
  </si>
  <si>
    <t>J841,Z512,K210,I730</t>
  </si>
  <si>
    <t>M349,Z512,K210,E785,J841</t>
  </si>
  <si>
    <t>M349</t>
  </si>
  <si>
    <t>Z512,K210,E785,J841,I730</t>
  </si>
  <si>
    <t>J991,I730</t>
  </si>
  <si>
    <t>K210,E785,J991,J841,I730</t>
  </si>
  <si>
    <t>I10,I269</t>
  </si>
  <si>
    <t>M8403</t>
  </si>
  <si>
    <t>U071,K210,B980,M5455,K30</t>
  </si>
  <si>
    <t>G473,J448,E118,E782,R91</t>
  </si>
  <si>
    <t>C449</t>
  </si>
  <si>
    <t>W0101,T814,S634,W0181</t>
  </si>
  <si>
    <t>W0108</t>
  </si>
  <si>
    <t>G912,K900,G561,Z866,Q040</t>
  </si>
  <si>
    <t>W2351,U6975,S2240,S2730,S6270</t>
  </si>
  <si>
    <t>C442</t>
  </si>
  <si>
    <t>F125,M1090</t>
  </si>
  <si>
    <t>S933</t>
  </si>
  <si>
    <t>K604,N300</t>
  </si>
  <si>
    <t>V2981,S2730,S0600,S701</t>
  </si>
  <si>
    <t>E871,T519,E86,U6975</t>
  </si>
  <si>
    <t>J330,J321,U6975</t>
  </si>
  <si>
    <t>E559,L209</t>
  </si>
  <si>
    <t>I660,J189,I10</t>
  </si>
  <si>
    <t>F301</t>
  </si>
  <si>
    <t>U6975,T784</t>
  </si>
  <si>
    <t>R490,I10,E785</t>
  </si>
  <si>
    <t>Z601,U6975</t>
  </si>
  <si>
    <t>K900,L719,E114,R91</t>
  </si>
  <si>
    <t>F102,K709,L298,U6975,Z818</t>
  </si>
  <si>
    <t>E038,D27</t>
  </si>
  <si>
    <t>O342,O992</t>
  </si>
  <si>
    <t>O610,O266,Z292</t>
  </si>
  <si>
    <t>O266</t>
  </si>
  <si>
    <t>D611,Z515,C795</t>
  </si>
  <si>
    <t>Z515,C795,D611</t>
  </si>
  <si>
    <t>C341,C795,Z515,U6975</t>
  </si>
  <si>
    <t>C340,D649,K20,D696,Z515</t>
  </si>
  <si>
    <t>N804</t>
  </si>
  <si>
    <t>F411,F510,J458,K928,U6975</t>
  </si>
  <si>
    <t>Z514,C787,A499,D611,N134,Z513</t>
  </si>
  <si>
    <t>Z514,C787,J180,N390,C780</t>
  </si>
  <si>
    <t>M756</t>
  </si>
  <si>
    <t>G568,M5313,U5010,U6975</t>
  </si>
  <si>
    <t>O420,O701,O993,F538</t>
  </si>
  <si>
    <t>C787,C780,C795,K767,Z514</t>
  </si>
  <si>
    <t>O366</t>
  </si>
  <si>
    <t>E785,E790,F412</t>
  </si>
  <si>
    <t>N871</t>
  </si>
  <si>
    <t>K010,K083,E221</t>
  </si>
  <si>
    <t>G430</t>
  </si>
  <si>
    <t>J320,J342,E785,Z880,B182</t>
  </si>
  <si>
    <t>B353</t>
  </si>
  <si>
    <t>J449,G992</t>
  </si>
  <si>
    <t>O421,O730,O718</t>
  </si>
  <si>
    <t>L011</t>
  </si>
  <si>
    <t>M511,E114,U6975,J459,I10</t>
  </si>
  <si>
    <t>O660,O700</t>
  </si>
  <si>
    <t>O718,O13</t>
  </si>
  <si>
    <t>O468</t>
  </si>
  <si>
    <t>O411,J952,R572,Z292</t>
  </si>
  <si>
    <t>K226,F109,K703,K766</t>
  </si>
  <si>
    <t>C846</t>
  </si>
  <si>
    <t>D70,D695,D630,Z978</t>
  </si>
  <si>
    <t>F172,Z598,U6975</t>
  </si>
  <si>
    <t>M0590,I10,F413,E038</t>
  </si>
  <si>
    <t>H408</t>
  </si>
  <si>
    <t>H045</t>
  </si>
  <si>
    <t>J320,M313,D899,H653</t>
  </si>
  <si>
    <t>M169</t>
  </si>
  <si>
    <t>Z942,K297,U099,N183,G473</t>
  </si>
  <si>
    <t>U089,E840,U5020</t>
  </si>
  <si>
    <t>E849</t>
  </si>
  <si>
    <t>Z942,U099,N183,G473,E108</t>
  </si>
  <si>
    <t>E114,E785</t>
  </si>
  <si>
    <t>U071,G808,Z290</t>
  </si>
  <si>
    <t>W1999,G404,F104,S0200</t>
  </si>
  <si>
    <t>A153</t>
  </si>
  <si>
    <t>J90,J939,C679,J304,Z290</t>
  </si>
  <si>
    <t>C679,J91</t>
  </si>
  <si>
    <t>Z514,C787,A415</t>
  </si>
  <si>
    <t>Z514,D611,J189</t>
  </si>
  <si>
    <t>Z514,C787,K750,K830,D630</t>
  </si>
  <si>
    <t>C787,K750,Z515</t>
  </si>
  <si>
    <t>Z514,K767,C787,K750</t>
  </si>
  <si>
    <t>K863,E440,G629</t>
  </si>
  <si>
    <t>K830,F102,F104,U6975,K709</t>
  </si>
  <si>
    <t>M6248</t>
  </si>
  <si>
    <t>K766,D62,K703</t>
  </si>
  <si>
    <t>I10,I859,U6975</t>
  </si>
  <si>
    <t>D62,K766,K703,U6975</t>
  </si>
  <si>
    <t>D171</t>
  </si>
  <si>
    <t>H919,I839</t>
  </si>
  <si>
    <t>G473,I10,R739,E781</t>
  </si>
  <si>
    <t>T818,E208</t>
  </si>
  <si>
    <t>F103,M7967</t>
  </si>
  <si>
    <t>F102,F172,I828,R520,K219</t>
  </si>
  <si>
    <t>I720</t>
  </si>
  <si>
    <t>G409,R402,G936,J9609</t>
  </si>
  <si>
    <t>C711,G811,U5020</t>
  </si>
  <si>
    <t>O420,O714,Z292</t>
  </si>
  <si>
    <t>F102,R51,S610,S644</t>
  </si>
  <si>
    <t>E668,F419,R739,E785,J310</t>
  </si>
  <si>
    <t>I10,F412,J310</t>
  </si>
  <si>
    <t>M751,U6975,U5000</t>
  </si>
  <si>
    <t>E119,N390</t>
  </si>
  <si>
    <t>L301</t>
  </si>
  <si>
    <t>D164,J348</t>
  </si>
  <si>
    <t>Z292</t>
  </si>
  <si>
    <t>O342,O993</t>
  </si>
  <si>
    <t>N750</t>
  </si>
  <si>
    <t>F230,J118</t>
  </si>
  <si>
    <t>D282</t>
  </si>
  <si>
    <t>O071</t>
  </si>
  <si>
    <t>O421,O700,O992</t>
  </si>
  <si>
    <t>E039,E785</t>
  </si>
  <si>
    <t>X6101,F432</t>
  </si>
  <si>
    <t>J342,J320,U6975</t>
  </si>
  <si>
    <t>K072</t>
  </si>
  <si>
    <t>I480,N182,I428</t>
  </si>
  <si>
    <t>I839,N815,Q738</t>
  </si>
  <si>
    <t>O13</t>
  </si>
  <si>
    <t>O266,O244,E109</t>
  </si>
  <si>
    <t>O266,O244</t>
  </si>
  <si>
    <t>O244,E109</t>
  </si>
  <si>
    <t>N998</t>
  </si>
  <si>
    <t>Z966,M163,G572</t>
  </si>
  <si>
    <t>G572,U6975,Z038</t>
  </si>
  <si>
    <t>N178,D638,E876,E871</t>
  </si>
  <si>
    <t>C530</t>
  </si>
  <si>
    <t>C791,C798,Z514,N179,N390</t>
  </si>
  <si>
    <t>M0690,D337</t>
  </si>
  <si>
    <t>M5456,A749,U6975,U5010</t>
  </si>
  <si>
    <t>K701</t>
  </si>
  <si>
    <t>K703,K766,D688</t>
  </si>
  <si>
    <t>M7702</t>
  </si>
  <si>
    <t>M2147,M201</t>
  </si>
  <si>
    <t>O420,O240</t>
  </si>
  <si>
    <t>K648</t>
  </si>
  <si>
    <t>O421,O992</t>
  </si>
  <si>
    <t>K703,K210,K766,E876,E441</t>
  </si>
  <si>
    <t>K081</t>
  </si>
  <si>
    <t>F600</t>
  </si>
  <si>
    <t>I629</t>
  </si>
  <si>
    <t>G408,I10,E789</t>
  </si>
  <si>
    <t>E804</t>
  </si>
  <si>
    <t>S8200,W1999,F621,Z911,E86</t>
  </si>
  <si>
    <t>F621,N309,Z911,Z818,U6975</t>
  </si>
  <si>
    <t>F621,Z911,J00,N300,B964</t>
  </si>
  <si>
    <t>W2001,I10</t>
  </si>
  <si>
    <t>T935</t>
  </si>
  <si>
    <t>E782,E118,E669</t>
  </si>
  <si>
    <t>I255,T827</t>
  </si>
  <si>
    <t>D407</t>
  </si>
  <si>
    <t>E882</t>
  </si>
  <si>
    <t>R520,S0230,W9999,U6975</t>
  </si>
  <si>
    <t>J352,M4299</t>
  </si>
  <si>
    <t>Z511,G35</t>
  </si>
  <si>
    <t>C300</t>
  </si>
  <si>
    <t>W0189,T932,U6975</t>
  </si>
  <si>
    <t>C915</t>
  </si>
  <si>
    <t>Z511,D70,U6975</t>
  </si>
  <si>
    <t>Z511,D70,Z978,U6975</t>
  </si>
  <si>
    <t>Z511,D630,D695,D70,R509,Z452</t>
  </si>
  <si>
    <t>J019,Z978</t>
  </si>
  <si>
    <t>O342,Z292,O993</t>
  </si>
  <si>
    <t>H472</t>
  </si>
  <si>
    <t>J459,F609,M5490,E782</t>
  </si>
  <si>
    <t>E86,E755,U6975</t>
  </si>
  <si>
    <t>D177</t>
  </si>
  <si>
    <t>E612,E660,I10</t>
  </si>
  <si>
    <t>D618,U6975</t>
  </si>
  <si>
    <t>O074</t>
  </si>
  <si>
    <t>N948</t>
  </si>
  <si>
    <t>O420,O700</t>
  </si>
  <si>
    <t>O422,O244,O992</t>
  </si>
  <si>
    <t>O992,O244</t>
  </si>
  <si>
    <t>H539</t>
  </si>
  <si>
    <t>N988</t>
  </si>
  <si>
    <t>F341,Z731,U6975</t>
  </si>
  <si>
    <t>S834</t>
  </si>
  <si>
    <t>I10,F419</t>
  </si>
  <si>
    <t>L029,K605</t>
  </si>
  <si>
    <t>O244</t>
  </si>
  <si>
    <t>W0190,K219</t>
  </si>
  <si>
    <t>M0730</t>
  </si>
  <si>
    <t>E271,I10,R601</t>
  </si>
  <si>
    <t>E271</t>
  </si>
  <si>
    <t>E101,E065,I10</t>
  </si>
  <si>
    <t>U071,Z290,N189,E105,J128</t>
  </si>
  <si>
    <t>E109,N183</t>
  </si>
  <si>
    <t>I839,E271,G632,F61,N183</t>
  </si>
  <si>
    <t>E106,I10,E271,G839</t>
  </si>
  <si>
    <t>H509,G970</t>
  </si>
  <si>
    <t>O730,O420,O718,O244</t>
  </si>
  <si>
    <t>C819,E039</t>
  </si>
  <si>
    <t>Z511,D70,U6975,D630</t>
  </si>
  <si>
    <t>Z511,U6975,D630,D695,D70,N308</t>
  </si>
  <si>
    <t>D630,D70,Z511,U6975,Z452,Z978</t>
  </si>
  <si>
    <t>O680,O420,O718</t>
  </si>
  <si>
    <t>D360</t>
  </si>
  <si>
    <t>I420,I10,E107,E782</t>
  </si>
  <si>
    <t>O420,O700,O992</t>
  </si>
  <si>
    <t>O822</t>
  </si>
  <si>
    <t>R571,J958</t>
  </si>
  <si>
    <t>M2447</t>
  </si>
  <si>
    <t>N608,Z421,T810</t>
  </si>
  <si>
    <t>N181,I10</t>
  </si>
  <si>
    <t>M2422</t>
  </si>
  <si>
    <t>O842</t>
  </si>
  <si>
    <t>O420,O601,O300,O325,O992</t>
  </si>
  <si>
    <t>R202,R42,E559</t>
  </si>
  <si>
    <t>O420,O321,O100</t>
  </si>
  <si>
    <t>T920,M6592,B956</t>
  </si>
  <si>
    <t>Z512,Z940,I151,I119,E211</t>
  </si>
  <si>
    <t>M6584</t>
  </si>
  <si>
    <t>I10,G111</t>
  </si>
  <si>
    <t>H659</t>
  </si>
  <si>
    <t>H662,I10,E785,Z880,E669</t>
  </si>
  <si>
    <t>W0101,S012,F119</t>
  </si>
  <si>
    <t>R18,F101,E876</t>
  </si>
  <si>
    <t>I10,L400,M1099</t>
  </si>
  <si>
    <t>S9241</t>
  </si>
  <si>
    <t>W2689,U6975</t>
  </si>
  <si>
    <t>K704,G934</t>
  </si>
  <si>
    <t>M2406</t>
  </si>
  <si>
    <t>V1309</t>
  </si>
  <si>
    <t>T068,U6975,U5010</t>
  </si>
  <si>
    <t>S055</t>
  </si>
  <si>
    <t>W4482</t>
  </si>
  <si>
    <t>E148</t>
  </si>
  <si>
    <t>K831,K802,I10,K760,U6975</t>
  </si>
  <si>
    <t>K802,E119,I10,U6975</t>
  </si>
  <si>
    <t>K650,J958,E662,E118,I10,A415</t>
  </si>
  <si>
    <t>K802,E119,I10</t>
  </si>
  <si>
    <t>S5281</t>
  </si>
  <si>
    <t>F630</t>
  </si>
  <si>
    <t>F432,F510,U6975</t>
  </si>
  <si>
    <t>J341,E063,E230,E785</t>
  </si>
  <si>
    <t>J321,E039</t>
  </si>
  <si>
    <t>Z514,Z930,H409,E039,F204</t>
  </si>
  <si>
    <t>Z930,H409,E039,F204,Z857</t>
  </si>
  <si>
    <t>J9600,J152,Z963,H409,F204,E038</t>
  </si>
  <si>
    <t>Z968,E039,Z857,H409,U6975</t>
  </si>
  <si>
    <t>Z968,E039,Z857,H409</t>
  </si>
  <si>
    <t>D70,D761,A415,B259,B338,Z978</t>
  </si>
  <si>
    <t>B259,D638,D695,E139,D70</t>
  </si>
  <si>
    <t>Z511,Z948,D695,D70,D638,K521</t>
  </si>
  <si>
    <t>S0271</t>
  </si>
  <si>
    <t>V1899,S070</t>
  </si>
  <si>
    <t>G211</t>
  </si>
  <si>
    <t>F233</t>
  </si>
  <si>
    <t>I509,F920</t>
  </si>
  <si>
    <t>K045,D803,K219,F410</t>
  </si>
  <si>
    <t>J350,J304,D689</t>
  </si>
  <si>
    <t>I10,K30,E789</t>
  </si>
  <si>
    <t>O140</t>
  </si>
  <si>
    <t>O421,O718</t>
  </si>
  <si>
    <t>O364</t>
  </si>
  <si>
    <t>I10,E119,E785,U6975</t>
  </si>
  <si>
    <t>U071,J128,J458,I10,E038,Z290</t>
  </si>
  <si>
    <t>O730,O701</t>
  </si>
  <si>
    <t>O341</t>
  </si>
  <si>
    <t>K048,K083,U6975</t>
  </si>
  <si>
    <t>O420,O601,O996,O244</t>
  </si>
  <si>
    <t>K098</t>
  </si>
  <si>
    <t>K108,N309,J304</t>
  </si>
  <si>
    <t>M7690</t>
  </si>
  <si>
    <t>M7737,M7690,U6975</t>
  </si>
  <si>
    <t>M5490</t>
  </si>
  <si>
    <t>O680,O631,O714</t>
  </si>
  <si>
    <t>U071,Z290,K769</t>
  </si>
  <si>
    <t>O441</t>
  </si>
  <si>
    <t>O322,O244</t>
  </si>
  <si>
    <t>O420,O681</t>
  </si>
  <si>
    <t>O603,O369</t>
  </si>
  <si>
    <t>J321,J320,J322,J330,J459,Z886</t>
  </si>
  <si>
    <t>U071,Z290,F250</t>
  </si>
  <si>
    <t>O420,O13,O244,O992</t>
  </si>
  <si>
    <t>O996</t>
  </si>
  <si>
    <t>O420,O681,O992</t>
  </si>
  <si>
    <t>O714,O244</t>
  </si>
  <si>
    <t>K802,E86,A090</t>
  </si>
  <si>
    <t>U6975,F208</t>
  </si>
  <si>
    <t>O730,O680,O701</t>
  </si>
  <si>
    <t>E892,E249</t>
  </si>
  <si>
    <t>O714,O992</t>
  </si>
  <si>
    <t>J9600,A415,U071,D649,I10,E117</t>
  </si>
  <si>
    <t>L403</t>
  </si>
  <si>
    <t>U071,Z290,E876,J128</t>
  </si>
  <si>
    <t>H720,H800,E039,F328</t>
  </si>
  <si>
    <t>F172,U6975,E039,R252,Z560</t>
  </si>
  <si>
    <t>U071,N805,J129,J128</t>
  </si>
  <si>
    <t>B968</t>
  </si>
  <si>
    <t>N809</t>
  </si>
  <si>
    <t>J153,I10,K760</t>
  </si>
  <si>
    <t>W1999,S532,U6975</t>
  </si>
  <si>
    <t>R451,U6975,F172,F121</t>
  </si>
  <si>
    <t>W0101,R252,S0600</t>
  </si>
  <si>
    <t>K228</t>
  </si>
  <si>
    <t>J014,U6975</t>
  </si>
  <si>
    <t>N201,N210,E119,E785,I10</t>
  </si>
  <si>
    <t>Y0481,S2230,S000</t>
  </si>
  <si>
    <t>M5489,J304</t>
  </si>
  <si>
    <t>U071,J128,J939,T818,C837</t>
  </si>
  <si>
    <t>E785,R739</t>
  </si>
  <si>
    <t>U071,J9600,E669,Z290,J80,A419</t>
  </si>
  <si>
    <t>W1901,S9200,W0000</t>
  </si>
  <si>
    <t>O420,O992</t>
  </si>
  <si>
    <t>M7970,R521</t>
  </si>
  <si>
    <t>I10,J450,F602,F412,F422</t>
  </si>
  <si>
    <t>F510,Z613,U6975</t>
  </si>
  <si>
    <t>I10,F602,F412,F422,M171</t>
  </si>
  <si>
    <t>Y838,T814</t>
  </si>
  <si>
    <t>K501,D649</t>
  </si>
  <si>
    <t>A047,D62,K219,U6975,I880,E43</t>
  </si>
  <si>
    <t>O322</t>
  </si>
  <si>
    <t>O631,O718,O13</t>
  </si>
  <si>
    <t>J348</t>
  </si>
  <si>
    <t>O681,O992,O244</t>
  </si>
  <si>
    <t>D689</t>
  </si>
  <si>
    <t>I10,N182</t>
  </si>
  <si>
    <t>E785,K509,M1390</t>
  </si>
  <si>
    <t>O420,O718,Z292</t>
  </si>
  <si>
    <t>H931,I10,E782</t>
  </si>
  <si>
    <t>E051</t>
  </si>
  <si>
    <t>O321</t>
  </si>
  <si>
    <t>M5417</t>
  </si>
  <si>
    <t>U072,D126</t>
  </si>
  <si>
    <t>H408,H918</t>
  </si>
  <si>
    <t>I10,U6975,K831,E039,J459</t>
  </si>
  <si>
    <t>F480</t>
  </si>
  <si>
    <t>O342,O334,O240</t>
  </si>
  <si>
    <t>F111</t>
  </si>
  <si>
    <t>F112,F102,E876,G409</t>
  </si>
  <si>
    <t>O321,O342,Z292</t>
  </si>
  <si>
    <t>C538</t>
  </si>
  <si>
    <t>E834,H812,D329,K802,U6975</t>
  </si>
  <si>
    <t>O321,Z292</t>
  </si>
  <si>
    <t>Z321,I802,U6975</t>
  </si>
  <si>
    <t>N971</t>
  </si>
  <si>
    <t>O992</t>
  </si>
  <si>
    <t>O140,O700</t>
  </si>
  <si>
    <t>O631,O660</t>
  </si>
  <si>
    <t>O701</t>
  </si>
  <si>
    <t>U071,Z290,R05</t>
  </si>
  <si>
    <t>O420,O601,O690,O300,Z940,O244</t>
  </si>
  <si>
    <t>E039,D685</t>
  </si>
  <si>
    <t>S934</t>
  </si>
  <si>
    <t>V4499,S017,S0600</t>
  </si>
  <si>
    <t>S056</t>
  </si>
  <si>
    <t>V4499</t>
  </si>
  <si>
    <t>F101,K709,K590,Z634,U6975</t>
  </si>
  <si>
    <t>F131,F605</t>
  </si>
  <si>
    <t>F102,K590,L239,M5499,U6975</t>
  </si>
  <si>
    <t>W1999,S808</t>
  </si>
  <si>
    <t>R060,J438,U6975,U072,Z514</t>
  </si>
  <si>
    <t>J438</t>
  </si>
  <si>
    <t>J439,E119,Z514</t>
  </si>
  <si>
    <t>Z731,I10,F131,U6975,M5457</t>
  </si>
  <si>
    <t>W1999,F100,T009,S810</t>
  </si>
  <si>
    <t>L208,U6975</t>
  </si>
  <si>
    <t>U6975,K660</t>
  </si>
  <si>
    <t>C786,J958,K659</t>
  </si>
  <si>
    <t>J9600,G728,U071,Z508,N390,K768</t>
  </si>
  <si>
    <t>K010,K519,K830</t>
  </si>
  <si>
    <t>W3102</t>
  </si>
  <si>
    <t>E063,E780</t>
  </si>
  <si>
    <t>E785,E063</t>
  </si>
  <si>
    <t>F192</t>
  </si>
  <si>
    <t>F190,F172,U6975</t>
  </si>
  <si>
    <t>U071,I802</t>
  </si>
  <si>
    <t>E875,I828,K720,R34,D70,U6975</t>
  </si>
  <si>
    <t>D695,D630,A419,U6975,Z978</t>
  </si>
  <si>
    <t>Z511,D70,D695,U6975,Z978</t>
  </si>
  <si>
    <t>Z511,D70,D695,A418,K050,U6975</t>
  </si>
  <si>
    <t>Z511,D70,I828,U6975</t>
  </si>
  <si>
    <t>C772,A419,Z514</t>
  </si>
  <si>
    <t>Z514,C250</t>
  </si>
  <si>
    <t>J9600,K858,K831,D638,C269</t>
  </si>
  <si>
    <t>K661,D62,A419,E440,D126</t>
  </si>
  <si>
    <t>O730</t>
  </si>
  <si>
    <t>U071,Z290,K519</t>
  </si>
  <si>
    <t>O049</t>
  </si>
  <si>
    <t>F328</t>
  </si>
  <si>
    <t>Z731,E221,Z818,U6975</t>
  </si>
  <si>
    <t>F481</t>
  </si>
  <si>
    <t>Z514,C778,C795,D611,C793</t>
  </si>
  <si>
    <t>I951</t>
  </si>
  <si>
    <t>O321,O992,O244</t>
  </si>
  <si>
    <t>O680,O718,O902,O992,U071</t>
  </si>
  <si>
    <t>O714,Z292</t>
  </si>
  <si>
    <t>Y838,R31,N981</t>
  </si>
  <si>
    <t>O200</t>
  </si>
  <si>
    <t>G10</t>
  </si>
  <si>
    <t>O631,O681,O992</t>
  </si>
  <si>
    <t>O223</t>
  </si>
  <si>
    <t>O420,O322,O13</t>
  </si>
  <si>
    <t>W1931,W1999,S532</t>
  </si>
  <si>
    <t>O648,O100,O244,E109,E669</t>
  </si>
  <si>
    <t>E208</t>
  </si>
  <si>
    <t>E042,E050,H052</t>
  </si>
  <si>
    <t>O757</t>
  </si>
  <si>
    <t>O718,O244,O992</t>
  </si>
  <si>
    <t>O420,O601</t>
  </si>
  <si>
    <t>J342,Z881</t>
  </si>
  <si>
    <t>Z514,C531,E871,Z513,D611</t>
  </si>
  <si>
    <t>K567,Z511</t>
  </si>
  <si>
    <t>Z511,C531</t>
  </si>
  <si>
    <t>Z511,D630,C531,N309,N10</t>
  </si>
  <si>
    <t>K564,K919,E838,C786,Z515,D611</t>
  </si>
  <si>
    <t>E876,C531,E870</t>
  </si>
  <si>
    <t>D761,D70,J189,A419,G049,B259</t>
  </si>
  <si>
    <t>B259,T860,D70,D761</t>
  </si>
  <si>
    <t>Z948,D70,K121,B338,L959,Z452</t>
  </si>
  <si>
    <t>O342,O244</t>
  </si>
  <si>
    <t>F410,U6975</t>
  </si>
  <si>
    <t>O321,O100</t>
  </si>
  <si>
    <t>N805</t>
  </si>
  <si>
    <t>O730,O420,O700</t>
  </si>
  <si>
    <t>I479</t>
  </si>
  <si>
    <t>G431,J450,I10,I839,E669</t>
  </si>
  <si>
    <t>I10,G430,J459,I479</t>
  </si>
  <si>
    <t>I428,J399</t>
  </si>
  <si>
    <t>W1999,S6200,W0190</t>
  </si>
  <si>
    <t>F192,F172,I10</t>
  </si>
  <si>
    <t>U071,Z290,R060,J128</t>
  </si>
  <si>
    <t>V2981</t>
  </si>
  <si>
    <t>E660,I480</t>
  </si>
  <si>
    <t>J9600,U071,J80,Z290,C819,E039</t>
  </si>
  <si>
    <t>Z932,K565,E876,K509</t>
  </si>
  <si>
    <t>W1999,V1984</t>
  </si>
  <si>
    <t>F102,F510,U6975</t>
  </si>
  <si>
    <t>J320,D649</t>
  </si>
  <si>
    <t>A540</t>
  </si>
  <si>
    <t>Z290,U837</t>
  </si>
  <si>
    <t>F172,U6975,Z560</t>
  </si>
  <si>
    <t>K928</t>
  </si>
  <si>
    <t>W1999,G560,U6975</t>
  </si>
  <si>
    <t>M1921</t>
  </si>
  <si>
    <t>N824</t>
  </si>
  <si>
    <t>K660,Z932,D62,K922</t>
  </si>
  <si>
    <t>O700,O992,O244</t>
  </si>
  <si>
    <t>M459,U6975</t>
  </si>
  <si>
    <t>O342,Z292</t>
  </si>
  <si>
    <t>O700,Z292</t>
  </si>
  <si>
    <t>O718,O244</t>
  </si>
  <si>
    <t>O342,O244,Z292</t>
  </si>
  <si>
    <t>W0100,S835</t>
  </si>
  <si>
    <t>U071,E660,R509,R05,E86,Z290</t>
  </si>
  <si>
    <t>S932</t>
  </si>
  <si>
    <t>W0850,W0010</t>
  </si>
  <si>
    <t>N808</t>
  </si>
  <si>
    <t>O631,O992</t>
  </si>
  <si>
    <t>Z470,M8690</t>
  </si>
  <si>
    <t>Z514,C780,C771,C795,C793</t>
  </si>
  <si>
    <t>W1901</t>
  </si>
  <si>
    <t>O631</t>
  </si>
  <si>
    <t>O680,O718</t>
  </si>
  <si>
    <t>O700,O992</t>
  </si>
  <si>
    <t>O420,O714</t>
  </si>
  <si>
    <t>O730,O721,Z292</t>
  </si>
  <si>
    <t>O730,O718</t>
  </si>
  <si>
    <t>O680,O700,O13</t>
  </si>
  <si>
    <t>O321,O992,Z292</t>
  </si>
  <si>
    <t>O441,J958,O603,O994</t>
  </si>
  <si>
    <t>O420,O701,O13</t>
  </si>
  <si>
    <t>O420,O244,O718</t>
  </si>
  <si>
    <t>Z948,Z511,D70,D695,D638,U6975</t>
  </si>
  <si>
    <t>Z949</t>
  </si>
  <si>
    <t>Z948,U6975</t>
  </si>
  <si>
    <t>O718,O266</t>
  </si>
  <si>
    <t>O420,O701</t>
  </si>
  <si>
    <t>O100,O244</t>
  </si>
  <si>
    <t>O420,O730,O714</t>
  </si>
  <si>
    <t>O700,O100</t>
  </si>
  <si>
    <t>O142,O992</t>
  </si>
  <si>
    <t>O421,O718,O244</t>
  </si>
  <si>
    <t>O420,O718,O992</t>
  </si>
  <si>
    <t>E039,F412</t>
  </si>
  <si>
    <t>O601,O300</t>
  </si>
  <si>
    <t>O718,Z292,O992</t>
  </si>
  <si>
    <t>K519,Z400</t>
  </si>
  <si>
    <t>F410,Z818,U6975</t>
  </si>
  <si>
    <t>O601,O420,O321</t>
  </si>
  <si>
    <t>N181</t>
  </si>
  <si>
    <t>W1999,S2700,S2230,S2710,S241</t>
  </si>
  <si>
    <t>S2200,G831,U5020</t>
  </si>
  <si>
    <t>A530</t>
  </si>
  <si>
    <t>Z290,H168</t>
  </si>
  <si>
    <t>W0100,S014,S0250</t>
  </si>
  <si>
    <t>I10,J459,E785,G473,J37</t>
  </si>
  <si>
    <t>J9600,U071,I10,E660,E785,Z290</t>
  </si>
  <si>
    <t>Z228,K102,M313,U071,J128</t>
  </si>
  <si>
    <t>F102,F172,U6975,Z811</t>
  </si>
  <si>
    <t>E132,E042,E038,I119,N183</t>
  </si>
  <si>
    <t>N164,E107,E011</t>
  </si>
  <si>
    <t>F195</t>
  </si>
  <si>
    <t>F192,F172,Z731,U6975</t>
  </si>
  <si>
    <t>E662,G473,J451,E782</t>
  </si>
  <si>
    <t>G473,E662,J450,I10</t>
  </si>
  <si>
    <t>F102,K709,U6975</t>
  </si>
  <si>
    <t>J451,E790</t>
  </si>
  <si>
    <t>C712,G936,G935,N209,F068</t>
  </si>
  <si>
    <t>R51,F510,K590,U6975</t>
  </si>
  <si>
    <t>W0199,S6240</t>
  </si>
  <si>
    <t>U6975,R030</t>
  </si>
  <si>
    <t>R942</t>
  </si>
  <si>
    <t>O680,O13,O244</t>
  </si>
  <si>
    <t>J322,E039</t>
  </si>
  <si>
    <t>Z421,D649</t>
  </si>
  <si>
    <t>L011,A749</t>
  </si>
  <si>
    <t>U6975,Z731,Z915</t>
  </si>
  <si>
    <t>W0189,U071,Z290,Z228</t>
  </si>
  <si>
    <t>O601,O300,O421</t>
  </si>
  <si>
    <t>O603,O266</t>
  </si>
  <si>
    <t>O343</t>
  </si>
  <si>
    <t>K509,U6975,K768,E43,Z758</t>
  </si>
  <si>
    <t>K509,K768,E43,Z597,Z911</t>
  </si>
  <si>
    <t>E441,F200,E876,K752</t>
  </si>
  <si>
    <t>O420,O700,O244</t>
  </si>
  <si>
    <t>O601,O441,U071,Z290</t>
  </si>
  <si>
    <t>A047,E440</t>
  </si>
  <si>
    <t>W1748,T068,S3610,S2230,S9200,U6975</t>
  </si>
  <si>
    <t>O701,Z292</t>
  </si>
  <si>
    <t>O230</t>
  </si>
  <si>
    <t>J352,J343</t>
  </si>
  <si>
    <t>O325</t>
  </si>
  <si>
    <t>W0160,S6230,W0101,U6975</t>
  </si>
  <si>
    <t>I150,D638</t>
  </si>
  <si>
    <t>H521,H354</t>
  </si>
  <si>
    <t>O342,O322</t>
  </si>
  <si>
    <t>O420,O342,O992</t>
  </si>
  <si>
    <t>E039,E790,R739</t>
  </si>
  <si>
    <t>W0100,F100,S810,S2230,S2700</t>
  </si>
  <si>
    <t>O140,O300,O603,O100,O244,E109</t>
  </si>
  <si>
    <t>O700,O244</t>
  </si>
  <si>
    <t>F61,R450,U6975</t>
  </si>
  <si>
    <t>O610</t>
  </si>
  <si>
    <t>M311</t>
  </si>
  <si>
    <t>D695,Z511</t>
  </si>
  <si>
    <t>O421,O757,O714</t>
  </si>
  <si>
    <t>O631,O244,O13,O992,Z292</t>
  </si>
  <si>
    <t>O039</t>
  </si>
  <si>
    <t>E789,Z904</t>
  </si>
  <si>
    <t>O720,O680,O718</t>
  </si>
  <si>
    <t>O700,Z292,O992</t>
  </si>
  <si>
    <t>G800,J450</t>
  </si>
  <si>
    <t>O321,U071</t>
  </si>
  <si>
    <t>O681,O714</t>
  </si>
  <si>
    <t>O322,O992</t>
  </si>
  <si>
    <t>G249</t>
  </si>
  <si>
    <t>Z511,D70,D695,D630,Z452,Z978</t>
  </si>
  <si>
    <t>W0191,S015,S118,S0251,S5250</t>
  </si>
  <si>
    <t>Y2808,I10,F920</t>
  </si>
  <si>
    <t>H481</t>
  </si>
  <si>
    <t>C119</t>
  </si>
  <si>
    <t>G35,U071,Z290</t>
  </si>
  <si>
    <t>B351,U6975,B353,L210</t>
  </si>
  <si>
    <t>F102,U071,Z228</t>
  </si>
  <si>
    <t>J989,U6975</t>
  </si>
  <si>
    <t>W5071,S430,W0000</t>
  </si>
  <si>
    <t>Z940,D500,N182</t>
  </si>
  <si>
    <t>N158,D500,N189</t>
  </si>
  <si>
    <t>T861,Z940,Z512,U071,B961</t>
  </si>
  <si>
    <t>L032,J012,E119,K703,H050</t>
  </si>
  <si>
    <t>J320,K083</t>
  </si>
  <si>
    <t>W0191,S835</t>
  </si>
  <si>
    <t>E875,I10,U6975</t>
  </si>
  <si>
    <t>E107,I131,E782</t>
  </si>
  <si>
    <t>E102,I10,E782,N411</t>
  </si>
  <si>
    <t>R53</t>
  </si>
  <si>
    <t>K20,E876,E871</t>
  </si>
  <si>
    <t>I828,U6975</t>
  </si>
  <si>
    <t>U071,J9600,G939,G408,Z290</t>
  </si>
  <si>
    <t>F103,K709,U6975</t>
  </si>
  <si>
    <t>M8626</t>
  </si>
  <si>
    <t>W0190,B956</t>
  </si>
  <si>
    <t>M8725</t>
  </si>
  <si>
    <t>V4969</t>
  </si>
  <si>
    <t>F102,Z560</t>
  </si>
  <si>
    <t>S1270</t>
  </si>
  <si>
    <t>V4031,S3270,J9600,S2200,S0630,F102</t>
  </si>
  <si>
    <t>C221</t>
  </si>
  <si>
    <t>D376,Z031</t>
  </si>
  <si>
    <t>Z031</t>
  </si>
  <si>
    <t>J459,D509</t>
  </si>
  <si>
    <t>C059</t>
  </si>
  <si>
    <t>K083,K045,M6248</t>
  </si>
  <si>
    <t>K083,J958</t>
  </si>
  <si>
    <t>O420,Z292</t>
  </si>
  <si>
    <t>O140,O631,E669</t>
  </si>
  <si>
    <t>M0700,B351</t>
  </si>
  <si>
    <t>F151,F172,R451,Z911</t>
  </si>
  <si>
    <t>F172,F151,R451,Z911,U6975</t>
  </si>
  <si>
    <t>W9999,S430,U6975,S134</t>
  </si>
  <si>
    <t>O718,U071,Z292</t>
  </si>
  <si>
    <t>E059,Z480</t>
  </si>
  <si>
    <t>O420,O244</t>
  </si>
  <si>
    <t>O681,O718</t>
  </si>
  <si>
    <t>J051,R600,J9600</t>
  </si>
  <si>
    <t>S670</t>
  </si>
  <si>
    <t>F621,U6975</t>
  </si>
  <si>
    <t>S5270</t>
  </si>
  <si>
    <t>O718,O723,O901</t>
  </si>
  <si>
    <t>O911</t>
  </si>
  <si>
    <t>O420,O244,Z292</t>
  </si>
  <si>
    <t>O321,O992</t>
  </si>
  <si>
    <t>O701,O244</t>
  </si>
  <si>
    <t>O654,Z292</t>
  </si>
  <si>
    <t>O680,O468</t>
  </si>
  <si>
    <t>O714,O100,Z292</t>
  </si>
  <si>
    <t>O601,O420,O342,O100</t>
  </si>
  <si>
    <t>O421,O681,O680</t>
  </si>
  <si>
    <t>O321,E669</t>
  </si>
  <si>
    <t>Z321</t>
  </si>
  <si>
    <t>T827,N189</t>
  </si>
  <si>
    <t>O420,O714,O992</t>
  </si>
  <si>
    <t>O603,O440,U071,Z290</t>
  </si>
  <si>
    <t>O902,O718,O992</t>
  </si>
  <si>
    <t>O420,O681,O718</t>
  </si>
  <si>
    <t>O730,O700</t>
  </si>
  <si>
    <t>K709,L409</t>
  </si>
  <si>
    <t>F192,F100,F193</t>
  </si>
  <si>
    <t>I301</t>
  </si>
  <si>
    <t>K603</t>
  </si>
  <si>
    <t>K604,K642</t>
  </si>
  <si>
    <t>W1901,S0231</t>
  </si>
  <si>
    <t>R600,E108</t>
  </si>
  <si>
    <t>N46</t>
  </si>
  <si>
    <t>U071,F102,F103,Z290</t>
  </si>
  <si>
    <t>S663</t>
  </si>
  <si>
    <t>W0199,U6975,S000</t>
  </si>
  <si>
    <t>W0000,S010</t>
  </si>
  <si>
    <t>W0231,U071,Z290</t>
  </si>
  <si>
    <t>S3200,N342,U5010</t>
  </si>
  <si>
    <t>N978</t>
  </si>
  <si>
    <t>O420,O321</t>
  </si>
  <si>
    <t>O680,O420,O681,O718</t>
  </si>
  <si>
    <t>J9600,U071,J449,E660,E119,Z290</t>
  </si>
  <si>
    <t>O100</t>
  </si>
  <si>
    <t>Z942,M4052,E108,I10,N183</t>
  </si>
  <si>
    <t>G020,B003,B258,Z942,E108</t>
  </si>
  <si>
    <t>E782,D686</t>
  </si>
  <si>
    <t>O420,O631,O718</t>
  </si>
  <si>
    <t>W0181,T922</t>
  </si>
  <si>
    <t>U6975,T923,W0190</t>
  </si>
  <si>
    <t>F323,R451,F172,U6975,Z818</t>
  </si>
  <si>
    <t>O334,O244</t>
  </si>
  <si>
    <t>O801</t>
  </si>
  <si>
    <t>O631,O714</t>
  </si>
  <si>
    <t>O088</t>
  </si>
  <si>
    <t>O718,O244,O100,Z292</t>
  </si>
  <si>
    <t>N994,K661</t>
  </si>
  <si>
    <t>O681,O700</t>
  </si>
  <si>
    <t>Z390</t>
  </si>
  <si>
    <t>N989</t>
  </si>
  <si>
    <t>O326</t>
  </si>
  <si>
    <t>E208,J459,T818</t>
  </si>
  <si>
    <t>O231</t>
  </si>
  <si>
    <t>Z942,E849,E118,N183</t>
  </si>
  <si>
    <t>O723,O718,U071,Z290</t>
  </si>
  <si>
    <t>W1999,S0600,F100,S800,S908</t>
  </si>
  <si>
    <t>O631,O420,O718</t>
  </si>
  <si>
    <t>N981</t>
  </si>
  <si>
    <t>O998,U071,Z290,J9600,E878</t>
  </si>
  <si>
    <t>O420,O680,O718</t>
  </si>
  <si>
    <t>O601,O142,O300,O244</t>
  </si>
  <si>
    <t>F400,U6975,L509,Z560</t>
  </si>
  <si>
    <t>O730,O420,O681,O718</t>
  </si>
  <si>
    <t>O321,O420,U071,Z290</t>
  </si>
  <si>
    <t>O440</t>
  </si>
  <si>
    <t>O680,O700,O244</t>
  </si>
  <si>
    <t>O321,O244</t>
  </si>
  <si>
    <t>M8904</t>
  </si>
  <si>
    <t>F205,F603,Z864</t>
  </si>
  <si>
    <t>F603,U6975,E038</t>
  </si>
  <si>
    <t>O300,O992,O244</t>
  </si>
  <si>
    <t>J352,E039,Z880</t>
  </si>
  <si>
    <t>D684</t>
  </si>
  <si>
    <t>O420,O718,Z292,D685</t>
  </si>
  <si>
    <t>S660</t>
  </si>
  <si>
    <t>W0190,T932,U6975</t>
  </si>
  <si>
    <t>F319,G473</t>
  </si>
  <si>
    <t>K632,K660,Z932</t>
  </si>
  <si>
    <t>E440,E834,E559,E86,K769</t>
  </si>
  <si>
    <t>W0000,K519,W0101,U6975</t>
  </si>
  <si>
    <t>U6975,E660</t>
  </si>
  <si>
    <t>U592,U6975,Z911,F122</t>
  </si>
  <si>
    <t>F208</t>
  </si>
  <si>
    <t>D383,U6975</t>
  </si>
  <si>
    <t>S730</t>
  </si>
  <si>
    <t>W0100,S8200,S3240,U6975</t>
  </si>
  <si>
    <t>I509,X4900,G936</t>
  </si>
  <si>
    <t>R451,F172,Z911,U6975</t>
  </si>
  <si>
    <t>M2320,M2396,U6975</t>
  </si>
  <si>
    <t>Y0841</t>
  </si>
  <si>
    <t>O700,O723</t>
  </si>
  <si>
    <t>O034</t>
  </si>
  <si>
    <t>N183,I151,F419</t>
  </si>
  <si>
    <t>O440,O322,O723</t>
  </si>
  <si>
    <t>F132,R51,U6975</t>
  </si>
  <si>
    <t>F450</t>
  </si>
  <si>
    <t>F410,F172,Z731</t>
  </si>
  <si>
    <t>O420,O342</t>
  </si>
  <si>
    <t>O420,O681,O631,O700</t>
  </si>
  <si>
    <t>O680,O13</t>
  </si>
  <si>
    <t>O440,O13</t>
  </si>
  <si>
    <t>O420,O680</t>
  </si>
  <si>
    <t>K661,N736</t>
  </si>
  <si>
    <t>O660,O718</t>
  </si>
  <si>
    <t>O266,O718,Z292,O681</t>
  </si>
  <si>
    <t>O342,K36</t>
  </si>
  <si>
    <t>O691,O714</t>
  </si>
  <si>
    <t>O421,U071,Z290</t>
  </si>
  <si>
    <t>O364,U071</t>
  </si>
  <si>
    <t>M5312,A692</t>
  </si>
  <si>
    <t>M5302,M5312,A692</t>
  </si>
  <si>
    <t>O700,O714</t>
  </si>
  <si>
    <t>O602,O342,O992</t>
  </si>
  <si>
    <t>O081</t>
  </si>
  <si>
    <t>Z886</t>
  </si>
  <si>
    <t>Z348,U6975,Z911</t>
  </si>
  <si>
    <t>X6109,F341,I10,U072,G409</t>
  </si>
  <si>
    <t>F328,E038</t>
  </si>
  <si>
    <t>F603,U6975,I10</t>
  </si>
  <si>
    <t>O421,O700</t>
  </si>
  <si>
    <t>F192,K709,E876,R104,U6975</t>
  </si>
  <si>
    <t>O714,O13</t>
  </si>
  <si>
    <t>O700,O366</t>
  </si>
  <si>
    <t>W1999,F100,S010</t>
  </si>
  <si>
    <t>O342,O334</t>
  </si>
  <si>
    <t>T918,M5313,U6975,U5000</t>
  </si>
  <si>
    <t>S004</t>
  </si>
  <si>
    <t>V991,J952</t>
  </si>
  <si>
    <t>W1999,S001</t>
  </si>
  <si>
    <t>J304,B182</t>
  </si>
  <si>
    <t>Z018</t>
  </si>
  <si>
    <t>G632</t>
  </si>
  <si>
    <t>F102,G409,K709,U6975</t>
  </si>
  <si>
    <t>F701</t>
  </si>
  <si>
    <t>J342,G439</t>
  </si>
  <si>
    <t>F419,E785,R91</t>
  </si>
  <si>
    <t>G473,I10,R942</t>
  </si>
  <si>
    <t>F151</t>
  </si>
  <si>
    <t>Z731,U6975</t>
  </si>
  <si>
    <t>K858,I10,E785</t>
  </si>
  <si>
    <t>V2099,S202,S800</t>
  </si>
  <si>
    <t>K083,U6975</t>
  </si>
  <si>
    <t>O601,O300,O421,O640</t>
  </si>
  <si>
    <t>O422,O730</t>
  </si>
  <si>
    <t>F329</t>
  </si>
  <si>
    <t>N709</t>
  </si>
  <si>
    <t>O700,O992,Z292</t>
  </si>
  <si>
    <t>H308</t>
  </si>
  <si>
    <t>H335,U6975</t>
  </si>
  <si>
    <t>H332,M8148</t>
  </si>
  <si>
    <t>H332</t>
  </si>
  <si>
    <t>H150,H108</t>
  </si>
  <si>
    <t>O718,U071,O13</t>
  </si>
  <si>
    <t>O420,O631</t>
  </si>
  <si>
    <t>O420,O700,Z292</t>
  </si>
  <si>
    <t>O610,O13</t>
  </si>
  <si>
    <t>V4319</t>
  </si>
  <si>
    <t>C050</t>
  </si>
  <si>
    <t>O631,O718,Z292,O100</t>
  </si>
  <si>
    <t>O681,Z292</t>
  </si>
  <si>
    <t>O690</t>
  </si>
  <si>
    <t>O680,O714</t>
  </si>
  <si>
    <t>O998,J9600,O266,A047,U071,Z290</t>
  </si>
  <si>
    <t>O690,O321,O300</t>
  </si>
  <si>
    <t>O718,O244,Z292</t>
  </si>
  <si>
    <t>O631,O730,O714,O244,O992,Z292</t>
  </si>
  <si>
    <t>O714,O13,Z292</t>
  </si>
  <si>
    <t>O660,O701</t>
  </si>
  <si>
    <t>O364,O681</t>
  </si>
  <si>
    <t>O714,O992,O13</t>
  </si>
  <si>
    <t>K712</t>
  </si>
  <si>
    <t>E038,L80</t>
  </si>
  <si>
    <t>N049,N085,M5480</t>
  </si>
  <si>
    <t>Z514,D649,C780</t>
  </si>
  <si>
    <t>Z510,C780,D611,C798</t>
  </si>
  <si>
    <t>N839</t>
  </si>
  <si>
    <t>O421,O702,O723,O721</t>
  </si>
  <si>
    <t>O631,O693,O13</t>
  </si>
  <si>
    <t>O815</t>
  </si>
  <si>
    <t>U6975,Z538</t>
  </si>
  <si>
    <t>O631,O244,E109</t>
  </si>
  <si>
    <t>U071,O992</t>
  </si>
  <si>
    <t>Q601,R63,Z933,Z958,N182</t>
  </si>
  <si>
    <t>I839,D110,M5489</t>
  </si>
  <si>
    <t>O422,O992</t>
  </si>
  <si>
    <t>O603,O420,O468,O244,O992</t>
  </si>
  <si>
    <t>J304,L209,I839,D693</t>
  </si>
  <si>
    <t>O700,O100,O990,U071,Z290</t>
  </si>
  <si>
    <t>O342,O365</t>
  </si>
  <si>
    <t>O420,Z292,O992</t>
  </si>
  <si>
    <t>O718,O13,Z292</t>
  </si>
  <si>
    <t>E107,Z961,H162,H405</t>
  </si>
  <si>
    <t>D381,E039</t>
  </si>
  <si>
    <t>K011,K045</t>
  </si>
  <si>
    <t>U071,J9600,Z290</t>
  </si>
  <si>
    <t>M2412</t>
  </si>
  <si>
    <t>D500,E46</t>
  </si>
  <si>
    <t>F920</t>
  </si>
  <si>
    <t>M1995,M752</t>
  </si>
  <si>
    <t>E830</t>
  </si>
  <si>
    <t>Z511,E883,R11,K752,Z452,Z978</t>
  </si>
  <si>
    <t>V2981,S610,S0600,E039</t>
  </si>
  <si>
    <t>J9600,T751,W6988,K720,N170,J954</t>
  </si>
  <si>
    <t>V4618,F121,F151</t>
  </si>
  <si>
    <t>S6200</t>
  </si>
  <si>
    <t>J310,K219</t>
  </si>
  <si>
    <t>G800,U6975</t>
  </si>
  <si>
    <t>F317,U6975,B182</t>
  </si>
  <si>
    <t>W0190,S533</t>
  </si>
  <si>
    <t>F191,F172,R451,Z911,U6975</t>
  </si>
  <si>
    <t>A410,E440,B956,U821,E063</t>
  </si>
  <si>
    <t>J342,U6975</t>
  </si>
  <si>
    <t>U6975,L020,K083</t>
  </si>
  <si>
    <t>O420,O681,O718,O992</t>
  </si>
  <si>
    <t>O681,O680,O718,O723,O244</t>
  </si>
  <si>
    <t>F100,E038,U6975</t>
  </si>
  <si>
    <t>O342,O240</t>
  </si>
  <si>
    <t>O140,O100,O714</t>
  </si>
  <si>
    <t>O700,O100,O723</t>
  </si>
  <si>
    <t>O601,O420,O718</t>
  </si>
  <si>
    <t>U6975,D509,I828,R509</t>
  </si>
  <si>
    <t>O631,O718,O992</t>
  </si>
  <si>
    <t>O680,O718,Z292</t>
  </si>
  <si>
    <t>F510,U6975,Z818</t>
  </si>
  <si>
    <t>D868</t>
  </si>
  <si>
    <t>N920</t>
  </si>
  <si>
    <t>O640,O681,Z292</t>
  </si>
  <si>
    <t>O603,O141</t>
  </si>
  <si>
    <t>O244,E109,O366</t>
  </si>
  <si>
    <t>O702,O13</t>
  </si>
  <si>
    <t>O601,O300,O992</t>
  </si>
  <si>
    <t>O992,Z292</t>
  </si>
  <si>
    <t>O631,O718</t>
  </si>
  <si>
    <t>R51,Z612</t>
  </si>
  <si>
    <t>O421,O730,O713,O718</t>
  </si>
  <si>
    <t>O420,O691,O718,O713,Z292</t>
  </si>
  <si>
    <t>O681</t>
  </si>
  <si>
    <t>O631,O680,O718</t>
  </si>
  <si>
    <t>U6975,Z818,O268</t>
  </si>
  <si>
    <t>F411,U6975,R51</t>
  </si>
  <si>
    <t>O610,O992</t>
  </si>
  <si>
    <t>O140,O700,O992</t>
  </si>
  <si>
    <t>O422,Z292</t>
  </si>
  <si>
    <t>O730,O240,O13,O992,N23,E669</t>
  </si>
  <si>
    <t>M328</t>
  </si>
  <si>
    <t>U072,J450</t>
  </si>
  <si>
    <t>O359,U6975</t>
  </si>
  <si>
    <t>O342,O244,E109</t>
  </si>
  <si>
    <t>O631,O421,O718</t>
  </si>
  <si>
    <t>I613</t>
  </si>
  <si>
    <t>R58,U6975</t>
  </si>
  <si>
    <t>I447,E790,I428</t>
  </si>
  <si>
    <t>T923,U5010</t>
  </si>
  <si>
    <t>F432,F510,Z597,U6975</t>
  </si>
  <si>
    <t>H654</t>
  </si>
  <si>
    <t>E119,G473,I10,K219,E669</t>
  </si>
  <si>
    <t>G048</t>
  </si>
  <si>
    <t>G960,I693</t>
  </si>
  <si>
    <t>I10,Z988,E118</t>
  </si>
  <si>
    <t>W1999,S2720,S3610,S0230,S3600</t>
  </si>
  <si>
    <t>Z878</t>
  </si>
  <si>
    <t>F621</t>
  </si>
  <si>
    <t>R030</t>
  </si>
  <si>
    <t>F192,U6975,F401,Z818</t>
  </si>
  <si>
    <t>F192,F510,F401,Z911,U6975</t>
  </si>
  <si>
    <t>K863,F105</t>
  </si>
  <si>
    <t>K852,F105,U6975</t>
  </si>
  <si>
    <t>K863,F102,F172</t>
  </si>
  <si>
    <t>F711,I10,U6975,Z818</t>
  </si>
  <si>
    <t>T931,T932,U6975,U5010</t>
  </si>
  <si>
    <t>V2341,U6975</t>
  </si>
  <si>
    <t>W3181,F100,S0251,S032,S015</t>
  </si>
  <si>
    <t>I605</t>
  </si>
  <si>
    <t>S199,Y2009,U6975</t>
  </si>
  <si>
    <t>O342,O13,O992</t>
  </si>
  <si>
    <t>E559,E063</t>
  </si>
  <si>
    <t>O730,O701,O13</t>
  </si>
  <si>
    <t>N158</t>
  </si>
  <si>
    <t>G933</t>
  </si>
  <si>
    <t>M5494,F920,U099</t>
  </si>
  <si>
    <t>O998,Z292</t>
  </si>
  <si>
    <t>O660,O631,O718</t>
  </si>
  <si>
    <t>H904</t>
  </si>
  <si>
    <t>O244,O718</t>
  </si>
  <si>
    <t>U6975,R509</t>
  </si>
  <si>
    <t>O321,O244,E109,O100</t>
  </si>
  <si>
    <t>O631,O723,O993,F539</t>
  </si>
  <si>
    <t>I693,G811,R470</t>
  </si>
  <si>
    <t>W1999,S136,U6975</t>
  </si>
  <si>
    <t>O441,O603</t>
  </si>
  <si>
    <t>O680,O420,O993,F419,O723</t>
  </si>
  <si>
    <t>O631,O702</t>
  </si>
  <si>
    <t>J310,J352,E042,K519</t>
  </si>
  <si>
    <t>O420,O681,O244</t>
  </si>
  <si>
    <t>O420,O714,O244</t>
  </si>
  <si>
    <t>U071,Z290,E890,J9690,E892,J459</t>
  </si>
  <si>
    <t>O680,O752</t>
  </si>
  <si>
    <t>O680,O718,O992</t>
  </si>
  <si>
    <t>W0101,S507,S607,S600,S700</t>
  </si>
  <si>
    <t>I801,C775,Z514</t>
  </si>
  <si>
    <t>I809,D649</t>
  </si>
  <si>
    <t>O321,U071,Z290</t>
  </si>
  <si>
    <t>O601,O420,O141</t>
  </si>
  <si>
    <t>O420,O300</t>
  </si>
  <si>
    <t>O421,O714</t>
  </si>
  <si>
    <t>O420,O601,O631,O718</t>
  </si>
  <si>
    <t>O680,O701</t>
  </si>
  <si>
    <t>S508</t>
  </si>
  <si>
    <t>V4991,U6975</t>
  </si>
  <si>
    <t>Z731,S8270,W0190</t>
  </si>
  <si>
    <t>F125</t>
  </si>
  <si>
    <t>F122,U6975,Z598,R451</t>
  </si>
  <si>
    <t>S133</t>
  </si>
  <si>
    <t>W0109,S136</t>
  </si>
  <si>
    <t>U071,C621,I269</t>
  </si>
  <si>
    <t>W4404,K221</t>
  </si>
  <si>
    <t>T784,J303</t>
  </si>
  <si>
    <t>S668</t>
  </si>
  <si>
    <t>W0181,T925</t>
  </si>
  <si>
    <t>Y0441,E039</t>
  </si>
  <si>
    <t>C629</t>
  </si>
  <si>
    <t>U071,Z290,Z228,K900</t>
  </si>
  <si>
    <t>G473,R942</t>
  </si>
  <si>
    <t>E662,J448</t>
  </si>
  <si>
    <t>U6975,Z731,G442,R11</t>
  </si>
  <si>
    <t>O701,Z292,O992</t>
  </si>
  <si>
    <t>O334,O992</t>
  </si>
  <si>
    <t>J320,E042,T818,R600</t>
  </si>
  <si>
    <t>Q874</t>
  </si>
  <si>
    <t>O718,O266,K805</t>
  </si>
  <si>
    <t>U6975,K802</t>
  </si>
  <si>
    <t>J320,J343,J304,L209</t>
  </si>
  <si>
    <t>O718,O244,O13</t>
  </si>
  <si>
    <t>V2309</t>
  </si>
  <si>
    <t>O680,O420,O700</t>
  </si>
  <si>
    <t>O468,O300</t>
  </si>
  <si>
    <t>O714,O420,O681</t>
  </si>
  <si>
    <t>O631,Z292</t>
  </si>
  <si>
    <t>O691,O100,O992</t>
  </si>
  <si>
    <t>O718,U071,Z290</t>
  </si>
  <si>
    <t>V4403,S800,S607,S0600,S134</t>
  </si>
  <si>
    <t>O680,O631,O718,O992</t>
  </si>
  <si>
    <t>O631,O730,O420</t>
  </si>
  <si>
    <t>O421,O631,O718,Z292</t>
  </si>
  <si>
    <t>O142,O601</t>
  </si>
  <si>
    <t>O421,O714,O13</t>
  </si>
  <si>
    <t>O680,O718,O13</t>
  </si>
  <si>
    <t>O731,O718</t>
  </si>
  <si>
    <t>N946</t>
  </si>
  <si>
    <t>N178,D593,N048,N085,D695</t>
  </si>
  <si>
    <t>M1380,B002</t>
  </si>
  <si>
    <t>Z878,I10</t>
  </si>
  <si>
    <t>F190,G442,R451,U6975</t>
  </si>
  <si>
    <t>U071,Z948,D70,A415,J128</t>
  </si>
  <si>
    <t>Z511,D630,D695,D70,U6975,Z978</t>
  </si>
  <si>
    <t>Z948,Z511,D70,K121,I828,K052</t>
  </si>
  <si>
    <t>F410,U6975,E039,Z720</t>
  </si>
  <si>
    <t>O420,O654</t>
  </si>
  <si>
    <t>O701,O992</t>
  </si>
  <si>
    <t>O718,O992,Z292</t>
  </si>
  <si>
    <t>L040,J459</t>
  </si>
  <si>
    <t>J320,J352</t>
  </si>
  <si>
    <t>O142,O603</t>
  </si>
  <si>
    <t>O700,O140</t>
  </si>
  <si>
    <t>O601,O240</t>
  </si>
  <si>
    <t>O718,O300,O992</t>
  </si>
  <si>
    <t>O631,O13,O723</t>
  </si>
  <si>
    <t>O420,O680,O681,O718</t>
  </si>
  <si>
    <t>O691</t>
  </si>
  <si>
    <t>O008</t>
  </si>
  <si>
    <t>O601,O13,O718</t>
  </si>
  <si>
    <t>O140,E669,O244,E109</t>
  </si>
  <si>
    <t>E660,E782,K760</t>
  </si>
  <si>
    <t>F200,U6975</t>
  </si>
  <si>
    <t>K051,K010,U6975</t>
  </si>
  <si>
    <t>E86,E871,E876</t>
  </si>
  <si>
    <t>N178,E871,E86</t>
  </si>
  <si>
    <t>M5421</t>
  </si>
  <si>
    <t>R451,F172,Z560</t>
  </si>
  <si>
    <t>M5496</t>
  </si>
  <si>
    <t>O690,O13</t>
  </si>
  <si>
    <t>J320,M5489</t>
  </si>
  <si>
    <t>K633</t>
  </si>
  <si>
    <t>O601,O300,O420,O723</t>
  </si>
  <si>
    <t>O730,O420,O718,O992,O100</t>
  </si>
  <si>
    <t>O680,O140,O13</t>
  </si>
  <si>
    <t>O680,O421,O681,U071,Z290</t>
  </si>
  <si>
    <t>O601,O421,O244,O300</t>
  </si>
  <si>
    <t>O631,O681,O718</t>
  </si>
  <si>
    <t>O700,O13</t>
  </si>
  <si>
    <t>O631,O681,O714,O992</t>
  </si>
  <si>
    <t>G823,G618,Z321,U5040,U6975</t>
  </si>
  <si>
    <t>G823,G618</t>
  </si>
  <si>
    <t>N760,Z321</t>
  </si>
  <si>
    <t>O335</t>
  </si>
  <si>
    <t>O420,O680,O714</t>
  </si>
  <si>
    <t>W0180,S530,S542</t>
  </si>
  <si>
    <t>O680,O140</t>
  </si>
  <si>
    <t>F444</t>
  </si>
  <si>
    <t>O603,O141,U071</t>
  </si>
  <si>
    <t>O322,O723</t>
  </si>
  <si>
    <t>O702,O244</t>
  </si>
  <si>
    <t>M1254</t>
  </si>
  <si>
    <t>O701,O681</t>
  </si>
  <si>
    <t>V4701,E039,S3680,K638,U6975</t>
  </si>
  <si>
    <t>H74</t>
  </si>
  <si>
    <t>U6975,H958</t>
  </si>
  <si>
    <t>O421,Z292</t>
  </si>
  <si>
    <t>F192,U6975</t>
  </si>
  <si>
    <t>F190,F192,Z560,U6975</t>
  </si>
  <si>
    <t>K519,R103,U6975</t>
  </si>
  <si>
    <t>V4318</t>
  </si>
  <si>
    <t>W9999,S6271</t>
  </si>
  <si>
    <t>W0101,S430</t>
  </si>
  <si>
    <t>S666</t>
  </si>
  <si>
    <t>W0100,Z228,U071,S663,W1999</t>
  </si>
  <si>
    <t>H509</t>
  </si>
  <si>
    <t>E831,K909,E440,R509,D509</t>
  </si>
  <si>
    <t>R041</t>
  </si>
  <si>
    <t>T818,Y839,U071,J350</t>
  </si>
  <si>
    <t>W1999,S2240,S2730,S0600,U6975</t>
  </si>
  <si>
    <t>V1999,S0600,S809,S709</t>
  </si>
  <si>
    <t>W1999,J952</t>
  </si>
  <si>
    <t>O441,O601</t>
  </si>
  <si>
    <t>N181,E660,N258</t>
  </si>
  <si>
    <t>O681,O718,Z292</t>
  </si>
  <si>
    <t>U071,H811,Z290</t>
  </si>
  <si>
    <t>Z978,C833</t>
  </si>
  <si>
    <t>N764</t>
  </si>
  <si>
    <t>O420,O745,O321,O992</t>
  </si>
  <si>
    <t>O603,O745,R060,U071,Z290</t>
  </si>
  <si>
    <t>F259</t>
  </si>
  <si>
    <t>F190,F192,F172,U6975,Z911</t>
  </si>
  <si>
    <t>O365</t>
  </si>
  <si>
    <t>O321,O244,O753</t>
  </si>
  <si>
    <t>F131</t>
  </si>
  <si>
    <t>F603,E876,R51,F510</t>
  </si>
  <si>
    <t>W1949,S0240,S015,S014</t>
  </si>
  <si>
    <t>O601,O142,T810,U071,Z290</t>
  </si>
  <si>
    <t>F172,K219,K591,Z731,U6975</t>
  </si>
  <si>
    <t>F603,N300,F410,U6975</t>
  </si>
  <si>
    <t>E108,J47,J324,Z968,K868</t>
  </si>
  <si>
    <t>E108,Z968</t>
  </si>
  <si>
    <t>M8644</t>
  </si>
  <si>
    <t>W1999,U6975,S6251,B968</t>
  </si>
  <si>
    <t>K820</t>
  </si>
  <si>
    <t>K805,K802</t>
  </si>
  <si>
    <t>H901,F509</t>
  </si>
  <si>
    <t>O681,O714,O992</t>
  </si>
  <si>
    <t>O420,O681,Z292</t>
  </si>
  <si>
    <t>K30,O211</t>
  </si>
  <si>
    <t>O210,Z321,H350,E103</t>
  </si>
  <si>
    <t>F432,O210,F603,H360</t>
  </si>
  <si>
    <t>W0100,S832,S836</t>
  </si>
  <si>
    <t>V991,T068,S519,S5240,S3600,J9600</t>
  </si>
  <si>
    <t>F101,Z911,U592,U6975</t>
  </si>
  <si>
    <t>X6001,T509,R450,U6975</t>
  </si>
  <si>
    <t>T438</t>
  </si>
  <si>
    <t>X6400,J128,U071,F421,F152</t>
  </si>
  <si>
    <t>D731</t>
  </si>
  <si>
    <t>D638,K766,I982,U6975</t>
  </si>
  <si>
    <t>E039,T784</t>
  </si>
  <si>
    <t>M1918</t>
  </si>
  <si>
    <t>O218</t>
  </si>
  <si>
    <t>O680,O714,U071,Z290</t>
  </si>
  <si>
    <t>N803</t>
  </si>
  <si>
    <t>O998,O244</t>
  </si>
  <si>
    <t>C490</t>
  </si>
  <si>
    <t>Z511,D611,D70,D696</t>
  </si>
  <si>
    <t>Z511,D611</t>
  </si>
  <si>
    <t>Z511,J160</t>
  </si>
  <si>
    <t>Z514,D70,D695,D611,A499</t>
  </si>
  <si>
    <t>Z511,D611,D695,D70</t>
  </si>
  <si>
    <t>Z514,D611,D696,Z513</t>
  </si>
  <si>
    <t>G825,C412,O268,O232,U5030</t>
  </si>
  <si>
    <t>Z511,Z513</t>
  </si>
  <si>
    <t>O420,O718,O240,O992</t>
  </si>
  <si>
    <t>D508,U6975</t>
  </si>
  <si>
    <t>J459,K500,K660</t>
  </si>
  <si>
    <t>O718,O13,O992</t>
  </si>
  <si>
    <t>W0180,S018,U6975</t>
  </si>
  <si>
    <t>M8415</t>
  </si>
  <si>
    <t>V1999,S0600,F100</t>
  </si>
  <si>
    <t>O603,O300</t>
  </si>
  <si>
    <t>K083,E789</t>
  </si>
  <si>
    <t>F630,F510,K088</t>
  </si>
  <si>
    <t>O421</t>
  </si>
  <si>
    <t>W0101,W0190</t>
  </si>
  <si>
    <t>W0100,T931</t>
  </si>
  <si>
    <t>S7241</t>
  </si>
  <si>
    <t>V2981,S2700,S2200,S4200,S817</t>
  </si>
  <si>
    <t>T068,N390,U5030</t>
  </si>
  <si>
    <t>T931</t>
  </si>
  <si>
    <t>T931,M2566,U5010</t>
  </si>
  <si>
    <t>M2566</t>
  </si>
  <si>
    <t>W0180,T931</t>
  </si>
  <si>
    <t>U6975,Z811,Z818</t>
  </si>
  <si>
    <t>V4351</t>
  </si>
  <si>
    <t>K709</t>
  </si>
  <si>
    <t>J352,K709</t>
  </si>
  <si>
    <t>G439,J459</t>
  </si>
  <si>
    <t>F192,F630,F510,U6975</t>
  </si>
  <si>
    <t>H109</t>
  </si>
  <si>
    <t>R509,U6975</t>
  </si>
  <si>
    <t>C261</t>
  </si>
  <si>
    <t>R161</t>
  </si>
  <si>
    <t>K083,K045</t>
  </si>
  <si>
    <t>F429</t>
  </si>
  <si>
    <t>F172,F510,Z818,R451,U6975</t>
  </si>
  <si>
    <t>M8794</t>
  </si>
  <si>
    <t>G824,T905,U6975,U5020</t>
  </si>
  <si>
    <t>W0181,S7240</t>
  </si>
  <si>
    <t>J310,J352,F195</t>
  </si>
  <si>
    <t>O141,O603</t>
  </si>
  <si>
    <t>O438</t>
  </si>
  <si>
    <t>J039,E038,G430</t>
  </si>
  <si>
    <t>H522,J459</t>
  </si>
  <si>
    <t>J459,E039</t>
  </si>
  <si>
    <t>J342,D539</t>
  </si>
  <si>
    <t>O300,O714,Z292</t>
  </si>
  <si>
    <t>F313</t>
  </si>
  <si>
    <t>Z818,U6975</t>
  </si>
  <si>
    <t>A411,J9600,G628,E660,N390,J22</t>
  </si>
  <si>
    <t>Q969</t>
  </si>
  <si>
    <t>Q039</t>
  </si>
  <si>
    <t>E230</t>
  </si>
  <si>
    <t>E038,R000</t>
  </si>
  <si>
    <t>O714,Z292,U071,Z290</t>
  </si>
  <si>
    <t>H744</t>
  </si>
  <si>
    <t>K851,K863,E660,K831,E119</t>
  </si>
  <si>
    <t>E46,E108</t>
  </si>
  <si>
    <t>K863,I10,E138,K760,E669</t>
  </si>
  <si>
    <t>J47,B965,E440</t>
  </si>
  <si>
    <t>F900</t>
  </si>
  <si>
    <t>Y0450</t>
  </si>
  <si>
    <t>U071,Q909,E078,E660</t>
  </si>
  <si>
    <t>R451,K590,Z911,Z818,U6975</t>
  </si>
  <si>
    <t>T922,W0181</t>
  </si>
  <si>
    <t>F701,F121,F172,U6975,Z911</t>
  </si>
  <si>
    <t>F208,F121,F172,Z911,U6975</t>
  </si>
  <si>
    <t>G823,U6975,U5000</t>
  </si>
  <si>
    <t>K006,J459</t>
  </si>
  <si>
    <t>R200</t>
  </si>
  <si>
    <t>U071,M5450,F419,Z290</t>
  </si>
  <si>
    <t>V5981,S3200,S014,S0601,S817,J9600</t>
  </si>
  <si>
    <t>E039,Z998</t>
  </si>
  <si>
    <t>O680,O631,O240,O718,Z292</t>
  </si>
  <si>
    <t>O080</t>
  </si>
  <si>
    <t>D509,K210</t>
  </si>
  <si>
    <t>K500,U6975,L404</t>
  </si>
  <si>
    <t>K500,L404</t>
  </si>
  <si>
    <t>O603,O365</t>
  </si>
  <si>
    <t>U6975,F401</t>
  </si>
  <si>
    <t>S635</t>
  </si>
  <si>
    <t>W0190,S633</t>
  </si>
  <si>
    <t>O342,O624</t>
  </si>
  <si>
    <t>G009</t>
  </si>
  <si>
    <t>O701,O13</t>
  </si>
  <si>
    <t>O718,O240</t>
  </si>
  <si>
    <t>X6101,F603</t>
  </si>
  <si>
    <t>X8304,Z228,U071</t>
  </si>
  <si>
    <t>O420,O718,U071</t>
  </si>
  <si>
    <t>F603,Z818,U6975</t>
  </si>
  <si>
    <t>E039,J450</t>
  </si>
  <si>
    <t>F640,F172,U6975,Z818,Z567</t>
  </si>
  <si>
    <t>G251</t>
  </si>
  <si>
    <t>Q200</t>
  </si>
  <si>
    <t>K029</t>
  </si>
  <si>
    <t>Z731,R51,U6975</t>
  </si>
  <si>
    <t>F21</t>
  </si>
  <si>
    <t>F21,F900,G409,U6975</t>
  </si>
  <si>
    <t>V999,S1220</t>
  </si>
  <si>
    <t>F153</t>
  </si>
  <si>
    <t>F192,U6975,B182</t>
  </si>
  <si>
    <t>U071,K509,I10,Z290</t>
  </si>
  <si>
    <t>F401,Z731,U6975</t>
  </si>
  <si>
    <t>F101,F603,F510,Z911</t>
  </si>
  <si>
    <t>F510,F603,Z911</t>
  </si>
  <si>
    <t>F192,F603,U071,Z228,E038</t>
  </si>
  <si>
    <t>S0620</t>
  </si>
  <si>
    <t>V4999,S2730,J9600,J128,G810,U071</t>
  </si>
  <si>
    <t>S0620,U5000</t>
  </si>
  <si>
    <t>U6975,Q676,E804</t>
  </si>
  <si>
    <t>L503</t>
  </si>
  <si>
    <t>L701</t>
  </si>
  <si>
    <t>O342,O244,O13</t>
  </si>
  <si>
    <t>U071,Z290,E669</t>
  </si>
  <si>
    <t>F231,U6975</t>
  </si>
  <si>
    <t>Z811,G442,R451,U6975</t>
  </si>
  <si>
    <t>F640,F401,U6975</t>
  </si>
  <si>
    <t>T391</t>
  </si>
  <si>
    <t>X4001</t>
  </si>
  <si>
    <t>M6583</t>
  </si>
  <si>
    <t>O601,O244</t>
  </si>
  <si>
    <t>O321,Q519</t>
  </si>
  <si>
    <t>W4999,S300,S2730,S0600,S932</t>
  </si>
  <si>
    <t>G919,I671,J9699,Z931,Z991</t>
  </si>
  <si>
    <t>O342,O140,O603,O244,Z292</t>
  </si>
  <si>
    <t>U6975,Z630</t>
  </si>
  <si>
    <t>T953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</si>
</sst>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521"/>
  <sheetViews>
    <sheetView tabSelected="1" workbookViewId="0">
      <selection activeCell="L1" sqref="L1:L1048576"/>
    </sheetView>
  </sheetViews>
  <sheetFormatPr defaultRowHeight="15" x14ac:dyDescent="0.25"/>
  <sheetData>
    <row r="1" spans="1:12" x14ac:dyDescent="0.25">
      <c r="A1" t="s">
        <v>2</v>
      </c>
      <c r="B1" t="s">
        <v>0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</v>
      </c>
    </row>
    <row r="2" spans="1:12" x14ac:dyDescent="0.25">
      <c r="A2" t="str">
        <f>"0001035727"</f>
        <v>0001035727</v>
      </c>
      <c r="B2" t="str">
        <f t="shared" ref="B2:B63" si="0">"89301000"</f>
        <v>89301000</v>
      </c>
      <c r="C2" s="1">
        <v>44459</v>
      </c>
      <c r="D2" s="1">
        <v>44462</v>
      </c>
      <c r="E2">
        <v>1</v>
      </c>
      <c r="F2" t="s">
        <v>12</v>
      </c>
      <c r="G2" t="str">
        <f>"03-I14-02"</f>
        <v>03-I14-02</v>
      </c>
      <c r="H2">
        <v>1.1086</v>
      </c>
      <c r="I2" t="s">
        <v>13</v>
      </c>
      <c r="J2" t="s">
        <v>14</v>
      </c>
      <c r="K2" t="str">
        <f>"7F1"</f>
        <v>7F1</v>
      </c>
      <c r="L2" t="s">
        <v>15</v>
      </c>
    </row>
    <row r="3" spans="1:12" x14ac:dyDescent="0.25">
      <c r="A3" t="str">
        <f>"0001235729"</f>
        <v>0001235729</v>
      </c>
      <c r="B3" t="str">
        <f t="shared" si="0"/>
        <v>89301000</v>
      </c>
      <c r="C3" s="1">
        <v>44260</v>
      </c>
      <c r="D3" s="1">
        <v>44263</v>
      </c>
      <c r="E3">
        <v>1</v>
      </c>
      <c r="F3" t="s">
        <v>16</v>
      </c>
      <c r="G3" t="str">
        <f>"08-I04-03"</f>
        <v>08-I04-03</v>
      </c>
      <c r="H3">
        <v>1.331</v>
      </c>
      <c r="J3" t="s">
        <v>17</v>
      </c>
      <c r="K3" t="str">
        <f>"5F6"</f>
        <v>5F6</v>
      </c>
      <c r="L3" t="s">
        <v>15</v>
      </c>
    </row>
    <row r="4" spans="1:12" x14ac:dyDescent="0.25">
      <c r="A4" t="str">
        <f>"0001246212"</f>
        <v>0001246212</v>
      </c>
      <c r="B4" t="str">
        <f t="shared" si="0"/>
        <v>89301000</v>
      </c>
      <c r="C4" s="1">
        <v>44369</v>
      </c>
      <c r="D4" s="1">
        <v>44374</v>
      </c>
      <c r="E4">
        <v>1</v>
      </c>
      <c r="F4" t="s">
        <v>18</v>
      </c>
      <c r="G4" t="str">
        <f>"11-I10-01"</f>
        <v>11-I10-01</v>
      </c>
      <c r="H4">
        <v>2.8389000000000002</v>
      </c>
      <c r="I4" t="s">
        <v>19</v>
      </c>
      <c r="J4" t="s">
        <v>14</v>
      </c>
      <c r="K4" t="str">
        <f>"7F6"</f>
        <v>7F6</v>
      </c>
      <c r="L4" t="s">
        <v>15</v>
      </c>
    </row>
    <row r="5" spans="1:12" x14ac:dyDescent="0.25">
      <c r="A5" t="str">
        <f>"0002065723"</f>
        <v>0002065723</v>
      </c>
      <c r="B5" t="str">
        <f t="shared" si="0"/>
        <v>89301000</v>
      </c>
      <c r="C5" s="1">
        <v>44249</v>
      </c>
      <c r="D5" s="1">
        <v>44249</v>
      </c>
      <c r="E5">
        <v>1</v>
      </c>
      <c r="F5" t="s">
        <v>20</v>
      </c>
      <c r="G5" t="str">
        <f>"08-I18-02"</f>
        <v>08-I18-02</v>
      </c>
      <c r="H5">
        <v>0.35</v>
      </c>
      <c r="I5" t="s">
        <v>21</v>
      </c>
      <c r="J5" t="s">
        <v>17</v>
      </c>
      <c r="K5" t="str">
        <f>"5F3"</f>
        <v>5F3</v>
      </c>
      <c r="L5" t="s">
        <v>15</v>
      </c>
    </row>
    <row r="6" spans="1:12" x14ac:dyDescent="0.25">
      <c r="A6" t="str">
        <f>"0002176218"</f>
        <v>0002176218</v>
      </c>
      <c r="B6" t="str">
        <f t="shared" si="0"/>
        <v>89301000</v>
      </c>
      <c r="C6" s="1">
        <v>44427</v>
      </c>
      <c r="D6" s="1">
        <v>44429</v>
      </c>
      <c r="E6">
        <v>1</v>
      </c>
      <c r="F6" t="s">
        <v>22</v>
      </c>
      <c r="G6" t="str">
        <f>"02-K11-01"</f>
        <v>02-K11-01</v>
      </c>
      <c r="H6">
        <v>0.88200000000000001</v>
      </c>
      <c r="J6" t="s">
        <v>14</v>
      </c>
      <c r="K6" t="str">
        <f>"2F9"</f>
        <v>2F9</v>
      </c>
      <c r="L6" t="s">
        <v>15</v>
      </c>
    </row>
    <row r="7" spans="1:12" x14ac:dyDescent="0.25">
      <c r="A7" t="str">
        <f>"0004025769"</f>
        <v>0004025769</v>
      </c>
      <c r="B7" t="str">
        <f t="shared" si="0"/>
        <v>89301000</v>
      </c>
      <c r="C7" s="1">
        <v>44425</v>
      </c>
      <c r="D7" s="1">
        <v>44429</v>
      </c>
      <c r="E7">
        <v>1</v>
      </c>
      <c r="F7" t="s">
        <v>23</v>
      </c>
      <c r="G7" t="str">
        <f>"06-I18-05"</f>
        <v>06-I18-05</v>
      </c>
      <c r="H7">
        <v>0.85550000000000004</v>
      </c>
      <c r="J7" t="s">
        <v>24</v>
      </c>
      <c r="K7" t="str">
        <f>"5F1"</f>
        <v>5F1</v>
      </c>
      <c r="L7" t="s">
        <v>15</v>
      </c>
    </row>
    <row r="8" spans="1:12" x14ac:dyDescent="0.25">
      <c r="A8" t="str">
        <f>"0005025724"</f>
        <v>0005025724</v>
      </c>
      <c r="B8" t="str">
        <f t="shared" si="0"/>
        <v>89301000</v>
      </c>
      <c r="C8" s="1">
        <v>44351</v>
      </c>
      <c r="D8" s="1">
        <v>44371</v>
      </c>
      <c r="E8">
        <v>4</v>
      </c>
      <c r="F8" t="s">
        <v>25</v>
      </c>
      <c r="G8" t="str">
        <f>"19-K06-02"</f>
        <v>19-K06-02</v>
      </c>
      <c r="H8">
        <v>2.4085000000000001</v>
      </c>
      <c r="I8" t="s">
        <v>26</v>
      </c>
      <c r="J8" t="s">
        <v>27</v>
      </c>
      <c r="K8" t="str">
        <f>"3F5"</f>
        <v>3F5</v>
      </c>
      <c r="L8" t="s">
        <v>15</v>
      </c>
    </row>
    <row r="9" spans="1:12" x14ac:dyDescent="0.25">
      <c r="A9" t="str">
        <f>"0005066215"</f>
        <v>0005066215</v>
      </c>
      <c r="B9" t="str">
        <f t="shared" si="0"/>
        <v>89301000</v>
      </c>
      <c r="C9" s="1">
        <v>44332</v>
      </c>
      <c r="D9" s="1">
        <v>44335</v>
      </c>
      <c r="E9">
        <v>1</v>
      </c>
      <c r="F9" t="s">
        <v>28</v>
      </c>
      <c r="G9" t="str">
        <f>"03-I12-02"</f>
        <v>03-I12-02</v>
      </c>
      <c r="H9">
        <v>1.2911999999999999</v>
      </c>
      <c r="J9" t="s">
        <v>17</v>
      </c>
      <c r="K9" t="str">
        <f>"7F1"</f>
        <v>7F1</v>
      </c>
      <c r="L9" t="s">
        <v>15</v>
      </c>
    </row>
    <row r="10" spans="1:12" x14ac:dyDescent="0.25">
      <c r="A10" t="str">
        <f>"0005225748"</f>
        <v>0005225748</v>
      </c>
      <c r="B10" t="str">
        <f t="shared" si="0"/>
        <v>89301000</v>
      </c>
      <c r="C10" s="1">
        <v>44362</v>
      </c>
      <c r="D10" s="1">
        <v>44364</v>
      </c>
      <c r="E10">
        <v>1</v>
      </c>
      <c r="F10" t="s">
        <v>29</v>
      </c>
      <c r="G10" t="str">
        <f>"08-I19-01"</f>
        <v>08-I19-01</v>
      </c>
      <c r="H10">
        <v>1.0456000000000001</v>
      </c>
      <c r="I10" t="s">
        <v>30</v>
      </c>
      <c r="J10" t="s">
        <v>17</v>
      </c>
      <c r="K10" t="str">
        <f>"6F6"</f>
        <v>6F6</v>
      </c>
      <c r="L10" t="s">
        <v>15</v>
      </c>
    </row>
    <row r="11" spans="1:12" x14ac:dyDescent="0.25">
      <c r="A11" t="str">
        <f>"0006185718"</f>
        <v>0006185718</v>
      </c>
      <c r="B11" t="str">
        <f t="shared" si="0"/>
        <v>89301000</v>
      </c>
      <c r="C11" s="1">
        <v>44419</v>
      </c>
      <c r="D11" s="1">
        <v>44424</v>
      </c>
      <c r="E11">
        <v>1</v>
      </c>
      <c r="F11" t="s">
        <v>31</v>
      </c>
      <c r="G11" t="str">
        <f>"08-I03-04"</f>
        <v>08-I03-04</v>
      </c>
      <c r="H11">
        <v>4.8169000000000004</v>
      </c>
      <c r="J11" t="s">
        <v>17</v>
      </c>
      <c r="K11" t="str">
        <f>"5F6"</f>
        <v>5F6</v>
      </c>
      <c r="L11" t="s">
        <v>15</v>
      </c>
    </row>
    <row r="12" spans="1:12" x14ac:dyDescent="0.25">
      <c r="A12" t="str">
        <f>"0006185718"</f>
        <v>0006185718</v>
      </c>
      <c r="B12" t="str">
        <f t="shared" si="0"/>
        <v>89301000</v>
      </c>
      <c r="C12" s="1">
        <v>44394</v>
      </c>
      <c r="D12" s="1">
        <v>44399</v>
      </c>
      <c r="E12">
        <v>1</v>
      </c>
      <c r="F12" t="s">
        <v>32</v>
      </c>
      <c r="G12" t="str">
        <f>"08-I03-03"</f>
        <v>08-I03-03</v>
      </c>
      <c r="H12">
        <v>5.3307000000000002</v>
      </c>
      <c r="I12" t="s">
        <v>33</v>
      </c>
      <c r="J12" t="s">
        <v>17</v>
      </c>
      <c r="K12" t="str">
        <f>"5F6"</f>
        <v>5F6</v>
      </c>
      <c r="L12" t="s">
        <v>15</v>
      </c>
    </row>
    <row r="13" spans="1:12" x14ac:dyDescent="0.25">
      <c r="A13" t="str">
        <f>"0006225725"</f>
        <v>0006225725</v>
      </c>
      <c r="B13" t="str">
        <f t="shared" si="0"/>
        <v>89301000</v>
      </c>
      <c r="C13" s="1">
        <v>44285</v>
      </c>
      <c r="D13" s="1">
        <v>44286</v>
      </c>
      <c r="E13">
        <v>1</v>
      </c>
      <c r="F13" t="s">
        <v>34</v>
      </c>
      <c r="G13" t="str">
        <f>"08-I19-03"</f>
        <v>08-I19-03</v>
      </c>
      <c r="H13">
        <v>0.61250000000000004</v>
      </c>
      <c r="I13" t="s">
        <v>35</v>
      </c>
      <c r="J13" t="s">
        <v>17</v>
      </c>
      <c r="K13" t="str">
        <f>"5F3"</f>
        <v>5F3</v>
      </c>
      <c r="L13" t="s">
        <v>15</v>
      </c>
    </row>
    <row r="14" spans="1:12" x14ac:dyDescent="0.25">
      <c r="A14" t="str">
        <f>"0006296169"</f>
        <v>0006296169</v>
      </c>
      <c r="B14" t="str">
        <f t="shared" si="0"/>
        <v>89301000</v>
      </c>
      <c r="C14" s="1">
        <v>44324</v>
      </c>
      <c r="D14" s="1">
        <v>44344</v>
      </c>
      <c r="E14">
        <v>1</v>
      </c>
      <c r="F14" t="s">
        <v>25</v>
      </c>
      <c r="G14" t="str">
        <f>"19-K06-02"</f>
        <v>19-K06-02</v>
      </c>
      <c r="H14">
        <v>2.4085000000000001</v>
      </c>
      <c r="I14" t="s">
        <v>36</v>
      </c>
      <c r="J14" t="s">
        <v>27</v>
      </c>
      <c r="K14" t="str">
        <f>"3F5"</f>
        <v>3F5</v>
      </c>
      <c r="L14" t="s">
        <v>15</v>
      </c>
    </row>
    <row r="15" spans="1:12" x14ac:dyDescent="0.25">
      <c r="A15" t="str">
        <f>"0006296169"</f>
        <v>0006296169</v>
      </c>
      <c r="B15" t="str">
        <f t="shared" si="0"/>
        <v>89301000</v>
      </c>
      <c r="C15" s="1">
        <v>44355</v>
      </c>
      <c r="D15" s="1">
        <v>44368</v>
      </c>
      <c r="E15">
        <v>1</v>
      </c>
      <c r="F15" t="s">
        <v>25</v>
      </c>
      <c r="G15" t="str">
        <f>"19-K04-02"</f>
        <v>19-K04-02</v>
      </c>
      <c r="H15">
        <v>1.4597</v>
      </c>
      <c r="I15" t="s">
        <v>37</v>
      </c>
      <c r="J15" t="s">
        <v>27</v>
      </c>
      <c r="K15" t="str">
        <f>"3F5"</f>
        <v>3F5</v>
      </c>
      <c r="L15" t="s">
        <v>15</v>
      </c>
    </row>
    <row r="16" spans="1:12" x14ac:dyDescent="0.25">
      <c r="A16" t="str">
        <f>"0007075783"</f>
        <v>0007075783</v>
      </c>
      <c r="B16" t="str">
        <f t="shared" si="0"/>
        <v>89301000</v>
      </c>
      <c r="C16" s="1">
        <v>44265</v>
      </c>
      <c r="D16" s="1">
        <v>44266</v>
      </c>
      <c r="E16">
        <v>1</v>
      </c>
      <c r="F16" t="s">
        <v>38</v>
      </c>
      <c r="G16" t="str">
        <f>"05-D01-06"</f>
        <v>05-D01-06</v>
      </c>
      <c r="H16">
        <v>0.7611</v>
      </c>
      <c r="J16" t="s">
        <v>14</v>
      </c>
      <c r="K16" t="str">
        <f>"1F1"</f>
        <v>1F1</v>
      </c>
      <c r="L16" t="s">
        <v>15</v>
      </c>
    </row>
    <row r="17" spans="1:12" x14ac:dyDescent="0.25">
      <c r="A17" t="str">
        <f>"0007195705"</f>
        <v>0007195705</v>
      </c>
      <c r="B17" t="str">
        <f t="shared" si="0"/>
        <v>89301000</v>
      </c>
      <c r="C17" s="1">
        <v>44544</v>
      </c>
      <c r="D17" s="1">
        <v>44546</v>
      </c>
      <c r="E17">
        <v>1</v>
      </c>
      <c r="F17" t="s">
        <v>39</v>
      </c>
      <c r="G17" t="str">
        <f>"03-I19-03"</f>
        <v>03-I19-03</v>
      </c>
      <c r="H17">
        <v>0.60699999999999998</v>
      </c>
      <c r="I17" t="s">
        <v>40</v>
      </c>
      <c r="J17" t="s">
        <v>14</v>
      </c>
      <c r="K17" t="str">
        <f>"6F5"</f>
        <v>6F5</v>
      </c>
      <c r="L17" t="s">
        <v>15</v>
      </c>
    </row>
    <row r="18" spans="1:12" x14ac:dyDescent="0.25">
      <c r="A18" t="str">
        <f>"0008235744"</f>
        <v>0008235744</v>
      </c>
      <c r="B18" t="str">
        <f t="shared" si="0"/>
        <v>89301000</v>
      </c>
      <c r="C18" s="1">
        <v>44446</v>
      </c>
      <c r="D18" s="1">
        <v>44447</v>
      </c>
      <c r="E18">
        <v>1</v>
      </c>
      <c r="F18" t="s">
        <v>41</v>
      </c>
      <c r="G18" t="str">
        <f>"01-I11-01"</f>
        <v>01-I11-01</v>
      </c>
      <c r="H18">
        <v>0.99990000000000001</v>
      </c>
      <c r="I18" t="s">
        <v>42</v>
      </c>
      <c r="J18" t="s">
        <v>17</v>
      </c>
      <c r="K18" t="str">
        <f>"7F1"</f>
        <v>7F1</v>
      </c>
      <c r="L18" t="s">
        <v>15</v>
      </c>
    </row>
    <row r="19" spans="1:12" x14ac:dyDescent="0.25">
      <c r="A19" t="str">
        <f>"0009235699"</f>
        <v>0009235699</v>
      </c>
      <c r="B19" t="str">
        <f t="shared" si="0"/>
        <v>89301000</v>
      </c>
      <c r="C19" s="1">
        <v>44286</v>
      </c>
      <c r="D19" s="1">
        <v>44291</v>
      </c>
      <c r="E19">
        <v>1</v>
      </c>
      <c r="F19" t="s">
        <v>43</v>
      </c>
      <c r="G19" t="str">
        <f>"06-I18-05"</f>
        <v>06-I18-05</v>
      </c>
      <c r="H19">
        <v>0.85550000000000004</v>
      </c>
      <c r="I19" t="s">
        <v>44</v>
      </c>
      <c r="J19" t="s">
        <v>24</v>
      </c>
      <c r="K19" t="str">
        <f>"5F1"</f>
        <v>5F1</v>
      </c>
      <c r="L19" t="s">
        <v>15</v>
      </c>
    </row>
    <row r="20" spans="1:12" x14ac:dyDescent="0.25">
      <c r="A20" t="str">
        <f>"0010015709"</f>
        <v>0010015709</v>
      </c>
      <c r="B20" t="str">
        <f t="shared" si="0"/>
        <v>89301000</v>
      </c>
      <c r="C20" s="1">
        <v>44436</v>
      </c>
      <c r="D20" s="1">
        <v>44443</v>
      </c>
      <c r="E20">
        <v>1</v>
      </c>
      <c r="F20" t="s">
        <v>45</v>
      </c>
      <c r="G20" t="str">
        <f>"05-D01-05"</f>
        <v>05-D01-05</v>
      </c>
      <c r="H20">
        <v>1.1738</v>
      </c>
      <c r="I20" t="s">
        <v>46</v>
      </c>
      <c r="J20" t="s">
        <v>14</v>
      </c>
      <c r="K20" t="str">
        <f>"1T1"</f>
        <v>1T1</v>
      </c>
      <c r="L20" t="s">
        <v>15</v>
      </c>
    </row>
    <row r="21" spans="1:12" x14ac:dyDescent="0.25">
      <c r="A21" t="str">
        <f>"0010265739"</f>
        <v>0010265739</v>
      </c>
      <c r="B21" t="str">
        <f t="shared" si="0"/>
        <v>89301000</v>
      </c>
      <c r="C21" s="1">
        <v>44453</v>
      </c>
      <c r="D21" s="1">
        <v>44455</v>
      </c>
      <c r="E21">
        <v>1</v>
      </c>
      <c r="F21" t="s">
        <v>47</v>
      </c>
      <c r="G21" t="str">
        <f>"08-M03-05"</f>
        <v>08-M03-05</v>
      </c>
      <c r="H21">
        <v>0.51759999999999995</v>
      </c>
      <c r="J21" t="s">
        <v>14</v>
      </c>
      <c r="K21" t="str">
        <f>"6F6"</f>
        <v>6F6</v>
      </c>
      <c r="L21" t="s">
        <v>15</v>
      </c>
    </row>
    <row r="22" spans="1:12" x14ac:dyDescent="0.25">
      <c r="A22" t="str">
        <f>"0011295713"</f>
        <v>0011295713</v>
      </c>
      <c r="B22" t="str">
        <f t="shared" si="0"/>
        <v>89301000</v>
      </c>
      <c r="C22" s="1">
        <v>44219</v>
      </c>
      <c r="D22" s="1">
        <v>44225</v>
      </c>
      <c r="E22">
        <v>1</v>
      </c>
      <c r="F22" t="s">
        <v>43</v>
      </c>
      <c r="G22" t="str">
        <f>"06-I18-05"</f>
        <v>06-I18-05</v>
      </c>
      <c r="H22">
        <v>0.85550000000000004</v>
      </c>
      <c r="J22" t="s">
        <v>24</v>
      </c>
      <c r="K22" t="str">
        <f>"5F1"</f>
        <v>5F1</v>
      </c>
      <c r="L22" t="s">
        <v>15</v>
      </c>
    </row>
    <row r="23" spans="1:12" x14ac:dyDescent="0.25">
      <c r="A23" t="str">
        <f>"0012144858"</f>
        <v>0012144858</v>
      </c>
      <c r="B23" t="str">
        <f t="shared" si="0"/>
        <v>89301000</v>
      </c>
      <c r="C23" s="1">
        <v>44397</v>
      </c>
      <c r="D23" s="1">
        <v>44401</v>
      </c>
      <c r="E23">
        <v>1</v>
      </c>
      <c r="F23" t="s">
        <v>48</v>
      </c>
      <c r="G23" t="str">
        <f>"07-I10-06"</f>
        <v>07-I10-06</v>
      </c>
      <c r="H23">
        <v>0.9728</v>
      </c>
      <c r="J23" t="s">
        <v>17</v>
      </c>
      <c r="K23" t="str">
        <f>"5F1"</f>
        <v>5F1</v>
      </c>
      <c r="L23" t="s">
        <v>15</v>
      </c>
    </row>
    <row r="24" spans="1:12" x14ac:dyDescent="0.25">
      <c r="A24" t="str">
        <f>"0012146145"</f>
        <v>0012146145</v>
      </c>
      <c r="B24" t="str">
        <f t="shared" si="0"/>
        <v>89301000</v>
      </c>
      <c r="C24" s="1">
        <v>44494</v>
      </c>
      <c r="D24" s="1">
        <v>44500</v>
      </c>
      <c r="E24">
        <v>1</v>
      </c>
      <c r="F24" t="s">
        <v>49</v>
      </c>
      <c r="G24" t="str">
        <f>"01-K18-04"</f>
        <v>01-K18-04</v>
      </c>
      <c r="H24">
        <v>0.49890000000000001</v>
      </c>
      <c r="I24" t="s">
        <v>50</v>
      </c>
      <c r="J24" t="s">
        <v>14</v>
      </c>
      <c r="K24" t="str">
        <f>"2F9"</f>
        <v>2F9</v>
      </c>
      <c r="L24" t="s">
        <v>15</v>
      </c>
    </row>
    <row r="25" spans="1:12" x14ac:dyDescent="0.25">
      <c r="A25" t="str">
        <f>"0051046149"</f>
        <v>0051046149</v>
      </c>
      <c r="B25" t="str">
        <f t="shared" si="0"/>
        <v>89301000</v>
      </c>
      <c r="C25" s="1">
        <v>44475</v>
      </c>
      <c r="D25" s="1">
        <v>44478</v>
      </c>
      <c r="E25">
        <v>1</v>
      </c>
      <c r="F25" t="s">
        <v>51</v>
      </c>
      <c r="G25" t="str">
        <f>"13-I17-00"</f>
        <v>13-I17-00</v>
      </c>
      <c r="H25">
        <v>0.74590000000000001</v>
      </c>
      <c r="J25" t="s">
        <v>24</v>
      </c>
      <c r="K25" t="str">
        <f>"6F3"</f>
        <v>6F3</v>
      </c>
      <c r="L25" t="s">
        <v>15</v>
      </c>
    </row>
    <row r="26" spans="1:12" x14ac:dyDescent="0.25">
      <c r="A26" t="str">
        <f>"0051065773"</f>
        <v>0051065773</v>
      </c>
      <c r="B26" t="str">
        <f t="shared" si="0"/>
        <v>89301000</v>
      </c>
      <c r="C26" s="1">
        <v>44545</v>
      </c>
      <c r="D26" s="1">
        <v>44548</v>
      </c>
      <c r="E26">
        <v>1</v>
      </c>
      <c r="F26" t="s">
        <v>52</v>
      </c>
      <c r="G26" t="str">
        <f>"13-I17-00"</f>
        <v>13-I17-00</v>
      </c>
      <c r="H26">
        <v>0.74590000000000001</v>
      </c>
      <c r="J26" t="s">
        <v>24</v>
      </c>
      <c r="K26" t="str">
        <f>"6F3"</f>
        <v>6F3</v>
      </c>
      <c r="L26" t="s">
        <v>15</v>
      </c>
    </row>
    <row r="27" spans="1:12" x14ac:dyDescent="0.25">
      <c r="A27" t="str">
        <f>"0051075717"</f>
        <v>0051075717</v>
      </c>
      <c r="B27" t="str">
        <f t="shared" si="0"/>
        <v>89301000</v>
      </c>
      <c r="C27" s="1">
        <v>44219</v>
      </c>
      <c r="D27" s="1">
        <v>44232</v>
      </c>
      <c r="E27">
        <v>1</v>
      </c>
      <c r="F27" t="s">
        <v>53</v>
      </c>
      <c r="G27" t="str">
        <f>"20-K04-02"</f>
        <v>20-K04-02</v>
      </c>
      <c r="H27">
        <v>1.4984</v>
      </c>
      <c r="I27" t="s">
        <v>54</v>
      </c>
      <c r="J27" t="s">
        <v>14</v>
      </c>
      <c r="K27" t="str">
        <f>"3F5"</f>
        <v>3F5</v>
      </c>
      <c r="L27" t="s">
        <v>15</v>
      </c>
    </row>
    <row r="28" spans="1:12" x14ac:dyDescent="0.25">
      <c r="A28" t="str">
        <f>"0051075717"</f>
        <v>0051075717</v>
      </c>
      <c r="B28" t="str">
        <f t="shared" si="0"/>
        <v>89301000</v>
      </c>
      <c r="C28" s="1">
        <v>44258</v>
      </c>
      <c r="D28" s="1">
        <v>44270</v>
      </c>
      <c r="E28">
        <v>1</v>
      </c>
      <c r="F28" t="s">
        <v>55</v>
      </c>
      <c r="G28" t="str">
        <f>"20-K03-03"</f>
        <v>20-K03-03</v>
      </c>
      <c r="H28">
        <v>1.0109999999999999</v>
      </c>
      <c r="I28" t="s">
        <v>56</v>
      </c>
      <c r="J28" t="s">
        <v>14</v>
      </c>
      <c r="K28" t="str">
        <f>"3F5"</f>
        <v>3F5</v>
      </c>
      <c r="L28" t="s">
        <v>15</v>
      </c>
    </row>
    <row r="29" spans="1:12" x14ac:dyDescent="0.25">
      <c r="A29" t="str">
        <f>"0051105714"</f>
        <v>0051105714</v>
      </c>
      <c r="B29" t="str">
        <f t="shared" si="0"/>
        <v>89301000</v>
      </c>
      <c r="C29" s="1">
        <v>44386</v>
      </c>
      <c r="D29" s="1">
        <v>44389</v>
      </c>
      <c r="E29">
        <v>1</v>
      </c>
      <c r="F29" t="s">
        <v>57</v>
      </c>
      <c r="G29" t="str">
        <f>"14-M01-02"</f>
        <v>14-M01-02</v>
      </c>
      <c r="H29">
        <v>0.74450000000000005</v>
      </c>
      <c r="I29" t="s">
        <v>58</v>
      </c>
      <c r="J29" t="s">
        <v>59</v>
      </c>
      <c r="K29" t="str">
        <f>"6F3"</f>
        <v>6F3</v>
      </c>
      <c r="L29" t="s">
        <v>15</v>
      </c>
    </row>
    <row r="30" spans="1:12" x14ac:dyDescent="0.25">
      <c r="A30" t="str">
        <f>"0051105714"</f>
        <v>0051105714</v>
      </c>
      <c r="B30" t="str">
        <f t="shared" si="0"/>
        <v>89301000</v>
      </c>
      <c r="C30" s="1">
        <v>44355</v>
      </c>
      <c r="D30" s="1">
        <v>44361</v>
      </c>
      <c r="E30">
        <v>6</v>
      </c>
      <c r="F30" t="s">
        <v>60</v>
      </c>
      <c r="G30" t="str">
        <f>"14-K03-02"</f>
        <v>14-K03-02</v>
      </c>
      <c r="H30">
        <v>0.2646</v>
      </c>
      <c r="J30" t="s">
        <v>14</v>
      </c>
      <c r="K30" t="str">
        <f>"6F3"</f>
        <v>6F3</v>
      </c>
      <c r="L30" t="s">
        <v>15</v>
      </c>
    </row>
    <row r="31" spans="1:12" x14ac:dyDescent="0.25">
      <c r="A31" t="str">
        <f>"0052046203"</f>
        <v>0052046203</v>
      </c>
      <c r="B31" t="str">
        <f t="shared" si="0"/>
        <v>89301000</v>
      </c>
      <c r="C31" s="1">
        <v>44484</v>
      </c>
      <c r="D31" s="1">
        <v>44487</v>
      </c>
      <c r="E31">
        <v>1</v>
      </c>
      <c r="F31" t="s">
        <v>61</v>
      </c>
      <c r="G31" t="str">
        <f>"14-I01-05"</f>
        <v>14-I01-05</v>
      </c>
      <c r="H31">
        <v>0.80030000000000001</v>
      </c>
      <c r="I31" t="s">
        <v>62</v>
      </c>
      <c r="J31" t="s">
        <v>59</v>
      </c>
      <c r="K31" t="str">
        <f>"6F3"</f>
        <v>6F3</v>
      </c>
      <c r="L31" t="s">
        <v>15</v>
      </c>
    </row>
    <row r="32" spans="1:12" x14ac:dyDescent="0.25">
      <c r="A32" t="str">
        <f>"0052176069"</f>
        <v>0052176069</v>
      </c>
      <c r="B32" t="str">
        <f t="shared" si="0"/>
        <v>89301000</v>
      </c>
      <c r="C32" s="1">
        <v>44497</v>
      </c>
      <c r="D32" s="1">
        <v>44504</v>
      </c>
      <c r="E32">
        <v>1</v>
      </c>
      <c r="F32" t="s">
        <v>63</v>
      </c>
      <c r="G32" t="str">
        <f>"08-I21-02"</f>
        <v>08-I21-02</v>
      </c>
      <c r="H32">
        <v>1.3594999999999999</v>
      </c>
      <c r="J32" t="s">
        <v>17</v>
      </c>
      <c r="K32" t="str">
        <f>"6F6"</f>
        <v>6F6</v>
      </c>
      <c r="L32" t="s">
        <v>15</v>
      </c>
    </row>
    <row r="33" spans="1:12" x14ac:dyDescent="0.25">
      <c r="A33" t="str">
        <f>"0053055717"</f>
        <v>0053055717</v>
      </c>
      <c r="B33" t="str">
        <f t="shared" si="0"/>
        <v>89301000</v>
      </c>
      <c r="C33" s="1">
        <v>44361</v>
      </c>
      <c r="D33" s="1">
        <v>44363</v>
      </c>
      <c r="E33">
        <v>1</v>
      </c>
      <c r="F33" t="s">
        <v>64</v>
      </c>
      <c r="G33" t="str">
        <f>"08-I31-04"</f>
        <v>08-I31-04</v>
      </c>
      <c r="H33">
        <v>0.50949999999999995</v>
      </c>
      <c r="J33" t="s">
        <v>14</v>
      </c>
      <c r="K33" t="str">
        <f>"6F6"</f>
        <v>6F6</v>
      </c>
      <c r="L33" t="s">
        <v>15</v>
      </c>
    </row>
    <row r="34" spans="1:12" x14ac:dyDescent="0.25">
      <c r="A34" t="str">
        <f>"0053145642"</f>
        <v>0053145642</v>
      </c>
      <c r="B34" t="str">
        <f t="shared" si="0"/>
        <v>89301000</v>
      </c>
      <c r="C34" s="1">
        <v>44248</v>
      </c>
      <c r="D34" s="1">
        <v>44254</v>
      </c>
      <c r="E34">
        <v>1</v>
      </c>
      <c r="F34" t="s">
        <v>65</v>
      </c>
      <c r="G34" t="str">
        <f>"21-K06-00"</f>
        <v>21-K06-00</v>
      </c>
      <c r="H34">
        <v>0.53139999999999998</v>
      </c>
      <c r="I34" t="s">
        <v>66</v>
      </c>
      <c r="J34" t="s">
        <v>14</v>
      </c>
      <c r="K34" t="str">
        <f>"6F3"</f>
        <v>6F3</v>
      </c>
      <c r="L34" t="s">
        <v>15</v>
      </c>
    </row>
    <row r="35" spans="1:12" x14ac:dyDescent="0.25">
      <c r="A35" t="str">
        <f>"0053215701"</f>
        <v>0053215701</v>
      </c>
      <c r="B35" t="str">
        <f t="shared" si="0"/>
        <v>89301000</v>
      </c>
      <c r="C35" s="1">
        <v>44475</v>
      </c>
      <c r="D35" s="1">
        <v>44482</v>
      </c>
      <c r="E35">
        <v>1</v>
      </c>
      <c r="F35" t="s">
        <v>67</v>
      </c>
      <c r="G35" t="str">
        <f>"01-C02-02"</f>
        <v>01-C02-02</v>
      </c>
      <c r="H35">
        <v>1.4877</v>
      </c>
      <c r="J35" t="s">
        <v>14</v>
      </c>
      <c r="K35" t="str">
        <f>"2F9"</f>
        <v>2F9</v>
      </c>
      <c r="L35" t="s">
        <v>15</v>
      </c>
    </row>
    <row r="36" spans="1:12" x14ac:dyDescent="0.25">
      <c r="A36" t="str">
        <f>"0053215723"</f>
        <v>0053215723</v>
      </c>
      <c r="B36" t="str">
        <f t="shared" si="0"/>
        <v>89301000</v>
      </c>
      <c r="C36" s="1">
        <v>44322</v>
      </c>
      <c r="D36" s="1">
        <v>44324</v>
      </c>
      <c r="E36">
        <v>1</v>
      </c>
      <c r="F36" t="s">
        <v>68</v>
      </c>
      <c r="G36" t="str">
        <f>"21-K01-00"</f>
        <v>21-K01-00</v>
      </c>
      <c r="H36">
        <v>0.81520000000000004</v>
      </c>
      <c r="I36" t="s">
        <v>69</v>
      </c>
      <c r="J36" t="s">
        <v>14</v>
      </c>
      <c r="K36" t="str">
        <f>"5F3"</f>
        <v>5F3</v>
      </c>
      <c r="L36" t="s">
        <v>15</v>
      </c>
    </row>
    <row r="37" spans="1:12" x14ac:dyDescent="0.25">
      <c r="A37" t="str">
        <f>"0053246215"</f>
        <v>0053246215</v>
      </c>
      <c r="B37" t="str">
        <f t="shared" si="0"/>
        <v>89301000</v>
      </c>
      <c r="C37" s="1">
        <v>44231</v>
      </c>
      <c r="D37" s="1">
        <v>44235</v>
      </c>
      <c r="E37">
        <v>1</v>
      </c>
      <c r="F37" t="s">
        <v>70</v>
      </c>
      <c r="G37" t="str">
        <f>"09-K14-02"</f>
        <v>09-K14-02</v>
      </c>
      <c r="H37">
        <v>0.50549999999999995</v>
      </c>
      <c r="J37" t="s">
        <v>14</v>
      </c>
      <c r="K37" t="str">
        <f>"4F4"</f>
        <v>4F4</v>
      </c>
      <c r="L37" t="s">
        <v>15</v>
      </c>
    </row>
    <row r="38" spans="1:12" x14ac:dyDescent="0.25">
      <c r="A38" t="str">
        <f>"0053275310"</f>
        <v>0053275310</v>
      </c>
      <c r="B38" t="str">
        <f t="shared" si="0"/>
        <v>89301000</v>
      </c>
      <c r="C38" s="1">
        <v>44322</v>
      </c>
      <c r="D38" s="1">
        <v>44324</v>
      </c>
      <c r="E38">
        <v>1</v>
      </c>
      <c r="F38" t="s">
        <v>71</v>
      </c>
      <c r="G38" t="str">
        <f>"08-M03-05"</f>
        <v>08-M03-05</v>
      </c>
      <c r="H38">
        <v>0.51759999999999995</v>
      </c>
      <c r="I38" t="s">
        <v>30</v>
      </c>
      <c r="J38" t="s">
        <v>14</v>
      </c>
      <c r="K38" t="str">
        <f>"6F6"</f>
        <v>6F6</v>
      </c>
      <c r="L38" t="s">
        <v>15</v>
      </c>
    </row>
    <row r="39" spans="1:12" x14ac:dyDescent="0.25">
      <c r="A39" t="str">
        <f>"0054115754"</f>
        <v>0054115754</v>
      </c>
      <c r="B39" t="str">
        <f t="shared" si="0"/>
        <v>89301000</v>
      </c>
      <c r="C39" s="1">
        <v>44460</v>
      </c>
      <c r="D39" s="1">
        <v>44468</v>
      </c>
      <c r="E39">
        <v>1</v>
      </c>
      <c r="F39" t="s">
        <v>72</v>
      </c>
      <c r="G39" t="str">
        <f>"14-I01-02"</f>
        <v>14-I01-02</v>
      </c>
      <c r="H39">
        <v>1.1322000000000001</v>
      </c>
      <c r="I39" t="s">
        <v>73</v>
      </c>
      <c r="J39" t="s">
        <v>59</v>
      </c>
      <c r="K39" t="str">
        <f>"6F3"</f>
        <v>6F3</v>
      </c>
      <c r="L39" t="s">
        <v>15</v>
      </c>
    </row>
    <row r="40" spans="1:12" x14ac:dyDescent="0.25">
      <c r="A40" t="str">
        <f>"0054115754"</f>
        <v>0054115754</v>
      </c>
      <c r="B40" t="str">
        <f t="shared" si="0"/>
        <v>89301000</v>
      </c>
      <c r="C40" s="1">
        <v>44239</v>
      </c>
      <c r="D40" s="1">
        <v>44241</v>
      </c>
      <c r="E40">
        <v>1</v>
      </c>
      <c r="F40" t="s">
        <v>74</v>
      </c>
      <c r="G40" t="str">
        <f>"14-K03-02"</f>
        <v>14-K03-02</v>
      </c>
      <c r="H40">
        <v>0.2646</v>
      </c>
      <c r="J40" t="s">
        <v>14</v>
      </c>
      <c r="K40" t="str">
        <f>"6F3"</f>
        <v>6F3</v>
      </c>
      <c r="L40" t="s">
        <v>15</v>
      </c>
    </row>
    <row r="41" spans="1:12" x14ac:dyDescent="0.25">
      <c r="A41" t="str">
        <f>"0055124861"</f>
        <v>0055124861</v>
      </c>
      <c r="B41" t="str">
        <f t="shared" si="0"/>
        <v>89301000</v>
      </c>
      <c r="C41" s="1">
        <v>44326</v>
      </c>
      <c r="D41" s="1">
        <v>44331</v>
      </c>
      <c r="E41">
        <v>1</v>
      </c>
      <c r="F41" t="s">
        <v>75</v>
      </c>
      <c r="G41" t="str">
        <f>"14-M01-05"</f>
        <v>14-M01-05</v>
      </c>
      <c r="H41">
        <v>0.54239999999999999</v>
      </c>
      <c r="I41" t="s">
        <v>76</v>
      </c>
      <c r="J41" t="s">
        <v>59</v>
      </c>
      <c r="K41" t="str">
        <f>"6F3"</f>
        <v>6F3</v>
      </c>
      <c r="L41" t="s">
        <v>15</v>
      </c>
    </row>
    <row r="42" spans="1:12" x14ac:dyDescent="0.25">
      <c r="A42" t="str">
        <f>"0055274857"</f>
        <v>0055274857</v>
      </c>
      <c r="B42" t="str">
        <f t="shared" si="0"/>
        <v>89301000</v>
      </c>
      <c r="C42" s="1">
        <v>44417</v>
      </c>
      <c r="D42" s="1">
        <v>44426</v>
      </c>
      <c r="E42">
        <v>1</v>
      </c>
      <c r="F42" t="s">
        <v>79</v>
      </c>
      <c r="G42" t="str">
        <f>"10-R02-01"</f>
        <v>10-R02-01</v>
      </c>
      <c r="H42">
        <v>0.9698</v>
      </c>
      <c r="I42" t="s">
        <v>80</v>
      </c>
      <c r="J42" t="s">
        <v>24</v>
      </c>
      <c r="K42" t="str">
        <f>"4F7"</f>
        <v>4F7</v>
      </c>
      <c r="L42" t="s">
        <v>15</v>
      </c>
    </row>
    <row r="43" spans="1:12" x14ac:dyDescent="0.25">
      <c r="A43" t="str">
        <f>"0055274857"</f>
        <v>0055274857</v>
      </c>
      <c r="B43" t="str">
        <f t="shared" si="0"/>
        <v>89301000</v>
      </c>
      <c r="C43" s="1">
        <v>44346</v>
      </c>
      <c r="D43" s="1">
        <v>44351</v>
      </c>
      <c r="E43">
        <v>1</v>
      </c>
      <c r="F43" t="s">
        <v>81</v>
      </c>
      <c r="G43" t="str">
        <f>"10-I13-02"</f>
        <v>10-I13-02</v>
      </c>
      <c r="H43">
        <v>1.1468</v>
      </c>
      <c r="J43" t="s">
        <v>24</v>
      </c>
      <c r="K43" t="str">
        <f>"5F1"</f>
        <v>5F1</v>
      </c>
      <c r="L43" t="s">
        <v>15</v>
      </c>
    </row>
    <row r="44" spans="1:12" x14ac:dyDescent="0.25">
      <c r="A44" t="str">
        <f>"0056124849"</f>
        <v>0056124849</v>
      </c>
      <c r="B44" t="str">
        <f t="shared" si="0"/>
        <v>89301000</v>
      </c>
      <c r="C44" s="1">
        <v>44524</v>
      </c>
      <c r="D44" s="1">
        <v>44534</v>
      </c>
      <c r="E44">
        <v>1</v>
      </c>
      <c r="F44" t="s">
        <v>82</v>
      </c>
      <c r="G44" t="str">
        <f>"14-I01-02"</f>
        <v>14-I01-02</v>
      </c>
      <c r="H44">
        <v>1.2408999999999999</v>
      </c>
      <c r="I44" t="s">
        <v>83</v>
      </c>
      <c r="J44" t="s">
        <v>59</v>
      </c>
      <c r="K44" t="str">
        <f>"6F3"</f>
        <v>6F3</v>
      </c>
      <c r="L44" t="s">
        <v>15</v>
      </c>
    </row>
    <row r="45" spans="1:12" x14ac:dyDescent="0.25">
      <c r="A45" t="str">
        <f>"0056135717"</f>
        <v>0056135717</v>
      </c>
      <c r="B45" t="str">
        <f t="shared" si="0"/>
        <v>89301000</v>
      </c>
      <c r="C45" s="1">
        <v>44304</v>
      </c>
      <c r="D45" s="1">
        <v>44306</v>
      </c>
      <c r="E45">
        <v>1</v>
      </c>
      <c r="F45" t="s">
        <v>84</v>
      </c>
      <c r="G45" t="str">
        <f>"09-I09-05"</f>
        <v>09-I09-05</v>
      </c>
      <c r="H45">
        <v>0.47210000000000002</v>
      </c>
      <c r="J45" t="s">
        <v>17</v>
      </c>
      <c r="K45" t="str">
        <f>"5F1"</f>
        <v>5F1</v>
      </c>
      <c r="L45" t="s">
        <v>15</v>
      </c>
    </row>
    <row r="46" spans="1:12" x14ac:dyDescent="0.25">
      <c r="A46" t="str">
        <f>"0056185734"</f>
        <v>0056185734</v>
      </c>
      <c r="B46" t="str">
        <f t="shared" si="0"/>
        <v>89301000</v>
      </c>
      <c r="C46" s="1">
        <v>44202</v>
      </c>
      <c r="D46" s="1">
        <v>44206</v>
      </c>
      <c r="E46">
        <v>1</v>
      </c>
      <c r="F46" t="s">
        <v>85</v>
      </c>
      <c r="G46" t="str">
        <f>"14-M01-05"</f>
        <v>14-M01-05</v>
      </c>
      <c r="H46">
        <v>0.54239999999999999</v>
      </c>
      <c r="J46" t="s">
        <v>59</v>
      </c>
      <c r="K46" t="str">
        <f>"6F3"</f>
        <v>6F3</v>
      </c>
      <c r="L46" t="s">
        <v>15</v>
      </c>
    </row>
    <row r="47" spans="1:12" x14ac:dyDescent="0.25">
      <c r="A47" t="str">
        <f>"0056185734"</f>
        <v>0056185734</v>
      </c>
      <c r="B47" t="str">
        <f t="shared" si="0"/>
        <v>89301000</v>
      </c>
      <c r="C47" s="1">
        <v>44239</v>
      </c>
      <c r="D47" s="1">
        <v>44240</v>
      </c>
      <c r="E47">
        <v>1</v>
      </c>
      <c r="F47" t="s">
        <v>86</v>
      </c>
      <c r="G47" t="str">
        <f>"14-I08-03"</f>
        <v>14-I08-03</v>
      </c>
      <c r="H47">
        <v>0.21099999999999999</v>
      </c>
      <c r="J47" t="s">
        <v>14</v>
      </c>
      <c r="K47" t="str">
        <f>"6F3"</f>
        <v>6F3</v>
      </c>
      <c r="L47" t="s">
        <v>15</v>
      </c>
    </row>
    <row r="48" spans="1:12" x14ac:dyDescent="0.25">
      <c r="A48" t="str">
        <f>"0056286164"</f>
        <v>0056286164</v>
      </c>
      <c r="B48" t="str">
        <f t="shared" si="0"/>
        <v>89301000</v>
      </c>
      <c r="C48" s="1">
        <v>44265</v>
      </c>
      <c r="D48" s="1">
        <v>44273</v>
      </c>
      <c r="E48">
        <v>1</v>
      </c>
      <c r="F48" t="s">
        <v>87</v>
      </c>
      <c r="G48" t="str">
        <f>"09-K04-02"</f>
        <v>09-K04-02</v>
      </c>
      <c r="H48">
        <v>0.68279999999999996</v>
      </c>
      <c r="I48" t="s">
        <v>88</v>
      </c>
      <c r="J48" t="s">
        <v>14</v>
      </c>
      <c r="K48" t="str">
        <f>"4F4"</f>
        <v>4F4</v>
      </c>
      <c r="L48" t="s">
        <v>15</v>
      </c>
    </row>
    <row r="49" spans="1:12" x14ac:dyDescent="0.25">
      <c r="A49" t="str">
        <f>"0057035726"</f>
        <v>0057035726</v>
      </c>
      <c r="B49" t="str">
        <f t="shared" si="0"/>
        <v>89301000</v>
      </c>
      <c r="C49" s="1">
        <v>44488</v>
      </c>
      <c r="D49" s="1">
        <v>44494</v>
      </c>
      <c r="E49">
        <v>1</v>
      </c>
      <c r="F49" t="s">
        <v>89</v>
      </c>
      <c r="G49" t="str">
        <f>"08-K13-02"</f>
        <v>08-K13-02</v>
      </c>
      <c r="H49">
        <v>0.47210000000000002</v>
      </c>
      <c r="I49" t="s">
        <v>90</v>
      </c>
      <c r="J49" t="s">
        <v>14</v>
      </c>
      <c r="K49" t="str">
        <f>"5F3"</f>
        <v>5F3</v>
      </c>
      <c r="L49" t="s">
        <v>15</v>
      </c>
    </row>
    <row r="50" spans="1:12" x14ac:dyDescent="0.25">
      <c r="A50" t="str">
        <f>"0057055713"</f>
        <v>0057055713</v>
      </c>
      <c r="B50" t="str">
        <f t="shared" si="0"/>
        <v>89301000</v>
      </c>
      <c r="C50" s="1">
        <v>44454</v>
      </c>
      <c r="D50" s="1">
        <v>44455</v>
      </c>
      <c r="E50">
        <v>1</v>
      </c>
      <c r="F50" t="s">
        <v>91</v>
      </c>
      <c r="G50" t="str">
        <f>"14-K03-02"</f>
        <v>14-K03-02</v>
      </c>
      <c r="H50">
        <v>0.2646</v>
      </c>
      <c r="I50" t="s">
        <v>92</v>
      </c>
      <c r="J50" t="s">
        <v>14</v>
      </c>
      <c r="K50" t="str">
        <f>"6F3"</f>
        <v>6F3</v>
      </c>
      <c r="L50" t="s">
        <v>15</v>
      </c>
    </row>
    <row r="51" spans="1:12" x14ac:dyDescent="0.25">
      <c r="A51" t="str">
        <f>"0057164118"</f>
        <v>0057164118</v>
      </c>
      <c r="B51" t="str">
        <f t="shared" si="0"/>
        <v>89301000</v>
      </c>
      <c r="C51" s="1">
        <v>44201</v>
      </c>
      <c r="D51" s="1">
        <v>44214</v>
      </c>
      <c r="E51">
        <v>1</v>
      </c>
      <c r="F51" t="s">
        <v>77</v>
      </c>
      <c r="G51" t="str">
        <f>"19-K03-03"</f>
        <v>19-K03-03</v>
      </c>
      <c r="H51">
        <v>0.93169999999999997</v>
      </c>
      <c r="I51" t="s">
        <v>93</v>
      </c>
      <c r="J51" t="s">
        <v>27</v>
      </c>
      <c r="K51" t="str">
        <f>"3F5"</f>
        <v>3F5</v>
      </c>
      <c r="L51" t="s">
        <v>15</v>
      </c>
    </row>
    <row r="52" spans="1:12" x14ac:dyDescent="0.25">
      <c r="A52" t="str">
        <f>"0057165713"</f>
        <v>0057165713</v>
      </c>
      <c r="B52" t="str">
        <f t="shared" si="0"/>
        <v>89301000</v>
      </c>
      <c r="C52" s="1">
        <v>44463</v>
      </c>
      <c r="D52" s="1">
        <v>44490</v>
      </c>
      <c r="E52">
        <v>1</v>
      </c>
      <c r="F52" t="s">
        <v>94</v>
      </c>
      <c r="G52" t="str">
        <f>"21-K05-03"</f>
        <v>21-K05-03</v>
      </c>
      <c r="H52">
        <v>1.7257</v>
      </c>
      <c r="I52" t="s">
        <v>95</v>
      </c>
      <c r="J52" t="s">
        <v>14</v>
      </c>
      <c r="K52" t="str">
        <f>"3F5"</f>
        <v>3F5</v>
      </c>
      <c r="L52" t="s">
        <v>15</v>
      </c>
    </row>
    <row r="53" spans="1:12" x14ac:dyDescent="0.25">
      <c r="A53" t="str">
        <f>"0057266286"</f>
        <v>0057266286</v>
      </c>
      <c r="B53" t="str">
        <f t="shared" si="0"/>
        <v>89301000</v>
      </c>
      <c r="C53" s="1">
        <v>44365</v>
      </c>
      <c r="D53" s="1">
        <v>44368</v>
      </c>
      <c r="E53">
        <v>1</v>
      </c>
      <c r="F53" t="s">
        <v>96</v>
      </c>
      <c r="G53" t="str">
        <f>"11-K01-03"</f>
        <v>11-K01-03</v>
      </c>
      <c r="H53">
        <v>0.59489999999999998</v>
      </c>
      <c r="I53" t="s">
        <v>97</v>
      </c>
      <c r="J53" t="s">
        <v>14</v>
      </c>
      <c r="K53" t="str">
        <f>"7F6"</f>
        <v>7F6</v>
      </c>
      <c r="L53" t="s">
        <v>15</v>
      </c>
    </row>
    <row r="54" spans="1:12" x14ac:dyDescent="0.25">
      <c r="A54" t="str">
        <f>"0057285712"</f>
        <v>0057285712</v>
      </c>
      <c r="B54" t="str">
        <f t="shared" si="0"/>
        <v>89301000</v>
      </c>
      <c r="C54" s="1">
        <v>44390</v>
      </c>
      <c r="D54" s="1">
        <v>44391</v>
      </c>
      <c r="E54">
        <v>1</v>
      </c>
      <c r="F54" t="s">
        <v>98</v>
      </c>
      <c r="G54" t="str">
        <f>"19-K02-03"</f>
        <v>19-K02-03</v>
      </c>
      <c r="H54">
        <v>0.44850000000000001</v>
      </c>
      <c r="I54" t="s">
        <v>99</v>
      </c>
      <c r="J54" t="s">
        <v>27</v>
      </c>
      <c r="K54" t="str">
        <f>"3F5"</f>
        <v>3F5</v>
      </c>
      <c r="L54" t="s">
        <v>15</v>
      </c>
    </row>
    <row r="55" spans="1:12" x14ac:dyDescent="0.25">
      <c r="A55" t="str">
        <f>"0058055712"</f>
        <v>0058055712</v>
      </c>
      <c r="B55" t="str">
        <f t="shared" si="0"/>
        <v>89301000</v>
      </c>
      <c r="C55" s="1">
        <v>44476</v>
      </c>
      <c r="D55" s="1">
        <v>44478</v>
      </c>
      <c r="E55">
        <v>1</v>
      </c>
      <c r="F55" t="s">
        <v>75</v>
      </c>
      <c r="G55" t="str">
        <f>"14-M01-05"</f>
        <v>14-M01-05</v>
      </c>
      <c r="H55">
        <v>0.54239999999999999</v>
      </c>
      <c r="I55" t="s">
        <v>76</v>
      </c>
      <c r="J55" t="s">
        <v>59</v>
      </c>
      <c r="K55" t="str">
        <f>"6F3"</f>
        <v>6F3</v>
      </c>
      <c r="L55" t="s">
        <v>15</v>
      </c>
    </row>
    <row r="56" spans="1:12" x14ac:dyDescent="0.25">
      <c r="A56" t="str">
        <f>"0058104849"</f>
        <v>0058104849</v>
      </c>
      <c r="B56" t="str">
        <f t="shared" si="0"/>
        <v>89301000</v>
      </c>
      <c r="C56" s="1">
        <v>44466</v>
      </c>
      <c r="D56" s="1">
        <v>44468</v>
      </c>
      <c r="E56">
        <v>1</v>
      </c>
      <c r="F56" t="s">
        <v>100</v>
      </c>
      <c r="G56" t="str">
        <f>"14-I04-00"</f>
        <v>14-I04-00</v>
      </c>
      <c r="H56">
        <v>0.78749999999999998</v>
      </c>
      <c r="I56" t="s">
        <v>101</v>
      </c>
      <c r="J56" t="s">
        <v>24</v>
      </c>
      <c r="K56" t="str">
        <f>"6F3"</f>
        <v>6F3</v>
      </c>
      <c r="L56" t="s">
        <v>15</v>
      </c>
    </row>
    <row r="57" spans="1:12" x14ac:dyDescent="0.25">
      <c r="A57" t="str">
        <f>"0058146143"</f>
        <v>0058146143</v>
      </c>
      <c r="B57" t="str">
        <f t="shared" si="0"/>
        <v>89301000</v>
      </c>
      <c r="C57" s="1">
        <v>44440</v>
      </c>
      <c r="D57" s="1">
        <v>44443</v>
      </c>
      <c r="E57">
        <v>6</v>
      </c>
      <c r="F57" t="s">
        <v>102</v>
      </c>
      <c r="G57" t="str">
        <f>"03-K06-01"</f>
        <v>03-K06-01</v>
      </c>
      <c r="H57">
        <v>0.4718</v>
      </c>
      <c r="I57" t="s">
        <v>103</v>
      </c>
      <c r="J57" t="s">
        <v>14</v>
      </c>
      <c r="K57" t="str">
        <f>"7F1"</f>
        <v>7F1</v>
      </c>
      <c r="L57" t="s">
        <v>15</v>
      </c>
    </row>
    <row r="58" spans="1:12" x14ac:dyDescent="0.25">
      <c r="A58" t="str">
        <f>"0059076072"</f>
        <v>0059076072</v>
      </c>
      <c r="B58" t="str">
        <f t="shared" si="0"/>
        <v>89301000</v>
      </c>
      <c r="C58" s="1">
        <v>44346</v>
      </c>
      <c r="D58" s="1">
        <v>44355</v>
      </c>
      <c r="E58">
        <v>1</v>
      </c>
      <c r="F58" t="s">
        <v>104</v>
      </c>
      <c r="G58" t="str">
        <f>"04-I03-03"</f>
        <v>04-I03-03</v>
      </c>
      <c r="H58">
        <v>2.6869000000000001</v>
      </c>
      <c r="I58" t="s">
        <v>105</v>
      </c>
      <c r="J58" t="s">
        <v>106</v>
      </c>
      <c r="K58" t="str">
        <f>"5F1"</f>
        <v>5F1</v>
      </c>
      <c r="L58" t="s">
        <v>15</v>
      </c>
    </row>
    <row r="59" spans="1:12" x14ac:dyDescent="0.25">
      <c r="A59" t="str">
        <f>"0059076072"</f>
        <v>0059076072</v>
      </c>
      <c r="B59" t="str">
        <f t="shared" si="0"/>
        <v>89301000</v>
      </c>
      <c r="C59" s="1">
        <v>44533</v>
      </c>
      <c r="D59" s="1">
        <v>44547</v>
      </c>
      <c r="E59">
        <v>4</v>
      </c>
      <c r="F59" t="s">
        <v>107</v>
      </c>
      <c r="G59" t="str">
        <f>"08-K11-01"</f>
        <v>08-K11-01</v>
      </c>
      <c r="H59">
        <v>0.99450000000000005</v>
      </c>
      <c r="I59" t="s">
        <v>108</v>
      </c>
      <c r="J59" t="s">
        <v>14</v>
      </c>
      <c r="K59" t="str">
        <f>"5F3"</f>
        <v>5F3</v>
      </c>
      <c r="L59" t="s">
        <v>15</v>
      </c>
    </row>
    <row r="60" spans="1:12" x14ac:dyDescent="0.25">
      <c r="A60" t="str">
        <f>"0059076072"</f>
        <v>0059076072</v>
      </c>
      <c r="B60" t="str">
        <f t="shared" si="0"/>
        <v>89301000</v>
      </c>
      <c r="C60" s="1">
        <v>44384</v>
      </c>
      <c r="D60" s="1">
        <v>44398</v>
      </c>
      <c r="E60">
        <v>1</v>
      </c>
      <c r="F60" t="s">
        <v>109</v>
      </c>
      <c r="G60" t="str">
        <f>"24-M07-01"</f>
        <v>24-M07-01</v>
      </c>
      <c r="H60">
        <v>1.7399</v>
      </c>
      <c r="I60" t="s">
        <v>110</v>
      </c>
      <c r="J60" t="s">
        <v>14</v>
      </c>
      <c r="K60" t="str">
        <f>"2F1"</f>
        <v>2F1</v>
      </c>
      <c r="L60" t="s">
        <v>15</v>
      </c>
    </row>
    <row r="61" spans="1:12" x14ac:dyDescent="0.25">
      <c r="A61" t="str">
        <f>"0059125935"</f>
        <v>0059125935</v>
      </c>
      <c r="B61" t="str">
        <f t="shared" si="0"/>
        <v>89301000</v>
      </c>
      <c r="C61" s="1">
        <v>44269</v>
      </c>
      <c r="D61" s="1">
        <v>44271</v>
      </c>
      <c r="E61">
        <v>1</v>
      </c>
      <c r="F61" t="s">
        <v>111</v>
      </c>
      <c r="G61" t="str">
        <f>"08-M03-03"</f>
        <v>08-M03-03</v>
      </c>
      <c r="H61">
        <v>0.69450000000000001</v>
      </c>
      <c r="J61" t="s">
        <v>14</v>
      </c>
      <c r="K61" t="str">
        <f>"6F6"</f>
        <v>6F6</v>
      </c>
      <c r="L61" t="s">
        <v>15</v>
      </c>
    </row>
    <row r="62" spans="1:12" x14ac:dyDescent="0.25">
      <c r="A62" t="str">
        <f>"0059206070"</f>
        <v>0059206070</v>
      </c>
      <c r="B62" t="str">
        <f t="shared" si="0"/>
        <v>89301000</v>
      </c>
      <c r="C62" s="1">
        <v>44343</v>
      </c>
      <c r="D62" s="1">
        <v>44346</v>
      </c>
      <c r="E62">
        <v>1</v>
      </c>
      <c r="F62" t="s">
        <v>112</v>
      </c>
      <c r="G62" t="str">
        <f>"14-M01-05"</f>
        <v>14-M01-05</v>
      </c>
      <c r="H62">
        <v>0.54239999999999999</v>
      </c>
      <c r="I62" t="s">
        <v>113</v>
      </c>
      <c r="J62" t="s">
        <v>59</v>
      </c>
      <c r="K62" t="str">
        <f>"6F3"</f>
        <v>6F3</v>
      </c>
      <c r="L62" t="s">
        <v>15</v>
      </c>
    </row>
    <row r="63" spans="1:12" x14ac:dyDescent="0.25">
      <c r="A63" t="str">
        <f>"0060035701"</f>
        <v>0060035701</v>
      </c>
      <c r="B63" t="str">
        <f t="shared" si="0"/>
        <v>89301000</v>
      </c>
      <c r="C63" s="1">
        <v>44242</v>
      </c>
      <c r="D63" s="1">
        <v>44246</v>
      </c>
      <c r="E63">
        <v>1</v>
      </c>
      <c r="F63" t="s">
        <v>114</v>
      </c>
      <c r="G63" t="str">
        <f>"03-I17-00"</f>
        <v>03-I17-00</v>
      </c>
      <c r="H63">
        <v>0.84960000000000002</v>
      </c>
      <c r="I63" t="s">
        <v>115</v>
      </c>
      <c r="J63" t="s">
        <v>24</v>
      </c>
      <c r="K63" t="str">
        <f>"7F1"</f>
        <v>7F1</v>
      </c>
      <c r="L63" t="s">
        <v>15</v>
      </c>
    </row>
    <row r="64" spans="1:12" x14ac:dyDescent="0.25">
      <c r="A64" t="str">
        <f>"0060105705"</f>
        <v>0060105705</v>
      </c>
      <c r="B64" t="str">
        <f t="shared" ref="B64:B126" si="1">"89301000"</f>
        <v>89301000</v>
      </c>
      <c r="C64" s="1">
        <v>44286</v>
      </c>
      <c r="D64" s="1">
        <v>44296</v>
      </c>
      <c r="E64">
        <v>1</v>
      </c>
      <c r="F64" t="s">
        <v>116</v>
      </c>
      <c r="G64" t="str">
        <f>"14-M01-05"</f>
        <v>14-M01-05</v>
      </c>
      <c r="H64">
        <v>0.73650000000000004</v>
      </c>
      <c r="I64" t="s">
        <v>117</v>
      </c>
      <c r="J64" t="s">
        <v>59</v>
      </c>
      <c r="K64" t="str">
        <f>"6F3"</f>
        <v>6F3</v>
      </c>
      <c r="L64" t="s">
        <v>15</v>
      </c>
    </row>
    <row r="65" spans="1:12" x14ac:dyDescent="0.25">
      <c r="A65" t="str">
        <f>"0060125725"</f>
        <v>0060125725</v>
      </c>
      <c r="B65" t="str">
        <f t="shared" si="1"/>
        <v>89301000</v>
      </c>
      <c r="C65" s="1">
        <v>44512</v>
      </c>
      <c r="D65" s="1">
        <v>44514</v>
      </c>
      <c r="E65">
        <v>1</v>
      </c>
      <c r="F65" t="s">
        <v>75</v>
      </c>
      <c r="G65" t="str">
        <f>"14-M01-05"</f>
        <v>14-M01-05</v>
      </c>
      <c r="H65">
        <v>0.54239999999999999</v>
      </c>
      <c r="I65" t="s">
        <v>118</v>
      </c>
      <c r="J65" t="s">
        <v>59</v>
      </c>
      <c r="K65" t="str">
        <f>"6F3"</f>
        <v>6F3</v>
      </c>
      <c r="L65" t="s">
        <v>15</v>
      </c>
    </row>
    <row r="66" spans="1:12" x14ac:dyDescent="0.25">
      <c r="A66" t="str">
        <f>"0060155293"</f>
        <v>0060155293</v>
      </c>
      <c r="B66" t="str">
        <f t="shared" si="1"/>
        <v>89301000</v>
      </c>
      <c r="C66" s="1">
        <v>44213</v>
      </c>
      <c r="D66" s="1">
        <v>44214</v>
      </c>
      <c r="E66">
        <v>6</v>
      </c>
      <c r="F66" t="s">
        <v>119</v>
      </c>
      <c r="G66" t="str">
        <f>"05-I27-02"</f>
        <v>05-I27-02</v>
      </c>
      <c r="H66">
        <v>1.4064000000000001</v>
      </c>
      <c r="I66" t="s">
        <v>120</v>
      </c>
      <c r="J66" t="s">
        <v>14</v>
      </c>
      <c r="K66" t="str">
        <f>"5F3"</f>
        <v>5F3</v>
      </c>
      <c r="L66" t="s">
        <v>15</v>
      </c>
    </row>
    <row r="67" spans="1:12" x14ac:dyDescent="0.25">
      <c r="A67" t="str">
        <f>"0060155293"</f>
        <v>0060155293</v>
      </c>
      <c r="B67" t="str">
        <f t="shared" si="1"/>
        <v>89301000</v>
      </c>
      <c r="C67" s="1">
        <v>44305</v>
      </c>
      <c r="D67" s="1">
        <v>44316</v>
      </c>
      <c r="E67">
        <v>1</v>
      </c>
      <c r="F67" t="s">
        <v>109</v>
      </c>
      <c r="G67" t="str">
        <f>"24-M06-02"</f>
        <v>24-M06-02</v>
      </c>
      <c r="H67">
        <v>1.0233000000000001</v>
      </c>
      <c r="I67" t="s">
        <v>121</v>
      </c>
      <c r="J67" t="s">
        <v>14</v>
      </c>
      <c r="K67" t="str">
        <f>"2F1"</f>
        <v>2F1</v>
      </c>
      <c r="L67" t="s">
        <v>15</v>
      </c>
    </row>
    <row r="68" spans="1:12" x14ac:dyDescent="0.25">
      <c r="A68" t="str">
        <f>"0060156140"</f>
        <v>0060156140</v>
      </c>
      <c r="B68" t="str">
        <f t="shared" si="1"/>
        <v>89301000</v>
      </c>
      <c r="C68" s="1">
        <v>44514</v>
      </c>
      <c r="D68" s="1">
        <v>44523</v>
      </c>
      <c r="E68">
        <v>1</v>
      </c>
      <c r="F68" t="s">
        <v>82</v>
      </c>
      <c r="G68" t="str">
        <f>"14-I01-02"</f>
        <v>14-I01-02</v>
      </c>
      <c r="H68">
        <v>1.1289</v>
      </c>
      <c r="I68" t="s">
        <v>122</v>
      </c>
      <c r="J68" t="s">
        <v>59</v>
      </c>
      <c r="K68" t="str">
        <f>"6F3"</f>
        <v>6F3</v>
      </c>
      <c r="L68" t="s">
        <v>15</v>
      </c>
    </row>
    <row r="69" spans="1:12" x14ac:dyDescent="0.25">
      <c r="A69" t="str">
        <f>"0061224845"</f>
        <v>0061224845</v>
      </c>
      <c r="B69" t="str">
        <f t="shared" si="1"/>
        <v>89301000</v>
      </c>
      <c r="C69" s="1">
        <v>44229</v>
      </c>
      <c r="D69" s="1">
        <v>44233</v>
      </c>
      <c r="E69">
        <v>1</v>
      </c>
      <c r="F69" t="s">
        <v>123</v>
      </c>
      <c r="G69" t="str">
        <f>"03-I11-02"</f>
        <v>03-I11-02</v>
      </c>
      <c r="H69">
        <v>1.3197000000000001</v>
      </c>
      <c r="I69" t="s">
        <v>124</v>
      </c>
      <c r="J69" t="s">
        <v>17</v>
      </c>
      <c r="K69" t="str">
        <f>"6F5"</f>
        <v>6F5</v>
      </c>
      <c r="L69" t="s">
        <v>15</v>
      </c>
    </row>
    <row r="70" spans="1:12" x14ac:dyDescent="0.25">
      <c r="A70" t="str">
        <f>"0061285741"</f>
        <v>0061285741</v>
      </c>
      <c r="B70" t="str">
        <f t="shared" si="1"/>
        <v>89301000</v>
      </c>
      <c r="C70" s="1">
        <v>44332</v>
      </c>
      <c r="D70" s="1">
        <v>44336</v>
      </c>
      <c r="E70">
        <v>1</v>
      </c>
      <c r="F70" t="s">
        <v>61</v>
      </c>
      <c r="G70" t="str">
        <f>"14-I01-05"</f>
        <v>14-I01-05</v>
      </c>
      <c r="H70">
        <v>0.80030000000000001</v>
      </c>
      <c r="I70" t="s">
        <v>125</v>
      </c>
      <c r="J70" t="s">
        <v>59</v>
      </c>
      <c r="K70" t="str">
        <f>"6F3"</f>
        <v>6F3</v>
      </c>
      <c r="L70" t="s">
        <v>15</v>
      </c>
    </row>
    <row r="71" spans="1:12" x14ac:dyDescent="0.25">
      <c r="A71" t="str">
        <f>"0061285741"</f>
        <v>0061285741</v>
      </c>
      <c r="B71" t="str">
        <f t="shared" si="1"/>
        <v>89301000</v>
      </c>
      <c r="C71" s="1">
        <v>44325</v>
      </c>
      <c r="D71" s="1">
        <v>44327</v>
      </c>
      <c r="E71">
        <v>1</v>
      </c>
      <c r="F71" t="s">
        <v>126</v>
      </c>
      <c r="G71" t="str">
        <f>"14-K03-02"</f>
        <v>14-K03-02</v>
      </c>
      <c r="H71">
        <v>0.2646</v>
      </c>
      <c r="I71" t="s">
        <v>127</v>
      </c>
      <c r="J71" t="s">
        <v>14</v>
      </c>
      <c r="K71" t="str">
        <f>"6F3"</f>
        <v>6F3</v>
      </c>
      <c r="L71" t="s">
        <v>15</v>
      </c>
    </row>
    <row r="72" spans="1:12" x14ac:dyDescent="0.25">
      <c r="A72" t="str">
        <f>"0062016108"</f>
        <v>0062016108</v>
      </c>
      <c r="B72" t="str">
        <f t="shared" si="1"/>
        <v>89301000</v>
      </c>
      <c r="C72" s="1">
        <v>44371</v>
      </c>
      <c r="D72" s="1">
        <v>44374</v>
      </c>
      <c r="E72">
        <v>1</v>
      </c>
      <c r="F72" t="s">
        <v>112</v>
      </c>
      <c r="G72" t="str">
        <f>"14-M01-05"</f>
        <v>14-M01-05</v>
      </c>
      <c r="H72">
        <v>0.54239999999999999</v>
      </c>
      <c r="I72" t="s">
        <v>128</v>
      </c>
      <c r="J72" t="s">
        <v>59</v>
      </c>
      <c r="K72" t="str">
        <f>"6F3"</f>
        <v>6F3</v>
      </c>
      <c r="L72" t="s">
        <v>15</v>
      </c>
    </row>
    <row r="73" spans="1:12" x14ac:dyDescent="0.25">
      <c r="A73" t="str">
        <f>"0062075717"</f>
        <v>0062075717</v>
      </c>
      <c r="B73" t="str">
        <f t="shared" si="1"/>
        <v>89301000</v>
      </c>
      <c r="C73" s="1">
        <v>44281</v>
      </c>
      <c r="D73" s="1">
        <v>44284</v>
      </c>
      <c r="E73">
        <v>1</v>
      </c>
      <c r="F73" t="s">
        <v>61</v>
      </c>
      <c r="G73" t="str">
        <f>"14-I01-05"</f>
        <v>14-I01-05</v>
      </c>
      <c r="H73">
        <v>0.80030000000000001</v>
      </c>
      <c r="I73" t="s">
        <v>62</v>
      </c>
      <c r="J73" t="s">
        <v>59</v>
      </c>
      <c r="K73" t="str">
        <f>"6F3"</f>
        <v>6F3</v>
      </c>
      <c r="L73" t="s">
        <v>15</v>
      </c>
    </row>
    <row r="74" spans="1:12" x14ac:dyDescent="0.25">
      <c r="A74" t="str">
        <f>"0062156149"</f>
        <v>0062156149</v>
      </c>
      <c r="B74" t="str">
        <f t="shared" si="1"/>
        <v>89301000</v>
      </c>
      <c r="C74" s="1">
        <v>44267</v>
      </c>
      <c r="D74" s="1">
        <v>44271</v>
      </c>
      <c r="E74">
        <v>1</v>
      </c>
      <c r="F74" t="s">
        <v>77</v>
      </c>
      <c r="G74" t="str">
        <f>"19-K02-03"</f>
        <v>19-K02-03</v>
      </c>
      <c r="H74">
        <v>0.67269999999999996</v>
      </c>
      <c r="I74" t="s">
        <v>129</v>
      </c>
      <c r="J74" t="s">
        <v>27</v>
      </c>
      <c r="K74" t="str">
        <f>"3F5"</f>
        <v>3F5</v>
      </c>
      <c r="L74" t="s">
        <v>15</v>
      </c>
    </row>
    <row r="75" spans="1:12" x14ac:dyDescent="0.25">
      <c r="A75" t="str">
        <f>"0062156149"</f>
        <v>0062156149</v>
      </c>
      <c r="B75" t="str">
        <f t="shared" si="1"/>
        <v>89301000</v>
      </c>
      <c r="C75" s="1">
        <v>44390</v>
      </c>
      <c r="D75" s="1">
        <v>44409</v>
      </c>
      <c r="E75">
        <v>1</v>
      </c>
      <c r="F75" t="s">
        <v>130</v>
      </c>
      <c r="G75" t="str">
        <f>"19-K04-02"</f>
        <v>19-K04-02</v>
      </c>
      <c r="H75">
        <v>1.4597</v>
      </c>
      <c r="J75" t="s">
        <v>27</v>
      </c>
      <c r="K75" t="str">
        <f>"3F5"</f>
        <v>3F5</v>
      </c>
      <c r="L75" t="s">
        <v>15</v>
      </c>
    </row>
    <row r="76" spans="1:12" x14ac:dyDescent="0.25">
      <c r="A76" t="str">
        <f>"0062205715"</f>
        <v>0062205715</v>
      </c>
      <c r="B76" t="str">
        <f t="shared" si="1"/>
        <v>89301000</v>
      </c>
      <c r="C76" s="1">
        <v>44385</v>
      </c>
      <c r="D76" s="1">
        <v>44388</v>
      </c>
      <c r="E76">
        <v>1</v>
      </c>
      <c r="F76" t="s">
        <v>112</v>
      </c>
      <c r="G76" t="str">
        <f>"14-M01-05"</f>
        <v>14-M01-05</v>
      </c>
      <c r="H76">
        <v>0.54239999999999999</v>
      </c>
      <c r="I76" t="s">
        <v>131</v>
      </c>
      <c r="J76" t="s">
        <v>59</v>
      </c>
      <c r="K76" t="str">
        <f>"6F3"</f>
        <v>6F3</v>
      </c>
      <c r="L76" t="s">
        <v>15</v>
      </c>
    </row>
    <row r="77" spans="1:12" x14ac:dyDescent="0.25">
      <c r="A77" t="str">
        <f>"0101034846"</f>
        <v>0101034846</v>
      </c>
      <c r="B77" t="str">
        <f t="shared" si="1"/>
        <v>89301000</v>
      </c>
      <c r="C77" s="1">
        <v>44229</v>
      </c>
      <c r="D77" s="1">
        <v>44231</v>
      </c>
      <c r="E77">
        <v>1</v>
      </c>
      <c r="F77" t="s">
        <v>132</v>
      </c>
      <c r="G77" t="str">
        <f>"03-K03-02"</f>
        <v>03-K03-02</v>
      </c>
      <c r="H77">
        <v>0.49249999999999999</v>
      </c>
      <c r="I77" t="s">
        <v>133</v>
      </c>
      <c r="J77" t="s">
        <v>14</v>
      </c>
      <c r="K77" t="str">
        <f>"6F5"</f>
        <v>6F5</v>
      </c>
      <c r="L77" t="s">
        <v>15</v>
      </c>
    </row>
    <row r="78" spans="1:12" x14ac:dyDescent="0.25">
      <c r="A78" t="str">
        <f>"0101035737"</f>
        <v>0101035737</v>
      </c>
      <c r="B78" t="str">
        <f t="shared" si="1"/>
        <v>89301000</v>
      </c>
      <c r="C78" s="1">
        <v>44357</v>
      </c>
      <c r="D78" s="1">
        <v>44368</v>
      </c>
      <c r="E78">
        <v>1</v>
      </c>
      <c r="F78" t="s">
        <v>134</v>
      </c>
      <c r="G78" t="str">
        <f>"16-I04-01"</f>
        <v>16-I04-01</v>
      </c>
      <c r="H78">
        <v>1.1088</v>
      </c>
      <c r="I78" t="s">
        <v>135</v>
      </c>
      <c r="J78" t="s">
        <v>17</v>
      </c>
      <c r="K78" t="str">
        <f>"7F1"</f>
        <v>7F1</v>
      </c>
      <c r="L78" t="s">
        <v>15</v>
      </c>
    </row>
    <row r="79" spans="1:12" x14ac:dyDescent="0.25">
      <c r="A79" t="str">
        <f>"0101185700"</f>
        <v>0101185700</v>
      </c>
      <c r="B79" t="str">
        <f t="shared" si="1"/>
        <v>89301000</v>
      </c>
      <c r="C79" s="1">
        <v>44337</v>
      </c>
      <c r="D79" s="1">
        <v>44341</v>
      </c>
      <c r="E79">
        <v>1</v>
      </c>
      <c r="F79" t="s">
        <v>136</v>
      </c>
      <c r="G79" t="str">
        <f>"08-I14-03"</f>
        <v>08-I14-03</v>
      </c>
      <c r="H79">
        <v>1.5905</v>
      </c>
      <c r="I79" t="s">
        <v>137</v>
      </c>
      <c r="J79" t="s">
        <v>17</v>
      </c>
      <c r="K79" t="str">
        <f>"5F3"</f>
        <v>5F3</v>
      </c>
      <c r="L79" t="s">
        <v>15</v>
      </c>
    </row>
    <row r="80" spans="1:12" x14ac:dyDescent="0.25">
      <c r="A80" t="str">
        <f>"0101304313"</f>
        <v>0101304313</v>
      </c>
      <c r="B80" t="str">
        <f t="shared" si="1"/>
        <v>89301000</v>
      </c>
      <c r="C80" s="1">
        <v>44363</v>
      </c>
      <c r="D80" s="1">
        <v>44370</v>
      </c>
      <c r="E80">
        <v>1</v>
      </c>
      <c r="F80" t="s">
        <v>138</v>
      </c>
      <c r="G80" t="str">
        <f>"01-K18-04"</f>
        <v>01-K18-04</v>
      </c>
      <c r="H80">
        <v>0.49890000000000001</v>
      </c>
      <c r="J80" t="s">
        <v>14</v>
      </c>
      <c r="K80" t="str">
        <f>"2F9"</f>
        <v>2F9</v>
      </c>
      <c r="L80" t="s">
        <v>15</v>
      </c>
    </row>
    <row r="81" spans="1:12" x14ac:dyDescent="0.25">
      <c r="A81" t="str">
        <f>"0101304313"</f>
        <v>0101304313</v>
      </c>
      <c r="B81" t="str">
        <f t="shared" si="1"/>
        <v>89301000</v>
      </c>
      <c r="C81" s="1">
        <v>44484</v>
      </c>
      <c r="D81" s="1">
        <v>44485</v>
      </c>
      <c r="E81">
        <v>1</v>
      </c>
      <c r="F81" t="s">
        <v>139</v>
      </c>
      <c r="G81" t="str">
        <f>"07-K11-03"</f>
        <v>07-K11-03</v>
      </c>
      <c r="H81">
        <v>0.41060000000000002</v>
      </c>
      <c r="J81" t="s">
        <v>14</v>
      </c>
      <c r="K81" t="str">
        <f>"1F5"</f>
        <v>1F5</v>
      </c>
      <c r="L81" t="s">
        <v>15</v>
      </c>
    </row>
    <row r="82" spans="1:12" x14ac:dyDescent="0.25">
      <c r="A82" t="str">
        <f>"0102056141"</f>
        <v>0102056141</v>
      </c>
      <c r="B82" t="str">
        <f t="shared" si="1"/>
        <v>89301000</v>
      </c>
      <c r="C82" s="1">
        <v>44523</v>
      </c>
      <c r="D82" s="1">
        <v>44524</v>
      </c>
      <c r="E82">
        <v>1</v>
      </c>
      <c r="F82" t="s">
        <v>140</v>
      </c>
      <c r="G82" t="str">
        <f>"02-K09-00"</f>
        <v>02-K09-00</v>
      </c>
      <c r="H82">
        <v>0.40720000000000001</v>
      </c>
      <c r="I82" t="s">
        <v>141</v>
      </c>
      <c r="J82" t="s">
        <v>14</v>
      </c>
      <c r="K82" t="str">
        <f>"5F3"</f>
        <v>5F3</v>
      </c>
      <c r="L82" t="s">
        <v>15</v>
      </c>
    </row>
    <row r="83" spans="1:12" x14ac:dyDescent="0.25">
      <c r="A83" t="str">
        <f>"0102056141"</f>
        <v>0102056141</v>
      </c>
      <c r="B83" t="str">
        <f t="shared" si="1"/>
        <v>89301000</v>
      </c>
      <c r="C83" s="1">
        <v>44529</v>
      </c>
      <c r="D83" s="1">
        <v>44531</v>
      </c>
      <c r="E83">
        <v>1</v>
      </c>
      <c r="F83" t="s">
        <v>142</v>
      </c>
      <c r="G83" t="str">
        <f>"03-I11-03"</f>
        <v>03-I11-03</v>
      </c>
      <c r="H83">
        <v>1.0253000000000001</v>
      </c>
      <c r="I83" t="s">
        <v>143</v>
      </c>
      <c r="J83" t="s">
        <v>17</v>
      </c>
      <c r="K83" t="str">
        <f>"6F5"</f>
        <v>6F5</v>
      </c>
      <c r="L83" t="s">
        <v>15</v>
      </c>
    </row>
    <row r="84" spans="1:12" x14ac:dyDescent="0.25">
      <c r="A84" t="str">
        <f>"0102094861"</f>
        <v>0102094861</v>
      </c>
      <c r="B84" t="str">
        <f t="shared" si="1"/>
        <v>89301000</v>
      </c>
      <c r="C84" s="1">
        <v>44532</v>
      </c>
      <c r="D84" s="1">
        <v>44533</v>
      </c>
      <c r="E84">
        <v>1</v>
      </c>
      <c r="F84" t="s">
        <v>144</v>
      </c>
      <c r="G84" t="str">
        <f>"04-K10-02"</f>
        <v>04-K10-02</v>
      </c>
      <c r="H84">
        <v>0.38879999999999998</v>
      </c>
      <c r="I84" t="s">
        <v>145</v>
      </c>
      <c r="J84" t="s">
        <v>14</v>
      </c>
      <c r="K84" t="str">
        <f>"2F5"</f>
        <v>2F5</v>
      </c>
      <c r="L84" t="s">
        <v>15</v>
      </c>
    </row>
    <row r="85" spans="1:12" x14ac:dyDescent="0.25">
      <c r="A85" t="str">
        <f>"0102094861"</f>
        <v>0102094861</v>
      </c>
      <c r="B85" t="str">
        <f t="shared" si="1"/>
        <v>89301000</v>
      </c>
      <c r="C85" s="1">
        <v>44544</v>
      </c>
      <c r="D85" s="1">
        <v>44547</v>
      </c>
      <c r="E85">
        <v>1</v>
      </c>
      <c r="F85" t="s">
        <v>146</v>
      </c>
      <c r="G85" t="str">
        <f>"17-C05-04"</f>
        <v>17-C05-04</v>
      </c>
      <c r="H85">
        <v>0.7712</v>
      </c>
      <c r="I85" t="s">
        <v>147</v>
      </c>
      <c r="J85" t="s">
        <v>14</v>
      </c>
      <c r="K85" t="str">
        <f>"2F2"</f>
        <v>2F2</v>
      </c>
      <c r="L85" t="s">
        <v>15</v>
      </c>
    </row>
    <row r="86" spans="1:12" x14ac:dyDescent="0.25">
      <c r="A86" t="str">
        <f>"0102265295"</f>
        <v>0102265295</v>
      </c>
      <c r="B86" t="str">
        <f t="shared" si="1"/>
        <v>89301000</v>
      </c>
      <c r="C86" s="1">
        <v>44410</v>
      </c>
      <c r="D86" s="1">
        <v>44421</v>
      </c>
      <c r="E86">
        <v>1</v>
      </c>
      <c r="F86" t="s">
        <v>148</v>
      </c>
      <c r="G86" t="str">
        <f>"04-K11-01"</f>
        <v>04-K11-01</v>
      </c>
      <c r="H86">
        <v>1.8947000000000001</v>
      </c>
      <c r="I86" t="s">
        <v>149</v>
      </c>
      <c r="J86" t="s">
        <v>14</v>
      </c>
      <c r="K86" t="str">
        <f>"2F5"</f>
        <v>2F5</v>
      </c>
      <c r="L86" t="s">
        <v>15</v>
      </c>
    </row>
    <row r="87" spans="1:12" x14ac:dyDescent="0.25">
      <c r="A87" t="str">
        <f>"0102265295"</f>
        <v>0102265295</v>
      </c>
      <c r="B87" t="str">
        <f t="shared" si="1"/>
        <v>89301000</v>
      </c>
      <c r="C87" s="1">
        <v>44295</v>
      </c>
      <c r="D87" s="1">
        <v>44308</v>
      </c>
      <c r="E87">
        <v>1</v>
      </c>
      <c r="F87" t="s">
        <v>148</v>
      </c>
      <c r="G87" t="str">
        <f>"04-K11-01"</f>
        <v>04-K11-01</v>
      </c>
      <c r="H87">
        <v>1.8947000000000001</v>
      </c>
      <c r="I87" t="s">
        <v>150</v>
      </c>
      <c r="J87" t="s">
        <v>14</v>
      </c>
      <c r="K87" t="str">
        <f>"2F5"</f>
        <v>2F5</v>
      </c>
      <c r="L87" t="s">
        <v>15</v>
      </c>
    </row>
    <row r="88" spans="1:12" x14ac:dyDescent="0.25">
      <c r="A88" t="str">
        <f>"0103024845"</f>
        <v>0103024845</v>
      </c>
      <c r="B88" t="str">
        <f t="shared" si="1"/>
        <v>89301000</v>
      </c>
      <c r="C88" s="1">
        <v>44322</v>
      </c>
      <c r="D88" s="1">
        <v>44325</v>
      </c>
      <c r="E88">
        <v>1</v>
      </c>
      <c r="F88" t="s">
        <v>151</v>
      </c>
      <c r="G88" t="str">
        <f>"06-I16-04"</f>
        <v>06-I16-04</v>
      </c>
      <c r="H88">
        <v>0.67620000000000002</v>
      </c>
      <c r="J88" t="s">
        <v>24</v>
      </c>
      <c r="K88" t="str">
        <f>"5F1"</f>
        <v>5F1</v>
      </c>
      <c r="L88" t="s">
        <v>15</v>
      </c>
    </row>
    <row r="89" spans="1:12" x14ac:dyDescent="0.25">
      <c r="A89" t="str">
        <f>"0103076303"</f>
        <v>0103076303</v>
      </c>
      <c r="B89" t="str">
        <f t="shared" si="1"/>
        <v>89301000</v>
      </c>
      <c r="C89" s="1">
        <v>44342</v>
      </c>
      <c r="D89" s="1">
        <v>44346</v>
      </c>
      <c r="E89">
        <v>1</v>
      </c>
      <c r="F89" t="s">
        <v>81</v>
      </c>
      <c r="G89" t="str">
        <f>"10-I13-02"</f>
        <v>10-I13-02</v>
      </c>
      <c r="H89">
        <v>1.1468</v>
      </c>
      <c r="J89" t="s">
        <v>24</v>
      </c>
      <c r="K89" t="str">
        <f>"5F1"</f>
        <v>5F1</v>
      </c>
      <c r="L89" t="s">
        <v>15</v>
      </c>
    </row>
    <row r="90" spans="1:12" x14ac:dyDescent="0.25">
      <c r="A90" t="str">
        <f>"0103076303"</f>
        <v>0103076303</v>
      </c>
      <c r="B90" t="str">
        <f t="shared" si="1"/>
        <v>89301000</v>
      </c>
      <c r="C90" s="1">
        <v>44431</v>
      </c>
      <c r="D90" s="1">
        <v>44438</v>
      </c>
      <c r="E90">
        <v>1</v>
      </c>
      <c r="F90" t="s">
        <v>79</v>
      </c>
      <c r="G90" t="str">
        <f>"10-R02-01"</f>
        <v>10-R02-01</v>
      </c>
      <c r="H90">
        <v>0.9698</v>
      </c>
      <c r="I90" t="s">
        <v>80</v>
      </c>
      <c r="J90" t="s">
        <v>24</v>
      </c>
      <c r="K90" t="str">
        <f>"4F7"</f>
        <v>4F7</v>
      </c>
      <c r="L90" t="s">
        <v>15</v>
      </c>
    </row>
    <row r="91" spans="1:12" x14ac:dyDescent="0.25">
      <c r="A91" t="str">
        <f>"0103115716"</f>
        <v>0103115716</v>
      </c>
      <c r="B91" t="str">
        <f t="shared" si="1"/>
        <v>89301000</v>
      </c>
      <c r="C91" s="1">
        <v>44331</v>
      </c>
      <c r="D91" s="1">
        <v>44333</v>
      </c>
      <c r="E91">
        <v>1</v>
      </c>
      <c r="F91" t="s">
        <v>152</v>
      </c>
      <c r="G91" t="str">
        <f>"19-K01-03"</f>
        <v>19-K01-03</v>
      </c>
      <c r="H91">
        <v>0.60250000000000004</v>
      </c>
      <c r="I91" t="s">
        <v>153</v>
      </c>
      <c r="J91" t="s">
        <v>27</v>
      </c>
      <c r="K91" t="str">
        <f>"1F7"</f>
        <v>1F7</v>
      </c>
      <c r="L91" t="s">
        <v>15</v>
      </c>
    </row>
    <row r="92" spans="1:12" x14ac:dyDescent="0.25">
      <c r="A92" t="str">
        <f>"0104106167"</f>
        <v>0104106167</v>
      </c>
      <c r="B92" t="str">
        <f t="shared" si="1"/>
        <v>89301000</v>
      </c>
      <c r="C92" s="1">
        <v>44530</v>
      </c>
      <c r="D92" s="1">
        <v>44554</v>
      </c>
      <c r="E92">
        <v>1</v>
      </c>
      <c r="F92" t="s">
        <v>155</v>
      </c>
      <c r="G92" t="str">
        <f>"16-C03-01"</f>
        <v>16-C03-01</v>
      </c>
      <c r="H92">
        <v>4.4527999999999999</v>
      </c>
      <c r="I92" t="s">
        <v>156</v>
      </c>
      <c r="J92" t="s">
        <v>14</v>
      </c>
      <c r="K92" t="str">
        <f>"2T2"</f>
        <v>2T2</v>
      </c>
      <c r="L92" t="s">
        <v>15</v>
      </c>
    </row>
    <row r="93" spans="1:12" x14ac:dyDescent="0.25">
      <c r="A93" t="str">
        <f>"0104176149"</f>
        <v>0104176149</v>
      </c>
      <c r="B93" t="str">
        <f t="shared" si="1"/>
        <v>89301000</v>
      </c>
      <c r="C93" s="1">
        <v>44419</v>
      </c>
      <c r="D93" s="1">
        <v>44421</v>
      </c>
      <c r="E93">
        <v>1</v>
      </c>
      <c r="F93" t="s">
        <v>134</v>
      </c>
      <c r="G93" t="str">
        <f>"16-K01-02"</f>
        <v>16-K01-02</v>
      </c>
      <c r="H93">
        <v>0.50180000000000002</v>
      </c>
      <c r="J93" t="s">
        <v>14</v>
      </c>
      <c r="K93" t="str">
        <f>"7F1"</f>
        <v>7F1</v>
      </c>
      <c r="L93" t="s">
        <v>15</v>
      </c>
    </row>
    <row r="94" spans="1:12" x14ac:dyDescent="0.25">
      <c r="A94" t="str">
        <f>"0105104593"</f>
        <v>0105104593</v>
      </c>
      <c r="B94" t="str">
        <f t="shared" si="1"/>
        <v>89301000</v>
      </c>
      <c r="C94" s="1">
        <v>44280</v>
      </c>
      <c r="D94" s="1">
        <v>44284</v>
      </c>
      <c r="E94">
        <v>1</v>
      </c>
      <c r="F94" t="s">
        <v>157</v>
      </c>
      <c r="G94" t="str">
        <f>"03-I11-03"</f>
        <v>03-I11-03</v>
      </c>
      <c r="H94">
        <v>1.0253000000000001</v>
      </c>
      <c r="I94" t="s">
        <v>158</v>
      </c>
      <c r="J94" t="s">
        <v>17</v>
      </c>
      <c r="K94" t="str">
        <f>"6F5"</f>
        <v>6F5</v>
      </c>
      <c r="L94" t="s">
        <v>15</v>
      </c>
    </row>
    <row r="95" spans="1:12" x14ac:dyDescent="0.25">
      <c r="A95" t="str">
        <f>"0106035721"</f>
        <v>0106035721</v>
      </c>
      <c r="B95" t="str">
        <f t="shared" si="1"/>
        <v>89301000</v>
      </c>
      <c r="C95" s="1">
        <v>44412</v>
      </c>
      <c r="D95" s="1">
        <v>44417</v>
      </c>
      <c r="E95">
        <v>1</v>
      </c>
      <c r="F95" t="s">
        <v>159</v>
      </c>
      <c r="G95" t="str">
        <f>"01-K06-00"</f>
        <v>01-K06-00</v>
      </c>
      <c r="H95">
        <v>0.2641</v>
      </c>
      <c r="I95" t="s">
        <v>160</v>
      </c>
      <c r="J95" t="s">
        <v>14</v>
      </c>
      <c r="K95" t="str">
        <f>"3F5"</f>
        <v>3F5</v>
      </c>
      <c r="L95" t="s">
        <v>15</v>
      </c>
    </row>
    <row r="96" spans="1:12" x14ac:dyDescent="0.25">
      <c r="A96" t="str">
        <f>"0106255710"</f>
        <v>0106255710</v>
      </c>
      <c r="B96" t="str">
        <f t="shared" si="1"/>
        <v>89301000</v>
      </c>
      <c r="C96" s="1">
        <v>44313</v>
      </c>
      <c r="D96" s="1">
        <v>44314</v>
      </c>
      <c r="E96">
        <v>1</v>
      </c>
      <c r="F96" t="s">
        <v>161</v>
      </c>
      <c r="G96" t="str">
        <f>"20-K01-05"</f>
        <v>20-K01-05</v>
      </c>
      <c r="H96">
        <v>0.32890000000000003</v>
      </c>
      <c r="J96" t="s">
        <v>14</v>
      </c>
      <c r="K96" t="str">
        <f>"1F1"</f>
        <v>1F1</v>
      </c>
      <c r="L96" t="s">
        <v>15</v>
      </c>
    </row>
    <row r="97" spans="1:12" x14ac:dyDescent="0.25">
      <c r="A97" t="str">
        <f>"0107025732"</f>
        <v>0107025732</v>
      </c>
      <c r="B97" t="str">
        <f t="shared" si="1"/>
        <v>89301000</v>
      </c>
      <c r="C97" s="1">
        <v>44492</v>
      </c>
      <c r="D97" s="1">
        <v>44493</v>
      </c>
      <c r="E97">
        <v>1</v>
      </c>
      <c r="F97" t="s">
        <v>162</v>
      </c>
      <c r="G97" t="str">
        <f>"08-I19-03"</f>
        <v>08-I19-03</v>
      </c>
      <c r="H97">
        <v>0.61250000000000004</v>
      </c>
      <c r="I97" t="s">
        <v>163</v>
      </c>
      <c r="J97" t="s">
        <v>17</v>
      </c>
      <c r="K97" t="str">
        <f>"5F3"</f>
        <v>5F3</v>
      </c>
      <c r="L97" t="s">
        <v>15</v>
      </c>
    </row>
    <row r="98" spans="1:12" x14ac:dyDescent="0.25">
      <c r="A98" t="str">
        <f>"0107095725"</f>
        <v>0107095725</v>
      </c>
      <c r="B98" t="str">
        <f t="shared" si="1"/>
        <v>89301000</v>
      </c>
      <c r="C98" s="1">
        <v>44508</v>
      </c>
      <c r="D98" s="1">
        <v>44509</v>
      </c>
      <c r="E98">
        <v>1</v>
      </c>
      <c r="F98" t="s">
        <v>164</v>
      </c>
      <c r="G98" t="str">
        <f>"01-K13-02"</f>
        <v>01-K13-02</v>
      </c>
      <c r="H98">
        <v>0.7954</v>
      </c>
      <c r="I98" t="s">
        <v>165</v>
      </c>
      <c r="J98" t="s">
        <v>14</v>
      </c>
      <c r="K98" t="str">
        <f>"1F1"</f>
        <v>1F1</v>
      </c>
      <c r="L98" t="s">
        <v>15</v>
      </c>
    </row>
    <row r="99" spans="1:12" x14ac:dyDescent="0.25">
      <c r="A99" t="str">
        <f>"0108185726"</f>
        <v>0108185726</v>
      </c>
      <c r="B99" t="str">
        <f t="shared" si="1"/>
        <v>89301000</v>
      </c>
      <c r="C99" s="1">
        <v>44469</v>
      </c>
      <c r="D99" s="1">
        <v>44474</v>
      </c>
      <c r="E99">
        <v>1</v>
      </c>
      <c r="F99" t="s">
        <v>77</v>
      </c>
      <c r="G99" t="str">
        <f>"19-K03-03"</f>
        <v>19-K03-03</v>
      </c>
      <c r="H99">
        <v>0.93169999999999997</v>
      </c>
      <c r="I99" t="s">
        <v>166</v>
      </c>
      <c r="J99" t="s">
        <v>27</v>
      </c>
      <c r="K99" t="str">
        <f>"3F5"</f>
        <v>3F5</v>
      </c>
      <c r="L99" t="s">
        <v>15</v>
      </c>
    </row>
    <row r="100" spans="1:12" x14ac:dyDescent="0.25">
      <c r="A100" t="str">
        <f>"0108236172"</f>
        <v>0108236172</v>
      </c>
      <c r="B100" t="str">
        <f t="shared" si="1"/>
        <v>89301000</v>
      </c>
      <c r="C100" s="1">
        <v>44245</v>
      </c>
      <c r="D100" s="1">
        <v>44248</v>
      </c>
      <c r="E100">
        <v>1</v>
      </c>
      <c r="F100" t="s">
        <v>167</v>
      </c>
      <c r="G100" t="str">
        <f>"08-M03-04"</f>
        <v>08-M03-04</v>
      </c>
      <c r="H100">
        <v>0.8609</v>
      </c>
      <c r="I100" t="s">
        <v>168</v>
      </c>
      <c r="J100" t="s">
        <v>14</v>
      </c>
      <c r="K100" t="str">
        <f>"6F6"</f>
        <v>6F6</v>
      </c>
      <c r="L100" t="s">
        <v>15</v>
      </c>
    </row>
    <row r="101" spans="1:12" x14ac:dyDescent="0.25">
      <c r="A101" t="str">
        <f>"0108316153"</f>
        <v>0108316153</v>
      </c>
      <c r="B101" t="str">
        <f t="shared" si="1"/>
        <v>89301000</v>
      </c>
      <c r="C101" s="1">
        <v>44495</v>
      </c>
      <c r="D101" s="1">
        <v>44504</v>
      </c>
      <c r="E101">
        <v>5</v>
      </c>
      <c r="F101" t="s">
        <v>169</v>
      </c>
      <c r="G101" t="str">
        <f>"00-M01-04"</f>
        <v>00-M01-04</v>
      </c>
      <c r="H101">
        <v>6.85</v>
      </c>
      <c r="I101" t="s">
        <v>170</v>
      </c>
      <c r="J101" t="s">
        <v>14</v>
      </c>
      <c r="K101" t="str">
        <f>"5T6"</f>
        <v>5T6</v>
      </c>
      <c r="L101" t="s">
        <v>15</v>
      </c>
    </row>
    <row r="102" spans="1:12" x14ac:dyDescent="0.25">
      <c r="A102" t="str">
        <f>"0109065704"</f>
        <v>0109065704</v>
      </c>
      <c r="B102" t="str">
        <f t="shared" si="1"/>
        <v>89301000</v>
      </c>
      <c r="C102" s="1">
        <v>44540</v>
      </c>
      <c r="D102" s="1">
        <v>44546</v>
      </c>
      <c r="E102">
        <v>1</v>
      </c>
      <c r="F102" t="s">
        <v>171</v>
      </c>
      <c r="G102" t="str">
        <f>"06-K06-01"</f>
        <v>06-K06-01</v>
      </c>
      <c r="H102">
        <v>1.3448</v>
      </c>
      <c r="I102" t="s">
        <v>172</v>
      </c>
      <c r="J102" t="s">
        <v>14</v>
      </c>
      <c r="K102" t="str">
        <f>"1F5"</f>
        <v>1F5</v>
      </c>
      <c r="L102" t="s">
        <v>15</v>
      </c>
    </row>
    <row r="103" spans="1:12" x14ac:dyDescent="0.25">
      <c r="A103" t="str">
        <f>"0109205712"</f>
        <v>0109205712</v>
      </c>
      <c r="B103" t="str">
        <f t="shared" si="1"/>
        <v>89301000</v>
      </c>
      <c r="C103" s="1">
        <v>44235</v>
      </c>
      <c r="D103" s="1">
        <v>44237</v>
      </c>
      <c r="E103">
        <v>1</v>
      </c>
      <c r="F103" t="s">
        <v>173</v>
      </c>
      <c r="G103" t="str">
        <f>"08-I32-02"</f>
        <v>08-I32-02</v>
      </c>
      <c r="H103">
        <v>0.4143</v>
      </c>
      <c r="I103" t="s">
        <v>168</v>
      </c>
      <c r="J103" t="s">
        <v>14</v>
      </c>
      <c r="K103" t="str">
        <f>"5F3"</f>
        <v>5F3</v>
      </c>
      <c r="L103" t="s">
        <v>15</v>
      </c>
    </row>
    <row r="104" spans="1:12" x14ac:dyDescent="0.25">
      <c r="A104" t="str">
        <f>"0109254849"</f>
        <v>0109254849</v>
      </c>
      <c r="B104" t="str">
        <f t="shared" si="1"/>
        <v>89301000</v>
      </c>
      <c r="C104" s="1">
        <v>44332</v>
      </c>
      <c r="D104" s="1">
        <v>44334</v>
      </c>
      <c r="E104">
        <v>1</v>
      </c>
      <c r="F104" t="s">
        <v>174</v>
      </c>
      <c r="G104" t="str">
        <f>"12-I14-00"</f>
        <v>12-I14-00</v>
      </c>
      <c r="H104">
        <v>0.44350000000000001</v>
      </c>
      <c r="J104" t="s">
        <v>14</v>
      </c>
      <c r="K104" t="str">
        <f>"7F6"</f>
        <v>7F6</v>
      </c>
      <c r="L104" t="s">
        <v>15</v>
      </c>
    </row>
    <row r="105" spans="1:12" x14ac:dyDescent="0.25">
      <c r="A105" t="str">
        <f>"0109255707"</f>
        <v>0109255707</v>
      </c>
      <c r="B105" t="str">
        <f t="shared" si="1"/>
        <v>89301000</v>
      </c>
      <c r="C105" s="1">
        <v>44448</v>
      </c>
      <c r="D105" s="1">
        <v>44449</v>
      </c>
      <c r="E105">
        <v>1</v>
      </c>
      <c r="F105" t="s">
        <v>174</v>
      </c>
      <c r="G105" t="str">
        <f>"12-I14-00"</f>
        <v>12-I14-00</v>
      </c>
      <c r="H105">
        <v>0.44350000000000001</v>
      </c>
      <c r="I105" t="s">
        <v>168</v>
      </c>
      <c r="J105" t="s">
        <v>14</v>
      </c>
      <c r="K105" t="str">
        <f>"7F6"</f>
        <v>7F6</v>
      </c>
      <c r="L105" t="s">
        <v>15</v>
      </c>
    </row>
    <row r="106" spans="1:12" x14ac:dyDescent="0.25">
      <c r="A106" t="str">
        <f>"0110045738"</f>
        <v>0110045738</v>
      </c>
      <c r="B106" t="str">
        <f t="shared" si="1"/>
        <v>89301000</v>
      </c>
      <c r="C106" s="1">
        <v>44202</v>
      </c>
      <c r="D106" s="1">
        <v>44205</v>
      </c>
      <c r="E106">
        <v>1</v>
      </c>
      <c r="F106" t="s">
        <v>175</v>
      </c>
      <c r="G106" t="str">
        <f>"05-K13-02"</f>
        <v>05-K13-02</v>
      </c>
      <c r="H106">
        <v>0.60950000000000004</v>
      </c>
      <c r="I106" t="s">
        <v>176</v>
      </c>
      <c r="J106" t="s">
        <v>14</v>
      </c>
      <c r="K106" t="str">
        <f>"1F1"</f>
        <v>1F1</v>
      </c>
      <c r="L106" t="s">
        <v>15</v>
      </c>
    </row>
    <row r="107" spans="1:12" x14ac:dyDescent="0.25">
      <c r="A107" t="str">
        <f>"0111035716"</f>
        <v>0111035716</v>
      </c>
      <c r="B107" t="str">
        <f t="shared" si="1"/>
        <v>89301000</v>
      </c>
      <c r="C107" s="1">
        <v>44368</v>
      </c>
      <c r="D107" s="1">
        <v>44369</v>
      </c>
      <c r="E107">
        <v>1</v>
      </c>
      <c r="F107" t="s">
        <v>174</v>
      </c>
      <c r="G107" t="str">
        <f>"12-I14-00"</f>
        <v>12-I14-00</v>
      </c>
      <c r="H107">
        <v>0.44350000000000001</v>
      </c>
      <c r="J107" t="s">
        <v>14</v>
      </c>
      <c r="K107" t="str">
        <f>"7F6"</f>
        <v>7F6</v>
      </c>
      <c r="L107" t="s">
        <v>15</v>
      </c>
    </row>
    <row r="108" spans="1:12" x14ac:dyDescent="0.25">
      <c r="A108" t="str">
        <f>"0111104851"</f>
        <v>0111104851</v>
      </c>
      <c r="B108" t="str">
        <f t="shared" si="1"/>
        <v>89301000</v>
      </c>
      <c r="C108" s="1">
        <v>44364</v>
      </c>
      <c r="D108" s="1">
        <v>44365</v>
      </c>
      <c r="E108">
        <v>1</v>
      </c>
      <c r="F108" t="s">
        <v>177</v>
      </c>
      <c r="G108" t="str">
        <f>"01-I14-01"</f>
        <v>01-I14-01</v>
      </c>
      <c r="H108">
        <v>1.1677999999999999</v>
      </c>
      <c r="I108" t="s">
        <v>163</v>
      </c>
      <c r="J108" t="s">
        <v>14</v>
      </c>
      <c r="K108" t="str">
        <f>"6F1"</f>
        <v>6F1</v>
      </c>
      <c r="L108" t="s">
        <v>15</v>
      </c>
    </row>
    <row r="109" spans="1:12" x14ac:dyDescent="0.25">
      <c r="A109" t="str">
        <f>"0111286164"</f>
        <v>0111286164</v>
      </c>
      <c r="B109" t="str">
        <f t="shared" si="1"/>
        <v>89301000</v>
      </c>
      <c r="C109" s="1">
        <v>44412</v>
      </c>
      <c r="D109" s="1">
        <v>44420</v>
      </c>
      <c r="E109">
        <v>1</v>
      </c>
      <c r="F109" t="s">
        <v>178</v>
      </c>
      <c r="G109" t="str">
        <f>"11-I07-04"</f>
        <v>11-I07-04</v>
      </c>
      <c r="H109">
        <v>2.1764999999999999</v>
      </c>
      <c r="I109" t="s">
        <v>179</v>
      </c>
      <c r="J109" t="s">
        <v>24</v>
      </c>
      <c r="K109" t="str">
        <f>"7F6"</f>
        <v>7F6</v>
      </c>
      <c r="L109" t="s">
        <v>15</v>
      </c>
    </row>
    <row r="110" spans="1:12" x14ac:dyDescent="0.25">
      <c r="A110" t="str">
        <f>"0151174331"</f>
        <v>0151174331</v>
      </c>
      <c r="B110" t="str">
        <f t="shared" si="1"/>
        <v>89301000</v>
      </c>
      <c r="C110" s="1">
        <v>44451</v>
      </c>
      <c r="D110" s="1">
        <v>44451</v>
      </c>
      <c r="E110">
        <v>1</v>
      </c>
      <c r="F110" t="s">
        <v>75</v>
      </c>
      <c r="G110" t="str">
        <f>"14-M01-05"</f>
        <v>14-M01-05</v>
      </c>
      <c r="H110">
        <v>0.27289999999999998</v>
      </c>
      <c r="I110" t="s">
        <v>180</v>
      </c>
      <c r="J110" t="s">
        <v>59</v>
      </c>
      <c r="K110" t="str">
        <f>"6F3"</f>
        <v>6F3</v>
      </c>
      <c r="L110" t="s">
        <v>15</v>
      </c>
    </row>
    <row r="111" spans="1:12" x14ac:dyDescent="0.25">
      <c r="A111" t="str">
        <f>"0151175706"</f>
        <v>0151175706</v>
      </c>
      <c r="B111" t="str">
        <f t="shared" si="1"/>
        <v>89301000</v>
      </c>
      <c r="C111" s="1">
        <v>44451</v>
      </c>
      <c r="D111" s="1">
        <v>44455</v>
      </c>
      <c r="E111">
        <v>1</v>
      </c>
      <c r="F111" t="s">
        <v>181</v>
      </c>
      <c r="G111" t="str">
        <f>"19-K02-03"</f>
        <v>19-K02-03</v>
      </c>
      <c r="H111">
        <v>0.67269999999999996</v>
      </c>
      <c r="I111" t="s">
        <v>182</v>
      </c>
      <c r="J111" t="s">
        <v>27</v>
      </c>
      <c r="K111" t="str">
        <f>"3F5"</f>
        <v>3F5</v>
      </c>
      <c r="L111" t="s">
        <v>15</v>
      </c>
    </row>
    <row r="112" spans="1:12" x14ac:dyDescent="0.25">
      <c r="A112" t="str">
        <f>"0152125721"</f>
        <v>0152125721</v>
      </c>
      <c r="B112" t="str">
        <f t="shared" si="1"/>
        <v>89301000</v>
      </c>
      <c r="C112" s="1">
        <v>44389</v>
      </c>
      <c r="D112" s="1">
        <v>44396</v>
      </c>
      <c r="E112">
        <v>1</v>
      </c>
      <c r="F112" t="s">
        <v>87</v>
      </c>
      <c r="G112" t="str">
        <f>"09-K04-02"</f>
        <v>09-K04-02</v>
      </c>
      <c r="H112">
        <v>0.68279999999999996</v>
      </c>
      <c r="I112" t="s">
        <v>183</v>
      </c>
      <c r="J112" t="s">
        <v>14</v>
      </c>
      <c r="K112" t="str">
        <f>"4F4"</f>
        <v>4F4</v>
      </c>
      <c r="L112" t="s">
        <v>15</v>
      </c>
    </row>
    <row r="113" spans="1:12" x14ac:dyDescent="0.25">
      <c r="A113" t="str">
        <f>"0152165717"</f>
        <v>0152165717</v>
      </c>
      <c r="B113" t="str">
        <f t="shared" si="1"/>
        <v>89301000</v>
      </c>
      <c r="C113" s="1">
        <v>44391</v>
      </c>
      <c r="D113" s="1">
        <v>44393</v>
      </c>
      <c r="E113">
        <v>1</v>
      </c>
      <c r="F113" t="s">
        <v>184</v>
      </c>
      <c r="G113" t="str">
        <f>"01-I14-02"</f>
        <v>01-I14-02</v>
      </c>
      <c r="H113">
        <v>1.1561999999999999</v>
      </c>
      <c r="I113" t="s">
        <v>185</v>
      </c>
      <c r="J113" t="s">
        <v>14</v>
      </c>
      <c r="K113" t="str">
        <f>"6F1"</f>
        <v>6F1</v>
      </c>
      <c r="L113" t="s">
        <v>15</v>
      </c>
    </row>
    <row r="114" spans="1:12" x14ac:dyDescent="0.25">
      <c r="A114" t="str">
        <f>"0153156157"</f>
        <v>0153156157</v>
      </c>
      <c r="B114" t="str">
        <f t="shared" si="1"/>
        <v>89301000</v>
      </c>
      <c r="C114" s="1">
        <v>44461</v>
      </c>
      <c r="D114" s="1">
        <v>44462</v>
      </c>
      <c r="E114">
        <v>1</v>
      </c>
      <c r="F114" t="s">
        <v>186</v>
      </c>
      <c r="G114" t="str">
        <f>"05-M05-03"</f>
        <v>05-M05-03</v>
      </c>
      <c r="H114">
        <v>1.9991000000000001</v>
      </c>
      <c r="J114" t="s">
        <v>24</v>
      </c>
      <c r="K114" t="str">
        <f>"1F1"</f>
        <v>1F1</v>
      </c>
      <c r="L114" t="s">
        <v>15</v>
      </c>
    </row>
    <row r="115" spans="1:12" x14ac:dyDescent="0.25">
      <c r="A115" t="str">
        <f>"0153216173"</f>
        <v>0153216173</v>
      </c>
      <c r="B115" t="str">
        <f t="shared" si="1"/>
        <v>89301000</v>
      </c>
      <c r="C115" s="1">
        <v>44453</v>
      </c>
      <c r="D115" s="1">
        <v>44455</v>
      </c>
      <c r="E115">
        <v>1</v>
      </c>
      <c r="F115" t="s">
        <v>173</v>
      </c>
      <c r="G115" t="str">
        <f>"08-I32-02"</f>
        <v>08-I32-02</v>
      </c>
      <c r="H115">
        <v>0.4143</v>
      </c>
      <c r="J115" t="s">
        <v>14</v>
      </c>
      <c r="K115" t="str">
        <f>"5F3"</f>
        <v>5F3</v>
      </c>
      <c r="L115" t="s">
        <v>15</v>
      </c>
    </row>
    <row r="116" spans="1:12" x14ac:dyDescent="0.25">
      <c r="A116" t="str">
        <f>"0154106205"</f>
        <v>0154106205</v>
      </c>
      <c r="B116" t="str">
        <f t="shared" si="1"/>
        <v>89301000</v>
      </c>
      <c r="C116" s="1">
        <v>44463</v>
      </c>
      <c r="D116" s="1">
        <v>44464</v>
      </c>
      <c r="E116">
        <v>1</v>
      </c>
      <c r="F116" t="s">
        <v>187</v>
      </c>
      <c r="G116" t="str">
        <f>"14-I08-03"</f>
        <v>14-I08-03</v>
      </c>
      <c r="H116">
        <v>0.21099999999999999</v>
      </c>
      <c r="J116" t="s">
        <v>14</v>
      </c>
      <c r="K116" t="str">
        <f>"6F3"</f>
        <v>6F3</v>
      </c>
      <c r="L116" t="s">
        <v>15</v>
      </c>
    </row>
    <row r="117" spans="1:12" x14ac:dyDescent="0.25">
      <c r="A117" t="str">
        <f>"0154226171"</f>
        <v>0154226171</v>
      </c>
      <c r="B117" t="str">
        <f t="shared" si="1"/>
        <v>89301000</v>
      </c>
      <c r="C117" s="1">
        <v>44295</v>
      </c>
      <c r="D117" s="1">
        <v>44299</v>
      </c>
      <c r="E117">
        <v>1</v>
      </c>
      <c r="F117" t="s">
        <v>188</v>
      </c>
      <c r="G117" t="str">
        <f>"13-K01-02"</f>
        <v>13-K01-02</v>
      </c>
      <c r="H117">
        <v>0.40110000000000001</v>
      </c>
      <c r="J117" t="s">
        <v>14</v>
      </c>
      <c r="K117" t="str">
        <f>"6F3"</f>
        <v>6F3</v>
      </c>
      <c r="L117" t="s">
        <v>15</v>
      </c>
    </row>
    <row r="118" spans="1:12" x14ac:dyDescent="0.25">
      <c r="A118" t="str">
        <f>"0154286143"</f>
        <v>0154286143</v>
      </c>
      <c r="B118" t="str">
        <f t="shared" si="1"/>
        <v>89301000</v>
      </c>
      <c r="C118" s="1">
        <v>44368</v>
      </c>
      <c r="D118" s="1">
        <v>44372</v>
      </c>
      <c r="E118">
        <v>1</v>
      </c>
      <c r="F118" t="s">
        <v>189</v>
      </c>
      <c r="G118" t="str">
        <f>"03-I15-00"</f>
        <v>03-I15-00</v>
      </c>
      <c r="H118">
        <v>0.97689999999999999</v>
      </c>
      <c r="J118" t="s">
        <v>24</v>
      </c>
      <c r="K118" t="str">
        <f>"7F1"</f>
        <v>7F1</v>
      </c>
      <c r="L118" t="s">
        <v>15</v>
      </c>
    </row>
    <row r="119" spans="1:12" x14ac:dyDescent="0.25">
      <c r="A119" t="str">
        <f>"0154305613"</f>
        <v>0154305613</v>
      </c>
      <c r="B119" t="str">
        <f t="shared" si="1"/>
        <v>89301000</v>
      </c>
      <c r="C119" s="1">
        <v>44431</v>
      </c>
      <c r="D119" s="1">
        <v>44439</v>
      </c>
      <c r="E119">
        <v>1</v>
      </c>
      <c r="F119" t="s">
        <v>152</v>
      </c>
      <c r="G119" t="str">
        <f>"19-K03-03"</f>
        <v>19-K03-03</v>
      </c>
      <c r="H119">
        <v>0.93169999999999997</v>
      </c>
      <c r="I119" t="s">
        <v>190</v>
      </c>
      <c r="J119" t="s">
        <v>27</v>
      </c>
      <c r="K119" t="str">
        <f>"3F5"</f>
        <v>3F5</v>
      </c>
      <c r="L119" t="s">
        <v>15</v>
      </c>
    </row>
    <row r="120" spans="1:12" x14ac:dyDescent="0.25">
      <c r="A120" t="str">
        <f>"0155046155"</f>
        <v>0155046155</v>
      </c>
      <c r="B120" t="str">
        <f t="shared" si="1"/>
        <v>89301000</v>
      </c>
      <c r="C120" s="1">
        <v>44493</v>
      </c>
      <c r="D120" s="1">
        <v>44497</v>
      </c>
      <c r="E120">
        <v>1</v>
      </c>
      <c r="F120" t="s">
        <v>81</v>
      </c>
      <c r="G120" t="str">
        <f>"10-I13-02"</f>
        <v>10-I13-02</v>
      </c>
      <c r="H120">
        <v>1.1468</v>
      </c>
      <c r="J120" t="s">
        <v>24</v>
      </c>
      <c r="K120" t="str">
        <f>"5F1"</f>
        <v>5F1</v>
      </c>
      <c r="L120" t="s">
        <v>15</v>
      </c>
    </row>
    <row r="121" spans="1:12" x14ac:dyDescent="0.25">
      <c r="A121" t="str">
        <f>"0155105720"</f>
        <v>0155105720</v>
      </c>
      <c r="B121" t="str">
        <f t="shared" si="1"/>
        <v>89301000</v>
      </c>
      <c r="C121" s="1">
        <v>44449</v>
      </c>
      <c r="D121" s="1">
        <v>44453</v>
      </c>
      <c r="E121">
        <v>1</v>
      </c>
      <c r="F121" t="s">
        <v>191</v>
      </c>
      <c r="G121" t="str">
        <f>"02-K02-01"</f>
        <v>02-K02-01</v>
      </c>
      <c r="H121">
        <v>0.8901</v>
      </c>
      <c r="I121" t="s">
        <v>192</v>
      </c>
      <c r="J121" t="s">
        <v>14</v>
      </c>
      <c r="K121" t="str">
        <f>"2F9"</f>
        <v>2F9</v>
      </c>
      <c r="L121" t="s">
        <v>15</v>
      </c>
    </row>
    <row r="122" spans="1:12" x14ac:dyDescent="0.25">
      <c r="A122" t="str">
        <f>"0156154845"</f>
        <v>0156154845</v>
      </c>
      <c r="B122" t="str">
        <f t="shared" si="1"/>
        <v>89301000</v>
      </c>
      <c r="C122" s="1">
        <v>44256</v>
      </c>
      <c r="D122" s="1">
        <v>44258</v>
      </c>
      <c r="E122">
        <v>1</v>
      </c>
      <c r="F122" t="s">
        <v>16</v>
      </c>
      <c r="G122" t="str">
        <f>"08-I04-03"</f>
        <v>08-I04-03</v>
      </c>
      <c r="H122">
        <v>1.331</v>
      </c>
      <c r="I122" t="s">
        <v>193</v>
      </c>
      <c r="J122" t="s">
        <v>17</v>
      </c>
      <c r="K122" t="str">
        <f>"5F6"</f>
        <v>5F6</v>
      </c>
      <c r="L122" t="s">
        <v>15</v>
      </c>
    </row>
    <row r="123" spans="1:12" x14ac:dyDescent="0.25">
      <c r="A123" t="str">
        <f>"0157115750"</f>
        <v>0157115750</v>
      </c>
      <c r="B123" t="str">
        <f t="shared" si="1"/>
        <v>89301000</v>
      </c>
      <c r="C123" s="1">
        <v>44464</v>
      </c>
      <c r="D123" s="1">
        <v>44470</v>
      </c>
      <c r="E123">
        <v>1</v>
      </c>
      <c r="F123" t="s">
        <v>194</v>
      </c>
      <c r="G123" t="str">
        <f>"01-K07-03"</f>
        <v>01-K07-03</v>
      </c>
      <c r="H123">
        <v>0.4642</v>
      </c>
      <c r="J123" t="s">
        <v>14</v>
      </c>
      <c r="K123" t="str">
        <f>"2F9"</f>
        <v>2F9</v>
      </c>
      <c r="L123" t="s">
        <v>15</v>
      </c>
    </row>
    <row r="124" spans="1:12" x14ac:dyDescent="0.25">
      <c r="A124" t="str">
        <f>"0158083860"</f>
        <v>0158083860</v>
      </c>
      <c r="B124" t="str">
        <f t="shared" si="1"/>
        <v>89301000</v>
      </c>
      <c r="C124" s="1">
        <v>44389</v>
      </c>
      <c r="D124" s="1">
        <v>44427</v>
      </c>
      <c r="E124">
        <v>1</v>
      </c>
      <c r="F124" t="s">
        <v>77</v>
      </c>
      <c r="G124" t="str">
        <f>"19-K07-02"</f>
        <v>19-K07-02</v>
      </c>
      <c r="H124">
        <v>2.8759999999999999</v>
      </c>
      <c r="I124" t="s">
        <v>195</v>
      </c>
      <c r="J124" t="s">
        <v>27</v>
      </c>
      <c r="K124" t="str">
        <f>"3F5"</f>
        <v>3F5</v>
      </c>
      <c r="L124" t="s">
        <v>15</v>
      </c>
    </row>
    <row r="125" spans="1:12" x14ac:dyDescent="0.25">
      <c r="A125" t="str">
        <f>"0158145713"</f>
        <v>0158145713</v>
      </c>
      <c r="B125" t="str">
        <f t="shared" si="1"/>
        <v>89301000</v>
      </c>
      <c r="C125" s="1">
        <v>44208</v>
      </c>
      <c r="D125" s="1">
        <v>44210</v>
      </c>
      <c r="E125">
        <v>1</v>
      </c>
      <c r="F125" t="s">
        <v>29</v>
      </c>
      <c r="G125" t="str">
        <f>"08-M03-05"</f>
        <v>08-M03-05</v>
      </c>
      <c r="H125">
        <v>0.51759999999999995</v>
      </c>
      <c r="I125" t="s">
        <v>196</v>
      </c>
      <c r="J125" t="s">
        <v>14</v>
      </c>
      <c r="K125" t="str">
        <f>"5F3"</f>
        <v>5F3</v>
      </c>
      <c r="L125" t="s">
        <v>15</v>
      </c>
    </row>
    <row r="126" spans="1:12" x14ac:dyDescent="0.25">
      <c r="A126" t="str">
        <f>"0158165711"</f>
        <v>0158165711</v>
      </c>
      <c r="B126" t="str">
        <f t="shared" si="1"/>
        <v>89301000</v>
      </c>
      <c r="C126" s="1">
        <v>44470</v>
      </c>
      <c r="D126" s="1">
        <v>44471</v>
      </c>
      <c r="E126">
        <v>1</v>
      </c>
      <c r="F126" t="s">
        <v>197</v>
      </c>
      <c r="G126" t="str">
        <f>"03-K02-02"</f>
        <v>03-K02-02</v>
      </c>
      <c r="H126">
        <v>0.56889999999999996</v>
      </c>
      <c r="I126" t="s">
        <v>198</v>
      </c>
      <c r="J126" t="s">
        <v>14</v>
      </c>
      <c r="K126" t="str">
        <f>"6F5"</f>
        <v>6F5</v>
      </c>
      <c r="L126" t="s">
        <v>15</v>
      </c>
    </row>
    <row r="127" spans="1:12" x14ac:dyDescent="0.25">
      <c r="A127" t="str">
        <f>"0158165722"</f>
        <v>0158165722</v>
      </c>
      <c r="B127" t="str">
        <f t="shared" ref="B127:B190" si="2">"89301000"</f>
        <v>89301000</v>
      </c>
      <c r="C127" s="1">
        <v>44526</v>
      </c>
      <c r="D127" s="1">
        <v>44530</v>
      </c>
      <c r="E127">
        <v>1</v>
      </c>
      <c r="F127" t="s">
        <v>199</v>
      </c>
      <c r="G127" t="str">
        <f>"21-K01-00"</f>
        <v>21-K01-00</v>
      </c>
      <c r="H127">
        <v>0.81520000000000004</v>
      </c>
      <c r="I127" t="s">
        <v>200</v>
      </c>
      <c r="J127" t="s">
        <v>14</v>
      </c>
      <c r="K127" t="str">
        <f>"5F3"</f>
        <v>5F3</v>
      </c>
      <c r="L127" t="s">
        <v>15</v>
      </c>
    </row>
    <row r="128" spans="1:12" x14ac:dyDescent="0.25">
      <c r="A128" t="str">
        <f>"0158215739"</f>
        <v>0158215739</v>
      </c>
      <c r="B128" t="str">
        <f t="shared" si="2"/>
        <v>89301000</v>
      </c>
      <c r="C128" s="1">
        <v>44333</v>
      </c>
      <c r="D128" s="1">
        <v>44340</v>
      </c>
      <c r="E128">
        <v>1</v>
      </c>
      <c r="F128" t="s">
        <v>201</v>
      </c>
      <c r="G128" t="str">
        <f>"04-K02-03"</f>
        <v>04-K02-03</v>
      </c>
      <c r="H128">
        <v>1.2859</v>
      </c>
      <c r="I128" t="s">
        <v>202</v>
      </c>
      <c r="J128" t="s">
        <v>14</v>
      </c>
      <c r="K128" t="str">
        <f>"2F5"</f>
        <v>2F5</v>
      </c>
      <c r="L128" t="s">
        <v>15</v>
      </c>
    </row>
    <row r="129" spans="1:12" x14ac:dyDescent="0.25">
      <c r="A129" t="str">
        <f>"0159075609"</f>
        <v>0159075609</v>
      </c>
      <c r="B129" t="str">
        <f t="shared" si="2"/>
        <v>89301000</v>
      </c>
      <c r="C129" s="1">
        <v>44389</v>
      </c>
      <c r="D129" s="1">
        <v>44427</v>
      </c>
      <c r="E129">
        <v>1</v>
      </c>
      <c r="F129" t="s">
        <v>77</v>
      </c>
      <c r="G129" t="str">
        <f>"19-K07-02"</f>
        <v>19-K07-02</v>
      </c>
      <c r="H129">
        <v>2.8759999999999999</v>
      </c>
      <c r="I129" t="s">
        <v>203</v>
      </c>
      <c r="J129" t="s">
        <v>27</v>
      </c>
      <c r="K129" t="str">
        <f>"3F5"</f>
        <v>3F5</v>
      </c>
      <c r="L129" t="s">
        <v>15</v>
      </c>
    </row>
    <row r="130" spans="1:12" x14ac:dyDescent="0.25">
      <c r="A130" t="str">
        <f>"0159135735"</f>
        <v>0159135735</v>
      </c>
      <c r="B130" t="str">
        <f t="shared" si="2"/>
        <v>89301000</v>
      </c>
      <c r="C130" s="1">
        <v>44217</v>
      </c>
      <c r="D130" s="1">
        <v>44222</v>
      </c>
      <c r="E130">
        <v>1</v>
      </c>
      <c r="F130" t="s">
        <v>204</v>
      </c>
      <c r="G130" t="str">
        <f>"09-K05-00"</f>
        <v>09-K05-00</v>
      </c>
      <c r="H130">
        <v>0.69379999999999997</v>
      </c>
      <c r="I130" t="s">
        <v>205</v>
      </c>
      <c r="J130" t="s">
        <v>14</v>
      </c>
      <c r="K130" t="str">
        <f>"4F4"</f>
        <v>4F4</v>
      </c>
      <c r="L130" t="s">
        <v>15</v>
      </c>
    </row>
    <row r="131" spans="1:12" x14ac:dyDescent="0.25">
      <c r="A131" t="str">
        <f>"0160025745"</f>
        <v>0160025745</v>
      </c>
      <c r="B131" t="str">
        <f t="shared" si="2"/>
        <v>89301000</v>
      </c>
      <c r="C131" s="1">
        <v>44398</v>
      </c>
      <c r="D131" s="1">
        <v>44399</v>
      </c>
      <c r="E131">
        <v>1</v>
      </c>
      <c r="F131" t="s">
        <v>71</v>
      </c>
      <c r="G131" t="str">
        <f>"08-M03-05"</f>
        <v>08-M03-05</v>
      </c>
      <c r="H131">
        <v>0.51759999999999995</v>
      </c>
      <c r="I131" t="s">
        <v>206</v>
      </c>
      <c r="J131" t="s">
        <v>14</v>
      </c>
      <c r="K131" t="str">
        <f>"6F6"</f>
        <v>6F6</v>
      </c>
      <c r="L131" t="s">
        <v>15</v>
      </c>
    </row>
    <row r="132" spans="1:12" x14ac:dyDescent="0.25">
      <c r="A132" t="str">
        <f>"0161195914"</f>
        <v>0161195914</v>
      </c>
      <c r="B132" t="str">
        <f t="shared" si="2"/>
        <v>89301000</v>
      </c>
      <c r="C132" s="1">
        <v>44300</v>
      </c>
      <c r="D132" s="1">
        <v>44302</v>
      </c>
      <c r="E132">
        <v>1</v>
      </c>
      <c r="F132" t="s">
        <v>23</v>
      </c>
      <c r="G132" t="str">
        <f>"06-I18-05"</f>
        <v>06-I18-05</v>
      </c>
      <c r="H132">
        <v>0.85550000000000004</v>
      </c>
      <c r="I132" t="s">
        <v>207</v>
      </c>
      <c r="J132" t="s">
        <v>24</v>
      </c>
      <c r="K132" t="str">
        <f>"5F1"</f>
        <v>5F1</v>
      </c>
      <c r="L132" t="s">
        <v>15</v>
      </c>
    </row>
    <row r="133" spans="1:12" x14ac:dyDescent="0.25">
      <c r="A133" t="str">
        <f>"0162075749"</f>
        <v>0162075749</v>
      </c>
      <c r="B133" t="str">
        <f t="shared" si="2"/>
        <v>89301000</v>
      </c>
      <c r="C133" s="1">
        <v>44314</v>
      </c>
      <c r="D133" s="1">
        <v>44316</v>
      </c>
      <c r="E133">
        <v>1</v>
      </c>
      <c r="F133" t="s">
        <v>208</v>
      </c>
      <c r="G133" t="str">
        <f>"08-K11-02"</f>
        <v>08-K11-02</v>
      </c>
      <c r="H133">
        <v>0.62390000000000001</v>
      </c>
      <c r="I133" t="s">
        <v>209</v>
      </c>
      <c r="J133" t="s">
        <v>14</v>
      </c>
      <c r="K133" t="str">
        <f>"5F6"</f>
        <v>5F6</v>
      </c>
      <c r="L133" t="s">
        <v>15</v>
      </c>
    </row>
    <row r="134" spans="1:12" x14ac:dyDescent="0.25">
      <c r="A134" t="str">
        <f>"0201085720"</f>
        <v>0201085720</v>
      </c>
      <c r="B134" t="str">
        <f t="shared" si="2"/>
        <v>89301000</v>
      </c>
      <c r="C134" s="1">
        <v>44256</v>
      </c>
      <c r="D134" s="1">
        <v>44258</v>
      </c>
      <c r="E134">
        <v>1</v>
      </c>
      <c r="F134" t="s">
        <v>210</v>
      </c>
      <c r="G134" t="str">
        <f>"08-I15-03"</f>
        <v>08-I15-03</v>
      </c>
      <c r="H134">
        <v>1.1838</v>
      </c>
      <c r="I134" t="s">
        <v>211</v>
      </c>
      <c r="J134" t="s">
        <v>17</v>
      </c>
      <c r="K134" t="str">
        <f>"5F3"</f>
        <v>5F3</v>
      </c>
      <c r="L134" t="s">
        <v>15</v>
      </c>
    </row>
    <row r="135" spans="1:12" x14ac:dyDescent="0.25">
      <c r="A135" t="str">
        <f>"0201245715"</f>
        <v>0201245715</v>
      </c>
      <c r="B135" t="str">
        <f t="shared" si="2"/>
        <v>89301000</v>
      </c>
      <c r="C135" s="1">
        <v>44238</v>
      </c>
      <c r="D135" s="1">
        <v>44241</v>
      </c>
      <c r="E135">
        <v>1</v>
      </c>
      <c r="F135" t="s">
        <v>212</v>
      </c>
      <c r="G135" t="str">
        <f>"08-M03-04"</f>
        <v>08-M03-04</v>
      </c>
      <c r="H135">
        <v>0.87719999999999998</v>
      </c>
      <c r="J135" t="s">
        <v>14</v>
      </c>
      <c r="K135" t="str">
        <f>"6F6"</f>
        <v>6F6</v>
      </c>
      <c r="L135" t="s">
        <v>15</v>
      </c>
    </row>
    <row r="136" spans="1:12" x14ac:dyDescent="0.25">
      <c r="A136" t="str">
        <f>"0201306215"</f>
        <v>0201306215</v>
      </c>
      <c r="B136" t="str">
        <f t="shared" si="2"/>
        <v>89301000</v>
      </c>
      <c r="C136" s="1">
        <v>44351</v>
      </c>
      <c r="D136" s="1">
        <v>44351</v>
      </c>
      <c r="E136">
        <v>1</v>
      </c>
      <c r="F136" t="s">
        <v>213</v>
      </c>
      <c r="G136" t="str">
        <f>"09-I13-03"</f>
        <v>09-I13-03</v>
      </c>
      <c r="H136">
        <v>0.39340000000000003</v>
      </c>
      <c r="I136" t="s">
        <v>214</v>
      </c>
      <c r="J136" t="s">
        <v>14</v>
      </c>
      <c r="K136" t="str">
        <f>"6F1"</f>
        <v>6F1</v>
      </c>
      <c r="L136" t="s">
        <v>15</v>
      </c>
    </row>
    <row r="137" spans="1:12" x14ac:dyDescent="0.25">
      <c r="A137" t="str">
        <f>"0202064104"</f>
        <v>0202064104</v>
      </c>
      <c r="B137" t="str">
        <f t="shared" si="2"/>
        <v>89301000</v>
      </c>
      <c r="C137" s="1">
        <v>44529</v>
      </c>
      <c r="D137" s="1">
        <v>44531</v>
      </c>
      <c r="E137">
        <v>1</v>
      </c>
      <c r="F137" t="s">
        <v>215</v>
      </c>
      <c r="G137" t="str">
        <f>"08-I15-03"</f>
        <v>08-I15-03</v>
      </c>
      <c r="H137">
        <v>1.1838</v>
      </c>
      <c r="I137" t="s">
        <v>216</v>
      </c>
      <c r="J137" t="s">
        <v>17</v>
      </c>
      <c r="K137" t="str">
        <f>"5F3"</f>
        <v>5F3</v>
      </c>
      <c r="L137" t="s">
        <v>15</v>
      </c>
    </row>
    <row r="138" spans="1:12" x14ac:dyDescent="0.25">
      <c r="A138" t="str">
        <f>"0202085730"</f>
        <v>0202085730</v>
      </c>
      <c r="B138" t="str">
        <f t="shared" si="2"/>
        <v>89301000</v>
      </c>
      <c r="C138" s="1">
        <v>44511</v>
      </c>
      <c r="D138" s="1">
        <v>44512</v>
      </c>
      <c r="E138">
        <v>1</v>
      </c>
      <c r="F138" t="s">
        <v>174</v>
      </c>
      <c r="G138" t="str">
        <f>"12-I14-00"</f>
        <v>12-I14-00</v>
      </c>
      <c r="H138">
        <v>0.44350000000000001</v>
      </c>
      <c r="J138" t="s">
        <v>14</v>
      </c>
      <c r="K138" t="str">
        <f>"7F6"</f>
        <v>7F6</v>
      </c>
      <c r="L138" t="s">
        <v>15</v>
      </c>
    </row>
    <row r="139" spans="1:12" x14ac:dyDescent="0.25">
      <c r="A139" t="str">
        <f>"0202264854"</f>
        <v>0202264854</v>
      </c>
      <c r="B139" t="str">
        <f t="shared" si="2"/>
        <v>89301000</v>
      </c>
      <c r="C139" s="1">
        <v>44448</v>
      </c>
      <c r="D139" s="1">
        <v>44452</v>
      </c>
      <c r="E139">
        <v>1</v>
      </c>
      <c r="F139" t="s">
        <v>173</v>
      </c>
      <c r="G139" t="str">
        <f>"08-I32-02"</f>
        <v>08-I32-02</v>
      </c>
      <c r="H139">
        <v>0.4143</v>
      </c>
      <c r="J139" t="s">
        <v>14</v>
      </c>
      <c r="K139" t="str">
        <f>"5F3"</f>
        <v>5F3</v>
      </c>
      <c r="L139" t="s">
        <v>15</v>
      </c>
    </row>
    <row r="140" spans="1:12" x14ac:dyDescent="0.25">
      <c r="A140" t="str">
        <f>"0202265712"</f>
        <v>0202265712</v>
      </c>
      <c r="B140" t="str">
        <f t="shared" si="2"/>
        <v>89301000</v>
      </c>
      <c r="C140" s="1">
        <v>44523</v>
      </c>
      <c r="D140" s="1">
        <v>44525</v>
      </c>
      <c r="E140">
        <v>1</v>
      </c>
      <c r="F140" t="s">
        <v>217</v>
      </c>
      <c r="G140" t="str">
        <f>"04-K02-04"</f>
        <v>04-K02-04</v>
      </c>
      <c r="H140">
        <v>0.82469999999999999</v>
      </c>
      <c r="I140" t="s">
        <v>218</v>
      </c>
      <c r="J140" t="s">
        <v>14</v>
      </c>
      <c r="K140" t="str">
        <f>"5F1"</f>
        <v>5F1</v>
      </c>
      <c r="L140" t="s">
        <v>15</v>
      </c>
    </row>
    <row r="141" spans="1:12" x14ac:dyDescent="0.25">
      <c r="A141" t="str">
        <f>"0203125725"</f>
        <v>0203125725</v>
      </c>
      <c r="B141" t="str">
        <f t="shared" si="2"/>
        <v>89301000</v>
      </c>
      <c r="C141" s="1">
        <v>44446</v>
      </c>
      <c r="D141" s="1">
        <v>44447</v>
      </c>
      <c r="E141">
        <v>1</v>
      </c>
      <c r="F141" t="s">
        <v>219</v>
      </c>
      <c r="G141" t="str">
        <f>"09-K13-02"</f>
        <v>09-K13-02</v>
      </c>
      <c r="H141">
        <v>0.3014</v>
      </c>
      <c r="I141" t="s">
        <v>220</v>
      </c>
      <c r="J141" t="s">
        <v>14</v>
      </c>
      <c r="K141" t="str">
        <f>"5F3"</f>
        <v>5F3</v>
      </c>
      <c r="L141" t="s">
        <v>15</v>
      </c>
    </row>
    <row r="142" spans="1:12" x14ac:dyDescent="0.25">
      <c r="A142" t="str">
        <f>"0203205706"</f>
        <v>0203205706</v>
      </c>
      <c r="B142" t="str">
        <f t="shared" si="2"/>
        <v>89301000</v>
      </c>
      <c r="C142" s="1">
        <v>44282</v>
      </c>
      <c r="D142" s="1">
        <v>44283</v>
      </c>
      <c r="E142">
        <v>1</v>
      </c>
      <c r="F142" t="s">
        <v>210</v>
      </c>
      <c r="G142" t="str">
        <f>"08-I15-03"</f>
        <v>08-I15-03</v>
      </c>
      <c r="H142">
        <v>1.1838</v>
      </c>
      <c r="I142" t="s">
        <v>21</v>
      </c>
      <c r="J142" t="s">
        <v>17</v>
      </c>
      <c r="K142" t="str">
        <f>"5F3"</f>
        <v>5F3</v>
      </c>
      <c r="L142" t="s">
        <v>15</v>
      </c>
    </row>
    <row r="143" spans="1:12" x14ac:dyDescent="0.25">
      <c r="A143" t="str">
        <f>"0204165753"</f>
        <v>0204165753</v>
      </c>
      <c r="B143" t="str">
        <f t="shared" si="2"/>
        <v>89301000</v>
      </c>
      <c r="C143" s="1">
        <v>44259</v>
      </c>
      <c r="D143" s="1">
        <v>44265</v>
      </c>
      <c r="E143">
        <v>1</v>
      </c>
      <c r="F143" t="s">
        <v>221</v>
      </c>
      <c r="G143" t="str">
        <f>"01-K04-02"</f>
        <v>01-K04-02</v>
      </c>
      <c r="H143">
        <v>0.80059999999999998</v>
      </c>
      <c r="J143" t="s">
        <v>14</v>
      </c>
      <c r="K143" t="str">
        <f>"2F9"</f>
        <v>2F9</v>
      </c>
      <c r="L143" t="s">
        <v>15</v>
      </c>
    </row>
    <row r="144" spans="1:12" x14ac:dyDescent="0.25">
      <c r="A144" t="str">
        <f>"0204295795"</f>
        <v>0204295795</v>
      </c>
      <c r="B144" t="str">
        <f t="shared" si="2"/>
        <v>89301000</v>
      </c>
      <c r="C144" s="1">
        <v>44420</v>
      </c>
      <c r="D144" s="1">
        <v>44422</v>
      </c>
      <c r="E144">
        <v>1</v>
      </c>
      <c r="F144" t="s">
        <v>174</v>
      </c>
      <c r="G144" t="str">
        <f>"12-I14-00"</f>
        <v>12-I14-00</v>
      </c>
      <c r="H144">
        <v>0.44350000000000001</v>
      </c>
      <c r="J144" t="s">
        <v>14</v>
      </c>
      <c r="K144" t="str">
        <f>"7F6"</f>
        <v>7F6</v>
      </c>
      <c r="L144" t="s">
        <v>15</v>
      </c>
    </row>
    <row r="145" spans="1:12" x14ac:dyDescent="0.25">
      <c r="A145" t="str">
        <f>"0205236141"</f>
        <v>0205236141</v>
      </c>
      <c r="B145" t="str">
        <f t="shared" si="2"/>
        <v>89301000</v>
      </c>
      <c r="C145" s="1">
        <v>44488</v>
      </c>
      <c r="D145" s="1">
        <v>44495</v>
      </c>
      <c r="E145">
        <v>1</v>
      </c>
      <c r="F145" t="s">
        <v>53</v>
      </c>
      <c r="G145" t="str">
        <f>"20-K03-03"</f>
        <v>20-K03-03</v>
      </c>
      <c r="H145">
        <v>1.0109999999999999</v>
      </c>
      <c r="I145" t="s">
        <v>222</v>
      </c>
      <c r="J145" t="s">
        <v>14</v>
      </c>
      <c r="K145" t="str">
        <f>"3F5"</f>
        <v>3F5</v>
      </c>
      <c r="L145" t="s">
        <v>15</v>
      </c>
    </row>
    <row r="146" spans="1:12" x14ac:dyDescent="0.25">
      <c r="A146" t="str">
        <f>"0205236141"</f>
        <v>0205236141</v>
      </c>
      <c r="B146" t="str">
        <f t="shared" si="2"/>
        <v>89301000</v>
      </c>
      <c r="C146" s="1">
        <v>44425</v>
      </c>
      <c r="D146" s="1">
        <v>44433</v>
      </c>
      <c r="E146">
        <v>1</v>
      </c>
      <c r="F146" t="s">
        <v>53</v>
      </c>
      <c r="G146" t="str">
        <f>"20-K03-03"</f>
        <v>20-K03-03</v>
      </c>
      <c r="H146">
        <v>1.0109999999999999</v>
      </c>
      <c r="I146" t="s">
        <v>223</v>
      </c>
      <c r="J146" t="s">
        <v>14</v>
      </c>
      <c r="K146" t="str">
        <f>"3F5"</f>
        <v>3F5</v>
      </c>
      <c r="L146" t="s">
        <v>15</v>
      </c>
    </row>
    <row r="147" spans="1:12" x14ac:dyDescent="0.25">
      <c r="A147" t="str">
        <f>"0205304858"</f>
        <v>0205304858</v>
      </c>
      <c r="B147" t="str">
        <f t="shared" si="2"/>
        <v>89301000</v>
      </c>
      <c r="C147" s="1">
        <v>44231</v>
      </c>
      <c r="D147" s="1">
        <v>44233</v>
      </c>
      <c r="E147">
        <v>1</v>
      </c>
      <c r="F147" t="s">
        <v>224</v>
      </c>
      <c r="G147" t="str">
        <f>"03-K08-00"</f>
        <v>03-K08-00</v>
      </c>
      <c r="H147">
        <v>0.42749999999999999</v>
      </c>
      <c r="I147" t="s">
        <v>225</v>
      </c>
      <c r="J147" t="s">
        <v>14</v>
      </c>
      <c r="K147" t="str">
        <f>"3F1"</f>
        <v>3F1</v>
      </c>
      <c r="L147" t="s">
        <v>15</v>
      </c>
    </row>
    <row r="148" spans="1:12" x14ac:dyDescent="0.25">
      <c r="A148" t="str">
        <f>"0206126151"</f>
        <v>0206126151</v>
      </c>
      <c r="B148" t="str">
        <f t="shared" si="2"/>
        <v>89301000</v>
      </c>
      <c r="C148" s="1">
        <v>44434</v>
      </c>
      <c r="D148" s="1">
        <v>44455</v>
      </c>
      <c r="E148">
        <v>4</v>
      </c>
      <c r="F148" t="s">
        <v>78</v>
      </c>
      <c r="G148" t="str">
        <f>"19-K06-02"</f>
        <v>19-K06-02</v>
      </c>
      <c r="H148">
        <v>2.4085000000000001</v>
      </c>
      <c r="I148" t="s">
        <v>226</v>
      </c>
      <c r="J148" t="s">
        <v>27</v>
      </c>
      <c r="K148" t="str">
        <f>"3F5"</f>
        <v>3F5</v>
      </c>
      <c r="L148" t="s">
        <v>15</v>
      </c>
    </row>
    <row r="149" spans="1:12" x14ac:dyDescent="0.25">
      <c r="A149" t="str">
        <f>"0206126151"</f>
        <v>0206126151</v>
      </c>
      <c r="B149" t="str">
        <f t="shared" si="2"/>
        <v>89301000</v>
      </c>
      <c r="C149" s="1">
        <v>44335</v>
      </c>
      <c r="D149" s="1">
        <v>44341</v>
      </c>
      <c r="E149">
        <v>4</v>
      </c>
      <c r="F149" t="s">
        <v>78</v>
      </c>
      <c r="G149" t="str">
        <f>"19-K03-03"</f>
        <v>19-K03-03</v>
      </c>
      <c r="H149">
        <v>0.93169999999999997</v>
      </c>
      <c r="I149" t="s">
        <v>227</v>
      </c>
      <c r="J149" t="s">
        <v>27</v>
      </c>
      <c r="K149" t="str">
        <f>"3F5"</f>
        <v>3F5</v>
      </c>
      <c r="L149" t="s">
        <v>15</v>
      </c>
    </row>
    <row r="150" spans="1:12" x14ac:dyDescent="0.25">
      <c r="A150" t="str">
        <f>"0206126151"</f>
        <v>0206126151</v>
      </c>
      <c r="B150" t="str">
        <f t="shared" si="2"/>
        <v>89301000</v>
      </c>
      <c r="C150" s="1">
        <v>44275</v>
      </c>
      <c r="D150" s="1">
        <v>44286</v>
      </c>
      <c r="E150">
        <v>1</v>
      </c>
      <c r="F150" t="s">
        <v>78</v>
      </c>
      <c r="G150" t="str">
        <f>"19-K03-03"</f>
        <v>19-K03-03</v>
      </c>
      <c r="H150">
        <v>0.93169999999999997</v>
      </c>
      <c r="I150" t="s">
        <v>228</v>
      </c>
      <c r="J150" t="s">
        <v>27</v>
      </c>
      <c r="K150" t="str">
        <f>"3F5"</f>
        <v>3F5</v>
      </c>
      <c r="L150" t="s">
        <v>15</v>
      </c>
    </row>
    <row r="151" spans="1:12" x14ac:dyDescent="0.25">
      <c r="A151" t="str">
        <f>"0206165707"</f>
        <v>0206165707</v>
      </c>
      <c r="B151" t="str">
        <f t="shared" si="2"/>
        <v>89301000</v>
      </c>
      <c r="C151" s="1">
        <v>44204</v>
      </c>
      <c r="D151" s="1">
        <v>44207</v>
      </c>
      <c r="E151">
        <v>1</v>
      </c>
      <c r="F151" t="s">
        <v>229</v>
      </c>
      <c r="G151" t="str">
        <f>"02-I08-02"</f>
        <v>02-I08-02</v>
      </c>
      <c r="H151">
        <v>0.55269999999999997</v>
      </c>
      <c r="I151" t="s">
        <v>230</v>
      </c>
      <c r="J151" t="s">
        <v>17</v>
      </c>
      <c r="K151" t="str">
        <f>"7F5"</f>
        <v>7F5</v>
      </c>
      <c r="L151" t="s">
        <v>15</v>
      </c>
    </row>
    <row r="152" spans="1:12" x14ac:dyDescent="0.25">
      <c r="A152" t="str">
        <f>"0207015292"</f>
        <v>0207015292</v>
      </c>
      <c r="B152" t="str">
        <f t="shared" si="2"/>
        <v>89301000</v>
      </c>
      <c r="C152" s="1">
        <v>44503</v>
      </c>
      <c r="D152" s="1">
        <v>44504</v>
      </c>
      <c r="E152">
        <v>1</v>
      </c>
      <c r="F152" t="s">
        <v>231</v>
      </c>
      <c r="G152" t="str">
        <f>"19-K02-03"</f>
        <v>19-K02-03</v>
      </c>
      <c r="H152">
        <v>0.44850000000000001</v>
      </c>
      <c r="J152" t="s">
        <v>27</v>
      </c>
      <c r="K152" t="str">
        <f>"3F5"</f>
        <v>3F5</v>
      </c>
      <c r="L152" t="s">
        <v>15</v>
      </c>
    </row>
    <row r="153" spans="1:12" x14ac:dyDescent="0.25">
      <c r="A153" t="str">
        <f>"0207025764"</f>
        <v>0207025764</v>
      </c>
      <c r="B153" t="str">
        <f t="shared" si="2"/>
        <v>89301000</v>
      </c>
      <c r="C153" s="1">
        <v>44286</v>
      </c>
      <c r="D153" s="1">
        <v>44286</v>
      </c>
      <c r="E153">
        <v>1</v>
      </c>
      <c r="F153" t="s">
        <v>232</v>
      </c>
      <c r="G153" t="str">
        <f>"08-K13-02"</f>
        <v>08-K13-02</v>
      </c>
      <c r="H153">
        <v>0.2379</v>
      </c>
      <c r="I153" t="s">
        <v>30</v>
      </c>
      <c r="J153" t="s">
        <v>14</v>
      </c>
      <c r="K153" t="str">
        <f>"6F6"</f>
        <v>6F6</v>
      </c>
      <c r="L153" t="s">
        <v>15</v>
      </c>
    </row>
    <row r="154" spans="1:12" x14ac:dyDescent="0.25">
      <c r="A154" t="str">
        <f>"0207025764"</f>
        <v>0207025764</v>
      </c>
      <c r="B154" t="str">
        <f t="shared" si="2"/>
        <v>89301000</v>
      </c>
      <c r="C154" s="1">
        <v>44294</v>
      </c>
      <c r="D154" s="1">
        <v>44295</v>
      </c>
      <c r="E154">
        <v>1</v>
      </c>
      <c r="F154" t="s">
        <v>232</v>
      </c>
      <c r="G154" t="str">
        <f>"08-M03-03"</f>
        <v>08-M03-03</v>
      </c>
      <c r="H154">
        <v>0.81579999999999997</v>
      </c>
      <c r="I154" t="s">
        <v>233</v>
      </c>
      <c r="J154" t="s">
        <v>14</v>
      </c>
      <c r="K154" t="str">
        <f>"6F6"</f>
        <v>6F6</v>
      </c>
      <c r="L154" t="s">
        <v>15</v>
      </c>
    </row>
    <row r="155" spans="1:12" x14ac:dyDescent="0.25">
      <c r="A155" t="str">
        <f>"0207065727"</f>
        <v>0207065727</v>
      </c>
      <c r="B155" t="str">
        <f t="shared" si="2"/>
        <v>89301000</v>
      </c>
      <c r="C155" s="1">
        <v>44439</v>
      </c>
      <c r="D155" s="1">
        <v>44441</v>
      </c>
      <c r="E155">
        <v>1</v>
      </c>
      <c r="F155" t="s">
        <v>234</v>
      </c>
      <c r="G155" t="str">
        <f>"03-I21-00"</f>
        <v>03-I21-00</v>
      </c>
      <c r="H155">
        <v>0.38500000000000001</v>
      </c>
      <c r="J155" t="s">
        <v>14</v>
      </c>
      <c r="K155" t="str">
        <f>"7F1"</f>
        <v>7F1</v>
      </c>
      <c r="L155" t="s">
        <v>15</v>
      </c>
    </row>
    <row r="156" spans="1:12" x14ac:dyDescent="0.25">
      <c r="A156" t="str">
        <f>"0207235292"</f>
        <v>0207235292</v>
      </c>
      <c r="B156" t="str">
        <f t="shared" si="2"/>
        <v>89301000</v>
      </c>
      <c r="C156" s="1">
        <v>44452</v>
      </c>
      <c r="D156" s="1">
        <v>44459</v>
      </c>
      <c r="E156">
        <v>1</v>
      </c>
      <c r="F156" t="s">
        <v>87</v>
      </c>
      <c r="G156" t="str">
        <f>"09-K04-02"</f>
        <v>09-K04-02</v>
      </c>
      <c r="H156">
        <v>0.68279999999999996</v>
      </c>
      <c r="J156" t="s">
        <v>14</v>
      </c>
      <c r="K156" t="str">
        <f>"4F4"</f>
        <v>4F4</v>
      </c>
      <c r="L156" t="s">
        <v>15</v>
      </c>
    </row>
    <row r="157" spans="1:12" x14ac:dyDescent="0.25">
      <c r="A157" t="str">
        <f>"0208035718"</f>
        <v>0208035718</v>
      </c>
      <c r="B157" t="str">
        <f t="shared" si="2"/>
        <v>89301000</v>
      </c>
      <c r="C157" s="1">
        <v>44426</v>
      </c>
      <c r="D157" s="1">
        <v>44441</v>
      </c>
      <c r="E157">
        <v>4</v>
      </c>
      <c r="F157" t="s">
        <v>109</v>
      </c>
      <c r="G157" t="str">
        <f>"24-M07-02"</f>
        <v>24-M07-02</v>
      </c>
      <c r="H157">
        <v>1.5094000000000001</v>
      </c>
      <c r="I157" t="s">
        <v>235</v>
      </c>
      <c r="J157" t="s">
        <v>14</v>
      </c>
      <c r="K157" t="str">
        <f>"2F1"</f>
        <v>2F1</v>
      </c>
      <c r="L157" t="s">
        <v>15</v>
      </c>
    </row>
    <row r="158" spans="1:12" x14ac:dyDescent="0.25">
      <c r="A158" t="str">
        <f>"0208035718"</f>
        <v>0208035718</v>
      </c>
      <c r="B158" t="str">
        <f t="shared" si="2"/>
        <v>89301000</v>
      </c>
      <c r="C158" s="1">
        <v>44358</v>
      </c>
      <c r="D158" s="1">
        <v>44389</v>
      </c>
      <c r="E158">
        <v>5</v>
      </c>
      <c r="F158" t="s">
        <v>199</v>
      </c>
      <c r="G158" t="str">
        <f>"00-M03-01"</f>
        <v>00-M03-01</v>
      </c>
      <c r="H158">
        <v>32.226300000000002</v>
      </c>
      <c r="I158" t="s">
        <v>236</v>
      </c>
      <c r="J158" t="s">
        <v>14</v>
      </c>
      <c r="K158" t="str">
        <f>"7T8"</f>
        <v>7T8</v>
      </c>
      <c r="L158" t="s">
        <v>15</v>
      </c>
    </row>
    <row r="159" spans="1:12" x14ac:dyDescent="0.25">
      <c r="A159" t="str">
        <f>"0208035718"</f>
        <v>0208035718</v>
      </c>
      <c r="B159" t="str">
        <f t="shared" si="2"/>
        <v>89301000</v>
      </c>
      <c r="C159" s="1">
        <v>44497</v>
      </c>
      <c r="D159" s="1">
        <v>44509</v>
      </c>
      <c r="E159">
        <v>1</v>
      </c>
      <c r="F159" t="s">
        <v>237</v>
      </c>
      <c r="G159" t="str">
        <f>"05-K02-01"</f>
        <v>05-K02-01</v>
      </c>
      <c r="H159">
        <v>1.6234999999999999</v>
      </c>
      <c r="I159" t="s">
        <v>238</v>
      </c>
      <c r="J159" t="s">
        <v>14</v>
      </c>
      <c r="K159" t="str">
        <f>"2F5"</f>
        <v>2F5</v>
      </c>
      <c r="L159" t="s">
        <v>15</v>
      </c>
    </row>
    <row r="160" spans="1:12" x14ac:dyDescent="0.25">
      <c r="A160" t="str">
        <f>"0208046289"</f>
        <v>0208046289</v>
      </c>
      <c r="B160" t="str">
        <f t="shared" si="2"/>
        <v>89301000</v>
      </c>
      <c r="C160" s="1">
        <v>44480</v>
      </c>
      <c r="D160" s="1">
        <v>44488</v>
      </c>
      <c r="E160">
        <v>1</v>
      </c>
      <c r="F160" t="s">
        <v>239</v>
      </c>
      <c r="G160" t="str">
        <f>"05-K12-02"</f>
        <v>05-K12-02</v>
      </c>
      <c r="H160">
        <v>0.53600000000000003</v>
      </c>
      <c r="J160" t="s">
        <v>14</v>
      </c>
      <c r="K160" t="str">
        <f>"1F9"</f>
        <v>1F9</v>
      </c>
      <c r="L160" t="s">
        <v>15</v>
      </c>
    </row>
    <row r="161" spans="1:12" x14ac:dyDescent="0.25">
      <c r="A161" t="str">
        <f>"0208046289"</f>
        <v>0208046289</v>
      </c>
      <c r="B161" t="str">
        <f t="shared" si="2"/>
        <v>89301000</v>
      </c>
      <c r="C161" s="1">
        <v>44494</v>
      </c>
      <c r="D161" s="1">
        <v>44501</v>
      </c>
      <c r="E161">
        <v>1</v>
      </c>
      <c r="F161" t="s">
        <v>239</v>
      </c>
      <c r="G161" t="str">
        <f>"05-K12-02"</f>
        <v>05-K12-02</v>
      </c>
      <c r="H161">
        <v>0.53600000000000003</v>
      </c>
      <c r="J161" t="s">
        <v>14</v>
      </c>
      <c r="K161" t="str">
        <f>"1F9"</f>
        <v>1F9</v>
      </c>
      <c r="L161" t="s">
        <v>15</v>
      </c>
    </row>
    <row r="162" spans="1:12" x14ac:dyDescent="0.25">
      <c r="A162" t="str">
        <f>"0208084844"</f>
        <v>0208084844</v>
      </c>
      <c r="B162" t="str">
        <f t="shared" si="2"/>
        <v>89301000</v>
      </c>
      <c r="C162" s="1">
        <v>44489</v>
      </c>
      <c r="D162" s="1">
        <v>44490</v>
      </c>
      <c r="E162">
        <v>1</v>
      </c>
      <c r="F162" t="s">
        <v>240</v>
      </c>
      <c r="G162" t="str">
        <f>"03-K13-02"</f>
        <v>03-K13-02</v>
      </c>
      <c r="H162">
        <v>0.2555</v>
      </c>
      <c r="I162" t="s">
        <v>241</v>
      </c>
      <c r="J162" t="s">
        <v>14</v>
      </c>
      <c r="K162" t="str">
        <f>"2F5"</f>
        <v>2F5</v>
      </c>
      <c r="L162" t="s">
        <v>15</v>
      </c>
    </row>
    <row r="163" spans="1:12" x14ac:dyDescent="0.25">
      <c r="A163" t="str">
        <f>"0208125720"</f>
        <v>0208125720</v>
      </c>
      <c r="B163" t="str">
        <f t="shared" si="2"/>
        <v>89301000</v>
      </c>
      <c r="C163" s="1">
        <v>44432</v>
      </c>
      <c r="D163" s="1">
        <v>44469</v>
      </c>
      <c r="E163">
        <v>1</v>
      </c>
      <c r="F163" t="s">
        <v>152</v>
      </c>
      <c r="G163" t="str">
        <f>"19-K07-02"</f>
        <v>19-K07-02</v>
      </c>
      <c r="H163">
        <v>2.8759999999999999</v>
      </c>
      <c r="I163" t="s">
        <v>242</v>
      </c>
      <c r="J163" t="s">
        <v>27</v>
      </c>
      <c r="K163" t="str">
        <f>"3F5"</f>
        <v>3F5</v>
      </c>
      <c r="L163" t="s">
        <v>15</v>
      </c>
    </row>
    <row r="164" spans="1:12" x14ac:dyDescent="0.25">
      <c r="A164" t="str">
        <f>"0208295725"</f>
        <v>0208295725</v>
      </c>
      <c r="B164" t="str">
        <f t="shared" si="2"/>
        <v>89301000</v>
      </c>
      <c r="C164" s="1">
        <v>44480</v>
      </c>
      <c r="D164" s="1">
        <v>44481</v>
      </c>
      <c r="E164">
        <v>1</v>
      </c>
      <c r="F164" t="s">
        <v>243</v>
      </c>
      <c r="G164" t="str">
        <f>"08-I18-01"</f>
        <v>08-I18-01</v>
      </c>
      <c r="H164">
        <v>1.0421</v>
      </c>
      <c r="I164" t="s">
        <v>244</v>
      </c>
      <c r="J164" t="s">
        <v>17</v>
      </c>
      <c r="K164" t="str">
        <f>"5F3"</f>
        <v>5F3</v>
      </c>
      <c r="L164" t="s">
        <v>15</v>
      </c>
    </row>
    <row r="165" spans="1:12" x14ac:dyDescent="0.25">
      <c r="A165" t="str">
        <f>"0209114851"</f>
        <v>0209114851</v>
      </c>
      <c r="B165" t="str">
        <f t="shared" si="2"/>
        <v>89301000</v>
      </c>
      <c r="C165" s="1">
        <v>44368</v>
      </c>
      <c r="D165" s="1">
        <v>44369</v>
      </c>
      <c r="E165">
        <v>1</v>
      </c>
      <c r="F165" t="s">
        <v>174</v>
      </c>
      <c r="G165" t="str">
        <f>"12-I14-00"</f>
        <v>12-I14-00</v>
      </c>
      <c r="H165">
        <v>0.44350000000000001</v>
      </c>
      <c r="J165" t="s">
        <v>14</v>
      </c>
      <c r="K165" t="str">
        <f>"7F6"</f>
        <v>7F6</v>
      </c>
      <c r="L165" t="s">
        <v>15</v>
      </c>
    </row>
    <row r="166" spans="1:12" x14ac:dyDescent="0.25">
      <c r="A166" t="str">
        <f>"0210055714"</f>
        <v>0210055714</v>
      </c>
      <c r="B166" t="str">
        <f t="shared" si="2"/>
        <v>89301000</v>
      </c>
      <c r="C166" s="1">
        <v>44482</v>
      </c>
      <c r="D166" s="1">
        <v>44483</v>
      </c>
      <c r="E166">
        <v>1</v>
      </c>
      <c r="F166" t="s">
        <v>245</v>
      </c>
      <c r="G166" t="str">
        <f>"12-I13-02"</f>
        <v>12-I13-02</v>
      </c>
      <c r="H166">
        <v>0.57240000000000002</v>
      </c>
      <c r="J166" t="s">
        <v>24</v>
      </c>
      <c r="K166" t="str">
        <f>"7F6"</f>
        <v>7F6</v>
      </c>
      <c r="L166" t="s">
        <v>15</v>
      </c>
    </row>
    <row r="167" spans="1:12" x14ac:dyDescent="0.25">
      <c r="A167" t="str">
        <f>"0210105731"</f>
        <v>0210105731</v>
      </c>
      <c r="B167" t="str">
        <f t="shared" si="2"/>
        <v>89301000</v>
      </c>
      <c r="C167" s="1">
        <v>44196</v>
      </c>
      <c r="D167" s="1">
        <v>44197</v>
      </c>
      <c r="E167">
        <v>1</v>
      </c>
      <c r="F167" t="s">
        <v>246</v>
      </c>
      <c r="G167" t="str">
        <f>"01-I13-00"</f>
        <v>01-I13-00</v>
      </c>
      <c r="H167">
        <v>0.42880000000000001</v>
      </c>
      <c r="J167" t="s">
        <v>14</v>
      </c>
      <c r="K167" t="str">
        <f>"5F6"</f>
        <v>5F6</v>
      </c>
      <c r="L167" t="s">
        <v>15</v>
      </c>
    </row>
    <row r="168" spans="1:12" x14ac:dyDescent="0.25">
      <c r="A168" t="str">
        <f>"0210255716"</f>
        <v>0210255716</v>
      </c>
      <c r="B168" t="str">
        <f t="shared" si="2"/>
        <v>89301000</v>
      </c>
      <c r="C168" s="1">
        <v>44225</v>
      </c>
      <c r="D168" s="1">
        <v>44226</v>
      </c>
      <c r="E168">
        <v>1</v>
      </c>
      <c r="F168" t="s">
        <v>247</v>
      </c>
      <c r="G168" t="str">
        <f>"10-K13-03"</f>
        <v>10-K13-03</v>
      </c>
      <c r="H168">
        <v>0.46260000000000001</v>
      </c>
      <c r="I168" t="s">
        <v>248</v>
      </c>
      <c r="J168" t="s">
        <v>14</v>
      </c>
      <c r="K168" t="str">
        <f>"3F1"</f>
        <v>3F1</v>
      </c>
      <c r="L168" t="s">
        <v>15</v>
      </c>
    </row>
    <row r="169" spans="1:12" x14ac:dyDescent="0.25">
      <c r="A169" t="str">
        <f>"0211025705"</f>
        <v>0211025705</v>
      </c>
      <c r="B169" t="str">
        <f t="shared" si="2"/>
        <v>89301000</v>
      </c>
      <c r="C169" s="1">
        <v>44549</v>
      </c>
      <c r="D169" s="1">
        <v>44552</v>
      </c>
      <c r="E169">
        <v>1</v>
      </c>
      <c r="F169" t="s">
        <v>111</v>
      </c>
      <c r="G169" t="str">
        <f>"08-M03-03"</f>
        <v>08-M03-03</v>
      </c>
      <c r="H169">
        <v>0.70120000000000005</v>
      </c>
      <c r="I169" t="s">
        <v>249</v>
      </c>
      <c r="J169" t="s">
        <v>14</v>
      </c>
      <c r="K169" t="str">
        <f>"6F6"</f>
        <v>6F6</v>
      </c>
      <c r="L169" t="s">
        <v>15</v>
      </c>
    </row>
    <row r="170" spans="1:12" x14ac:dyDescent="0.25">
      <c r="A170" t="str">
        <f>"0211176207"</f>
        <v>0211176207</v>
      </c>
      <c r="B170" t="str">
        <f t="shared" si="2"/>
        <v>89301000</v>
      </c>
      <c r="C170" s="1">
        <v>44387</v>
      </c>
      <c r="D170" s="1">
        <v>44390</v>
      </c>
      <c r="E170">
        <v>1</v>
      </c>
      <c r="F170" t="s">
        <v>142</v>
      </c>
      <c r="G170" t="str">
        <f>"03-K12-01"</f>
        <v>03-K12-01</v>
      </c>
      <c r="H170">
        <v>0.376</v>
      </c>
      <c r="I170" t="s">
        <v>250</v>
      </c>
      <c r="J170" t="s">
        <v>14</v>
      </c>
      <c r="K170" t="str">
        <f>"6F5"</f>
        <v>6F5</v>
      </c>
      <c r="L170" t="s">
        <v>15</v>
      </c>
    </row>
    <row r="171" spans="1:12" x14ac:dyDescent="0.25">
      <c r="A171" t="str">
        <f>"0212084851"</f>
        <v>0212084851</v>
      </c>
      <c r="B171" t="str">
        <f t="shared" si="2"/>
        <v>89301000</v>
      </c>
      <c r="C171" s="1">
        <v>44339</v>
      </c>
      <c r="D171" s="1">
        <v>44343</v>
      </c>
      <c r="E171">
        <v>1</v>
      </c>
      <c r="F171" t="s">
        <v>251</v>
      </c>
      <c r="G171" t="str">
        <f>"08-M03-05"</f>
        <v>08-M03-05</v>
      </c>
      <c r="H171">
        <v>0.51759999999999995</v>
      </c>
      <c r="J171" t="s">
        <v>14</v>
      </c>
      <c r="K171" t="str">
        <f>"6F6"</f>
        <v>6F6</v>
      </c>
      <c r="L171" t="s">
        <v>15</v>
      </c>
    </row>
    <row r="172" spans="1:12" x14ac:dyDescent="0.25">
      <c r="A172" t="str">
        <f>"0212125749"</f>
        <v>0212125749</v>
      </c>
      <c r="B172" t="str">
        <f t="shared" si="2"/>
        <v>89301000</v>
      </c>
      <c r="C172" s="1">
        <v>44529</v>
      </c>
      <c r="D172" s="1">
        <v>44530</v>
      </c>
      <c r="E172">
        <v>1</v>
      </c>
      <c r="F172" t="s">
        <v>252</v>
      </c>
      <c r="G172" t="str">
        <f>"06-I20-02"</f>
        <v>06-I20-02</v>
      </c>
      <c r="H172">
        <v>1.1436999999999999</v>
      </c>
      <c r="I172" t="s">
        <v>253</v>
      </c>
      <c r="J172" t="s">
        <v>14</v>
      </c>
      <c r="K172" t="str">
        <f>"5F1"</f>
        <v>5F1</v>
      </c>
      <c r="L172" t="s">
        <v>15</v>
      </c>
    </row>
    <row r="173" spans="1:12" x14ac:dyDescent="0.25">
      <c r="A173" t="str">
        <f>"0212285711"</f>
        <v>0212285711</v>
      </c>
      <c r="B173" t="str">
        <f t="shared" si="2"/>
        <v>89301000</v>
      </c>
      <c r="C173" s="1">
        <v>44504</v>
      </c>
      <c r="D173" s="1">
        <v>44505</v>
      </c>
      <c r="E173">
        <v>1</v>
      </c>
      <c r="F173" t="s">
        <v>174</v>
      </c>
      <c r="G173" t="str">
        <f>"12-I14-00"</f>
        <v>12-I14-00</v>
      </c>
      <c r="H173">
        <v>0.44350000000000001</v>
      </c>
      <c r="J173" t="s">
        <v>14</v>
      </c>
      <c r="K173" t="str">
        <f>"7F6"</f>
        <v>7F6</v>
      </c>
      <c r="L173" t="s">
        <v>15</v>
      </c>
    </row>
    <row r="174" spans="1:12" x14ac:dyDescent="0.25">
      <c r="A174" t="str">
        <f>"0252044848"</f>
        <v>0252044848</v>
      </c>
      <c r="B174" t="str">
        <f t="shared" si="2"/>
        <v>89301000</v>
      </c>
      <c r="C174" s="1">
        <v>44521</v>
      </c>
      <c r="D174" s="1">
        <v>44547</v>
      </c>
      <c r="E174">
        <v>1</v>
      </c>
      <c r="F174" t="s">
        <v>254</v>
      </c>
      <c r="G174" t="str">
        <f>"19-M01-00"</f>
        <v>19-M01-00</v>
      </c>
      <c r="H174">
        <v>2.39</v>
      </c>
      <c r="I174" t="s">
        <v>168</v>
      </c>
      <c r="J174" t="s">
        <v>27</v>
      </c>
      <c r="K174" t="str">
        <f>"3F5"</f>
        <v>3F5</v>
      </c>
      <c r="L174" t="s">
        <v>15</v>
      </c>
    </row>
    <row r="175" spans="1:12" x14ac:dyDescent="0.25">
      <c r="A175" t="str">
        <f>"0252245719"</f>
        <v>0252245719</v>
      </c>
      <c r="B175" t="str">
        <f t="shared" si="2"/>
        <v>89301000</v>
      </c>
      <c r="C175" s="1">
        <v>44243</v>
      </c>
      <c r="D175" s="1">
        <v>44243</v>
      </c>
      <c r="E175">
        <v>1</v>
      </c>
      <c r="F175" t="s">
        <v>77</v>
      </c>
      <c r="G175" t="str">
        <f>"19-K01-03"</f>
        <v>19-K01-03</v>
      </c>
      <c r="H175">
        <v>0.30199999999999999</v>
      </c>
      <c r="I175" t="s">
        <v>255</v>
      </c>
      <c r="J175" t="s">
        <v>27</v>
      </c>
      <c r="K175" t="str">
        <f>"3F5"</f>
        <v>3F5</v>
      </c>
      <c r="L175" t="s">
        <v>15</v>
      </c>
    </row>
    <row r="176" spans="1:12" x14ac:dyDescent="0.25">
      <c r="A176" t="str">
        <f>"0252245719"</f>
        <v>0252245719</v>
      </c>
      <c r="B176" t="str">
        <f t="shared" si="2"/>
        <v>89301000</v>
      </c>
      <c r="C176" s="1">
        <v>44249</v>
      </c>
      <c r="D176" s="1">
        <v>44252</v>
      </c>
      <c r="E176">
        <v>1</v>
      </c>
      <c r="F176" t="s">
        <v>77</v>
      </c>
      <c r="G176" t="str">
        <f>"19-K02-03"</f>
        <v>19-K02-03</v>
      </c>
      <c r="H176">
        <v>0.67269999999999996</v>
      </c>
      <c r="I176" t="s">
        <v>255</v>
      </c>
      <c r="J176" t="s">
        <v>27</v>
      </c>
      <c r="K176" t="str">
        <f>"3F5"</f>
        <v>3F5</v>
      </c>
      <c r="L176" t="s">
        <v>15</v>
      </c>
    </row>
    <row r="177" spans="1:12" x14ac:dyDescent="0.25">
      <c r="A177" t="str">
        <f>"0252285704"</f>
        <v>0252285704</v>
      </c>
      <c r="B177" t="str">
        <f t="shared" si="2"/>
        <v>89301000</v>
      </c>
      <c r="C177" s="1">
        <v>44414</v>
      </c>
      <c r="D177" s="1">
        <v>44416</v>
      </c>
      <c r="E177">
        <v>1</v>
      </c>
      <c r="F177" t="s">
        <v>75</v>
      </c>
      <c r="G177" t="str">
        <f>"14-M01-05"</f>
        <v>14-M01-05</v>
      </c>
      <c r="H177">
        <v>0.54239999999999999</v>
      </c>
      <c r="I177" t="s">
        <v>256</v>
      </c>
      <c r="J177" t="s">
        <v>59</v>
      </c>
      <c r="K177" t="str">
        <f>"6F3"</f>
        <v>6F3</v>
      </c>
      <c r="L177" t="s">
        <v>15</v>
      </c>
    </row>
    <row r="178" spans="1:12" x14ac:dyDescent="0.25">
      <c r="A178" t="str">
        <f>"0252285704"</f>
        <v>0252285704</v>
      </c>
      <c r="B178" t="str">
        <f t="shared" si="2"/>
        <v>89301000</v>
      </c>
      <c r="C178" s="1">
        <v>44397</v>
      </c>
      <c r="D178" s="1">
        <v>44399</v>
      </c>
      <c r="E178">
        <v>1</v>
      </c>
      <c r="F178" t="s">
        <v>60</v>
      </c>
      <c r="G178" t="str">
        <f>"14-K03-02"</f>
        <v>14-K03-02</v>
      </c>
      <c r="H178">
        <v>0.2646</v>
      </c>
      <c r="J178" t="s">
        <v>14</v>
      </c>
      <c r="K178" t="str">
        <f>"6F3"</f>
        <v>6F3</v>
      </c>
      <c r="L178" t="s">
        <v>15</v>
      </c>
    </row>
    <row r="179" spans="1:12" x14ac:dyDescent="0.25">
      <c r="A179" t="str">
        <f>"0253016247"</f>
        <v>0253016247</v>
      </c>
      <c r="B179" t="str">
        <f t="shared" si="2"/>
        <v>89301000</v>
      </c>
      <c r="C179" s="1">
        <v>44473</v>
      </c>
      <c r="D179" s="1">
        <v>44481</v>
      </c>
      <c r="E179">
        <v>1</v>
      </c>
      <c r="F179" t="s">
        <v>152</v>
      </c>
      <c r="G179" t="str">
        <f>"19-K03-03"</f>
        <v>19-K03-03</v>
      </c>
      <c r="H179">
        <v>0.93169999999999997</v>
      </c>
      <c r="I179" t="s">
        <v>77</v>
      </c>
      <c r="J179" t="s">
        <v>27</v>
      </c>
      <c r="K179" t="str">
        <f>"3F5"</f>
        <v>3F5</v>
      </c>
      <c r="L179" t="s">
        <v>15</v>
      </c>
    </row>
    <row r="180" spans="1:12" x14ac:dyDescent="0.25">
      <c r="A180" t="str">
        <f>"0253094842"</f>
        <v>0253094842</v>
      </c>
      <c r="B180" t="str">
        <f t="shared" si="2"/>
        <v>89301000</v>
      </c>
      <c r="C180" s="1">
        <v>44438</v>
      </c>
      <c r="D180" s="1">
        <v>44439</v>
      </c>
      <c r="E180">
        <v>1</v>
      </c>
      <c r="F180" t="s">
        <v>257</v>
      </c>
      <c r="G180" t="str">
        <f>"19-K02-03"</f>
        <v>19-K02-03</v>
      </c>
      <c r="H180">
        <v>0.44850000000000001</v>
      </c>
      <c r="I180" t="s">
        <v>258</v>
      </c>
      <c r="J180" t="s">
        <v>27</v>
      </c>
      <c r="K180" t="str">
        <f>"3F5"</f>
        <v>3F5</v>
      </c>
      <c r="L180" t="s">
        <v>15</v>
      </c>
    </row>
    <row r="181" spans="1:12" x14ac:dyDescent="0.25">
      <c r="A181" t="str">
        <f>"0253095711"</f>
        <v>0253095711</v>
      </c>
      <c r="B181" t="str">
        <f t="shared" si="2"/>
        <v>89301000</v>
      </c>
      <c r="C181" s="1">
        <v>44372</v>
      </c>
      <c r="D181" s="1">
        <v>44377</v>
      </c>
      <c r="E181">
        <v>1</v>
      </c>
      <c r="F181" t="s">
        <v>259</v>
      </c>
      <c r="G181" t="str">
        <f>"03-K04-01"</f>
        <v>03-K04-01</v>
      </c>
      <c r="H181">
        <v>0.46660000000000001</v>
      </c>
      <c r="J181" t="s">
        <v>14</v>
      </c>
      <c r="K181" t="str">
        <f>"2F9"</f>
        <v>2F9</v>
      </c>
      <c r="L181" t="s">
        <v>15</v>
      </c>
    </row>
    <row r="182" spans="1:12" x14ac:dyDescent="0.25">
      <c r="A182" t="str">
        <f>"0253186208"</f>
        <v>0253186208</v>
      </c>
      <c r="B182" t="str">
        <f t="shared" si="2"/>
        <v>89301000</v>
      </c>
      <c r="C182" s="1">
        <v>44437</v>
      </c>
      <c r="D182" s="1">
        <v>44442</v>
      </c>
      <c r="E182">
        <v>1</v>
      </c>
      <c r="F182" t="s">
        <v>260</v>
      </c>
      <c r="G182" t="str">
        <f>"03-I22-03"</f>
        <v>03-I22-03</v>
      </c>
      <c r="H182">
        <v>0.49049999999999999</v>
      </c>
      <c r="I182" t="s">
        <v>261</v>
      </c>
      <c r="J182" t="s">
        <v>14</v>
      </c>
      <c r="K182" t="str">
        <f>"7F1"</f>
        <v>7F1</v>
      </c>
      <c r="L182" t="s">
        <v>15</v>
      </c>
    </row>
    <row r="183" spans="1:12" x14ac:dyDescent="0.25">
      <c r="A183" t="str">
        <f>"0254105038"</f>
        <v>0254105038</v>
      </c>
      <c r="B183" t="str">
        <f t="shared" si="2"/>
        <v>89301000</v>
      </c>
      <c r="C183" s="1">
        <v>44468</v>
      </c>
      <c r="D183" s="1">
        <v>44470</v>
      </c>
      <c r="E183">
        <v>1</v>
      </c>
      <c r="F183" t="s">
        <v>262</v>
      </c>
      <c r="G183" t="str">
        <f>"21-K05-03"</f>
        <v>21-K05-03</v>
      </c>
      <c r="H183">
        <v>0.46750000000000003</v>
      </c>
      <c r="I183" t="s">
        <v>263</v>
      </c>
      <c r="J183" t="s">
        <v>14</v>
      </c>
      <c r="K183" t="str">
        <f>"1F1"</f>
        <v>1F1</v>
      </c>
      <c r="L183" t="s">
        <v>15</v>
      </c>
    </row>
    <row r="184" spans="1:12" x14ac:dyDescent="0.25">
      <c r="A184" t="str">
        <f>"0254155704"</f>
        <v>0254155704</v>
      </c>
      <c r="B184" t="str">
        <f t="shared" si="2"/>
        <v>89301000</v>
      </c>
      <c r="C184" s="1">
        <v>44248</v>
      </c>
      <c r="D184" s="1">
        <v>44256</v>
      </c>
      <c r="E184">
        <v>1</v>
      </c>
      <c r="F184" t="s">
        <v>264</v>
      </c>
      <c r="G184" t="str">
        <f>"01-K12-01"</f>
        <v>01-K12-01</v>
      </c>
      <c r="H184">
        <v>0.71289999999999998</v>
      </c>
      <c r="I184" t="s">
        <v>265</v>
      </c>
      <c r="J184" t="s">
        <v>14</v>
      </c>
      <c r="K184" t="str">
        <f>"2F9"</f>
        <v>2F9</v>
      </c>
      <c r="L184" t="s">
        <v>15</v>
      </c>
    </row>
    <row r="185" spans="1:12" x14ac:dyDescent="0.25">
      <c r="A185" t="str">
        <f>"0254175724"</f>
        <v>0254175724</v>
      </c>
      <c r="B185" t="str">
        <f t="shared" si="2"/>
        <v>89301000</v>
      </c>
      <c r="C185" s="1">
        <v>44319</v>
      </c>
      <c r="D185" s="1">
        <v>44321</v>
      </c>
      <c r="E185">
        <v>1</v>
      </c>
      <c r="F185" t="s">
        <v>75</v>
      </c>
      <c r="G185" t="str">
        <f>"14-M01-05"</f>
        <v>14-M01-05</v>
      </c>
      <c r="H185">
        <v>0.54239999999999999</v>
      </c>
      <c r="I185" t="s">
        <v>256</v>
      </c>
      <c r="J185" t="s">
        <v>59</v>
      </c>
      <c r="K185" t="str">
        <f>"6F3"</f>
        <v>6F3</v>
      </c>
      <c r="L185" t="s">
        <v>15</v>
      </c>
    </row>
    <row r="186" spans="1:12" x14ac:dyDescent="0.25">
      <c r="A186" t="str">
        <f>"0255075084"</f>
        <v>0255075084</v>
      </c>
      <c r="B186" t="str">
        <f t="shared" si="2"/>
        <v>89301000</v>
      </c>
      <c r="C186" s="1">
        <v>44398</v>
      </c>
      <c r="D186" s="1">
        <v>44403</v>
      </c>
      <c r="E186">
        <v>1</v>
      </c>
      <c r="F186" t="s">
        <v>191</v>
      </c>
      <c r="G186" t="str">
        <f>"02-K02-01"</f>
        <v>02-K02-01</v>
      </c>
      <c r="H186">
        <v>0.8901</v>
      </c>
      <c r="J186" t="s">
        <v>14</v>
      </c>
      <c r="K186" t="str">
        <f>"2F9"</f>
        <v>2F9</v>
      </c>
      <c r="L186" t="s">
        <v>15</v>
      </c>
    </row>
    <row r="187" spans="1:12" x14ac:dyDescent="0.25">
      <c r="A187" t="str">
        <f>"0255075722"</f>
        <v>0255075722</v>
      </c>
      <c r="B187" t="str">
        <f t="shared" si="2"/>
        <v>89301000</v>
      </c>
      <c r="C187" s="1">
        <v>44546</v>
      </c>
      <c r="D187" s="1">
        <v>44558</v>
      </c>
      <c r="E187">
        <v>1</v>
      </c>
      <c r="F187" t="s">
        <v>77</v>
      </c>
      <c r="G187" t="str">
        <f>"19-K03-03"</f>
        <v>19-K03-03</v>
      </c>
      <c r="H187">
        <v>0.93169999999999997</v>
      </c>
      <c r="I187" t="s">
        <v>168</v>
      </c>
      <c r="J187" t="s">
        <v>27</v>
      </c>
      <c r="K187" t="str">
        <f>"3F5"</f>
        <v>3F5</v>
      </c>
      <c r="L187" t="s">
        <v>15</v>
      </c>
    </row>
    <row r="188" spans="1:12" x14ac:dyDescent="0.25">
      <c r="A188" t="str">
        <f>"0255156165"</f>
        <v>0255156165</v>
      </c>
      <c r="B188" t="str">
        <f t="shared" si="2"/>
        <v>89301000</v>
      </c>
      <c r="C188" s="1">
        <v>44209</v>
      </c>
      <c r="D188" s="1">
        <v>44213</v>
      </c>
      <c r="E188">
        <v>1</v>
      </c>
      <c r="F188" t="s">
        <v>266</v>
      </c>
      <c r="G188" t="str">
        <f>"13-I14-03"</f>
        <v>13-I14-03</v>
      </c>
      <c r="H188">
        <v>0.90280000000000005</v>
      </c>
      <c r="I188" t="s">
        <v>101</v>
      </c>
      <c r="J188" t="s">
        <v>24</v>
      </c>
      <c r="K188" t="str">
        <f>"6F3"</f>
        <v>6F3</v>
      </c>
      <c r="L188" t="s">
        <v>15</v>
      </c>
    </row>
    <row r="189" spans="1:12" x14ac:dyDescent="0.25">
      <c r="A189" t="str">
        <f>"0256045713"</f>
        <v>0256045713</v>
      </c>
      <c r="B189" t="str">
        <f t="shared" si="2"/>
        <v>89301000</v>
      </c>
      <c r="C189" s="1">
        <v>44264</v>
      </c>
      <c r="D189" s="1">
        <v>44267</v>
      </c>
      <c r="E189">
        <v>1</v>
      </c>
      <c r="F189" t="s">
        <v>221</v>
      </c>
      <c r="G189" t="str">
        <f>"01-K04-02"</f>
        <v>01-K04-02</v>
      </c>
      <c r="H189">
        <v>0.80059999999999998</v>
      </c>
      <c r="I189" t="s">
        <v>267</v>
      </c>
      <c r="J189" t="s">
        <v>14</v>
      </c>
      <c r="K189" t="str">
        <f>"2F9"</f>
        <v>2F9</v>
      </c>
      <c r="L189" t="s">
        <v>15</v>
      </c>
    </row>
    <row r="190" spans="1:12" x14ac:dyDescent="0.25">
      <c r="A190" t="str">
        <f>"0256114848"</f>
        <v>0256114848</v>
      </c>
      <c r="B190" t="str">
        <f t="shared" si="2"/>
        <v>89301000</v>
      </c>
      <c r="C190" s="1">
        <v>44420</v>
      </c>
      <c r="D190" s="1">
        <v>44426</v>
      </c>
      <c r="E190">
        <v>1</v>
      </c>
      <c r="F190" t="s">
        <v>268</v>
      </c>
      <c r="G190" t="str">
        <f>"06-K04-03"</f>
        <v>06-K04-03</v>
      </c>
      <c r="H190">
        <v>0.38250000000000001</v>
      </c>
      <c r="J190" t="s">
        <v>14</v>
      </c>
      <c r="K190" t="str">
        <f>"5F1"</f>
        <v>5F1</v>
      </c>
      <c r="L190" t="s">
        <v>15</v>
      </c>
    </row>
    <row r="191" spans="1:12" x14ac:dyDescent="0.25">
      <c r="A191" t="str">
        <f>"0256146165"</f>
        <v>0256146165</v>
      </c>
      <c r="B191" t="str">
        <f t="shared" ref="B191:B254" si="3">"89301000"</f>
        <v>89301000</v>
      </c>
      <c r="C191" s="1">
        <v>44385</v>
      </c>
      <c r="D191" s="1">
        <v>44387</v>
      </c>
      <c r="E191">
        <v>1</v>
      </c>
      <c r="F191" t="s">
        <v>234</v>
      </c>
      <c r="G191" t="str">
        <f>"03-I21-00"</f>
        <v>03-I21-00</v>
      </c>
      <c r="H191">
        <v>0.38500000000000001</v>
      </c>
      <c r="J191" t="s">
        <v>14</v>
      </c>
      <c r="K191" t="str">
        <f>"7F1"</f>
        <v>7F1</v>
      </c>
      <c r="L191" t="s">
        <v>15</v>
      </c>
    </row>
    <row r="192" spans="1:12" x14ac:dyDescent="0.25">
      <c r="A192" t="str">
        <f>"0256195709"</f>
        <v>0256195709</v>
      </c>
      <c r="B192" t="str">
        <f t="shared" si="3"/>
        <v>89301000</v>
      </c>
      <c r="C192" s="1">
        <v>44257</v>
      </c>
      <c r="D192" s="1">
        <v>44259</v>
      </c>
      <c r="E192">
        <v>6</v>
      </c>
      <c r="F192" t="s">
        <v>82</v>
      </c>
      <c r="G192" t="str">
        <f>"14-I01-02"</f>
        <v>14-I01-02</v>
      </c>
      <c r="H192">
        <v>1.1289</v>
      </c>
      <c r="I192" t="s">
        <v>269</v>
      </c>
      <c r="J192" t="s">
        <v>59</v>
      </c>
      <c r="K192" t="str">
        <f>"6F3"</f>
        <v>6F3</v>
      </c>
      <c r="L192" t="s">
        <v>15</v>
      </c>
    </row>
    <row r="193" spans="1:12" x14ac:dyDescent="0.25">
      <c r="A193" t="str">
        <f>"0257185720"</f>
        <v>0257185720</v>
      </c>
      <c r="B193" t="str">
        <f t="shared" si="3"/>
        <v>89301000</v>
      </c>
      <c r="C193" s="1">
        <v>44251</v>
      </c>
      <c r="D193" s="1">
        <v>44253</v>
      </c>
      <c r="E193">
        <v>1</v>
      </c>
      <c r="F193" t="s">
        <v>84</v>
      </c>
      <c r="G193" t="str">
        <f>"09-I09-05"</f>
        <v>09-I09-05</v>
      </c>
      <c r="H193">
        <v>0.47210000000000002</v>
      </c>
      <c r="J193" t="s">
        <v>17</v>
      </c>
      <c r="K193" t="str">
        <f>"5F1"</f>
        <v>5F1</v>
      </c>
      <c r="L193" t="s">
        <v>15</v>
      </c>
    </row>
    <row r="194" spans="1:12" x14ac:dyDescent="0.25">
      <c r="A194" t="str">
        <f>"0257235572"</f>
        <v>0257235572</v>
      </c>
      <c r="B194" t="str">
        <f t="shared" si="3"/>
        <v>89301000</v>
      </c>
      <c r="C194" s="1">
        <v>44508</v>
      </c>
      <c r="D194" s="1">
        <v>44512</v>
      </c>
      <c r="E194">
        <v>1</v>
      </c>
      <c r="F194" t="s">
        <v>123</v>
      </c>
      <c r="G194" t="str">
        <f>"03-I11-02"</f>
        <v>03-I11-02</v>
      </c>
      <c r="H194">
        <v>1.4251</v>
      </c>
      <c r="I194" t="s">
        <v>270</v>
      </c>
      <c r="J194" t="s">
        <v>17</v>
      </c>
      <c r="K194" t="str">
        <f>"6F5"</f>
        <v>6F5</v>
      </c>
      <c r="L194" t="s">
        <v>15</v>
      </c>
    </row>
    <row r="195" spans="1:12" x14ac:dyDescent="0.25">
      <c r="A195" t="str">
        <f>"0257254844"</f>
        <v>0257254844</v>
      </c>
      <c r="B195" t="str">
        <f t="shared" si="3"/>
        <v>89301000</v>
      </c>
      <c r="C195" s="1">
        <v>44516</v>
      </c>
      <c r="D195" s="1">
        <v>44553</v>
      </c>
      <c r="E195">
        <v>1</v>
      </c>
      <c r="F195" t="s">
        <v>77</v>
      </c>
      <c r="G195" t="str">
        <f>"19-K08-02"</f>
        <v>19-K08-02</v>
      </c>
      <c r="H195">
        <v>4.1917</v>
      </c>
      <c r="J195" t="s">
        <v>27</v>
      </c>
      <c r="K195" t="str">
        <f>"3F5"</f>
        <v>3F5</v>
      </c>
      <c r="L195" t="s">
        <v>15</v>
      </c>
    </row>
    <row r="196" spans="1:12" x14ac:dyDescent="0.25">
      <c r="A196" t="str">
        <f>"0258065720"</f>
        <v>0258065720</v>
      </c>
      <c r="B196" t="str">
        <f t="shared" si="3"/>
        <v>89301000</v>
      </c>
      <c r="C196" s="1">
        <v>44493</v>
      </c>
      <c r="D196" s="1">
        <v>44494</v>
      </c>
      <c r="E196">
        <v>1</v>
      </c>
      <c r="F196" t="s">
        <v>271</v>
      </c>
      <c r="G196" t="str">
        <f>"20-K02-03"</f>
        <v>20-K02-03</v>
      </c>
      <c r="H196">
        <v>0.38190000000000002</v>
      </c>
      <c r="I196" t="s">
        <v>272</v>
      </c>
      <c r="J196" t="s">
        <v>14</v>
      </c>
      <c r="K196" t="str">
        <f>"3F5"</f>
        <v>3F5</v>
      </c>
      <c r="L196" t="s">
        <v>15</v>
      </c>
    </row>
    <row r="197" spans="1:12" x14ac:dyDescent="0.25">
      <c r="A197" t="str">
        <f>"0258066149"</f>
        <v>0258066149</v>
      </c>
      <c r="B197" t="str">
        <f t="shared" si="3"/>
        <v>89301000</v>
      </c>
      <c r="C197" s="1">
        <v>44199</v>
      </c>
      <c r="D197" s="1">
        <v>44202</v>
      </c>
      <c r="E197">
        <v>1</v>
      </c>
      <c r="F197" t="s">
        <v>81</v>
      </c>
      <c r="G197" t="str">
        <f>"10-I13-03"</f>
        <v>10-I13-03</v>
      </c>
      <c r="H197">
        <v>0.90449999999999997</v>
      </c>
      <c r="J197" t="s">
        <v>24</v>
      </c>
      <c r="K197" t="str">
        <f>"5F5"</f>
        <v>5F5</v>
      </c>
      <c r="L197" t="s">
        <v>15</v>
      </c>
    </row>
    <row r="198" spans="1:12" x14ac:dyDescent="0.25">
      <c r="A198" t="str">
        <f>"0258086158"</f>
        <v>0258086158</v>
      </c>
      <c r="B198" t="str">
        <f t="shared" si="3"/>
        <v>89301000</v>
      </c>
      <c r="C198" s="1">
        <v>44278</v>
      </c>
      <c r="D198" s="1">
        <v>44278</v>
      </c>
      <c r="E198">
        <v>1</v>
      </c>
      <c r="F198" t="s">
        <v>273</v>
      </c>
      <c r="G198" t="str">
        <f>"23-K06-00"</f>
        <v>23-K06-00</v>
      </c>
      <c r="H198">
        <v>1.0310999999999999</v>
      </c>
      <c r="I198" t="s">
        <v>92</v>
      </c>
      <c r="J198" t="s">
        <v>14</v>
      </c>
      <c r="K198" t="str">
        <f>"1F1"</f>
        <v>1F1</v>
      </c>
      <c r="L198" t="s">
        <v>15</v>
      </c>
    </row>
    <row r="199" spans="1:12" x14ac:dyDescent="0.25">
      <c r="A199" t="str">
        <f>"0258115704"</f>
        <v>0258115704</v>
      </c>
      <c r="B199" t="str">
        <f t="shared" si="3"/>
        <v>89301000</v>
      </c>
      <c r="C199" s="1">
        <v>44253</v>
      </c>
      <c r="D199" s="1">
        <v>44254</v>
      </c>
      <c r="E199">
        <v>1</v>
      </c>
      <c r="F199" t="s">
        <v>75</v>
      </c>
      <c r="G199" t="str">
        <f>"14-M01-05"</f>
        <v>14-M01-05</v>
      </c>
      <c r="H199">
        <v>0.54239999999999999</v>
      </c>
      <c r="I199" t="s">
        <v>118</v>
      </c>
      <c r="J199" t="s">
        <v>59</v>
      </c>
      <c r="K199" t="str">
        <f>"6F3"</f>
        <v>6F3</v>
      </c>
      <c r="L199" t="s">
        <v>15</v>
      </c>
    </row>
    <row r="200" spans="1:12" x14ac:dyDescent="0.25">
      <c r="A200" t="str">
        <f>"0258145723"</f>
        <v>0258145723</v>
      </c>
      <c r="B200" t="str">
        <f t="shared" si="3"/>
        <v>89301000</v>
      </c>
      <c r="C200" s="1">
        <v>44225</v>
      </c>
      <c r="D200" s="1">
        <v>44230</v>
      </c>
      <c r="E200">
        <v>1</v>
      </c>
      <c r="F200" t="s">
        <v>96</v>
      </c>
      <c r="G200" t="str">
        <f>"11-K01-02"</f>
        <v>11-K01-02</v>
      </c>
      <c r="H200">
        <v>0.82289999999999996</v>
      </c>
      <c r="I200" t="s">
        <v>274</v>
      </c>
      <c r="J200" t="s">
        <v>14</v>
      </c>
      <c r="K200" t="str">
        <f>"3F1"</f>
        <v>3F1</v>
      </c>
      <c r="L200" t="s">
        <v>15</v>
      </c>
    </row>
    <row r="201" spans="1:12" x14ac:dyDescent="0.25">
      <c r="A201" t="str">
        <f>"0258145723"</f>
        <v>0258145723</v>
      </c>
      <c r="B201" t="str">
        <f t="shared" si="3"/>
        <v>89301000</v>
      </c>
      <c r="C201" s="1">
        <v>44278</v>
      </c>
      <c r="D201" s="1">
        <v>44281</v>
      </c>
      <c r="E201">
        <v>1</v>
      </c>
      <c r="F201" t="s">
        <v>96</v>
      </c>
      <c r="G201" t="str">
        <f>"11-K01-03"</f>
        <v>11-K01-03</v>
      </c>
      <c r="H201">
        <v>0.59489999999999998</v>
      </c>
      <c r="I201" t="s">
        <v>275</v>
      </c>
      <c r="J201" t="s">
        <v>14</v>
      </c>
      <c r="K201" t="str">
        <f>"3F1"</f>
        <v>3F1</v>
      </c>
      <c r="L201" t="s">
        <v>15</v>
      </c>
    </row>
    <row r="202" spans="1:12" x14ac:dyDescent="0.25">
      <c r="A202" t="str">
        <f>"0259096178"</f>
        <v>0259096178</v>
      </c>
      <c r="B202" t="str">
        <f t="shared" si="3"/>
        <v>89301000</v>
      </c>
      <c r="C202" s="1">
        <v>44521</v>
      </c>
      <c r="D202" s="1">
        <v>44533</v>
      </c>
      <c r="E202">
        <v>1</v>
      </c>
      <c r="F202" t="s">
        <v>55</v>
      </c>
      <c r="G202" t="str">
        <f>"20-K03-03"</f>
        <v>20-K03-03</v>
      </c>
      <c r="H202">
        <v>1.0109999999999999</v>
      </c>
      <c r="I202" t="s">
        <v>276</v>
      </c>
      <c r="J202" t="s">
        <v>14</v>
      </c>
      <c r="K202" t="str">
        <f>"3F5"</f>
        <v>3F5</v>
      </c>
      <c r="L202" t="s">
        <v>15</v>
      </c>
    </row>
    <row r="203" spans="1:12" x14ac:dyDescent="0.25">
      <c r="A203" t="str">
        <f>"0259135701"</f>
        <v>0259135701</v>
      </c>
      <c r="B203" t="str">
        <f t="shared" si="3"/>
        <v>89301000</v>
      </c>
      <c r="C203" s="1">
        <v>44232</v>
      </c>
      <c r="D203" s="1">
        <v>44236</v>
      </c>
      <c r="E203">
        <v>1</v>
      </c>
      <c r="F203" t="s">
        <v>82</v>
      </c>
      <c r="G203" t="str">
        <f>"14-I01-05"</f>
        <v>14-I01-05</v>
      </c>
      <c r="H203">
        <v>0.80030000000000001</v>
      </c>
      <c r="I203" t="s">
        <v>277</v>
      </c>
      <c r="J203" t="s">
        <v>59</v>
      </c>
      <c r="K203" t="str">
        <f>"6F3"</f>
        <v>6F3</v>
      </c>
      <c r="L203" t="s">
        <v>15</v>
      </c>
    </row>
    <row r="204" spans="1:12" x14ac:dyDescent="0.25">
      <c r="A204" t="str">
        <f>"0259135745"</f>
        <v>0259135745</v>
      </c>
      <c r="B204" t="str">
        <f t="shared" si="3"/>
        <v>89301000</v>
      </c>
      <c r="C204" s="1">
        <v>44373</v>
      </c>
      <c r="D204" s="1">
        <v>44374</v>
      </c>
      <c r="E204">
        <v>1</v>
      </c>
      <c r="F204" t="s">
        <v>98</v>
      </c>
      <c r="G204" t="str">
        <f>"19-K02-03"</f>
        <v>19-K02-03</v>
      </c>
      <c r="H204">
        <v>0.44850000000000001</v>
      </c>
      <c r="I204" t="s">
        <v>168</v>
      </c>
      <c r="J204" t="s">
        <v>27</v>
      </c>
      <c r="K204" t="str">
        <f>"3F5"</f>
        <v>3F5</v>
      </c>
      <c r="L204" t="s">
        <v>15</v>
      </c>
    </row>
    <row r="205" spans="1:12" x14ac:dyDescent="0.25">
      <c r="A205" t="str">
        <f>"0259155699"</f>
        <v>0259155699</v>
      </c>
      <c r="B205" t="str">
        <f t="shared" si="3"/>
        <v>89301000</v>
      </c>
      <c r="C205" s="1">
        <v>44524</v>
      </c>
      <c r="D205" s="1">
        <v>44531</v>
      </c>
      <c r="E205">
        <v>1</v>
      </c>
      <c r="F205" t="s">
        <v>278</v>
      </c>
      <c r="G205" t="str">
        <f>"21-K05-03"</f>
        <v>21-K05-03</v>
      </c>
      <c r="H205">
        <v>0.46750000000000003</v>
      </c>
      <c r="I205" t="s">
        <v>279</v>
      </c>
      <c r="J205" t="s">
        <v>14</v>
      </c>
      <c r="K205" t="str">
        <f>"3F5"</f>
        <v>3F5</v>
      </c>
      <c r="L205" t="s">
        <v>15</v>
      </c>
    </row>
    <row r="206" spans="1:12" x14ac:dyDescent="0.25">
      <c r="A206" t="str">
        <f>"0259175741"</f>
        <v>0259175741</v>
      </c>
      <c r="B206" t="str">
        <f t="shared" si="3"/>
        <v>89301000</v>
      </c>
      <c r="C206" s="1">
        <v>44362</v>
      </c>
      <c r="D206" s="1">
        <v>44363</v>
      </c>
      <c r="E206">
        <v>1</v>
      </c>
      <c r="F206" t="s">
        <v>280</v>
      </c>
      <c r="G206" t="str">
        <f>"13-I19-00"</f>
        <v>13-I19-00</v>
      </c>
      <c r="H206">
        <v>0.24679999999999999</v>
      </c>
      <c r="J206" t="s">
        <v>14</v>
      </c>
      <c r="K206" t="str">
        <f>"6F3"</f>
        <v>6F3</v>
      </c>
      <c r="L206" t="s">
        <v>15</v>
      </c>
    </row>
    <row r="207" spans="1:12" x14ac:dyDescent="0.25">
      <c r="A207" t="str">
        <f>"0259194595"</f>
        <v>0259194595</v>
      </c>
      <c r="B207" t="str">
        <f t="shared" si="3"/>
        <v>89301000</v>
      </c>
      <c r="C207" s="1">
        <v>44319</v>
      </c>
      <c r="D207" s="1">
        <v>44321</v>
      </c>
      <c r="E207">
        <v>1</v>
      </c>
      <c r="F207" t="s">
        <v>281</v>
      </c>
      <c r="G207" t="str">
        <f>"05-M08-00"</f>
        <v>05-M08-00</v>
      </c>
      <c r="H207">
        <v>1.0710999999999999</v>
      </c>
      <c r="J207" t="s">
        <v>17</v>
      </c>
      <c r="K207" t="str">
        <f>"5F1"</f>
        <v>5F1</v>
      </c>
      <c r="L207" t="s">
        <v>15</v>
      </c>
    </row>
    <row r="208" spans="1:12" x14ac:dyDescent="0.25">
      <c r="A208" t="str">
        <f>"0259215726"</f>
        <v>0259215726</v>
      </c>
      <c r="B208" t="str">
        <f t="shared" si="3"/>
        <v>89301000</v>
      </c>
      <c r="C208" s="1">
        <v>44344</v>
      </c>
      <c r="D208" s="1">
        <v>44348</v>
      </c>
      <c r="E208">
        <v>1</v>
      </c>
      <c r="F208" t="s">
        <v>282</v>
      </c>
      <c r="G208" t="str">
        <f>"06-K06-02"</f>
        <v>06-K06-02</v>
      </c>
      <c r="H208">
        <v>0.69359999999999999</v>
      </c>
      <c r="I208" t="s">
        <v>283</v>
      </c>
      <c r="J208" t="s">
        <v>14</v>
      </c>
      <c r="K208" t="str">
        <f>"3F1"</f>
        <v>3F1</v>
      </c>
      <c r="L208" t="s">
        <v>15</v>
      </c>
    </row>
    <row r="209" spans="1:12" x14ac:dyDescent="0.25">
      <c r="A209" t="str">
        <f>"0259215726"</f>
        <v>0259215726</v>
      </c>
      <c r="B209" t="str">
        <f t="shared" si="3"/>
        <v>89301000</v>
      </c>
      <c r="C209" s="1">
        <v>44355</v>
      </c>
      <c r="D209" s="1">
        <v>44356</v>
      </c>
      <c r="E209">
        <v>1</v>
      </c>
      <c r="F209" t="s">
        <v>284</v>
      </c>
      <c r="G209" t="str">
        <f>"06-K06-02"</f>
        <v>06-K06-02</v>
      </c>
      <c r="H209">
        <v>0.69359999999999999</v>
      </c>
      <c r="J209" t="s">
        <v>14</v>
      </c>
      <c r="K209" t="str">
        <f>"3F1"</f>
        <v>3F1</v>
      </c>
      <c r="L209" t="s">
        <v>15</v>
      </c>
    </row>
    <row r="210" spans="1:12" x14ac:dyDescent="0.25">
      <c r="A210" t="str">
        <f>"0260035743"</f>
        <v>0260035743</v>
      </c>
      <c r="B210" t="str">
        <f t="shared" si="3"/>
        <v>89301000</v>
      </c>
      <c r="C210" s="1">
        <v>44293</v>
      </c>
      <c r="D210" s="1">
        <v>44296</v>
      </c>
      <c r="E210">
        <v>1</v>
      </c>
      <c r="F210" t="s">
        <v>102</v>
      </c>
      <c r="G210" t="str">
        <f>"03-K06-01"</f>
        <v>03-K06-01</v>
      </c>
      <c r="H210">
        <v>0.4718</v>
      </c>
      <c r="I210" t="s">
        <v>168</v>
      </c>
      <c r="J210" t="s">
        <v>14</v>
      </c>
      <c r="K210" t="str">
        <f>"7F1"</f>
        <v>7F1</v>
      </c>
      <c r="L210" t="s">
        <v>15</v>
      </c>
    </row>
    <row r="211" spans="1:12" x14ac:dyDescent="0.25">
      <c r="A211" t="str">
        <f>"0260126064"</f>
        <v>0260126064</v>
      </c>
      <c r="B211" t="str">
        <f t="shared" si="3"/>
        <v>89301000</v>
      </c>
      <c r="C211" s="1">
        <v>44439</v>
      </c>
      <c r="D211" s="1">
        <v>44440</v>
      </c>
      <c r="E211">
        <v>1</v>
      </c>
      <c r="F211" t="s">
        <v>285</v>
      </c>
      <c r="G211" t="str">
        <f>"09-K05-00"</f>
        <v>09-K05-00</v>
      </c>
      <c r="H211">
        <v>0.69379999999999997</v>
      </c>
      <c r="J211" t="s">
        <v>14</v>
      </c>
      <c r="K211" t="str">
        <f>"3F1"</f>
        <v>3F1</v>
      </c>
      <c r="L211" t="s">
        <v>15</v>
      </c>
    </row>
    <row r="212" spans="1:12" x14ac:dyDescent="0.25">
      <c r="A212" t="str">
        <f>"0260225702"</f>
        <v>0260225702</v>
      </c>
      <c r="B212" t="str">
        <f t="shared" si="3"/>
        <v>89301000</v>
      </c>
      <c r="C212" s="1">
        <v>44505</v>
      </c>
      <c r="D212" s="1">
        <v>44507</v>
      </c>
      <c r="E212">
        <v>1</v>
      </c>
      <c r="F212" t="s">
        <v>173</v>
      </c>
      <c r="G212" t="str">
        <f>"08-I32-02"</f>
        <v>08-I32-02</v>
      </c>
      <c r="H212">
        <v>0.4143</v>
      </c>
      <c r="J212" t="s">
        <v>14</v>
      </c>
      <c r="K212" t="str">
        <f>"5F3"</f>
        <v>5F3</v>
      </c>
      <c r="L212" t="s">
        <v>15</v>
      </c>
    </row>
    <row r="213" spans="1:12" x14ac:dyDescent="0.25">
      <c r="A213" t="str">
        <f>"0261215713"</f>
        <v>0261215713</v>
      </c>
      <c r="B213" t="str">
        <f t="shared" si="3"/>
        <v>89301000</v>
      </c>
      <c r="C213" s="1">
        <v>44362</v>
      </c>
      <c r="D213" s="1">
        <v>44366</v>
      </c>
      <c r="E213">
        <v>1</v>
      </c>
      <c r="F213" t="s">
        <v>123</v>
      </c>
      <c r="G213" t="str">
        <f>"03-I11-01"</f>
        <v>03-I11-01</v>
      </c>
      <c r="H213">
        <v>2.2383000000000002</v>
      </c>
      <c r="J213" t="s">
        <v>17</v>
      </c>
      <c r="K213" t="str">
        <f>"3F1"</f>
        <v>3F1</v>
      </c>
      <c r="L213" t="s">
        <v>15</v>
      </c>
    </row>
    <row r="214" spans="1:12" x14ac:dyDescent="0.25">
      <c r="A214" t="str">
        <f>"0261288467"</f>
        <v>0261288467</v>
      </c>
      <c r="B214" t="str">
        <f t="shared" si="3"/>
        <v>89301000</v>
      </c>
      <c r="C214" s="1">
        <v>44489</v>
      </c>
      <c r="D214" s="1">
        <v>44489</v>
      </c>
      <c r="E214">
        <v>6</v>
      </c>
      <c r="F214" t="s">
        <v>75</v>
      </c>
      <c r="G214" t="str">
        <f>"14-M01-05"</f>
        <v>14-M01-05</v>
      </c>
      <c r="H214">
        <v>0.27289999999999998</v>
      </c>
      <c r="I214" t="s">
        <v>180</v>
      </c>
      <c r="J214" t="s">
        <v>59</v>
      </c>
      <c r="K214" t="str">
        <f>"6F3"</f>
        <v>6F3</v>
      </c>
      <c r="L214" t="s">
        <v>286</v>
      </c>
    </row>
    <row r="215" spans="1:12" x14ac:dyDescent="0.25">
      <c r="A215" t="str">
        <f>"0262295737"</f>
        <v>0262295737</v>
      </c>
      <c r="B215" t="str">
        <f t="shared" si="3"/>
        <v>89301000</v>
      </c>
      <c r="C215" s="1">
        <v>44252</v>
      </c>
      <c r="D215" s="1">
        <v>44255</v>
      </c>
      <c r="E215">
        <v>1</v>
      </c>
      <c r="F215" t="s">
        <v>266</v>
      </c>
      <c r="G215" t="str">
        <f>"13-I14-03"</f>
        <v>13-I14-03</v>
      </c>
      <c r="H215">
        <v>0.83199999999999996</v>
      </c>
      <c r="J215" t="s">
        <v>24</v>
      </c>
      <c r="K215" t="str">
        <f>"6F3"</f>
        <v>6F3</v>
      </c>
      <c r="L215" t="s">
        <v>15</v>
      </c>
    </row>
    <row r="216" spans="1:12" x14ac:dyDescent="0.25">
      <c r="A216" t="str">
        <f>"0301195741"</f>
        <v>0301195741</v>
      </c>
      <c r="B216" t="str">
        <f t="shared" si="3"/>
        <v>89301000</v>
      </c>
      <c r="C216" s="1">
        <v>44443</v>
      </c>
      <c r="D216" s="1">
        <v>44444</v>
      </c>
      <c r="E216">
        <v>1</v>
      </c>
      <c r="F216" t="s">
        <v>287</v>
      </c>
      <c r="G216" t="str">
        <f>"01-K16-06"</f>
        <v>01-K16-06</v>
      </c>
      <c r="H216">
        <v>0.26469999999999999</v>
      </c>
      <c r="I216" t="s">
        <v>288</v>
      </c>
      <c r="J216" t="s">
        <v>14</v>
      </c>
      <c r="K216" t="str">
        <f>"5F3"</f>
        <v>5F3</v>
      </c>
      <c r="L216" t="s">
        <v>15</v>
      </c>
    </row>
    <row r="217" spans="1:12" x14ac:dyDescent="0.25">
      <c r="A217" t="str">
        <f>"0301225727"</f>
        <v>0301225727</v>
      </c>
      <c r="B217" t="str">
        <f t="shared" si="3"/>
        <v>89301000</v>
      </c>
      <c r="C217" s="1">
        <v>44257</v>
      </c>
      <c r="D217" s="1">
        <v>44258</v>
      </c>
      <c r="E217">
        <v>6</v>
      </c>
      <c r="F217" t="s">
        <v>289</v>
      </c>
      <c r="G217" t="str">
        <f>"01-K03-06"</f>
        <v>01-K03-06</v>
      </c>
      <c r="H217">
        <v>0.80789999999999995</v>
      </c>
      <c r="I217" t="s">
        <v>274</v>
      </c>
      <c r="J217" t="s">
        <v>14</v>
      </c>
      <c r="K217" t="str">
        <f>"3T1"</f>
        <v>3T1</v>
      </c>
      <c r="L217" t="s">
        <v>15</v>
      </c>
    </row>
    <row r="218" spans="1:12" x14ac:dyDescent="0.25">
      <c r="A218" t="str">
        <f>"0301235704"</f>
        <v>0301235704</v>
      </c>
      <c r="B218" t="str">
        <f t="shared" si="3"/>
        <v>89301000</v>
      </c>
      <c r="C218" s="1">
        <v>44326</v>
      </c>
      <c r="D218" s="1">
        <v>44340</v>
      </c>
      <c r="E218">
        <v>1</v>
      </c>
      <c r="F218" t="s">
        <v>290</v>
      </c>
      <c r="G218" t="str">
        <f>"00-M01-03"</f>
        <v>00-M01-03</v>
      </c>
      <c r="H218">
        <v>10.9368</v>
      </c>
      <c r="I218" t="s">
        <v>291</v>
      </c>
      <c r="J218" t="s">
        <v>14</v>
      </c>
      <c r="K218" t="str">
        <f>"1T1"</f>
        <v>1T1</v>
      </c>
      <c r="L218" t="s">
        <v>15</v>
      </c>
    </row>
    <row r="219" spans="1:12" x14ac:dyDescent="0.25">
      <c r="A219" t="str">
        <f>"0301235759"</f>
        <v>0301235759</v>
      </c>
      <c r="B219" t="str">
        <f t="shared" si="3"/>
        <v>89301000</v>
      </c>
      <c r="C219" s="1">
        <v>44472</v>
      </c>
      <c r="D219" s="1">
        <v>44473</v>
      </c>
      <c r="E219">
        <v>1</v>
      </c>
      <c r="F219" t="s">
        <v>292</v>
      </c>
      <c r="G219" t="str">
        <f>"08-I17-01"</f>
        <v>08-I17-01</v>
      </c>
      <c r="H219">
        <v>1.2741</v>
      </c>
      <c r="I219" t="s">
        <v>293</v>
      </c>
      <c r="J219" t="s">
        <v>14</v>
      </c>
      <c r="K219" t="str">
        <f>"5F3"</f>
        <v>5F3</v>
      </c>
      <c r="L219" t="s">
        <v>15</v>
      </c>
    </row>
    <row r="220" spans="1:12" x14ac:dyDescent="0.25">
      <c r="A220" t="str">
        <f>"0302165699"</f>
        <v>0302165699</v>
      </c>
      <c r="B220" t="str">
        <f t="shared" si="3"/>
        <v>89301000</v>
      </c>
      <c r="C220" s="1">
        <v>44255</v>
      </c>
      <c r="D220" s="1">
        <v>44257</v>
      </c>
      <c r="E220">
        <v>1</v>
      </c>
      <c r="F220" t="s">
        <v>294</v>
      </c>
      <c r="G220" t="str">
        <f>"08-M03-05"</f>
        <v>08-M03-05</v>
      </c>
      <c r="H220">
        <v>0.51759999999999995</v>
      </c>
      <c r="I220" t="s">
        <v>295</v>
      </c>
      <c r="J220" t="s">
        <v>14</v>
      </c>
      <c r="K220" t="str">
        <f>"5F3"</f>
        <v>5F3</v>
      </c>
      <c r="L220" t="s">
        <v>15</v>
      </c>
    </row>
    <row r="221" spans="1:12" x14ac:dyDescent="0.25">
      <c r="A221" t="str">
        <f>"0302245702"</f>
        <v>0302245702</v>
      </c>
      <c r="B221" t="str">
        <f t="shared" si="3"/>
        <v>89301000</v>
      </c>
      <c r="C221" s="1">
        <v>44473</v>
      </c>
      <c r="D221" s="1">
        <v>44475</v>
      </c>
      <c r="E221">
        <v>1</v>
      </c>
      <c r="F221" t="s">
        <v>207</v>
      </c>
      <c r="G221" t="str">
        <f>"06-K02-04"</f>
        <v>06-K02-04</v>
      </c>
      <c r="H221">
        <v>0.3634</v>
      </c>
      <c r="I221" t="s">
        <v>168</v>
      </c>
      <c r="J221" t="s">
        <v>14</v>
      </c>
      <c r="K221" t="str">
        <f>"3F1"</f>
        <v>3F1</v>
      </c>
      <c r="L221" t="s">
        <v>15</v>
      </c>
    </row>
    <row r="222" spans="1:12" x14ac:dyDescent="0.25">
      <c r="A222" t="str">
        <f>"0303034853"</f>
        <v>0303034853</v>
      </c>
      <c r="B222" t="str">
        <f t="shared" si="3"/>
        <v>89301000</v>
      </c>
      <c r="C222" s="1">
        <v>44221</v>
      </c>
      <c r="D222" s="1">
        <v>44224</v>
      </c>
      <c r="E222">
        <v>6</v>
      </c>
      <c r="F222" t="s">
        <v>296</v>
      </c>
      <c r="G222" t="str">
        <f>"08-K03-03"</f>
        <v>08-K03-03</v>
      </c>
      <c r="H222">
        <v>0.80700000000000005</v>
      </c>
      <c r="J222" t="s">
        <v>14</v>
      </c>
      <c r="K222" t="str">
        <f>"3T1"</f>
        <v>3T1</v>
      </c>
      <c r="L222" t="s">
        <v>15</v>
      </c>
    </row>
    <row r="223" spans="1:12" x14ac:dyDescent="0.25">
      <c r="A223" t="str">
        <f>"0303034853"</f>
        <v>0303034853</v>
      </c>
      <c r="B223" t="str">
        <f t="shared" si="3"/>
        <v>89301000</v>
      </c>
      <c r="C223" s="1">
        <v>44312</v>
      </c>
      <c r="D223" s="1">
        <v>44315</v>
      </c>
      <c r="E223">
        <v>1</v>
      </c>
      <c r="F223" t="s">
        <v>296</v>
      </c>
      <c r="G223" t="str">
        <f>"08-K03-03"</f>
        <v>08-K03-03</v>
      </c>
      <c r="H223">
        <v>0.80700000000000005</v>
      </c>
      <c r="J223" t="s">
        <v>14</v>
      </c>
      <c r="K223" t="str">
        <f>"3F1"</f>
        <v>3F1</v>
      </c>
      <c r="L223" t="s">
        <v>15</v>
      </c>
    </row>
    <row r="224" spans="1:12" x14ac:dyDescent="0.25">
      <c r="A224" t="str">
        <f>"0303124470"</f>
        <v>0303124470</v>
      </c>
      <c r="B224" t="str">
        <f t="shared" si="3"/>
        <v>89301000</v>
      </c>
      <c r="C224" s="1">
        <v>44195</v>
      </c>
      <c r="D224" s="1">
        <v>44200</v>
      </c>
      <c r="E224">
        <v>6</v>
      </c>
      <c r="F224" t="s">
        <v>217</v>
      </c>
      <c r="G224" t="str">
        <f>"04-K02-04"</f>
        <v>04-K02-04</v>
      </c>
      <c r="H224">
        <v>0.82469999999999999</v>
      </c>
      <c r="I224" t="s">
        <v>297</v>
      </c>
      <c r="J224" t="s">
        <v>14</v>
      </c>
      <c r="K224" t="str">
        <f>"3T1"</f>
        <v>3T1</v>
      </c>
      <c r="L224" t="s">
        <v>15</v>
      </c>
    </row>
    <row r="225" spans="1:12" x14ac:dyDescent="0.25">
      <c r="A225" t="str">
        <f>"0303135723"</f>
        <v>0303135723</v>
      </c>
      <c r="B225" t="str">
        <f t="shared" si="3"/>
        <v>89301000</v>
      </c>
      <c r="C225" s="1">
        <v>44462</v>
      </c>
      <c r="D225" s="1">
        <v>44468</v>
      </c>
      <c r="E225">
        <v>1</v>
      </c>
      <c r="F225" t="s">
        <v>23</v>
      </c>
      <c r="G225" t="str">
        <f>"06-I18-05"</f>
        <v>06-I18-05</v>
      </c>
      <c r="H225">
        <v>0.85550000000000004</v>
      </c>
      <c r="J225" t="s">
        <v>24</v>
      </c>
      <c r="K225" t="str">
        <f>"5F1"</f>
        <v>5F1</v>
      </c>
      <c r="L225" t="s">
        <v>15</v>
      </c>
    </row>
    <row r="226" spans="1:12" x14ac:dyDescent="0.25">
      <c r="A226" t="str">
        <f>"0304185772"</f>
        <v>0304185772</v>
      </c>
      <c r="B226" t="str">
        <f t="shared" si="3"/>
        <v>89301000</v>
      </c>
      <c r="C226" s="1">
        <v>44441</v>
      </c>
      <c r="D226" s="1">
        <v>44442</v>
      </c>
      <c r="E226">
        <v>1</v>
      </c>
      <c r="F226" t="s">
        <v>142</v>
      </c>
      <c r="G226" t="str">
        <f>"03-K12-01"</f>
        <v>03-K12-01</v>
      </c>
      <c r="H226">
        <v>0.376</v>
      </c>
      <c r="I226" t="s">
        <v>298</v>
      </c>
      <c r="J226" t="s">
        <v>14</v>
      </c>
      <c r="K226" t="str">
        <f>"6F5"</f>
        <v>6F5</v>
      </c>
      <c r="L226" t="s">
        <v>15</v>
      </c>
    </row>
    <row r="227" spans="1:12" x14ac:dyDescent="0.25">
      <c r="A227" t="str">
        <f>"0304215714"</f>
        <v>0304215714</v>
      </c>
      <c r="B227" t="str">
        <f t="shared" si="3"/>
        <v>89301000</v>
      </c>
      <c r="C227" s="1">
        <v>44542</v>
      </c>
      <c r="D227" s="1">
        <v>44545</v>
      </c>
      <c r="E227">
        <v>1</v>
      </c>
      <c r="F227" t="s">
        <v>299</v>
      </c>
      <c r="G227" t="str">
        <f>"04-K14-03"</f>
        <v>04-K14-03</v>
      </c>
      <c r="H227">
        <v>0.78710000000000002</v>
      </c>
      <c r="I227" t="s">
        <v>168</v>
      </c>
      <c r="J227" t="s">
        <v>14</v>
      </c>
      <c r="K227" t="str">
        <f>"3F1"</f>
        <v>3F1</v>
      </c>
      <c r="L227" t="s">
        <v>15</v>
      </c>
    </row>
    <row r="228" spans="1:12" x14ac:dyDescent="0.25">
      <c r="A228" t="str">
        <f>"0305025710"</f>
        <v>0305025710</v>
      </c>
      <c r="B228" t="str">
        <f t="shared" si="3"/>
        <v>89301000</v>
      </c>
      <c r="C228" s="1">
        <v>44455</v>
      </c>
      <c r="D228" s="1">
        <v>44456</v>
      </c>
      <c r="E228">
        <v>1</v>
      </c>
      <c r="F228" t="s">
        <v>174</v>
      </c>
      <c r="G228" t="str">
        <f>"12-I14-00"</f>
        <v>12-I14-00</v>
      </c>
      <c r="H228">
        <v>0.44350000000000001</v>
      </c>
      <c r="I228" t="s">
        <v>300</v>
      </c>
      <c r="J228" t="s">
        <v>14</v>
      </c>
      <c r="K228" t="str">
        <f>"7F6"</f>
        <v>7F6</v>
      </c>
      <c r="L228" t="s">
        <v>15</v>
      </c>
    </row>
    <row r="229" spans="1:12" x14ac:dyDescent="0.25">
      <c r="A229" t="str">
        <f>"0305044850"</f>
        <v>0305044850</v>
      </c>
      <c r="B229" t="str">
        <f t="shared" si="3"/>
        <v>89301000</v>
      </c>
      <c r="C229" s="1">
        <v>44490</v>
      </c>
      <c r="D229" s="1">
        <v>44504</v>
      </c>
      <c r="E229">
        <v>1</v>
      </c>
      <c r="F229" t="s">
        <v>181</v>
      </c>
      <c r="G229" t="str">
        <f>"19-K04-02"</f>
        <v>19-K04-02</v>
      </c>
      <c r="H229">
        <v>1.4597</v>
      </c>
      <c r="I229" t="s">
        <v>301</v>
      </c>
      <c r="J229" t="s">
        <v>27</v>
      </c>
      <c r="K229" t="str">
        <f>"3F5"</f>
        <v>3F5</v>
      </c>
      <c r="L229" t="s">
        <v>15</v>
      </c>
    </row>
    <row r="230" spans="1:12" x14ac:dyDescent="0.25">
      <c r="A230" t="str">
        <f>"0305064848"</f>
        <v>0305064848</v>
      </c>
      <c r="B230" t="str">
        <f t="shared" si="3"/>
        <v>89301000</v>
      </c>
      <c r="C230" s="1">
        <v>44552</v>
      </c>
      <c r="D230" s="1">
        <v>44553</v>
      </c>
      <c r="E230">
        <v>1</v>
      </c>
      <c r="F230" t="s">
        <v>302</v>
      </c>
      <c r="G230" t="str">
        <f>"10-K15-02"</f>
        <v>10-K15-02</v>
      </c>
      <c r="H230">
        <v>0.51819999999999999</v>
      </c>
      <c r="I230" t="s">
        <v>303</v>
      </c>
      <c r="J230" t="s">
        <v>14</v>
      </c>
      <c r="K230" t="str">
        <f>"1F1"</f>
        <v>1F1</v>
      </c>
      <c r="L230" t="s">
        <v>15</v>
      </c>
    </row>
    <row r="231" spans="1:12" x14ac:dyDescent="0.25">
      <c r="A231" t="str">
        <f>"0305233126"</f>
        <v>0305233126</v>
      </c>
      <c r="B231" t="str">
        <f t="shared" si="3"/>
        <v>89301000</v>
      </c>
      <c r="C231" s="1">
        <v>44312</v>
      </c>
      <c r="D231" s="1">
        <v>44322</v>
      </c>
      <c r="E231">
        <v>1</v>
      </c>
      <c r="F231" t="s">
        <v>304</v>
      </c>
      <c r="G231" t="str">
        <f>"10-K03-03"</f>
        <v>10-K03-03</v>
      </c>
      <c r="H231">
        <v>1.3075000000000001</v>
      </c>
      <c r="I231" t="s">
        <v>305</v>
      </c>
      <c r="J231" t="s">
        <v>14</v>
      </c>
      <c r="K231" t="str">
        <f>"3F1"</f>
        <v>3F1</v>
      </c>
      <c r="L231" t="s">
        <v>15</v>
      </c>
    </row>
    <row r="232" spans="1:12" x14ac:dyDescent="0.25">
      <c r="A232" t="str">
        <f>"0305265422"</f>
        <v>0305265422</v>
      </c>
      <c r="B232" t="str">
        <f t="shared" si="3"/>
        <v>89301000</v>
      </c>
      <c r="C232" s="1">
        <v>44231</v>
      </c>
      <c r="D232" s="1">
        <v>44233</v>
      </c>
      <c r="E232">
        <v>1</v>
      </c>
      <c r="F232" t="s">
        <v>224</v>
      </c>
      <c r="G232" t="str">
        <f>"03-K08-00"</f>
        <v>03-K08-00</v>
      </c>
      <c r="H232">
        <v>0.42749999999999999</v>
      </c>
      <c r="I232" t="s">
        <v>306</v>
      </c>
      <c r="J232" t="s">
        <v>14</v>
      </c>
      <c r="K232" t="str">
        <f>"3F1"</f>
        <v>3F1</v>
      </c>
      <c r="L232" t="s">
        <v>15</v>
      </c>
    </row>
    <row r="233" spans="1:12" x14ac:dyDescent="0.25">
      <c r="A233" t="str">
        <f>"0306015699"</f>
        <v>0306015699</v>
      </c>
      <c r="B233" t="str">
        <f t="shared" si="3"/>
        <v>89301000</v>
      </c>
      <c r="C233" s="1">
        <v>44370</v>
      </c>
      <c r="D233" s="1">
        <v>44382</v>
      </c>
      <c r="E233">
        <v>1</v>
      </c>
      <c r="F233" t="s">
        <v>307</v>
      </c>
      <c r="G233" t="str">
        <f>"08-I26-01"</f>
        <v>08-I26-01</v>
      </c>
      <c r="H233">
        <v>1.1701999999999999</v>
      </c>
      <c r="I233" t="s">
        <v>308</v>
      </c>
      <c r="J233" t="s">
        <v>14</v>
      </c>
      <c r="K233" t="str">
        <f>"6F6"</f>
        <v>6F6</v>
      </c>
      <c r="L233" t="s">
        <v>15</v>
      </c>
    </row>
    <row r="234" spans="1:12" x14ac:dyDescent="0.25">
      <c r="A234" t="str">
        <f>"0306015699"</f>
        <v>0306015699</v>
      </c>
      <c r="B234" t="str">
        <f t="shared" si="3"/>
        <v>89301000</v>
      </c>
      <c r="C234" s="1">
        <v>44343</v>
      </c>
      <c r="D234" s="1">
        <v>44346</v>
      </c>
      <c r="E234">
        <v>1</v>
      </c>
      <c r="F234" t="s">
        <v>111</v>
      </c>
      <c r="G234" t="str">
        <f>"08-M03-02"</f>
        <v>08-M03-02</v>
      </c>
      <c r="H234">
        <v>0.86970000000000003</v>
      </c>
      <c r="I234" t="s">
        <v>309</v>
      </c>
      <c r="J234" t="s">
        <v>14</v>
      </c>
      <c r="K234" t="str">
        <f>"6F6"</f>
        <v>6F6</v>
      </c>
      <c r="L234" t="s">
        <v>15</v>
      </c>
    </row>
    <row r="235" spans="1:12" x14ac:dyDescent="0.25">
      <c r="A235" t="str">
        <f>"0306040119"</f>
        <v>0306040119</v>
      </c>
      <c r="B235" t="str">
        <f t="shared" si="3"/>
        <v>89301000</v>
      </c>
      <c r="C235" s="1">
        <v>44345</v>
      </c>
      <c r="D235" s="1">
        <v>44348</v>
      </c>
      <c r="E235">
        <v>1</v>
      </c>
      <c r="F235" t="s">
        <v>278</v>
      </c>
      <c r="G235" t="str">
        <f>"21-K05-03"</f>
        <v>21-K05-03</v>
      </c>
      <c r="H235">
        <v>0.46750000000000003</v>
      </c>
      <c r="I235" t="s">
        <v>310</v>
      </c>
      <c r="J235" t="s">
        <v>14</v>
      </c>
      <c r="K235" t="str">
        <f>"3F1"</f>
        <v>3F1</v>
      </c>
      <c r="L235" t="s">
        <v>15</v>
      </c>
    </row>
    <row r="236" spans="1:12" x14ac:dyDescent="0.25">
      <c r="A236" t="str">
        <f>"0306095768"</f>
        <v>0306095768</v>
      </c>
      <c r="B236" t="str">
        <f t="shared" si="3"/>
        <v>89301000</v>
      </c>
      <c r="C236" s="1">
        <v>44341</v>
      </c>
      <c r="D236" s="1">
        <v>44343</v>
      </c>
      <c r="E236">
        <v>1</v>
      </c>
      <c r="F236" t="s">
        <v>311</v>
      </c>
      <c r="G236" t="str">
        <f>"03-I14-02"</f>
        <v>03-I14-02</v>
      </c>
      <c r="H236">
        <v>1.1086</v>
      </c>
      <c r="J236" t="s">
        <v>14</v>
      </c>
      <c r="K236" t="str">
        <f>"7F1"</f>
        <v>7F1</v>
      </c>
      <c r="L236" t="s">
        <v>15</v>
      </c>
    </row>
    <row r="237" spans="1:12" x14ac:dyDescent="0.25">
      <c r="A237" t="str">
        <f>"0306095768"</f>
        <v>0306095768</v>
      </c>
      <c r="B237" t="str">
        <f t="shared" si="3"/>
        <v>89301000</v>
      </c>
      <c r="C237" s="1">
        <v>44278</v>
      </c>
      <c r="D237" s="1">
        <v>44280</v>
      </c>
      <c r="E237">
        <v>1</v>
      </c>
      <c r="F237" t="s">
        <v>311</v>
      </c>
      <c r="G237" t="str">
        <f>"03-I14-02"</f>
        <v>03-I14-02</v>
      </c>
      <c r="H237">
        <v>1.1086</v>
      </c>
      <c r="I237" t="s">
        <v>115</v>
      </c>
      <c r="J237" t="s">
        <v>14</v>
      </c>
      <c r="K237" t="str">
        <f>"7F1"</f>
        <v>7F1</v>
      </c>
      <c r="L237" t="s">
        <v>15</v>
      </c>
    </row>
    <row r="238" spans="1:12" x14ac:dyDescent="0.25">
      <c r="A238" t="str">
        <f>"0306195736"</f>
        <v>0306195736</v>
      </c>
      <c r="B238" t="str">
        <f t="shared" si="3"/>
        <v>89301000</v>
      </c>
      <c r="C238" s="1">
        <v>44327</v>
      </c>
      <c r="D238" s="1">
        <v>44330</v>
      </c>
      <c r="E238">
        <v>1</v>
      </c>
      <c r="F238" t="s">
        <v>47</v>
      </c>
      <c r="G238" t="str">
        <f>"08-M03-05"</f>
        <v>08-M03-05</v>
      </c>
      <c r="H238">
        <v>0.51759999999999995</v>
      </c>
      <c r="I238" t="s">
        <v>312</v>
      </c>
      <c r="J238" t="s">
        <v>14</v>
      </c>
      <c r="K238" t="str">
        <f>"6F6"</f>
        <v>6F6</v>
      </c>
      <c r="L238" t="s">
        <v>15</v>
      </c>
    </row>
    <row r="239" spans="1:12" x14ac:dyDescent="0.25">
      <c r="A239" t="str">
        <f>"0307115710"</f>
        <v>0307115710</v>
      </c>
      <c r="B239" t="str">
        <f t="shared" si="3"/>
        <v>89301000</v>
      </c>
      <c r="C239" s="1">
        <v>44259</v>
      </c>
      <c r="D239" s="1">
        <v>44263</v>
      </c>
      <c r="E239">
        <v>1</v>
      </c>
      <c r="F239" t="s">
        <v>102</v>
      </c>
      <c r="G239" t="str">
        <f>"03-K06-01"</f>
        <v>03-K06-01</v>
      </c>
      <c r="H239">
        <v>0.4718</v>
      </c>
      <c r="I239" t="s">
        <v>168</v>
      </c>
      <c r="J239" t="s">
        <v>14</v>
      </c>
      <c r="K239" t="str">
        <f>"7F1"</f>
        <v>7F1</v>
      </c>
      <c r="L239" t="s">
        <v>15</v>
      </c>
    </row>
    <row r="240" spans="1:12" x14ac:dyDescent="0.25">
      <c r="A240" t="str">
        <f>"0307115710"</f>
        <v>0307115710</v>
      </c>
      <c r="B240" t="str">
        <f t="shared" si="3"/>
        <v>89301000</v>
      </c>
      <c r="C240" s="1">
        <v>44318</v>
      </c>
      <c r="D240" s="1">
        <v>44324</v>
      </c>
      <c r="E240">
        <v>1</v>
      </c>
      <c r="F240" t="s">
        <v>313</v>
      </c>
      <c r="G240" t="str">
        <f>"03-I16-02"</f>
        <v>03-I16-02</v>
      </c>
      <c r="H240">
        <v>0.89539999999999997</v>
      </c>
      <c r="I240" t="s">
        <v>102</v>
      </c>
      <c r="J240" t="s">
        <v>24</v>
      </c>
      <c r="K240" t="str">
        <f>"7F1"</f>
        <v>7F1</v>
      </c>
      <c r="L240" t="s">
        <v>15</v>
      </c>
    </row>
    <row r="241" spans="1:12" x14ac:dyDescent="0.25">
      <c r="A241" t="str">
        <f>"0307145729"</f>
        <v>0307145729</v>
      </c>
      <c r="B241" t="str">
        <f t="shared" si="3"/>
        <v>89301000</v>
      </c>
      <c r="C241" s="1">
        <v>44460</v>
      </c>
      <c r="D241" s="1">
        <v>44463</v>
      </c>
      <c r="E241">
        <v>1</v>
      </c>
      <c r="F241" t="s">
        <v>43</v>
      </c>
      <c r="G241" t="str">
        <f>"06-I18-05"</f>
        <v>06-I18-05</v>
      </c>
      <c r="H241">
        <v>0.85550000000000004</v>
      </c>
      <c r="J241" t="s">
        <v>24</v>
      </c>
      <c r="K241" t="str">
        <f>"5F1"</f>
        <v>5F1</v>
      </c>
      <c r="L241" t="s">
        <v>15</v>
      </c>
    </row>
    <row r="242" spans="1:12" x14ac:dyDescent="0.25">
      <c r="A242" t="str">
        <f>"0307174846"</f>
        <v>0307174846</v>
      </c>
      <c r="B242" t="str">
        <f t="shared" si="3"/>
        <v>89301000</v>
      </c>
      <c r="C242" s="1">
        <v>44226</v>
      </c>
      <c r="D242" s="1">
        <v>44229</v>
      </c>
      <c r="E242">
        <v>1</v>
      </c>
      <c r="F242" t="s">
        <v>314</v>
      </c>
      <c r="G242" t="str">
        <f>"03-K12-01"</f>
        <v>03-K12-01</v>
      </c>
      <c r="H242">
        <v>0.376</v>
      </c>
      <c r="I242" t="s">
        <v>315</v>
      </c>
      <c r="J242" t="s">
        <v>14</v>
      </c>
      <c r="K242" t="str">
        <f>"3F1"</f>
        <v>3F1</v>
      </c>
      <c r="L242" t="s">
        <v>15</v>
      </c>
    </row>
    <row r="243" spans="1:12" x14ac:dyDescent="0.25">
      <c r="A243" t="str">
        <f>"0307265706"</f>
        <v>0307265706</v>
      </c>
      <c r="B243" t="str">
        <f t="shared" si="3"/>
        <v>89301000</v>
      </c>
      <c r="C243" s="1">
        <v>44442</v>
      </c>
      <c r="D243" s="1">
        <v>44445</v>
      </c>
      <c r="E243">
        <v>1</v>
      </c>
      <c r="F243" t="s">
        <v>316</v>
      </c>
      <c r="G243" t="str">
        <f>"01-K16-02"</f>
        <v>01-K16-02</v>
      </c>
      <c r="H243">
        <v>1.0797000000000001</v>
      </c>
      <c r="I243" t="s">
        <v>317</v>
      </c>
      <c r="J243" t="s">
        <v>14</v>
      </c>
      <c r="K243" t="str">
        <f>"5F3"</f>
        <v>5F3</v>
      </c>
      <c r="L243" t="s">
        <v>15</v>
      </c>
    </row>
    <row r="244" spans="1:12" x14ac:dyDescent="0.25">
      <c r="A244" t="str">
        <f>"0308154484"</f>
        <v>0308154484</v>
      </c>
      <c r="B244" t="str">
        <f t="shared" si="3"/>
        <v>89301000</v>
      </c>
      <c r="C244" s="1">
        <v>44377</v>
      </c>
      <c r="D244" s="1">
        <v>44380</v>
      </c>
      <c r="E244">
        <v>1</v>
      </c>
      <c r="F244" t="s">
        <v>318</v>
      </c>
      <c r="G244" t="str">
        <f>"08-I23-02"</f>
        <v>08-I23-02</v>
      </c>
      <c r="H244">
        <v>0.99529999999999996</v>
      </c>
      <c r="I244" t="s">
        <v>319</v>
      </c>
      <c r="J244" t="s">
        <v>17</v>
      </c>
      <c r="K244" t="str">
        <f>"6F6"</f>
        <v>6F6</v>
      </c>
      <c r="L244" t="s">
        <v>15</v>
      </c>
    </row>
    <row r="245" spans="1:12" x14ac:dyDescent="0.25">
      <c r="A245" t="str">
        <f>"0308224257"</f>
        <v>0308224257</v>
      </c>
      <c r="B245" t="str">
        <f t="shared" si="3"/>
        <v>89301000</v>
      </c>
      <c r="C245" s="1">
        <v>44485</v>
      </c>
      <c r="D245" s="1">
        <v>44489</v>
      </c>
      <c r="E245">
        <v>1</v>
      </c>
      <c r="F245" t="s">
        <v>43</v>
      </c>
      <c r="G245" t="str">
        <f>"06-I18-05"</f>
        <v>06-I18-05</v>
      </c>
      <c r="H245">
        <v>0.85550000000000004</v>
      </c>
      <c r="J245" t="s">
        <v>24</v>
      </c>
      <c r="K245" t="str">
        <f>"5F1"</f>
        <v>5F1</v>
      </c>
      <c r="L245" t="s">
        <v>15</v>
      </c>
    </row>
    <row r="246" spans="1:12" x14ac:dyDescent="0.25">
      <c r="A246" t="str">
        <f>"0308275715"</f>
        <v>0308275715</v>
      </c>
      <c r="B246" t="str">
        <f t="shared" si="3"/>
        <v>89301000</v>
      </c>
      <c r="C246" s="1">
        <v>44370</v>
      </c>
      <c r="D246" s="1">
        <v>44372</v>
      </c>
      <c r="E246">
        <v>1</v>
      </c>
      <c r="F246" t="s">
        <v>320</v>
      </c>
      <c r="G246" t="str">
        <f>"03-K08-00"</f>
        <v>03-K08-00</v>
      </c>
      <c r="H246">
        <v>0.42749999999999999</v>
      </c>
      <c r="I246" t="s">
        <v>321</v>
      </c>
      <c r="J246" t="s">
        <v>14</v>
      </c>
      <c r="K246" t="str">
        <f>"3F1"</f>
        <v>3F1</v>
      </c>
      <c r="L246" t="s">
        <v>15</v>
      </c>
    </row>
    <row r="247" spans="1:12" x14ac:dyDescent="0.25">
      <c r="A247" t="str">
        <f>"0309264857"</f>
        <v>0309264857</v>
      </c>
      <c r="B247" t="str">
        <f t="shared" si="3"/>
        <v>89301000</v>
      </c>
      <c r="C247" s="1">
        <v>44474</v>
      </c>
      <c r="D247" s="1">
        <v>44475</v>
      </c>
      <c r="E247">
        <v>1</v>
      </c>
      <c r="F247" t="s">
        <v>322</v>
      </c>
      <c r="G247" t="str">
        <f>"08-K06-01"</f>
        <v>08-K06-01</v>
      </c>
      <c r="H247">
        <v>0.71699999999999997</v>
      </c>
      <c r="J247" t="s">
        <v>14</v>
      </c>
      <c r="K247" t="str">
        <f>"3F1"</f>
        <v>3F1</v>
      </c>
      <c r="L247" t="s">
        <v>15</v>
      </c>
    </row>
    <row r="248" spans="1:12" x14ac:dyDescent="0.25">
      <c r="A248" t="str">
        <f>"0309264857"</f>
        <v>0309264857</v>
      </c>
      <c r="B248" t="str">
        <f t="shared" si="3"/>
        <v>89301000</v>
      </c>
      <c r="C248" s="1">
        <v>44306</v>
      </c>
      <c r="D248" s="1">
        <v>44309</v>
      </c>
      <c r="E248">
        <v>1</v>
      </c>
      <c r="F248" t="s">
        <v>322</v>
      </c>
      <c r="G248" t="str">
        <f>"08-K06-01"</f>
        <v>08-K06-01</v>
      </c>
      <c r="H248">
        <v>1.4512</v>
      </c>
      <c r="J248" t="s">
        <v>14</v>
      </c>
      <c r="K248" t="str">
        <f>"3F1"</f>
        <v>3F1</v>
      </c>
      <c r="L248" t="s">
        <v>15</v>
      </c>
    </row>
    <row r="249" spans="1:12" x14ac:dyDescent="0.25">
      <c r="A249" t="str">
        <f>"0309264857"</f>
        <v>0309264857</v>
      </c>
      <c r="B249" t="str">
        <f t="shared" si="3"/>
        <v>89301000</v>
      </c>
      <c r="C249" s="1">
        <v>44218</v>
      </c>
      <c r="D249" s="1">
        <v>44221</v>
      </c>
      <c r="E249">
        <v>6</v>
      </c>
      <c r="F249" t="s">
        <v>322</v>
      </c>
      <c r="G249" t="str">
        <f>"08-K06-01"</f>
        <v>08-K06-01</v>
      </c>
      <c r="H249">
        <v>1.4512</v>
      </c>
      <c r="J249" t="s">
        <v>14</v>
      </c>
      <c r="K249" t="str">
        <f>"3T1"</f>
        <v>3T1</v>
      </c>
      <c r="L249" t="s">
        <v>15</v>
      </c>
    </row>
    <row r="250" spans="1:12" x14ac:dyDescent="0.25">
      <c r="A250" t="str">
        <f>"0309275703"</f>
        <v>0309275703</v>
      </c>
      <c r="B250" t="str">
        <f t="shared" si="3"/>
        <v>89301000</v>
      </c>
      <c r="C250" s="1">
        <v>44516</v>
      </c>
      <c r="D250" s="1">
        <v>44518</v>
      </c>
      <c r="E250">
        <v>1</v>
      </c>
      <c r="F250" t="s">
        <v>323</v>
      </c>
      <c r="G250" t="str">
        <f>"06-K06-02"</f>
        <v>06-K06-02</v>
      </c>
      <c r="H250">
        <v>0.69359999999999999</v>
      </c>
      <c r="J250" t="s">
        <v>14</v>
      </c>
      <c r="K250" t="str">
        <f>"3F1"</f>
        <v>3F1</v>
      </c>
      <c r="L250" t="s">
        <v>15</v>
      </c>
    </row>
    <row r="251" spans="1:12" x14ac:dyDescent="0.25">
      <c r="A251" t="str">
        <f>"0309275703"</f>
        <v>0309275703</v>
      </c>
      <c r="B251" t="str">
        <f t="shared" si="3"/>
        <v>89301000</v>
      </c>
      <c r="C251" s="1">
        <v>44204</v>
      </c>
      <c r="D251" s="1">
        <v>44205</v>
      </c>
      <c r="E251">
        <v>1</v>
      </c>
      <c r="F251" t="s">
        <v>324</v>
      </c>
      <c r="G251" t="str">
        <f>"06-K01-03"</f>
        <v>06-K01-03</v>
      </c>
      <c r="H251">
        <v>0.53969999999999996</v>
      </c>
      <c r="I251" t="s">
        <v>325</v>
      </c>
      <c r="J251" t="s">
        <v>14</v>
      </c>
      <c r="K251" t="str">
        <f>"3F1"</f>
        <v>3F1</v>
      </c>
      <c r="L251" t="s">
        <v>15</v>
      </c>
    </row>
    <row r="252" spans="1:12" x14ac:dyDescent="0.25">
      <c r="A252" t="str">
        <f>"0309305711"</f>
        <v>0309305711</v>
      </c>
      <c r="B252" t="str">
        <f t="shared" si="3"/>
        <v>89301000</v>
      </c>
      <c r="C252" s="1">
        <v>44543</v>
      </c>
      <c r="D252" s="1">
        <v>44544</v>
      </c>
      <c r="E252">
        <v>1</v>
      </c>
      <c r="F252" t="s">
        <v>326</v>
      </c>
      <c r="G252" t="str">
        <f>"02-I11-02"</f>
        <v>02-I11-02</v>
      </c>
      <c r="H252">
        <v>0.64790000000000003</v>
      </c>
      <c r="I252" t="s">
        <v>241</v>
      </c>
      <c r="J252" t="s">
        <v>17</v>
      </c>
      <c r="K252" t="str">
        <f>"5F3"</f>
        <v>5F3</v>
      </c>
      <c r="L252" t="s">
        <v>15</v>
      </c>
    </row>
    <row r="253" spans="1:12" x14ac:dyDescent="0.25">
      <c r="A253" t="str">
        <f>"0310064843"</f>
        <v>0310064843</v>
      </c>
      <c r="B253" t="str">
        <f t="shared" si="3"/>
        <v>89301000</v>
      </c>
      <c r="C253" s="1">
        <v>44517</v>
      </c>
      <c r="D253" s="1">
        <v>44520</v>
      </c>
      <c r="E253">
        <v>1</v>
      </c>
      <c r="F253" t="s">
        <v>327</v>
      </c>
      <c r="G253" t="str">
        <f>"12-I13-01"</f>
        <v>12-I13-01</v>
      </c>
      <c r="H253">
        <v>0.9234</v>
      </c>
      <c r="J253" t="s">
        <v>24</v>
      </c>
      <c r="K253" t="str">
        <f>"3F1"</f>
        <v>3F1</v>
      </c>
      <c r="L253" t="s">
        <v>15</v>
      </c>
    </row>
    <row r="254" spans="1:12" x14ac:dyDescent="0.25">
      <c r="A254" t="str">
        <f>"0310145759"</f>
        <v>0310145759</v>
      </c>
      <c r="B254" t="str">
        <f t="shared" si="3"/>
        <v>89301000</v>
      </c>
      <c r="C254" s="1">
        <v>44518</v>
      </c>
      <c r="D254" s="1">
        <v>44522</v>
      </c>
      <c r="E254">
        <v>1</v>
      </c>
      <c r="F254" t="s">
        <v>29</v>
      </c>
      <c r="G254" t="str">
        <f>"08-M03-04"</f>
        <v>08-M03-04</v>
      </c>
      <c r="H254">
        <v>0.8609</v>
      </c>
      <c r="I254" t="s">
        <v>30</v>
      </c>
      <c r="J254" t="s">
        <v>14</v>
      </c>
      <c r="K254" t="str">
        <f>"5F3"</f>
        <v>5F3</v>
      </c>
      <c r="L254" t="s">
        <v>15</v>
      </c>
    </row>
    <row r="255" spans="1:12" x14ac:dyDescent="0.25">
      <c r="A255" t="str">
        <f>"0310205720"</f>
        <v>0310205720</v>
      </c>
      <c r="B255" t="str">
        <f t="shared" ref="B255:B317" si="4">"89301000"</f>
        <v>89301000</v>
      </c>
      <c r="C255" s="1">
        <v>44304</v>
      </c>
      <c r="D255" s="1">
        <v>44307</v>
      </c>
      <c r="E255">
        <v>1</v>
      </c>
      <c r="F255" t="s">
        <v>328</v>
      </c>
      <c r="G255" t="str">
        <f>"05-K13-02"</f>
        <v>05-K13-02</v>
      </c>
      <c r="H255">
        <v>0.60950000000000004</v>
      </c>
      <c r="I255" t="s">
        <v>329</v>
      </c>
      <c r="J255" t="s">
        <v>14</v>
      </c>
      <c r="K255" t="str">
        <f>"3F1"</f>
        <v>3F1</v>
      </c>
      <c r="L255" t="s">
        <v>15</v>
      </c>
    </row>
    <row r="256" spans="1:12" x14ac:dyDescent="0.25">
      <c r="A256" t="str">
        <f>"0310216148"</f>
        <v>0310216148</v>
      </c>
      <c r="B256" t="str">
        <f t="shared" si="4"/>
        <v>89301000</v>
      </c>
      <c r="C256" s="1">
        <v>44543</v>
      </c>
      <c r="D256" s="1">
        <v>44545</v>
      </c>
      <c r="E256">
        <v>1</v>
      </c>
      <c r="F256" t="s">
        <v>139</v>
      </c>
      <c r="G256" t="str">
        <f>"07-K11-03"</f>
        <v>07-K11-03</v>
      </c>
      <c r="H256">
        <v>0.41060000000000002</v>
      </c>
      <c r="J256" t="s">
        <v>14</v>
      </c>
      <c r="K256" t="str">
        <f>"3F1"</f>
        <v>3F1</v>
      </c>
      <c r="L256" t="s">
        <v>15</v>
      </c>
    </row>
    <row r="257" spans="1:12" x14ac:dyDescent="0.25">
      <c r="A257" t="str">
        <f>"0311066206"</f>
        <v>0311066206</v>
      </c>
      <c r="B257" t="str">
        <f t="shared" si="4"/>
        <v>89301000</v>
      </c>
      <c r="C257" s="1">
        <v>44354</v>
      </c>
      <c r="D257" s="1">
        <v>44356</v>
      </c>
      <c r="E257">
        <v>1</v>
      </c>
      <c r="F257" t="s">
        <v>174</v>
      </c>
      <c r="G257" t="str">
        <f>"12-I14-00"</f>
        <v>12-I14-00</v>
      </c>
      <c r="H257">
        <v>0.44350000000000001</v>
      </c>
      <c r="J257" t="s">
        <v>14</v>
      </c>
      <c r="K257" t="str">
        <f>"3F1"</f>
        <v>3F1</v>
      </c>
      <c r="L257" t="s">
        <v>15</v>
      </c>
    </row>
    <row r="258" spans="1:12" x14ac:dyDescent="0.25">
      <c r="A258" t="str">
        <f>"0311074841"</f>
        <v>0311074841</v>
      </c>
      <c r="B258" t="str">
        <f t="shared" si="4"/>
        <v>89301000</v>
      </c>
      <c r="C258" s="1">
        <v>44416</v>
      </c>
      <c r="D258" s="1">
        <v>44420</v>
      </c>
      <c r="E258">
        <v>1</v>
      </c>
      <c r="F258" t="s">
        <v>189</v>
      </c>
      <c r="G258" t="str">
        <f>"03-I15-00"</f>
        <v>03-I15-00</v>
      </c>
      <c r="H258">
        <v>0.97689999999999999</v>
      </c>
      <c r="J258" t="s">
        <v>24</v>
      </c>
      <c r="K258" t="str">
        <f>"7F1"</f>
        <v>7F1</v>
      </c>
      <c r="L258" t="s">
        <v>15</v>
      </c>
    </row>
    <row r="259" spans="1:12" x14ac:dyDescent="0.25">
      <c r="A259" t="str">
        <f>"0311155702"</f>
        <v>0311155702</v>
      </c>
      <c r="B259" t="str">
        <f t="shared" si="4"/>
        <v>89301000</v>
      </c>
      <c r="C259" s="1">
        <v>44515</v>
      </c>
      <c r="D259" s="1">
        <v>44553</v>
      </c>
      <c r="E259">
        <v>1</v>
      </c>
      <c r="F259" t="s">
        <v>257</v>
      </c>
      <c r="G259" t="str">
        <f>"19-K08-02"</f>
        <v>19-K08-02</v>
      </c>
      <c r="H259">
        <v>4.1917</v>
      </c>
      <c r="J259" t="s">
        <v>27</v>
      </c>
      <c r="K259" t="str">
        <f>"3F5"</f>
        <v>3F5</v>
      </c>
      <c r="L259" t="s">
        <v>15</v>
      </c>
    </row>
    <row r="260" spans="1:12" x14ac:dyDescent="0.25">
      <c r="A260" t="str">
        <f>"0311274854"</f>
        <v>0311274854</v>
      </c>
      <c r="B260" t="str">
        <f t="shared" si="4"/>
        <v>89301000</v>
      </c>
      <c r="C260" s="1">
        <v>44556</v>
      </c>
      <c r="D260" s="1">
        <v>44558</v>
      </c>
      <c r="E260">
        <v>1</v>
      </c>
      <c r="F260" t="s">
        <v>173</v>
      </c>
      <c r="G260" t="str">
        <f>"08-I32-02"</f>
        <v>08-I32-02</v>
      </c>
      <c r="H260">
        <v>0.4143</v>
      </c>
      <c r="J260" t="s">
        <v>14</v>
      </c>
      <c r="K260" t="str">
        <f>"6F6"</f>
        <v>6F6</v>
      </c>
      <c r="L260" t="s">
        <v>15</v>
      </c>
    </row>
    <row r="261" spans="1:12" x14ac:dyDescent="0.25">
      <c r="A261" t="str">
        <f>"0312115716"</f>
        <v>0312115716</v>
      </c>
      <c r="B261" t="str">
        <f t="shared" si="4"/>
        <v>89301000</v>
      </c>
      <c r="C261" s="1">
        <v>44235</v>
      </c>
      <c r="D261" s="1">
        <v>44239</v>
      </c>
      <c r="E261">
        <v>1</v>
      </c>
      <c r="F261" t="s">
        <v>70</v>
      </c>
      <c r="G261" t="str">
        <f>"09-K14-02"</f>
        <v>09-K14-02</v>
      </c>
      <c r="H261">
        <v>0.50549999999999995</v>
      </c>
      <c r="J261" t="s">
        <v>14</v>
      </c>
      <c r="K261" t="str">
        <f>"4F4"</f>
        <v>4F4</v>
      </c>
      <c r="L261" t="s">
        <v>15</v>
      </c>
    </row>
    <row r="262" spans="1:12" x14ac:dyDescent="0.25">
      <c r="A262" t="str">
        <f>"0312125726"</f>
        <v>0312125726</v>
      </c>
      <c r="B262" t="str">
        <f t="shared" si="4"/>
        <v>89301000</v>
      </c>
      <c r="C262" s="1">
        <v>44545</v>
      </c>
      <c r="D262" s="1">
        <v>44548</v>
      </c>
      <c r="E262">
        <v>1</v>
      </c>
      <c r="F262" t="s">
        <v>330</v>
      </c>
      <c r="G262" t="str">
        <f>"11-I17-03"</f>
        <v>11-I17-03</v>
      </c>
      <c r="H262">
        <v>0.50609999999999999</v>
      </c>
      <c r="I262" t="s">
        <v>163</v>
      </c>
      <c r="J262" t="s">
        <v>14</v>
      </c>
      <c r="K262" t="str">
        <f>"7F6"</f>
        <v>7F6</v>
      </c>
      <c r="L262" t="s">
        <v>15</v>
      </c>
    </row>
    <row r="263" spans="1:12" x14ac:dyDescent="0.25">
      <c r="A263" t="str">
        <f>"0312254844"</f>
        <v>0312254844</v>
      </c>
      <c r="B263" t="str">
        <f t="shared" si="4"/>
        <v>89301000</v>
      </c>
      <c r="C263" s="1">
        <v>44497</v>
      </c>
      <c r="D263" s="1">
        <v>44499</v>
      </c>
      <c r="E263">
        <v>1</v>
      </c>
      <c r="F263" t="s">
        <v>278</v>
      </c>
      <c r="G263" t="str">
        <f>"21-K05-03"</f>
        <v>21-K05-03</v>
      </c>
      <c r="H263">
        <v>0.46750000000000003</v>
      </c>
      <c r="I263" t="s">
        <v>331</v>
      </c>
      <c r="J263" t="s">
        <v>14</v>
      </c>
      <c r="K263" t="str">
        <f>"3F1"</f>
        <v>3F1</v>
      </c>
      <c r="L263" t="s">
        <v>15</v>
      </c>
    </row>
    <row r="264" spans="1:12" x14ac:dyDescent="0.25">
      <c r="A264" t="str">
        <f>"0312295709"</f>
        <v>0312295709</v>
      </c>
      <c r="B264" t="str">
        <f t="shared" si="4"/>
        <v>89301000</v>
      </c>
      <c r="C264" s="1">
        <v>44403</v>
      </c>
      <c r="D264" s="1">
        <v>44417</v>
      </c>
      <c r="E264">
        <v>1</v>
      </c>
      <c r="F264" t="s">
        <v>332</v>
      </c>
      <c r="G264" t="str">
        <f>"07-K02-02"</f>
        <v>07-K02-02</v>
      </c>
      <c r="H264">
        <v>1.4137</v>
      </c>
      <c r="J264" t="s">
        <v>14</v>
      </c>
      <c r="K264" t="str">
        <f>"3F1"</f>
        <v>3F1</v>
      </c>
      <c r="L264" t="s">
        <v>15</v>
      </c>
    </row>
    <row r="265" spans="1:12" x14ac:dyDescent="0.25">
      <c r="A265" t="str">
        <f>"0312295709"</f>
        <v>0312295709</v>
      </c>
      <c r="B265" t="str">
        <f t="shared" si="4"/>
        <v>89301000</v>
      </c>
      <c r="C265" s="1">
        <v>44462</v>
      </c>
      <c r="D265" s="1">
        <v>44463</v>
      </c>
      <c r="E265">
        <v>1</v>
      </c>
      <c r="F265" t="s">
        <v>333</v>
      </c>
      <c r="G265" t="str">
        <f>"07-K11-02"</f>
        <v>07-K11-02</v>
      </c>
      <c r="H265">
        <v>0.70899999999999996</v>
      </c>
      <c r="J265" t="s">
        <v>14</v>
      </c>
      <c r="K265" t="str">
        <f>"3F1"</f>
        <v>3F1</v>
      </c>
      <c r="L265" t="s">
        <v>15</v>
      </c>
    </row>
    <row r="266" spans="1:12" x14ac:dyDescent="0.25">
      <c r="A266" t="str">
        <f>"0352045705"</f>
        <v>0352045705</v>
      </c>
      <c r="B266" t="str">
        <f t="shared" si="4"/>
        <v>89301000</v>
      </c>
      <c r="C266" s="1">
        <v>44381</v>
      </c>
      <c r="D266" s="1">
        <v>44383</v>
      </c>
      <c r="E266">
        <v>1</v>
      </c>
      <c r="F266" t="s">
        <v>287</v>
      </c>
      <c r="G266" t="str">
        <f>"01-K16-06"</f>
        <v>01-K16-06</v>
      </c>
      <c r="H266">
        <v>0.26469999999999999</v>
      </c>
      <c r="I266" t="s">
        <v>244</v>
      </c>
      <c r="J266" t="s">
        <v>14</v>
      </c>
      <c r="K266" t="str">
        <f>"5F3"</f>
        <v>5F3</v>
      </c>
      <c r="L266" t="s">
        <v>15</v>
      </c>
    </row>
    <row r="267" spans="1:12" x14ac:dyDescent="0.25">
      <c r="A267" t="str">
        <f>"0353205721"</f>
        <v>0353205721</v>
      </c>
      <c r="B267" t="str">
        <f t="shared" si="4"/>
        <v>89301000</v>
      </c>
      <c r="C267" s="1">
        <v>44377</v>
      </c>
      <c r="D267" s="1">
        <v>44380</v>
      </c>
      <c r="E267">
        <v>1</v>
      </c>
      <c r="F267" t="s">
        <v>334</v>
      </c>
      <c r="G267" t="str">
        <f>"06-K03-03"</f>
        <v>06-K03-03</v>
      </c>
      <c r="H267">
        <v>0.44019999999999998</v>
      </c>
      <c r="I267" t="s">
        <v>152</v>
      </c>
      <c r="J267" t="s">
        <v>14</v>
      </c>
      <c r="K267" t="str">
        <f>"3F1"</f>
        <v>3F1</v>
      </c>
      <c r="L267" t="s">
        <v>15</v>
      </c>
    </row>
    <row r="268" spans="1:12" x14ac:dyDescent="0.25">
      <c r="A268" t="str">
        <f>"0353215709"</f>
        <v>0353215709</v>
      </c>
      <c r="B268" t="str">
        <f t="shared" si="4"/>
        <v>89301000</v>
      </c>
      <c r="C268" s="1">
        <v>44376</v>
      </c>
      <c r="D268" s="1">
        <v>44378</v>
      </c>
      <c r="E268">
        <v>1</v>
      </c>
      <c r="F268" t="s">
        <v>40</v>
      </c>
      <c r="G268" t="str">
        <f>"06-K03-03"</f>
        <v>06-K03-03</v>
      </c>
      <c r="H268">
        <v>0.44019999999999998</v>
      </c>
      <c r="J268" t="s">
        <v>14</v>
      </c>
      <c r="K268" t="str">
        <f>"3F1"</f>
        <v>3F1</v>
      </c>
      <c r="L268" t="s">
        <v>15</v>
      </c>
    </row>
    <row r="269" spans="1:12" x14ac:dyDescent="0.25">
      <c r="A269" t="str">
        <f>"0354125728"</f>
        <v>0354125728</v>
      </c>
      <c r="B269" t="str">
        <f t="shared" si="4"/>
        <v>89301000</v>
      </c>
      <c r="C269" s="1">
        <v>44209</v>
      </c>
      <c r="D269" s="1">
        <v>44214</v>
      </c>
      <c r="E269">
        <v>1</v>
      </c>
      <c r="F269" t="s">
        <v>335</v>
      </c>
      <c r="G269" t="str">
        <f>"07-I10-06"</f>
        <v>07-I10-06</v>
      </c>
      <c r="H269">
        <v>0.9728</v>
      </c>
      <c r="I269" t="s">
        <v>168</v>
      </c>
      <c r="J269" t="s">
        <v>17</v>
      </c>
      <c r="K269" t="str">
        <f>"3F1"</f>
        <v>3F1</v>
      </c>
      <c r="L269" t="s">
        <v>15</v>
      </c>
    </row>
    <row r="270" spans="1:12" x14ac:dyDescent="0.25">
      <c r="A270" t="str">
        <f>"0354145704"</f>
        <v>0354145704</v>
      </c>
      <c r="B270" t="str">
        <f t="shared" si="4"/>
        <v>89301000</v>
      </c>
      <c r="C270" s="1">
        <v>44259</v>
      </c>
      <c r="D270" s="1">
        <v>44261</v>
      </c>
      <c r="E270">
        <v>1</v>
      </c>
      <c r="F270" t="s">
        <v>336</v>
      </c>
      <c r="G270" t="str">
        <f>"14-I08-03"</f>
        <v>14-I08-03</v>
      </c>
      <c r="H270">
        <v>0.21099999999999999</v>
      </c>
      <c r="J270" t="s">
        <v>14</v>
      </c>
      <c r="K270" t="str">
        <f>"6F3"</f>
        <v>6F3</v>
      </c>
      <c r="L270" t="s">
        <v>15</v>
      </c>
    </row>
    <row r="271" spans="1:12" x14ac:dyDescent="0.25">
      <c r="A271" t="str">
        <f>"0354265703"</f>
        <v>0354265703</v>
      </c>
      <c r="B271" t="str">
        <f t="shared" si="4"/>
        <v>89301000</v>
      </c>
      <c r="C271" s="1">
        <v>44366</v>
      </c>
      <c r="D271" s="1">
        <v>44368</v>
      </c>
      <c r="E271">
        <v>1</v>
      </c>
      <c r="F271" t="s">
        <v>316</v>
      </c>
      <c r="G271" t="str">
        <f>"01-K16-02"</f>
        <v>01-K16-02</v>
      </c>
      <c r="H271">
        <v>1.0797000000000001</v>
      </c>
      <c r="I271" t="s">
        <v>337</v>
      </c>
      <c r="J271" t="s">
        <v>14</v>
      </c>
      <c r="K271" t="str">
        <f>"3F1"</f>
        <v>3F1</v>
      </c>
      <c r="L271" t="s">
        <v>15</v>
      </c>
    </row>
    <row r="272" spans="1:12" x14ac:dyDescent="0.25">
      <c r="A272" t="str">
        <f>"0355015727"</f>
        <v>0355015727</v>
      </c>
      <c r="B272" t="str">
        <f t="shared" si="4"/>
        <v>89301000</v>
      </c>
      <c r="C272" s="1">
        <v>44445</v>
      </c>
      <c r="D272" s="1">
        <v>44447</v>
      </c>
      <c r="E272">
        <v>1</v>
      </c>
      <c r="F272" t="s">
        <v>338</v>
      </c>
      <c r="G272" t="str">
        <f>"16-K04-01"</f>
        <v>16-K04-01</v>
      </c>
      <c r="H272">
        <v>1.3260000000000001</v>
      </c>
      <c r="I272" t="s">
        <v>339</v>
      </c>
      <c r="J272" t="s">
        <v>14</v>
      </c>
      <c r="K272" t="str">
        <f>"3F1"</f>
        <v>3F1</v>
      </c>
      <c r="L272" t="s">
        <v>15</v>
      </c>
    </row>
    <row r="273" spans="1:12" x14ac:dyDescent="0.25">
      <c r="A273" t="str">
        <f>"0355124473"</f>
        <v>0355124473</v>
      </c>
      <c r="B273" t="str">
        <f t="shared" si="4"/>
        <v>89301000</v>
      </c>
      <c r="C273" s="1">
        <v>44214</v>
      </c>
      <c r="D273" s="1">
        <v>44215</v>
      </c>
      <c r="E273">
        <v>1</v>
      </c>
      <c r="F273" t="s">
        <v>340</v>
      </c>
      <c r="G273" t="str">
        <f>"08-K04-02"</f>
        <v>08-K04-02</v>
      </c>
      <c r="H273">
        <v>0.48820000000000002</v>
      </c>
      <c r="J273" t="s">
        <v>14</v>
      </c>
      <c r="K273" t="str">
        <f>"6F6"</f>
        <v>6F6</v>
      </c>
      <c r="L273" t="s">
        <v>15</v>
      </c>
    </row>
    <row r="274" spans="1:12" x14ac:dyDescent="0.25">
      <c r="A274" t="str">
        <f>"0355124473"</f>
        <v>0355124473</v>
      </c>
      <c r="B274" t="str">
        <f t="shared" si="4"/>
        <v>89301000</v>
      </c>
      <c r="C274" s="1">
        <v>44224</v>
      </c>
      <c r="D274" s="1">
        <v>44228</v>
      </c>
      <c r="E274">
        <v>1</v>
      </c>
      <c r="F274" t="s">
        <v>340</v>
      </c>
      <c r="G274" t="str">
        <f>"08-I26-01"</f>
        <v>08-I26-01</v>
      </c>
      <c r="H274">
        <v>1.1701999999999999</v>
      </c>
      <c r="J274" t="s">
        <v>14</v>
      </c>
      <c r="K274" t="str">
        <f>"6F6"</f>
        <v>6F6</v>
      </c>
      <c r="L274" t="s">
        <v>15</v>
      </c>
    </row>
    <row r="275" spans="1:12" x14ac:dyDescent="0.25">
      <c r="A275" t="str">
        <f>"0355255725"</f>
        <v>0355255725</v>
      </c>
      <c r="B275" t="str">
        <f t="shared" si="4"/>
        <v>89301000</v>
      </c>
      <c r="C275" s="1">
        <v>44333</v>
      </c>
      <c r="D275" s="1">
        <v>44335</v>
      </c>
      <c r="E275">
        <v>1</v>
      </c>
      <c r="F275" t="s">
        <v>75</v>
      </c>
      <c r="G275" t="str">
        <f>"14-M01-05"</f>
        <v>14-M01-05</v>
      </c>
      <c r="H275">
        <v>0.54239999999999999</v>
      </c>
      <c r="I275" t="s">
        <v>256</v>
      </c>
      <c r="J275" t="s">
        <v>59</v>
      </c>
      <c r="K275" t="str">
        <f>"6F3"</f>
        <v>6F3</v>
      </c>
      <c r="L275" t="s">
        <v>15</v>
      </c>
    </row>
    <row r="276" spans="1:12" x14ac:dyDescent="0.25">
      <c r="A276" t="str">
        <f>"0356046174"</f>
        <v>0356046174</v>
      </c>
      <c r="B276" t="str">
        <f t="shared" si="4"/>
        <v>89301000</v>
      </c>
      <c r="C276" s="1">
        <v>44442</v>
      </c>
      <c r="D276" s="1">
        <v>44447</v>
      </c>
      <c r="E276">
        <v>1</v>
      </c>
      <c r="F276" t="s">
        <v>341</v>
      </c>
      <c r="G276" t="str">
        <f>"06-K21-03"</f>
        <v>06-K21-03</v>
      </c>
      <c r="H276">
        <v>0.44429999999999997</v>
      </c>
      <c r="J276" t="s">
        <v>14</v>
      </c>
      <c r="K276" t="str">
        <f>"5F1"</f>
        <v>5F1</v>
      </c>
      <c r="L276" t="s">
        <v>15</v>
      </c>
    </row>
    <row r="277" spans="1:12" x14ac:dyDescent="0.25">
      <c r="A277" t="str">
        <f>"0356275711"</f>
        <v>0356275711</v>
      </c>
      <c r="B277" t="str">
        <f t="shared" si="4"/>
        <v>89301000</v>
      </c>
      <c r="C277" s="1">
        <v>44432</v>
      </c>
      <c r="D277" s="1">
        <v>44453</v>
      </c>
      <c r="E277">
        <v>1</v>
      </c>
      <c r="F277" t="s">
        <v>77</v>
      </c>
      <c r="G277" t="str">
        <f>"19-K05-02"</f>
        <v>19-K05-02</v>
      </c>
      <c r="H277">
        <v>1.8835999999999999</v>
      </c>
      <c r="I277" t="s">
        <v>342</v>
      </c>
      <c r="J277" t="s">
        <v>27</v>
      </c>
      <c r="K277" t="str">
        <f>"3F5"</f>
        <v>3F5</v>
      </c>
      <c r="L277" t="s">
        <v>15</v>
      </c>
    </row>
    <row r="278" spans="1:12" x14ac:dyDescent="0.25">
      <c r="A278" t="str">
        <f>"0357175742"</f>
        <v>0357175742</v>
      </c>
      <c r="B278" t="str">
        <f t="shared" si="4"/>
        <v>89301000</v>
      </c>
      <c r="C278" s="1">
        <v>44378</v>
      </c>
      <c r="D278" s="1">
        <v>44389</v>
      </c>
      <c r="E278">
        <v>1</v>
      </c>
      <c r="F278" t="s">
        <v>60</v>
      </c>
      <c r="G278" t="str">
        <f>"14-K03-02"</f>
        <v>14-K03-02</v>
      </c>
      <c r="H278">
        <v>0.4229</v>
      </c>
      <c r="J278" t="s">
        <v>14</v>
      </c>
      <c r="K278" t="str">
        <f>"6F3"</f>
        <v>6F3</v>
      </c>
      <c r="L278" t="s">
        <v>15</v>
      </c>
    </row>
    <row r="279" spans="1:12" x14ac:dyDescent="0.25">
      <c r="A279" t="str">
        <f>"0357175742"</f>
        <v>0357175742</v>
      </c>
      <c r="B279" t="str">
        <f t="shared" si="4"/>
        <v>89301000</v>
      </c>
      <c r="C279" s="1">
        <v>44440</v>
      </c>
      <c r="D279" s="1">
        <v>44443</v>
      </c>
      <c r="E279">
        <v>1</v>
      </c>
      <c r="F279" t="s">
        <v>75</v>
      </c>
      <c r="G279" t="str">
        <f>"14-M01-05"</f>
        <v>14-M01-05</v>
      </c>
      <c r="H279">
        <v>0.54239999999999999</v>
      </c>
      <c r="I279" t="s">
        <v>76</v>
      </c>
      <c r="J279" t="s">
        <v>59</v>
      </c>
      <c r="K279" t="str">
        <f>"6F3"</f>
        <v>6F3</v>
      </c>
      <c r="L279" t="s">
        <v>15</v>
      </c>
    </row>
    <row r="280" spans="1:12" x14ac:dyDescent="0.25">
      <c r="A280" t="str">
        <f>"0357244855"</f>
        <v>0357244855</v>
      </c>
      <c r="B280" t="str">
        <f t="shared" si="4"/>
        <v>89301000</v>
      </c>
      <c r="C280" s="1">
        <v>44322</v>
      </c>
      <c r="D280" s="1">
        <v>44326</v>
      </c>
      <c r="E280">
        <v>1</v>
      </c>
      <c r="F280" t="s">
        <v>70</v>
      </c>
      <c r="G280" t="str">
        <f>"09-K14-02"</f>
        <v>09-K14-02</v>
      </c>
      <c r="H280">
        <v>0.50549999999999995</v>
      </c>
      <c r="J280" t="s">
        <v>14</v>
      </c>
      <c r="K280" t="str">
        <f>"4F4"</f>
        <v>4F4</v>
      </c>
      <c r="L280" t="s">
        <v>15</v>
      </c>
    </row>
    <row r="281" spans="1:12" x14ac:dyDescent="0.25">
      <c r="A281" t="str">
        <f>"0358044841"</f>
        <v>0358044841</v>
      </c>
      <c r="B281" t="str">
        <f t="shared" si="4"/>
        <v>89301000</v>
      </c>
      <c r="C281" s="1">
        <v>44206</v>
      </c>
      <c r="D281" s="1">
        <v>44208</v>
      </c>
      <c r="E281">
        <v>1</v>
      </c>
      <c r="F281" t="s">
        <v>343</v>
      </c>
      <c r="G281" t="str">
        <f>"11-M05-02"</f>
        <v>11-M05-02</v>
      </c>
      <c r="H281">
        <v>0.65690000000000004</v>
      </c>
      <c r="I281" t="s">
        <v>344</v>
      </c>
      <c r="J281" t="s">
        <v>17</v>
      </c>
      <c r="K281" t="str">
        <f>"3F1"</f>
        <v>3F1</v>
      </c>
      <c r="L281" t="s">
        <v>15</v>
      </c>
    </row>
    <row r="282" spans="1:12" x14ac:dyDescent="0.25">
      <c r="A282" t="str">
        <f>"0358145700"</f>
        <v>0358145700</v>
      </c>
      <c r="B282" t="str">
        <f t="shared" si="4"/>
        <v>89301000</v>
      </c>
      <c r="C282" s="1">
        <v>44494</v>
      </c>
      <c r="D282" s="1">
        <v>44498</v>
      </c>
      <c r="E282">
        <v>1</v>
      </c>
      <c r="F282" t="s">
        <v>266</v>
      </c>
      <c r="G282" t="str">
        <f>"13-I14-03"</f>
        <v>13-I14-03</v>
      </c>
      <c r="H282">
        <v>0.83199999999999996</v>
      </c>
      <c r="J282" t="s">
        <v>24</v>
      </c>
      <c r="K282" t="str">
        <f>"6F3"</f>
        <v>6F3</v>
      </c>
      <c r="L282" t="s">
        <v>15</v>
      </c>
    </row>
    <row r="283" spans="1:12" x14ac:dyDescent="0.25">
      <c r="A283" t="str">
        <f>"0358286148"</f>
        <v>0358286148</v>
      </c>
      <c r="B283" t="str">
        <f t="shared" si="4"/>
        <v>89301000</v>
      </c>
      <c r="C283" s="1">
        <v>44343</v>
      </c>
      <c r="D283" s="1">
        <v>44345</v>
      </c>
      <c r="E283">
        <v>1</v>
      </c>
      <c r="F283" t="s">
        <v>266</v>
      </c>
      <c r="G283" t="str">
        <f>"13-K02-00"</f>
        <v>13-K02-00</v>
      </c>
      <c r="H283">
        <v>0.24079999999999999</v>
      </c>
      <c r="J283" t="s">
        <v>14</v>
      </c>
      <c r="K283" t="str">
        <f>"6F3"</f>
        <v>6F3</v>
      </c>
      <c r="L283" t="s">
        <v>15</v>
      </c>
    </row>
    <row r="284" spans="1:12" x14ac:dyDescent="0.25">
      <c r="A284" t="str">
        <f>"0358286148"</f>
        <v>0358286148</v>
      </c>
      <c r="B284" t="str">
        <f t="shared" si="4"/>
        <v>89301000</v>
      </c>
      <c r="C284" s="1">
        <v>44512</v>
      </c>
      <c r="D284" s="1">
        <v>44514</v>
      </c>
      <c r="E284">
        <v>1</v>
      </c>
      <c r="F284" t="s">
        <v>74</v>
      </c>
      <c r="G284" t="str">
        <f>"14-K03-02"</f>
        <v>14-K03-02</v>
      </c>
      <c r="H284">
        <v>0.2646</v>
      </c>
      <c r="J284" t="s">
        <v>14</v>
      </c>
      <c r="K284" t="str">
        <f>"6F3"</f>
        <v>6F3</v>
      </c>
      <c r="L284" t="s">
        <v>15</v>
      </c>
    </row>
    <row r="285" spans="1:12" x14ac:dyDescent="0.25">
      <c r="A285" t="str">
        <f>"0359135711"</f>
        <v>0359135711</v>
      </c>
      <c r="B285" t="str">
        <f t="shared" si="4"/>
        <v>89301000</v>
      </c>
      <c r="C285" s="1">
        <v>44217</v>
      </c>
      <c r="D285" s="1">
        <v>44221</v>
      </c>
      <c r="E285">
        <v>1</v>
      </c>
      <c r="F285" t="s">
        <v>70</v>
      </c>
      <c r="G285" t="str">
        <f>"09-K14-02"</f>
        <v>09-K14-02</v>
      </c>
      <c r="H285">
        <v>0.50549999999999995</v>
      </c>
      <c r="J285" t="s">
        <v>14</v>
      </c>
      <c r="K285" t="str">
        <f>"4F4"</f>
        <v>4F4</v>
      </c>
      <c r="L285" t="s">
        <v>15</v>
      </c>
    </row>
    <row r="286" spans="1:12" x14ac:dyDescent="0.25">
      <c r="A286" t="str">
        <f>"0359145743"</f>
        <v>0359145743</v>
      </c>
      <c r="B286" t="str">
        <f t="shared" si="4"/>
        <v>89301000</v>
      </c>
      <c r="C286" s="1">
        <v>44213</v>
      </c>
      <c r="D286" s="1">
        <v>44221</v>
      </c>
      <c r="E286">
        <v>1</v>
      </c>
      <c r="F286" t="s">
        <v>345</v>
      </c>
      <c r="G286" t="str">
        <f>"11-K02-02"</f>
        <v>11-K02-02</v>
      </c>
      <c r="H286">
        <v>1.2910999999999999</v>
      </c>
      <c r="I286" t="s">
        <v>346</v>
      </c>
      <c r="J286" t="s">
        <v>14</v>
      </c>
      <c r="K286" t="str">
        <f>"3F1"</f>
        <v>3F1</v>
      </c>
      <c r="L286" t="s">
        <v>15</v>
      </c>
    </row>
    <row r="287" spans="1:12" x14ac:dyDescent="0.25">
      <c r="A287" t="str">
        <f>"0360085726"</f>
        <v>0360085726</v>
      </c>
      <c r="B287" t="str">
        <f t="shared" si="4"/>
        <v>89301000</v>
      </c>
      <c r="C287" s="1">
        <v>44447</v>
      </c>
      <c r="D287" s="1">
        <v>44448</v>
      </c>
      <c r="E287">
        <v>1</v>
      </c>
      <c r="F287" t="s">
        <v>75</v>
      </c>
      <c r="G287" t="str">
        <f>"14-M01-05"</f>
        <v>14-M01-05</v>
      </c>
      <c r="H287">
        <v>0.54239999999999999</v>
      </c>
      <c r="I287" t="s">
        <v>76</v>
      </c>
      <c r="J287" t="s">
        <v>59</v>
      </c>
      <c r="K287" t="str">
        <f>"6F3"</f>
        <v>6F3</v>
      </c>
      <c r="L287" t="s">
        <v>15</v>
      </c>
    </row>
    <row r="288" spans="1:12" x14ac:dyDescent="0.25">
      <c r="A288" t="str">
        <f>"0360145786"</f>
        <v>0360145786</v>
      </c>
      <c r="B288" t="str">
        <f t="shared" si="4"/>
        <v>89301000</v>
      </c>
      <c r="C288" s="1">
        <v>44504</v>
      </c>
      <c r="D288" s="1">
        <v>44509</v>
      </c>
      <c r="E288">
        <v>1</v>
      </c>
      <c r="F288" t="s">
        <v>347</v>
      </c>
      <c r="G288" t="str">
        <f>"88-I11-00"</f>
        <v>88-I11-00</v>
      </c>
      <c r="H288">
        <v>0.11459999999999999</v>
      </c>
      <c r="I288" t="s">
        <v>348</v>
      </c>
      <c r="J288" t="s">
        <v>14</v>
      </c>
      <c r="K288" t="str">
        <f>"5F1"</f>
        <v>5F1</v>
      </c>
      <c r="L288" t="s">
        <v>15</v>
      </c>
    </row>
    <row r="289" spans="1:12" x14ac:dyDescent="0.25">
      <c r="A289" t="str">
        <f>"0360305704"</f>
        <v>0360305704</v>
      </c>
      <c r="B289" t="str">
        <f t="shared" si="4"/>
        <v>89301000</v>
      </c>
      <c r="C289" s="1">
        <v>44310</v>
      </c>
      <c r="D289" s="1">
        <v>44312</v>
      </c>
      <c r="E289">
        <v>1</v>
      </c>
      <c r="F289" t="s">
        <v>349</v>
      </c>
      <c r="G289" t="str">
        <f>"06-K21-03"</f>
        <v>06-K21-03</v>
      </c>
      <c r="H289">
        <v>0.44429999999999997</v>
      </c>
      <c r="I289" t="s">
        <v>350</v>
      </c>
      <c r="J289" t="s">
        <v>14</v>
      </c>
      <c r="K289" t="str">
        <f>"3F1"</f>
        <v>3F1</v>
      </c>
      <c r="L289" t="s">
        <v>15</v>
      </c>
    </row>
    <row r="290" spans="1:12" x14ac:dyDescent="0.25">
      <c r="A290" t="str">
        <f>"0360305704"</f>
        <v>0360305704</v>
      </c>
      <c r="B290" t="str">
        <f t="shared" si="4"/>
        <v>89301000</v>
      </c>
      <c r="C290" s="1">
        <v>44274</v>
      </c>
      <c r="D290" s="1">
        <v>44284</v>
      </c>
      <c r="E290">
        <v>1</v>
      </c>
      <c r="F290" t="s">
        <v>351</v>
      </c>
      <c r="G290" t="str">
        <f>"10-K04-04"</f>
        <v>10-K04-04</v>
      </c>
      <c r="H290">
        <v>0.56330000000000002</v>
      </c>
      <c r="J290" t="s">
        <v>14</v>
      </c>
      <c r="K290" t="str">
        <f>"3F1"</f>
        <v>3F1</v>
      </c>
      <c r="L290" t="s">
        <v>15</v>
      </c>
    </row>
    <row r="291" spans="1:12" x14ac:dyDescent="0.25">
      <c r="A291" t="str">
        <f>"0362025730"</f>
        <v>0362025730</v>
      </c>
      <c r="B291" t="str">
        <f t="shared" si="4"/>
        <v>89301000</v>
      </c>
      <c r="C291" s="1">
        <v>44507</v>
      </c>
      <c r="D291" s="1">
        <v>44507</v>
      </c>
      <c r="E291">
        <v>1</v>
      </c>
      <c r="F291" t="s">
        <v>352</v>
      </c>
      <c r="G291" t="str">
        <f>"21-K05-04"</f>
        <v>21-K05-04</v>
      </c>
      <c r="H291">
        <v>0.12130000000000001</v>
      </c>
      <c r="I291" t="s">
        <v>353</v>
      </c>
      <c r="J291" t="s">
        <v>14</v>
      </c>
      <c r="K291" t="str">
        <f>"3F1"</f>
        <v>3F1</v>
      </c>
      <c r="L291" t="s">
        <v>15</v>
      </c>
    </row>
    <row r="292" spans="1:12" x14ac:dyDescent="0.25">
      <c r="A292" t="str">
        <f>"0362225699"</f>
        <v>0362225699</v>
      </c>
      <c r="B292" t="str">
        <f t="shared" si="4"/>
        <v>89301000</v>
      </c>
      <c r="C292" s="1">
        <v>44342</v>
      </c>
      <c r="D292" s="1">
        <v>44344</v>
      </c>
      <c r="E292">
        <v>1</v>
      </c>
      <c r="F292" t="s">
        <v>354</v>
      </c>
      <c r="G292" t="str">
        <f>"10-K14-05"</f>
        <v>10-K14-05</v>
      </c>
      <c r="H292">
        <v>0.34639999999999999</v>
      </c>
      <c r="I292" t="s">
        <v>355</v>
      </c>
      <c r="J292" t="s">
        <v>14</v>
      </c>
      <c r="K292" t="str">
        <f>"3F1"</f>
        <v>3F1</v>
      </c>
      <c r="L292" t="s">
        <v>15</v>
      </c>
    </row>
    <row r="293" spans="1:12" x14ac:dyDescent="0.25">
      <c r="A293" t="str">
        <f>"0362254849"</f>
        <v>0362254849</v>
      </c>
      <c r="B293" t="str">
        <f t="shared" si="4"/>
        <v>89301000</v>
      </c>
      <c r="C293" s="1">
        <v>44418</v>
      </c>
      <c r="D293" s="1">
        <v>44422</v>
      </c>
      <c r="E293">
        <v>1</v>
      </c>
      <c r="F293" t="s">
        <v>96</v>
      </c>
      <c r="G293" t="str">
        <f>"11-K01-03"</f>
        <v>11-K01-03</v>
      </c>
      <c r="H293">
        <v>0.59489999999999998</v>
      </c>
      <c r="I293" t="s">
        <v>356</v>
      </c>
      <c r="J293" t="s">
        <v>14</v>
      </c>
      <c r="K293" t="str">
        <f>"3F1"</f>
        <v>3F1</v>
      </c>
      <c r="L293" t="s">
        <v>15</v>
      </c>
    </row>
    <row r="294" spans="1:12" x14ac:dyDescent="0.25">
      <c r="A294" t="str">
        <f>"0401057184"</f>
        <v>0401057184</v>
      </c>
      <c r="B294" t="str">
        <f t="shared" si="4"/>
        <v>89301000</v>
      </c>
      <c r="C294" s="1">
        <v>44434</v>
      </c>
      <c r="D294" s="1">
        <v>44442</v>
      </c>
      <c r="E294">
        <v>1</v>
      </c>
      <c r="F294" t="s">
        <v>357</v>
      </c>
      <c r="G294" t="str">
        <f>"19-K03-03"</f>
        <v>19-K03-03</v>
      </c>
      <c r="H294">
        <v>0.93169999999999997</v>
      </c>
      <c r="I294" t="s">
        <v>358</v>
      </c>
      <c r="J294" t="s">
        <v>27</v>
      </c>
      <c r="K294" t="str">
        <f>"3F5"</f>
        <v>3F5</v>
      </c>
      <c r="L294" t="s">
        <v>15</v>
      </c>
    </row>
    <row r="295" spans="1:12" x14ac:dyDescent="0.25">
      <c r="A295" t="str">
        <f>"0401057184"</f>
        <v>0401057184</v>
      </c>
      <c r="B295" t="str">
        <f t="shared" si="4"/>
        <v>89301000</v>
      </c>
      <c r="C295" s="1">
        <v>44395</v>
      </c>
      <c r="D295" s="1">
        <v>44396</v>
      </c>
      <c r="E295">
        <v>1</v>
      </c>
      <c r="F295" t="s">
        <v>287</v>
      </c>
      <c r="G295" t="str">
        <f>"01-K16-06"</f>
        <v>01-K16-06</v>
      </c>
      <c r="H295">
        <v>0.26469999999999999</v>
      </c>
      <c r="I295" t="s">
        <v>359</v>
      </c>
      <c r="J295" t="s">
        <v>14</v>
      </c>
      <c r="K295" t="str">
        <f>"3F1"</f>
        <v>3F1</v>
      </c>
      <c r="L295" t="s">
        <v>15</v>
      </c>
    </row>
    <row r="296" spans="1:12" x14ac:dyDescent="0.25">
      <c r="A296" t="str">
        <f>"0402124349"</f>
        <v>0402124349</v>
      </c>
      <c r="B296" t="str">
        <f t="shared" si="4"/>
        <v>89301000</v>
      </c>
      <c r="C296" s="1">
        <v>44505</v>
      </c>
      <c r="D296" s="1">
        <v>44519</v>
      </c>
      <c r="E296">
        <v>1</v>
      </c>
      <c r="F296" t="s">
        <v>360</v>
      </c>
      <c r="G296" t="str">
        <f>"21-K05-04"</f>
        <v>21-K05-04</v>
      </c>
      <c r="H296">
        <v>1.042</v>
      </c>
      <c r="I296" t="s">
        <v>361</v>
      </c>
      <c r="J296" t="s">
        <v>14</v>
      </c>
      <c r="K296" t="str">
        <f>"3F5"</f>
        <v>3F5</v>
      </c>
      <c r="L296" t="s">
        <v>15</v>
      </c>
    </row>
    <row r="297" spans="1:12" x14ac:dyDescent="0.25">
      <c r="A297" t="str">
        <f>"0402174377"</f>
        <v>0402174377</v>
      </c>
      <c r="B297" t="str">
        <f t="shared" si="4"/>
        <v>89301000</v>
      </c>
      <c r="C297" s="1">
        <v>44512</v>
      </c>
      <c r="D297" s="1">
        <v>44515</v>
      </c>
      <c r="E297">
        <v>1</v>
      </c>
      <c r="F297" t="s">
        <v>362</v>
      </c>
      <c r="G297" t="str">
        <f>"06-K22-03"</f>
        <v>06-K22-03</v>
      </c>
      <c r="H297">
        <v>0.3165</v>
      </c>
      <c r="I297" t="s">
        <v>168</v>
      </c>
      <c r="J297" t="s">
        <v>14</v>
      </c>
      <c r="K297" t="str">
        <f>"3F1"</f>
        <v>3F1</v>
      </c>
      <c r="L297" t="s">
        <v>15</v>
      </c>
    </row>
    <row r="298" spans="1:12" x14ac:dyDescent="0.25">
      <c r="A298" t="str">
        <f>"0402214351"</f>
        <v>0402214351</v>
      </c>
      <c r="B298" t="str">
        <f t="shared" si="4"/>
        <v>89301000</v>
      </c>
      <c r="C298" s="1">
        <v>44494</v>
      </c>
      <c r="D298" s="1">
        <v>44510</v>
      </c>
      <c r="E298">
        <v>1</v>
      </c>
      <c r="F298" t="s">
        <v>43</v>
      </c>
      <c r="G298" t="str">
        <f>"06-I18-04"</f>
        <v>06-I18-04</v>
      </c>
      <c r="H298">
        <v>1.903</v>
      </c>
      <c r="I298" t="s">
        <v>363</v>
      </c>
      <c r="J298" t="s">
        <v>24</v>
      </c>
      <c r="K298" t="str">
        <f>"3F1"</f>
        <v>3F1</v>
      </c>
      <c r="L298" t="s">
        <v>15</v>
      </c>
    </row>
    <row r="299" spans="1:12" x14ac:dyDescent="0.25">
      <c r="A299" t="str">
        <f>"0403124381"</f>
        <v>0403124381</v>
      </c>
      <c r="B299" t="str">
        <f t="shared" si="4"/>
        <v>89301000</v>
      </c>
      <c r="C299" s="1">
        <v>44257</v>
      </c>
      <c r="D299" s="1">
        <v>44265</v>
      </c>
      <c r="E299">
        <v>1</v>
      </c>
      <c r="F299" t="s">
        <v>43</v>
      </c>
      <c r="G299" t="str">
        <f>"06-I18-04"</f>
        <v>06-I18-04</v>
      </c>
      <c r="H299">
        <v>1.1514</v>
      </c>
      <c r="I299" t="s">
        <v>364</v>
      </c>
      <c r="J299" t="s">
        <v>24</v>
      </c>
      <c r="K299" t="str">
        <f>"3F1"</f>
        <v>3F1</v>
      </c>
      <c r="L299" t="s">
        <v>15</v>
      </c>
    </row>
    <row r="300" spans="1:12" x14ac:dyDescent="0.25">
      <c r="A300" t="str">
        <f>"0403217188"</f>
        <v>0403217188</v>
      </c>
      <c r="B300" t="str">
        <f t="shared" si="4"/>
        <v>89301000</v>
      </c>
      <c r="C300" s="1">
        <v>44517</v>
      </c>
      <c r="D300" s="1">
        <v>44519</v>
      </c>
      <c r="E300">
        <v>1</v>
      </c>
      <c r="F300" t="s">
        <v>157</v>
      </c>
      <c r="G300" t="str">
        <f>"03-I11-03"</f>
        <v>03-I11-03</v>
      </c>
      <c r="H300">
        <v>1.0253000000000001</v>
      </c>
      <c r="I300" t="s">
        <v>365</v>
      </c>
      <c r="J300" t="s">
        <v>17</v>
      </c>
      <c r="K300" t="str">
        <f>"6F5"</f>
        <v>6F5</v>
      </c>
      <c r="L300" t="s">
        <v>15</v>
      </c>
    </row>
    <row r="301" spans="1:12" x14ac:dyDescent="0.25">
      <c r="A301" t="str">
        <f>"0403316474"</f>
        <v>0403316474</v>
      </c>
      <c r="B301" t="str">
        <f t="shared" si="4"/>
        <v>89301000</v>
      </c>
      <c r="C301" s="1">
        <v>44535</v>
      </c>
      <c r="D301" s="1">
        <v>44538</v>
      </c>
      <c r="E301">
        <v>1</v>
      </c>
      <c r="F301" t="s">
        <v>43</v>
      </c>
      <c r="G301" t="str">
        <f>"06-I18-04"</f>
        <v>06-I18-04</v>
      </c>
      <c r="H301">
        <v>1.1514</v>
      </c>
      <c r="J301" t="s">
        <v>24</v>
      </c>
      <c r="K301" t="str">
        <f>"3F1"</f>
        <v>3F1</v>
      </c>
      <c r="L301" t="s">
        <v>15</v>
      </c>
    </row>
    <row r="302" spans="1:12" x14ac:dyDescent="0.25">
      <c r="A302" t="str">
        <f>"0404027591"</f>
        <v>0404027591</v>
      </c>
      <c r="B302" t="str">
        <f t="shared" si="4"/>
        <v>89301000</v>
      </c>
      <c r="C302" s="1">
        <v>44495</v>
      </c>
      <c r="D302" s="1">
        <v>44497</v>
      </c>
      <c r="E302">
        <v>1</v>
      </c>
      <c r="F302" t="s">
        <v>366</v>
      </c>
      <c r="G302" t="str">
        <f>"08-I24-01"</f>
        <v>08-I24-01</v>
      </c>
      <c r="H302">
        <v>1.0648</v>
      </c>
      <c r="J302" t="s">
        <v>14</v>
      </c>
      <c r="K302" t="str">
        <f>"5F3"</f>
        <v>5F3</v>
      </c>
      <c r="L302" t="s">
        <v>15</v>
      </c>
    </row>
    <row r="303" spans="1:12" x14ac:dyDescent="0.25">
      <c r="A303" t="str">
        <f>"0404035269"</f>
        <v>0404035269</v>
      </c>
      <c r="B303" t="str">
        <f t="shared" si="4"/>
        <v>89301000</v>
      </c>
      <c r="C303" s="1">
        <v>44215</v>
      </c>
      <c r="D303" s="1">
        <v>44217</v>
      </c>
      <c r="E303">
        <v>1</v>
      </c>
      <c r="F303" t="s">
        <v>367</v>
      </c>
      <c r="G303" t="str">
        <f>"06-K21-03"</f>
        <v>06-K21-03</v>
      </c>
      <c r="H303">
        <v>0.44429999999999997</v>
      </c>
      <c r="I303" t="s">
        <v>368</v>
      </c>
      <c r="J303" t="s">
        <v>14</v>
      </c>
      <c r="K303" t="str">
        <f>"3F1"</f>
        <v>3F1</v>
      </c>
      <c r="L303" t="s">
        <v>15</v>
      </c>
    </row>
    <row r="304" spans="1:12" x14ac:dyDescent="0.25">
      <c r="A304" t="str">
        <f>"0404067488"</f>
        <v>0404067488</v>
      </c>
      <c r="B304" t="str">
        <f t="shared" si="4"/>
        <v>89301000</v>
      </c>
      <c r="C304" s="1">
        <v>44465</v>
      </c>
      <c r="D304" s="1">
        <v>44468</v>
      </c>
      <c r="E304">
        <v>1</v>
      </c>
      <c r="F304" t="s">
        <v>111</v>
      </c>
      <c r="G304" t="str">
        <f>"08-M03-02"</f>
        <v>08-M03-02</v>
      </c>
      <c r="H304">
        <v>0.86970000000000003</v>
      </c>
      <c r="J304" t="s">
        <v>14</v>
      </c>
      <c r="K304" t="str">
        <f>"6F6"</f>
        <v>6F6</v>
      </c>
      <c r="L304" t="s">
        <v>15</v>
      </c>
    </row>
    <row r="305" spans="1:12" x14ac:dyDescent="0.25">
      <c r="A305" t="str">
        <f>"0404256160"</f>
        <v>0404256160</v>
      </c>
      <c r="B305" t="str">
        <f t="shared" si="4"/>
        <v>89301000</v>
      </c>
      <c r="C305" s="1">
        <v>44271</v>
      </c>
      <c r="D305" s="1">
        <v>44272</v>
      </c>
      <c r="E305">
        <v>1</v>
      </c>
      <c r="F305" t="s">
        <v>334</v>
      </c>
      <c r="G305" t="str">
        <f>"06-K03-03"</f>
        <v>06-K03-03</v>
      </c>
      <c r="H305">
        <v>0.44019999999999998</v>
      </c>
      <c r="J305" t="s">
        <v>14</v>
      </c>
      <c r="K305" t="str">
        <f>"3F1"</f>
        <v>3F1</v>
      </c>
      <c r="L305" t="s">
        <v>15</v>
      </c>
    </row>
    <row r="306" spans="1:12" x14ac:dyDescent="0.25">
      <c r="A306" t="str">
        <f>"0405043232"</f>
        <v>0405043232</v>
      </c>
      <c r="B306" t="str">
        <f t="shared" si="4"/>
        <v>89301000</v>
      </c>
      <c r="C306" s="1">
        <v>44539</v>
      </c>
      <c r="D306" s="1">
        <v>44552</v>
      </c>
      <c r="E306">
        <v>1</v>
      </c>
      <c r="F306" t="s">
        <v>369</v>
      </c>
      <c r="G306" t="str">
        <f>"09-I13-03"</f>
        <v>09-I13-03</v>
      </c>
      <c r="H306">
        <v>0.77380000000000004</v>
      </c>
      <c r="I306" t="s">
        <v>370</v>
      </c>
      <c r="J306" t="s">
        <v>14</v>
      </c>
      <c r="K306" t="str">
        <f>"3F1"</f>
        <v>3F1</v>
      </c>
      <c r="L306" t="s">
        <v>15</v>
      </c>
    </row>
    <row r="307" spans="1:12" x14ac:dyDescent="0.25">
      <c r="A307" t="str">
        <f>"0405051383"</f>
        <v>0405051383</v>
      </c>
      <c r="B307" t="str">
        <f t="shared" si="4"/>
        <v>89301000</v>
      </c>
      <c r="C307" s="1">
        <v>44248</v>
      </c>
      <c r="D307" s="1">
        <v>44250</v>
      </c>
      <c r="E307">
        <v>1</v>
      </c>
      <c r="F307" t="s">
        <v>371</v>
      </c>
      <c r="G307" t="str">
        <f>"08-I14-02"</f>
        <v>08-I14-02</v>
      </c>
      <c r="H307">
        <v>1.7324999999999999</v>
      </c>
      <c r="I307" t="s">
        <v>196</v>
      </c>
      <c r="J307" t="s">
        <v>17</v>
      </c>
      <c r="K307" t="str">
        <f>"5F3"</f>
        <v>5F3</v>
      </c>
      <c r="L307" t="s">
        <v>15</v>
      </c>
    </row>
    <row r="308" spans="1:12" x14ac:dyDescent="0.25">
      <c r="A308" t="str">
        <f>"0405066145"</f>
        <v>0405066145</v>
      </c>
      <c r="B308" t="str">
        <f t="shared" si="4"/>
        <v>89301000</v>
      </c>
      <c r="C308" s="1">
        <v>44398</v>
      </c>
      <c r="D308" s="1">
        <v>44402</v>
      </c>
      <c r="E308">
        <v>1</v>
      </c>
      <c r="F308" t="s">
        <v>197</v>
      </c>
      <c r="G308" t="str">
        <f>"03-I17-00"</f>
        <v>03-I17-00</v>
      </c>
      <c r="H308">
        <v>0.84960000000000002</v>
      </c>
      <c r="I308" t="s">
        <v>372</v>
      </c>
      <c r="J308" t="s">
        <v>24</v>
      </c>
      <c r="K308" t="str">
        <f>"7F1"</f>
        <v>7F1</v>
      </c>
      <c r="L308" t="s">
        <v>15</v>
      </c>
    </row>
    <row r="309" spans="1:12" x14ac:dyDescent="0.25">
      <c r="A309" t="str">
        <f>"0405083250"</f>
        <v>0405083250</v>
      </c>
      <c r="B309" t="str">
        <f t="shared" si="4"/>
        <v>89301000</v>
      </c>
      <c r="C309" s="1">
        <v>44217</v>
      </c>
      <c r="D309" s="1">
        <v>44218</v>
      </c>
      <c r="E309">
        <v>6</v>
      </c>
      <c r="F309" t="s">
        <v>373</v>
      </c>
      <c r="G309" t="str">
        <f>"04-K03-03"</f>
        <v>04-K03-03</v>
      </c>
      <c r="H309">
        <v>0.53180000000000005</v>
      </c>
      <c r="I309" t="s">
        <v>374</v>
      </c>
      <c r="J309" t="s">
        <v>14</v>
      </c>
      <c r="K309" t="str">
        <f>"3T1"</f>
        <v>3T1</v>
      </c>
      <c r="L309" t="s">
        <v>15</v>
      </c>
    </row>
    <row r="310" spans="1:12" x14ac:dyDescent="0.25">
      <c r="A310" t="str">
        <f>"0405211378"</f>
        <v>0405211378</v>
      </c>
      <c r="B310" t="str">
        <f t="shared" si="4"/>
        <v>89301000</v>
      </c>
      <c r="C310" s="1">
        <v>44284</v>
      </c>
      <c r="D310" s="1">
        <v>44287</v>
      </c>
      <c r="E310">
        <v>1</v>
      </c>
      <c r="F310" t="s">
        <v>375</v>
      </c>
      <c r="G310" t="str">
        <f>"01-K13-02"</f>
        <v>01-K13-02</v>
      </c>
      <c r="H310">
        <v>0.7954</v>
      </c>
      <c r="I310" t="s">
        <v>376</v>
      </c>
      <c r="J310" t="s">
        <v>14</v>
      </c>
      <c r="K310" t="str">
        <f>"3F1"</f>
        <v>3F1</v>
      </c>
      <c r="L310" t="s">
        <v>15</v>
      </c>
    </row>
    <row r="311" spans="1:12" x14ac:dyDescent="0.25">
      <c r="A311" t="str">
        <f>"0405211378"</f>
        <v>0405211378</v>
      </c>
      <c r="B311" t="str">
        <f t="shared" si="4"/>
        <v>89301000</v>
      </c>
      <c r="C311" s="1">
        <v>44384</v>
      </c>
      <c r="D311" s="1">
        <v>44393</v>
      </c>
      <c r="E311">
        <v>1</v>
      </c>
      <c r="F311" t="s">
        <v>377</v>
      </c>
      <c r="G311" t="str">
        <f>"01-I07-03"</f>
        <v>01-I07-03</v>
      </c>
      <c r="H311">
        <v>3.2458</v>
      </c>
      <c r="I311" t="s">
        <v>378</v>
      </c>
      <c r="J311" t="s">
        <v>17</v>
      </c>
      <c r="K311" t="str">
        <f>"3F1"</f>
        <v>3F1</v>
      </c>
      <c r="L311" t="s">
        <v>15</v>
      </c>
    </row>
    <row r="312" spans="1:12" x14ac:dyDescent="0.25">
      <c r="A312" t="str">
        <f>"0405211378"</f>
        <v>0405211378</v>
      </c>
      <c r="B312" t="str">
        <f t="shared" si="4"/>
        <v>89301000</v>
      </c>
      <c r="C312" s="1">
        <v>44166</v>
      </c>
      <c r="D312" s="1">
        <v>44236</v>
      </c>
      <c r="E312">
        <v>4</v>
      </c>
      <c r="F312" t="s">
        <v>375</v>
      </c>
      <c r="G312" t="str">
        <f>"00-M01-03"</f>
        <v>00-M01-03</v>
      </c>
      <c r="H312">
        <v>23.165199999999999</v>
      </c>
      <c r="I312" t="s">
        <v>379</v>
      </c>
      <c r="J312" t="s">
        <v>14</v>
      </c>
      <c r="K312" t="str">
        <f>"3F1"</f>
        <v>3F1</v>
      </c>
      <c r="L312" t="s">
        <v>15</v>
      </c>
    </row>
    <row r="313" spans="1:12" x14ac:dyDescent="0.25">
      <c r="A313" t="str">
        <f>"0405273231"</f>
        <v>0405273231</v>
      </c>
      <c r="B313" t="str">
        <f t="shared" si="4"/>
        <v>89301000</v>
      </c>
      <c r="C313" s="1">
        <v>44528</v>
      </c>
      <c r="D313" s="1">
        <v>44530</v>
      </c>
      <c r="E313">
        <v>1</v>
      </c>
      <c r="F313" t="s">
        <v>380</v>
      </c>
      <c r="G313" t="str">
        <f>"08-I17-02"</f>
        <v>08-I17-02</v>
      </c>
      <c r="H313">
        <v>0.98309999999999997</v>
      </c>
      <c r="I313" t="s">
        <v>381</v>
      </c>
      <c r="J313" t="s">
        <v>14</v>
      </c>
      <c r="K313" t="str">
        <f>"5F3"</f>
        <v>5F3</v>
      </c>
      <c r="L313" t="s">
        <v>15</v>
      </c>
    </row>
    <row r="314" spans="1:12" x14ac:dyDescent="0.25">
      <c r="A314" t="str">
        <f>"0406117569"</f>
        <v>0406117569</v>
      </c>
      <c r="B314" t="str">
        <f t="shared" si="4"/>
        <v>89301000</v>
      </c>
      <c r="C314" s="1">
        <v>44536</v>
      </c>
      <c r="D314" s="1">
        <v>44538</v>
      </c>
      <c r="E314">
        <v>1</v>
      </c>
      <c r="F314" t="s">
        <v>382</v>
      </c>
      <c r="G314" t="str">
        <f>"23-K03-01"</f>
        <v>23-K03-01</v>
      </c>
      <c r="H314">
        <v>0.16689999999999999</v>
      </c>
      <c r="I314" t="s">
        <v>383</v>
      </c>
      <c r="J314" t="s">
        <v>14</v>
      </c>
      <c r="K314" t="str">
        <f>"3F1"</f>
        <v>3F1</v>
      </c>
      <c r="L314" t="s">
        <v>15</v>
      </c>
    </row>
    <row r="315" spans="1:12" x14ac:dyDescent="0.25">
      <c r="A315" t="str">
        <f>"0406166068"</f>
        <v>0406166068</v>
      </c>
      <c r="B315" t="str">
        <f t="shared" si="4"/>
        <v>89301000</v>
      </c>
      <c r="C315" s="1">
        <v>44370</v>
      </c>
      <c r="D315" s="1">
        <v>44372</v>
      </c>
      <c r="E315">
        <v>1</v>
      </c>
      <c r="F315" t="s">
        <v>384</v>
      </c>
      <c r="G315" t="str">
        <f>"17-K10-02"</f>
        <v>17-K10-02</v>
      </c>
      <c r="H315">
        <v>0.65480000000000005</v>
      </c>
      <c r="J315" t="s">
        <v>14</v>
      </c>
      <c r="K315" t="str">
        <f>"3F1"</f>
        <v>3F1</v>
      </c>
      <c r="L315" t="s">
        <v>15</v>
      </c>
    </row>
    <row r="316" spans="1:12" x14ac:dyDescent="0.25">
      <c r="A316" t="str">
        <f>"0406253243"</f>
        <v>0406253243</v>
      </c>
      <c r="B316" t="str">
        <f t="shared" si="4"/>
        <v>89301000</v>
      </c>
      <c r="C316" s="1">
        <v>44370</v>
      </c>
      <c r="D316" s="1">
        <v>44372</v>
      </c>
      <c r="E316">
        <v>1</v>
      </c>
      <c r="F316" t="s">
        <v>104</v>
      </c>
      <c r="G316" t="str">
        <f>"04-I11-00"</f>
        <v>04-I11-00</v>
      </c>
      <c r="H316">
        <v>0.7974</v>
      </c>
      <c r="J316" t="s">
        <v>24</v>
      </c>
      <c r="K316" t="str">
        <f>"3F1"</f>
        <v>3F1</v>
      </c>
      <c r="L316" t="s">
        <v>15</v>
      </c>
    </row>
    <row r="317" spans="1:12" x14ac:dyDescent="0.25">
      <c r="A317" t="str">
        <f>"0406255267"</f>
        <v>0406255267</v>
      </c>
      <c r="B317" t="str">
        <f t="shared" si="4"/>
        <v>89301000</v>
      </c>
      <c r="C317" s="1">
        <v>44502</v>
      </c>
      <c r="D317" s="1">
        <v>44508</v>
      </c>
      <c r="E317">
        <v>1</v>
      </c>
      <c r="F317" t="s">
        <v>385</v>
      </c>
      <c r="G317" t="str">
        <f>"05-K01-03"</f>
        <v>05-K01-03</v>
      </c>
      <c r="H317">
        <v>0.66049999999999998</v>
      </c>
      <c r="I317" t="s">
        <v>386</v>
      </c>
      <c r="J317" t="s">
        <v>14</v>
      </c>
      <c r="K317" t="str">
        <f>"3F1"</f>
        <v>3F1</v>
      </c>
      <c r="L317" t="s">
        <v>15</v>
      </c>
    </row>
    <row r="318" spans="1:12" x14ac:dyDescent="0.25">
      <c r="A318" t="str">
        <f>"0406293239"</f>
        <v>0406293239</v>
      </c>
      <c r="B318" t="str">
        <f t="shared" ref="B318:B381" si="5">"89301000"</f>
        <v>89301000</v>
      </c>
      <c r="C318" s="1">
        <v>44419</v>
      </c>
      <c r="D318" s="1">
        <v>44421</v>
      </c>
      <c r="E318">
        <v>1</v>
      </c>
      <c r="F318" t="s">
        <v>387</v>
      </c>
      <c r="G318" t="str">
        <f>"08-M03-05"</f>
        <v>08-M03-05</v>
      </c>
      <c r="H318">
        <v>0.51759999999999995</v>
      </c>
      <c r="I318" t="s">
        <v>381</v>
      </c>
      <c r="J318" t="s">
        <v>14</v>
      </c>
      <c r="K318" t="str">
        <f>"5F3"</f>
        <v>5F3</v>
      </c>
      <c r="L318" t="s">
        <v>15</v>
      </c>
    </row>
    <row r="319" spans="1:12" x14ac:dyDescent="0.25">
      <c r="A319" t="str">
        <f>"0407146234"</f>
        <v>0407146234</v>
      </c>
      <c r="B319" t="str">
        <f t="shared" si="5"/>
        <v>89301000</v>
      </c>
      <c r="C319" s="1">
        <v>44549</v>
      </c>
      <c r="D319" s="1">
        <v>44557</v>
      </c>
      <c r="E319">
        <v>1</v>
      </c>
      <c r="F319" t="s">
        <v>388</v>
      </c>
      <c r="G319" t="str">
        <f>"08-C01-02"</f>
        <v>08-C01-02</v>
      </c>
      <c r="H319">
        <v>3.427</v>
      </c>
      <c r="I319" t="s">
        <v>389</v>
      </c>
      <c r="J319" t="s">
        <v>14</v>
      </c>
      <c r="K319" t="str">
        <f>"3F1"</f>
        <v>3F1</v>
      </c>
      <c r="L319" t="s">
        <v>15</v>
      </c>
    </row>
    <row r="320" spans="1:12" x14ac:dyDescent="0.25">
      <c r="A320" t="str">
        <f>"0407246070"</f>
        <v>0407246070</v>
      </c>
      <c r="B320" t="str">
        <f t="shared" si="5"/>
        <v>89301000</v>
      </c>
      <c r="C320" s="1">
        <v>44543</v>
      </c>
      <c r="D320" s="1">
        <v>44545</v>
      </c>
      <c r="E320">
        <v>1</v>
      </c>
      <c r="F320" t="s">
        <v>390</v>
      </c>
      <c r="G320" t="str">
        <f>"12-I13-02"</f>
        <v>12-I13-02</v>
      </c>
      <c r="H320">
        <v>0.57240000000000002</v>
      </c>
      <c r="J320" t="s">
        <v>24</v>
      </c>
      <c r="K320" t="str">
        <f>"3F1"</f>
        <v>3F1</v>
      </c>
      <c r="L320" t="s">
        <v>15</v>
      </c>
    </row>
    <row r="321" spans="1:12" x14ac:dyDescent="0.25">
      <c r="A321" t="str">
        <f>"0408066065"</f>
        <v>0408066065</v>
      </c>
      <c r="B321" t="str">
        <f t="shared" si="5"/>
        <v>89301000</v>
      </c>
      <c r="C321" s="1">
        <v>44487</v>
      </c>
      <c r="D321" s="1">
        <v>44496</v>
      </c>
      <c r="E321">
        <v>1</v>
      </c>
      <c r="F321" t="s">
        <v>391</v>
      </c>
      <c r="G321" t="str">
        <f>"19-K03-03"</f>
        <v>19-K03-03</v>
      </c>
      <c r="H321">
        <v>0.93169999999999997</v>
      </c>
      <c r="J321" t="s">
        <v>27</v>
      </c>
      <c r="K321" t="str">
        <f>"3F5"</f>
        <v>3F5</v>
      </c>
      <c r="L321" t="s">
        <v>15</v>
      </c>
    </row>
    <row r="322" spans="1:12" x14ac:dyDescent="0.25">
      <c r="A322" t="str">
        <f>"0408073226"</f>
        <v>0408073226</v>
      </c>
      <c r="B322" t="str">
        <f t="shared" si="5"/>
        <v>89301000</v>
      </c>
      <c r="C322" s="1">
        <v>44483</v>
      </c>
      <c r="D322" s="1">
        <v>44497</v>
      </c>
      <c r="E322">
        <v>1</v>
      </c>
      <c r="F322" t="s">
        <v>392</v>
      </c>
      <c r="G322" t="str">
        <f>"08-K03-01"</f>
        <v>08-K03-01</v>
      </c>
      <c r="H322">
        <v>3.1173000000000002</v>
      </c>
      <c r="I322" t="s">
        <v>393</v>
      </c>
      <c r="J322" t="s">
        <v>14</v>
      </c>
      <c r="K322" t="str">
        <f>"3F1"</f>
        <v>3F1</v>
      </c>
      <c r="L322" t="s">
        <v>15</v>
      </c>
    </row>
    <row r="323" spans="1:12" x14ac:dyDescent="0.25">
      <c r="A323" t="str">
        <f>"0408233232"</f>
        <v>0408233232</v>
      </c>
      <c r="B323" t="str">
        <f t="shared" si="5"/>
        <v>89301000</v>
      </c>
      <c r="C323" s="1">
        <v>44202</v>
      </c>
      <c r="D323" s="1">
        <v>44225</v>
      </c>
      <c r="E323">
        <v>1</v>
      </c>
      <c r="F323" t="s">
        <v>394</v>
      </c>
      <c r="G323" t="str">
        <f>"01-M04-00"</f>
        <v>01-M04-00</v>
      </c>
      <c r="H323">
        <v>3.9956999999999998</v>
      </c>
      <c r="I323" t="s">
        <v>168</v>
      </c>
      <c r="J323" t="s">
        <v>14</v>
      </c>
      <c r="K323" t="str">
        <f>"3F1"</f>
        <v>3F1</v>
      </c>
      <c r="L323" t="s">
        <v>15</v>
      </c>
    </row>
    <row r="324" spans="1:12" x14ac:dyDescent="0.25">
      <c r="A324" t="str">
        <f>"0409013242"</f>
        <v>0409013242</v>
      </c>
      <c r="B324" t="str">
        <f t="shared" si="5"/>
        <v>89301000</v>
      </c>
      <c r="C324" s="1">
        <v>44412</v>
      </c>
      <c r="D324" s="1">
        <v>44414</v>
      </c>
      <c r="E324">
        <v>1</v>
      </c>
      <c r="F324" t="s">
        <v>71</v>
      </c>
      <c r="G324" t="str">
        <f>"08-M03-05"</f>
        <v>08-M03-05</v>
      </c>
      <c r="H324">
        <v>0.51759999999999995</v>
      </c>
      <c r="I324" t="s">
        <v>395</v>
      </c>
      <c r="J324" t="s">
        <v>14</v>
      </c>
      <c r="K324" t="str">
        <f>"5F3"</f>
        <v>5F3</v>
      </c>
      <c r="L324" t="s">
        <v>15</v>
      </c>
    </row>
    <row r="325" spans="1:12" x14ac:dyDescent="0.25">
      <c r="A325" t="str">
        <f>"0409133241"</f>
        <v>0409133241</v>
      </c>
      <c r="B325" t="str">
        <f t="shared" si="5"/>
        <v>89301000</v>
      </c>
      <c r="C325" s="1">
        <v>44318</v>
      </c>
      <c r="D325" s="1">
        <v>44320</v>
      </c>
      <c r="E325">
        <v>1</v>
      </c>
      <c r="F325" t="s">
        <v>396</v>
      </c>
      <c r="G325" t="str">
        <f>"08-I17-02"</f>
        <v>08-I17-02</v>
      </c>
      <c r="H325">
        <v>0.98309999999999997</v>
      </c>
      <c r="I325" t="s">
        <v>397</v>
      </c>
      <c r="J325" t="s">
        <v>14</v>
      </c>
      <c r="K325" t="str">
        <f>"5F3"</f>
        <v>5F3</v>
      </c>
      <c r="L325" t="s">
        <v>15</v>
      </c>
    </row>
    <row r="326" spans="1:12" x14ac:dyDescent="0.25">
      <c r="A326" t="str">
        <f>"0409205269"</f>
        <v>0409205269</v>
      </c>
      <c r="B326" t="str">
        <f t="shared" si="5"/>
        <v>89301000</v>
      </c>
      <c r="C326" s="1">
        <v>44413</v>
      </c>
      <c r="D326" s="1">
        <v>44418</v>
      </c>
      <c r="E326">
        <v>1</v>
      </c>
      <c r="F326" t="s">
        <v>398</v>
      </c>
      <c r="G326" t="str">
        <f>"06-I16-04"</f>
        <v>06-I16-04</v>
      </c>
      <c r="H326">
        <v>0.67620000000000002</v>
      </c>
      <c r="J326" t="s">
        <v>24</v>
      </c>
      <c r="K326" t="str">
        <f>"3F1"</f>
        <v>3F1</v>
      </c>
      <c r="L326" t="s">
        <v>15</v>
      </c>
    </row>
    <row r="327" spans="1:12" x14ac:dyDescent="0.25">
      <c r="A327" t="str">
        <f>"0409205269"</f>
        <v>0409205269</v>
      </c>
      <c r="B327" t="str">
        <f t="shared" si="5"/>
        <v>89301000</v>
      </c>
      <c r="C327" s="1">
        <v>44335</v>
      </c>
      <c r="D327" s="1">
        <v>44342</v>
      </c>
      <c r="E327">
        <v>1</v>
      </c>
      <c r="F327" t="s">
        <v>399</v>
      </c>
      <c r="G327" t="str">
        <f>"19-K02-03"</f>
        <v>19-K02-03</v>
      </c>
      <c r="H327">
        <v>0.67269999999999996</v>
      </c>
      <c r="I327" t="s">
        <v>400</v>
      </c>
      <c r="J327" t="s">
        <v>27</v>
      </c>
      <c r="K327" t="str">
        <f>"3F1"</f>
        <v>3F1</v>
      </c>
      <c r="L327" t="s">
        <v>15</v>
      </c>
    </row>
    <row r="328" spans="1:12" x14ac:dyDescent="0.25">
      <c r="A328" t="str">
        <f>"0410095279"</f>
        <v>0410095279</v>
      </c>
      <c r="B328" t="str">
        <f t="shared" si="5"/>
        <v>89301000</v>
      </c>
      <c r="C328" s="1">
        <v>44434</v>
      </c>
      <c r="D328" s="1">
        <v>44438</v>
      </c>
      <c r="E328">
        <v>1</v>
      </c>
      <c r="F328" t="s">
        <v>401</v>
      </c>
      <c r="G328" t="str">
        <f>"04-K04-02"</f>
        <v>04-K04-02</v>
      </c>
      <c r="H328">
        <v>0.50470000000000004</v>
      </c>
      <c r="I328" t="s">
        <v>402</v>
      </c>
      <c r="J328" t="s">
        <v>14</v>
      </c>
      <c r="K328" t="str">
        <f>"3F1"</f>
        <v>3F1</v>
      </c>
      <c r="L328" t="s">
        <v>15</v>
      </c>
    </row>
    <row r="329" spans="1:12" x14ac:dyDescent="0.25">
      <c r="A329" t="str">
        <f>"0410186161"</f>
        <v>0410186161</v>
      </c>
      <c r="B329" t="str">
        <f t="shared" si="5"/>
        <v>89301000</v>
      </c>
      <c r="C329" s="1">
        <v>44224</v>
      </c>
      <c r="D329" s="1">
        <v>44228</v>
      </c>
      <c r="E329">
        <v>1</v>
      </c>
      <c r="F329" t="s">
        <v>403</v>
      </c>
      <c r="G329" t="str">
        <f>"02-K01-02"</f>
        <v>02-K01-02</v>
      </c>
      <c r="H329">
        <v>0.77749999999999997</v>
      </c>
      <c r="I329" t="s">
        <v>168</v>
      </c>
      <c r="J329" t="s">
        <v>14</v>
      </c>
      <c r="K329" t="str">
        <f>"7F5"</f>
        <v>7F5</v>
      </c>
      <c r="L329" t="s">
        <v>15</v>
      </c>
    </row>
    <row r="330" spans="1:12" x14ac:dyDescent="0.25">
      <c r="A330" t="str">
        <f>"0410225343"</f>
        <v>0410225343</v>
      </c>
      <c r="B330" t="str">
        <f t="shared" si="5"/>
        <v>89301000</v>
      </c>
      <c r="C330" s="1">
        <v>44348</v>
      </c>
      <c r="D330" s="1">
        <v>44350</v>
      </c>
      <c r="E330">
        <v>1</v>
      </c>
      <c r="F330" t="s">
        <v>282</v>
      </c>
      <c r="G330" t="str">
        <f>"06-K06-02"</f>
        <v>06-K06-02</v>
      </c>
      <c r="H330">
        <v>0.69359999999999999</v>
      </c>
      <c r="J330" t="s">
        <v>14</v>
      </c>
      <c r="K330" t="str">
        <f>"3F1"</f>
        <v>3F1</v>
      </c>
      <c r="L330" t="s">
        <v>15</v>
      </c>
    </row>
    <row r="331" spans="1:12" x14ac:dyDescent="0.25">
      <c r="A331" t="str">
        <f>"0410225343"</f>
        <v>0410225343</v>
      </c>
      <c r="B331" t="str">
        <f t="shared" si="5"/>
        <v>89301000</v>
      </c>
      <c r="C331" s="1">
        <v>44363</v>
      </c>
      <c r="D331" s="1">
        <v>44384</v>
      </c>
      <c r="E331">
        <v>1</v>
      </c>
      <c r="F331" t="s">
        <v>332</v>
      </c>
      <c r="G331" t="str">
        <f>"07-K02-02"</f>
        <v>07-K02-02</v>
      </c>
      <c r="H331">
        <v>1.6920999999999999</v>
      </c>
      <c r="I331" t="s">
        <v>284</v>
      </c>
      <c r="J331" t="s">
        <v>14</v>
      </c>
      <c r="K331" t="str">
        <f>"3F1"</f>
        <v>3F1</v>
      </c>
      <c r="L331" t="s">
        <v>15</v>
      </c>
    </row>
    <row r="332" spans="1:12" x14ac:dyDescent="0.25">
      <c r="A332" t="str">
        <f>"0411043248"</f>
        <v>0411043248</v>
      </c>
      <c r="B332" t="str">
        <f t="shared" si="5"/>
        <v>89301000</v>
      </c>
      <c r="C332" s="1">
        <v>44453</v>
      </c>
      <c r="D332" s="1">
        <v>44454</v>
      </c>
      <c r="E332">
        <v>1</v>
      </c>
      <c r="F332" t="s">
        <v>404</v>
      </c>
      <c r="G332" t="str">
        <f>"06-K04-03"</f>
        <v>06-K04-03</v>
      </c>
      <c r="H332">
        <v>0.38250000000000001</v>
      </c>
      <c r="I332" t="s">
        <v>405</v>
      </c>
      <c r="J332" t="s">
        <v>14</v>
      </c>
      <c r="K332" t="str">
        <f>"3F1"</f>
        <v>3F1</v>
      </c>
      <c r="L332" t="s">
        <v>15</v>
      </c>
    </row>
    <row r="333" spans="1:12" x14ac:dyDescent="0.25">
      <c r="A333" t="str">
        <f>"0411043248"</f>
        <v>0411043248</v>
      </c>
      <c r="B333" t="str">
        <f t="shared" si="5"/>
        <v>89301000</v>
      </c>
      <c r="C333" s="1">
        <v>44345</v>
      </c>
      <c r="D333" s="1">
        <v>44348</v>
      </c>
      <c r="E333">
        <v>1</v>
      </c>
      <c r="F333" t="s">
        <v>362</v>
      </c>
      <c r="G333" t="str">
        <f>"06-K22-03"</f>
        <v>06-K22-03</v>
      </c>
      <c r="H333">
        <v>0.3165</v>
      </c>
      <c r="J333" t="s">
        <v>14</v>
      </c>
      <c r="K333" t="str">
        <f>"3F1"</f>
        <v>3F1</v>
      </c>
      <c r="L333" t="s">
        <v>15</v>
      </c>
    </row>
    <row r="334" spans="1:12" x14ac:dyDescent="0.25">
      <c r="A334" t="str">
        <f>"0411243228"</f>
        <v>0411243228</v>
      </c>
      <c r="B334" t="str">
        <f t="shared" si="5"/>
        <v>89301000</v>
      </c>
      <c r="C334" s="1">
        <v>44351</v>
      </c>
      <c r="D334" s="1">
        <v>44354</v>
      </c>
      <c r="E334">
        <v>1</v>
      </c>
      <c r="F334" t="s">
        <v>406</v>
      </c>
      <c r="G334" t="str">
        <f>"08-K12-02"</f>
        <v>08-K12-02</v>
      </c>
      <c r="H334">
        <v>0.71619999999999995</v>
      </c>
      <c r="I334" t="s">
        <v>233</v>
      </c>
      <c r="J334" t="s">
        <v>14</v>
      </c>
      <c r="K334" t="str">
        <f>"3F1"</f>
        <v>3F1</v>
      </c>
      <c r="L334" t="s">
        <v>15</v>
      </c>
    </row>
    <row r="335" spans="1:12" x14ac:dyDescent="0.25">
      <c r="A335" t="str">
        <f>"0411243228"</f>
        <v>0411243228</v>
      </c>
      <c r="B335" t="str">
        <f t="shared" si="5"/>
        <v>89301000</v>
      </c>
      <c r="C335" s="1">
        <v>44474</v>
      </c>
      <c r="D335" s="1">
        <v>44475</v>
      </c>
      <c r="E335">
        <v>1</v>
      </c>
      <c r="F335" t="s">
        <v>357</v>
      </c>
      <c r="G335" t="str">
        <f>"19-K02-03"</f>
        <v>19-K02-03</v>
      </c>
      <c r="H335">
        <v>0.44850000000000001</v>
      </c>
      <c r="J335" t="s">
        <v>27</v>
      </c>
      <c r="K335" t="str">
        <f>"3F5"</f>
        <v>3F5</v>
      </c>
      <c r="L335" t="s">
        <v>15</v>
      </c>
    </row>
    <row r="336" spans="1:12" x14ac:dyDescent="0.25">
      <c r="A336" t="str">
        <f>"0412303232"</f>
        <v>0412303232</v>
      </c>
      <c r="B336" t="str">
        <f t="shared" si="5"/>
        <v>89301000</v>
      </c>
      <c r="C336" s="1">
        <v>44470</v>
      </c>
      <c r="D336" s="1">
        <v>44473</v>
      </c>
      <c r="E336">
        <v>1</v>
      </c>
      <c r="F336" t="s">
        <v>407</v>
      </c>
      <c r="G336" t="str">
        <f>"03-K03-02"</f>
        <v>03-K03-02</v>
      </c>
      <c r="H336">
        <v>0.49249999999999999</v>
      </c>
      <c r="I336" t="s">
        <v>408</v>
      </c>
      <c r="J336" t="s">
        <v>14</v>
      </c>
      <c r="K336" t="str">
        <f>"3F1"</f>
        <v>3F1</v>
      </c>
      <c r="L336" t="s">
        <v>15</v>
      </c>
    </row>
    <row r="337" spans="1:12" x14ac:dyDescent="0.25">
      <c r="A337" t="str">
        <f>"0451067199"</f>
        <v>0451067199</v>
      </c>
      <c r="B337" t="str">
        <f t="shared" si="5"/>
        <v>89301000</v>
      </c>
      <c r="C337" s="1">
        <v>44468</v>
      </c>
      <c r="D337" s="1">
        <v>44471</v>
      </c>
      <c r="E337">
        <v>1</v>
      </c>
      <c r="F337" t="s">
        <v>409</v>
      </c>
      <c r="G337" t="str">
        <f>"08-M03-04"</f>
        <v>08-M03-04</v>
      </c>
      <c r="H337">
        <v>0.8609</v>
      </c>
      <c r="I337" t="s">
        <v>410</v>
      </c>
      <c r="J337" t="s">
        <v>14</v>
      </c>
      <c r="K337" t="str">
        <f>"5F3"</f>
        <v>5F3</v>
      </c>
      <c r="L337" t="s">
        <v>15</v>
      </c>
    </row>
    <row r="338" spans="1:12" x14ac:dyDescent="0.25">
      <c r="A338" t="str">
        <f>"0451067199"</f>
        <v>0451067199</v>
      </c>
      <c r="B338" t="str">
        <f t="shared" si="5"/>
        <v>89301000</v>
      </c>
      <c r="C338" s="1">
        <v>44480</v>
      </c>
      <c r="D338" s="1">
        <v>44496</v>
      </c>
      <c r="E338">
        <v>1</v>
      </c>
      <c r="F338" t="s">
        <v>109</v>
      </c>
      <c r="G338" t="str">
        <f>"24-M07-02"</f>
        <v>24-M07-02</v>
      </c>
      <c r="H338">
        <v>1.5094000000000001</v>
      </c>
      <c r="I338" t="s">
        <v>411</v>
      </c>
      <c r="J338" t="s">
        <v>14</v>
      </c>
      <c r="K338" t="str">
        <f>"2F1"</f>
        <v>2F1</v>
      </c>
      <c r="L338" t="s">
        <v>15</v>
      </c>
    </row>
    <row r="339" spans="1:12" x14ac:dyDescent="0.25">
      <c r="A339" t="str">
        <f>"0451071489"</f>
        <v>0451071489</v>
      </c>
      <c r="B339" t="str">
        <f t="shared" si="5"/>
        <v>89301000</v>
      </c>
      <c r="C339" s="1">
        <v>44496</v>
      </c>
      <c r="D339" s="1">
        <v>44501</v>
      </c>
      <c r="E339">
        <v>1</v>
      </c>
      <c r="F339" t="s">
        <v>43</v>
      </c>
      <c r="G339" t="str">
        <f>"06-I18-04"</f>
        <v>06-I18-04</v>
      </c>
      <c r="H339">
        <v>1.1514</v>
      </c>
      <c r="I339" t="s">
        <v>168</v>
      </c>
      <c r="J339" t="s">
        <v>24</v>
      </c>
      <c r="K339" t="str">
        <f>"3F1"</f>
        <v>3F1</v>
      </c>
      <c r="L339" t="s">
        <v>15</v>
      </c>
    </row>
    <row r="340" spans="1:12" x14ac:dyDescent="0.25">
      <c r="A340" t="str">
        <f>"0451124377"</f>
        <v>0451124377</v>
      </c>
      <c r="B340" t="str">
        <f t="shared" si="5"/>
        <v>89301000</v>
      </c>
      <c r="C340" s="1">
        <v>44350</v>
      </c>
      <c r="D340" s="1">
        <v>44356</v>
      </c>
      <c r="E340">
        <v>1</v>
      </c>
      <c r="F340" t="s">
        <v>412</v>
      </c>
      <c r="G340" t="str">
        <f>"09-K14-02"</f>
        <v>09-K14-02</v>
      </c>
      <c r="H340">
        <v>0.50549999999999995</v>
      </c>
      <c r="J340" t="s">
        <v>14</v>
      </c>
      <c r="K340" t="str">
        <f>"4F4"</f>
        <v>4F4</v>
      </c>
      <c r="L340" t="s">
        <v>15</v>
      </c>
    </row>
    <row r="341" spans="1:12" x14ac:dyDescent="0.25">
      <c r="A341" t="str">
        <f>"0451184371"</f>
        <v>0451184371</v>
      </c>
      <c r="B341" t="str">
        <f t="shared" si="5"/>
        <v>89301000</v>
      </c>
      <c r="C341" s="1">
        <v>44486</v>
      </c>
      <c r="D341" s="1">
        <v>44488</v>
      </c>
      <c r="E341">
        <v>1</v>
      </c>
      <c r="F341" t="s">
        <v>413</v>
      </c>
      <c r="G341" t="str">
        <f>"09-I04-02"</f>
        <v>09-I04-02</v>
      </c>
      <c r="H341">
        <v>1.5007999999999999</v>
      </c>
      <c r="J341" t="s">
        <v>17</v>
      </c>
      <c r="K341" t="str">
        <f>"3F1"</f>
        <v>3F1</v>
      </c>
      <c r="L341" t="s">
        <v>15</v>
      </c>
    </row>
    <row r="342" spans="1:12" x14ac:dyDescent="0.25">
      <c r="A342" t="str">
        <f>"0451254375"</f>
        <v>0451254375</v>
      </c>
      <c r="B342" t="str">
        <f t="shared" si="5"/>
        <v>89301000</v>
      </c>
      <c r="C342" s="1">
        <v>44433</v>
      </c>
      <c r="D342" s="1">
        <v>44440</v>
      </c>
      <c r="E342">
        <v>1</v>
      </c>
      <c r="F342" t="s">
        <v>87</v>
      </c>
      <c r="G342" t="str">
        <f>"09-K04-02"</f>
        <v>09-K04-02</v>
      </c>
      <c r="H342">
        <v>0.68279999999999996</v>
      </c>
      <c r="I342" t="s">
        <v>241</v>
      </c>
      <c r="J342" t="s">
        <v>14</v>
      </c>
      <c r="K342" t="str">
        <f>"4F4"</f>
        <v>4F4</v>
      </c>
      <c r="L342" t="s">
        <v>15</v>
      </c>
    </row>
    <row r="343" spans="1:12" x14ac:dyDescent="0.25">
      <c r="A343" t="str">
        <f>"0451257191"</f>
        <v>0451257191</v>
      </c>
      <c r="B343" t="str">
        <f t="shared" si="5"/>
        <v>89301000</v>
      </c>
      <c r="C343" s="1">
        <v>44487</v>
      </c>
      <c r="D343" s="1">
        <v>44490</v>
      </c>
      <c r="E343">
        <v>1</v>
      </c>
      <c r="F343" t="s">
        <v>414</v>
      </c>
      <c r="G343" t="str">
        <f>"19-K01-03"</f>
        <v>19-K01-03</v>
      </c>
      <c r="H343">
        <v>0.60250000000000004</v>
      </c>
      <c r="J343" t="s">
        <v>27</v>
      </c>
      <c r="K343" t="str">
        <f>"3F1"</f>
        <v>3F1</v>
      </c>
      <c r="L343" t="s">
        <v>15</v>
      </c>
    </row>
    <row r="344" spans="1:12" x14ac:dyDescent="0.25">
      <c r="A344" t="str">
        <f>"0451257191"</f>
        <v>0451257191</v>
      </c>
      <c r="B344" t="str">
        <f t="shared" si="5"/>
        <v>89301000</v>
      </c>
      <c r="C344" s="1">
        <v>44445</v>
      </c>
      <c r="D344" s="1">
        <v>44453</v>
      </c>
      <c r="E344">
        <v>1</v>
      </c>
      <c r="F344" t="s">
        <v>415</v>
      </c>
      <c r="G344" t="str">
        <f>"19-K02-03"</f>
        <v>19-K02-03</v>
      </c>
      <c r="H344">
        <v>0.67269999999999996</v>
      </c>
      <c r="I344" t="s">
        <v>416</v>
      </c>
      <c r="J344" t="s">
        <v>27</v>
      </c>
      <c r="K344" t="str">
        <f>"3F1"</f>
        <v>3F1</v>
      </c>
      <c r="L344" t="s">
        <v>15</v>
      </c>
    </row>
    <row r="345" spans="1:12" x14ac:dyDescent="0.25">
      <c r="A345" t="str">
        <f>"0452138599"</f>
        <v>0452138599</v>
      </c>
      <c r="B345" t="str">
        <f t="shared" si="5"/>
        <v>89301000</v>
      </c>
      <c r="C345" s="1">
        <v>44348</v>
      </c>
      <c r="D345" s="1">
        <v>44350</v>
      </c>
      <c r="E345">
        <v>1</v>
      </c>
      <c r="F345" t="s">
        <v>171</v>
      </c>
      <c r="G345" t="str">
        <f>"06-K06-02"</f>
        <v>06-K06-02</v>
      </c>
      <c r="H345">
        <v>0.69359999999999999</v>
      </c>
      <c r="J345" t="s">
        <v>14</v>
      </c>
      <c r="K345" t="str">
        <f>"3F1"</f>
        <v>3F1</v>
      </c>
      <c r="L345" t="s">
        <v>15</v>
      </c>
    </row>
    <row r="346" spans="1:12" x14ac:dyDescent="0.25">
      <c r="A346" t="str">
        <f>"0452164350"</f>
        <v>0452164350</v>
      </c>
      <c r="B346" t="str">
        <f t="shared" si="5"/>
        <v>89301000</v>
      </c>
      <c r="C346" s="1">
        <v>44217</v>
      </c>
      <c r="D346" s="1">
        <v>44221</v>
      </c>
      <c r="E346">
        <v>1</v>
      </c>
      <c r="F346" t="s">
        <v>70</v>
      </c>
      <c r="G346" t="str">
        <f>"09-K14-02"</f>
        <v>09-K14-02</v>
      </c>
      <c r="H346">
        <v>0.50549999999999995</v>
      </c>
      <c r="J346" t="s">
        <v>14</v>
      </c>
      <c r="K346" t="str">
        <f>"4F4"</f>
        <v>4F4</v>
      </c>
      <c r="L346" t="s">
        <v>15</v>
      </c>
    </row>
    <row r="347" spans="1:12" x14ac:dyDescent="0.25">
      <c r="A347" t="str">
        <f>"0452257190"</f>
        <v>0452257190</v>
      </c>
      <c r="B347" t="str">
        <f t="shared" si="5"/>
        <v>89301000</v>
      </c>
      <c r="C347" s="1">
        <v>44409</v>
      </c>
      <c r="D347" s="1">
        <v>44411</v>
      </c>
      <c r="E347">
        <v>1</v>
      </c>
      <c r="F347" t="s">
        <v>92</v>
      </c>
      <c r="G347" t="str">
        <f>"05-K15-02"</f>
        <v>05-K15-02</v>
      </c>
      <c r="H347">
        <v>0.47510000000000002</v>
      </c>
      <c r="I347" t="s">
        <v>354</v>
      </c>
      <c r="J347" t="s">
        <v>14</v>
      </c>
      <c r="K347" t="str">
        <f>"3F1"</f>
        <v>3F1</v>
      </c>
      <c r="L347" t="s">
        <v>15</v>
      </c>
    </row>
    <row r="348" spans="1:12" x14ac:dyDescent="0.25">
      <c r="A348" t="str">
        <f>"0452277199"</f>
        <v>0452277199</v>
      </c>
      <c r="B348" t="str">
        <f t="shared" si="5"/>
        <v>89301000</v>
      </c>
      <c r="C348" s="1">
        <v>44384</v>
      </c>
      <c r="D348" s="1">
        <v>44390</v>
      </c>
      <c r="E348">
        <v>1</v>
      </c>
      <c r="F348" t="s">
        <v>335</v>
      </c>
      <c r="G348" t="str">
        <f>"07-I10-06"</f>
        <v>07-I10-06</v>
      </c>
      <c r="H348">
        <v>0.9728</v>
      </c>
      <c r="J348" t="s">
        <v>17</v>
      </c>
      <c r="K348" t="str">
        <f>"3F1"</f>
        <v>3F1</v>
      </c>
      <c r="L348" t="s">
        <v>15</v>
      </c>
    </row>
    <row r="349" spans="1:12" x14ac:dyDescent="0.25">
      <c r="A349" t="str">
        <f>"0453054360"</f>
        <v>0453054360</v>
      </c>
      <c r="B349" t="str">
        <f t="shared" si="5"/>
        <v>89301000</v>
      </c>
      <c r="C349" s="1">
        <v>44227</v>
      </c>
      <c r="D349" s="1">
        <v>44229</v>
      </c>
      <c r="E349">
        <v>1</v>
      </c>
      <c r="F349" t="s">
        <v>417</v>
      </c>
      <c r="G349" t="str">
        <f>"03-K10-01"</f>
        <v>03-K10-01</v>
      </c>
      <c r="H349">
        <v>0.52380000000000004</v>
      </c>
      <c r="J349" t="s">
        <v>14</v>
      </c>
      <c r="K349" t="str">
        <f>"3F1"</f>
        <v>3F1</v>
      </c>
      <c r="L349" t="s">
        <v>15</v>
      </c>
    </row>
    <row r="350" spans="1:12" x14ac:dyDescent="0.25">
      <c r="A350" t="str">
        <f>"0453094367"</f>
        <v>0453094367</v>
      </c>
      <c r="B350" t="str">
        <f t="shared" si="5"/>
        <v>89301000</v>
      </c>
      <c r="C350" s="1">
        <v>44518</v>
      </c>
      <c r="D350" s="1">
        <v>44520</v>
      </c>
      <c r="E350">
        <v>1</v>
      </c>
      <c r="F350" t="s">
        <v>221</v>
      </c>
      <c r="G350" t="str">
        <f>"01-K04-01"</f>
        <v>01-K04-01</v>
      </c>
      <c r="H350">
        <v>0.89180000000000004</v>
      </c>
      <c r="I350" t="s">
        <v>418</v>
      </c>
      <c r="J350" t="s">
        <v>14</v>
      </c>
      <c r="K350" t="str">
        <f>"2F9"</f>
        <v>2F9</v>
      </c>
      <c r="L350" t="s">
        <v>15</v>
      </c>
    </row>
    <row r="351" spans="1:12" x14ac:dyDescent="0.25">
      <c r="A351" t="str">
        <f>"0453264361"</f>
        <v>0453264361</v>
      </c>
      <c r="B351" t="str">
        <f t="shared" si="5"/>
        <v>89301000</v>
      </c>
      <c r="C351" s="1">
        <v>44315</v>
      </c>
      <c r="D351" s="1">
        <v>44319</v>
      </c>
      <c r="E351">
        <v>1</v>
      </c>
      <c r="F351" t="s">
        <v>419</v>
      </c>
      <c r="G351" t="str">
        <f>"09-K14-02"</f>
        <v>09-K14-02</v>
      </c>
      <c r="H351">
        <v>0.50549999999999995</v>
      </c>
      <c r="J351" t="s">
        <v>14</v>
      </c>
      <c r="K351" t="str">
        <f>"4F4"</f>
        <v>4F4</v>
      </c>
      <c r="L351" t="s">
        <v>15</v>
      </c>
    </row>
    <row r="352" spans="1:12" x14ac:dyDescent="0.25">
      <c r="A352" t="str">
        <f>"0454243273"</f>
        <v>0454243273</v>
      </c>
      <c r="B352" t="str">
        <f t="shared" si="5"/>
        <v>89301000</v>
      </c>
      <c r="C352" s="1">
        <v>44244</v>
      </c>
      <c r="D352" s="1">
        <v>44249</v>
      </c>
      <c r="E352">
        <v>1</v>
      </c>
      <c r="F352" t="s">
        <v>351</v>
      </c>
      <c r="G352" t="str">
        <f>"10-K04-04"</f>
        <v>10-K04-04</v>
      </c>
      <c r="H352">
        <v>0.56330000000000002</v>
      </c>
      <c r="I352" t="s">
        <v>168</v>
      </c>
      <c r="J352" t="s">
        <v>14</v>
      </c>
      <c r="K352" t="str">
        <f>"3F1"</f>
        <v>3F1</v>
      </c>
      <c r="L352" t="s">
        <v>15</v>
      </c>
    </row>
    <row r="353" spans="1:12" x14ac:dyDescent="0.25">
      <c r="A353" t="str">
        <f>"0454243273"</f>
        <v>0454243273</v>
      </c>
      <c r="B353" t="str">
        <f t="shared" si="5"/>
        <v>89301000</v>
      </c>
      <c r="C353" s="1">
        <v>44234</v>
      </c>
      <c r="D353" s="1">
        <v>44236</v>
      </c>
      <c r="E353">
        <v>1</v>
      </c>
      <c r="F353" t="s">
        <v>420</v>
      </c>
      <c r="G353" t="str">
        <f>"10-K03-04"</f>
        <v>10-K03-04</v>
      </c>
      <c r="H353">
        <v>0.65159999999999996</v>
      </c>
      <c r="I353" t="s">
        <v>421</v>
      </c>
      <c r="J353" t="s">
        <v>14</v>
      </c>
      <c r="K353" t="str">
        <f>"3F1"</f>
        <v>3F1</v>
      </c>
      <c r="L353" t="s">
        <v>15</v>
      </c>
    </row>
    <row r="354" spans="1:12" x14ac:dyDescent="0.25">
      <c r="A354" t="str">
        <f>"0455183234"</f>
        <v>0455183234</v>
      </c>
      <c r="B354" t="str">
        <f t="shared" si="5"/>
        <v>89301000</v>
      </c>
      <c r="C354" s="1">
        <v>44434</v>
      </c>
      <c r="D354" s="1">
        <v>44435</v>
      </c>
      <c r="E354">
        <v>1</v>
      </c>
      <c r="F354" t="s">
        <v>111</v>
      </c>
      <c r="G354" t="str">
        <f>"08-M03-02"</f>
        <v>08-M03-02</v>
      </c>
      <c r="H354">
        <v>0.86970000000000003</v>
      </c>
      <c r="J354" t="s">
        <v>14</v>
      </c>
      <c r="K354" t="str">
        <f>"6F6"</f>
        <v>6F6</v>
      </c>
      <c r="L354" t="s">
        <v>15</v>
      </c>
    </row>
    <row r="355" spans="1:12" x14ac:dyDescent="0.25">
      <c r="A355" t="str">
        <f>"0455306159"</f>
        <v>0455306159</v>
      </c>
      <c r="B355" t="str">
        <f t="shared" si="5"/>
        <v>89301000</v>
      </c>
      <c r="C355" s="1">
        <v>44377</v>
      </c>
      <c r="D355" s="1">
        <v>44381</v>
      </c>
      <c r="E355">
        <v>1</v>
      </c>
      <c r="F355" t="s">
        <v>151</v>
      </c>
      <c r="G355" t="str">
        <f>"06-I16-04"</f>
        <v>06-I16-04</v>
      </c>
      <c r="H355">
        <v>0.67620000000000002</v>
      </c>
      <c r="I355" t="s">
        <v>422</v>
      </c>
      <c r="J355" t="s">
        <v>24</v>
      </c>
      <c r="K355" t="str">
        <f>"3F1"</f>
        <v>3F1</v>
      </c>
      <c r="L355" t="s">
        <v>15</v>
      </c>
    </row>
    <row r="356" spans="1:12" x14ac:dyDescent="0.25">
      <c r="A356" t="str">
        <f>"0455311384"</f>
        <v>0455311384</v>
      </c>
      <c r="B356" t="str">
        <f t="shared" si="5"/>
        <v>89301000</v>
      </c>
      <c r="C356" s="1">
        <v>44289</v>
      </c>
      <c r="D356" s="1">
        <v>44295</v>
      </c>
      <c r="E356">
        <v>1</v>
      </c>
      <c r="F356" t="s">
        <v>102</v>
      </c>
      <c r="G356" t="str">
        <f>"03-K06-01"</f>
        <v>03-K06-01</v>
      </c>
      <c r="H356">
        <v>0.4718</v>
      </c>
      <c r="I356" t="s">
        <v>423</v>
      </c>
      <c r="J356" t="s">
        <v>14</v>
      </c>
      <c r="K356" t="str">
        <f>"3F1"</f>
        <v>3F1</v>
      </c>
      <c r="L356" t="s">
        <v>15</v>
      </c>
    </row>
    <row r="357" spans="1:12" x14ac:dyDescent="0.25">
      <c r="A357" t="str">
        <f>"0456017474"</f>
        <v>0456017474</v>
      </c>
      <c r="B357" t="str">
        <f t="shared" si="5"/>
        <v>89301000</v>
      </c>
      <c r="C357" s="1">
        <v>44541</v>
      </c>
      <c r="D357" s="1">
        <v>44544</v>
      </c>
      <c r="E357">
        <v>5</v>
      </c>
      <c r="F357" t="s">
        <v>424</v>
      </c>
      <c r="G357" t="str">
        <f>"07-M02-04"</f>
        <v>07-M02-04</v>
      </c>
      <c r="H357">
        <v>0.94069999999999998</v>
      </c>
      <c r="I357" t="s">
        <v>425</v>
      </c>
      <c r="J357" t="s">
        <v>17</v>
      </c>
      <c r="K357" t="str">
        <f>"3T1"</f>
        <v>3T1</v>
      </c>
      <c r="L357" t="s">
        <v>15</v>
      </c>
    </row>
    <row r="358" spans="1:12" x14ac:dyDescent="0.25">
      <c r="A358" t="str">
        <f>"0456113229"</f>
        <v>0456113229</v>
      </c>
      <c r="B358" t="str">
        <f t="shared" si="5"/>
        <v>89301000</v>
      </c>
      <c r="C358" s="1">
        <v>44454</v>
      </c>
      <c r="D358" s="1">
        <v>44458</v>
      </c>
      <c r="E358">
        <v>1</v>
      </c>
      <c r="F358" t="s">
        <v>75</v>
      </c>
      <c r="G358" t="str">
        <f>"14-M01-05"</f>
        <v>14-M01-05</v>
      </c>
      <c r="H358">
        <v>0.54239999999999999</v>
      </c>
      <c r="I358" t="s">
        <v>426</v>
      </c>
      <c r="J358" t="s">
        <v>59</v>
      </c>
      <c r="K358" t="str">
        <f>"6F3"</f>
        <v>6F3</v>
      </c>
      <c r="L358" t="s">
        <v>15</v>
      </c>
    </row>
    <row r="359" spans="1:12" x14ac:dyDescent="0.25">
      <c r="A359" t="str">
        <f>"0457201877"</f>
        <v>0457201877</v>
      </c>
      <c r="B359" t="str">
        <f t="shared" si="5"/>
        <v>89301000</v>
      </c>
      <c r="C359" s="1">
        <v>44346</v>
      </c>
      <c r="D359" s="1">
        <v>44348</v>
      </c>
      <c r="E359">
        <v>1</v>
      </c>
      <c r="F359" t="s">
        <v>354</v>
      </c>
      <c r="G359" t="str">
        <f>"10-K14-05"</f>
        <v>10-K14-05</v>
      </c>
      <c r="H359">
        <v>0.34639999999999999</v>
      </c>
      <c r="I359" t="s">
        <v>427</v>
      </c>
      <c r="J359" t="s">
        <v>14</v>
      </c>
      <c r="K359" t="str">
        <f>"3F1"</f>
        <v>3F1</v>
      </c>
      <c r="L359" t="s">
        <v>15</v>
      </c>
    </row>
    <row r="360" spans="1:12" x14ac:dyDescent="0.25">
      <c r="A360" t="str">
        <f>"0457201877"</f>
        <v>0457201877</v>
      </c>
      <c r="B360" t="str">
        <f t="shared" si="5"/>
        <v>89301000</v>
      </c>
      <c r="C360" s="1">
        <v>44280</v>
      </c>
      <c r="D360" s="1">
        <v>44283</v>
      </c>
      <c r="E360">
        <v>1</v>
      </c>
      <c r="F360" t="s">
        <v>81</v>
      </c>
      <c r="G360" t="str">
        <f>"10-I13-03"</f>
        <v>10-I13-03</v>
      </c>
      <c r="H360">
        <v>0.90449999999999997</v>
      </c>
      <c r="J360" t="s">
        <v>24</v>
      </c>
      <c r="K360" t="str">
        <f>"5F5"</f>
        <v>5F5</v>
      </c>
      <c r="L360" t="s">
        <v>15</v>
      </c>
    </row>
    <row r="361" spans="1:12" x14ac:dyDescent="0.25">
      <c r="A361" t="str">
        <f>"0459076068"</f>
        <v>0459076068</v>
      </c>
      <c r="B361" t="str">
        <f t="shared" si="5"/>
        <v>89301000</v>
      </c>
      <c r="C361" s="1">
        <v>44531</v>
      </c>
      <c r="D361" s="1">
        <v>44537</v>
      </c>
      <c r="E361">
        <v>1</v>
      </c>
      <c r="F361" t="s">
        <v>23</v>
      </c>
      <c r="G361" t="str">
        <f>"06-I18-04"</f>
        <v>06-I18-04</v>
      </c>
      <c r="H361">
        <v>1.1514</v>
      </c>
      <c r="I361" t="s">
        <v>428</v>
      </c>
      <c r="J361" t="s">
        <v>24</v>
      </c>
      <c r="K361" t="str">
        <f>"3F1"</f>
        <v>3F1</v>
      </c>
      <c r="L361" t="s">
        <v>15</v>
      </c>
    </row>
    <row r="362" spans="1:12" x14ac:dyDescent="0.25">
      <c r="A362" t="str">
        <f>"0459145346"</f>
        <v>0459145346</v>
      </c>
      <c r="B362" t="str">
        <f t="shared" si="5"/>
        <v>89301000</v>
      </c>
      <c r="C362" s="1">
        <v>44292</v>
      </c>
      <c r="D362" s="1">
        <v>44296</v>
      </c>
      <c r="E362">
        <v>1</v>
      </c>
      <c r="F362" t="s">
        <v>70</v>
      </c>
      <c r="G362" t="str">
        <f>"09-K14-02"</f>
        <v>09-K14-02</v>
      </c>
      <c r="H362">
        <v>0.50549999999999995</v>
      </c>
      <c r="I362" t="s">
        <v>348</v>
      </c>
      <c r="J362" t="s">
        <v>14</v>
      </c>
      <c r="K362" t="str">
        <f>"4F4"</f>
        <v>4F4</v>
      </c>
      <c r="L362" t="s">
        <v>15</v>
      </c>
    </row>
    <row r="363" spans="1:12" x14ac:dyDescent="0.25">
      <c r="A363" t="str">
        <f>"0459167478"</f>
        <v>0459167478</v>
      </c>
      <c r="B363" t="str">
        <f t="shared" si="5"/>
        <v>89301000</v>
      </c>
      <c r="C363" s="1">
        <v>44419</v>
      </c>
      <c r="D363" s="1">
        <v>44423</v>
      </c>
      <c r="E363">
        <v>1</v>
      </c>
      <c r="F363" t="s">
        <v>81</v>
      </c>
      <c r="G363" t="str">
        <f>"10-I13-02"</f>
        <v>10-I13-02</v>
      </c>
      <c r="H363">
        <v>1.1468</v>
      </c>
      <c r="J363" t="s">
        <v>24</v>
      </c>
      <c r="K363" t="str">
        <f>"5F1"</f>
        <v>5F1</v>
      </c>
      <c r="L363" t="s">
        <v>15</v>
      </c>
    </row>
    <row r="364" spans="1:12" x14ac:dyDescent="0.25">
      <c r="A364" t="str">
        <f>"0459233236"</f>
        <v>0459233236</v>
      </c>
      <c r="B364" t="str">
        <f t="shared" si="5"/>
        <v>89301000</v>
      </c>
      <c r="C364" s="1">
        <v>44496</v>
      </c>
      <c r="D364" s="1">
        <v>44497</v>
      </c>
      <c r="E364">
        <v>1</v>
      </c>
      <c r="F364" t="s">
        <v>429</v>
      </c>
      <c r="G364" t="str">
        <f>"20-K01-06"</f>
        <v>20-K01-06</v>
      </c>
      <c r="H364">
        <v>0.25779999999999997</v>
      </c>
      <c r="I364" t="s">
        <v>168</v>
      </c>
      <c r="J364" t="s">
        <v>14</v>
      </c>
      <c r="K364" t="str">
        <f>"3F1"</f>
        <v>3F1</v>
      </c>
      <c r="L364" t="s">
        <v>15</v>
      </c>
    </row>
    <row r="365" spans="1:12" x14ac:dyDescent="0.25">
      <c r="A365" t="str">
        <f>"0459243246"</f>
        <v>0459243246</v>
      </c>
      <c r="B365" t="str">
        <f t="shared" si="5"/>
        <v>89301000</v>
      </c>
      <c r="C365" s="1">
        <v>44428</v>
      </c>
      <c r="D365" s="1">
        <v>44432</v>
      </c>
      <c r="E365">
        <v>1</v>
      </c>
      <c r="F365" t="s">
        <v>48</v>
      </c>
      <c r="G365" t="str">
        <f>"07-K05-02"</f>
        <v>07-K05-02</v>
      </c>
      <c r="H365">
        <v>0.60189999999999999</v>
      </c>
      <c r="J365" t="s">
        <v>14</v>
      </c>
      <c r="K365" t="str">
        <f>"3F1"</f>
        <v>3F1</v>
      </c>
      <c r="L365" t="s">
        <v>15</v>
      </c>
    </row>
    <row r="366" spans="1:12" x14ac:dyDescent="0.25">
      <c r="A366" t="str">
        <f>"0460066068"</f>
        <v>0460066068</v>
      </c>
      <c r="B366" t="str">
        <f t="shared" si="5"/>
        <v>89301000</v>
      </c>
      <c r="C366" s="1">
        <v>44225</v>
      </c>
      <c r="D366" s="1">
        <v>44229</v>
      </c>
      <c r="E366">
        <v>1</v>
      </c>
      <c r="F366" t="s">
        <v>430</v>
      </c>
      <c r="G366" t="str">
        <f>"21-K05-01"</f>
        <v>21-K05-01</v>
      </c>
      <c r="H366">
        <v>1.5164</v>
      </c>
      <c r="I366" t="s">
        <v>431</v>
      </c>
      <c r="J366" t="s">
        <v>14</v>
      </c>
      <c r="K366" t="str">
        <f>"3F1"</f>
        <v>3F1</v>
      </c>
      <c r="L366" t="s">
        <v>15</v>
      </c>
    </row>
    <row r="367" spans="1:12" x14ac:dyDescent="0.25">
      <c r="A367" t="str">
        <f>"0460073251"</f>
        <v>0460073251</v>
      </c>
      <c r="B367" t="str">
        <f t="shared" si="5"/>
        <v>89301000</v>
      </c>
      <c r="C367" s="1">
        <v>44280</v>
      </c>
      <c r="D367" s="1">
        <v>44284</v>
      </c>
      <c r="E367">
        <v>1</v>
      </c>
      <c r="F367" t="s">
        <v>70</v>
      </c>
      <c r="G367" t="str">
        <f>"09-K14-02"</f>
        <v>09-K14-02</v>
      </c>
      <c r="H367">
        <v>0.50549999999999995</v>
      </c>
      <c r="J367" t="s">
        <v>14</v>
      </c>
      <c r="K367" t="str">
        <f>"4F4"</f>
        <v>4F4</v>
      </c>
      <c r="L367" t="s">
        <v>15</v>
      </c>
    </row>
    <row r="368" spans="1:12" x14ac:dyDescent="0.25">
      <c r="A368" t="str">
        <f>"0460133267"</f>
        <v>0460133267</v>
      </c>
      <c r="B368" t="str">
        <f t="shared" si="5"/>
        <v>89301000</v>
      </c>
      <c r="C368" s="1">
        <v>44201</v>
      </c>
      <c r="D368" s="1">
        <v>44209</v>
      </c>
      <c r="E368">
        <v>1</v>
      </c>
      <c r="F368" t="s">
        <v>60</v>
      </c>
      <c r="G368" t="str">
        <f>"14-K03-02"</f>
        <v>14-K03-02</v>
      </c>
      <c r="H368">
        <v>0.33150000000000002</v>
      </c>
      <c r="I368" t="s">
        <v>432</v>
      </c>
      <c r="J368" t="s">
        <v>14</v>
      </c>
      <c r="K368" t="str">
        <f>"6F3"</f>
        <v>6F3</v>
      </c>
      <c r="L368" t="s">
        <v>15</v>
      </c>
    </row>
    <row r="369" spans="1:12" x14ac:dyDescent="0.25">
      <c r="A369" t="str">
        <f>"0460133267"</f>
        <v>0460133267</v>
      </c>
      <c r="B369" t="str">
        <f t="shared" si="5"/>
        <v>89301000</v>
      </c>
      <c r="C369" s="1">
        <v>44224</v>
      </c>
      <c r="D369" s="1">
        <v>44238</v>
      </c>
      <c r="E369">
        <v>1</v>
      </c>
      <c r="F369" t="s">
        <v>116</v>
      </c>
      <c r="G369" t="str">
        <f>"14-M01-01"</f>
        <v>14-M01-01</v>
      </c>
      <c r="H369">
        <v>0.88219999999999998</v>
      </c>
      <c r="I369" t="s">
        <v>433</v>
      </c>
      <c r="J369" t="s">
        <v>59</v>
      </c>
      <c r="K369" t="str">
        <f>"6F3"</f>
        <v>6F3</v>
      </c>
      <c r="L369" t="s">
        <v>15</v>
      </c>
    </row>
    <row r="370" spans="1:12" x14ac:dyDescent="0.25">
      <c r="A370" t="str">
        <f>"0460266158"</f>
        <v>0460266158</v>
      </c>
      <c r="B370" t="str">
        <f t="shared" si="5"/>
        <v>89301000</v>
      </c>
      <c r="C370" s="1">
        <v>44254</v>
      </c>
      <c r="D370" s="1">
        <v>44264</v>
      </c>
      <c r="E370">
        <v>1</v>
      </c>
      <c r="F370" t="s">
        <v>32</v>
      </c>
      <c r="G370" t="str">
        <f>"25-K01-02"</f>
        <v>25-K01-02</v>
      </c>
      <c r="H370">
        <v>2.6412</v>
      </c>
      <c r="I370" t="s">
        <v>434</v>
      </c>
      <c r="J370" t="s">
        <v>17</v>
      </c>
      <c r="K370" t="str">
        <f>"3F1"</f>
        <v>3F1</v>
      </c>
      <c r="L370" t="s">
        <v>15</v>
      </c>
    </row>
    <row r="371" spans="1:12" x14ac:dyDescent="0.25">
      <c r="A371" t="str">
        <f>"0461026082"</f>
        <v>0461026082</v>
      </c>
      <c r="B371" t="str">
        <f t="shared" si="5"/>
        <v>89301000</v>
      </c>
      <c r="C371" s="1">
        <v>44360</v>
      </c>
      <c r="D371" s="1">
        <v>44370</v>
      </c>
      <c r="E371">
        <v>1</v>
      </c>
      <c r="F371" t="s">
        <v>435</v>
      </c>
      <c r="G371" t="str">
        <f>"19-K04-02"</f>
        <v>19-K04-02</v>
      </c>
      <c r="H371">
        <v>1.4597</v>
      </c>
      <c r="I371" t="s">
        <v>436</v>
      </c>
      <c r="J371" t="s">
        <v>27</v>
      </c>
      <c r="K371" t="str">
        <f>"3F5"</f>
        <v>3F5</v>
      </c>
      <c r="L371" t="s">
        <v>15</v>
      </c>
    </row>
    <row r="372" spans="1:12" x14ac:dyDescent="0.25">
      <c r="A372" t="str">
        <f>"0461061392"</f>
        <v>0461061392</v>
      </c>
      <c r="B372" t="str">
        <f t="shared" si="5"/>
        <v>89301000</v>
      </c>
      <c r="C372" s="1">
        <v>44264</v>
      </c>
      <c r="D372" s="1">
        <v>44265</v>
      </c>
      <c r="E372">
        <v>1</v>
      </c>
      <c r="F372" t="s">
        <v>437</v>
      </c>
      <c r="G372" t="str">
        <f>"07-K01-02"</f>
        <v>07-K01-02</v>
      </c>
      <c r="H372">
        <v>0.62419999999999998</v>
      </c>
      <c r="I372" t="s">
        <v>438</v>
      </c>
      <c r="J372" t="s">
        <v>14</v>
      </c>
      <c r="K372" t="str">
        <f>"3F1"</f>
        <v>3F1</v>
      </c>
      <c r="L372" t="s">
        <v>15</v>
      </c>
    </row>
    <row r="373" spans="1:12" x14ac:dyDescent="0.25">
      <c r="A373" t="str">
        <f>"0462223256"</f>
        <v>0462223256</v>
      </c>
      <c r="B373" t="str">
        <f t="shared" si="5"/>
        <v>89301000</v>
      </c>
      <c r="C373" s="1">
        <v>44520</v>
      </c>
      <c r="D373" s="1">
        <v>44524</v>
      </c>
      <c r="E373">
        <v>1</v>
      </c>
      <c r="F373" t="s">
        <v>43</v>
      </c>
      <c r="G373" t="str">
        <f>"06-I18-04"</f>
        <v>06-I18-04</v>
      </c>
      <c r="H373">
        <v>1.1514</v>
      </c>
      <c r="I373" t="s">
        <v>168</v>
      </c>
      <c r="J373" t="s">
        <v>24</v>
      </c>
      <c r="K373" t="str">
        <f>"3F1"</f>
        <v>3F1</v>
      </c>
      <c r="L373" t="s">
        <v>15</v>
      </c>
    </row>
    <row r="374" spans="1:12" x14ac:dyDescent="0.25">
      <c r="A374" t="str">
        <f>"0501055269"</f>
        <v>0501055269</v>
      </c>
      <c r="B374" t="str">
        <f t="shared" si="5"/>
        <v>89301000</v>
      </c>
      <c r="C374" s="1">
        <v>44374</v>
      </c>
      <c r="D374" s="1">
        <v>44377</v>
      </c>
      <c r="E374">
        <v>1</v>
      </c>
      <c r="F374" t="s">
        <v>439</v>
      </c>
      <c r="G374" t="str">
        <f>"03-K06-01"</f>
        <v>03-K06-01</v>
      </c>
      <c r="H374">
        <v>0.4718</v>
      </c>
      <c r="I374" t="s">
        <v>440</v>
      </c>
      <c r="J374" t="s">
        <v>14</v>
      </c>
      <c r="K374" t="str">
        <f>"3F1"</f>
        <v>3F1</v>
      </c>
      <c r="L374" t="s">
        <v>15</v>
      </c>
    </row>
    <row r="375" spans="1:12" x14ac:dyDescent="0.25">
      <c r="A375" t="str">
        <f>"0501065345"</f>
        <v>0501065345</v>
      </c>
      <c r="B375" t="str">
        <f t="shared" si="5"/>
        <v>89301000</v>
      </c>
      <c r="C375" s="1">
        <v>44340</v>
      </c>
      <c r="D375" s="1">
        <v>44342</v>
      </c>
      <c r="E375">
        <v>1</v>
      </c>
      <c r="F375" t="s">
        <v>174</v>
      </c>
      <c r="G375" t="str">
        <f>"12-I14-00"</f>
        <v>12-I14-00</v>
      </c>
      <c r="H375">
        <v>0.44350000000000001</v>
      </c>
      <c r="J375" t="s">
        <v>14</v>
      </c>
      <c r="K375" t="str">
        <f>"3F1"</f>
        <v>3F1</v>
      </c>
      <c r="L375" t="s">
        <v>15</v>
      </c>
    </row>
    <row r="376" spans="1:12" x14ac:dyDescent="0.25">
      <c r="A376" t="str">
        <f>"0501136075"</f>
        <v>0501136075</v>
      </c>
      <c r="B376" t="str">
        <f t="shared" si="5"/>
        <v>89301000</v>
      </c>
      <c r="C376" s="1">
        <v>44362</v>
      </c>
      <c r="D376" s="1">
        <v>44364</v>
      </c>
      <c r="E376">
        <v>1</v>
      </c>
      <c r="F376" t="s">
        <v>173</v>
      </c>
      <c r="G376" t="str">
        <f>"08-I32-02"</f>
        <v>08-I32-02</v>
      </c>
      <c r="H376">
        <v>0.4143</v>
      </c>
      <c r="I376" t="s">
        <v>441</v>
      </c>
      <c r="J376" t="s">
        <v>14</v>
      </c>
      <c r="K376" t="str">
        <f>"3F1"</f>
        <v>3F1</v>
      </c>
      <c r="L376" t="s">
        <v>15</v>
      </c>
    </row>
    <row r="377" spans="1:12" x14ac:dyDescent="0.25">
      <c r="A377" t="str">
        <f>"0502040385"</f>
        <v>0502040385</v>
      </c>
      <c r="B377" t="str">
        <f t="shared" si="5"/>
        <v>89301000</v>
      </c>
      <c r="C377" s="1">
        <v>44501</v>
      </c>
      <c r="D377" s="1">
        <v>44504</v>
      </c>
      <c r="E377">
        <v>1</v>
      </c>
      <c r="F377" t="s">
        <v>212</v>
      </c>
      <c r="G377" t="str">
        <f>"08-M03-04"</f>
        <v>08-M03-04</v>
      </c>
      <c r="H377">
        <v>0.8609</v>
      </c>
      <c r="J377" t="s">
        <v>14</v>
      </c>
      <c r="K377" t="str">
        <f>"6F6"</f>
        <v>6F6</v>
      </c>
      <c r="L377" t="s">
        <v>15</v>
      </c>
    </row>
    <row r="378" spans="1:12" x14ac:dyDescent="0.25">
      <c r="A378" t="str">
        <f>"0502117440"</f>
        <v>0502117440</v>
      </c>
      <c r="B378" t="str">
        <f t="shared" si="5"/>
        <v>89301000</v>
      </c>
      <c r="C378" s="1">
        <v>44490</v>
      </c>
      <c r="D378" s="1">
        <v>44492</v>
      </c>
      <c r="E378">
        <v>1</v>
      </c>
      <c r="F378" t="s">
        <v>442</v>
      </c>
      <c r="G378" t="str">
        <f>"03-K08-00"</f>
        <v>03-K08-00</v>
      </c>
      <c r="H378">
        <v>0.42749999999999999</v>
      </c>
      <c r="J378" t="s">
        <v>14</v>
      </c>
      <c r="K378" t="str">
        <f t="shared" ref="K378:K384" si="6">"3F1"</f>
        <v>3F1</v>
      </c>
      <c r="L378" t="s">
        <v>15</v>
      </c>
    </row>
    <row r="379" spans="1:12" x14ac:dyDescent="0.25">
      <c r="A379" t="str">
        <f>"0502143290"</f>
        <v>0502143290</v>
      </c>
      <c r="B379" t="str">
        <f t="shared" si="5"/>
        <v>89301000</v>
      </c>
      <c r="C379" s="1">
        <v>44222</v>
      </c>
      <c r="D379" s="1">
        <v>44224</v>
      </c>
      <c r="E379">
        <v>1</v>
      </c>
      <c r="F379" t="s">
        <v>262</v>
      </c>
      <c r="G379" t="str">
        <f>"21-K05-03"</f>
        <v>21-K05-03</v>
      </c>
      <c r="H379">
        <v>0.46750000000000003</v>
      </c>
      <c r="I379" t="s">
        <v>443</v>
      </c>
      <c r="J379" t="s">
        <v>14</v>
      </c>
      <c r="K379" t="str">
        <f t="shared" si="6"/>
        <v>3F1</v>
      </c>
      <c r="L379" t="s">
        <v>15</v>
      </c>
    </row>
    <row r="380" spans="1:12" x14ac:dyDescent="0.25">
      <c r="A380" t="str">
        <f>"0502225284"</f>
        <v>0502225284</v>
      </c>
      <c r="B380" t="str">
        <f t="shared" si="5"/>
        <v>89301000</v>
      </c>
      <c r="C380" s="1">
        <v>44419</v>
      </c>
      <c r="D380" s="1">
        <v>44421</v>
      </c>
      <c r="E380">
        <v>1</v>
      </c>
      <c r="F380" t="s">
        <v>39</v>
      </c>
      <c r="G380" t="str">
        <f>"03-I19-03"</f>
        <v>03-I19-03</v>
      </c>
      <c r="H380">
        <v>0.60699999999999998</v>
      </c>
      <c r="J380" t="s">
        <v>14</v>
      </c>
      <c r="K380" t="str">
        <f t="shared" si="6"/>
        <v>3F1</v>
      </c>
      <c r="L380" t="s">
        <v>15</v>
      </c>
    </row>
    <row r="381" spans="1:12" x14ac:dyDescent="0.25">
      <c r="A381" t="str">
        <f>"0503021376"</f>
        <v>0503021376</v>
      </c>
      <c r="B381" t="str">
        <f t="shared" si="5"/>
        <v>89301000</v>
      </c>
      <c r="C381" s="1">
        <v>44327</v>
      </c>
      <c r="D381" s="1">
        <v>44328</v>
      </c>
      <c r="E381">
        <v>1</v>
      </c>
      <c r="F381" t="s">
        <v>334</v>
      </c>
      <c r="G381" t="str">
        <f>"06-K03-03"</f>
        <v>06-K03-03</v>
      </c>
      <c r="H381">
        <v>0.44019999999999998</v>
      </c>
      <c r="J381" t="s">
        <v>14</v>
      </c>
      <c r="K381" t="str">
        <f t="shared" si="6"/>
        <v>3F1</v>
      </c>
      <c r="L381" t="s">
        <v>15</v>
      </c>
    </row>
    <row r="382" spans="1:12" x14ac:dyDescent="0.25">
      <c r="A382" t="str">
        <f>"0503046214"</f>
        <v>0503046214</v>
      </c>
      <c r="B382" t="str">
        <f t="shared" ref="B382:B445" si="7">"89301000"</f>
        <v>89301000</v>
      </c>
      <c r="C382" s="1">
        <v>44259</v>
      </c>
      <c r="D382" s="1">
        <v>44272</v>
      </c>
      <c r="E382">
        <v>1</v>
      </c>
      <c r="F382" t="s">
        <v>351</v>
      </c>
      <c r="G382" t="str">
        <f>"10-K04-04"</f>
        <v>10-K04-04</v>
      </c>
      <c r="H382">
        <v>0.67559999999999998</v>
      </c>
      <c r="I382" t="s">
        <v>444</v>
      </c>
      <c r="J382" t="s">
        <v>14</v>
      </c>
      <c r="K382" t="str">
        <f t="shared" si="6"/>
        <v>3F1</v>
      </c>
      <c r="L382" t="s">
        <v>15</v>
      </c>
    </row>
    <row r="383" spans="1:12" x14ac:dyDescent="0.25">
      <c r="A383" t="str">
        <f>"0504105261"</f>
        <v>0504105261</v>
      </c>
      <c r="B383" t="str">
        <f t="shared" si="7"/>
        <v>89301000</v>
      </c>
      <c r="C383" s="1">
        <v>44558</v>
      </c>
      <c r="D383" s="1">
        <v>44559</v>
      </c>
      <c r="E383">
        <v>1</v>
      </c>
      <c r="F383" t="s">
        <v>445</v>
      </c>
      <c r="G383" t="str">
        <f>"08-K13-02"</f>
        <v>08-K13-02</v>
      </c>
      <c r="H383">
        <v>0.47210000000000002</v>
      </c>
      <c r="I383" t="s">
        <v>446</v>
      </c>
      <c r="J383" t="s">
        <v>14</v>
      </c>
      <c r="K383" t="str">
        <f t="shared" si="6"/>
        <v>3F1</v>
      </c>
      <c r="L383" t="s">
        <v>15</v>
      </c>
    </row>
    <row r="384" spans="1:12" x14ac:dyDescent="0.25">
      <c r="A384" t="str">
        <f>"0504252342"</f>
        <v>0504252342</v>
      </c>
      <c r="B384" t="str">
        <f t="shared" si="7"/>
        <v>89301000</v>
      </c>
      <c r="C384" s="1">
        <v>44511</v>
      </c>
      <c r="D384" s="1">
        <v>44513</v>
      </c>
      <c r="E384">
        <v>1</v>
      </c>
      <c r="F384" t="s">
        <v>447</v>
      </c>
      <c r="G384" t="str">
        <f>"11-I17-03"</f>
        <v>11-I17-03</v>
      </c>
      <c r="H384">
        <v>0.50609999999999999</v>
      </c>
      <c r="I384" t="s">
        <v>448</v>
      </c>
      <c r="J384" t="s">
        <v>14</v>
      </c>
      <c r="K384" t="str">
        <f t="shared" si="6"/>
        <v>3F1</v>
      </c>
      <c r="L384" t="s">
        <v>15</v>
      </c>
    </row>
    <row r="385" spans="1:12" x14ac:dyDescent="0.25">
      <c r="A385" t="str">
        <f>"0505063251"</f>
        <v>0505063251</v>
      </c>
      <c r="B385" t="str">
        <f t="shared" si="7"/>
        <v>89301000</v>
      </c>
      <c r="C385" s="1">
        <v>44249</v>
      </c>
      <c r="D385" s="1">
        <v>44250</v>
      </c>
      <c r="E385">
        <v>1</v>
      </c>
      <c r="F385" t="s">
        <v>449</v>
      </c>
      <c r="G385" t="str">
        <f>"02-I11-01"</f>
        <v>02-I11-01</v>
      </c>
      <c r="H385">
        <v>0.87619999999999998</v>
      </c>
      <c r="I385" t="s">
        <v>450</v>
      </c>
      <c r="J385" t="s">
        <v>17</v>
      </c>
      <c r="K385" t="str">
        <f>"7F5"</f>
        <v>7F5</v>
      </c>
      <c r="L385" t="s">
        <v>15</v>
      </c>
    </row>
    <row r="386" spans="1:12" x14ac:dyDescent="0.25">
      <c r="A386" t="str">
        <f>"0505146070"</f>
        <v>0505146070</v>
      </c>
      <c r="B386" t="str">
        <f t="shared" si="7"/>
        <v>89301000</v>
      </c>
      <c r="C386" s="1">
        <v>44371</v>
      </c>
      <c r="D386" s="1">
        <v>44372</v>
      </c>
      <c r="E386">
        <v>1</v>
      </c>
      <c r="F386" t="s">
        <v>451</v>
      </c>
      <c r="G386" t="str">
        <f>"01-K07-03"</f>
        <v>01-K07-03</v>
      </c>
      <c r="H386">
        <v>0.4642</v>
      </c>
      <c r="J386" t="s">
        <v>14</v>
      </c>
      <c r="K386" t="str">
        <f>"3F1"</f>
        <v>3F1</v>
      </c>
      <c r="L386" t="s">
        <v>15</v>
      </c>
    </row>
    <row r="387" spans="1:12" x14ac:dyDescent="0.25">
      <c r="A387" t="str">
        <f>"0506015268"</f>
        <v>0506015268</v>
      </c>
      <c r="B387" t="str">
        <f t="shared" si="7"/>
        <v>89301000</v>
      </c>
      <c r="C387" s="1">
        <v>44505</v>
      </c>
      <c r="D387" s="1">
        <v>44509</v>
      </c>
      <c r="E387">
        <v>1</v>
      </c>
      <c r="F387" t="s">
        <v>43</v>
      </c>
      <c r="G387" t="str">
        <f>"06-I18-04"</f>
        <v>06-I18-04</v>
      </c>
      <c r="H387">
        <v>1.1514</v>
      </c>
      <c r="I387" t="s">
        <v>168</v>
      </c>
      <c r="J387" t="s">
        <v>24</v>
      </c>
      <c r="K387" t="str">
        <f>"3F1"</f>
        <v>3F1</v>
      </c>
      <c r="L387" t="s">
        <v>15</v>
      </c>
    </row>
    <row r="388" spans="1:12" x14ac:dyDescent="0.25">
      <c r="A388" t="str">
        <f>"0506103235"</f>
        <v>0506103235</v>
      </c>
      <c r="B388" t="str">
        <f t="shared" si="7"/>
        <v>89301000</v>
      </c>
      <c r="C388" s="1">
        <v>44428</v>
      </c>
      <c r="D388" s="1">
        <v>44435</v>
      </c>
      <c r="E388">
        <v>1</v>
      </c>
      <c r="F388" t="s">
        <v>452</v>
      </c>
      <c r="G388" t="str">
        <f>"06-K04-03"</f>
        <v>06-K04-03</v>
      </c>
      <c r="H388">
        <v>0.38250000000000001</v>
      </c>
      <c r="I388" t="s">
        <v>453</v>
      </c>
      <c r="J388" t="s">
        <v>14</v>
      </c>
      <c r="K388" t="str">
        <f>"3F1"</f>
        <v>3F1</v>
      </c>
      <c r="L388" t="s">
        <v>15</v>
      </c>
    </row>
    <row r="389" spans="1:12" x14ac:dyDescent="0.25">
      <c r="A389" t="str">
        <f>"0506176077"</f>
        <v>0506176077</v>
      </c>
      <c r="B389" t="str">
        <f t="shared" si="7"/>
        <v>89301000</v>
      </c>
      <c r="C389" s="1">
        <v>44222</v>
      </c>
      <c r="D389" s="1">
        <v>44224</v>
      </c>
      <c r="E389">
        <v>1</v>
      </c>
      <c r="F389" t="s">
        <v>454</v>
      </c>
      <c r="G389" t="str">
        <f>"08-I20-03"</f>
        <v>08-I20-03</v>
      </c>
      <c r="H389">
        <v>0.63300000000000001</v>
      </c>
      <c r="I389" t="s">
        <v>455</v>
      </c>
      <c r="J389" t="s">
        <v>17</v>
      </c>
      <c r="K389" t="str">
        <f>"5F3"</f>
        <v>5F3</v>
      </c>
      <c r="L389" t="s">
        <v>15</v>
      </c>
    </row>
    <row r="390" spans="1:12" x14ac:dyDescent="0.25">
      <c r="A390" t="str">
        <f>"0506291379"</f>
        <v>0506291379</v>
      </c>
      <c r="B390" t="str">
        <f t="shared" si="7"/>
        <v>89301000</v>
      </c>
      <c r="C390" s="1">
        <v>44391</v>
      </c>
      <c r="D390" s="1">
        <v>44394</v>
      </c>
      <c r="E390">
        <v>1</v>
      </c>
      <c r="F390" t="s">
        <v>174</v>
      </c>
      <c r="G390" t="str">
        <f>"12-I14-00"</f>
        <v>12-I14-00</v>
      </c>
      <c r="H390">
        <v>0.44350000000000001</v>
      </c>
      <c r="J390" t="s">
        <v>14</v>
      </c>
      <c r="K390" t="str">
        <f>"3F1"</f>
        <v>3F1</v>
      </c>
      <c r="L390" t="s">
        <v>15</v>
      </c>
    </row>
    <row r="391" spans="1:12" x14ac:dyDescent="0.25">
      <c r="A391" t="str">
        <f>"0507156067"</f>
        <v>0507156067</v>
      </c>
      <c r="B391" t="str">
        <f t="shared" si="7"/>
        <v>89301000</v>
      </c>
      <c r="C391" s="1">
        <v>44452</v>
      </c>
      <c r="D391" s="1">
        <v>44453</v>
      </c>
      <c r="E391">
        <v>1</v>
      </c>
      <c r="F391" t="s">
        <v>456</v>
      </c>
      <c r="G391" t="str">
        <f>"08-I13-06"</f>
        <v>08-I13-06</v>
      </c>
      <c r="H391">
        <v>1.4354</v>
      </c>
      <c r="I391" t="s">
        <v>244</v>
      </c>
      <c r="J391" t="s">
        <v>17</v>
      </c>
      <c r="K391" t="str">
        <f>"5F3"</f>
        <v>5F3</v>
      </c>
      <c r="L391" t="s">
        <v>15</v>
      </c>
    </row>
    <row r="392" spans="1:12" x14ac:dyDescent="0.25">
      <c r="A392" t="str">
        <f>"0508113276"</f>
        <v>0508113276</v>
      </c>
      <c r="B392" t="str">
        <f t="shared" si="7"/>
        <v>89301000</v>
      </c>
      <c r="C392" s="1">
        <v>44397</v>
      </c>
      <c r="D392" s="1">
        <v>44398</v>
      </c>
      <c r="E392">
        <v>1</v>
      </c>
      <c r="F392" t="s">
        <v>457</v>
      </c>
      <c r="G392" t="str">
        <f>"08-I20-03"</f>
        <v>08-I20-03</v>
      </c>
      <c r="H392">
        <v>0.63300000000000001</v>
      </c>
      <c r="I392" t="s">
        <v>458</v>
      </c>
      <c r="J392" t="s">
        <v>17</v>
      </c>
      <c r="K392" t="str">
        <f>"5F3"</f>
        <v>5F3</v>
      </c>
      <c r="L392" t="s">
        <v>15</v>
      </c>
    </row>
    <row r="393" spans="1:12" x14ac:dyDescent="0.25">
      <c r="A393" t="str">
        <f>"0508123231"</f>
        <v>0508123231</v>
      </c>
      <c r="B393" t="str">
        <f t="shared" si="7"/>
        <v>89301000</v>
      </c>
      <c r="C393" s="1">
        <v>44436</v>
      </c>
      <c r="D393" s="1">
        <v>44437</v>
      </c>
      <c r="E393">
        <v>1</v>
      </c>
      <c r="F393" t="s">
        <v>182</v>
      </c>
      <c r="G393" t="str">
        <f>"20-K01-04"</f>
        <v>20-K01-04</v>
      </c>
      <c r="H393">
        <v>0.38159999999999999</v>
      </c>
      <c r="J393" t="s">
        <v>14</v>
      </c>
      <c r="K393" t="str">
        <f>"3F1"</f>
        <v>3F1</v>
      </c>
      <c r="L393" t="s">
        <v>15</v>
      </c>
    </row>
    <row r="394" spans="1:12" x14ac:dyDescent="0.25">
      <c r="A394" t="str">
        <f>"0508163227"</f>
        <v>0508163227</v>
      </c>
      <c r="B394" t="str">
        <f t="shared" si="7"/>
        <v>89301000</v>
      </c>
      <c r="C394" s="1">
        <v>44297</v>
      </c>
      <c r="D394" s="1">
        <v>44298</v>
      </c>
      <c r="E394">
        <v>1</v>
      </c>
      <c r="F394" t="s">
        <v>287</v>
      </c>
      <c r="G394" t="str">
        <f>"01-K16-06"</f>
        <v>01-K16-06</v>
      </c>
      <c r="H394">
        <v>0.26469999999999999</v>
      </c>
      <c r="I394" t="s">
        <v>459</v>
      </c>
      <c r="J394" t="s">
        <v>14</v>
      </c>
      <c r="K394" t="str">
        <f>"3F1"</f>
        <v>3F1</v>
      </c>
      <c r="L394" t="s">
        <v>15</v>
      </c>
    </row>
    <row r="395" spans="1:12" x14ac:dyDescent="0.25">
      <c r="A395" t="str">
        <f>"0509078064"</f>
        <v>0509078064</v>
      </c>
      <c r="B395" t="str">
        <f t="shared" si="7"/>
        <v>89301000</v>
      </c>
      <c r="C395" s="1">
        <v>44301</v>
      </c>
      <c r="D395" s="1">
        <v>44304</v>
      </c>
      <c r="E395">
        <v>1</v>
      </c>
      <c r="F395" t="s">
        <v>460</v>
      </c>
      <c r="G395" t="str">
        <f>"03-K08-00"</f>
        <v>03-K08-00</v>
      </c>
      <c r="H395">
        <v>0.42749999999999999</v>
      </c>
      <c r="J395" t="s">
        <v>14</v>
      </c>
      <c r="K395" t="str">
        <f>"3F1"</f>
        <v>3F1</v>
      </c>
      <c r="L395" t="s">
        <v>15</v>
      </c>
    </row>
    <row r="396" spans="1:12" x14ac:dyDescent="0.25">
      <c r="A396" t="str">
        <f>"0509094520"</f>
        <v>0509094520</v>
      </c>
      <c r="B396" t="str">
        <f t="shared" si="7"/>
        <v>89301000</v>
      </c>
      <c r="C396" s="1">
        <v>44341</v>
      </c>
      <c r="D396" s="1">
        <v>44347</v>
      </c>
      <c r="E396">
        <v>1</v>
      </c>
      <c r="F396" t="s">
        <v>323</v>
      </c>
      <c r="G396" t="str">
        <f>"06-K06-02"</f>
        <v>06-K06-02</v>
      </c>
      <c r="H396">
        <v>0.69359999999999999</v>
      </c>
      <c r="J396" t="s">
        <v>14</v>
      </c>
      <c r="K396" t="str">
        <f>"3F1"</f>
        <v>3F1</v>
      </c>
      <c r="L396" t="s">
        <v>15</v>
      </c>
    </row>
    <row r="397" spans="1:12" x14ac:dyDescent="0.25">
      <c r="A397" t="str">
        <f>"0509143228"</f>
        <v>0509143228</v>
      </c>
      <c r="B397" t="str">
        <f t="shared" si="7"/>
        <v>89301000</v>
      </c>
      <c r="C397" s="1">
        <v>44340</v>
      </c>
      <c r="D397" s="1">
        <v>44341</v>
      </c>
      <c r="E397">
        <v>1</v>
      </c>
      <c r="F397" t="s">
        <v>173</v>
      </c>
      <c r="G397" t="str">
        <f>"08-I32-02"</f>
        <v>08-I32-02</v>
      </c>
      <c r="H397">
        <v>0.4143</v>
      </c>
      <c r="I397" t="s">
        <v>168</v>
      </c>
      <c r="J397" t="s">
        <v>14</v>
      </c>
      <c r="K397" t="str">
        <f>"5F3"</f>
        <v>5F3</v>
      </c>
      <c r="L397" t="s">
        <v>15</v>
      </c>
    </row>
    <row r="398" spans="1:12" x14ac:dyDescent="0.25">
      <c r="A398" t="str">
        <f>"0510023239"</f>
        <v>0510023239</v>
      </c>
      <c r="B398" t="str">
        <f t="shared" si="7"/>
        <v>89301000</v>
      </c>
      <c r="C398" s="1">
        <v>44543</v>
      </c>
      <c r="D398" s="1">
        <v>44546</v>
      </c>
      <c r="E398">
        <v>1</v>
      </c>
      <c r="F398" t="s">
        <v>327</v>
      </c>
      <c r="G398" t="str">
        <f>"12-I13-01"</f>
        <v>12-I13-01</v>
      </c>
      <c r="H398">
        <v>0.9234</v>
      </c>
      <c r="J398" t="s">
        <v>24</v>
      </c>
      <c r="K398" t="str">
        <f>"3F1"</f>
        <v>3F1</v>
      </c>
      <c r="L398" t="s">
        <v>15</v>
      </c>
    </row>
    <row r="399" spans="1:12" x14ac:dyDescent="0.25">
      <c r="A399" t="str">
        <f>"0510123229"</f>
        <v>0510123229</v>
      </c>
      <c r="B399" t="str">
        <f t="shared" si="7"/>
        <v>89301000</v>
      </c>
      <c r="C399" s="1">
        <v>44236</v>
      </c>
      <c r="D399" s="1">
        <v>44239</v>
      </c>
      <c r="E399">
        <v>1</v>
      </c>
      <c r="F399" t="s">
        <v>461</v>
      </c>
      <c r="G399" t="str">
        <f>"03-K06-01"</f>
        <v>03-K06-01</v>
      </c>
      <c r="H399">
        <v>0.4718</v>
      </c>
      <c r="I399" t="s">
        <v>462</v>
      </c>
      <c r="J399" t="s">
        <v>14</v>
      </c>
      <c r="K399" t="str">
        <f>"3F1"</f>
        <v>3F1</v>
      </c>
      <c r="L399" t="s">
        <v>15</v>
      </c>
    </row>
    <row r="400" spans="1:12" x14ac:dyDescent="0.25">
      <c r="A400" t="str">
        <f>"0510253546"</f>
        <v>0510253546</v>
      </c>
      <c r="B400" t="str">
        <f t="shared" si="7"/>
        <v>89301000</v>
      </c>
      <c r="C400" s="1">
        <v>44488</v>
      </c>
      <c r="D400" s="1">
        <v>44499</v>
      </c>
      <c r="E400">
        <v>1</v>
      </c>
      <c r="F400" t="s">
        <v>212</v>
      </c>
      <c r="G400" t="str">
        <f>"08-I26-01"</f>
        <v>08-I26-01</v>
      </c>
      <c r="H400">
        <v>1.1701999999999999</v>
      </c>
      <c r="I400" t="s">
        <v>463</v>
      </c>
      <c r="J400" t="s">
        <v>14</v>
      </c>
      <c r="K400" t="str">
        <f>"3F1"</f>
        <v>3F1</v>
      </c>
      <c r="L400" t="s">
        <v>15</v>
      </c>
    </row>
    <row r="401" spans="1:12" x14ac:dyDescent="0.25">
      <c r="A401" t="str">
        <f>"0511055259"</f>
        <v>0511055259</v>
      </c>
      <c r="B401" t="str">
        <f t="shared" si="7"/>
        <v>89301000</v>
      </c>
      <c r="C401" s="1">
        <v>44498</v>
      </c>
      <c r="D401" s="1">
        <v>44499</v>
      </c>
      <c r="E401">
        <v>1</v>
      </c>
      <c r="F401" t="s">
        <v>457</v>
      </c>
      <c r="G401" t="str">
        <f>"08-I20-03"</f>
        <v>08-I20-03</v>
      </c>
      <c r="H401">
        <v>0.63300000000000001</v>
      </c>
      <c r="I401" t="s">
        <v>381</v>
      </c>
      <c r="J401" t="s">
        <v>17</v>
      </c>
      <c r="K401" t="str">
        <f>"5F3"</f>
        <v>5F3</v>
      </c>
      <c r="L401" t="s">
        <v>15</v>
      </c>
    </row>
    <row r="402" spans="1:12" x14ac:dyDescent="0.25">
      <c r="A402" t="str">
        <f>"0511076071"</f>
        <v>0511076071</v>
      </c>
      <c r="B402" t="str">
        <f t="shared" si="7"/>
        <v>89301000</v>
      </c>
      <c r="C402" s="1">
        <v>44349</v>
      </c>
      <c r="D402" s="1">
        <v>44357</v>
      </c>
      <c r="E402">
        <v>1</v>
      </c>
      <c r="F402" t="s">
        <v>464</v>
      </c>
      <c r="G402" t="str">
        <f>"06-I21-03"</f>
        <v>06-I21-03</v>
      </c>
      <c r="H402">
        <v>0.62029999999999996</v>
      </c>
      <c r="I402" t="s">
        <v>465</v>
      </c>
      <c r="J402" t="s">
        <v>17</v>
      </c>
      <c r="K402" t="str">
        <f>"3F1"</f>
        <v>3F1</v>
      </c>
      <c r="L402" t="s">
        <v>15</v>
      </c>
    </row>
    <row r="403" spans="1:12" x14ac:dyDescent="0.25">
      <c r="A403" t="str">
        <f>"0511103230"</f>
        <v>0511103230</v>
      </c>
      <c r="B403" t="str">
        <f t="shared" si="7"/>
        <v>89301000</v>
      </c>
      <c r="C403" s="1">
        <v>44347</v>
      </c>
      <c r="D403" s="1">
        <v>44348</v>
      </c>
      <c r="E403">
        <v>1</v>
      </c>
      <c r="F403" t="s">
        <v>287</v>
      </c>
      <c r="G403" t="str">
        <f>"01-K16-06"</f>
        <v>01-K16-06</v>
      </c>
      <c r="H403">
        <v>0.26469999999999999</v>
      </c>
      <c r="I403" t="s">
        <v>466</v>
      </c>
      <c r="J403" t="s">
        <v>14</v>
      </c>
      <c r="K403" t="str">
        <f>"3F1"</f>
        <v>3F1</v>
      </c>
      <c r="L403" t="s">
        <v>15</v>
      </c>
    </row>
    <row r="404" spans="1:12" x14ac:dyDescent="0.25">
      <c r="A404" t="str">
        <f>"0511133227"</f>
        <v>0511133227</v>
      </c>
      <c r="B404" t="str">
        <f t="shared" si="7"/>
        <v>89301000</v>
      </c>
      <c r="C404" s="1">
        <v>44354</v>
      </c>
      <c r="D404" s="1">
        <v>44357</v>
      </c>
      <c r="E404">
        <v>1</v>
      </c>
      <c r="F404" t="s">
        <v>294</v>
      </c>
      <c r="G404" t="str">
        <f>"08-M03-05"</f>
        <v>08-M03-05</v>
      </c>
      <c r="H404">
        <v>0.51759999999999995</v>
      </c>
      <c r="I404" t="s">
        <v>381</v>
      </c>
      <c r="J404" t="s">
        <v>14</v>
      </c>
      <c r="K404" t="str">
        <f>"5F3"</f>
        <v>5F3</v>
      </c>
      <c r="L404" t="s">
        <v>15</v>
      </c>
    </row>
    <row r="405" spans="1:12" x14ac:dyDescent="0.25">
      <c r="A405" t="str">
        <f>"0511151377"</f>
        <v>0511151377</v>
      </c>
      <c r="B405" t="str">
        <f t="shared" si="7"/>
        <v>89301000</v>
      </c>
      <c r="C405" s="1">
        <v>44306</v>
      </c>
      <c r="D405" s="1">
        <v>44309</v>
      </c>
      <c r="E405">
        <v>1</v>
      </c>
      <c r="F405" t="s">
        <v>296</v>
      </c>
      <c r="G405" t="str">
        <f>"08-K03-03"</f>
        <v>08-K03-03</v>
      </c>
      <c r="H405">
        <v>0.80700000000000005</v>
      </c>
      <c r="J405" t="s">
        <v>14</v>
      </c>
      <c r="K405" t="str">
        <f>"3F1"</f>
        <v>3F1</v>
      </c>
      <c r="L405" t="s">
        <v>15</v>
      </c>
    </row>
    <row r="406" spans="1:12" x14ac:dyDescent="0.25">
      <c r="A406" t="str">
        <f>"0511151377"</f>
        <v>0511151377</v>
      </c>
      <c r="B406" t="str">
        <f t="shared" si="7"/>
        <v>89301000</v>
      </c>
      <c r="C406" s="1">
        <v>44400</v>
      </c>
      <c r="D406" s="1">
        <v>44403</v>
      </c>
      <c r="E406">
        <v>1</v>
      </c>
      <c r="F406" t="s">
        <v>296</v>
      </c>
      <c r="G406" t="str">
        <f>"08-K03-03"</f>
        <v>08-K03-03</v>
      </c>
      <c r="H406">
        <v>0.80700000000000005</v>
      </c>
      <c r="J406" t="s">
        <v>14</v>
      </c>
      <c r="K406" t="str">
        <f>"3F1"</f>
        <v>3F1</v>
      </c>
      <c r="L406" t="s">
        <v>15</v>
      </c>
    </row>
    <row r="407" spans="1:12" x14ac:dyDescent="0.25">
      <c r="A407" t="str">
        <f>"0511151377"</f>
        <v>0511151377</v>
      </c>
      <c r="B407" t="str">
        <f t="shared" si="7"/>
        <v>89301000</v>
      </c>
      <c r="C407" s="1">
        <v>44558</v>
      </c>
      <c r="D407" s="1">
        <v>44561</v>
      </c>
      <c r="E407">
        <v>1</v>
      </c>
      <c r="F407" t="s">
        <v>296</v>
      </c>
      <c r="G407" t="str">
        <f>"08-K03-03"</f>
        <v>08-K03-03</v>
      </c>
      <c r="H407">
        <v>0.80700000000000005</v>
      </c>
      <c r="I407" t="s">
        <v>168</v>
      </c>
      <c r="J407" t="s">
        <v>14</v>
      </c>
      <c r="K407" t="str">
        <f>"3F1"</f>
        <v>3F1</v>
      </c>
      <c r="L407" t="s">
        <v>15</v>
      </c>
    </row>
    <row r="408" spans="1:12" x14ac:dyDescent="0.25">
      <c r="A408" t="str">
        <f>"0511151377"</f>
        <v>0511151377</v>
      </c>
      <c r="B408" t="str">
        <f t="shared" si="7"/>
        <v>89301000</v>
      </c>
      <c r="C408" s="1">
        <v>44216</v>
      </c>
      <c r="D408" s="1">
        <v>44219</v>
      </c>
      <c r="E408">
        <v>6</v>
      </c>
      <c r="F408" t="s">
        <v>296</v>
      </c>
      <c r="G408" t="str">
        <f>"08-K03-03"</f>
        <v>08-K03-03</v>
      </c>
      <c r="H408">
        <v>0.80700000000000005</v>
      </c>
      <c r="J408" t="s">
        <v>14</v>
      </c>
      <c r="K408" t="str">
        <f>"3T1"</f>
        <v>3T1</v>
      </c>
      <c r="L408" t="s">
        <v>15</v>
      </c>
    </row>
    <row r="409" spans="1:12" x14ac:dyDescent="0.25">
      <c r="A409" t="str">
        <f>"0511203242"</f>
        <v>0511203242</v>
      </c>
      <c r="B409" t="str">
        <f t="shared" si="7"/>
        <v>89301000</v>
      </c>
      <c r="C409" s="1">
        <v>44536</v>
      </c>
      <c r="D409" s="1">
        <v>44538</v>
      </c>
      <c r="E409">
        <v>1</v>
      </c>
      <c r="F409" t="s">
        <v>467</v>
      </c>
      <c r="G409" t="str">
        <f>"06-K22-02"</f>
        <v>06-K22-02</v>
      </c>
      <c r="H409">
        <v>0.58020000000000005</v>
      </c>
      <c r="I409" t="s">
        <v>468</v>
      </c>
      <c r="J409" t="s">
        <v>14</v>
      </c>
      <c r="K409" t="str">
        <f t="shared" ref="K409:K420" si="8">"3F1"</f>
        <v>3F1</v>
      </c>
      <c r="L409" t="s">
        <v>15</v>
      </c>
    </row>
    <row r="410" spans="1:12" x14ac:dyDescent="0.25">
      <c r="A410" t="str">
        <f>"0511233250"</f>
        <v>0511233250</v>
      </c>
      <c r="B410" t="str">
        <f t="shared" si="7"/>
        <v>89301000</v>
      </c>
      <c r="C410" s="1">
        <v>44426</v>
      </c>
      <c r="D410" s="1">
        <v>44439</v>
      </c>
      <c r="E410">
        <v>1</v>
      </c>
      <c r="F410" t="s">
        <v>469</v>
      </c>
      <c r="G410" t="str">
        <f>"01-K02-01"</f>
        <v>01-K02-01</v>
      </c>
      <c r="H410">
        <v>2.637</v>
      </c>
      <c r="I410" t="s">
        <v>470</v>
      </c>
      <c r="J410" t="s">
        <v>14</v>
      </c>
      <c r="K410" t="str">
        <f t="shared" si="8"/>
        <v>3F1</v>
      </c>
      <c r="L410" t="s">
        <v>15</v>
      </c>
    </row>
    <row r="411" spans="1:12" x14ac:dyDescent="0.25">
      <c r="A411" t="str">
        <f>"0512136163"</f>
        <v>0512136163</v>
      </c>
      <c r="B411" t="str">
        <f t="shared" si="7"/>
        <v>89301000</v>
      </c>
      <c r="C411" s="1">
        <v>44375</v>
      </c>
      <c r="D411" s="1">
        <v>44379</v>
      </c>
      <c r="E411">
        <v>1</v>
      </c>
      <c r="F411" t="s">
        <v>471</v>
      </c>
      <c r="G411" t="str">
        <f>"03-I14-02"</f>
        <v>03-I14-02</v>
      </c>
      <c r="H411">
        <v>1.1086</v>
      </c>
      <c r="J411" t="s">
        <v>14</v>
      </c>
      <c r="K411" t="str">
        <f t="shared" si="8"/>
        <v>3F1</v>
      </c>
      <c r="L411" t="s">
        <v>15</v>
      </c>
    </row>
    <row r="412" spans="1:12" x14ac:dyDescent="0.25">
      <c r="A412" t="str">
        <f>"0512253258"</f>
        <v>0512253258</v>
      </c>
      <c r="B412" t="str">
        <f t="shared" si="7"/>
        <v>89301000</v>
      </c>
      <c r="C412" s="1">
        <v>44240</v>
      </c>
      <c r="D412" s="1">
        <v>44246</v>
      </c>
      <c r="E412">
        <v>1</v>
      </c>
      <c r="F412" t="s">
        <v>472</v>
      </c>
      <c r="G412" t="str">
        <f>"12-K01-03"</f>
        <v>12-K01-03</v>
      </c>
      <c r="H412">
        <v>0.4345</v>
      </c>
      <c r="J412" t="s">
        <v>14</v>
      </c>
      <c r="K412" t="str">
        <f t="shared" si="8"/>
        <v>3F1</v>
      </c>
      <c r="L412" t="s">
        <v>15</v>
      </c>
    </row>
    <row r="413" spans="1:12" x14ac:dyDescent="0.25">
      <c r="A413" t="str">
        <f>"0552043239"</f>
        <v>0552043239</v>
      </c>
      <c r="B413" t="str">
        <f t="shared" si="7"/>
        <v>89301000</v>
      </c>
      <c r="C413" s="1">
        <v>44364</v>
      </c>
      <c r="D413" s="1">
        <v>44368</v>
      </c>
      <c r="E413">
        <v>1</v>
      </c>
      <c r="F413" t="s">
        <v>473</v>
      </c>
      <c r="G413" t="str">
        <f>"05-K13-02"</f>
        <v>05-K13-02</v>
      </c>
      <c r="H413">
        <v>0.60950000000000004</v>
      </c>
      <c r="J413" t="s">
        <v>14</v>
      </c>
      <c r="K413" t="str">
        <f t="shared" si="8"/>
        <v>3F1</v>
      </c>
      <c r="L413" t="s">
        <v>15</v>
      </c>
    </row>
    <row r="414" spans="1:12" x14ac:dyDescent="0.25">
      <c r="A414" t="str">
        <f>"0552213244"</f>
        <v>0552213244</v>
      </c>
      <c r="B414" t="str">
        <f t="shared" si="7"/>
        <v>89301000</v>
      </c>
      <c r="C414" s="1">
        <v>44437</v>
      </c>
      <c r="D414" s="1">
        <v>44438</v>
      </c>
      <c r="E414">
        <v>1</v>
      </c>
      <c r="F414" t="s">
        <v>182</v>
      </c>
      <c r="G414" t="str">
        <f>"20-K01-04"</f>
        <v>20-K01-04</v>
      </c>
      <c r="H414">
        <v>0.38159999999999999</v>
      </c>
      <c r="I414" t="s">
        <v>474</v>
      </c>
      <c r="J414" t="s">
        <v>14</v>
      </c>
      <c r="K414" t="str">
        <f t="shared" si="8"/>
        <v>3F1</v>
      </c>
      <c r="L414" t="s">
        <v>15</v>
      </c>
    </row>
    <row r="415" spans="1:12" x14ac:dyDescent="0.25">
      <c r="A415" t="str">
        <f>"0553236167"</f>
        <v>0553236167</v>
      </c>
      <c r="B415" t="str">
        <f t="shared" si="7"/>
        <v>89301000</v>
      </c>
      <c r="C415" s="1">
        <v>44517</v>
      </c>
      <c r="D415" s="1">
        <v>44517</v>
      </c>
      <c r="E415">
        <v>6</v>
      </c>
      <c r="F415" t="s">
        <v>352</v>
      </c>
      <c r="G415" t="str">
        <f>"21-K05-04"</f>
        <v>21-K05-04</v>
      </c>
      <c r="H415">
        <v>0.12130000000000001</v>
      </c>
      <c r="I415" t="s">
        <v>353</v>
      </c>
      <c r="J415" t="s">
        <v>14</v>
      </c>
      <c r="K415" t="str">
        <f t="shared" si="8"/>
        <v>3F1</v>
      </c>
      <c r="L415" t="s">
        <v>15</v>
      </c>
    </row>
    <row r="416" spans="1:12" x14ac:dyDescent="0.25">
      <c r="A416" t="str">
        <f>"0553311385"</f>
        <v>0553311385</v>
      </c>
      <c r="B416" t="str">
        <f t="shared" si="7"/>
        <v>89301000</v>
      </c>
      <c r="C416" s="1">
        <v>44273</v>
      </c>
      <c r="D416" s="1">
        <v>44277</v>
      </c>
      <c r="E416">
        <v>6</v>
      </c>
      <c r="F416" t="s">
        <v>475</v>
      </c>
      <c r="G416" t="str">
        <f>"10-K04-03"</f>
        <v>10-K04-03</v>
      </c>
      <c r="H416">
        <v>0.7984</v>
      </c>
      <c r="I416" t="s">
        <v>476</v>
      </c>
      <c r="J416" t="s">
        <v>14</v>
      </c>
      <c r="K416" t="str">
        <f t="shared" si="8"/>
        <v>3F1</v>
      </c>
      <c r="L416" t="s">
        <v>15</v>
      </c>
    </row>
    <row r="417" spans="1:12" x14ac:dyDescent="0.25">
      <c r="A417" t="str">
        <f>"0554043248"</f>
        <v>0554043248</v>
      </c>
      <c r="B417" t="str">
        <f t="shared" si="7"/>
        <v>89301000</v>
      </c>
      <c r="C417" s="1">
        <v>44512</v>
      </c>
      <c r="D417" s="1">
        <v>44529</v>
      </c>
      <c r="E417">
        <v>1</v>
      </c>
      <c r="F417" t="s">
        <v>284</v>
      </c>
      <c r="G417" t="str">
        <f>"06-K06-01"</f>
        <v>06-K06-01</v>
      </c>
      <c r="H417">
        <v>1.3448</v>
      </c>
      <c r="I417" t="s">
        <v>477</v>
      </c>
      <c r="J417" t="s">
        <v>14</v>
      </c>
      <c r="K417" t="str">
        <f t="shared" si="8"/>
        <v>3F1</v>
      </c>
      <c r="L417" t="s">
        <v>15</v>
      </c>
    </row>
    <row r="418" spans="1:12" x14ac:dyDescent="0.25">
      <c r="A418" t="str">
        <f>"0554223230"</f>
        <v>0554223230</v>
      </c>
      <c r="B418" t="str">
        <f t="shared" si="7"/>
        <v>89301000</v>
      </c>
      <c r="C418" s="1">
        <v>44531</v>
      </c>
      <c r="D418" s="1">
        <v>44539</v>
      </c>
      <c r="E418">
        <v>1</v>
      </c>
      <c r="F418" t="s">
        <v>304</v>
      </c>
      <c r="G418" t="str">
        <f>"10-K03-04"</f>
        <v>10-K03-04</v>
      </c>
      <c r="H418">
        <v>0.65159999999999996</v>
      </c>
      <c r="I418" t="s">
        <v>478</v>
      </c>
      <c r="J418" t="s">
        <v>14</v>
      </c>
      <c r="K418" t="str">
        <f t="shared" si="8"/>
        <v>3F1</v>
      </c>
      <c r="L418" t="s">
        <v>15</v>
      </c>
    </row>
    <row r="419" spans="1:12" x14ac:dyDescent="0.25">
      <c r="A419" t="str">
        <f>"0554241237"</f>
        <v>0554241237</v>
      </c>
      <c r="B419" t="str">
        <f t="shared" si="7"/>
        <v>89301000</v>
      </c>
      <c r="C419" s="1">
        <v>44326</v>
      </c>
      <c r="D419" s="1">
        <v>44328</v>
      </c>
      <c r="E419">
        <v>1</v>
      </c>
      <c r="F419" t="s">
        <v>123</v>
      </c>
      <c r="G419" t="str">
        <f>"03-I19-03"</f>
        <v>03-I19-03</v>
      </c>
      <c r="H419">
        <v>0.60699999999999998</v>
      </c>
      <c r="J419" t="s">
        <v>14</v>
      </c>
      <c r="K419" t="str">
        <f t="shared" si="8"/>
        <v>3F1</v>
      </c>
      <c r="L419" t="s">
        <v>15</v>
      </c>
    </row>
    <row r="420" spans="1:12" x14ac:dyDescent="0.25">
      <c r="A420" t="str">
        <f>"0555263225"</f>
        <v>0555263225</v>
      </c>
      <c r="B420" t="str">
        <f t="shared" si="7"/>
        <v>89301000</v>
      </c>
      <c r="C420" s="1">
        <v>44223</v>
      </c>
      <c r="D420" s="1">
        <v>44229</v>
      </c>
      <c r="E420">
        <v>1</v>
      </c>
      <c r="F420" t="s">
        <v>479</v>
      </c>
      <c r="G420" t="str">
        <f>"18-K01-03"</f>
        <v>18-K01-03</v>
      </c>
      <c r="H420">
        <v>1.8284</v>
      </c>
      <c r="I420" t="s">
        <v>480</v>
      </c>
      <c r="J420" t="s">
        <v>14</v>
      </c>
      <c r="K420" t="str">
        <f t="shared" si="8"/>
        <v>3F1</v>
      </c>
      <c r="L420" t="s">
        <v>15</v>
      </c>
    </row>
    <row r="421" spans="1:12" x14ac:dyDescent="0.25">
      <c r="A421" t="str">
        <f>"0556115263"</f>
        <v>0556115263</v>
      </c>
      <c r="B421" t="str">
        <f t="shared" si="7"/>
        <v>89301000</v>
      </c>
      <c r="C421" s="1">
        <v>44326</v>
      </c>
      <c r="D421" s="1">
        <v>44328</v>
      </c>
      <c r="E421">
        <v>1</v>
      </c>
      <c r="F421" t="s">
        <v>481</v>
      </c>
      <c r="G421" t="str">
        <f>"08-I25-02"</f>
        <v>08-I25-02</v>
      </c>
      <c r="H421">
        <v>0.71460000000000001</v>
      </c>
      <c r="J421" t="s">
        <v>14</v>
      </c>
      <c r="K421" t="str">
        <f>"6F6"</f>
        <v>6F6</v>
      </c>
      <c r="L421" t="s">
        <v>15</v>
      </c>
    </row>
    <row r="422" spans="1:12" x14ac:dyDescent="0.25">
      <c r="A422" t="str">
        <f>"0556136064"</f>
        <v>0556136064</v>
      </c>
      <c r="B422" t="str">
        <f t="shared" si="7"/>
        <v>89301000</v>
      </c>
      <c r="C422" s="1">
        <v>44409</v>
      </c>
      <c r="D422" s="1">
        <v>44411</v>
      </c>
      <c r="E422">
        <v>1</v>
      </c>
      <c r="F422" t="s">
        <v>429</v>
      </c>
      <c r="G422" t="str">
        <f>"20-K01-06"</f>
        <v>20-K01-06</v>
      </c>
      <c r="H422">
        <v>0.25779999999999997</v>
      </c>
      <c r="J422" t="s">
        <v>14</v>
      </c>
      <c r="K422" t="str">
        <f>"3F1"</f>
        <v>3F1</v>
      </c>
      <c r="L422" t="s">
        <v>15</v>
      </c>
    </row>
    <row r="423" spans="1:12" x14ac:dyDescent="0.25">
      <c r="A423" t="str">
        <f>"0556153257"</f>
        <v>0556153257</v>
      </c>
      <c r="B423" t="str">
        <f t="shared" si="7"/>
        <v>89301000</v>
      </c>
      <c r="C423" s="1">
        <v>44291</v>
      </c>
      <c r="D423" s="1">
        <v>44293</v>
      </c>
      <c r="E423">
        <v>1</v>
      </c>
      <c r="F423" t="s">
        <v>482</v>
      </c>
      <c r="G423" t="str">
        <f>"03-I18-02"</f>
        <v>03-I18-02</v>
      </c>
      <c r="H423">
        <v>0.84370000000000001</v>
      </c>
      <c r="J423" t="s">
        <v>24</v>
      </c>
      <c r="K423" t="str">
        <f>"3F1"</f>
        <v>3F1</v>
      </c>
      <c r="L423" t="s">
        <v>15</v>
      </c>
    </row>
    <row r="424" spans="1:12" x14ac:dyDescent="0.25">
      <c r="A424" t="str">
        <f>"0556166171"</f>
        <v>0556166171</v>
      </c>
      <c r="B424" t="str">
        <f t="shared" si="7"/>
        <v>89301000</v>
      </c>
      <c r="C424" s="1">
        <v>44476</v>
      </c>
      <c r="D424" s="1">
        <v>44480</v>
      </c>
      <c r="E424">
        <v>1</v>
      </c>
      <c r="F424" t="s">
        <v>114</v>
      </c>
      <c r="G424" t="str">
        <f>"03-I17-00"</f>
        <v>03-I17-00</v>
      </c>
      <c r="H424">
        <v>0.84960000000000002</v>
      </c>
      <c r="J424" t="s">
        <v>24</v>
      </c>
      <c r="K424" t="str">
        <f>"7F1"</f>
        <v>7F1</v>
      </c>
      <c r="L424" t="s">
        <v>15</v>
      </c>
    </row>
    <row r="425" spans="1:12" x14ac:dyDescent="0.25">
      <c r="A425" t="str">
        <f>"0556233238"</f>
        <v>0556233238</v>
      </c>
      <c r="B425" t="str">
        <f t="shared" si="7"/>
        <v>89301000</v>
      </c>
      <c r="C425" s="1">
        <v>44281</v>
      </c>
      <c r="D425" s="1">
        <v>44285</v>
      </c>
      <c r="E425">
        <v>1</v>
      </c>
      <c r="F425" t="s">
        <v>415</v>
      </c>
      <c r="G425" t="str">
        <f>"19-K02-03"</f>
        <v>19-K02-03</v>
      </c>
      <c r="H425">
        <v>0.67269999999999996</v>
      </c>
      <c r="I425" t="s">
        <v>168</v>
      </c>
      <c r="J425" t="s">
        <v>27</v>
      </c>
      <c r="K425" t="str">
        <f>"3F1"</f>
        <v>3F1</v>
      </c>
      <c r="L425" t="s">
        <v>15</v>
      </c>
    </row>
    <row r="426" spans="1:12" x14ac:dyDescent="0.25">
      <c r="A426" t="str">
        <f>"0557013303"</f>
        <v>0557013303</v>
      </c>
      <c r="B426" t="str">
        <f t="shared" si="7"/>
        <v>89301000</v>
      </c>
      <c r="C426" s="1">
        <v>44513</v>
      </c>
      <c r="D426" s="1">
        <v>44515</v>
      </c>
      <c r="E426">
        <v>1</v>
      </c>
      <c r="F426" t="s">
        <v>483</v>
      </c>
      <c r="G426" t="str">
        <f>"18-K02-05"</f>
        <v>18-K02-05</v>
      </c>
      <c r="H426">
        <v>0.49220000000000003</v>
      </c>
      <c r="I426" t="s">
        <v>168</v>
      </c>
      <c r="J426" t="s">
        <v>14</v>
      </c>
      <c r="K426" t="str">
        <f>"3F1"</f>
        <v>3F1</v>
      </c>
      <c r="L426" t="s">
        <v>15</v>
      </c>
    </row>
    <row r="427" spans="1:12" x14ac:dyDescent="0.25">
      <c r="A427" t="str">
        <f>"0557023247"</f>
        <v>0557023247</v>
      </c>
      <c r="B427" t="str">
        <f t="shared" si="7"/>
        <v>89301000</v>
      </c>
      <c r="C427" s="1">
        <v>44371</v>
      </c>
      <c r="D427" s="1">
        <v>44377</v>
      </c>
      <c r="E427">
        <v>1</v>
      </c>
      <c r="F427" t="s">
        <v>40</v>
      </c>
      <c r="G427" t="str">
        <f>"06-K03-03"</f>
        <v>06-K03-03</v>
      </c>
      <c r="H427">
        <v>0.44019999999999998</v>
      </c>
      <c r="J427" t="s">
        <v>14</v>
      </c>
      <c r="K427" t="str">
        <f>"3F1"</f>
        <v>3F1</v>
      </c>
      <c r="L427" t="s">
        <v>15</v>
      </c>
    </row>
    <row r="428" spans="1:12" x14ac:dyDescent="0.25">
      <c r="A428" t="str">
        <f>"0557033235"</f>
        <v>0557033235</v>
      </c>
      <c r="B428" t="str">
        <f t="shared" si="7"/>
        <v>89301000</v>
      </c>
      <c r="C428" s="1">
        <v>44313</v>
      </c>
      <c r="D428" s="1">
        <v>44319</v>
      </c>
      <c r="E428">
        <v>1</v>
      </c>
      <c r="F428" t="s">
        <v>23</v>
      </c>
      <c r="G428" t="str">
        <f>"06-I18-04"</f>
        <v>06-I18-04</v>
      </c>
      <c r="H428">
        <v>1.1514</v>
      </c>
      <c r="I428" t="s">
        <v>168</v>
      </c>
      <c r="J428" t="s">
        <v>24</v>
      </c>
      <c r="K428" t="str">
        <f>"3F1"</f>
        <v>3F1</v>
      </c>
      <c r="L428" t="s">
        <v>15</v>
      </c>
    </row>
    <row r="429" spans="1:12" x14ac:dyDescent="0.25">
      <c r="A429" t="str">
        <f>"0557183231"</f>
        <v>0557183231</v>
      </c>
      <c r="B429" t="str">
        <f t="shared" si="7"/>
        <v>89301000</v>
      </c>
      <c r="C429" s="1">
        <v>44349</v>
      </c>
      <c r="D429" s="1">
        <v>44355</v>
      </c>
      <c r="E429">
        <v>1</v>
      </c>
      <c r="F429" t="s">
        <v>484</v>
      </c>
      <c r="G429" t="str">
        <f>"21-K05-03"</f>
        <v>21-K05-03</v>
      </c>
      <c r="H429">
        <v>0.46750000000000003</v>
      </c>
      <c r="I429" t="s">
        <v>485</v>
      </c>
      <c r="J429" t="s">
        <v>14</v>
      </c>
      <c r="K429" t="str">
        <f>"3F1"</f>
        <v>3F1</v>
      </c>
      <c r="L429" t="s">
        <v>15</v>
      </c>
    </row>
    <row r="430" spans="1:12" x14ac:dyDescent="0.25">
      <c r="A430" t="str">
        <f>"0557203790"</f>
        <v>0557203790</v>
      </c>
      <c r="B430" t="str">
        <f t="shared" si="7"/>
        <v>89301000</v>
      </c>
      <c r="C430" s="1">
        <v>44403</v>
      </c>
      <c r="D430" s="1">
        <v>44405</v>
      </c>
      <c r="E430">
        <v>1</v>
      </c>
      <c r="F430" t="s">
        <v>486</v>
      </c>
      <c r="G430" t="str">
        <f>"05-M08-00"</f>
        <v>05-M08-00</v>
      </c>
      <c r="H430">
        <v>1.0667</v>
      </c>
      <c r="J430" t="s">
        <v>17</v>
      </c>
      <c r="K430" t="str">
        <f>"5F1"</f>
        <v>5F1</v>
      </c>
      <c r="L430" t="s">
        <v>15</v>
      </c>
    </row>
    <row r="431" spans="1:12" x14ac:dyDescent="0.25">
      <c r="A431" t="str">
        <f>"0557213261"</f>
        <v>0557213261</v>
      </c>
      <c r="B431" t="str">
        <f t="shared" si="7"/>
        <v>89301000</v>
      </c>
      <c r="C431" s="1">
        <v>44268</v>
      </c>
      <c r="D431" s="1">
        <v>44269</v>
      </c>
      <c r="E431">
        <v>1</v>
      </c>
      <c r="F431" t="s">
        <v>429</v>
      </c>
      <c r="G431" t="str">
        <f>"20-K01-06"</f>
        <v>20-K01-06</v>
      </c>
      <c r="H431">
        <v>0.25779999999999997</v>
      </c>
      <c r="I431" t="s">
        <v>168</v>
      </c>
      <c r="J431" t="s">
        <v>14</v>
      </c>
      <c r="K431" t="str">
        <f>"3F1"</f>
        <v>3F1</v>
      </c>
      <c r="L431" t="s">
        <v>15</v>
      </c>
    </row>
    <row r="432" spans="1:12" x14ac:dyDescent="0.25">
      <c r="A432" t="str">
        <f>"0557253235"</f>
        <v>0557253235</v>
      </c>
      <c r="B432" t="str">
        <f t="shared" si="7"/>
        <v>89301000</v>
      </c>
      <c r="C432" s="1">
        <v>44446</v>
      </c>
      <c r="D432" s="1">
        <v>44466</v>
      </c>
      <c r="E432">
        <v>1</v>
      </c>
      <c r="F432" t="s">
        <v>487</v>
      </c>
      <c r="G432" t="str">
        <f>"01-I06-03"</f>
        <v>01-I06-03</v>
      </c>
      <c r="H432">
        <v>4.3582999999999998</v>
      </c>
      <c r="I432" t="s">
        <v>488</v>
      </c>
      <c r="J432" t="s">
        <v>17</v>
      </c>
      <c r="K432" t="str">
        <f>"3F1"</f>
        <v>3F1</v>
      </c>
      <c r="L432" t="s">
        <v>15</v>
      </c>
    </row>
    <row r="433" spans="1:12" x14ac:dyDescent="0.25">
      <c r="A433" t="str">
        <f>"0558086067"</f>
        <v>0558086067</v>
      </c>
      <c r="B433" t="str">
        <f t="shared" si="7"/>
        <v>89301000</v>
      </c>
      <c r="C433" s="1">
        <v>44468</v>
      </c>
      <c r="D433" s="1">
        <v>44473</v>
      </c>
      <c r="E433">
        <v>4</v>
      </c>
      <c r="F433" t="s">
        <v>152</v>
      </c>
      <c r="G433" t="str">
        <f>"19-K03-03"</f>
        <v>19-K03-03</v>
      </c>
      <c r="H433">
        <v>0.93169999999999997</v>
      </c>
      <c r="I433" t="s">
        <v>489</v>
      </c>
      <c r="J433" t="s">
        <v>27</v>
      </c>
      <c r="K433" t="str">
        <f>"3F5"</f>
        <v>3F5</v>
      </c>
      <c r="L433" t="s">
        <v>15</v>
      </c>
    </row>
    <row r="434" spans="1:12" x14ac:dyDescent="0.25">
      <c r="A434" t="str">
        <f>"0558251386"</f>
        <v>0558251386</v>
      </c>
      <c r="B434" t="str">
        <f t="shared" si="7"/>
        <v>89301000</v>
      </c>
      <c r="C434" s="1">
        <v>44546</v>
      </c>
      <c r="D434" s="1">
        <v>44546</v>
      </c>
      <c r="E434">
        <v>1</v>
      </c>
      <c r="F434" t="s">
        <v>152</v>
      </c>
      <c r="G434" t="str">
        <f>"19-K01-03"</f>
        <v>19-K01-03</v>
      </c>
      <c r="H434">
        <v>0.30199999999999999</v>
      </c>
      <c r="I434" t="s">
        <v>168</v>
      </c>
      <c r="J434" t="s">
        <v>27</v>
      </c>
      <c r="K434" t="str">
        <f>"3F1"</f>
        <v>3F1</v>
      </c>
      <c r="L434" t="s">
        <v>15</v>
      </c>
    </row>
    <row r="435" spans="1:12" x14ac:dyDescent="0.25">
      <c r="A435" t="str">
        <f>"0558253234"</f>
        <v>0558253234</v>
      </c>
      <c r="B435" t="str">
        <f t="shared" si="7"/>
        <v>89301000</v>
      </c>
      <c r="C435" s="1">
        <v>44488</v>
      </c>
      <c r="D435" s="1">
        <v>44496</v>
      </c>
      <c r="E435">
        <v>1</v>
      </c>
      <c r="F435" t="s">
        <v>490</v>
      </c>
      <c r="G435" t="str">
        <f>"08-I21-01"</f>
        <v>08-I21-01</v>
      </c>
      <c r="H435">
        <v>2.4729999999999999</v>
      </c>
      <c r="I435" t="s">
        <v>491</v>
      </c>
      <c r="J435" t="s">
        <v>17</v>
      </c>
      <c r="K435" t="str">
        <f>"3F1"</f>
        <v>3F1</v>
      </c>
      <c r="L435" t="s">
        <v>15</v>
      </c>
    </row>
    <row r="436" spans="1:12" x14ac:dyDescent="0.25">
      <c r="A436" t="str">
        <f>"0558267336"</f>
        <v>0558267336</v>
      </c>
      <c r="B436" t="str">
        <f t="shared" si="7"/>
        <v>89301000</v>
      </c>
      <c r="C436" s="1">
        <v>44285</v>
      </c>
      <c r="D436" s="1">
        <v>44289</v>
      </c>
      <c r="E436">
        <v>1</v>
      </c>
      <c r="F436" t="s">
        <v>70</v>
      </c>
      <c r="G436" t="str">
        <f>"09-K14-02"</f>
        <v>09-K14-02</v>
      </c>
      <c r="H436">
        <v>0.50549999999999995</v>
      </c>
      <c r="J436" t="s">
        <v>14</v>
      </c>
      <c r="K436" t="str">
        <f>"4F4"</f>
        <v>4F4</v>
      </c>
      <c r="L436" t="s">
        <v>15</v>
      </c>
    </row>
    <row r="437" spans="1:12" x14ac:dyDescent="0.25">
      <c r="A437" t="str">
        <f>"0559053231"</f>
        <v>0559053231</v>
      </c>
      <c r="B437" t="str">
        <f t="shared" si="7"/>
        <v>89301000</v>
      </c>
      <c r="C437" s="1">
        <v>44376</v>
      </c>
      <c r="D437" s="1">
        <v>44377</v>
      </c>
      <c r="E437">
        <v>1</v>
      </c>
      <c r="F437" t="s">
        <v>352</v>
      </c>
      <c r="G437" t="str">
        <f>"21-K05-04"</f>
        <v>21-K05-04</v>
      </c>
      <c r="H437">
        <v>0.2424</v>
      </c>
      <c r="I437" t="s">
        <v>492</v>
      </c>
      <c r="J437" t="s">
        <v>14</v>
      </c>
      <c r="K437" t="str">
        <f>"3F1"</f>
        <v>3F1</v>
      </c>
      <c r="L437" t="s">
        <v>15</v>
      </c>
    </row>
    <row r="438" spans="1:12" x14ac:dyDescent="0.25">
      <c r="A438" t="str">
        <f>"0559293229"</f>
        <v>0559293229</v>
      </c>
      <c r="B438" t="str">
        <f t="shared" si="7"/>
        <v>89301000</v>
      </c>
      <c r="C438" s="1">
        <v>44510</v>
      </c>
      <c r="D438" s="1">
        <v>44511</v>
      </c>
      <c r="E438">
        <v>1</v>
      </c>
      <c r="F438" t="s">
        <v>352</v>
      </c>
      <c r="G438" t="str">
        <f>"21-K05-04"</f>
        <v>21-K05-04</v>
      </c>
      <c r="H438">
        <v>0.2424</v>
      </c>
      <c r="I438" t="s">
        <v>493</v>
      </c>
      <c r="J438" t="s">
        <v>14</v>
      </c>
      <c r="K438" t="str">
        <f>"3F1"</f>
        <v>3F1</v>
      </c>
      <c r="L438" t="s">
        <v>15</v>
      </c>
    </row>
    <row r="439" spans="1:12" x14ac:dyDescent="0.25">
      <c r="A439" t="str">
        <f>"0560023244"</f>
        <v>0560023244</v>
      </c>
      <c r="B439" t="str">
        <f t="shared" si="7"/>
        <v>89301000</v>
      </c>
      <c r="C439" s="1">
        <v>44456</v>
      </c>
      <c r="D439" s="1">
        <v>44459</v>
      </c>
      <c r="E439">
        <v>1</v>
      </c>
      <c r="F439" t="s">
        <v>494</v>
      </c>
      <c r="G439" t="str">
        <f>"10-K13-03"</f>
        <v>10-K13-03</v>
      </c>
      <c r="H439">
        <v>0.46260000000000001</v>
      </c>
      <c r="I439" t="s">
        <v>495</v>
      </c>
      <c r="J439" t="s">
        <v>14</v>
      </c>
      <c r="K439" t="str">
        <f>"3F1"</f>
        <v>3F1</v>
      </c>
      <c r="L439" t="s">
        <v>15</v>
      </c>
    </row>
    <row r="440" spans="1:12" x14ac:dyDescent="0.25">
      <c r="A440" t="str">
        <f>"0560093237"</f>
        <v>0560093237</v>
      </c>
      <c r="B440" t="str">
        <f t="shared" si="7"/>
        <v>89301000</v>
      </c>
      <c r="C440" s="1">
        <v>44329</v>
      </c>
      <c r="D440" s="1">
        <v>44331</v>
      </c>
      <c r="E440">
        <v>1</v>
      </c>
      <c r="F440" t="s">
        <v>496</v>
      </c>
      <c r="G440" t="str">
        <f>"08-M03-05"</f>
        <v>08-M03-05</v>
      </c>
      <c r="H440">
        <v>0.51759999999999995</v>
      </c>
      <c r="J440" t="s">
        <v>14</v>
      </c>
      <c r="K440" t="str">
        <f>"6F6"</f>
        <v>6F6</v>
      </c>
      <c r="L440" t="s">
        <v>15</v>
      </c>
    </row>
    <row r="441" spans="1:12" x14ac:dyDescent="0.25">
      <c r="A441" t="str">
        <f>"0560221376"</f>
        <v>0560221376</v>
      </c>
      <c r="B441" t="str">
        <f t="shared" si="7"/>
        <v>89301000</v>
      </c>
      <c r="C441" s="1">
        <v>44550</v>
      </c>
      <c r="D441" s="1">
        <v>44551</v>
      </c>
      <c r="E441">
        <v>1</v>
      </c>
      <c r="F441" t="s">
        <v>497</v>
      </c>
      <c r="G441" t="str">
        <f>"20-K01-04"</f>
        <v>20-K01-04</v>
      </c>
      <c r="H441">
        <v>0.38159999999999999</v>
      </c>
      <c r="J441" t="s">
        <v>14</v>
      </c>
      <c r="K441" t="str">
        <f>"3F1"</f>
        <v>3F1</v>
      </c>
      <c r="L441" t="s">
        <v>15</v>
      </c>
    </row>
    <row r="442" spans="1:12" x14ac:dyDescent="0.25">
      <c r="A442" t="str">
        <f>"0560313226"</f>
        <v>0560313226</v>
      </c>
      <c r="B442" t="str">
        <f t="shared" si="7"/>
        <v>89301000</v>
      </c>
      <c r="C442" s="1">
        <v>44221</v>
      </c>
      <c r="D442" s="1">
        <v>44224</v>
      </c>
      <c r="E442">
        <v>1</v>
      </c>
      <c r="F442" t="s">
        <v>70</v>
      </c>
      <c r="G442" t="str">
        <f>"09-K14-02"</f>
        <v>09-K14-02</v>
      </c>
      <c r="H442">
        <v>0.50549999999999995</v>
      </c>
      <c r="J442" t="s">
        <v>14</v>
      </c>
      <c r="K442" t="str">
        <f>"4F4"</f>
        <v>4F4</v>
      </c>
      <c r="L442" t="s">
        <v>15</v>
      </c>
    </row>
    <row r="443" spans="1:12" x14ac:dyDescent="0.25">
      <c r="A443" t="str">
        <f>"0561243232"</f>
        <v>0561243232</v>
      </c>
      <c r="B443" t="str">
        <f t="shared" si="7"/>
        <v>89301000</v>
      </c>
      <c r="C443" s="1">
        <v>44287</v>
      </c>
      <c r="D443" s="1">
        <v>44290</v>
      </c>
      <c r="E443">
        <v>1</v>
      </c>
      <c r="F443" t="s">
        <v>92</v>
      </c>
      <c r="G443" t="str">
        <f>"05-K15-02"</f>
        <v>05-K15-02</v>
      </c>
      <c r="H443">
        <v>0.47510000000000002</v>
      </c>
      <c r="J443" t="s">
        <v>14</v>
      </c>
      <c r="K443" t="str">
        <f t="shared" ref="K443:K455" si="9">"3F1"</f>
        <v>3F1</v>
      </c>
      <c r="L443" t="s">
        <v>15</v>
      </c>
    </row>
    <row r="444" spans="1:12" x14ac:dyDescent="0.25">
      <c r="A444" t="str">
        <f>"0562173227"</f>
        <v>0562173227</v>
      </c>
      <c r="B444" t="str">
        <f t="shared" si="7"/>
        <v>89301000</v>
      </c>
      <c r="C444" s="1">
        <v>44362</v>
      </c>
      <c r="D444" s="1">
        <v>44364</v>
      </c>
      <c r="E444">
        <v>1</v>
      </c>
      <c r="F444" t="s">
        <v>173</v>
      </c>
      <c r="G444" t="str">
        <f>"08-I32-02"</f>
        <v>08-I32-02</v>
      </c>
      <c r="H444">
        <v>0.4143</v>
      </c>
      <c r="J444" t="s">
        <v>14</v>
      </c>
      <c r="K444" t="str">
        <f t="shared" si="9"/>
        <v>3F1</v>
      </c>
      <c r="L444" t="s">
        <v>15</v>
      </c>
    </row>
    <row r="445" spans="1:12" x14ac:dyDescent="0.25">
      <c r="A445" t="str">
        <f>"0562293226"</f>
        <v>0562293226</v>
      </c>
      <c r="B445" t="str">
        <f t="shared" si="7"/>
        <v>89301000</v>
      </c>
      <c r="C445" s="1">
        <v>44218</v>
      </c>
      <c r="D445" s="1">
        <v>44219</v>
      </c>
      <c r="E445">
        <v>1</v>
      </c>
      <c r="F445" t="s">
        <v>467</v>
      </c>
      <c r="G445" t="str">
        <f>"06-K22-03"</f>
        <v>06-K22-03</v>
      </c>
      <c r="H445">
        <v>0.3165</v>
      </c>
      <c r="I445" t="s">
        <v>168</v>
      </c>
      <c r="J445" t="s">
        <v>14</v>
      </c>
      <c r="K445" t="str">
        <f t="shared" si="9"/>
        <v>3F1</v>
      </c>
      <c r="L445" t="s">
        <v>15</v>
      </c>
    </row>
    <row r="446" spans="1:12" x14ac:dyDescent="0.25">
      <c r="A446" t="str">
        <f>"0562293226"</f>
        <v>0562293226</v>
      </c>
      <c r="B446" t="str">
        <f t="shared" ref="B446:B508" si="10">"89301000"</f>
        <v>89301000</v>
      </c>
      <c r="C446" s="1">
        <v>44335</v>
      </c>
      <c r="D446" s="1">
        <v>44339</v>
      </c>
      <c r="E446">
        <v>1</v>
      </c>
      <c r="F446" t="s">
        <v>43</v>
      </c>
      <c r="G446" t="str">
        <f>"06-I18-04"</f>
        <v>06-I18-04</v>
      </c>
      <c r="H446">
        <v>1.1514</v>
      </c>
      <c r="J446" t="s">
        <v>24</v>
      </c>
      <c r="K446" t="str">
        <f t="shared" si="9"/>
        <v>3F1</v>
      </c>
      <c r="L446" t="s">
        <v>15</v>
      </c>
    </row>
    <row r="447" spans="1:12" x14ac:dyDescent="0.25">
      <c r="A447" t="str">
        <f>"0601201876"</f>
        <v>0601201876</v>
      </c>
      <c r="B447" t="str">
        <f t="shared" si="10"/>
        <v>89301000</v>
      </c>
      <c r="C447" s="1">
        <v>44443</v>
      </c>
      <c r="D447" s="1">
        <v>44448</v>
      </c>
      <c r="E447">
        <v>1</v>
      </c>
      <c r="F447" t="s">
        <v>498</v>
      </c>
      <c r="G447" t="str">
        <f>"01-K02-04"</f>
        <v>01-K02-04</v>
      </c>
      <c r="H447">
        <v>1.1076999999999999</v>
      </c>
      <c r="I447" t="s">
        <v>499</v>
      </c>
      <c r="J447" t="s">
        <v>14</v>
      </c>
      <c r="K447" t="str">
        <f t="shared" si="9"/>
        <v>3F1</v>
      </c>
      <c r="L447" t="s">
        <v>15</v>
      </c>
    </row>
    <row r="448" spans="1:12" x14ac:dyDescent="0.25">
      <c r="A448" t="str">
        <f>"0601273266"</f>
        <v>0601273266</v>
      </c>
      <c r="B448" t="str">
        <f t="shared" si="10"/>
        <v>89301000</v>
      </c>
      <c r="C448" s="1">
        <v>44325</v>
      </c>
      <c r="D448" s="1">
        <v>44327</v>
      </c>
      <c r="E448">
        <v>1</v>
      </c>
      <c r="F448" t="s">
        <v>326</v>
      </c>
      <c r="G448" t="str">
        <f>"02-I11-01"</f>
        <v>02-I11-01</v>
      </c>
      <c r="H448">
        <v>0.87619999999999998</v>
      </c>
      <c r="J448" t="s">
        <v>17</v>
      </c>
      <c r="K448" t="str">
        <f t="shared" si="9"/>
        <v>3F1</v>
      </c>
      <c r="L448" t="s">
        <v>15</v>
      </c>
    </row>
    <row r="449" spans="1:12" x14ac:dyDescent="0.25">
      <c r="A449" t="str">
        <f>"0602016063"</f>
        <v>0602016063</v>
      </c>
      <c r="B449" t="str">
        <f t="shared" si="10"/>
        <v>89301000</v>
      </c>
      <c r="C449" s="1">
        <v>44271</v>
      </c>
      <c r="D449" s="1">
        <v>44272</v>
      </c>
      <c r="E449">
        <v>1</v>
      </c>
      <c r="F449" t="s">
        <v>500</v>
      </c>
      <c r="G449" t="str">
        <f>"06-K06-02"</f>
        <v>06-K06-02</v>
      </c>
      <c r="H449">
        <v>0.69359999999999999</v>
      </c>
      <c r="J449" t="s">
        <v>14</v>
      </c>
      <c r="K449" t="str">
        <f t="shared" si="9"/>
        <v>3F1</v>
      </c>
      <c r="L449" t="s">
        <v>15</v>
      </c>
    </row>
    <row r="450" spans="1:12" x14ac:dyDescent="0.25">
      <c r="A450" t="str">
        <f>"0602136062"</f>
        <v>0602136062</v>
      </c>
      <c r="B450" t="str">
        <f t="shared" si="10"/>
        <v>89301000</v>
      </c>
      <c r="C450" s="1">
        <v>44221</v>
      </c>
      <c r="D450" s="1">
        <v>44224</v>
      </c>
      <c r="E450">
        <v>1</v>
      </c>
      <c r="F450" t="s">
        <v>388</v>
      </c>
      <c r="G450" t="str">
        <f>"08-K01-03"</f>
        <v>08-K01-03</v>
      </c>
      <c r="H450">
        <v>0.65310000000000001</v>
      </c>
      <c r="I450" t="s">
        <v>501</v>
      </c>
      <c r="J450" t="s">
        <v>14</v>
      </c>
      <c r="K450" t="str">
        <f t="shared" si="9"/>
        <v>3F1</v>
      </c>
      <c r="L450" t="s">
        <v>15</v>
      </c>
    </row>
    <row r="451" spans="1:12" x14ac:dyDescent="0.25">
      <c r="A451" t="str">
        <f>"0602136062"</f>
        <v>0602136062</v>
      </c>
      <c r="B451" t="str">
        <f t="shared" si="10"/>
        <v>89301000</v>
      </c>
      <c r="C451" s="1">
        <v>44215</v>
      </c>
      <c r="D451" s="1">
        <v>44218</v>
      </c>
      <c r="E451">
        <v>1</v>
      </c>
      <c r="F451" t="s">
        <v>502</v>
      </c>
      <c r="G451" t="str">
        <f>"11-K03-01"</f>
        <v>11-K03-01</v>
      </c>
      <c r="H451">
        <v>1.2428999999999999</v>
      </c>
      <c r="J451" t="s">
        <v>14</v>
      </c>
      <c r="K451" t="str">
        <f t="shared" si="9"/>
        <v>3F1</v>
      </c>
      <c r="L451" t="s">
        <v>15</v>
      </c>
    </row>
    <row r="452" spans="1:12" x14ac:dyDescent="0.25">
      <c r="A452" t="str">
        <f>"0603177443"</f>
        <v>0603177443</v>
      </c>
      <c r="B452" t="str">
        <f t="shared" si="10"/>
        <v>89301000</v>
      </c>
      <c r="C452" s="1">
        <v>44462</v>
      </c>
      <c r="D452" s="1">
        <v>44469</v>
      </c>
      <c r="E452">
        <v>1</v>
      </c>
      <c r="F452" t="s">
        <v>503</v>
      </c>
      <c r="G452" t="str">
        <f>"19-K02-03"</f>
        <v>19-K02-03</v>
      </c>
      <c r="H452">
        <v>0.67269999999999996</v>
      </c>
      <c r="I452" t="s">
        <v>504</v>
      </c>
      <c r="J452" t="s">
        <v>27</v>
      </c>
      <c r="K452" t="str">
        <f t="shared" si="9"/>
        <v>3F1</v>
      </c>
      <c r="L452" t="s">
        <v>15</v>
      </c>
    </row>
    <row r="453" spans="1:12" x14ac:dyDescent="0.25">
      <c r="A453" t="str">
        <f>"0603263254"</f>
        <v>0603263254</v>
      </c>
      <c r="B453" t="str">
        <f t="shared" si="10"/>
        <v>89301000</v>
      </c>
      <c r="C453" s="1">
        <v>44414</v>
      </c>
      <c r="D453" s="1">
        <v>44421</v>
      </c>
      <c r="E453">
        <v>1</v>
      </c>
      <c r="F453" t="s">
        <v>178</v>
      </c>
      <c r="G453" t="str">
        <f>"11-K12-01"</f>
        <v>11-K12-01</v>
      </c>
      <c r="H453">
        <v>1.7997000000000001</v>
      </c>
      <c r="I453" t="s">
        <v>505</v>
      </c>
      <c r="J453" t="s">
        <v>14</v>
      </c>
      <c r="K453" t="str">
        <f t="shared" si="9"/>
        <v>3F1</v>
      </c>
      <c r="L453" t="s">
        <v>15</v>
      </c>
    </row>
    <row r="454" spans="1:12" x14ac:dyDescent="0.25">
      <c r="A454" t="str">
        <f>"0604067420"</f>
        <v>0604067420</v>
      </c>
      <c r="B454" t="str">
        <f t="shared" si="10"/>
        <v>89301000</v>
      </c>
      <c r="C454" s="1">
        <v>44490</v>
      </c>
      <c r="D454" s="1">
        <v>44495</v>
      </c>
      <c r="E454">
        <v>1</v>
      </c>
      <c r="F454" t="s">
        <v>447</v>
      </c>
      <c r="G454" t="str">
        <f>"11-I17-03"</f>
        <v>11-I17-03</v>
      </c>
      <c r="H454">
        <v>0.50609999999999999</v>
      </c>
      <c r="I454" t="s">
        <v>506</v>
      </c>
      <c r="J454" t="s">
        <v>14</v>
      </c>
      <c r="K454" t="str">
        <f t="shared" si="9"/>
        <v>3F1</v>
      </c>
      <c r="L454" t="s">
        <v>15</v>
      </c>
    </row>
    <row r="455" spans="1:12" x14ac:dyDescent="0.25">
      <c r="A455" t="str">
        <f>"0604103236"</f>
        <v>0604103236</v>
      </c>
      <c r="B455" t="str">
        <f t="shared" si="10"/>
        <v>89301000</v>
      </c>
      <c r="C455" s="1">
        <v>44320</v>
      </c>
      <c r="D455" s="1">
        <v>44321</v>
      </c>
      <c r="E455">
        <v>1</v>
      </c>
      <c r="F455" t="s">
        <v>173</v>
      </c>
      <c r="G455" t="str">
        <f>"08-I32-02"</f>
        <v>08-I32-02</v>
      </c>
      <c r="H455">
        <v>0.4143</v>
      </c>
      <c r="J455" t="s">
        <v>14</v>
      </c>
      <c r="K455" t="str">
        <f t="shared" si="9"/>
        <v>3F1</v>
      </c>
      <c r="L455" t="s">
        <v>15</v>
      </c>
    </row>
    <row r="456" spans="1:12" x14ac:dyDescent="0.25">
      <c r="A456" t="str">
        <f>"0604203259"</f>
        <v>0604203259</v>
      </c>
      <c r="B456" t="str">
        <f t="shared" si="10"/>
        <v>89301000</v>
      </c>
      <c r="C456" s="1">
        <v>44377</v>
      </c>
      <c r="D456" s="1">
        <v>44383</v>
      </c>
      <c r="E456">
        <v>6</v>
      </c>
      <c r="F456" t="s">
        <v>507</v>
      </c>
      <c r="G456" t="str">
        <f>"18-K01-03"</f>
        <v>18-K01-03</v>
      </c>
      <c r="H456">
        <v>1.8284</v>
      </c>
      <c r="I456" t="s">
        <v>508</v>
      </c>
      <c r="J456" t="s">
        <v>14</v>
      </c>
      <c r="K456" t="str">
        <f>"3T1"</f>
        <v>3T1</v>
      </c>
      <c r="L456" t="s">
        <v>15</v>
      </c>
    </row>
    <row r="457" spans="1:12" x14ac:dyDescent="0.25">
      <c r="A457" t="str">
        <f>"0604276112"</f>
        <v>0604276112</v>
      </c>
      <c r="B457" t="str">
        <f t="shared" si="10"/>
        <v>89301000</v>
      </c>
      <c r="C457" s="1">
        <v>44332</v>
      </c>
      <c r="D457" s="1">
        <v>44334</v>
      </c>
      <c r="E457">
        <v>1</v>
      </c>
      <c r="F457" t="s">
        <v>509</v>
      </c>
      <c r="G457" t="str">
        <f>"02-K03-00"</f>
        <v>02-K03-00</v>
      </c>
      <c r="H457">
        <v>0.43609999999999999</v>
      </c>
      <c r="J457" t="s">
        <v>14</v>
      </c>
      <c r="K457" t="str">
        <f>"3F1"</f>
        <v>3F1</v>
      </c>
      <c r="L457" t="s">
        <v>15</v>
      </c>
    </row>
    <row r="458" spans="1:12" x14ac:dyDescent="0.25">
      <c r="A458" t="str">
        <f>"0605112167"</f>
        <v>0605112167</v>
      </c>
      <c r="B458" t="str">
        <f t="shared" si="10"/>
        <v>89301000</v>
      </c>
      <c r="C458" s="1">
        <v>44300</v>
      </c>
      <c r="D458" s="1">
        <v>44302</v>
      </c>
      <c r="E458">
        <v>1</v>
      </c>
      <c r="F458" t="s">
        <v>460</v>
      </c>
      <c r="G458" t="str">
        <f>"03-K08-00"</f>
        <v>03-K08-00</v>
      </c>
      <c r="H458">
        <v>0.42749999999999999</v>
      </c>
      <c r="J458" t="s">
        <v>14</v>
      </c>
      <c r="K458" t="str">
        <f>"3F1"</f>
        <v>3F1</v>
      </c>
      <c r="L458" t="s">
        <v>15</v>
      </c>
    </row>
    <row r="459" spans="1:12" x14ac:dyDescent="0.25">
      <c r="A459" t="str">
        <f>"0605263252"</f>
        <v>0605263252</v>
      </c>
      <c r="B459" t="str">
        <f t="shared" si="10"/>
        <v>89301000</v>
      </c>
      <c r="C459" s="1">
        <v>44263</v>
      </c>
      <c r="D459" s="1">
        <v>44265</v>
      </c>
      <c r="E459">
        <v>1</v>
      </c>
      <c r="F459" t="s">
        <v>294</v>
      </c>
      <c r="G459" t="str">
        <f>"08-I20-02"</f>
        <v>08-I20-02</v>
      </c>
      <c r="H459">
        <v>0.94159999999999999</v>
      </c>
      <c r="I459" t="s">
        <v>410</v>
      </c>
      <c r="J459" t="s">
        <v>17</v>
      </c>
      <c r="K459" t="str">
        <f>"3F1"</f>
        <v>3F1</v>
      </c>
      <c r="L459" t="s">
        <v>15</v>
      </c>
    </row>
    <row r="460" spans="1:12" x14ac:dyDescent="0.25">
      <c r="A460" t="str">
        <f>"0605263252"</f>
        <v>0605263252</v>
      </c>
      <c r="B460" t="str">
        <f t="shared" si="10"/>
        <v>89301000</v>
      </c>
      <c r="C460" s="1">
        <v>44378</v>
      </c>
      <c r="D460" s="1">
        <v>44379</v>
      </c>
      <c r="E460">
        <v>1</v>
      </c>
      <c r="F460" t="s">
        <v>510</v>
      </c>
      <c r="G460" t="str">
        <f>"09-I13-04"</f>
        <v>09-I13-04</v>
      </c>
      <c r="H460">
        <v>0.57730000000000004</v>
      </c>
      <c r="J460" t="s">
        <v>14</v>
      </c>
      <c r="K460" t="str">
        <f>"3F1"</f>
        <v>3F1</v>
      </c>
      <c r="L460" t="s">
        <v>15</v>
      </c>
    </row>
    <row r="461" spans="1:12" x14ac:dyDescent="0.25">
      <c r="A461" t="str">
        <f>"0606117083"</f>
        <v>0606117083</v>
      </c>
      <c r="B461" t="str">
        <f t="shared" si="10"/>
        <v>89301000</v>
      </c>
      <c r="C461" s="1">
        <v>44407</v>
      </c>
      <c r="D461" s="1">
        <v>44408</v>
      </c>
      <c r="E461">
        <v>1</v>
      </c>
      <c r="F461" t="s">
        <v>511</v>
      </c>
      <c r="G461" t="str">
        <f>"08-I20-03"</f>
        <v>08-I20-03</v>
      </c>
      <c r="H461">
        <v>0.65959999999999996</v>
      </c>
      <c r="I461" t="s">
        <v>512</v>
      </c>
      <c r="J461" t="s">
        <v>17</v>
      </c>
      <c r="K461" t="str">
        <f>"5F3"</f>
        <v>5F3</v>
      </c>
      <c r="L461" t="s">
        <v>15</v>
      </c>
    </row>
    <row r="462" spans="1:12" x14ac:dyDescent="0.25">
      <c r="A462" t="str">
        <f>"0606117083"</f>
        <v>0606117083</v>
      </c>
      <c r="B462" t="str">
        <f t="shared" si="10"/>
        <v>89301000</v>
      </c>
      <c r="C462" s="1">
        <v>44283</v>
      </c>
      <c r="D462" s="1">
        <v>44286</v>
      </c>
      <c r="E462">
        <v>1</v>
      </c>
      <c r="F462" t="s">
        <v>513</v>
      </c>
      <c r="G462" t="str">
        <f>"08-I20-03"</f>
        <v>08-I20-03</v>
      </c>
      <c r="H462">
        <v>0.63300000000000001</v>
      </c>
      <c r="I462" t="s">
        <v>514</v>
      </c>
      <c r="J462" t="s">
        <v>17</v>
      </c>
      <c r="K462" t="str">
        <f>"3F1"</f>
        <v>3F1</v>
      </c>
      <c r="L462" t="s">
        <v>15</v>
      </c>
    </row>
    <row r="463" spans="1:12" x14ac:dyDescent="0.25">
      <c r="A463" t="str">
        <f>"0606117083"</f>
        <v>0606117083</v>
      </c>
      <c r="B463" t="str">
        <f t="shared" si="10"/>
        <v>89301000</v>
      </c>
      <c r="C463" s="1">
        <v>44363</v>
      </c>
      <c r="D463" s="1">
        <v>44365</v>
      </c>
      <c r="E463">
        <v>1</v>
      </c>
      <c r="F463" t="s">
        <v>173</v>
      </c>
      <c r="G463" t="str">
        <f>"08-I32-02"</f>
        <v>08-I32-02</v>
      </c>
      <c r="H463">
        <v>0.4143</v>
      </c>
      <c r="J463" t="s">
        <v>14</v>
      </c>
      <c r="K463" t="str">
        <f>"5F3"</f>
        <v>5F3</v>
      </c>
      <c r="L463" t="s">
        <v>15</v>
      </c>
    </row>
    <row r="464" spans="1:12" x14ac:dyDescent="0.25">
      <c r="A464" t="str">
        <f>"0606143252"</f>
        <v>0606143252</v>
      </c>
      <c r="B464" t="str">
        <f t="shared" si="10"/>
        <v>89301000</v>
      </c>
      <c r="C464" s="1">
        <v>44488</v>
      </c>
      <c r="D464" s="1">
        <v>44490</v>
      </c>
      <c r="E464">
        <v>1</v>
      </c>
      <c r="F464" t="s">
        <v>515</v>
      </c>
      <c r="G464" t="str">
        <f>"01-K07-03"</f>
        <v>01-K07-03</v>
      </c>
      <c r="H464">
        <v>0.4642</v>
      </c>
      <c r="J464" t="s">
        <v>14</v>
      </c>
      <c r="K464" t="str">
        <f t="shared" ref="K464:K476" si="11">"3F1"</f>
        <v>3F1</v>
      </c>
      <c r="L464" t="s">
        <v>15</v>
      </c>
    </row>
    <row r="465" spans="1:12" x14ac:dyDescent="0.25">
      <c r="A465" t="str">
        <f>"0606161380"</f>
        <v>0606161380</v>
      </c>
      <c r="B465" t="str">
        <f t="shared" si="10"/>
        <v>89301000</v>
      </c>
      <c r="C465" s="1">
        <v>44372</v>
      </c>
      <c r="D465" s="1">
        <v>44374</v>
      </c>
      <c r="E465">
        <v>1</v>
      </c>
      <c r="F465" t="s">
        <v>354</v>
      </c>
      <c r="G465" t="str">
        <f>"10-K14-04"</f>
        <v>10-K14-04</v>
      </c>
      <c r="H465">
        <v>0.49559999999999998</v>
      </c>
      <c r="I465" t="s">
        <v>516</v>
      </c>
      <c r="J465" t="s">
        <v>14</v>
      </c>
      <c r="K465" t="str">
        <f t="shared" si="11"/>
        <v>3F1</v>
      </c>
      <c r="L465" t="s">
        <v>15</v>
      </c>
    </row>
    <row r="466" spans="1:12" x14ac:dyDescent="0.25">
      <c r="A466" t="str">
        <f>"0606161380"</f>
        <v>0606161380</v>
      </c>
      <c r="B466" t="str">
        <f t="shared" si="10"/>
        <v>89301000</v>
      </c>
      <c r="C466" s="1">
        <v>44481</v>
      </c>
      <c r="D466" s="1">
        <v>44483</v>
      </c>
      <c r="E466">
        <v>1</v>
      </c>
      <c r="F466" t="s">
        <v>517</v>
      </c>
      <c r="G466" t="str">
        <f>"06-K06-02"</f>
        <v>06-K06-02</v>
      </c>
      <c r="H466">
        <v>0.69359999999999999</v>
      </c>
      <c r="J466" t="s">
        <v>14</v>
      </c>
      <c r="K466" t="str">
        <f t="shared" si="11"/>
        <v>3F1</v>
      </c>
      <c r="L466" t="s">
        <v>15</v>
      </c>
    </row>
    <row r="467" spans="1:12" x14ac:dyDescent="0.25">
      <c r="A467" t="str">
        <f>"0606161380"</f>
        <v>0606161380</v>
      </c>
      <c r="B467" t="str">
        <f t="shared" si="10"/>
        <v>89301000</v>
      </c>
      <c r="C467" s="1">
        <v>44510</v>
      </c>
      <c r="D467" s="1">
        <v>44511</v>
      </c>
      <c r="E467">
        <v>1</v>
      </c>
      <c r="F467" t="s">
        <v>517</v>
      </c>
      <c r="G467" t="str">
        <f>"06-C01-00"</f>
        <v>06-C01-00</v>
      </c>
      <c r="H467">
        <v>0.39269999999999999</v>
      </c>
      <c r="J467" t="s">
        <v>14</v>
      </c>
      <c r="K467" t="str">
        <f t="shared" si="11"/>
        <v>3F1</v>
      </c>
      <c r="L467" t="s">
        <v>15</v>
      </c>
    </row>
    <row r="468" spans="1:12" x14ac:dyDescent="0.25">
      <c r="A468" t="str">
        <f>"0606223706"</f>
        <v>0606223706</v>
      </c>
      <c r="B468" t="str">
        <f t="shared" si="10"/>
        <v>89301000</v>
      </c>
      <c r="C468" s="1">
        <v>44471</v>
      </c>
      <c r="D468" s="1">
        <v>44472</v>
      </c>
      <c r="E468">
        <v>1</v>
      </c>
      <c r="F468" t="s">
        <v>292</v>
      </c>
      <c r="G468" t="str">
        <f>"08-I20-03"</f>
        <v>08-I20-03</v>
      </c>
      <c r="H468">
        <v>0.63300000000000001</v>
      </c>
      <c r="I468" t="s">
        <v>233</v>
      </c>
      <c r="J468" t="s">
        <v>17</v>
      </c>
      <c r="K468" t="str">
        <f t="shared" si="11"/>
        <v>3F1</v>
      </c>
      <c r="L468" t="s">
        <v>15</v>
      </c>
    </row>
    <row r="469" spans="1:12" x14ac:dyDescent="0.25">
      <c r="A469" t="str">
        <f>"0607098107"</f>
        <v>0607098107</v>
      </c>
      <c r="B469" t="str">
        <f t="shared" si="10"/>
        <v>89301000</v>
      </c>
      <c r="C469" s="1">
        <v>44324</v>
      </c>
      <c r="D469" s="1">
        <v>44326</v>
      </c>
      <c r="E469">
        <v>1</v>
      </c>
      <c r="F469" t="s">
        <v>518</v>
      </c>
      <c r="G469" t="str">
        <f>"09-K13-02"</f>
        <v>09-K13-02</v>
      </c>
      <c r="H469">
        <v>0.3014</v>
      </c>
      <c r="I469" t="s">
        <v>519</v>
      </c>
      <c r="J469" t="s">
        <v>14</v>
      </c>
      <c r="K469" t="str">
        <f t="shared" si="11"/>
        <v>3F1</v>
      </c>
      <c r="L469" t="s">
        <v>15</v>
      </c>
    </row>
    <row r="470" spans="1:12" x14ac:dyDescent="0.25">
      <c r="A470" t="str">
        <f>"0607143251"</f>
        <v>0607143251</v>
      </c>
      <c r="B470" t="str">
        <f t="shared" si="10"/>
        <v>89301000</v>
      </c>
      <c r="C470" s="1">
        <v>44321</v>
      </c>
      <c r="D470" s="1">
        <v>44323</v>
      </c>
      <c r="E470">
        <v>1</v>
      </c>
      <c r="F470" t="s">
        <v>520</v>
      </c>
      <c r="G470" t="str">
        <f>"01-K07-01"</f>
        <v>01-K07-01</v>
      </c>
      <c r="H470">
        <v>1.2299</v>
      </c>
      <c r="J470" t="s">
        <v>14</v>
      </c>
      <c r="K470" t="str">
        <f t="shared" si="11"/>
        <v>3F1</v>
      </c>
      <c r="L470" t="s">
        <v>15</v>
      </c>
    </row>
    <row r="471" spans="1:12" x14ac:dyDescent="0.25">
      <c r="A471" t="str">
        <f>"0608083245"</f>
        <v>0608083245</v>
      </c>
      <c r="B471" t="str">
        <f t="shared" si="10"/>
        <v>89301000</v>
      </c>
      <c r="C471" s="1">
        <v>44337</v>
      </c>
      <c r="D471" s="1">
        <v>44343</v>
      </c>
      <c r="E471">
        <v>1</v>
      </c>
      <c r="F471" t="s">
        <v>521</v>
      </c>
      <c r="G471" t="str">
        <f>"09-K13-01"</f>
        <v>09-K13-01</v>
      </c>
      <c r="H471">
        <v>0.58899999999999997</v>
      </c>
      <c r="I471" t="s">
        <v>522</v>
      </c>
      <c r="J471" t="s">
        <v>14</v>
      </c>
      <c r="K471" t="str">
        <f t="shared" si="11"/>
        <v>3F1</v>
      </c>
      <c r="L471" t="s">
        <v>15</v>
      </c>
    </row>
    <row r="472" spans="1:12" x14ac:dyDescent="0.25">
      <c r="A472" t="str">
        <f>"0608143239"</f>
        <v>0608143239</v>
      </c>
      <c r="B472" t="str">
        <f t="shared" si="10"/>
        <v>89301000</v>
      </c>
      <c r="C472" s="1">
        <v>44451</v>
      </c>
      <c r="D472" s="1">
        <v>44454</v>
      </c>
      <c r="E472">
        <v>1</v>
      </c>
      <c r="F472" t="s">
        <v>523</v>
      </c>
      <c r="G472" t="str">
        <f>"12-I10-02"</f>
        <v>12-I10-02</v>
      </c>
      <c r="H472">
        <v>0.57379999999999998</v>
      </c>
      <c r="J472" t="s">
        <v>24</v>
      </c>
      <c r="K472" t="str">
        <f t="shared" si="11"/>
        <v>3F1</v>
      </c>
      <c r="L472" t="s">
        <v>15</v>
      </c>
    </row>
    <row r="473" spans="1:12" x14ac:dyDescent="0.25">
      <c r="A473" t="str">
        <f>"0608193685"</f>
        <v>0608193685</v>
      </c>
      <c r="B473" t="str">
        <f t="shared" si="10"/>
        <v>89301000</v>
      </c>
      <c r="C473" s="1">
        <v>44336</v>
      </c>
      <c r="D473" s="1">
        <v>44339</v>
      </c>
      <c r="E473">
        <v>1</v>
      </c>
      <c r="F473" t="s">
        <v>524</v>
      </c>
      <c r="G473" t="str">
        <f>"08-M03-05"</f>
        <v>08-M03-05</v>
      </c>
      <c r="H473">
        <v>0.51759999999999995</v>
      </c>
      <c r="J473" t="s">
        <v>14</v>
      </c>
      <c r="K473" t="str">
        <f t="shared" si="11"/>
        <v>3F1</v>
      </c>
      <c r="L473" t="s">
        <v>15</v>
      </c>
    </row>
    <row r="474" spans="1:12" x14ac:dyDescent="0.25">
      <c r="A474" t="str">
        <f>"0608265339"</f>
        <v>0608265339</v>
      </c>
      <c r="B474" t="str">
        <f t="shared" si="10"/>
        <v>89301000</v>
      </c>
      <c r="C474" s="1">
        <v>44326</v>
      </c>
      <c r="D474" s="1">
        <v>44327</v>
      </c>
      <c r="E474">
        <v>1</v>
      </c>
      <c r="F474" t="s">
        <v>320</v>
      </c>
      <c r="G474" t="str">
        <f>"03-K08-00"</f>
        <v>03-K08-00</v>
      </c>
      <c r="H474">
        <v>0.42749999999999999</v>
      </c>
      <c r="I474" t="s">
        <v>525</v>
      </c>
      <c r="J474" t="s">
        <v>14</v>
      </c>
      <c r="K474" t="str">
        <f t="shared" si="11"/>
        <v>3F1</v>
      </c>
      <c r="L474" t="s">
        <v>15</v>
      </c>
    </row>
    <row r="475" spans="1:12" x14ac:dyDescent="0.25">
      <c r="A475" t="str">
        <f>"0609045349"</f>
        <v>0609045349</v>
      </c>
      <c r="B475" t="str">
        <f t="shared" si="10"/>
        <v>89301000</v>
      </c>
      <c r="C475" s="1">
        <v>44327</v>
      </c>
      <c r="D475" s="1">
        <v>44328</v>
      </c>
      <c r="E475">
        <v>1</v>
      </c>
      <c r="F475" t="s">
        <v>526</v>
      </c>
      <c r="G475" t="str">
        <f>"05-M08-00"</f>
        <v>05-M08-00</v>
      </c>
      <c r="H475">
        <v>1.0754999999999999</v>
      </c>
      <c r="J475" t="s">
        <v>17</v>
      </c>
      <c r="K475" t="str">
        <f t="shared" si="11"/>
        <v>3F1</v>
      </c>
      <c r="L475" t="s">
        <v>15</v>
      </c>
    </row>
    <row r="476" spans="1:12" x14ac:dyDescent="0.25">
      <c r="A476" t="str">
        <f>"0609063224"</f>
        <v>0609063224</v>
      </c>
      <c r="B476" t="str">
        <f t="shared" si="10"/>
        <v>89301000</v>
      </c>
      <c r="C476" s="1">
        <v>44435</v>
      </c>
      <c r="D476" s="1">
        <v>44439</v>
      </c>
      <c r="E476">
        <v>1</v>
      </c>
      <c r="F476" t="s">
        <v>43</v>
      </c>
      <c r="G476" t="str">
        <f>"06-I18-04"</f>
        <v>06-I18-04</v>
      </c>
      <c r="H476">
        <v>1.1514</v>
      </c>
      <c r="J476" t="s">
        <v>24</v>
      </c>
      <c r="K476" t="str">
        <f t="shared" si="11"/>
        <v>3F1</v>
      </c>
      <c r="L476" t="s">
        <v>15</v>
      </c>
    </row>
    <row r="477" spans="1:12" x14ac:dyDescent="0.25">
      <c r="A477" t="str">
        <f>"0609115298"</f>
        <v>0609115298</v>
      </c>
      <c r="B477" t="str">
        <f t="shared" si="10"/>
        <v>89301000</v>
      </c>
      <c r="C477" s="1">
        <v>44473</v>
      </c>
      <c r="D477" s="1">
        <v>44476</v>
      </c>
      <c r="E477">
        <v>1</v>
      </c>
      <c r="F477" t="s">
        <v>71</v>
      </c>
      <c r="G477" t="str">
        <f>"08-M03-05"</f>
        <v>08-M03-05</v>
      </c>
      <c r="H477">
        <v>0.51759999999999995</v>
      </c>
      <c r="I477" t="s">
        <v>527</v>
      </c>
      <c r="J477" t="s">
        <v>14</v>
      </c>
      <c r="K477" t="str">
        <f>"6F6"</f>
        <v>6F6</v>
      </c>
      <c r="L477" t="s">
        <v>15</v>
      </c>
    </row>
    <row r="478" spans="1:12" x14ac:dyDescent="0.25">
      <c r="A478" t="str">
        <f>"0609226145"</f>
        <v>0609226145</v>
      </c>
      <c r="B478" t="str">
        <f t="shared" si="10"/>
        <v>89301000</v>
      </c>
      <c r="C478" s="1">
        <v>44391</v>
      </c>
      <c r="D478" s="1">
        <v>44396</v>
      </c>
      <c r="E478">
        <v>1</v>
      </c>
      <c r="F478" t="s">
        <v>304</v>
      </c>
      <c r="G478" t="str">
        <f>"10-K03-02"</f>
        <v>10-K03-02</v>
      </c>
      <c r="H478">
        <v>1.3724000000000001</v>
      </c>
      <c r="I478" t="s">
        <v>528</v>
      </c>
      <c r="J478" t="s">
        <v>14</v>
      </c>
      <c r="K478" t="str">
        <f t="shared" ref="K478:K490" si="12">"3F1"</f>
        <v>3F1</v>
      </c>
      <c r="L478" t="s">
        <v>15</v>
      </c>
    </row>
    <row r="479" spans="1:12" x14ac:dyDescent="0.25">
      <c r="A479" t="str">
        <f>"0610165259"</f>
        <v>0610165259</v>
      </c>
      <c r="B479" t="str">
        <f t="shared" si="10"/>
        <v>89301000</v>
      </c>
      <c r="C479" s="1">
        <v>44412</v>
      </c>
      <c r="D479" s="1">
        <v>44414</v>
      </c>
      <c r="E479">
        <v>1</v>
      </c>
      <c r="F479" t="s">
        <v>529</v>
      </c>
      <c r="G479" t="str">
        <f>"06-K04-03"</f>
        <v>06-K04-03</v>
      </c>
      <c r="H479">
        <v>0.38250000000000001</v>
      </c>
      <c r="I479" t="s">
        <v>530</v>
      </c>
      <c r="J479" t="s">
        <v>14</v>
      </c>
      <c r="K479" t="str">
        <f t="shared" si="12"/>
        <v>3F1</v>
      </c>
      <c r="L479" t="s">
        <v>15</v>
      </c>
    </row>
    <row r="480" spans="1:12" x14ac:dyDescent="0.25">
      <c r="A480" t="str">
        <f>"0611016175"</f>
        <v>0611016175</v>
      </c>
      <c r="B480" t="str">
        <f t="shared" si="10"/>
        <v>89301000</v>
      </c>
      <c r="C480" s="1">
        <v>44249</v>
      </c>
      <c r="D480" s="1">
        <v>44251</v>
      </c>
      <c r="E480">
        <v>1</v>
      </c>
      <c r="F480" t="s">
        <v>531</v>
      </c>
      <c r="G480" t="str">
        <f>"06-M01-03"</f>
        <v>06-M01-03</v>
      </c>
      <c r="H480">
        <v>0.82450000000000001</v>
      </c>
      <c r="J480" t="s">
        <v>14</v>
      </c>
      <c r="K480" t="str">
        <f t="shared" si="12"/>
        <v>3F1</v>
      </c>
      <c r="L480" t="s">
        <v>15</v>
      </c>
    </row>
    <row r="481" spans="1:12" x14ac:dyDescent="0.25">
      <c r="A481" t="str">
        <f>"0611016175"</f>
        <v>0611016175</v>
      </c>
      <c r="B481" t="str">
        <f t="shared" si="10"/>
        <v>89301000</v>
      </c>
      <c r="C481" s="1">
        <v>44438</v>
      </c>
      <c r="D481" s="1">
        <v>44439</v>
      </c>
      <c r="E481">
        <v>1</v>
      </c>
      <c r="F481" t="s">
        <v>532</v>
      </c>
      <c r="G481" t="str">
        <f>"06-K17-02"</f>
        <v>06-K17-02</v>
      </c>
      <c r="H481">
        <v>0.29680000000000001</v>
      </c>
      <c r="I481" t="s">
        <v>533</v>
      </c>
      <c r="J481" t="s">
        <v>14</v>
      </c>
      <c r="K481" t="str">
        <f t="shared" si="12"/>
        <v>3F1</v>
      </c>
      <c r="L481" t="s">
        <v>15</v>
      </c>
    </row>
    <row r="482" spans="1:12" x14ac:dyDescent="0.25">
      <c r="A482" t="str">
        <f>"0611213229"</f>
        <v>0611213229</v>
      </c>
      <c r="B482" t="str">
        <f t="shared" si="10"/>
        <v>89301000</v>
      </c>
      <c r="C482" s="1">
        <v>44332</v>
      </c>
      <c r="D482" s="1">
        <v>44338</v>
      </c>
      <c r="E482">
        <v>1</v>
      </c>
      <c r="F482" t="s">
        <v>534</v>
      </c>
      <c r="G482" t="str">
        <f>"03-I16-02"</f>
        <v>03-I16-02</v>
      </c>
      <c r="H482">
        <v>0.89539999999999997</v>
      </c>
      <c r="I482" t="s">
        <v>313</v>
      </c>
      <c r="J482" t="s">
        <v>24</v>
      </c>
      <c r="K482" t="str">
        <f t="shared" si="12"/>
        <v>3F1</v>
      </c>
      <c r="L482" t="s">
        <v>15</v>
      </c>
    </row>
    <row r="483" spans="1:12" x14ac:dyDescent="0.25">
      <c r="A483" t="str">
        <f>"0611293232"</f>
        <v>0611293232</v>
      </c>
      <c r="B483" t="str">
        <f t="shared" si="10"/>
        <v>89301000</v>
      </c>
      <c r="C483" s="1">
        <v>44286</v>
      </c>
      <c r="D483" s="1">
        <v>44287</v>
      </c>
      <c r="E483">
        <v>1</v>
      </c>
      <c r="F483" t="s">
        <v>380</v>
      </c>
      <c r="G483" t="str">
        <f>"08-I20-03"</f>
        <v>08-I20-03</v>
      </c>
      <c r="H483">
        <v>0.63300000000000001</v>
      </c>
      <c r="I483" t="s">
        <v>196</v>
      </c>
      <c r="J483" t="s">
        <v>17</v>
      </c>
      <c r="K483" t="str">
        <f t="shared" si="12"/>
        <v>3F1</v>
      </c>
      <c r="L483" t="s">
        <v>15</v>
      </c>
    </row>
    <row r="484" spans="1:12" x14ac:dyDescent="0.25">
      <c r="A484" t="str">
        <f>"0612105274"</f>
        <v>0612105274</v>
      </c>
      <c r="B484" t="str">
        <f t="shared" si="10"/>
        <v>89301000</v>
      </c>
      <c r="C484" s="1">
        <v>44480</v>
      </c>
      <c r="D484" s="1">
        <v>44481</v>
      </c>
      <c r="E484">
        <v>1</v>
      </c>
      <c r="F484" t="s">
        <v>292</v>
      </c>
      <c r="G484" t="str">
        <f>"08-I20-03"</f>
        <v>08-I20-03</v>
      </c>
      <c r="H484">
        <v>0.63300000000000001</v>
      </c>
      <c r="I484" t="s">
        <v>30</v>
      </c>
      <c r="J484" t="s">
        <v>17</v>
      </c>
      <c r="K484" t="str">
        <f t="shared" si="12"/>
        <v>3F1</v>
      </c>
      <c r="L484" t="s">
        <v>15</v>
      </c>
    </row>
    <row r="485" spans="1:12" x14ac:dyDescent="0.25">
      <c r="A485" t="str">
        <f>"0612116076"</f>
        <v>0612116076</v>
      </c>
      <c r="B485" t="str">
        <f t="shared" si="10"/>
        <v>89301000</v>
      </c>
      <c r="C485" s="1">
        <v>44298</v>
      </c>
      <c r="D485" s="1">
        <v>44307</v>
      </c>
      <c r="E485">
        <v>1</v>
      </c>
      <c r="F485" t="s">
        <v>535</v>
      </c>
      <c r="G485" t="str">
        <f>"16-K06-01"</f>
        <v>16-K06-01</v>
      </c>
      <c r="H485">
        <v>1.6866000000000001</v>
      </c>
      <c r="I485" t="s">
        <v>536</v>
      </c>
      <c r="J485" t="s">
        <v>14</v>
      </c>
      <c r="K485" t="str">
        <f t="shared" si="12"/>
        <v>3F1</v>
      </c>
      <c r="L485" t="s">
        <v>15</v>
      </c>
    </row>
    <row r="486" spans="1:12" x14ac:dyDescent="0.25">
      <c r="A486" t="str">
        <f>"0612118958"</f>
        <v>0612118958</v>
      </c>
      <c r="B486" t="str">
        <f t="shared" si="10"/>
        <v>89301000</v>
      </c>
      <c r="C486" s="1">
        <v>44296</v>
      </c>
      <c r="D486" s="1">
        <v>44305</v>
      </c>
      <c r="E486">
        <v>1</v>
      </c>
      <c r="F486" t="s">
        <v>537</v>
      </c>
      <c r="G486" t="str">
        <f>"08-K03-02"</f>
        <v>08-K03-02</v>
      </c>
      <c r="H486">
        <v>1.5813999999999999</v>
      </c>
      <c r="I486" t="s">
        <v>538</v>
      </c>
      <c r="J486" t="s">
        <v>14</v>
      </c>
      <c r="K486" t="str">
        <f t="shared" si="12"/>
        <v>3F1</v>
      </c>
      <c r="L486" t="s">
        <v>15</v>
      </c>
    </row>
    <row r="487" spans="1:12" x14ac:dyDescent="0.25">
      <c r="A487" t="str">
        <f>"0612158459"</f>
        <v>0612158459</v>
      </c>
      <c r="B487" t="str">
        <f t="shared" si="10"/>
        <v>89301000</v>
      </c>
      <c r="C487" s="1">
        <v>44473</v>
      </c>
      <c r="D487" s="1">
        <v>44474</v>
      </c>
      <c r="E487">
        <v>1</v>
      </c>
      <c r="F487" t="s">
        <v>139</v>
      </c>
      <c r="G487" t="str">
        <f>"07-K11-02"</f>
        <v>07-K11-02</v>
      </c>
      <c r="H487">
        <v>0.70899999999999996</v>
      </c>
      <c r="I487" t="s">
        <v>539</v>
      </c>
      <c r="J487" t="s">
        <v>14</v>
      </c>
      <c r="K487" t="str">
        <f t="shared" si="12"/>
        <v>3F1</v>
      </c>
      <c r="L487" t="s">
        <v>15</v>
      </c>
    </row>
    <row r="488" spans="1:12" x14ac:dyDescent="0.25">
      <c r="A488" t="str">
        <f>"0612173232"</f>
        <v>0612173232</v>
      </c>
      <c r="B488" t="str">
        <f t="shared" si="10"/>
        <v>89301000</v>
      </c>
      <c r="C488" s="1">
        <v>44541</v>
      </c>
      <c r="D488" s="1">
        <v>44542</v>
      </c>
      <c r="E488">
        <v>1</v>
      </c>
      <c r="F488" t="s">
        <v>540</v>
      </c>
      <c r="G488" t="str">
        <f>"17-K05-02"</f>
        <v>17-K05-02</v>
      </c>
      <c r="H488">
        <v>0.94220000000000004</v>
      </c>
      <c r="I488" t="s">
        <v>541</v>
      </c>
      <c r="J488" t="s">
        <v>14</v>
      </c>
      <c r="K488" t="str">
        <f t="shared" si="12"/>
        <v>3F1</v>
      </c>
      <c r="L488" t="s">
        <v>15</v>
      </c>
    </row>
    <row r="489" spans="1:12" x14ac:dyDescent="0.25">
      <c r="A489" t="str">
        <f>"0612173232"</f>
        <v>0612173232</v>
      </c>
      <c r="B489" t="str">
        <f t="shared" si="10"/>
        <v>89301000</v>
      </c>
      <c r="C489" s="1">
        <v>44490</v>
      </c>
      <c r="D489" s="1">
        <v>44533</v>
      </c>
      <c r="E489">
        <v>1</v>
      </c>
      <c r="F489" t="s">
        <v>540</v>
      </c>
      <c r="G489" t="str">
        <f>"17-K05-01"</f>
        <v>17-K05-01</v>
      </c>
      <c r="H489">
        <v>5.4473000000000003</v>
      </c>
      <c r="I489" t="s">
        <v>542</v>
      </c>
      <c r="J489" t="s">
        <v>14</v>
      </c>
      <c r="K489" t="str">
        <f t="shared" si="12"/>
        <v>3F1</v>
      </c>
      <c r="L489" t="s">
        <v>15</v>
      </c>
    </row>
    <row r="490" spans="1:12" x14ac:dyDescent="0.25">
      <c r="A490" t="str">
        <f>"0612176070"</f>
        <v>0612176070</v>
      </c>
      <c r="B490" t="str">
        <f t="shared" si="10"/>
        <v>89301000</v>
      </c>
      <c r="C490" s="1">
        <v>44448</v>
      </c>
      <c r="D490" s="1">
        <v>44456</v>
      </c>
      <c r="E490">
        <v>1</v>
      </c>
      <c r="F490" t="s">
        <v>208</v>
      </c>
      <c r="G490" t="str">
        <f>"08-K14-01"</f>
        <v>08-K14-01</v>
      </c>
      <c r="H490">
        <v>0.63</v>
      </c>
      <c r="I490" t="s">
        <v>543</v>
      </c>
      <c r="J490" t="s">
        <v>14</v>
      </c>
      <c r="K490" t="str">
        <f t="shared" si="12"/>
        <v>3F1</v>
      </c>
      <c r="L490" t="s">
        <v>15</v>
      </c>
    </row>
    <row r="491" spans="1:12" x14ac:dyDescent="0.25">
      <c r="A491" t="str">
        <f>"0612203240"</f>
        <v>0612203240</v>
      </c>
      <c r="B491" t="str">
        <f t="shared" si="10"/>
        <v>89301000</v>
      </c>
      <c r="C491" s="1">
        <v>44307</v>
      </c>
      <c r="D491" s="1">
        <v>44314</v>
      </c>
      <c r="E491">
        <v>1</v>
      </c>
      <c r="F491" t="s">
        <v>544</v>
      </c>
      <c r="G491" t="str">
        <f>"09-K02-00"</f>
        <v>09-K02-00</v>
      </c>
      <c r="H491">
        <v>1.1361000000000001</v>
      </c>
      <c r="I491" t="s">
        <v>302</v>
      </c>
      <c r="J491" t="s">
        <v>14</v>
      </c>
      <c r="K491" t="str">
        <f>"4F4"</f>
        <v>4F4</v>
      </c>
      <c r="L491" t="s">
        <v>15</v>
      </c>
    </row>
    <row r="492" spans="1:12" x14ac:dyDescent="0.25">
      <c r="A492" t="str">
        <f>"0612276170"</f>
        <v>0612276170</v>
      </c>
      <c r="B492" t="str">
        <f t="shared" si="10"/>
        <v>89301000</v>
      </c>
      <c r="C492" s="1">
        <v>44362</v>
      </c>
      <c r="D492" s="1">
        <v>44364</v>
      </c>
      <c r="E492">
        <v>1</v>
      </c>
      <c r="F492" t="s">
        <v>284</v>
      </c>
      <c r="G492" t="str">
        <f>"06-K06-02"</f>
        <v>06-K06-02</v>
      </c>
      <c r="H492">
        <v>0.69359999999999999</v>
      </c>
      <c r="I492" t="s">
        <v>324</v>
      </c>
      <c r="J492" t="s">
        <v>14</v>
      </c>
      <c r="K492" t="str">
        <f t="shared" ref="K492:K497" si="13">"3F1"</f>
        <v>3F1</v>
      </c>
      <c r="L492" t="s">
        <v>15</v>
      </c>
    </row>
    <row r="493" spans="1:12" x14ac:dyDescent="0.25">
      <c r="A493" t="str">
        <f>"0612276170"</f>
        <v>0612276170</v>
      </c>
      <c r="B493" t="str">
        <f t="shared" si="10"/>
        <v>89301000</v>
      </c>
      <c r="C493" s="1">
        <v>44378</v>
      </c>
      <c r="D493" s="1">
        <v>44379</v>
      </c>
      <c r="E493">
        <v>1</v>
      </c>
      <c r="F493" t="s">
        <v>284</v>
      </c>
      <c r="G493" t="str">
        <f>"06-C01-00"</f>
        <v>06-C01-00</v>
      </c>
      <c r="H493">
        <v>0.39269999999999999</v>
      </c>
      <c r="J493" t="s">
        <v>14</v>
      </c>
      <c r="K493" t="str">
        <f t="shared" si="13"/>
        <v>3F1</v>
      </c>
      <c r="L493" t="s">
        <v>15</v>
      </c>
    </row>
    <row r="494" spans="1:12" x14ac:dyDescent="0.25">
      <c r="A494" t="str">
        <f>"0652133229"</f>
        <v>0652133229</v>
      </c>
      <c r="B494" t="str">
        <f t="shared" si="10"/>
        <v>89301000</v>
      </c>
      <c r="C494" s="1">
        <v>44461</v>
      </c>
      <c r="D494" s="1">
        <v>44463</v>
      </c>
      <c r="E494">
        <v>1</v>
      </c>
      <c r="F494" t="s">
        <v>545</v>
      </c>
      <c r="G494" t="str">
        <f>"10-K13-03"</f>
        <v>10-K13-03</v>
      </c>
      <c r="H494">
        <v>0.46260000000000001</v>
      </c>
      <c r="J494" t="s">
        <v>14</v>
      </c>
      <c r="K494" t="str">
        <f t="shared" si="13"/>
        <v>3F1</v>
      </c>
      <c r="L494" t="s">
        <v>15</v>
      </c>
    </row>
    <row r="495" spans="1:12" x14ac:dyDescent="0.25">
      <c r="A495" t="str">
        <f>"0652237080"</f>
        <v>0652237080</v>
      </c>
      <c r="B495" t="str">
        <f t="shared" si="10"/>
        <v>89301000</v>
      </c>
      <c r="C495" s="1">
        <v>44419</v>
      </c>
      <c r="D495" s="1">
        <v>44422</v>
      </c>
      <c r="E495">
        <v>1</v>
      </c>
      <c r="F495" t="s">
        <v>183</v>
      </c>
      <c r="G495" t="str">
        <f>"09-K14-01"</f>
        <v>09-K14-01</v>
      </c>
      <c r="H495">
        <v>0.89370000000000005</v>
      </c>
      <c r="I495" t="s">
        <v>546</v>
      </c>
      <c r="J495" t="s">
        <v>14</v>
      </c>
      <c r="K495" t="str">
        <f t="shared" si="13"/>
        <v>3F1</v>
      </c>
      <c r="L495" t="s">
        <v>15</v>
      </c>
    </row>
    <row r="496" spans="1:12" x14ac:dyDescent="0.25">
      <c r="A496" t="str">
        <f>"0653173235"</f>
        <v>0653173235</v>
      </c>
      <c r="B496" t="str">
        <f t="shared" si="10"/>
        <v>89301000</v>
      </c>
      <c r="C496" s="1">
        <v>44208</v>
      </c>
      <c r="D496" s="1">
        <v>44210</v>
      </c>
      <c r="E496">
        <v>1</v>
      </c>
      <c r="F496" t="s">
        <v>22</v>
      </c>
      <c r="G496" t="str">
        <f>"02-K11-01"</f>
        <v>02-K11-01</v>
      </c>
      <c r="H496">
        <v>0.88200000000000001</v>
      </c>
      <c r="J496" t="s">
        <v>14</v>
      </c>
      <c r="K496" t="str">
        <f t="shared" si="13"/>
        <v>3F1</v>
      </c>
      <c r="L496" t="s">
        <v>15</v>
      </c>
    </row>
    <row r="497" spans="1:12" x14ac:dyDescent="0.25">
      <c r="A497" t="str">
        <f>"0653203254"</f>
        <v>0653203254</v>
      </c>
      <c r="B497" t="str">
        <f t="shared" si="10"/>
        <v>89301000</v>
      </c>
      <c r="C497" s="1">
        <v>44339</v>
      </c>
      <c r="D497" s="1">
        <v>44341</v>
      </c>
      <c r="E497">
        <v>1</v>
      </c>
      <c r="F497" t="s">
        <v>547</v>
      </c>
      <c r="G497" t="str">
        <f>"03-I14-02"</f>
        <v>03-I14-02</v>
      </c>
      <c r="H497">
        <v>1.1086</v>
      </c>
      <c r="I497" t="s">
        <v>168</v>
      </c>
      <c r="J497" t="s">
        <v>14</v>
      </c>
      <c r="K497" t="str">
        <f t="shared" si="13"/>
        <v>3F1</v>
      </c>
      <c r="L497" t="s">
        <v>15</v>
      </c>
    </row>
    <row r="498" spans="1:12" x14ac:dyDescent="0.25">
      <c r="A498" t="str">
        <f>"0653291870"</f>
        <v>0653291870</v>
      </c>
      <c r="B498" t="str">
        <f t="shared" si="10"/>
        <v>89301000</v>
      </c>
      <c r="C498" s="1">
        <v>44506</v>
      </c>
      <c r="D498" s="1">
        <v>44510</v>
      </c>
      <c r="E498">
        <v>6</v>
      </c>
      <c r="F498" t="s">
        <v>287</v>
      </c>
      <c r="G498" t="str">
        <f>"01-K16-06"</f>
        <v>01-K16-06</v>
      </c>
      <c r="H498">
        <v>0.26469999999999999</v>
      </c>
      <c r="I498" t="s">
        <v>548</v>
      </c>
      <c r="J498" t="s">
        <v>14</v>
      </c>
      <c r="K498" t="str">
        <f>"3T1"</f>
        <v>3T1</v>
      </c>
      <c r="L498" t="s">
        <v>15</v>
      </c>
    </row>
    <row r="499" spans="1:12" x14ac:dyDescent="0.25">
      <c r="A499" t="str">
        <f>"0654043225"</f>
        <v>0654043225</v>
      </c>
      <c r="B499" t="str">
        <f t="shared" si="10"/>
        <v>89301000</v>
      </c>
      <c r="C499" s="1">
        <v>44405</v>
      </c>
      <c r="D499" s="1">
        <v>44410</v>
      </c>
      <c r="E499">
        <v>1</v>
      </c>
      <c r="F499" t="s">
        <v>101</v>
      </c>
      <c r="G499" t="str">
        <f>"06-I14-02"</f>
        <v>06-I14-02</v>
      </c>
      <c r="H499">
        <v>1.6960999999999999</v>
      </c>
      <c r="I499" t="s">
        <v>549</v>
      </c>
      <c r="J499" t="s">
        <v>14</v>
      </c>
      <c r="K499" t="str">
        <f t="shared" ref="K499:K509" si="14">"3F1"</f>
        <v>3F1</v>
      </c>
      <c r="L499" t="s">
        <v>15</v>
      </c>
    </row>
    <row r="500" spans="1:12" x14ac:dyDescent="0.25">
      <c r="A500" t="str">
        <f>"0655053245"</f>
        <v>0655053245</v>
      </c>
      <c r="B500" t="str">
        <f t="shared" si="10"/>
        <v>89301000</v>
      </c>
      <c r="C500" s="1">
        <v>44426</v>
      </c>
      <c r="D500" s="1">
        <v>44431</v>
      </c>
      <c r="E500">
        <v>1</v>
      </c>
      <c r="F500" t="s">
        <v>550</v>
      </c>
      <c r="G500" t="str">
        <f>"07-I10-06"</f>
        <v>07-I10-06</v>
      </c>
      <c r="H500">
        <v>0.9728</v>
      </c>
      <c r="J500" t="s">
        <v>17</v>
      </c>
      <c r="K500" t="str">
        <f t="shared" si="14"/>
        <v>3F1</v>
      </c>
      <c r="L500" t="s">
        <v>15</v>
      </c>
    </row>
    <row r="501" spans="1:12" x14ac:dyDescent="0.25">
      <c r="A501" t="str">
        <f>"0655091382"</f>
        <v>0655091382</v>
      </c>
      <c r="B501" t="str">
        <f t="shared" si="10"/>
        <v>89301000</v>
      </c>
      <c r="C501" s="1">
        <v>44550</v>
      </c>
      <c r="D501" s="1">
        <v>44551</v>
      </c>
      <c r="E501">
        <v>1</v>
      </c>
      <c r="F501" t="s">
        <v>497</v>
      </c>
      <c r="G501" t="str">
        <f>"20-K01-04"</f>
        <v>20-K01-04</v>
      </c>
      <c r="H501">
        <v>0.38159999999999999</v>
      </c>
      <c r="J501" t="s">
        <v>14</v>
      </c>
      <c r="K501" t="str">
        <f t="shared" si="14"/>
        <v>3F1</v>
      </c>
      <c r="L501" t="s">
        <v>15</v>
      </c>
    </row>
    <row r="502" spans="1:12" x14ac:dyDescent="0.25">
      <c r="A502" t="str">
        <f>"0655135338"</f>
        <v>0655135338</v>
      </c>
      <c r="B502" t="str">
        <f t="shared" si="10"/>
        <v>89301000</v>
      </c>
      <c r="C502" s="1">
        <v>44437</v>
      </c>
      <c r="D502" s="1">
        <v>44439</v>
      </c>
      <c r="E502">
        <v>1</v>
      </c>
      <c r="F502" t="s">
        <v>551</v>
      </c>
      <c r="G502" t="str">
        <f>"06-K04-03"</f>
        <v>06-K04-03</v>
      </c>
      <c r="H502">
        <v>0.38250000000000001</v>
      </c>
      <c r="I502" t="s">
        <v>552</v>
      </c>
      <c r="J502" t="s">
        <v>14</v>
      </c>
      <c r="K502" t="str">
        <f t="shared" si="14"/>
        <v>3F1</v>
      </c>
      <c r="L502" t="s">
        <v>15</v>
      </c>
    </row>
    <row r="503" spans="1:12" x14ac:dyDescent="0.25">
      <c r="A503" t="str">
        <f>"0655155336"</f>
        <v>0655155336</v>
      </c>
      <c r="B503" t="str">
        <f t="shared" si="10"/>
        <v>89301000</v>
      </c>
      <c r="C503" s="1">
        <v>44384</v>
      </c>
      <c r="D503" s="1">
        <v>44387</v>
      </c>
      <c r="E503">
        <v>1</v>
      </c>
      <c r="F503" t="s">
        <v>553</v>
      </c>
      <c r="G503" t="str">
        <f>"03-K03-02"</f>
        <v>03-K03-02</v>
      </c>
      <c r="H503">
        <v>0.49249999999999999</v>
      </c>
      <c r="I503" t="s">
        <v>554</v>
      </c>
      <c r="J503" t="s">
        <v>14</v>
      </c>
      <c r="K503" t="str">
        <f t="shared" si="14"/>
        <v>3F1</v>
      </c>
      <c r="L503" t="s">
        <v>15</v>
      </c>
    </row>
    <row r="504" spans="1:12" x14ac:dyDescent="0.25">
      <c r="A504" t="str">
        <f>"0655253225"</f>
        <v>0655253225</v>
      </c>
      <c r="B504" t="str">
        <f t="shared" si="10"/>
        <v>89301000</v>
      </c>
      <c r="C504" s="1">
        <v>44347</v>
      </c>
      <c r="D504" s="1">
        <v>44350</v>
      </c>
      <c r="E504">
        <v>1</v>
      </c>
      <c r="F504" t="s">
        <v>555</v>
      </c>
      <c r="G504" t="str">
        <f>"03-I18-02"</f>
        <v>03-I18-02</v>
      </c>
      <c r="H504">
        <v>0.84370000000000001</v>
      </c>
      <c r="I504" t="s">
        <v>234</v>
      </c>
      <c r="J504" t="s">
        <v>24</v>
      </c>
      <c r="K504" t="str">
        <f t="shared" si="14"/>
        <v>3F1</v>
      </c>
      <c r="L504" t="s">
        <v>15</v>
      </c>
    </row>
    <row r="505" spans="1:12" x14ac:dyDescent="0.25">
      <c r="A505" t="str">
        <f>"0656063276"</f>
        <v>0656063276</v>
      </c>
      <c r="B505" t="str">
        <f t="shared" si="10"/>
        <v>89301000</v>
      </c>
      <c r="C505" s="1">
        <v>44438</v>
      </c>
      <c r="D505" s="1">
        <v>44446</v>
      </c>
      <c r="E505">
        <v>1</v>
      </c>
      <c r="F505" t="s">
        <v>278</v>
      </c>
      <c r="G505" t="str">
        <f>"21-K05-03"</f>
        <v>21-K05-03</v>
      </c>
      <c r="H505">
        <v>0.46750000000000003</v>
      </c>
      <c r="I505" t="s">
        <v>443</v>
      </c>
      <c r="J505" t="s">
        <v>14</v>
      </c>
      <c r="K505" t="str">
        <f t="shared" si="14"/>
        <v>3F1</v>
      </c>
      <c r="L505" t="s">
        <v>15</v>
      </c>
    </row>
    <row r="506" spans="1:12" x14ac:dyDescent="0.25">
      <c r="A506" t="str">
        <f>"0656063276"</f>
        <v>0656063276</v>
      </c>
      <c r="B506" t="str">
        <f t="shared" si="10"/>
        <v>89301000</v>
      </c>
      <c r="C506" s="1">
        <v>44238</v>
      </c>
      <c r="D506" s="1">
        <v>44240</v>
      </c>
      <c r="E506">
        <v>2</v>
      </c>
      <c r="F506" t="s">
        <v>429</v>
      </c>
      <c r="G506" t="str">
        <f>"20-K01-06"</f>
        <v>20-K01-06</v>
      </c>
      <c r="H506">
        <v>0.25779999999999997</v>
      </c>
      <c r="I506" t="s">
        <v>274</v>
      </c>
      <c r="J506" t="s">
        <v>14</v>
      </c>
      <c r="K506" t="str">
        <f t="shared" si="14"/>
        <v>3F1</v>
      </c>
      <c r="L506" t="s">
        <v>15</v>
      </c>
    </row>
    <row r="507" spans="1:12" x14ac:dyDescent="0.25">
      <c r="A507" t="str">
        <f>"0656066092"</f>
        <v>0656066092</v>
      </c>
      <c r="B507" t="str">
        <f t="shared" si="10"/>
        <v>89301000</v>
      </c>
      <c r="C507" s="1">
        <v>44357</v>
      </c>
      <c r="D507" s="1">
        <v>44358</v>
      </c>
      <c r="E507">
        <v>1</v>
      </c>
      <c r="F507" t="s">
        <v>152</v>
      </c>
      <c r="G507" t="str">
        <f>"19-K02-03"</f>
        <v>19-K02-03</v>
      </c>
      <c r="H507">
        <v>0.44850000000000001</v>
      </c>
      <c r="J507" t="s">
        <v>27</v>
      </c>
      <c r="K507" t="str">
        <f t="shared" si="14"/>
        <v>3F1</v>
      </c>
      <c r="L507" t="s">
        <v>15</v>
      </c>
    </row>
    <row r="508" spans="1:12" x14ac:dyDescent="0.25">
      <c r="A508" t="str">
        <f>"0656115273"</f>
        <v>0656115273</v>
      </c>
      <c r="B508" t="str">
        <f t="shared" si="10"/>
        <v>89301000</v>
      </c>
      <c r="C508" s="1">
        <v>44514</v>
      </c>
      <c r="D508" s="1">
        <v>44516</v>
      </c>
      <c r="E508">
        <v>1</v>
      </c>
      <c r="F508" t="s">
        <v>92</v>
      </c>
      <c r="G508" t="str">
        <f>"05-K15-02"</f>
        <v>05-K15-02</v>
      </c>
      <c r="H508">
        <v>0.47510000000000002</v>
      </c>
      <c r="I508" t="s">
        <v>355</v>
      </c>
      <c r="J508" t="s">
        <v>14</v>
      </c>
      <c r="K508" t="str">
        <f t="shared" si="14"/>
        <v>3F1</v>
      </c>
      <c r="L508" t="s">
        <v>15</v>
      </c>
    </row>
    <row r="509" spans="1:12" x14ac:dyDescent="0.25">
      <c r="A509" t="str">
        <f>"0656136063"</f>
        <v>0656136063</v>
      </c>
      <c r="B509" t="str">
        <f t="shared" ref="B509:B572" si="15">"89301000"</f>
        <v>89301000</v>
      </c>
      <c r="C509" s="1">
        <v>44357</v>
      </c>
      <c r="D509" s="1">
        <v>44361</v>
      </c>
      <c r="E509">
        <v>1</v>
      </c>
      <c r="F509" t="s">
        <v>556</v>
      </c>
      <c r="G509" t="str">
        <f>"08-M03-04"</f>
        <v>08-M03-04</v>
      </c>
      <c r="H509">
        <v>0.8609</v>
      </c>
      <c r="I509" t="s">
        <v>557</v>
      </c>
      <c r="J509" t="s">
        <v>14</v>
      </c>
      <c r="K509" t="str">
        <f t="shared" si="14"/>
        <v>3F1</v>
      </c>
      <c r="L509" t="s">
        <v>15</v>
      </c>
    </row>
    <row r="510" spans="1:12" x14ac:dyDescent="0.25">
      <c r="A510" t="str">
        <f>"0656206067"</f>
        <v>0656206067</v>
      </c>
      <c r="B510" t="str">
        <f t="shared" si="15"/>
        <v>89301000</v>
      </c>
      <c r="C510" s="1">
        <v>44209</v>
      </c>
      <c r="D510" s="1">
        <v>44210</v>
      </c>
      <c r="E510">
        <v>6</v>
      </c>
      <c r="F510" t="s">
        <v>558</v>
      </c>
      <c r="G510" t="str">
        <f>"09-K13-01"</f>
        <v>09-K13-01</v>
      </c>
      <c r="H510">
        <v>0.58899999999999997</v>
      </c>
      <c r="I510" t="s">
        <v>559</v>
      </c>
      <c r="J510" t="s">
        <v>14</v>
      </c>
      <c r="K510" t="str">
        <f>"3T1"</f>
        <v>3T1</v>
      </c>
      <c r="L510" t="s">
        <v>15</v>
      </c>
    </row>
    <row r="511" spans="1:12" x14ac:dyDescent="0.25">
      <c r="A511" t="str">
        <f>"0656216077"</f>
        <v>0656216077</v>
      </c>
      <c r="B511" t="str">
        <f t="shared" si="15"/>
        <v>89301000</v>
      </c>
      <c r="C511" s="1">
        <v>44427</v>
      </c>
      <c r="D511" s="1">
        <v>44428</v>
      </c>
      <c r="E511">
        <v>1</v>
      </c>
      <c r="F511" t="s">
        <v>560</v>
      </c>
      <c r="G511" t="str">
        <f>"08-I20-03"</f>
        <v>08-I20-03</v>
      </c>
      <c r="H511">
        <v>0.63300000000000001</v>
      </c>
      <c r="I511" t="s">
        <v>561</v>
      </c>
      <c r="J511" t="s">
        <v>17</v>
      </c>
      <c r="K511" t="str">
        <f>"5F3"</f>
        <v>5F3</v>
      </c>
      <c r="L511" t="s">
        <v>15</v>
      </c>
    </row>
    <row r="512" spans="1:12" x14ac:dyDescent="0.25">
      <c r="A512" t="str">
        <f>"0656283232"</f>
        <v>0656283232</v>
      </c>
      <c r="B512" t="str">
        <f t="shared" si="15"/>
        <v>89301000</v>
      </c>
      <c r="C512" s="1">
        <v>44512</v>
      </c>
      <c r="D512" s="1">
        <v>44516</v>
      </c>
      <c r="E512">
        <v>1</v>
      </c>
      <c r="F512" t="s">
        <v>92</v>
      </c>
      <c r="G512" t="str">
        <f>"05-K15-02"</f>
        <v>05-K15-02</v>
      </c>
      <c r="H512">
        <v>0.47510000000000002</v>
      </c>
      <c r="J512" t="s">
        <v>14</v>
      </c>
      <c r="K512" t="str">
        <f t="shared" ref="K512:K519" si="16">"3F1"</f>
        <v>3F1</v>
      </c>
      <c r="L512" t="s">
        <v>15</v>
      </c>
    </row>
    <row r="513" spans="1:12" x14ac:dyDescent="0.25">
      <c r="A513" t="str">
        <f>"0657203228"</f>
        <v>0657203228</v>
      </c>
      <c r="B513" t="str">
        <f t="shared" si="15"/>
        <v>89301000</v>
      </c>
      <c r="C513" s="1">
        <v>44473</v>
      </c>
      <c r="D513" s="1">
        <v>44480</v>
      </c>
      <c r="E513">
        <v>1</v>
      </c>
      <c r="F513" t="s">
        <v>324</v>
      </c>
      <c r="G513" t="str">
        <f>"06-K01-03"</f>
        <v>06-K01-03</v>
      </c>
      <c r="H513">
        <v>0.79969999999999997</v>
      </c>
      <c r="J513" t="s">
        <v>14</v>
      </c>
      <c r="K513" t="str">
        <f t="shared" si="16"/>
        <v>3F1</v>
      </c>
      <c r="L513" t="s">
        <v>15</v>
      </c>
    </row>
    <row r="514" spans="1:12" x14ac:dyDescent="0.25">
      <c r="A514" t="str">
        <f>"0657246062"</f>
        <v>0657246062</v>
      </c>
      <c r="B514" t="str">
        <f t="shared" si="15"/>
        <v>89301000</v>
      </c>
      <c r="C514" s="1">
        <v>44296</v>
      </c>
      <c r="D514" s="1">
        <v>44298</v>
      </c>
      <c r="E514">
        <v>1</v>
      </c>
      <c r="F514" t="s">
        <v>562</v>
      </c>
      <c r="G514" t="str">
        <f>"01-K03-07"</f>
        <v>01-K03-07</v>
      </c>
      <c r="H514">
        <v>0.60250000000000004</v>
      </c>
      <c r="I514" t="s">
        <v>168</v>
      </c>
      <c r="J514" t="s">
        <v>14</v>
      </c>
      <c r="K514" t="str">
        <f t="shared" si="16"/>
        <v>3F1</v>
      </c>
      <c r="L514" t="s">
        <v>15</v>
      </c>
    </row>
    <row r="515" spans="1:12" x14ac:dyDescent="0.25">
      <c r="A515" t="str">
        <f>"0657246062"</f>
        <v>0657246062</v>
      </c>
      <c r="B515" t="str">
        <f t="shared" si="15"/>
        <v>89301000</v>
      </c>
      <c r="C515" s="1">
        <v>44380</v>
      </c>
      <c r="D515" s="1">
        <v>44381</v>
      </c>
      <c r="E515">
        <v>1</v>
      </c>
      <c r="F515" t="s">
        <v>562</v>
      </c>
      <c r="G515" t="str">
        <f>"01-K03-07"</f>
        <v>01-K03-07</v>
      </c>
      <c r="H515">
        <v>0.60250000000000004</v>
      </c>
      <c r="J515" t="s">
        <v>14</v>
      </c>
      <c r="K515" t="str">
        <f t="shared" si="16"/>
        <v>3F1</v>
      </c>
      <c r="L515" t="s">
        <v>15</v>
      </c>
    </row>
    <row r="516" spans="1:12" x14ac:dyDescent="0.25">
      <c r="A516" t="str">
        <f>"0658017426"</f>
        <v>0658017426</v>
      </c>
      <c r="B516" t="str">
        <f t="shared" si="15"/>
        <v>89301000</v>
      </c>
      <c r="C516" s="1">
        <v>44315</v>
      </c>
      <c r="D516" s="1">
        <v>44320</v>
      </c>
      <c r="E516">
        <v>1</v>
      </c>
      <c r="F516" t="s">
        <v>343</v>
      </c>
      <c r="G516" t="str">
        <f>"11-M08-00"</f>
        <v>11-M08-00</v>
      </c>
      <c r="H516">
        <v>0.35620000000000002</v>
      </c>
      <c r="J516" t="s">
        <v>17</v>
      </c>
      <c r="K516" t="str">
        <f t="shared" si="16"/>
        <v>3F1</v>
      </c>
      <c r="L516" t="s">
        <v>15</v>
      </c>
    </row>
    <row r="517" spans="1:12" x14ac:dyDescent="0.25">
      <c r="A517" t="str">
        <f>"0658075264"</f>
        <v>0658075264</v>
      </c>
      <c r="B517" t="str">
        <f t="shared" si="15"/>
        <v>89301000</v>
      </c>
      <c r="C517" s="1">
        <v>44311</v>
      </c>
      <c r="D517" s="1">
        <v>44314</v>
      </c>
      <c r="E517">
        <v>1</v>
      </c>
      <c r="F517" t="s">
        <v>23</v>
      </c>
      <c r="G517" t="str">
        <f>"06-I18-04"</f>
        <v>06-I18-04</v>
      </c>
      <c r="H517">
        <v>1.1514</v>
      </c>
      <c r="J517" t="s">
        <v>24</v>
      </c>
      <c r="K517" t="str">
        <f t="shared" si="16"/>
        <v>3F1</v>
      </c>
      <c r="L517" t="s">
        <v>15</v>
      </c>
    </row>
    <row r="518" spans="1:12" x14ac:dyDescent="0.25">
      <c r="A518" t="str">
        <f>"0659063229"</f>
        <v>0659063229</v>
      </c>
      <c r="B518" t="str">
        <f t="shared" si="15"/>
        <v>89301000</v>
      </c>
      <c r="C518" s="1">
        <v>44311</v>
      </c>
      <c r="D518" s="1">
        <v>44315</v>
      </c>
      <c r="E518">
        <v>1</v>
      </c>
      <c r="F518" t="s">
        <v>197</v>
      </c>
      <c r="G518" t="str">
        <f>"03-I17-00"</f>
        <v>03-I17-00</v>
      </c>
      <c r="H518">
        <v>0.84960000000000002</v>
      </c>
      <c r="I518" t="s">
        <v>114</v>
      </c>
      <c r="J518" t="s">
        <v>24</v>
      </c>
      <c r="K518" t="str">
        <f t="shared" si="16"/>
        <v>3F1</v>
      </c>
      <c r="L518" t="s">
        <v>15</v>
      </c>
    </row>
    <row r="519" spans="1:12" x14ac:dyDescent="0.25">
      <c r="A519" t="str">
        <f>"0659295351"</f>
        <v>0659295351</v>
      </c>
      <c r="B519" t="str">
        <f t="shared" si="15"/>
        <v>89301000</v>
      </c>
      <c r="C519" s="1">
        <v>44285</v>
      </c>
      <c r="D519" s="1">
        <v>44286</v>
      </c>
      <c r="E519">
        <v>1</v>
      </c>
      <c r="F519" t="s">
        <v>325</v>
      </c>
      <c r="G519" t="str">
        <f>"06-K06-02"</f>
        <v>06-K06-02</v>
      </c>
      <c r="H519">
        <v>0.69359999999999999</v>
      </c>
      <c r="J519" t="s">
        <v>14</v>
      </c>
      <c r="K519" t="str">
        <f t="shared" si="16"/>
        <v>3F1</v>
      </c>
      <c r="L519" t="s">
        <v>15</v>
      </c>
    </row>
    <row r="520" spans="1:12" x14ac:dyDescent="0.25">
      <c r="A520" t="str">
        <f>"0660095337"</f>
        <v>0660095337</v>
      </c>
      <c r="B520" t="str">
        <f t="shared" si="15"/>
        <v>89301000</v>
      </c>
      <c r="C520" s="1">
        <v>44540</v>
      </c>
      <c r="D520" s="1">
        <v>44546</v>
      </c>
      <c r="E520">
        <v>1</v>
      </c>
      <c r="F520" t="s">
        <v>357</v>
      </c>
      <c r="G520" t="str">
        <f>"19-K03-03"</f>
        <v>19-K03-03</v>
      </c>
      <c r="H520">
        <v>0.93169999999999997</v>
      </c>
      <c r="I520" t="s">
        <v>168</v>
      </c>
      <c r="J520" t="s">
        <v>27</v>
      </c>
      <c r="K520" t="str">
        <f>"3F5"</f>
        <v>3F5</v>
      </c>
      <c r="L520" t="s">
        <v>15</v>
      </c>
    </row>
    <row r="521" spans="1:12" x14ac:dyDescent="0.25">
      <c r="A521" t="str">
        <f>"0660146146"</f>
        <v>0660146146</v>
      </c>
      <c r="B521" t="str">
        <f t="shared" si="15"/>
        <v>89301000</v>
      </c>
      <c r="C521" s="1">
        <v>44509</v>
      </c>
      <c r="D521" s="1">
        <v>44510</v>
      </c>
      <c r="E521">
        <v>1</v>
      </c>
      <c r="F521" t="s">
        <v>563</v>
      </c>
      <c r="G521" t="str">
        <f>"06-K22-03"</f>
        <v>06-K22-03</v>
      </c>
      <c r="H521">
        <v>0.3165</v>
      </c>
      <c r="I521" t="s">
        <v>168</v>
      </c>
      <c r="J521" t="s">
        <v>14</v>
      </c>
      <c r="K521" t="str">
        <f t="shared" ref="K521:K530" si="17">"3F1"</f>
        <v>3F1</v>
      </c>
      <c r="L521" t="s">
        <v>15</v>
      </c>
    </row>
    <row r="522" spans="1:12" x14ac:dyDescent="0.25">
      <c r="A522" t="str">
        <f>"0660146146"</f>
        <v>0660146146</v>
      </c>
      <c r="B522" t="str">
        <f t="shared" si="15"/>
        <v>89301000</v>
      </c>
      <c r="C522" s="1">
        <v>44544</v>
      </c>
      <c r="D522" s="1">
        <v>44550</v>
      </c>
      <c r="E522">
        <v>1</v>
      </c>
      <c r="F522" t="s">
        <v>563</v>
      </c>
      <c r="G522" t="str">
        <f>"06-I12-02"</f>
        <v>06-I12-02</v>
      </c>
      <c r="H522">
        <v>2.5861999999999998</v>
      </c>
      <c r="I522" t="s">
        <v>564</v>
      </c>
      <c r="J522" t="s">
        <v>14</v>
      </c>
      <c r="K522" t="str">
        <f t="shared" si="17"/>
        <v>3F1</v>
      </c>
      <c r="L522" t="s">
        <v>15</v>
      </c>
    </row>
    <row r="523" spans="1:12" x14ac:dyDescent="0.25">
      <c r="A523" t="str">
        <f>"0660223245"</f>
        <v>0660223245</v>
      </c>
      <c r="B523" t="str">
        <f t="shared" si="15"/>
        <v>89301000</v>
      </c>
      <c r="C523" s="1">
        <v>44326</v>
      </c>
      <c r="D523" s="1">
        <v>44329</v>
      </c>
      <c r="E523">
        <v>1</v>
      </c>
      <c r="F523" t="s">
        <v>351</v>
      </c>
      <c r="G523" t="str">
        <f>"10-K04-03"</f>
        <v>10-K04-03</v>
      </c>
      <c r="H523">
        <v>0.7984</v>
      </c>
      <c r="J523" t="s">
        <v>14</v>
      </c>
      <c r="K523" t="str">
        <f t="shared" si="17"/>
        <v>3F1</v>
      </c>
      <c r="L523" t="s">
        <v>15</v>
      </c>
    </row>
    <row r="524" spans="1:12" x14ac:dyDescent="0.25">
      <c r="A524" t="str">
        <f>"0660253253"</f>
        <v>0660253253</v>
      </c>
      <c r="B524" t="str">
        <f t="shared" si="15"/>
        <v>89301000</v>
      </c>
      <c r="C524" s="1">
        <v>44286</v>
      </c>
      <c r="D524" s="1">
        <v>44290</v>
      </c>
      <c r="E524">
        <v>1</v>
      </c>
      <c r="F524" t="s">
        <v>43</v>
      </c>
      <c r="G524" t="str">
        <f>"06-I18-04"</f>
        <v>06-I18-04</v>
      </c>
      <c r="H524">
        <v>1.1514</v>
      </c>
      <c r="I524" t="s">
        <v>168</v>
      </c>
      <c r="J524" t="s">
        <v>24</v>
      </c>
      <c r="K524" t="str">
        <f t="shared" si="17"/>
        <v>3F1</v>
      </c>
      <c r="L524" t="s">
        <v>15</v>
      </c>
    </row>
    <row r="525" spans="1:12" x14ac:dyDescent="0.25">
      <c r="A525" t="str">
        <f>"0661243242"</f>
        <v>0661243242</v>
      </c>
      <c r="B525" t="str">
        <f t="shared" si="15"/>
        <v>89301000</v>
      </c>
      <c r="C525" s="1">
        <v>44480</v>
      </c>
      <c r="D525" s="1">
        <v>44483</v>
      </c>
      <c r="E525">
        <v>1</v>
      </c>
      <c r="F525" t="s">
        <v>351</v>
      </c>
      <c r="G525" t="str">
        <f>"10-K04-03"</f>
        <v>10-K04-03</v>
      </c>
      <c r="H525">
        <v>0.7984</v>
      </c>
      <c r="I525" t="s">
        <v>453</v>
      </c>
      <c r="J525" t="s">
        <v>14</v>
      </c>
      <c r="K525" t="str">
        <f t="shared" si="17"/>
        <v>3F1</v>
      </c>
      <c r="L525" t="s">
        <v>15</v>
      </c>
    </row>
    <row r="526" spans="1:12" x14ac:dyDescent="0.25">
      <c r="A526" t="str">
        <f>"0661282336"</f>
        <v>0661282336</v>
      </c>
      <c r="B526" t="str">
        <f t="shared" si="15"/>
        <v>89301000</v>
      </c>
      <c r="C526" s="1">
        <v>44278</v>
      </c>
      <c r="D526" s="1">
        <v>44281</v>
      </c>
      <c r="E526">
        <v>1</v>
      </c>
      <c r="F526" t="s">
        <v>565</v>
      </c>
      <c r="G526" t="str">
        <f>"08-I21-02"</f>
        <v>08-I21-02</v>
      </c>
      <c r="H526">
        <v>1.3371999999999999</v>
      </c>
      <c r="J526" t="s">
        <v>17</v>
      </c>
      <c r="K526" t="str">
        <f t="shared" si="17"/>
        <v>3F1</v>
      </c>
      <c r="L526" t="s">
        <v>15</v>
      </c>
    </row>
    <row r="527" spans="1:12" x14ac:dyDescent="0.25">
      <c r="A527" t="str">
        <f>"0701016074"</f>
        <v>0701016074</v>
      </c>
      <c r="B527" t="str">
        <f t="shared" si="15"/>
        <v>89301000</v>
      </c>
      <c r="C527" s="1">
        <v>44331</v>
      </c>
      <c r="D527" s="1">
        <v>44336</v>
      </c>
      <c r="E527">
        <v>1</v>
      </c>
      <c r="F527" t="s">
        <v>566</v>
      </c>
      <c r="G527" t="str">
        <f>"06-K06-02"</f>
        <v>06-K06-02</v>
      </c>
      <c r="H527">
        <v>0.69359999999999999</v>
      </c>
      <c r="I527" t="s">
        <v>567</v>
      </c>
      <c r="J527" t="s">
        <v>14</v>
      </c>
      <c r="K527" t="str">
        <f t="shared" si="17"/>
        <v>3F1</v>
      </c>
      <c r="L527" t="s">
        <v>15</v>
      </c>
    </row>
    <row r="528" spans="1:12" x14ac:dyDescent="0.25">
      <c r="A528" t="str">
        <f>"0701016074"</f>
        <v>0701016074</v>
      </c>
      <c r="B528" t="str">
        <f t="shared" si="15"/>
        <v>89301000</v>
      </c>
      <c r="C528" s="1">
        <v>44222</v>
      </c>
      <c r="D528" s="1">
        <v>44225</v>
      </c>
      <c r="E528">
        <v>1</v>
      </c>
      <c r="F528" t="s">
        <v>284</v>
      </c>
      <c r="G528" t="str">
        <f>"06-K06-02"</f>
        <v>06-K06-02</v>
      </c>
      <c r="H528">
        <v>0.69359999999999999</v>
      </c>
      <c r="I528" t="s">
        <v>568</v>
      </c>
      <c r="J528" t="s">
        <v>14</v>
      </c>
      <c r="K528" t="str">
        <f t="shared" si="17"/>
        <v>3F1</v>
      </c>
      <c r="L528" t="s">
        <v>15</v>
      </c>
    </row>
    <row r="529" spans="1:12" x14ac:dyDescent="0.25">
      <c r="A529" t="str">
        <f>"0701186079"</f>
        <v>0701186079</v>
      </c>
      <c r="B529" t="str">
        <f t="shared" si="15"/>
        <v>89301000</v>
      </c>
      <c r="C529" s="1">
        <v>44251</v>
      </c>
      <c r="D529" s="1">
        <v>44252</v>
      </c>
      <c r="E529">
        <v>1</v>
      </c>
      <c r="F529" t="s">
        <v>429</v>
      </c>
      <c r="G529" t="str">
        <f>"20-K01-06"</f>
        <v>20-K01-06</v>
      </c>
      <c r="H529">
        <v>0.25779999999999997</v>
      </c>
      <c r="I529" t="s">
        <v>168</v>
      </c>
      <c r="J529" t="s">
        <v>14</v>
      </c>
      <c r="K529" t="str">
        <f t="shared" si="17"/>
        <v>3F1</v>
      </c>
      <c r="L529" t="s">
        <v>15</v>
      </c>
    </row>
    <row r="530" spans="1:12" x14ac:dyDescent="0.25">
      <c r="A530" t="str">
        <f>"0702203249"</f>
        <v>0702203249</v>
      </c>
      <c r="B530" t="str">
        <f t="shared" si="15"/>
        <v>89301000</v>
      </c>
      <c r="C530" s="1">
        <v>44289</v>
      </c>
      <c r="D530" s="1">
        <v>44290</v>
      </c>
      <c r="E530">
        <v>1</v>
      </c>
      <c r="F530" t="s">
        <v>569</v>
      </c>
      <c r="G530" t="str">
        <f>"08-I20-03"</f>
        <v>08-I20-03</v>
      </c>
      <c r="H530">
        <v>0.63300000000000001</v>
      </c>
      <c r="I530" t="s">
        <v>570</v>
      </c>
      <c r="J530" t="s">
        <v>17</v>
      </c>
      <c r="K530" t="str">
        <f t="shared" si="17"/>
        <v>3F1</v>
      </c>
      <c r="L530" t="s">
        <v>15</v>
      </c>
    </row>
    <row r="531" spans="1:12" x14ac:dyDescent="0.25">
      <c r="A531" t="str">
        <f>"0703193227"</f>
        <v>0703193227</v>
      </c>
      <c r="B531" t="str">
        <f t="shared" si="15"/>
        <v>89301000</v>
      </c>
      <c r="C531" s="1">
        <v>44388</v>
      </c>
      <c r="D531" s="1">
        <v>44391</v>
      </c>
      <c r="E531">
        <v>1</v>
      </c>
      <c r="F531" t="s">
        <v>571</v>
      </c>
      <c r="G531" t="str">
        <f>"08-I20-02"</f>
        <v>08-I20-02</v>
      </c>
      <c r="H531">
        <v>0.94159999999999999</v>
      </c>
      <c r="I531" t="s">
        <v>572</v>
      </c>
      <c r="J531" t="s">
        <v>17</v>
      </c>
      <c r="K531" t="str">
        <f>"5F3"</f>
        <v>5F3</v>
      </c>
      <c r="L531" t="s">
        <v>15</v>
      </c>
    </row>
    <row r="532" spans="1:12" x14ac:dyDescent="0.25">
      <c r="A532" t="str">
        <f>"0703193227"</f>
        <v>0703193227</v>
      </c>
      <c r="B532" t="str">
        <f t="shared" si="15"/>
        <v>89301000</v>
      </c>
      <c r="C532" s="1">
        <v>44543</v>
      </c>
      <c r="D532" s="1">
        <v>44545</v>
      </c>
      <c r="E532">
        <v>1</v>
      </c>
      <c r="F532" t="s">
        <v>173</v>
      </c>
      <c r="G532" t="str">
        <f>"08-I32-02"</f>
        <v>08-I32-02</v>
      </c>
      <c r="H532">
        <v>0.4143</v>
      </c>
      <c r="J532" t="s">
        <v>14</v>
      </c>
      <c r="K532" t="str">
        <f>"5F3"</f>
        <v>5F3</v>
      </c>
      <c r="L532" t="s">
        <v>15</v>
      </c>
    </row>
    <row r="533" spans="1:12" x14ac:dyDescent="0.25">
      <c r="A533" t="str">
        <f>"0703206097"</f>
        <v>0703206097</v>
      </c>
      <c r="B533" t="str">
        <f t="shared" si="15"/>
        <v>89301000</v>
      </c>
      <c r="C533" s="1">
        <v>44342</v>
      </c>
      <c r="D533" s="1">
        <v>44344</v>
      </c>
      <c r="E533">
        <v>1</v>
      </c>
      <c r="F533" t="s">
        <v>573</v>
      </c>
      <c r="G533" t="str">
        <f>"06-K22-03"</f>
        <v>06-K22-03</v>
      </c>
      <c r="H533">
        <v>0.3165</v>
      </c>
      <c r="I533" t="s">
        <v>574</v>
      </c>
      <c r="J533" t="s">
        <v>14</v>
      </c>
      <c r="K533" t="str">
        <f>"3F1"</f>
        <v>3F1</v>
      </c>
      <c r="L533" t="s">
        <v>15</v>
      </c>
    </row>
    <row r="534" spans="1:12" x14ac:dyDescent="0.25">
      <c r="A534" t="str">
        <f>"0703281414"</f>
        <v>0703281414</v>
      </c>
      <c r="B534" t="str">
        <f t="shared" si="15"/>
        <v>89301000</v>
      </c>
      <c r="C534" s="1">
        <v>44329</v>
      </c>
      <c r="D534" s="1">
        <v>44331</v>
      </c>
      <c r="E534">
        <v>1</v>
      </c>
      <c r="F534" t="s">
        <v>134</v>
      </c>
      <c r="G534" t="str">
        <f>"16-I04-01"</f>
        <v>16-I04-01</v>
      </c>
      <c r="H534">
        <v>1.0085999999999999</v>
      </c>
      <c r="J534" t="s">
        <v>17</v>
      </c>
      <c r="K534" t="str">
        <f>"3F1"</f>
        <v>3F1</v>
      </c>
      <c r="L534" t="s">
        <v>15</v>
      </c>
    </row>
    <row r="535" spans="1:12" x14ac:dyDescent="0.25">
      <c r="A535" t="str">
        <f>"0703281414"</f>
        <v>0703281414</v>
      </c>
      <c r="B535" t="str">
        <f t="shared" si="15"/>
        <v>89301000</v>
      </c>
      <c r="C535" s="1">
        <v>44336</v>
      </c>
      <c r="D535" s="1">
        <v>44344</v>
      </c>
      <c r="E535">
        <v>1</v>
      </c>
      <c r="F535" t="s">
        <v>575</v>
      </c>
      <c r="G535" t="str">
        <f>"18-K02-02"</f>
        <v>18-K02-02</v>
      </c>
      <c r="H535">
        <v>1.2563</v>
      </c>
      <c r="I535" t="s">
        <v>576</v>
      </c>
      <c r="J535" t="s">
        <v>14</v>
      </c>
      <c r="K535" t="str">
        <f>"3F1"</f>
        <v>3F1</v>
      </c>
      <c r="L535" t="s">
        <v>15</v>
      </c>
    </row>
    <row r="536" spans="1:12" x14ac:dyDescent="0.25">
      <c r="A536" t="str">
        <f>"0704013574"</f>
        <v>0704013574</v>
      </c>
      <c r="B536" t="str">
        <f t="shared" si="15"/>
        <v>89301000</v>
      </c>
      <c r="C536" s="1">
        <v>44544</v>
      </c>
      <c r="D536" s="1">
        <v>44545</v>
      </c>
      <c r="E536">
        <v>1</v>
      </c>
      <c r="F536" t="s">
        <v>577</v>
      </c>
      <c r="G536" t="str">
        <f>"08-I20-03"</f>
        <v>08-I20-03</v>
      </c>
      <c r="H536">
        <v>0.63300000000000001</v>
      </c>
      <c r="I536" t="s">
        <v>572</v>
      </c>
      <c r="J536" t="s">
        <v>17</v>
      </c>
      <c r="K536" t="str">
        <f>"5F3"</f>
        <v>5F3</v>
      </c>
      <c r="L536" t="s">
        <v>15</v>
      </c>
    </row>
    <row r="537" spans="1:12" x14ac:dyDescent="0.25">
      <c r="A537" t="str">
        <f>"0704053240"</f>
        <v>0704053240</v>
      </c>
      <c r="B537" t="str">
        <f t="shared" si="15"/>
        <v>89301000</v>
      </c>
      <c r="C537" s="1">
        <v>44542</v>
      </c>
      <c r="D537" s="1">
        <v>44543</v>
      </c>
      <c r="E537">
        <v>1</v>
      </c>
      <c r="F537" t="s">
        <v>287</v>
      </c>
      <c r="G537" t="str">
        <f>"01-K16-06"</f>
        <v>01-K16-06</v>
      </c>
      <c r="H537">
        <v>0.26469999999999999</v>
      </c>
      <c r="I537" t="s">
        <v>578</v>
      </c>
      <c r="J537" t="s">
        <v>14</v>
      </c>
      <c r="K537" t="str">
        <f t="shared" ref="K537:K548" si="18">"3F1"</f>
        <v>3F1</v>
      </c>
      <c r="L537" t="s">
        <v>15</v>
      </c>
    </row>
    <row r="538" spans="1:12" x14ac:dyDescent="0.25">
      <c r="A538" t="str">
        <f>"0704293260"</f>
        <v>0704293260</v>
      </c>
      <c r="B538" t="str">
        <f t="shared" si="15"/>
        <v>89301000</v>
      </c>
      <c r="C538" s="1">
        <v>44477</v>
      </c>
      <c r="D538" s="1">
        <v>44484</v>
      </c>
      <c r="E538">
        <v>1</v>
      </c>
      <c r="F538" t="s">
        <v>579</v>
      </c>
      <c r="G538" t="str">
        <f>"08-K03-03"</f>
        <v>08-K03-03</v>
      </c>
      <c r="H538">
        <v>0.80700000000000005</v>
      </c>
      <c r="J538" t="s">
        <v>14</v>
      </c>
      <c r="K538" t="str">
        <f t="shared" si="18"/>
        <v>3F1</v>
      </c>
      <c r="L538" t="s">
        <v>15</v>
      </c>
    </row>
    <row r="539" spans="1:12" x14ac:dyDescent="0.25">
      <c r="A539" t="str">
        <f>"0705233232"</f>
        <v>0705233232</v>
      </c>
      <c r="B539" t="str">
        <f t="shared" si="15"/>
        <v>89301000</v>
      </c>
      <c r="C539" s="1">
        <v>44362</v>
      </c>
      <c r="D539" s="1">
        <v>44365</v>
      </c>
      <c r="E539">
        <v>1</v>
      </c>
      <c r="F539" t="s">
        <v>96</v>
      </c>
      <c r="G539" t="str">
        <f>"11-K01-03"</f>
        <v>11-K01-03</v>
      </c>
      <c r="H539">
        <v>0.59489999999999998</v>
      </c>
      <c r="I539" t="s">
        <v>530</v>
      </c>
      <c r="J539" t="s">
        <v>14</v>
      </c>
      <c r="K539" t="str">
        <f t="shared" si="18"/>
        <v>3F1</v>
      </c>
      <c r="L539" t="s">
        <v>15</v>
      </c>
    </row>
    <row r="540" spans="1:12" x14ac:dyDescent="0.25">
      <c r="A540" t="str">
        <f>"0705281379"</f>
        <v>0705281379</v>
      </c>
      <c r="B540" t="str">
        <f t="shared" si="15"/>
        <v>89301000</v>
      </c>
      <c r="C540" s="1">
        <v>44440</v>
      </c>
      <c r="D540" s="1">
        <v>44441</v>
      </c>
      <c r="E540">
        <v>1</v>
      </c>
      <c r="F540" t="s">
        <v>580</v>
      </c>
      <c r="G540" t="str">
        <f>"10-K16-03"</f>
        <v>10-K16-03</v>
      </c>
      <c r="H540">
        <v>0.37969999999999998</v>
      </c>
      <c r="J540" t="s">
        <v>14</v>
      </c>
      <c r="K540" t="str">
        <f t="shared" si="18"/>
        <v>3F1</v>
      </c>
      <c r="L540" t="s">
        <v>15</v>
      </c>
    </row>
    <row r="541" spans="1:12" x14ac:dyDescent="0.25">
      <c r="A541" t="str">
        <f>"0705316062"</f>
        <v>0705316062</v>
      </c>
      <c r="B541" t="str">
        <f t="shared" si="15"/>
        <v>89301000</v>
      </c>
      <c r="C541" s="1">
        <v>44430</v>
      </c>
      <c r="D541" s="1">
        <v>44432</v>
      </c>
      <c r="E541">
        <v>1</v>
      </c>
      <c r="F541" t="s">
        <v>445</v>
      </c>
      <c r="G541" t="str">
        <f>"08-I20-03"</f>
        <v>08-I20-03</v>
      </c>
      <c r="H541">
        <v>0.63300000000000001</v>
      </c>
      <c r="I541" t="s">
        <v>581</v>
      </c>
      <c r="J541" t="s">
        <v>17</v>
      </c>
      <c r="K541" t="str">
        <f t="shared" si="18"/>
        <v>3F1</v>
      </c>
      <c r="L541" t="s">
        <v>15</v>
      </c>
    </row>
    <row r="542" spans="1:12" x14ac:dyDescent="0.25">
      <c r="A542" t="str">
        <f>"0706076085"</f>
        <v>0706076085</v>
      </c>
      <c r="B542" t="str">
        <f t="shared" si="15"/>
        <v>89301000</v>
      </c>
      <c r="C542" s="1">
        <v>44371</v>
      </c>
      <c r="D542" s="1">
        <v>44378</v>
      </c>
      <c r="E542">
        <v>1</v>
      </c>
      <c r="F542" t="s">
        <v>535</v>
      </c>
      <c r="G542" t="str">
        <f>"16-K06-01"</f>
        <v>16-K06-01</v>
      </c>
      <c r="H542">
        <v>1.6866000000000001</v>
      </c>
      <c r="I542" t="s">
        <v>582</v>
      </c>
      <c r="J542" t="s">
        <v>14</v>
      </c>
      <c r="K542" t="str">
        <f t="shared" si="18"/>
        <v>3F1</v>
      </c>
      <c r="L542" t="s">
        <v>15</v>
      </c>
    </row>
    <row r="543" spans="1:12" x14ac:dyDescent="0.25">
      <c r="A543" t="str">
        <f>"0706153228"</f>
        <v>0706153228</v>
      </c>
      <c r="B543" t="str">
        <f t="shared" si="15"/>
        <v>89301000</v>
      </c>
      <c r="C543" s="1">
        <v>44255</v>
      </c>
      <c r="D543" s="1">
        <v>44257</v>
      </c>
      <c r="E543">
        <v>1</v>
      </c>
      <c r="F543" t="s">
        <v>326</v>
      </c>
      <c r="G543" t="str">
        <f>"02-I11-01"</f>
        <v>02-I11-01</v>
      </c>
      <c r="H543">
        <v>0.87619999999999998</v>
      </c>
      <c r="J543" t="s">
        <v>17</v>
      </c>
      <c r="K543" t="str">
        <f t="shared" si="18"/>
        <v>3F1</v>
      </c>
      <c r="L543" t="s">
        <v>15</v>
      </c>
    </row>
    <row r="544" spans="1:12" x14ac:dyDescent="0.25">
      <c r="A544" t="str">
        <f>"0707125298"</f>
        <v>0707125298</v>
      </c>
      <c r="B544" t="str">
        <f t="shared" si="15"/>
        <v>89301000</v>
      </c>
      <c r="C544" s="1">
        <v>44200</v>
      </c>
      <c r="D544" s="1">
        <v>44203</v>
      </c>
      <c r="E544">
        <v>1</v>
      </c>
      <c r="F544" t="s">
        <v>583</v>
      </c>
      <c r="G544" t="str">
        <f>"05-K12-01"</f>
        <v>05-K12-01</v>
      </c>
      <c r="H544">
        <v>1.0042</v>
      </c>
      <c r="I544" t="s">
        <v>584</v>
      </c>
      <c r="J544" t="s">
        <v>14</v>
      </c>
      <c r="K544" t="str">
        <f t="shared" si="18"/>
        <v>3F1</v>
      </c>
      <c r="L544" t="s">
        <v>15</v>
      </c>
    </row>
    <row r="545" spans="1:12" x14ac:dyDescent="0.25">
      <c r="A545" t="str">
        <f>"0708055260"</f>
        <v>0708055260</v>
      </c>
      <c r="B545" t="str">
        <f t="shared" si="15"/>
        <v>89301000</v>
      </c>
      <c r="C545" s="1">
        <v>44356</v>
      </c>
      <c r="D545" s="1">
        <v>44363</v>
      </c>
      <c r="E545">
        <v>1</v>
      </c>
      <c r="F545" t="s">
        <v>585</v>
      </c>
      <c r="G545" t="str">
        <f>"08-I26-01"</f>
        <v>08-I26-01</v>
      </c>
      <c r="H545">
        <v>1.1701999999999999</v>
      </c>
      <c r="I545" t="s">
        <v>586</v>
      </c>
      <c r="J545" t="s">
        <v>14</v>
      </c>
      <c r="K545" t="str">
        <f t="shared" si="18"/>
        <v>3F1</v>
      </c>
      <c r="L545" t="s">
        <v>15</v>
      </c>
    </row>
    <row r="546" spans="1:12" x14ac:dyDescent="0.25">
      <c r="A546" t="str">
        <f>"0709043225"</f>
        <v>0709043225</v>
      </c>
      <c r="B546" t="str">
        <f t="shared" si="15"/>
        <v>89301000</v>
      </c>
      <c r="C546" s="1">
        <v>44221</v>
      </c>
      <c r="D546" s="1">
        <v>44225</v>
      </c>
      <c r="E546">
        <v>1</v>
      </c>
      <c r="F546" t="s">
        <v>520</v>
      </c>
      <c r="G546" t="str">
        <f>"01-K07-01"</f>
        <v>01-K07-01</v>
      </c>
      <c r="H546">
        <v>1.2299</v>
      </c>
      <c r="I546" t="s">
        <v>587</v>
      </c>
      <c r="J546" t="s">
        <v>14</v>
      </c>
      <c r="K546" t="str">
        <f t="shared" si="18"/>
        <v>3F1</v>
      </c>
      <c r="L546" t="s">
        <v>15</v>
      </c>
    </row>
    <row r="547" spans="1:12" x14ac:dyDescent="0.25">
      <c r="A547" t="str">
        <f>"0709053389"</f>
        <v>0709053389</v>
      </c>
      <c r="B547" t="str">
        <f t="shared" si="15"/>
        <v>89301000</v>
      </c>
      <c r="C547" s="1">
        <v>44518</v>
      </c>
      <c r="D547" s="1">
        <v>44547</v>
      </c>
      <c r="E547">
        <v>1</v>
      </c>
      <c r="F547" t="s">
        <v>588</v>
      </c>
      <c r="G547" t="str">
        <f>"07-M02-03"</f>
        <v>07-M02-03</v>
      </c>
      <c r="H547">
        <v>2.2265999999999999</v>
      </c>
      <c r="I547" t="s">
        <v>589</v>
      </c>
      <c r="J547" t="s">
        <v>17</v>
      </c>
      <c r="K547" t="str">
        <f t="shared" si="18"/>
        <v>3F1</v>
      </c>
      <c r="L547" t="s">
        <v>15</v>
      </c>
    </row>
    <row r="548" spans="1:12" x14ac:dyDescent="0.25">
      <c r="A548" t="str">
        <f>"0709193254"</f>
        <v>0709193254</v>
      </c>
      <c r="B548" t="str">
        <f t="shared" si="15"/>
        <v>89301000</v>
      </c>
      <c r="C548" s="1">
        <v>44236</v>
      </c>
      <c r="D548" s="1">
        <v>44237</v>
      </c>
      <c r="E548">
        <v>1</v>
      </c>
      <c r="F548" t="s">
        <v>173</v>
      </c>
      <c r="G548" t="str">
        <f>"08-I32-02"</f>
        <v>08-I32-02</v>
      </c>
      <c r="H548">
        <v>0.4143</v>
      </c>
      <c r="J548" t="s">
        <v>14</v>
      </c>
      <c r="K548" t="str">
        <f t="shared" si="18"/>
        <v>3F1</v>
      </c>
      <c r="L548" t="s">
        <v>15</v>
      </c>
    </row>
    <row r="549" spans="1:12" x14ac:dyDescent="0.25">
      <c r="A549" t="str">
        <f>"0710153224"</f>
        <v>0710153224</v>
      </c>
      <c r="B549" t="str">
        <f t="shared" si="15"/>
        <v>89301000</v>
      </c>
      <c r="C549" s="1">
        <v>44459</v>
      </c>
      <c r="D549" s="1">
        <v>44460</v>
      </c>
      <c r="E549">
        <v>1</v>
      </c>
      <c r="F549" t="s">
        <v>294</v>
      </c>
      <c r="G549" t="str">
        <f>"08-M03-05"</f>
        <v>08-M03-05</v>
      </c>
      <c r="H549">
        <v>0.51759999999999995</v>
      </c>
      <c r="I549" t="s">
        <v>590</v>
      </c>
      <c r="J549" t="s">
        <v>14</v>
      </c>
      <c r="K549" t="str">
        <f>"5F3"</f>
        <v>5F3</v>
      </c>
      <c r="L549" t="s">
        <v>15</v>
      </c>
    </row>
    <row r="550" spans="1:12" x14ac:dyDescent="0.25">
      <c r="A550" t="str">
        <f>"0710256085"</f>
        <v>0710256085</v>
      </c>
      <c r="B550" t="str">
        <f t="shared" si="15"/>
        <v>89301000</v>
      </c>
      <c r="C550" s="1">
        <v>44539</v>
      </c>
      <c r="D550" s="1">
        <v>44540</v>
      </c>
      <c r="E550">
        <v>1</v>
      </c>
      <c r="F550" t="s">
        <v>265</v>
      </c>
      <c r="G550" t="str">
        <f>"01-K07-03"</f>
        <v>01-K07-03</v>
      </c>
      <c r="H550">
        <v>0.4642</v>
      </c>
      <c r="I550" t="s">
        <v>168</v>
      </c>
      <c r="J550" t="s">
        <v>14</v>
      </c>
      <c r="K550" t="str">
        <f>"3F1"</f>
        <v>3F1</v>
      </c>
      <c r="L550" t="s">
        <v>15</v>
      </c>
    </row>
    <row r="551" spans="1:12" x14ac:dyDescent="0.25">
      <c r="A551" t="str">
        <f>"0710283233"</f>
        <v>0710283233</v>
      </c>
      <c r="B551" t="str">
        <f t="shared" si="15"/>
        <v>89301000</v>
      </c>
      <c r="C551" s="1">
        <v>44512</v>
      </c>
      <c r="D551" s="1">
        <v>44517</v>
      </c>
      <c r="E551">
        <v>1</v>
      </c>
      <c r="F551" t="s">
        <v>43</v>
      </c>
      <c r="G551" t="str">
        <f>"06-I18-04"</f>
        <v>06-I18-04</v>
      </c>
      <c r="H551">
        <v>1.1514</v>
      </c>
      <c r="J551" t="s">
        <v>24</v>
      </c>
      <c r="K551" t="str">
        <f>"3F1"</f>
        <v>3F1</v>
      </c>
      <c r="L551" t="s">
        <v>15</v>
      </c>
    </row>
    <row r="552" spans="1:12" x14ac:dyDescent="0.25">
      <c r="A552" t="str">
        <f>"0711173232"</f>
        <v>0711173232</v>
      </c>
      <c r="B552" t="str">
        <f t="shared" si="15"/>
        <v>89301000</v>
      </c>
      <c r="C552" s="1">
        <v>44459</v>
      </c>
      <c r="D552" s="1">
        <v>44466</v>
      </c>
      <c r="E552">
        <v>1</v>
      </c>
      <c r="F552" t="s">
        <v>591</v>
      </c>
      <c r="G552" t="str">
        <f>"10-K05-02"</f>
        <v>10-K05-02</v>
      </c>
      <c r="H552">
        <v>0.43459999999999999</v>
      </c>
      <c r="I552" t="s">
        <v>592</v>
      </c>
      <c r="J552" t="s">
        <v>14</v>
      </c>
      <c r="K552" t="str">
        <f>"3F1"</f>
        <v>3F1</v>
      </c>
      <c r="L552" t="s">
        <v>15</v>
      </c>
    </row>
    <row r="553" spans="1:12" x14ac:dyDescent="0.25">
      <c r="A553" t="str">
        <f>"0712123786"</f>
        <v>0712123786</v>
      </c>
      <c r="B553" t="str">
        <f t="shared" si="15"/>
        <v>89301000</v>
      </c>
      <c r="C553" s="1">
        <v>44349</v>
      </c>
      <c r="D553" s="1">
        <v>44358</v>
      </c>
      <c r="E553">
        <v>1</v>
      </c>
      <c r="F553" t="s">
        <v>593</v>
      </c>
      <c r="G553" t="str">
        <f>"07-K05-03"</f>
        <v>07-K05-03</v>
      </c>
      <c r="H553">
        <v>0.4602</v>
      </c>
      <c r="I553" t="s">
        <v>574</v>
      </c>
      <c r="J553" t="s">
        <v>14</v>
      </c>
      <c r="K553" t="str">
        <f>"3F1"</f>
        <v>3F1</v>
      </c>
      <c r="L553" t="s">
        <v>15</v>
      </c>
    </row>
    <row r="554" spans="1:12" x14ac:dyDescent="0.25">
      <c r="A554" t="str">
        <f>"0712133224"</f>
        <v>0712133224</v>
      </c>
      <c r="B554" t="str">
        <f t="shared" si="15"/>
        <v>89301000</v>
      </c>
      <c r="C554" s="1">
        <v>44421</v>
      </c>
      <c r="D554" s="1">
        <v>44422</v>
      </c>
      <c r="E554">
        <v>1</v>
      </c>
      <c r="F554" t="s">
        <v>594</v>
      </c>
      <c r="G554" t="str">
        <f>"08-I20-02"</f>
        <v>08-I20-02</v>
      </c>
      <c r="H554">
        <v>0.94159999999999999</v>
      </c>
      <c r="I554" t="s">
        <v>410</v>
      </c>
      <c r="J554" t="s">
        <v>17</v>
      </c>
      <c r="K554" t="str">
        <f>"5F3"</f>
        <v>5F3</v>
      </c>
      <c r="L554" t="s">
        <v>15</v>
      </c>
    </row>
    <row r="555" spans="1:12" x14ac:dyDescent="0.25">
      <c r="A555" t="str">
        <f>"0712256160"</f>
        <v>0712256160</v>
      </c>
      <c r="B555" t="str">
        <f t="shared" si="15"/>
        <v>89301000</v>
      </c>
      <c r="C555" s="1">
        <v>44311</v>
      </c>
      <c r="D555" s="1">
        <v>44313</v>
      </c>
      <c r="E555">
        <v>1</v>
      </c>
      <c r="F555" t="s">
        <v>326</v>
      </c>
      <c r="G555" t="str">
        <f>"02-I11-01"</f>
        <v>02-I11-01</v>
      </c>
      <c r="H555">
        <v>0.87619999999999998</v>
      </c>
      <c r="J555" t="s">
        <v>17</v>
      </c>
      <c r="K555" t="str">
        <f t="shared" ref="K555:K560" si="19">"3F1"</f>
        <v>3F1</v>
      </c>
      <c r="L555" t="s">
        <v>15</v>
      </c>
    </row>
    <row r="556" spans="1:12" x14ac:dyDescent="0.25">
      <c r="A556" t="str">
        <f>"0751058990"</f>
        <v>0751058990</v>
      </c>
      <c r="B556" t="str">
        <f t="shared" si="15"/>
        <v>89301000</v>
      </c>
      <c r="C556" s="1">
        <v>44357</v>
      </c>
      <c r="D556" s="1">
        <v>44361</v>
      </c>
      <c r="E556">
        <v>1</v>
      </c>
      <c r="F556" t="s">
        <v>43</v>
      </c>
      <c r="G556" t="str">
        <f>"06-I18-02"</f>
        <v>06-I18-02</v>
      </c>
      <c r="H556">
        <v>2.0447000000000002</v>
      </c>
      <c r="I556" t="s">
        <v>595</v>
      </c>
      <c r="J556" t="s">
        <v>24</v>
      </c>
      <c r="K556" t="str">
        <f t="shared" si="19"/>
        <v>3F1</v>
      </c>
      <c r="L556" t="s">
        <v>15</v>
      </c>
    </row>
    <row r="557" spans="1:12" x14ac:dyDescent="0.25">
      <c r="A557" t="str">
        <f>"0751237916"</f>
        <v>0751237916</v>
      </c>
      <c r="B557" t="str">
        <f t="shared" si="15"/>
        <v>89301000</v>
      </c>
      <c r="C557" s="1">
        <v>44363</v>
      </c>
      <c r="D557" s="1">
        <v>44368</v>
      </c>
      <c r="E557">
        <v>1</v>
      </c>
      <c r="F557" t="s">
        <v>43</v>
      </c>
      <c r="G557" t="str">
        <f>"06-I18-04"</f>
        <v>06-I18-04</v>
      </c>
      <c r="H557">
        <v>1.1514</v>
      </c>
      <c r="I557" t="s">
        <v>596</v>
      </c>
      <c r="J557" t="s">
        <v>24</v>
      </c>
      <c r="K557" t="str">
        <f t="shared" si="19"/>
        <v>3F1</v>
      </c>
      <c r="L557" t="s">
        <v>15</v>
      </c>
    </row>
    <row r="558" spans="1:12" x14ac:dyDescent="0.25">
      <c r="A558" t="str">
        <f>"0751256077"</f>
        <v>0751256077</v>
      </c>
      <c r="B558" t="str">
        <f t="shared" si="15"/>
        <v>89301000</v>
      </c>
      <c r="C558" s="1">
        <v>44215</v>
      </c>
      <c r="D558" s="1">
        <v>44217</v>
      </c>
      <c r="E558">
        <v>1</v>
      </c>
      <c r="F558" t="s">
        <v>597</v>
      </c>
      <c r="G558" t="str">
        <f>"08-K04-02"</f>
        <v>08-K04-02</v>
      </c>
      <c r="H558">
        <v>0.48820000000000002</v>
      </c>
      <c r="I558" t="s">
        <v>598</v>
      </c>
      <c r="J558" t="s">
        <v>14</v>
      </c>
      <c r="K558" t="str">
        <f t="shared" si="19"/>
        <v>3F1</v>
      </c>
      <c r="L558" t="s">
        <v>15</v>
      </c>
    </row>
    <row r="559" spans="1:12" x14ac:dyDescent="0.25">
      <c r="A559" t="str">
        <f>"0751293224"</f>
        <v>0751293224</v>
      </c>
      <c r="B559" t="str">
        <f t="shared" si="15"/>
        <v>89301000</v>
      </c>
      <c r="C559" s="1">
        <v>44295</v>
      </c>
      <c r="D559" s="1">
        <v>44296</v>
      </c>
      <c r="E559">
        <v>1</v>
      </c>
      <c r="F559" t="s">
        <v>429</v>
      </c>
      <c r="G559" t="str">
        <f>"20-K01-06"</f>
        <v>20-K01-06</v>
      </c>
      <c r="H559">
        <v>0.25779999999999997</v>
      </c>
      <c r="J559" t="s">
        <v>14</v>
      </c>
      <c r="K559" t="str">
        <f t="shared" si="19"/>
        <v>3F1</v>
      </c>
      <c r="L559" t="s">
        <v>15</v>
      </c>
    </row>
    <row r="560" spans="1:12" x14ac:dyDescent="0.25">
      <c r="A560" t="str">
        <f>"0751295347"</f>
        <v>0751295347</v>
      </c>
      <c r="B560" t="str">
        <f t="shared" si="15"/>
        <v>89301000</v>
      </c>
      <c r="C560" s="1">
        <v>44319</v>
      </c>
      <c r="D560" s="1">
        <v>44323</v>
      </c>
      <c r="E560">
        <v>1</v>
      </c>
      <c r="F560" t="s">
        <v>599</v>
      </c>
      <c r="G560" t="str">
        <f>"01-I07-03"</f>
        <v>01-I07-03</v>
      </c>
      <c r="H560">
        <v>3.2458</v>
      </c>
      <c r="I560" t="s">
        <v>600</v>
      </c>
      <c r="J560" t="s">
        <v>17</v>
      </c>
      <c r="K560" t="str">
        <f t="shared" si="19"/>
        <v>3F1</v>
      </c>
      <c r="L560" t="s">
        <v>15</v>
      </c>
    </row>
    <row r="561" spans="1:12" x14ac:dyDescent="0.25">
      <c r="A561" t="str">
        <f>"0751295347"</f>
        <v>0751295347</v>
      </c>
      <c r="B561" t="str">
        <f t="shared" si="15"/>
        <v>89301000</v>
      </c>
      <c r="C561" s="1">
        <v>44326</v>
      </c>
      <c r="D561" s="1">
        <v>44327</v>
      </c>
      <c r="E561">
        <v>6</v>
      </c>
      <c r="F561" t="s">
        <v>467</v>
      </c>
      <c r="G561" t="str">
        <f>"06-K22-02"</f>
        <v>06-K22-02</v>
      </c>
      <c r="H561">
        <v>0.58020000000000005</v>
      </c>
      <c r="I561" t="s">
        <v>601</v>
      </c>
      <c r="J561" t="s">
        <v>14</v>
      </c>
      <c r="K561" t="str">
        <f>"3T1"</f>
        <v>3T1</v>
      </c>
      <c r="L561" t="s">
        <v>15</v>
      </c>
    </row>
    <row r="562" spans="1:12" x14ac:dyDescent="0.25">
      <c r="A562" t="str">
        <f>"0752056162"</f>
        <v>0752056162</v>
      </c>
      <c r="B562" t="str">
        <f t="shared" si="15"/>
        <v>89301000</v>
      </c>
      <c r="C562" s="1">
        <v>44315</v>
      </c>
      <c r="D562" s="1">
        <v>44319</v>
      </c>
      <c r="E562">
        <v>1</v>
      </c>
      <c r="F562" t="s">
        <v>602</v>
      </c>
      <c r="G562" t="str">
        <f>"09-K14-02"</f>
        <v>09-K14-02</v>
      </c>
      <c r="H562">
        <v>0.50549999999999995</v>
      </c>
      <c r="J562" t="s">
        <v>14</v>
      </c>
      <c r="K562" t="str">
        <f>"4F4"</f>
        <v>4F4</v>
      </c>
      <c r="L562" t="s">
        <v>15</v>
      </c>
    </row>
    <row r="563" spans="1:12" x14ac:dyDescent="0.25">
      <c r="A563" t="str">
        <f>"0752141390"</f>
        <v>0752141390</v>
      </c>
      <c r="B563" t="str">
        <f t="shared" si="15"/>
        <v>89301000</v>
      </c>
      <c r="C563" s="1">
        <v>44349</v>
      </c>
      <c r="D563" s="1">
        <v>44350</v>
      </c>
      <c r="E563">
        <v>6</v>
      </c>
      <c r="F563" t="s">
        <v>603</v>
      </c>
      <c r="G563" t="str">
        <f>"04-K15-03"</f>
        <v>04-K15-03</v>
      </c>
      <c r="H563">
        <v>0.49009999999999998</v>
      </c>
      <c r="J563" t="s">
        <v>14</v>
      </c>
      <c r="K563" t="str">
        <f>"3T1"</f>
        <v>3T1</v>
      </c>
      <c r="L563" t="s">
        <v>15</v>
      </c>
    </row>
    <row r="564" spans="1:12" x14ac:dyDescent="0.25">
      <c r="A564" t="str">
        <f>"0753203264"</f>
        <v>0753203264</v>
      </c>
      <c r="B564" t="str">
        <f t="shared" si="15"/>
        <v>89301000</v>
      </c>
      <c r="C564" s="1">
        <v>44387</v>
      </c>
      <c r="D564" s="1">
        <v>44392</v>
      </c>
      <c r="E564">
        <v>1</v>
      </c>
      <c r="F564" t="s">
        <v>43</v>
      </c>
      <c r="G564" t="str">
        <f>"06-I18-04"</f>
        <v>06-I18-04</v>
      </c>
      <c r="H564">
        <v>1.1514</v>
      </c>
      <c r="I564" t="s">
        <v>604</v>
      </c>
      <c r="J564" t="s">
        <v>24</v>
      </c>
      <c r="K564" t="str">
        <f>"3F1"</f>
        <v>3F1</v>
      </c>
      <c r="L564" t="s">
        <v>15</v>
      </c>
    </row>
    <row r="565" spans="1:12" x14ac:dyDescent="0.25">
      <c r="A565" t="str">
        <f>"0754113228"</f>
        <v>0754113228</v>
      </c>
      <c r="B565" t="str">
        <f t="shared" si="15"/>
        <v>89301000</v>
      </c>
      <c r="C565" s="1">
        <v>44415</v>
      </c>
      <c r="D565" s="1">
        <v>44417</v>
      </c>
      <c r="E565">
        <v>1</v>
      </c>
      <c r="F565" t="s">
        <v>605</v>
      </c>
      <c r="G565" t="str">
        <f>"09-K12-00"</f>
        <v>09-K12-00</v>
      </c>
      <c r="H565">
        <v>0.24349999999999999</v>
      </c>
      <c r="I565" t="s">
        <v>606</v>
      </c>
      <c r="J565" t="s">
        <v>14</v>
      </c>
      <c r="K565" t="str">
        <f>"3F1"</f>
        <v>3F1</v>
      </c>
      <c r="L565" t="s">
        <v>15</v>
      </c>
    </row>
    <row r="566" spans="1:12" x14ac:dyDescent="0.25">
      <c r="A566" t="str">
        <f>"0754283233"</f>
        <v>0754283233</v>
      </c>
      <c r="B566" t="str">
        <f t="shared" si="15"/>
        <v>89301000</v>
      </c>
      <c r="C566" s="1">
        <v>44369</v>
      </c>
      <c r="D566" s="1">
        <v>44371</v>
      </c>
      <c r="E566">
        <v>1</v>
      </c>
      <c r="F566" t="s">
        <v>323</v>
      </c>
      <c r="G566" t="str">
        <f>"06-K06-02"</f>
        <v>06-K06-02</v>
      </c>
      <c r="H566">
        <v>0.69359999999999999</v>
      </c>
      <c r="J566" t="s">
        <v>14</v>
      </c>
      <c r="K566" t="str">
        <f>"3F1"</f>
        <v>3F1</v>
      </c>
      <c r="L566" t="s">
        <v>15</v>
      </c>
    </row>
    <row r="567" spans="1:12" x14ac:dyDescent="0.25">
      <c r="A567" t="str">
        <f>"0755096067"</f>
        <v>0755096067</v>
      </c>
      <c r="B567" t="str">
        <f t="shared" si="15"/>
        <v>89301000</v>
      </c>
      <c r="C567" s="1">
        <v>44369</v>
      </c>
      <c r="D567" s="1">
        <v>44370</v>
      </c>
      <c r="E567">
        <v>6</v>
      </c>
      <c r="F567" t="s">
        <v>607</v>
      </c>
      <c r="G567" t="str">
        <f>"11-K03-01"</f>
        <v>11-K03-01</v>
      </c>
      <c r="H567">
        <v>0.8357</v>
      </c>
      <c r="I567" t="s">
        <v>608</v>
      </c>
      <c r="J567" t="s">
        <v>14</v>
      </c>
      <c r="K567" t="str">
        <f>"3T1"</f>
        <v>3T1</v>
      </c>
      <c r="L567" t="s">
        <v>15</v>
      </c>
    </row>
    <row r="568" spans="1:12" x14ac:dyDescent="0.25">
      <c r="A568" t="str">
        <f>"0755096540"</f>
        <v>0755096540</v>
      </c>
      <c r="B568" t="str">
        <f t="shared" si="15"/>
        <v>89301000</v>
      </c>
      <c r="C568" s="1">
        <v>44236</v>
      </c>
      <c r="D568" s="1">
        <v>44238</v>
      </c>
      <c r="E568">
        <v>1</v>
      </c>
      <c r="F568" t="s">
        <v>173</v>
      </c>
      <c r="G568" t="str">
        <f>"08-I32-02"</f>
        <v>08-I32-02</v>
      </c>
      <c r="H568">
        <v>0.4143</v>
      </c>
      <c r="J568" t="s">
        <v>14</v>
      </c>
      <c r="K568" t="str">
        <f t="shared" ref="K568:K579" si="20">"3F1"</f>
        <v>3F1</v>
      </c>
      <c r="L568" t="s">
        <v>15</v>
      </c>
    </row>
    <row r="569" spans="1:12" x14ac:dyDescent="0.25">
      <c r="A569" t="str">
        <f>"0755096540"</f>
        <v>0755096540</v>
      </c>
      <c r="B569" t="str">
        <f t="shared" si="15"/>
        <v>89301000</v>
      </c>
      <c r="C569" s="1">
        <v>44200</v>
      </c>
      <c r="D569" s="1">
        <v>44208</v>
      </c>
      <c r="E569">
        <v>1</v>
      </c>
      <c r="F569" t="s">
        <v>609</v>
      </c>
      <c r="G569" t="str">
        <f>"08-I20-03"</f>
        <v>08-I20-03</v>
      </c>
      <c r="H569">
        <v>0.99990000000000001</v>
      </c>
      <c r="I569" t="s">
        <v>610</v>
      </c>
      <c r="J569" t="s">
        <v>17</v>
      </c>
      <c r="K569" t="str">
        <f t="shared" si="20"/>
        <v>3F1</v>
      </c>
      <c r="L569" t="s">
        <v>15</v>
      </c>
    </row>
    <row r="570" spans="1:12" x14ac:dyDescent="0.25">
      <c r="A570" t="str">
        <f>"0755156600"</f>
        <v>0755156600</v>
      </c>
      <c r="B570" t="str">
        <f t="shared" si="15"/>
        <v>89301000</v>
      </c>
      <c r="C570" s="1">
        <v>44251</v>
      </c>
      <c r="D570" s="1">
        <v>44258</v>
      </c>
      <c r="E570">
        <v>1</v>
      </c>
      <c r="F570" t="s">
        <v>611</v>
      </c>
      <c r="G570" t="str">
        <f>"16-I01-01"</f>
        <v>16-I01-01</v>
      </c>
      <c r="H570">
        <v>3.1905999999999999</v>
      </c>
      <c r="J570" t="s">
        <v>17</v>
      </c>
      <c r="K570" t="str">
        <f t="shared" si="20"/>
        <v>3F1</v>
      </c>
      <c r="L570" t="s">
        <v>15</v>
      </c>
    </row>
    <row r="571" spans="1:12" x14ac:dyDescent="0.25">
      <c r="A571" t="str">
        <f>"0755233380"</f>
        <v>0755233380</v>
      </c>
      <c r="B571" t="str">
        <f t="shared" si="15"/>
        <v>89301000</v>
      </c>
      <c r="C571" s="1">
        <v>44530</v>
      </c>
      <c r="D571" s="1">
        <v>44531</v>
      </c>
      <c r="E571">
        <v>1</v>
      </c>
      <c r="F571" t="s">
        <v>612</v>
      </c>
      <c r="G571" t="str">
        <f>"13-K02-00"</f>
        <v>13-K02-00</v>
      </c>
      <c r="H571">
        <v>0.24079999999999999</v>
      </c>
      <c r="I571" t="s">
        <v>168</v>
      </c>
      <c r="J571" t="s">
        <v>14</v>
      </c>
      <c r="K571" t="str">
        <f t="shared" si="20"/>
        <v>3F1</v>
      </c>
      <c r="L571" t="s">
        <v>15</v>
      </c>
    </row>
    <row r="572" spans="1:12" x14ac:dyDescent="0.25">
      <c r="A572" t="str">
        <f>"0756125293"</f>
        <v>0756125293</v>
      </c>
      <c r="B572" t="str">
        <f t="shared" si="15"/>
        <v>89301000</v>
      </c>
      <c r="C572" s="1">
        <v>44362</v>
      </c>
      <c r="D572" s="1">
        <v>44365</v>
      </c>
      <c r="E572">
        <v>1</v>
      </c>
      <c r="F572" t="s">
        <v>613</v>
      </c>
      <c r="G572" t="str">
        <f>"03-I14-02"</f>
        <v>03-I14-02</v>
      </c>
      <c r="H572">
        <v>1.1104000000000001</v>
      </c>
      <c r="J572" t="s">
        <v>14</v>
      </c>
      <c r="K572" t="str">
        <f t="shared" si="20"/>
        <v>3F1</v>
      </c>
      <c r="L572" t="s">
        <v>15</v>
      </c>
    </row>
    <row r="573" spans="1:12" x14ac:dyDescent="0.25">
      <c r="A573" t="str">
        <f>"0756275267"</f>
        <v>0756275267</v>
      </c>
      <c r="B573" t="str">
        <f t="shared" ref="B573:B636" si="21">"89301000"</f>
        <v>89301000</v>
      </c>
      <c r="C573" s="1">
        <v>44546</v>
      </c>
      <c r="D573" s="1">
        <v>44550</v>
      </c>
      <c r="E573">
        <v>1</v>
      </c>
      <c r="F573" t="s">
        <v>614</v>
      </c>
      <c r="G573" t="str">
        <f>"08-M03-04"</f>
        <v>08-M03-04</v>
      </c>
      <c r="H573">
        <v>0.8609</v>
      </c>
      <c r="I573" t="s">
        <v>615</v>
      </c>
      <c r="J573" t="s">
        <v>14</v>
      </c>
      <c r="K573" t="str">
        <f t="shared" si="20"/>
        <v>3F1</v>
      </c>
      <c r="L573" t="s">
        <v>15</v>
      </c>
    </row>
    <row r="574" spans="1:12" x14ac:dyDescent="0.25">
      <c r="A574" t="str">
        <f>"0757173307"</f>
        <v>0757173307</v>
      </c>
      <c r="B574" t="str">
        <f t="shared" si="21"/>
        <v>89301000</v>
      </c>
      <c r="C574" s="1">
        <v>44355</v>
      </c>
      <c r="D574" s="1">
        <v>44358</v>
      </c>
      <c r="E574">
        <v>1</v>
      </c>
      <c r="F574" t="s">
        <v>616</v>
      </c>
      <c r="G574" t="str">
        <f>"08-I22-02"</f>
        <v>08-I22-02</v>
      </c>
      <c r="H574">
        <v>1.1049</v>
      </c>
      <c r="J574" t="s">
        <v>17</v>
      </c>
      <c r="K574" t="str">
        <f t="shared" si="20"/>
        <v>3F1</v>
      </c>
      <c r="L574" t="s">
        <v>15</v>
      </c>
    </row>
    <row r="575" spans="1:12" x14ac:dyDescent="0.25">
      <c r="A575" t="str">
        <f>"0757185330"</f>
        <v>0757185330</v>
      </c>
      <c r="B575" t="str">
        <f t="shared" si="21"/>
        <v>89301000</v>
      </c>
      <c r="C575" s="1">
        <v>44403</v>
      </c>
      <c r="D575" s="1">
        <v>44404</v>
      </c>
      <c r="E575">
        <v>1</v>
      </c>
      <c r="F575" t="s">
        <v>617</v>
      </c>
      <c r="G575" t="str">
        <f>"06-K02-04"</f>
        <v>06-K02-04</v>
      </c>
      <c r="H575">
        <v>0.3634</v>
      </c>
      <c r="I575" t="s">
        <v>354</v>
      </c>
      <c r="J575" t="s">
        <v>14</v>
      </c>
      <c r="K575" t="str">
        <f t="shared" si="20"/>
        <v>3F1</v>
      </c>
      <c r="L575" t="s">
        <v>15</v>
      </c>
    </row>
    <row r="576" spans="1:12" x14ac:dyDescent="0.25">
      <c r="A576" t="str">
        <f>"0757185330"</f>
        <v>0757185330</v>
      </c>
      <c r="B576" t="str">
        <f t="shared" si="21"/>
        <v>89301000</v>
      </c>
      <c r="C576" s="1">
        <v>44502</v>
      </c>
      <c r="D576" s="1">
        <v>44508</v>
      </c>
      <c r="E576">
        <v>1</v>
      </c>
      <c r="F576" t="s">
        <v>43</v>
      </c>
      <c r="G576" t="str">
        <f>"06-I18-04"</f>
        <v>06-I18-04</v>
      </c>
      <c r="H576">
        <v>1.1514</v>
      </c>
      <c r="I576" t="s">
        <v>168</v>
      </c>
      <c r="J576" t="s">
        <v>24</v>
      </c>
      <c r="K576" t="str">
        <f t="shared" si="20"/>
        <v>3F1</v>
      </c>
      <c r="L576" t="s">
        <v>15</v>
      </c>
    </row>
    <row r="577" spans="1:12" x14ac:dyDescent="0.25">
      <c r="A577" t="str">
        <f>"0758050370"</f>
        <v>0758050370</v>
      </c>
      <c r="B577" t="str">
        <f t="shared" si="21"/>
        <v>89301000</v>
      </c>
      <c r="C577" s="1">
        <v>44460</v>
      </c>
      <c r="D577" s="1">
        <v>44462</v>
      </c>
      <c r="E577">
        <v>1</v>
      </c>
      <c r="F577" t="s">
        <v>287</v>
      </c>
      <c r="G577" t="str">
        <f>"01-K16-06"</f>
        <v>01-K16-06</v>
      </c>
      <c r="H577">
        <v>0.26469999999999999</v>
      </c>
      <c r="I577" t="s">
        <v>233</v>
      </c>
      <c r="J577" t="s">
        <v>14</v>
      </c>
      <c r="K577" t="str">
        <f t="shared" si="20"/>
        <v>3F1</v>
      </c>
      <c r="L577" t="s">
        <v>15</v>
      </c>
    </row>
    <row r="578" spans="1:12" x14ac:dyDescent="0.25">
      <c r="A578" t="str">
        <f>"0759033242"</f>
        <v>0759033242</v>
      </c>
      <c r="B578" t="str">
        <f t="shared" si="21"/>
        <v>89301000</v>
      </c>
      <c r="C578" s="1">
        <v>44284</v>
      </c>
      <c r="D578" s="1">
        <v>44287</v>
      </c>
      <c r="E578">
        <v>1</v>
      </c>
      <c r="F578" t="s">
        <v>43</v>
      </c>
      <c r="G578" t="str">
        <f>"06-I18-04"</f>
        <v>06-I18-04</v>
      </c>
      <c r="H578">
        <v>1.1514</v>
      </c>
      <c r="I578" t="s">
        <v>168</v>
      </c>
      <c r="J578" t="s">
        <v>24</v>
      </c>
      <c r="K578" t="str">
        <f t="shared" si="20"/>
        <v>3F1</v>
      </c>
      <c r="L578" t="s">
        <v>15</v>
      </c>
    </row>
    <row r="579" spans="1:12" x14ac:dyDescent="0.25">
      <c r="A579" t="str">
        <f>"0759073249"</f>
        <v>0759073249</v>
      </c>
      <c r="B579" t="str">
        <f t="shared" si="21"/>
        <v>89301000</v>
      </c>
      <c r="C579" s="1">
        <v>44330</v>
      </c>
      <c r="D579" s="1">
        <v>44333</v>
      </c>
      <c r="E579">
        <v>1</v>
      </c>
      <c r="F579" t="s">
        <v>618</v>
      </c>
      <c r="G579" t="str">
        <f>"19-K01-03"</f>
        <v>19-K01-03</v>
      </c>
      <c r="H579">
        <v>0.60250000000000004</v>
      </c>
      <c r="I579" t="s">
        <v>598</v>
      </c>
      <c r="J579" t="s">
        <v>27</v>
      </c>
      <c r="K579" t="str">
        <f t="shared" si="20"/>
        <v>3F1</v>
      </c>
      <c r="L579" t="s">
        <v>15</v>
      </c>
    </row>
    <row r="580" spans="1:12" x14ac:dyDescent="0.25">
      <c r="A580" t="str">
        <f>"0759073249"</f>
        <v>0759073249</v>
      </c>
      <c r="B580" t="str">
        <f t="shared" si="21"/>
        <v>89301000</v>
      </c>
      <c r="C580" s="1">
        <v>44501</v>
      </c>
      <c r="D580" s="1">
        <v>44505</v>
      </c>
      <c r="E580">
        <v>1</v>
      </c>
      <c r="F580" t="s">
        <v>70</v>
      </c>
      <c r="G580" t="str">
        <f>"09-K14-02"</f>
        <v>09-K14-02</v>
      </c>
      <c r="H580">
        <v>0.50549999999999995</v>
      </c>
      <c r="J580" t="s">
        <v>14</v>
      </c>
      <c r="K580" t="str">
        <f>"4F4"</f>
        <v>4F4</v>
      </c>
      <c r="L580" t="s">
        <v>15</v>
      </c>
    </row>
    <row r="581" spans="1:12" x14ac:dyDescent="0.25">
      <c r="A581" t="str">
        <f>"0759196141"</f>
        <v>0759196141</v>
      </c>
      <c r="B581" t="str">
        <f t="shared" si="21"/>
        <v>89301000</v>
      </c>
      <c r="C581" s="1">
        <v>44217</v>
      </c>
      <c r="D581" s="1">
        <v>44221</v>
      </c>
      <c r="E581">
        <v>1</v>
      </c>
      <c r="F581" t="s">
        <v>70</v>
      </c>
      <c r="G581" t="str">
        <f>"09-K14-02"</f>
        <v>09-K14-02</v>
      </c>
      <c r="H581">
        <v>0.50549999999999995</v>
      </c>
      <c r="J581" t="s">
        <v>14</v>
      </c>
      <c r="K581" t="str">
        <f>"4F4"</f>
        <v>4F4</v>
      </c>
      <c r="L581" t="s">
        <v>15</v>
      </c>
    </row>
    <row r="582" spans="1:12" x14ac:dyDescent="0.25">
      <c r="A582" t="str">
        <f>"0759196141"</f>
        <v>0759196141</v>
      </c>
      <c r="B582" t="str">
        <f t="shared" si="21"/>
        <v>89301000</v>
      </c>
      <c r="C582" s="1">
        <v>44481</v>
      </c>
      <c r="D582" s="1">
        <v>44485</v>
      </c>
      <c r="E582">
        <v>1</v>
      </c>
      <c r="F582" t="s">
        <v>419</v>
      </c>
      <c r="G582" t="str">
        <f>"09-K14-02"</f>
        <v>09-K14-02</v>
      </c>
      <c r="H582">
        <v>0.50549999999999995</v>
      </c>
      <c r="J582" t="s">
        <v>14</v>
      </c>
      <c r="K582" t="str">
        <f>"4F4"</f>
        <v>4F4</v>
      </c>
      <c r="L582" t="s">
        <v>15</v>
      </c>
    </row>
    <row r="583" spans="1:12" x14ac:dyDescent="0.25">
      <c r="A583" t="str">
        <f>"0759285263"</f>
        <v>0759285263</v>
      </c>
      <c r="B583" t="str">
        <f t="shared" si="21"/>
        <v>89301000</v>
      </c>
      <c r="C583" s="1">
        <v>44493</v>
      </c>
      <c r="D583" s="1">
        <v>44495</v>
      </c>
      <c r="E583">
        <v>1</v>
      </c>
      <c r="F583" t="s">
        <v>326</v>
      </c>
      <c r="G583" t="str">
        <f>"02-I11-01"</f>
        <v>02-I11-01</v>
      </c>
      <c r="H583">
        <v>0.87619999999999998</v>
      </c>
      <c r="J583" t="s">
        <v>17</v>
      </c>
      <c r="K583" t="str">
        <f t="shared" ref="K583:K591" si="22">"3F1"</f>
        <v>3F1</v>
      </c>
      <c r="L583" t="s">
        <v>15</v>
      </c>
    </row>
    <row r="584" spans="1:12" x14ac:dyDescent="0.25">
      <c r="A584" t="str">
        <f>"0760023275"</f>
        <v>0760023275</v>
      </c>
      <c r="B584" t="str">
        <f t="shared" si="21"/>
        <v>89301000</v>
      </c>
      <c r="C584" s="1">
        <v>44543</v>
      </c>
      <c r="D584" s="1">
        <v>44544</v>
      </c>
      <c r="E584">
        <v>1</v>
      </c>
      <c r="F584" t="s">
        <v>152</v>
      </c>
      <c r="G584" t="str">
        <f>"19-K01-03"</f>
        <v>19-K01-03</v>
      </c>
      <c r="H584">
        <v>0.60250000000000004</v>
      </c>
      <c r="I584" t="s">
        <v>619</v>
      </c>
      <c r="J584" t="s">
        <v>27</v>
      </c>
      <c r="K584" t="str">
        <f t="shared" si="22"/>
        <v>3F1</v>
      </c>
      <c r="L584" t="s">
        <v>15</v>
      </c>
    </row>
    <row r="585" spans="1:12" x14ac:dyDescent="0.25">
      <c r="A585" t="str">
        <f>"0760033241"</f>
        <v>0760033241</v>
      </c>
      <c r="B585" t="str">
        <f t="shared" si="21"/>
        <v>89301000</v>
      </c>
      <c r="C585" s="1">
        <v>44549</v>
      </c>
      <c r="D585" s="1">
        <v>44551</v>
      </c>
      <c r="E585">
        <v>1</v>
      </c>
      <c r="F585" t="s">
        <v>20</v>
      </c>
      <c r="G585" t="str">
        <f>"08-I20-03"</f>
        <v>08-I20-03</v>
      </c>
      <c r="H585">
        <v>0.63300000000000001</v>
      </c>
      <c r="I585" t="s">
        <v>244</v>
      </c>
      <c r="J585" t="s">
        <v>17</v>
      </c>
      <c r="K585" t="str">
        <f t="shared" si="22"/>
        <v>3F1</v>
      </c>
      <c r="L585" t="s">
        <v>15</v>
      </c>
    </row>
    <row r="586" spans="1:12" x14ac:dyDescent="0.25">
      <c r="A586" t="str">
        <f>"0760153229"</f>
        <v>0760153229</v>
      </c>
      <c r="B586" t="str">
        <f t="shared" si="21"/>
        <v>89301000</v>
      </c>
      <c r="C586" s="1">
        <v>44421</v>
      </c>
      <c r="D586" s="1">
        <v>44422</v>
      </c>
      <c r="E586">
        <v>1</v>
      </c>
      <c r="F586" t="s">
        <v>620</v>
      </c>
      <c r="G586" t="str">
        <f>"08-I20-03"</f>
        <v>08-I20-03</v>
      </c>
      <c r="H586">
        <v>0.63300000000000001</v>
      </c>
      <c r="I586" t="s">
        <v>233</v>
      </c>
      <c r="J586" t="s">
        <v>17</v>
      </c>
      <c r="K586" t="str">
        <f t="shared" si="22"/>
        <v>3F1</v>
      </c>
      <c r="L586" t="s">
        <v>15</v>
      </c>
    </row>
    <row r="587" spans="1:12" x14ac:dyDescent="0.25">
      <c r="A587" t="str">
        <f>"0760156089"</f>
        <v>0760156089</v>
      </c>
      <c r="B587" t="str">
        <f t="shared" si="21"/>
        <v>89301000</v>
      </c>
      <c r="C587" s="1">
        <v>44388</v>
      </c>
      <c r="D587" s="1">
        <v>44390</v>
      </c>
      <c r="E587">
        <v>1</v>
      </c>
      <c r="F587" t="s">
        <v>621</v>
      </c>
      <c r="G587" t="str">
        <f>"02-I12-02"</f>
        <v>02-I12-02</v>
      </c>
      <c r="H587">
        <v>0.97040000000000004</v>
      </c>
      <c r="I587" t="s">
        <v>622</v>
      </c>
      <c r="J587" t="s">
        <v>14</v>
      </c>
      <c r="K587" t="str">
        <f t="shared" si="22"/>
        <v>3F1</v>
      </c>
      <c r="L587" t="s">
        <v>15</v>
      </c>
    </row>
    <row r="588" spans="1:12" x14ac:dyDescent="0.25">
      <c r="A588" t="str">
        <f>"0760237093"</f>
        <v>0760237093</v>
      </c>
      <c r="B588" t="str">
        <f t="shared" si="21"/>
        <v>89301000</v>
      </c>
      <c r="C588" s="1">
        <v>44292</v>
      </c>
      <c r="D588" s="1">
        <v>44298</v>
      </c>
      <c r="E588">
        <v>1</v>
      </c>
      <c r="F588" t="s">
        <v>564</v>
      </c>
      <c r="G588" t="str">
        <f>"06-I09-01"</f>
        <v>06-I09-01</v>
      </c>
      <c r="H588">
        <v>3.3593999999999999</v>
      </c>
      <c r="J588" t="s">
        <v>17</v>
      </c>
      <c r="K588" t="str">
        <f t="shared" si="22"/>
        <v>3F1</v>
      </c>
      <c r="L588" t="s">
        <v>15</v>
      </c>
    </row>
    <row r="589" spans="1:12" x14ac:dyDescent="0.25">
      <c r="A589" t="str">
        <f>"0761123231"</f>
        <v>0761123231</v>
      </c>
      <c r="B589" t="str">
        <f t="shared" si="21"/>
        <v>89301000</v>
      </c>
      <c r="C589" s="1">
        <v>44243</v>
      </c>
      <c r="D589" s="1">
        <v>44245</v>
      </c>
      <c r="E589">
        <v>1</v>
      </c>
      <c r="F589" t="s">
        <v>613</v>
      </c>
      <c r="G589" t="str">
        <f>"03-I14-02"</f>
        <v>03-I14-02</v>
      </c>
      <c r="H589">
        <v>1.1086</v>
      </c>
      <c r="I589" t="s">
        <v>623</v>
      </c>
      <c r="J589" t="s">
        <v>14</v>
      </c>
      <c r="K589" t="str">
        <f t="shared" si="22"/>
        <v>3F1</v>
      </c>
      <c r="L589" t="s">
        <v>15</v>
      </c>
    </row>
    <row r="590" spans="1:12" x14ac:dyDescent="0.25">
      <c r="A590" t="str">
        <f>"0761123231"</f>
        <v>0761123231</v>
      </c>
      <c r="B590" t="str">
        <f t="shared" si="21"/>
        <v>89301000</v>
      </c>
      <c r="C590" s="1">
        <v>44306</v>
      </c>
      <c r="D590" s="1">
        <v>44308</v>
      </c>
      <c r="E590">
        <v>1</v>
      </c>
      <c r="F590" t="s">
        <v>613</v>
      </c>
      <c r="G590" t="str">
        <f>"03-I14-02"</f>
        <v>03-I14-02</v>
      </c>
      <c r="H590">
        <v>1.1086</v>
      </c>
      <c r="J590" t="s">
        <v>14</v>
      </c>
      <c r="K590" t="str">
        <f t="shared" si="22"/>
        <v>3F1</v>
      </c>
      <c r="L590" t="s">
        <v>15</v>
      </c>
    </row>
    <row r="591" spans="1:12" x14ac:dyDescent="0.25">
      <c r="A591" t="str">
        <f>"0761176064"</f>
        <v>0761176064</v>
      </c>
      <c r="B591" t="str">
        <f t="shared" si="21"/>
        <v>89301000</v>
      </c>
      <c r="C591" s="1">
        <v>44441</v>
      </c>
      <c r="D591" s="1">
        <v>44443</v>
      </c>
      <c r="E591">
        <v>1</v>
      </c>
      <c r="F591" t="s">
        <v>624</v>
      </c>
      <c r="G591" t="str">
        <f>"10-K12-02"</f>
        <v>10-K12-02</v>
      </c>
      <c r="H591">
        <v>0.94830000000000003</v>
      </c>
      <c r="I591" t="s">
        <v>625</v>
      </c>
      <c r="J591" t="s">
        <v>14</v>
      </c>
      <c r="K591" t="str">
        <f t="shared" si="22"/>
        <v>3F1</v>
      </c>
      <c r="L591" t="s">
        <v>15</v>
      </c>
    </row>
    <row r="592" spans="1:12" x14ac:dyDescent="0.25">
      <c r="A592" t="str">
        <f>"0761176064"</f>
        <v>0761176064</v>
      </c>
      <c r="B592" t="str">
        <f t="shared" si="21"/>
        <v>89301000</v>
      </c>
      <c r="C592" s="1">
        <v>44239</v>
      </c>
      <c r="D592" s="1">
        <v>44277</v>
      </c>
      <c r="E592">
        <v>5</v>
      </c>
      <c r="F592" t="s">
        <v>625</v>
      </c>
      <c r="G592" t="str">
        <f>"04-M01-03"</f>
        <v>04-M01-03</v>
      </c>
      <c r="H592">
        <v>17.538900000000002</v>
      </c>
      <c r="I592" t="s">
        <v>626</v>
      </c>
      <c r="J592" t="s">
        <v>14</v>
      </c>
      <c r="K592" t="str">
        <f>"3T1"</f>
        <v>3T1</v>
      </c>
      <c r="L592" t="s">
        <v>15</v>
      </c>
    </row>
    <row r="593" spans="1:12" x14ac:dyDescent="0.25">
      <c r="A593" t="str">
        <f>"0761176064"</f>
        <v>0761176064</v>
      </c>
      <c r="B593" t="str">
        <f t="shared" si="21"/>
        <v>89301000</v>
      </c>
      <c r="C593" s="1">
        <v>44487</v>
      </c>
      <c r="D593" s="1">
        <v>44495</v>
      </c>
      <c r="E593">
        <v>6</v>
      </c>
      <c r="F593" t="s">
        <v>627</v>
      </c>
      <c r="G593" t="str">
        <f>"04-K08-02"</f>
        <v>04-K08-02</v>
      </c>
      <c r="H593">
        <v>2.6110000000000002</v>
      </c>
      <c r="I593" t="s">
        <v>628</v>
      </c>
      <c r="J593" t="s">
        <v>14</v>
      </c>
      <c r="K593" t="str">
        <f>"3T1"</f>
        <v>3T1</v>
      </c>
      <c r="L593" t="s">
        <v>15</v>
      </c>
    </row>
    <row r="594" spans="1:12" x14ac:dyDescent="0.25">
      <c r="A594" t="str">
        <f>"0761253229"</f>
        <v>0761253229</v>
      </c>
      <c r="B594" t="str">
        <f t="shared" si="21"/>
        <v>89301000</v>
      </c>
      <c r="C594" s="1">
        <v>44451</v>
      </c>
      <c r="D594" s="1">
        <v>44453</v>
      </c>
      <c r="E594">
        <v>1</v>
      </c>
      <c r="F594" t="s">
        <v>287</v>
      </c>
      <c r="G594" t="str">
        <f>"01-K16-06"</f>
        <v>01-K16-06</v>
      </c>
      <c r="H594">
        <v>0.26469999999999999</v>
      </c>
      <c r="I594" t="s">
        <v>629</v>
      </c>
      <c r="J594" t="s">
        <v>14</v>
      </c>
      <c r="K594" t="str">
        <f t="shared" ref="K594:K625" si="23">"3F1"</f>
        <v>3F1</v>
      </c>
      <c r="L594" t="s">
        <v>15</v>
      </c>
    </row>
    <row r="595" spans="1:12" x14ac:dyDescent="0.25">
      <c r="A595" t="str">
        <f>"0762086094"</f>
        <v>0762086094</v>
      </c>
      <c r="B595" t="str">
        <f t="shared" si="21"/>
        <v>89301000</v>
      </c>
      <c r="C595" s="1">
        <v>44556</v>
      </c>
      <c r="D595" s="1">
        <v>44558</v>
      </c>
      <c r="E595">
        <v>1</v>
      </c>
      <c r="F595" t="s">
        <v>457</v>
      </c>
      <c r="G595" t="str">
        <f>"08-I20-03"</f>
        <v>08-I20-03</v>
      </c>
      <c r="H595">
        <v>0.63300000000000001</v>
      </c>
      <c r="I595" t="s">
        <v>572</v>
      </c>
      <c r="J595" t="s">
        <v>17</v>
      </c>
      <c r="K595" t="str">
        <f t="shared" si="23"/>
        <v>3F1</v>
      </c>
      <c r="L595" t="s">
        <v>15</v>
      </c>
    </row>
    <row r="596" spans="1:12" x14ac:dyDescent="0.25">
      <c r="A596" t="str">
        <f>"0801105360"</f>
        <v>0801105360</v>
      </c>
      <c r="B596" t="str">
        <f t="shared" si="21"/>
        <v>89301000</v>
      </c>
      <c r="C596" s="1">
        <v>44320</v>
      </c>
      <c r="D596" s="1">
        <v>44330</v>
      </c>
      <c r="E596">
        <v>1</v>
      </c>
      <c r="F596" t="s">
        <v>630</v>
      </c>
      <c r="G596" t="str">
        <f>"88-I06-00"</f>
        <v>88-I06-00</v>
      </c>
      <c r="H596">
        <v>0.11459999999999999</v>
      </c>
      <c r="J596" t="s">
        <v>14</v>
      </c>
      <c r="K596" t="str">
        <f t="shared" si="23"/>
        <v>3F1</v>
      </c>
      <c r="L596" t="s">
        <v>15</v>
      </c>
    </row>
    <row r="597" spans="1:12" x14ac:dyDescent="0.25">
      <c r="A597" t="str">
        <f>"0801105360"</f>
        <v>0801105360</v>
      </c>
      <c r="B597" t="str">
        <f t="shared" si="21"/>
        <v>89301000</v>
      </c>
      <c r="C597" s="1">
        <v>44363</v>
      </c>
      <c r="D597" s="1">
        <v>44368</v>
      </c>
      <c r="E597">
        <v>1</v>
      </c>
      <c r="F597" t="s">
        <v>631</v>
      </c>
      <c r="G597" t="str">
        <f>"06-I18-04"</f>
        <v>06-I18-04</v>
      </c>
      <c r="H597">
        <v>1.1514</v>
      </c>
      <c r="I597" t="s">
        <v>632</v>
      </c>
      <c r="J597" t="s">
        <v>24</v>
      </c>
      <c r="K597" t="str">
        <f t="shared" si="23"/>
        <v>3F1</v>
      </c>
      <c r="L597" t="s">
        <v>15</v>
      </c>
    </row>
    <row r="598" spans="1:12" x14ac:dyDescent="0.25">
      <c r="A598" t="str">
        <f>"0801225337"</f>
        <v>0801225337</v>
      </c>
      <c r="B598" t="str">
        <f t="shared" si="21"/>
        <v>89301000</v>
      </c>
      <c r="C598" s="1">
        <v>44239</v>
      </c>
      <c r="D598" s="1">
        <v>44246</v>
      </c>
      <c r="E598">
        <v>1</v>
      </c>
      <c r="F598" t="s">
        <v>304</v>
      </c>
      <c r="G598" t="str">
        <f>"10-K03-02"</f>
        <v>10-K03-02</v>
      </c>
      <c r="H598">
        <v>1.3724000000000001</v>
      </c>
      <c r="J598" t="s">
        <v>14</v>
      </c>
      <c r="K598" t="str">
        <f t="shared" si="23"/>
        <v>3F1</v>
      </c>
      <c r="L598" t="s">
        <v>15</v>
      </c>
    </row>
    <row r="599" spans="1:12" x14ac:dyDescent="0.25">
      <c r="A599" t="str">
        <f>"0802163274"</f>
        <v>0802163274</v>
      </c>
      <c r="B599" t="str">
        <f t="shared" si="21"/>
        <v>89301000</v>
      </c>
      <c r="C599" s="1">
        <v>44427</v>
      </c>
      <c r="D599" s="1">
        <v>44428</v>
      </c>
      <c r="E599">
        <v>1</v>
      </c>
      <c r="F599" t="s">
        <v>467</v>
      </c>
      <c r="G599" t="str">
        <f>"06-K22-03"</f>
        <v>06-K22-03</v>
      </c>
      <c r="H599">
        <v>0.3165</v>
      </c>
      <c r="J599" t="s">
        <v>14</v>
      </c>
      <c r="K599" t="str">
        <f t="shared" si="23"/>
        <v>3F1</v>
      </c>
      <c r="L599" t="s">
        <v>15</v>
      </c>
    </row>
    <row r="600" spans="1:12" x14ac:dyDescent="0.25">
      <c r="A600" t="str">
        <f>"0803056078"</f>
        <v>0803056078</v>
      </c>
      <c r="B600" t="str">
        <f t="shared" si="21"/>
        <v>89301000</v>
      </c>
      <c r="C600" s="1">
        <v>44420</v>
      </c>
      <c r="D600" s="1">
        <v>44422</v>
      </c>
      <c r="E600">
        <v>1</v>
      </c>
      <c r="F600" t="s">
        <v>457</v>
      </c>
      <c r="G600" t="str">
        <f>"08-I20-03"</f>
        <v>08-I20-03</v>
      </c>
      <c r="H600">
        <v>0.6865</v>
      </c>
      <c r="I600" t="s">
        <v>633</v>
      </c>
      <c r="J600" t="s">
        <v>17</v>
      </c>
      <c r="K600" t="str">
        <f t="shared" si="23"/>
        <v>3F1</v>
      </c>
      <c r="L600" t="s">
        <v>15</v>
      </c>
    </row>
    <row r="601" spans="1:12" x14ac:dyDescent="0.25">
      <c r="A601" t="str">
        <f>"0803115269"</f>
        <v>0803115269</v>
      </c>
      <c r="B601" t="str">
        <f t="shared" si="21"/>
        <v>89301000</v>
      </c>
      <c r="C601" s="1">
        <v>44292</v>
      </c>
      <c r="D601" s="1">
        <v>44300</v>
      </c>
      <c r="E601">
        <v>1</v>
      </c>
      <c r="F601" t="s">
        <v>304</v>
      </c>
      <c r="G601" t="str">
        <f>"10-K03-02"</f>
        <v>10-K03-02</v>
      </c>
      <c r="H601">
        <v>1.3724000000000001</v>
      </c>
      <c r="I601" t="s">
        <v>634</v>
      </c>
      <c r="J601" t="s">
        <v>14</v>
      </c>
      <c r="K601" t="str">
        <f t="shared" si="23"/>
        <v>3F1</v>
      </c>
      <c r="L601" t="s">
        <v>15</v>
      </c>
    </row>
    <row r="602" spans="1:12" x14ac:dyDescent="0.25">
      <c r="A602" t="str">
        <f>"0803317977"</f>
        <v>0803317977</v>
      </c>
      <c r="B602" t="str">
        <f t="shared" si="21"/>
        <v>89301000</v>
      </c>
      <c r="C602" s="1">
        <v>44428</v>
      </c>
      <c r="D602" s="1">
        <v>44431</v>
      </c>
      <c r="E602">
        <v>1</v>
      </c>
      <c r="F602" t="s">
        <v>635</v>
      </c>
      <c r="G602" t="str">
        <f>"01-K16-06"</f>
        <v>01-K16-06</v>
      </c>
      <c r="H602">
        <v>0.26469999999999999</v>
      </c>
      <c r="I602" t="s">
        <v>636</v>
      </c>
      <c r="J602" t="s">
        <v>14</v>
      </c>
      <c r="K602" t="str">
        <f t="shared" si="23"/>
        <v>3F1</v>
      </c>
      <c r="L602" t="s">
        <v>15</v>
      </c>
    </row>
    <row r="603" spans="1:12" x14ac:dyDescent="0.25">
      <c r="A603" t="str">
        <f>"0804076086"</f>
        <v>0804076086</v>
      </c>
      <c r="B603" t="str">
        <f t="shared" si="21"/>
        <v>89301000</v>
      </c>
      <c r="C603" s="1">
        <v>44264</v>
      </c>
      <c r="D603" s="1">
        <v>44266</v>
      </c>
      <c r="E603">
        <v>1</v>
      </c>
      <c r="F603" t="s">
        <v>173</v>
      </c>
      <c r="G603" t="str">
        <f>"08-I32-02"</f>
        <v>08-I32-02</v>
      </c>
      <c r="H603">
        <v>0.4143</v>
      </c>
      <c r="J603" t="s">
        <v>14</v>
      </c>
      <c r="K603" t="str">
        <f t="shared" si="23"/>
        <v>3F1</v>
      </c>
      <c r="L603" t="s">
        <v>15</v>
      </c>
    </row>
    <row r="604" spans="1:12" x14ac:dyDescent="0.25">
      <c r="A604" t="str">
        <f>"0804213256"</f>
        <v>0804213256</v>
      </c>
      <c r="B604" t="str">
        <f t="shared" si="21"/>
        <v>89301000</v>
      </c>
      <c r="C604" s="1">
        <v>44342</v>
      </c>
      <c r="D604" s="1">
        <v>44344</v>
      </c>
      <c r="E604">
        <v>1</v>
      </c>
      <c r="F604" t="s">
        <v>174</v>
      </c>
      <c r="G604" t="str">
        <f>"12-I14-00"</f>
        <v>12-I14-00</v>
      </c>
      <c r="H604">
        <v>0.44350000000000001</v>
      </c>
      <c r="J604" t="s">
        <v>14</v>
      </c>
      <c r="K604" t="str">
        <f t="shared" si="23"/>
        <v>3F1</v>
      </c>
      <c r="L604" t="s">
        <v>15</v>
      </c>
    </row>
    <row r="605" spans="1:12" x14ac:dyDescent="0.25">
      <c r="A605" t="str">
        <f>"0804303544"</f>
        <v>0804303544</v>
      </c>
      <c r="B605" t="str">
        <f t="shared" si="21"/>
        <v>89301000</v>
      </c>
      <c r="C605" s="1">
        <v>44549</v>
      </c>
      <c r="D605" s="1">
        <v>44558</v>
      </c>
      <c r="E605">
        <v>1</v>
      </c>
      <c r="F605" t="s">
        <v>637</v>
      </c>
      <c r="G605" t="str">
        <f>"17-I10-02"</f>
        <v>17-I10-02</v>
      </c>
      <c r="H605">
        <v>0.95750000000000002</v>
      </c>
      <c r="I605" t="s">
        <v>638</v>
      </c>
      <c r="J605" t="s">
        <v>14</v>
      </c>
      <c r="K605" t="str">
        <f t="shared" si="23"/>
        <v>3F1</v>
      </c>
      <c r="L605" t="s">
        <v>15</v>
      </c>
    </row>
    <row r="606" spans="1:12" x14ac:dyDescent="0.25">
      <c r="A606" t="str">
        <f>"0805106071"</f>
        <v>0805106071</v>
      </c>
      <c r="B606" t="str">
        <f t="shared" si="21"/>
        <v>89301000</v>
      </c>
      <c r="C606" s="1">
        <v>44388</v>
      </c>
      <c r="D606" s="1">
        <v>44389</v>
      </c>
      <c r="E606">
        <v>1</v>
      </c>
      <c r="F606" t="s">
        <v>639</v>
      </c>
      <c r="G606" t="str">
        <f>"08-I20-03"</f>
        <v>08-I20-03</v>
      </c>
      <c r="H606">
        <v>0.63300000000000001</v>
      </c>
      <c r="I606" t="s">
        <v>640</v>
      </c>
      <c r="J606" t="s">
        <v>17</v>
      </c>
      <c r="K606" t="str">
        <f t="shared" si="23"/>
        <v>3F1</v>
      </c>
      <c r="L606" t="s">
        <v>15</v>
      </c>
    </row>
    <row r="607" spans="1:12" x14ac:dyDescent="0.25">
      <c r="A607" t="str">
        <f>"0807123262"</f>
        <v>0807123262</v>
      </c>
      <c r="B607" t="str">
        <f t="shared" si="21"/>
        <v>89301000</v>
      </c>
      <c r="C607" s="1">
        <v>44313</v>
      </c>
      <c r="D607" s="1">
        <v>44316</v>
      </c>
      <c r="E607">
        <v>1</v>
      </c>
      <c r="F607" t="s">
        <v>641</v>
      </c>
      <c r="G607" t="str">
        <f>"08-I23-02"</f>
        <v>08-I23-02</v>
      </c>
      <c r="H607">
        <v>0.93840000000000001</v>
      </c>
      <c r="J607" t="s">
        <v>17</v>
      </c>
      <c r="K607" t="str">
        <f t="shared" si="23"/>
        <v>3F1</v>
      </c>
      <c r="L607" t="s">
        <v>15</v>
      </c>
    </row>
    <row r="608" spans="1:12" x14ac:dyDescent="0.25">
      <c r="A608" t="str">
        <f>"0807143282"</f>
        <v>0807143282</v>
      </c>
      <c r="B608" t="str">
        <f t="shared" si="21"/>
        <v>89301000</v>
      </c>
      <c r="C608" s="1">
        <v>44439</v>
      </c>
      <c r="D608" s="1">
        <v>44442</v>
      </c>
      <c r="E608">
        <v>1</v>
      </c>
      <c r="F608" t="s">
        <v>403</v>
      </c>
      <c r="G608" t="str">
        <f>"02-K01-02"</f>
        <v>02-K01-02</v>
      </c>
      <c r="H608">
        <v>0.77749999999999997</v>
      </c>
      <c r="J608" t="s">
        <v>14</v>
      </c>
      <c r="K608" t="str">
        <f t="shared" si="23"/>
        <v>3F1</v>
      </c>
      <c r="L608" t="s">
        <v>15</v>
      </c>
    </row>
    <row r="609" spans="1:12" x14ac:dyDescent="0.25">
      <c r="A609" t="str">
        <f>"0807143282"</f>
        <v>0807143282</v>
      </c>
      <c r="B609" t="str">
        <f t="shared" si="21"/>
        <v>89301000</v>
      </c>
      <c r="C609" s="1">
        <v>44313</v>
      </c>
      <c r="D609" s="1">
        <v>44315</v>
      </c>
      <c r="E609">
        <v>1</v>
      </c>
      <c r="F609" t="s">
        <v>318</v>
      </c>
      <c r="G609" t="str">
        <f>"08-I25-02"</f>
        <v>08-I25-02</v>
      </c>
      <c r="H609">
        <v>0.5746</v>
      </c>
      <c r="J609" t="s">
        <v>14</v>
      </c>
      <c r="K609" t="str">
        <f t="shared" si="23"/>
        <v>3F1</v>
      </c>
      <c r="L609" t="s">
        <v>15</v>
      </c>
    </row>
    <row r="610" spans="1:12" x14ac:dyDescent="0.25">
      <c r="A610" t="str">
        <f>"0808243238"</f>
        <v>0808243238</v>
      </c>
      <c r="B610" t="str">
        <f t="shared" si="21"/>
        <v>89301000</v>
      </c>
      <c r="C610" s="1">
        <v>44458</v>
      </c>
      <c r="D610" s="1">
        <v>44461</v>
      </c>
      <c r="E610">
        <v>1</v>
      </c>
      <c r="F610" t="s">
        <v>642</v>
      </c>
      <c r="G610" t="str">
        <f>"03-I16-02"</f>
        <v>03-I16-02</v>
      </c>
      <c r="H610">
        <v>0.89539999999999997</v>
      </c>
      <c r="J610" t="s">
        <v>24</v>
      </c>
      <c r="K610" t="str">
        <f t="shared" si="23"/>
        <v>3F1</v>
      </c>
      <c r="L610" t="s">
        <v>15</v>
      </c>
    </row>
    <row r="611" spans="1:12" x14ac:dyDescent="0.25">
      <c r="A611" t="str">
        <f>"0808243271"</f>
        <v>0808243271</v>
      </c>
      <c r="B611" t="str">
        <f t="shared" si="21"/>
        <v>89301000</v>
      </c>
      <c r="C611" s="1">
        <v>44242</v>
      </c>
      <c r="D611" s="1">
        <v>44243</v>
      </c>
      <c r="E611">
        <v>1</v>
      </c>
      <c r="F611" t="s">
        <v>643</v>
      </c>
      <c r="G611" t="str">
        <f>"99-K01-00"</f>
        <v>99-K01-00</v>
      </c>
      <c r="H611">
        <v>0.11459999999999999</v>
      </c>
      <c r="I611" t="s">
        <v>174</v>
      </c>
      <c r="J611" t="s">
        <v>14</v>
      </c>
      <c r="K611" t="str">
        <f t="shared" si="23"/>
        <v>3F1</v>
      </c>
      <c r="L611" t="s">
        <v>15</v>
      </c>
    </row>
    <row r="612" spans="1:12" x14ac:dyDescent="0.25">
      <c r="A612" t="str">
        <f>"0808243271"</f>
        <v>0808243271</v>
      </c>
      <c r="B612" t="str">
        <f t="shared" si="21"/>
        <v>89301000</v>
      </c>
      <c r="C612" s="1">
        <v>44370</v>
      </c>
      <c r="D612" s="1">
        <v>44372</v>
      </c>
      <c r="E612">
        <v>1</v>
      </c>
      <c r="F612" t="s">
        <v>174</v>
      </c>
      <c r="G612" t="str">
        <f>"12-I14-00"</f>
        <v>12-I14-00</v>
      </c>
      <c r="H612">
        <v>0.44350000000000001</v>
      </c>
      <c r="J612" t="s">
        <v>14</v>
      </c>
      <c r="K612" t="str">
        <f t="shared" si="23"/>
        <v>3F1</v>
      </c>
      <c r="L612" t="s">
        <v>15</v>
      </c>
    </row>
    <row r="613" spans="1:12" x14ac:dyDescent="0.25">
      <c r="A613" t="str">
        <f>"0809043224"</f>
        <v>0809043224</v>
      </c>
      <c r="B613" t="str">
        <f t="shared" si="21"/>
        <v>89301000</v>
      </c>
      <c r="C613" s="1">
        <v>44464</v>
      </c>
      <c r="D613" s="1">
        <v>44466</v>
      </c>
      <c r="E613">
        <v>1</v>
      </c>
      <c r="F613" t="s">
        <v>287</v>
      </c>
      <c r="G613" t="str">
        <f>"01-K16-06"</f>
        <v>01-K16-06</v>
      </c>
      <c r="H613">
        <v>0.26469999999999999</v>
      </c>
      <c r="I613" t="s">
        <v>458</v>
      </c>
      <c r="J613" t="s">
        <v>14</v>
      </c>
      <c r="K613" t="str">
        <f t="shared" si="23"/>
        <v>3F1</v>
      </c>
      <c r="L613" t="s">
        <v>15</v>
      </c>
    </row>
    <row r="614" spans="1:12" x14ac:dyDescent="0.25">
      <c r="A614" t="str">
        <f>"0809306069"</f>
        <v>0809306069</v>
      </c>
      <c r="B614" t="str">
        <f t="shared" si="21"/>
        <v>89301000</v>
      </c>
      <c r="C614" s="1">
        <v>44368</v>
      </c>
      <c r="D614" s="1">
        <v>44372</v>
      </c>
      <c r="E614">
        <v>1</v>
      </c>
      <c r="F614" t="s">
        <v>43</v>
      </c>
      <c r="G614" t="str">
        <f>"06-I18-04"</f>
        <v>06-I18-04</v>
      </c>
      <c r="H614">
        <v>1.1514</v>
      </c>
      <c r="J614" t="s">
        <v>24</v>
      </c>
      <c r="K614" t="str">
        <f t="shared" si="23"/>
        <v>3F1</v>
      </c>
      <c r="L614" t="s">
        <v>15</v>
      </c>
    </row>
    <row r="615" spans="1:12" x14ac:dyDescent="0.25">
      <c r="A615" t="str">
        <f>"0810253257"</f>
        <v>0810253257</v>
      </c>
      <c r="B615" t="str">
        <f t="shared" si="21"/>
        <v>89301000</v>
      </c>
      <c r="C615" s="1">
        <v>44347</v>
      </c>
      <c r="D615" s="1">
        <v>44349</v>
      </c>
      <c r="E615">
        <v>1</v>
      </c>
      <c r="F615" t="s">
        <v>644</v>
      </c>
      <c r="G615" t="str">
        <f>"12-I10-02"</f>
        <v>12-I10-02</v>
      </c>
      <c r="H615">
        <v>0.57379999999999998</v>
      </c>
      <c r="I615" t="s">
        <v>645</v>
      </c>
      <c r="J615" t="s">
        <v>24</v>
      </c>
      <c r="K615" t="str">
        <f t="shared" si="23"/>
        <v>3F1</v>
      </c>
      <c r="L615" t="s">
        <v>15</v>
      </c>
    </row>
    <row r="616" spans="1:12" x14ac:dyDescent="0.25">
      <c r="A616" t="str">
        <f>"0810317244"</f>
        <v>0810317244</v>
      </c>
      <c r="B616" t="str">
        <f t="shared" si="21"/>
        <v>89301000</v>
      </c>
      <c r="C616" s="1">
        <v>44352</v>
      </c>
      <c r="D616" s="1">
        <v>44355</v>
      </c>
      <c r="E616">
        <v>1</v>
      </c>
      <c r="F616" t="s">
        <v>646</v>
      </c>
      <c r="G616" t="str">
        <f>"06-K17-02"</f>
        <v>06-K17-02</v>
      </c>
      <c r="H616">
        <v>0.29680000000000001</v>
      </c>
      <c r="I616" t="s">
        <v>647</v>
      </c>
      <c r="J616" t="s">
        <v>14</v>
      </c>
      <c r="K616" t="str">
        <f t="shared" si="23"/>
        <v>3F1</v>
      </c>
      <c r="L616" t="s">
        <v>15</v>
      </c>
    </row>
    <row r="617" spans="1:12" x14ac:dyDescent="0.25">
      <c r="A617" t="str">
        <f>"0811033267"</f>
        <v>0811033267</v>
      </c>
      <c r="B617" t="str">
        <f t="shared" si="21"/>
        <v>89301000</v>
      </c>
      <c r="C617" s="1">
        <v>44386</v>
      </c>
      <c r="D617" s="1">
        <v>44390</v>
      </c>
      <c r="E617">
        <v>1</v>
      </c>
      <c r="F617" t="s">
        <v>43</v>
      </c>
      <c r="G617" t="str">
        <f>"06-I18-04"</f>
        <v>06-I18-04</v>
      </c>
      <c r="H617">
        <v>1.1514</v>
      </c>
      <c r="J617" t="s">
        <v>24</v>
      </c>
      <c r="K617" t="str">
        <f t="shared" si="23"/>
        <v>3F1</v>
      </c>
      <c r="L617" t="s">
        <v>15</v>
      </c>
    </row>
    <row r="618" spans="1:12" x14ac:dyDescent="0.25">
      <c r="A618" t="str">
        <f>"0812023245"</f>
        <v>0812023245</v>
      </c>
      <c r="B618" t="str">
        <f t="shared" si="21"/>
        <v>89301000</v>
      </c>
      <c r="C618" s="1">
        <v>44298</v>
      </c>
      <c r="D618" s="1">
        <v>44307</v>
      </c>
      <c r="E618">
        <v>1</v>
      </c>
      <c r="F618" t="s">
        <v>535</v>
      </c>
      <c r="G618" t="str">
        <f>"16-K06-01"</f>
        <v>16-K06-01</v>
      </c>
      <c r="H618">
        <v>1.6866000000000001</v>
      </c>
      <c r="I618" t="s">
        <v>536</v>
      </c>
      <c r="J618" t="s">
        <v>14</v>
      </c>
      <c r="K618" t="str">
        <f t="shared" si="23"/>
        <v>3F1</v>
      </c>
      <c r="L618" t="s">
        <v>15</v>
      </c>
    </row>
    <row r="619" spans="1:12" x14ac:dyDescent="0.25">
      <c r="A619" t="str">
        <f>"0812055277"</f>
        <v>0812055277</v>
      </c>
      <c r="B619" t="str">
        <f t="shared" si="21"/>
        <v>89301000</v>
      </c>
      <c r="C619" s="1">
        <v>44426</v>
      </c>
      <c r="D619" s="1">
        <v>44428</v>
      </c>
      <c r="E619">
        <v>1</v>
      </c>
      <c r="F619" t="s">
        <v>632</v>
      </c>
      <c r="G619" t="str">
        <f>"06-I17-05"</f>
        <v>06-I17-05</v>
      </c>
      <c r="H619">
        <v>0.39450000000000002</v>
      </c>
      <c r="I619" t="s">
        <v>648</v>
      </c>
      <c r="J619" t="s">
        <v>17</v>
      </c>
      <c r="K619" t="str">
        <f t="shared" si="23"/>
        <v>3F1</v>
      </c>
      <c r="L619" t="s">
        <v>15</v>
      </c>
    </row>
    <row r="620" spans="1:12" x14ac:dyDescent="0.25">
      <c r="A620" t="str">
        <f>"0812093227"</f>
        <v>0812093227</v>
      </c>
      <c r="B620" t="str">
        <f t="shared" si="21"/>
        <v>89301000</v>
      </c>
      <c r="C620" s="1">
        <v>44212</v>
      </c>
      <c r="D620" s="1">
        <v>44216</v>
      </c>
      <c r="E620">
        <v>1</v>
      </c>
      <c r="F620" t="s">
        <v>43</v>
      </c>
      <c r="G620" t="str">
        <f>"06-I18-04"</f>
        <v>06-I18-04</v>
      </c>
      <c r="H620">
        <v>1.1514</v>
      </c>
      <c r="I620" t="s">
        <v>168</v>
      </c>
      <c r="J620" t="s">
        <v>24</v>
      </c>
      <c r="K620" t="str">
        <f t="shared" si="23"/>
        <v>3F1</v>
      </c>
      <c r="L620" t="s">
        <v>15</v>
      </c>
    </row>
    <row r="621" spans="1:12" x14ac:dyDescent="0.25">
      <c r="A621" t="str">
        <f>"0812133267"</f>
        <v>0812133267</v>
      </c>
      <c r="B621" t="str">
        <f t="shared" si="21"/>
        <v>89301000</v>
      </c>
      <c r="C621" s="1">
        <v>44384</v>
      </c>
      <c r="D621" s="1">
        <v>44389</v>
      </c>
      <c r="E621">
        <v>1</v>
      </c>
      <c r="F621" t="s">
        <v>649</v>
      </c>
      <c r="G621" t="str">
        <f>"18-K02-05"</f>
        <v>18-K02-05</v>
      </c>
      <c r="H621">
        <v>0.49220000000000003</v>
      </c>
      <c r="I621" t="s">
        <v>168</v>
      </c>
      <c r="J621" t="s">
        <v>14</v>
      </c>
      <c r="K621" t="str">
        <f t="shared" si="23"/>
        <v>3F1</v>
      </c>
      <c r="L621" t="s">
        <v>15</v>
      </c>
    </row>
    <row r="622" spans="1:12" x14ac:dyDescent="0.25">
      <c r="A622" t="str">
        <f>"0851011381"</f>
        <v>0851011381</v>
      </c>
      <c r="B622" t="str">
        <f t="shared" si="21"/>
        <v>89301000</v>
      </c>
      <c r="C622" s="1">
        <v>44241</v>
      </c>
      <c r="D622" s="1">
        <v>44243</v>
      </c>
      <c r="E622">
        <v>1</v>
      </c>
      <c r="F622" t="s">
        <v>621</v>
      </c>
      <c r="G622" t="str">
        <f>"02-I12-02"</f>
        <v>02-I12-02</v>
      </c>
      <c r="H622">
        <v>0.97040000000000004</v>
      </c>
      <c r="J622" t="s">
        <v>14</v>
      </c>
      <c r="K622" t="str">
        <f t="shared" si="23"/>
        <v>3F1</v>
      </c>
      <c r="L622" t="s">
        <v>15</v>
      </c>
    </row>
    <row r="623" spans="1:12" x14ac:dyDescent="0.25">
      <c r="A623" t="str">
        <f>"0852087434"</f>
        <v>0852087434</v>
      </c>
      <c r="B623" t="str">
        <f t="shared" si="21"/>
        <v>89301000</v>
      </c>
      <c r="C623" s="1">
        <v>44481</v>
      </c>
      <c r="D623" s="1">
        <v>44484</v>
      </c>
      <c r="E623">
        <v>1</v>
      </c>
      <c r="F623" t="s">
        <v>525</v>
      </c>
      <c r="G623" t="str">
        <f>"08-I26-03"</f>
        <v>08-I26-03</v>
      </c>
      <c r="H623">
        <v>0.73050000000000004</v>
      </c>
      <c r="I623" t="s">
        <v>650</v>
      </c>
      <c r="J623" t="s">
        <v>14</v>
      </c>
      <c r="K623" t="str">
        <f t="shared" si="23"/>
        <v>3F1</v>
      </c>
      <c r="L623" t="s">
        <v>15</v>
      </c>
    </row>
    <row r="624" spans="1:12" x14ac:dyDescent="0.25">
      <c r="A624" t="str">
        <f>"0852093253"</f>
        <v>0852093253</v>
      </c>
      <c r="B624" t="str">
        <f t="shared" si="21"/>
        <v>89301000</v>
      </c>
      <c r="C624" s="1">
        <v>44460</v>
      </c>
      <c r="D624" s="1">
        <v>44463</v>
      </c>
      <c r="E624">
        <v>1</v>
      </c>
      <c r="F624" t="s">
        <v>651</v>
      </c>
      <c r="G624" t="str">
        <f>"10-K04-03"</f>
        <v>10-K04-03</v>
      </c>
      <c r="H624">
        <v>0.7984</v>
      </c>
      <c r="J624" t="s">
        <v>14</v>
      </c>
      <c r="K624" t="str">
        <f t="shared" si="23"/>
        <v>3F1</v>
      </c>
      <c r="L624" t="s">
        <v>15</v>
      </c>
    </row>
    <row r="625" spans="1:12" x14ac:dyDescent="0.25">
      <c r="A625" t="str">
        <f>"0852235263"</f>
        <v>0852235263</v>
      </c>
      <c r="B625" t="str">
        <f t="shared" si="21"/>
        <v>89301000</v>
      </c>
      <c r="C625" s="1">
        <v>44543</v>
      </c>
      <c r="D625" s="1">
        <v>44545</v>
      </c>
      <c r="E625">
        <v>1</v>
      </c>
      <c r="F625" t="s">
        <v>652</v>
      </c>
      <c r="G625" t="str">
        <f>"03-K08-00"</f>
        <v>03-K08-00</v>
      </c>
      <c r="H625">
        <v>0.42749999999999999</v>
      </c>
      <c r="J625" t="s">
        <v>14</v>
      </c>
      <c r="K625" t="str">
        <f t="shared" si="23"/>
        <v>3F1</v>
      </c>
      <c r="L625" t="s">
        <v>15</v>
      </c>
    </row>
    <row r="626" spans="1:12" x14ac:dyDescent="0.25">
      <c r="A626" t="str">
        <f>"0853107090"</f>
        <v>0853107090</v>
      </c>
      <c r="B626" t="str">
        <f t="shared" si="21"/>
        <v>89301000</v>
      </c>
      <c r="C626" s="1">
        <v>44285</v>
      </c>
      <c r="D626" s="1">
        <v>44287</v>
      </c>
      <c r="E626">
        <v>1</v>
      </c>
      <c r="F626" t="s">
        <v>318</v>
      </c>
      <c r="G626" t="str">
        <f>"08-I23-02"</f>
        <v>08-I23-02</v>
      </c>
      <c r="H626">
        <v>0.93840000000000001</v>
      </c>
      <c r="J626" t="s">
        <v>17</v>
      </c>
      <c r="K626" t="str">
        <f t="shared" ref="K626:K642" si="24">"3F1"</f>
        <v>3F1</v>
      </c>
      <c r="L626" t="s">
        <v>15</v>
      </c>
    </row>
    <row r="627" spans="1:12" x14ac:dyDescent="0.25">
      <c r="A627" t="str">
        <f>"0853176093"</f>
        <v>0853176093</v>
      </c>
      <c r="B627" t="str">
        <f t="shared" si="21"/>
        <v>89301000</v>
      </c>
      <c r="C627" s="1">
        <v>44426</v>
      </c>
      <c r="D627" s="1">
        <v>44431</v>
      </c>
      <c r="E627">
        <v>1</v>
      </c>
      <c r="F627" t="s">
        <v>653</v>
      </c>
      <c r="G627" t="str">
        <f>"13-I14-03"</f>
        <v>13-I14-03</v>
      </c>
      <c r="H627">
        <v>0.83199999999999996</v>
      </c>
      <c r="I627" t="s">
        <v>654</v>
      </c>
      <c r="J627" t="s">
        <v>24</v>
      </c>
      <c r="K627" t="str">
        <f t="shared" si="24"/>
        <v>3F1</v>
      </c>
      <c r="L627" t="s">
        <v>15</v>
      </c>
    </row>
    <row r="628" spans="1:12" x14ac:dyDescent="0.25">
      <c r="A628" t="str">
        <f>"0853206090"</f>
        <v>0853206090</v>
      </c>
      <c r="B628" t="str">
        <f t="shared" si="21"/>
        <v>89301000</v>
      </c>
      <c r="C628" s="1">
        <v>44308</v>
      </c>
      <c r="D628" s="1">
        <v>44312</v>
      </c>
      <c r="E628">
        <v>1</v>
      </c>
      <c r="F628" t="s">
        <v>655</v>
      </c>
      <c r="G628" t="str">
        <f>"02-K11-02"</f>
        <v>02-K11-02</v>
      </c>
      <c r="H628">
        <v>0.52180000000000004</v>
      </c>
      <c r="J628" t="s">
        <v>14</v>
      </c>
      <c r="K628" t="str">
        <f t="shared" si="24"/>
        <v>3F1</v>
      </c>
      <c r="L628" t="s">
        <v>15</v>
      </c>
    </row>
    <row r="629" spans="1:12" x14ac:dyDescent="0.25">
      <c r="A629" t="str">
        <f>"0853216078"</f>
        <v>0853216078</v>
      </c>
      <c r="B629" t="str">
        <f t="shared" si="21"/>
        <v>89301000</v>
      </c>
      <c r="C629" s="1">
        <v>44315</v>
      </c>
      <c r="D629" s="1">
        <v>44320</v>
      </c>
      <c r="E629">
        <v>1</v>
      </c>
      <c r="F629" t="s">
        <v>414</v>
      </c>
      <c r="G629" t="str">
        <f>"19-K02-03"</f>
        <v>19-K02-03</v>
      </c>
      <c r="H629">
        <v>0.67269999999999996</v>
      </c>
      <c r="J629" t="s">
        <v>27</v>
      </c>
      <c r="K629" t="str">
        <f t="shared" si="24"/>
        <v>3F1</v>
      </c>
      <c r="L629" t="s">
        <v>15</v>
      </c>
    </row>
    <row r="630" spans="1:12" x14ac:dyDescent="0.25">
      <c r="A630" t="str">
        <f>"0854186190"</f>
        <v>0854186190</v>
      </c>
      <c r="B630" t="str">
        <f t="shared" si="21"/>
        <v>89301000</v>
      </c>
      <c r="C630" s="1">
        <v>44529</v>
      </c>
      <c r="D630" s="1">
        <v>44532</v>
      </c>
      <c r="E630">
        <v>1</v>
      </c>
      <c r="F630" t="s">
        <v>351</v>
      </c>
      <c r="G630" t="str">
        <f>"10-M01-00"</f>
        <v>10-M01-00</v>
      </c>
      <c r="H630">
        <v>0.56330000000000002</v>
      </c>
      <c r="I630" t="s">
        <v>656</v>
      </c>
      <c r="J630" t="s">
        <v>14</v>
      </c>
      <c r="K630" t="str">
        <f t="shared" si="24"/>
        <v>3F1</v>
      </c>
      <c r="L630" t="s">
        <v>15</v>
      </c>
    </row>
    <row r="631" spans="1:12" x14ac:dyDescent="0.25">
      <c r="A631" t="str">
        <f>"0854276071"</f>
        <v>0854276071</v>
      </c>
      <c r="B631" t="str">
        <f t="shared" si="21"/>
        <v>89301000</v>
      </c>
      <c r="C631" s="1">
        <v>44389</v>
      </c>
      <c r="D631" s="1">
        <v>44397</v>
      </c>
      <c r="E631">
        <v>1</v>
      </c>
      <c r="F631" t="s">
        <v>264</v>
      </c>
      <c r="G631" t="str">
        <f>"01-K12-01"</f>
        <v>01-K12-01</v>
      </c>
      <c r="H631">
        <v>0.71289999999999998</v>
      </c>
      <c r="I631" t="s">
        <v>168</v>
      </c>
      <c r="J631" t="s">
        <v>14</v>
      </c>
      <c r="K631" t="str">
        <f t="shared" si="24"/>
        <v>3F1</v>
      </c>
      <c r="L631" t="s">
        <v>15</v>
      </c>
    </row>
    <row r="632" spans="1:12" x14ac:dyDescent="0.25">
      <c r="A632" t="str">
        <f>"0855126063"</f>
        <v>0855126063</v>
      </c>
      <c r="B632" t="str">
        <f t="shared" si="21"/>
        <v>89301000</v>
      </c>
      <c r="C632" s="1">
        <v>44434</v>
      </c>
      <c r="D632" s="1">
        <v>44436</v>
      </c>
      <c r="E632">
        <v>1</v>
      </c>
      <c r="F632" t="s">
        <v>173</v>
      </c>
      <c r="G632" t="str">
        <f>"08-I32-02"</f>
        <v>08-I32-02</v>
      </c>
      <c r="H632">
        <v>0.4143</v>
      </c>
      <c r="J632" t="s">
        <v>14</v>
      </c>
      <c r="K632" t="str">
        <f t="shared" si="24"/>
        <v>3F1</v>
      </c>
      <c r="L632" t="s">
        <v>15</v>
      </c>
    </row>
    <row r="633" spans="1:12" x14ac:dyDescent="0.25">
      <c r="A633" t="str">
        <f>"0855126063"</f>
        <v>0855126063</v>
      </c>
      <c r="B633" t="str">
        <f t="shared" si="21"/>
        <v>89301000</v>
      </c>
      <c r="C633" s="1">
        <v>44264</v>
      </c>
      <c r="D633" s="1">
        <v>44270</v>
      </c>
      <c r="E633">
        <v>1</v>
      </c>
      <c r="F633" t="s">
        <v>657</v>
      </c>
      <c r="G633" t="str">
        <f>"08-I20-01"</f>
        <v>08-I20-01</v>
      </c>
      <c r="H633">
        <v>2.2854999999999999</v>
      </c>
      <c r="I633" t="s">
        <v>658</v>
      </c>
      <c r="J633" t="s">
        <v>17</v>
      </c>
      <c r="K633" t="str">
        <f t="shared" si="24"/>
        <v>3F1</v>
      </c>
      <c r="L633" t="s">
        <v>15</v>
      </c>
    </row>
    <row r="634" spans="1:12" x14ac:dyDescent="0.25">
      <c r="A634" t="str">
        <f>"0856196077"</f>
        <v>0856196077</v>
      </c>
      <c r="B634" t="str">
        <f t="shared" si="21"/>
        <v>89301000</v>
      </c>
      <c r="C634" s="1">
        <v>44501</v>
      </c>
      <c r="D634" s="1">
        <v>44504</v>
      </c>
      <c r="E634">
        <v>1</v>
      </c>
      <c r="F634" t="s">
        <v>351</v>
      </c>
      <c r="G634" t="str">
        <f>"10-K04-03"</f>
        <v>10-K04-03</v>
      </c>
      <c r="H634">
        <v>0.7984</v>
      </c>
      <c r="J634" t="s">
        <v>14</v>
      </c>
      <c r="K634" t="str">
        <f t="shared" si="24"/>
        <v>3F1</v>
      </c>
      <c r="L634" t="s">
        <v>15</v>
      </c>
    </row>
    <row r="635" spans="1:12" x14ac:dyDescent="0.25">
      <c r="A635" t="str">
        <f>"0856253244"</f>
        <v>0856253244</v>
      </c>
      <c r="B635" t="str">
        <f t="shared" si="21"/>
        <v>89301000</v>
      </c>
      <c r="C635" s="1">
        <v>44227</v>
      </c>
      <c r="D635" s="1">
        <v>44229</v>
      </c>
      <c r="E635">
        <v>1</v>
      </c>
      <c r="F635" t="s">
        <v>326</v>
      </c>
      <c r="G635" t="str">
        <f>"02-I11-01"</f>
        <v>02-I11-01</v>
      </c>
      <c r="H635">
        <v>0.87619999999999998</v>
      </c>
      <c r="J635" t="s">
        <v>17</v>
      </c>
      <c r="K635" t="str">
        <f t="shared" si="24"/>
        <v>3F1</v>
      </c>
      <c r="L635" t="s">
        <v>15</v>
      </c>
    </row>
    <row r="636" spans="1:12" x14ac:dyDescent="0.25">
      <c r="A636" t="str">
        <f>"0857113235"</f>
        <v>0857113235</v>
      </c>
      <c r="B636" t="str">
        <f t="shared" si="21"/>
        <v>89301000</v>
      </c>
      <c r="C636" s="1">
        <v>44208</v>
      </c>
      <c r="D636" s="1">
        <v>44210</v>
      </c>
      <c r="E636">
        <v>1</v>
      </c>
      <c r="F636" t="s">
        <v>659</v>
      </c>
      <c r="G636" t="str">
        <f>"04-K03-03"</f>
        <v>04-K03-03</v>
      </c>
      <c r="H636">
        <v>0.53180000000000005</v>
      </c>
      <c r="J636" t="s">
        <v>14</v>
      </c>
      <c r="K636" t="str">
        <f t="shared" si="24"/>
        <v>3F1</v>
      </c>
      <c r="L636" t="s">
        <v>15</v>
      </c>
    </row>
    <row r="637" spans="1:12" x14ac:dyDescent="0.25">
      <c r="A637" t="str">
        <f>"0857148028"</f>
        <v>0857148028</v>
      </c>
      <c r="B637" t="str">
        <f t="shared" ref="B637:B700" si="25">"89301000"</f>
        <v>89301000</v>
      </c>
      <c r="C637" s="1">
        <v>44376</v>
      </c>
      <c r="D637" s="1">
        <v>44378</v>
      </c>
      <c r="E637">
        <v>1</v>
      </c>
      <c r="F637" t="s">
        <v>460</v>
      </c>
      <c r="G637" t="str">
        <f>"03-K08-00"</f>
        <v>03-K08-00</v>
      </c>
      <c r="H637">
        <v>0.42749999999999999</v>
      </c>
      <c r="J637" t="s">
        <v>14</v>
      </c>
      <c r="K637" t="str">
        <f t="shared" si="24"/>
        <v>3F1</v>
      </c>
      <c r="L637" t="s">
        <v>15</v>
      </c>
    </row>
    <row r="638" spans="1:12" x14ac:dyDescent="0.25">
      <c r="A638" t="str">
        <f>"0857163241"</f>
        <v>0857163241</v>
      </c>
      <c r="B638" t="str">
        <f t="shared" si="25"/>
        <v>89301000</v>
      </c>
      <c r="C638" s="1">
        <v>44340</v>
      </c>
      <c r="D638" s="1">
        <v>44342</v>
      </c>
      <c r="E638">
        <v>6</v>
      </c>
      <c r="F638" t="s">
        <v>660</v>
      </c>
      <c r="G638" t="str">
        <f>"01-K03-07"</f>
        <v>01-K03-07</v>
      </c>
      <c r="H638">
        <v>0.60250000000000004</v>
      </c>
      <c r="J638" t="s">
        <v>14</v>
      </c>
      <c r="K638" t="str">
        <f t="shared" si="24"/>
        <v>3F1</v>
      </c>
      <c r="L638" t="s">
        <v>15</v>
      </c>
    </row>
    <row r="639" spans="1:12" x14ac:dyDescent="0.25">
      <c r="A639" t="str">
        <f>"0857263231"</f>
        <v>0857263231</v>
      </c>
      <c r="B639" t="str">
        <f t="shared" si="25"/>
        <v>89301000</v>
      </c>
      <c r="C639" s="1">
        <v>44392</v>
      </c>
      <c r="D639" s="1">
        <v>44394</v>
      </c>
      <c r="E639">
        <v>1</v>
      </c>
      <c r="F639" t="s">
        <v>396</v>
      </c>
      <c r="G639" t="str">
        <f>"08-I20-03"</f>
        <v>08-I20-03</v>
      </c>
      <c r="H639">
        <v>0.63300000000000001</v>
      </c>
      <c r="I639" t="s">
        <v>661</v>
      </c>
      <c r="J639" t="s">
        <v>17</v>
      </c>
      <c r="K639" t="str">
        <f t="shared" si="24"/>
        <v>3F1</v>
      </c>
      <c r="L639" t="s">
        <v>15</v>
      </c>
    </row>
    <row r="640" spans="1:12" x14ac:dyDescent="0.25">
      <c r="A640" t="str">
        <f>"0857263231"</f>
        <v>0857263231</v>
      </c>
      <c r="B640" t="str">
        <f t="shared" si="25"/>
        <v>89301000</v>
      </c>
      <c r="C640" s="1">
        <v>44538</v>
      </c>
      <c r="D640" s="1">
        <v>44539</v>
      </c>
      <c r="E640">
        <v>1</v>
      </c>
      <c r="F640" t="s">
        <v>173</v>
      </c>
      <c r="G640" t="str">
        <f>"08-I32-02"</f>
        <v>08-I32-02</v>
      </c>
      <c r="H640">
        <v>0.4143</v>
      </c>
      <c r="J640" t="s">
        <v>14</v>
      </c>
      <c r="K640" t="str">
        <f t="shared" si="24"/>
        <v>3F1</v>
      </c>
      <c r="L640" t="s">
        <v>15</v>
      </c>
    </row>
    <row r="641" spans="1:12" x14ac:dyDescent="0.25">
      <c r="A641" t="str">
        <f>"0858051403"</f>
        <v>0858051403</v>
      </c>
      <c r="B641" t="str">
        <f t="shared" si="25"/>
        <v>89301000</v>
      </c>
      <c r="C641" s="1">
        <v>44352</v>
      </c>
      <c r="D641" s="1">
        <v>44355</v>
      </c>
      <c r="E641">
        <v>1</v>
      </c>
      <c r="F641" t="s">
        <v>662</v>
      </c>
      <c r="G641" t="str">
        <f>"19-K01-03"</f>
        <v>19-K01-03</v>
      </c>
      <c r="H641">
        <v>0.60250000000000004</v>
      </c>
      <c r="J641" t="s">
        <v>27</v>
      </c>
      <c r="K641" t="str">
        <f t="shared" si="24"/>
        <v>3F1</v>
      </c>
      <c r="L641" t="s">
        <v>15</v>
      </c>
    </row>
    <row r="642" spans="1:12" x14ac:dyDescent="0.25">
      <c r="A642" t="str">
        <f>"0858055264"</f>
        <v>0858055264</v>
      </c>
      <c r="B642" t="str">
        <f t="shared" si="25"/>
        <v>89301000</v>
      </c>
      <c r="C642" s="1">
        <v>44525</v>
      </c>
      <c r="D642" s="1">
        <v>44527</v>
      </c>
      <c r="E642">
        <v>1</v>
      </c>
      <c r="F642" t="s">
        <v>139</v>
      </c>
      <c r="G642" t="str">
        <f>"07-K11-02"</f>
        <v>07-K11-02</v>
      </c>
      <c r="H642">
        <v>0.70899999999999996</v>
      </c>
      <c r="J642" t="s">
        <v>14</v>
      </c>
      <c r="K642" t="str">
        <f t="shared" si="24"/>
        <v>3F1</v>
      </c>
      <c r="L642" t="s">
        <v>15</v>
      </c>
    </row>
    <row r="643" spans="1:12" x14ac:dyDescent="0.25">
      <c r="A643" t="str">
        <f>"0858232595"</f>
        <v>0858232595</v>
      </c>
      <c r="B643" t="str">
        <f t="shared" si="25"/>
        <v>89301000</v>
      </c>
      <c r="C643" s="1">
        <v>44208</v>
      </c>
      <c r="D643" s="1">
        <v>44212</v>
      </c>
      <c r="E643">
        <v>6</v>
      </c>
      <c r="F643" t="s">
        <v>43</v>
      </c>
      <c r="G643" t="str">
        <f>"06-I18-02"</f>
        <v>06-I18-02</v>
      </c>
      <c r="H643">
        <v>2.0447000000000002</v>
      </c>
      <c r="I643" t="s">
        <v>663</v>
      </c>
      <c r="J643" t="s">
        <v>24</v>
      </c>
      <c r="K643" t="str">
        <f>"3T1"</f>
        <v>3T1</v>
      </c>
      <c r="L643" t="s">
        <v>15</v>
      </c>
    </row>
    <row r="644" spans="1:12" x14ac:dyDescent="0.25">
      <c r="A644" t="str">
        <f>"0858255277"</f>
        <v>0858255277</v>
      </c>
      <c r="B644" t="str">
        <f t="shared" si="25"/>
        <v>89301000</v>
      </c>
      <c r="C644" s="1">
        <v>44545</v>
      </c>
      <c r="D644" s="1">
        <v>44550</v>
      </c>
      <c r="E644">
        <v>1</v>
      </c>
      <c r="F644" t="s">
        <v>43</v>
      </c>
      <c r="G644" t="str">
        <f>"06-I18-04"</f>
        <v>06-I18-04</v>
      </c>
      <c r="H644">
        <v>1.1514</v>
      </c>
      <c r="J644" t="s">
        <v>24</v>
      </c>
      <c r="K644" t="str">
        <f>"3F1"</f>
        <v>3F1</v>
      </c>
      <c r="L644" t="s">
        <v>15</v>
      </c>
    </row>
    <row r="645" spans="1:12" x14ac:dyDescent="0.25">
      <c r="A645" t="str">
        <f>"0859036079"</f>
        <v>0859036079</v>
      </c>
      <c r="B645" t="str">
        <f t="shared" si="25"/>
        <v>89301000</v>
      </c>
      <c r="C645" s="1">
        <v>44326</v>
      </c>
      <c r="D645" s="1">
        <v>44327</v>
      </c>
      <c r="E645">
        <v>1</v>
      </c>
      <c r="F645" t="s">
        <v>173</v>
      </c>
      <c r="G645" t="str">
        <f>"08-I32-02"</f>
        <v>08-I32-02</v>
      </c>
      <c r="H645">
        <v>0.4143</v>
      </c>
      <c r="I645" t="s">
        <v>168</v>
      </c>
      <c r="J645" t="s">
        <v>14</v>
      </c>
      <c r="K645" t="str">
        <f>"5F3"</f>
        <v>5F3</v>
      </c>
      <c r="L645" t="s">
        <v>15</v>
      </c>
    </row>
    <row r="646" spans="1:12" x14ac:dyDescent="0.25">
      <c r="A646" t="str">
        <f>"0859153240"</f>
        <v>0859153240</v>
      </c>
      <c r="B646" t="str">
        <f t="shared" si="25"/>
        <v>89301000</v>
      </c>
      <c r="C646" s="1">
        <v>44446</v>
      </c>
      <c r="D646" s="1">
        <v>44448</v>
      </c>
      <c r="E646">
        <v>1</v>
      </c>
      <c r="F646" t="s">
        <v>664</v>
      </c>
      <c r="G646" t="str">
        <f>"06-K22-03"</f>
        <v>06-K22-03</v>
      </c>
      <c r="H646">
        <v>0.3165</v>
      </c>
      <c r="J646" t="s">
        <v>14</v>
      </c>
      <c r="K646" t="str">
        <f t="shared" ref="K646:K660" si="26">"3F1"</f>
        <v>3F1</v>
      </c>
      <c r="L646" t="s">
        <v>15</v>
      </c>
    </row>
    <row r="647" spans="1:12" x14ac:dyDescent="0.25">
      <c r="A647" t="str">
        <f>"0859193225"</f>
        <v>0859193225</v>
      </c>
      <c r="B647" t="str">
        <f t="shared" si="25"/>
        <v>89301000</v>
      </c>
      <c r="C647" s="1">
        <v>44264</v>
      </c>
      <c r="D647" s="1">
        <v>44266</v>
      </c>
      <c r="E647">
        <v>1</v>
      </c>
      <c r="F647" t="s">
        <v>429</v>
      </c>
      <c r="G647" t="str">
        <f>"20-K01-06"</f>
        <v>20-K01-06</v>
      </c>
      <c r="H647">
        <v>0.25779999999999997</v>
      </c>
      <c r="I647" t="s">
        <v>168</v>
      </c>
      <c r="J647" t="s">
        <v>14</v>
      </c>
      <c r="K647" t="str">
        <f t="shared" si="26"/>
        <v>3F1</v>
      </c>
      <c r="L647" t="s">
        <v>15</v>
      </c>
    </row>
    <row r="648" spans="1:12" x14ac:dyDescent="0.25">
      <c r="A648" t="str">
        <f>"0859263240"</f>
        <v>0859263240</v>
      </c>
      <c r="B648" t="str">
        <f t="shared" si="25"/>
        <v>89301000</v>
      </c>
      <c r="C648" s="1">
        <v>44451</v>
      </c>
      <c r="D648" s="1">
        <v>44453</v>
      </c>
      <c r="E648">
        <v>1</v>
      </c>
      <c r="F648" t="s">
        <v>162</v>
      </c>
      <c r="G648" t="str">
        <f>"08-I20-03"</f>
        <v>08-I20-03</v>
      </c>
      <c r="H648">
        <v>0.63300000000000001</v>
      </c>
      <c r="I648" t="s">
        <v>665</v>
      </c>
      <c r="J648" t="s">
        <v>17</v>
      </c>
      <c r="K648" t="str">
        <f t="shared" si="26"/>
        <v>3F1</v>
      </c>
      <c r="L648" t="s">
        <v>15</v>
      </c>
    </row>
    <row r="649" spans="1:12" x14ac:dyDescent="0.25">
      <c r="A649" t="str">
        <f>"0859296152"</f>
        <v>0859296152</v>
      </c>
      <c r="B649" t="str">
        <f t="shared" si="25"/>
        <v>89301000</v>
      </c>
      <c r="C649" s="1">
        <v>44341</v>
      </c>
      <c r="D649" s="1">
        <v>44343</v>
      </c>
      <c r="E649">
        <v>1</v>
      </c>
      <c r="F649" t="s">
        <v>319</v>
      </c>
      <c r="G649" t="str">
        <f>"08-I25-02"</f>
        <v>08-I25-02</v>
      </c>
      <c r="H649">
        <v>0.5746</v>
      </c>
      <c r="J649" t="s">
        <v>14</v>
      </c>
      <c r="K649" t="str">
        <f t="shared" si="26"/>
        <v>3F1</v>
      </c>
      <c r="L649" t="s">
        <v>15</v>
      </c>
    </row>
    <row r="650" spans="1:12" x14ac:dyDescent="0.25">
      <c r="A650" t="str">
        <f>"0859296152"</f>
        <v>0859296152</v>
      </c>
      <c r="B650" t="str">
        <f t="shared" si="25"/>
        <v>89301000</v>
      </c>
      <c r="C650" s="1">
        <v>44283</v>
      </c>
      <c r="D650" s="1">
        <v>44293</v>
      </c>
      <c r="E650">
        <v>1</v>
      </c>
      <c r="F650" t="s">
        <v>666</v>
      </c>
      <c r="G650" t="str">
        <f>"09-K04-02"</f>
        <v>09-K04-02</v>
      </c>
      <c r="H650">
        <v>0.68740000000000001</v>
      </c>
      <c r="I650" t="s">
        <v>667</v>
      </c>
      <c r="J650" t="s">
        <v>14</v>
      </c>
      <c r="K650" t="str">
        <f t="shared" si="26"/>
        <v>3F1</v>
      </c>
      <c r="L650" t="s">
        <v>15</v>
      </c>
    </row>
    <row r="651" spans="1:12" x14ac:dyDescent="0.25">
      <c r="A651" t="str">
        <f>"0861075259"</f>
        <v>0861075259</v>
      </c>
      <c r="B651" t="str">
        <f t="shared" si="25"/>
        <v>89301000</v>
      </c>
      <c r="C651" s="1">
        <v>44347</v>
      </c>
      <c r="D651" s="1">
        <v>44348</v>
      </c>
      <c r="E651">
        <v>1</v>
      </c>
      <c r="F651" t="s">
        <v>646</v>
      </c>
      <c r="G651" t="str">
        <f>"06-K17-02"</f>
        <v>06-K17-02</v>
      </c>
      <c r="H651">
        <v>0.29680000000000001</v>
      </c>
      <c r="I651" t="s">
        <v>668</v>
      </c>
      <c r="J651" t="s">
        <v>14</v>
      </c>
      <c r="K651" t="str">
        <f t="shared" si="26"/>
        <v>3F1</v>
      </c>
      <c r="L651" t="s">
        <v>15</v>
      </c>
    </row>
    <row r="652" spans="1:12" x14ac:dyDescent="0.25">
      <c r="A652" t="str">
        <f>"0861246078"</f>
        <v>0861246078</v>
      </c>
      <c r="B652" t="str">
        <f t="shared" si="25"/>
        <v>89301000</v>
      </c>
      <c r="C652" s="1">
        <v>44366</v>
      </c>
      <c r="D652" s="1">
        <v>44369</v>
      </c>
      <c r="E652">
        <v>1</v>
      </c>
      <c r="F652" t="s">
        <v>669</v>
      </c>
      <c r="G652" t="str">
        <f>"11-K14-02"</f>
        <v>11-K14-02</v>
      </c>
      <c r="H652">
        <v>0.52259999999999995</v>
      </c>
      <c r="J652" t="s">
        <v>14</v>
      </c>
      <c r="K652" t="str">
        <f t="shared" si="26"/>
        <v>3F1</v>
      </c>
      <c r="L652" t="s">
        <v>15</v>
      </c>
    </row>
    <row r="653" spans="1:12" x14ac:dyDescent="0.25">
      <c r="A653" t="str">
        <f>"0861283247"</f>
        <v>0861283247</v>
      </c>
      <c r="B653" t="str">
        <f t="shared" si="25"/>
        <v>89301000</v>
      </c>
      <c r="C653" s="1">
        <v>44373</v>
      </c>
      <c r="D653" s="1">
        <v>44392</v>
      </c>
      <c r="E653">
        <v>1</v>
      </c>
      <c r="F653" t="s">
        <v>670</v>
      </c>
      <c r="G653" t="str">
        <f>"06-I12-01"</f>
        <v>06-I12-01</v>
      </c>
      <c r="H653">
        <v>4.6520000000000001</v>
      </c>
      <c r="I653" t="s">
        <v>671</v>
      </c>
      <c r="J653" t="s">
        <v>14</v>
      </c>
      <c r="K653" t="str">
        <f t="shared" si="26"/>
        <v>3F1</v>
      </c>
      <c r="L653" t="s">
        <v>15</v>
      </c>
    </row>
    <row r="654" spans="1:12" x14ac:dyDescent="0.25">
      <c r="A654" t="str">
        <f>"0862023228"</f>
        <v>0862023228</v>
      </c>
      <c r="B654" t="str">
        <f t="shared" si="25"/>
        <v>89301000</v>
      </c>
      <c r="C654" s="1">
        <v>44233</v>
      </c>
      <c r="D654" s="1">
        <v>44234</v>
      </c>
      <c r="E654">
        <v>1</v>
      </c>
      <c r="F654" t="s">
        <v>445</v>
      </c>
      <c r="G654" t="str">
        <f>"08-K14-03"</f>
        <v>08-K14-03</v>
      </c>
      <c r="H654">
        <v>0.26169999999999999</v>
      </c>
      <c r="I654" t="s">
        <v>606</v>
      </c>
      <c r="J654" t="s">
        <v>14</v>
      </c>
      <c r="K654" t="str">
        <f t="shared" si="26"/>
        <v>3F1</v>
      </c>
      <c r="L654" t="s">
        <v>15</v>
      </c>
    </row>
    <row r="655" spans="1:12" x14ac:dyDescent="0.25">
      <c r="A655" t="str">
        <f>"0862255999"</f>
        <v>0862255999</v>
      </c>
      <c r="B655" t="str">
        <f t="shared" si="25"/>
        <v>89301000</v>
      </c>
      <c r="C655" s="1">
        <v>44313</v>
      </c>
      <c r="D655" s="1">
        <v>44314</v>
      </c>
      <c r="E655">
        <v>1</v>
      </c>
      <c r="F655" t="s">
        <v>672</v>
      </c>
      <c r="G655" t="str">
        <f>"17-K10-02"</f>
        <v>17-K10-02</v>
      </c>
      <c r="H655">
        <v>0.65480000000000005</v>
      </c>
      <c r="I655" t="s">
        <v>673</v>
      </c>
      <c r="J655" t="s">
        <v>14</v>
      </c>
      <c r="K655" t="str">
        <f t="shared" si="26"/>
        <v>3F1</v>
      </c>
      <c r="L655" t="s">
        <v>15</v>
      </c>
    </row>
    <row r="656" spans="1:12" x14ac:dyDescent="0.25">
      <c r="A656" t="str">
        <f>"0901023233"</f>
        <v>0901023233</v>
      </c>
      <c r="B656" t="str">
        <f t="shared" si="25"/>
        <v>89301000</v>
      </c>
      <c r="C656" s="1">
        <v>44322</v>
      </c>
      <c r="D656" s="1">
        <v>44323</v>
      </c>
      <c r="E656">
        <v>1</v>
      </c>
      <c r="F656" t="s">
        <v>467</v>
      </c>
      <c r="G656" t="str">
        <f>"06-K22-03"</f>
        <v>06-K22-03</v>
      </c>
      <c r="H656">
        <v>0.3165</v>
      </c>
      <c r="J656" t="s">
        <v>14</v>
      </c>
      <c r="K656" t="str">
        <f t="shared" si="26"/>
        <v>3F1</v>
      </c>
      <c r="L656" t="s">
        <v>15</v>
      </c>
    </row>
    <row r="657" spans="1:12" x14ac:dyDescent="0.25">
      <c r="A657" t="str">
        <f>"0901047433"</f>
        <v>0901047433</v>
      </c>
      <c r="B657" t="str">
        <f t="shared" si="25"/>
        <v>89301000</v>
      </c>
      <c r="C657" s="1">
        <v>44386</v>
      </c>
      <c r="D657" s="1">
        <v>44388</v>
      </c>
      <c r="E657">
        <v>1</v>
      </c>
      <c r="F657" t="s">
        <v>287</v>
      </c>
      <c r="G657" t="str">
        <f>"01-K16-06"</f>
        <v>01-K16-06</v>
      </c>
      <c r="H657">
        <v>0.26469999999999999</v>
      </c>
      <c r="I657" t="s">
        <v>674</v>
      </c>
      <c r="J657" t="s">
        <v>14</v>
      </c>
      <c r="K657" t="str">
        <f t="shared" si="26"/>
        <v>3F1</v>
      </c>
      <c r="L657" t="s">
        <v>15</v>
      </c>
    </row>
    <row r="658" spans="1:12" x14ac:dyDescent="0.25">
      <c r="A658" t="str">
        <f>"0901183228"</f>
        <v>0901183228</v>
      </c>
      <c r="B658" t="str">
        <f t="shared" si="25"/>
        <v>89301000</v>
      </c>
      <c r="C658" s="1">
        <v>44337</v>
      </c>
      <c r="D658" s="1">
        <v>44343</v>
      </c>
      <c r="E658">
        <v>1</v>
      </c>
      <c r="F658" t="s">
        <v>675</v>
      </c>
      <c r="G658" t="str">
        <f>"21-K01-00"</f>
        <v>21-K01-00</v>
      </c>
      <c r="H658">
        <v>0.81520000000000004</v>
      </c>
      <c r="I658" t="s">
        <v>676</v>
      </c>
      <c r="J658" t="s">
        <v>14</v>
      </c>
      <c r="K658" t="str">
        <f t="shared" si="26"/>
        <v>3F1</v>
      </c>
      <c r="L658" t="s">
        <v>15</v>
      </c>
    </row>
    <row r="659" spans="1:12" x14ac:dyDescent="0.25">
      <c r="A659" t="str">
        <f>"0902056067"</f>
        <v>0902056067</v>
      </c>
      <c r="B659" t="str">
        <f t="shared" si="25"/>
        <v>89301000</v>
      </c>
      <c r="C659" s="1">
        <v>44440</v>
      </c>
      <c r="D659" s="1">
        <v>44445</v>
      </c>
      <c r="E659">
        <v>1</v>
      </c>
      <c r="F659" t="s">
        <v>23</v>
      </c>
      <c r="G659" t="str">
        <f>"06-I18-04"</f>
        <v>06-I18-04</v>
      </c>
      <c r="H659">
        <v>1.1514</v>
      </c>
      <c r="J659" t="s">
        <v>24</v>
      </c>
      <c r="K659" t="str">
        <f t="shared" si="26"/>
        <v>3F1</v>
      </c>
      <c r="L659" t="s">
        <v>15</v>
      </c>
    </row>
    <row r="660" spans="1:12" x14ac:dyDescent="0.25">
      <c r="A660" t="str">
        <f>"0902105347"</f>
        <v>0902105347</v>
      </c>
      <c r="B660" t="str">
        <f t="shared" si="25"/>
        <v>89301000</v>
      </c>
      <c r="C660" s="1">
        <v>44468</v>
      </c>
      <c r="D660" s="1">
        <v>44469</v>
      </c>
      <c r="E660">
        <v>1</v>
      </c>
      <c r="F660" t="s">
        <v>380</v>
      </c>
      <c r="G660" t="str">
        <f>"08-I20-03"</f>
        <v>08-I20-03</v>
      </c>
      <c r="H660">
        <v>0.63300000000000001</v>
      </c>
      <c r="I660" t="s">
        <v>677</v>
      </c>
      <c r="J660" t="s">
        <v>17</v>
      </c>
      <c r="K660" t="str">
        <f t="shared" si="26"/>
        <v>3F1</v>
      </c>
      <c r="L660" t="s">
        <v>15</v>
      </c>
    </row>
    <row r="661" spans="1:12" x14ac:dyDescent="0.25">
      <c r="A661" t="str">
        <f>"0903066065"</f>
        <v>0903066065</v>
      </c>
      <c r="B661" t="str">
        <f t="shared" si="25"/>
        <v>89301000</v>
      </c>
      <c r="C661" s="1">
        <v>44376</v>
      </c>
      <c r="D661" s="1">
        <v>44377</v>
      </c>
      <c r="E661">
        <v>6</v>
      </c>
      <c r="F661" t="s">
        <v>92</v>
      </c>
      <c r="G661" t="str">
        <f>"05-K15-02"</f>
        <v>05-K15-02</v>
      </c>
      <c r="H661">
        <v>0.47510000000000002</v>
      </c>
      <c r="J661" t="s">
        <v>14</v>
      </c>
      <c r="K661" t="str">
        <f>"3T1"</f>
        <v>3T1</v>
      </c>
      <c r="L661" t="s">
        <v>15</v>
      </c>
    </row>
    <row r="662" spans="1:12" x14ac:dyDescent="0.25">
      <c r="A662" t="str">
        <f>"0903076064"</f>
        <v>0903076064</v>
      </c>
      <c r="B662" t="str">
        <f t="shared" si="25"/>
        <v>89301000</v>
      </c>
      <c r="C662" s="1">
        <v>44346</v>
      </c>
      <c r="D662" s="1">
        <v>44349</v>
      </c>
      <c r="E662">
        <v>1</v>
      </c>
      <c r="F662" t="s">
        <v>678</v>
      </c>
      <c r="G662" t="str">
        <f>"04-K13-01"</f>
        <v>04-K13-01</v>
      </c>
      <c r="H662">
        <v>0.64270000000000005</v>
      </c>
      <c r="I662" t="s">
        <v>679</v>
      </c>
      <c r="J662" t="s">
        <v>14</v>
      </c>
      <c r="K662" t="str">
        <f t="shared" ref="K662:K693" si="27">"3F1"</f>
        <v>3F1</v>
      </c>
      <c r="L662" t="s">
        <v>15</v>
      </c>
    </row>
    <row r="663" spans="1:12" x14ac:dyDescent="0.25">
      <c r="A663" t="str">
        <f>"0903113255"</f>
        <v>0903113255</v>
      </c>
      <c r="B663" t="str">
        <f t="shared" si="25"/>
        <v>89301000</v>
      </c>
      <c r="C663" s="1">
        <v>44281</v>
      </c>
      <c r="D663" s="1">
        <v>44284</v>
      </c>
      <c r="E663">
        <v>1</v>
      </c>
      <c r="F663" t="s">
        <v>43</v>
      </c>
      <c r="G663" t="str">
        <f>"06-I18-04"</f>
        <v>06-I18-04</v>
      </c>
      <c r="H663">
        <v>1.1514</v>
      </c>
      <c r="I663" t="s">
        <v>168</v>
      </c>
      <c r="J663" t="s">
        <v>24</v>
      </c>
      <c r="K663" t="str">
        <f t="shared" si="27"/>
        <v>3F1</v>
      </c>
      <c r="L663" t="s">
        <v>15</v>
      </c>
    </row>
    <row r="664" spans="1:12" x14ac:dyDescent="0.25">
      <c r="A664" t="str">
        <f>"0903146068"</f>
        <v>0903146068</v>
      </c>
      <c r="B664" t="str">
        <f t="shared" si="25"/>
        <v>89301000</v>
      </c>
      <c r="C664" s="1">
        <v>44396</v>
      </c>
      <c r="D664" s="1">
        <v>44398</v>
      </c>
      <c r="E664">
        <v>1</v>
      </c>
      <c r="F664" t="s">
        <v>644</v>
      </c>
      <c r="G664" t="str">
        <f>"12-I10-02"</f>
        <v>12-I10-02</v>
      </c>
      <c r="H664">
        <v>0.57379999999999998</v>
      </c>
      <c r="J664" t="s">
        <v>24</v>
      </c>
      <c r="K664" t="str">
        <f t="shared" si="27"/>
        <v>3F1</v>
      </c>
      <c r="L664" t="s">
        <v>15</v>
      </c>
    </row>
    <row r="665" spans="1:12" x14ac:dyDescent="0.25">
      <c r="A665" t="str">
        <f>"0903213245"</f>
        <v>0903213245</v>
      </c>
      <c r="B665" t="str">
        <f t="shared" si="25"/>
        <v>89301000</v>
      </c>
      <c r="C665" s="1">
        <v>44307</v>
      </c>
      <c r="D665" s="1">
        <v>44309</v>
      </c>
      <c r="E665">
        <v>1</v>
      </c>
      <c r="F665" t="s">
        <v>151</v>
      </c>
      <c r="G665" t="str">
        <f>"06-I16-05"</f>
        <v>06-I16-05</v>
      </c>
      <c r="H665">
        <v>0.46139999999999998</v>
      </c>
      <c r="J665" t="s">
        <v>24</v>
      </c>
      <c r="K665" t="str">
        <f t="shared" si="27"/>
        <v>3F1</v>
      </c>
      <c r="L665" t="s">
        <v>15</v>
      </c>
    </row>
    <row r="666" spans="1:12" x14ac:dyDescent="0.25">
      <c r="A666" t="str">
        <f>"0904203234"</f>
        <v>0904203234</v>
      </c>
      <c r="B666" t="str">
        <f t="shared" si="25"/>
        <v>89301000</v>
      </c>
      <c r="C666" s="1">
        <v>44457</v>
      </c>
      <c r="D666" s="1">
        <v>44459</v>
      </c>
      <c r="E666">
        <v>1</v>
      </c>
      <c r="F666" t="s">
        <v>210</v>
      </c>
      <c r="G666" t="str">
        <f>"08-I20-02"</f>
        <v>08-I20-02</v>
      </c>
      <c r="H666">
        <v>0.94159999999999999</v>
      </c>
      <c r="I666" t="s">
        <v>680</v>
      </c>
      <c r="J666" t="s">
        <v>17</v>
      </c>
      <c r="K666" t="str">
        <f t="shared" si="27"/>
        <v>3F1</v>
      </c>
      <c r="L666" t="s">
        <v>15</v>
      </c>
    </row>
    <row r="667" spans="1:12" x14ac:dyDescent="0.25">
      <c r="A667" t="str">
        <f>"0904246068"</f>
        <v>0904246068</v>
      </c>
      <c r="B667" t="str">
        <f t="shared" si="25"/>
        <v>89301000</v>
      </c>
      <c r="C667" s="1">
        <v>44538</v>
      </c>
      <c r="D667" s="1">
        <v>44540</v>
      </c>
      <c r="E667">
        <v>1</v>
      </c>
      <c r="F667" t="s">
        <v>644</v>
      </c>
      <c r="G667" t="str">
        <f>"12-I10-02"</f>
        <v>12-I10-02</v>
      </c>
      <c r="H667">
        <v>0.57379999999999998</v>
      </c>
      <c r="J667" t="s">
        <v>24</v>
      </c>
      <c r="K667" t="str">
        <f t="shared" si="27"/>
        <v>3F1</v>
      </c>
      <c r="L667" t="s">
        <v>15</v>
      </c>
    </row>
    <row r="668" spans="1:12" x14ac:dyDescent="0.25">
      <c r="A668" t="str">
        <f>"0905153238"</f>
        <v>0905153238</v>
      </c>
      <c r="B668" t="str">
        <f t="shared" si="25"/>
        <v>89301000</v>
      </c>
      <c r="C668" s="1">
        <v>44472</v>
      </c>
      <c r="D668" s="1">
        <v>44475</v>
      </c>
      <c r="E668">
        <v>1</v>
      </c>
      <c r="F668" t="s">
        <v>43</v>
      </c>
      <c r="G668" t="str">
        <f>"06-I18-04"</f>
        <v>06-I18-04</v>
      </c>
      <c r="H668">
        <v>1.1514</v>
      </c>
      <c r="I668" t="s">
        <v>168</v>
      </c>
      <c r="J668" t="s">
        <v>24</v>
      </c>
      <c r="K668" t="str">
        <f t="shared" si="27"/>
        <v>3F1</v>
      </c>
      <c r="L668" t="s">
        <v>15</v>
      </c>
    </row>
    <row r="669" spans="1:12" x14ac:dyDescent="0.25">
      <c r="A669" t="str">
        <f>"0906033249"</f>
        <v>0906033249</v>
      </c>
      <c r="B669" t="str">
        <f t="shared" si="25"/>
        <v>89301000</v>
      </c>
      <c r="C669" s="1">
        <v>44469</v>
      </c>
      <c r="D669" s="1">
        <v>44470</v>
      </c>
      <c r="E669">
        <v>1</v>
      </c>
      <c r="F669" t="s">
        <v>396</v>
      </c>
      <c r="G669" t="str">
        <f>"08-I20-03"</f>
        <v>08-I20-03</v>
      </c>
      <c r="H669">
        <v>0.63300000000000001</v>
      </c>
      <c r="I669" t="s">
        <v>681</v>
      </c>
      <c r="J669" t="s">
        <v>17</v>
      </c>
      <c r="K669" t="str">
        <f t="shared" si="27"/>
        <v>3F1</v>
      </c>
      <c r="L669" t="s">
        <v>15</v>
      </c>
    </row>
    <row r="670" spans="1:12" x14ac:dyDescent="0.25">
      <c r="A670" t="str">
        <f>"0906113307"</f>
        <v>0906113307</v>
      </c>
      <c r="B670" t="str">
        <f t="shared" si="25"/>
        <v>89301000</v>
      </c>
      <c r="C670" s="1">
        <v>44325</v>
      </c>
      <c r="D670" s="1">
        <v>44327</v>
      </c>
      <c r="E670">
        <v>1</v>
      </c>
      <c r="F670" t="s">
        <v>467</v>
      </c>
      <c r="G670" t="str">
        <f>"06-K22-03"</f>
        <v>06-K22-03</v>
      </c>
      <c r="H670">
        <v>0.3165</v>
      </c>
      <c r="I670" t="s">
        <v>682</v>
      </c>
      <c r="J670" t="s">
        <v>14</v>
      </c>
      <c r="K670" t="str">
        <f t="shared" si="27"/>
        <v>3F1</v>
      </c>
      <c r="L670" t="s">
        <v>15</v>
      </c>
    </row>
    <row r="671" spans="1:12" x14ac:dyDescent="0.25">
      <c r="A671" t="str">
        <f>"0906236177"</f>
        <v>0906236177</v>
      </c>
      <c r="B671" t="str">
        <f t="shared" si="25"/>
        <v>89301000</v>
      </c>
      <c r="C671" s="1">
        <v>44453</v>
      </c>
      <c r="D671" s="1">
        <v>44458</v>
      </c>
      <c r="E671">
        <v>1</v>
      </c>
      <c r="F671" t="s">
        <v>683</v>
      </c>
      <c r="G671" t="str">
        <f>"03-K12-01"</f>
        <v>03-K12-01</v>
      </c>
      <c r="H671">
        <v>0.376</v>
      </c>
      <c r="I671" t="s">
        <v>244</v>
      </c>
      <c r="J671" t="s">
        <v>14</v>
      </c>
      <c r="K671" t="str">
        <f t="shared" si="27"/>
        <v>3F1</v>
      </c>
      <c r="L671" t="s">
        <v>15</v>
      </c>
    </row>
    <row r="672" spans="1:12" x14ac:dyDescent="0.25">
      <c r="A672" t="str">
        <f>"0907273246"</f>
        <v>0907273246</v>
      </c>
      <c r="B672" t="str">
        <f t="shared" si="25"/>
        <v>89301000</v>
      </c>
      <c r="C672" s="1">
        <v>44355</v>
      </c>
      <c r="D672" s="1">
        <v>44357</v>
      </c>
      <c r="E672">
        <v>1</v>
      </c>
      <c r="F672" t="s">
        <v>186</v>
      </c>
      <c r="G672" t="str">
        <f>"05-K05-05"</f>
        <v>05-K05-05</v>
      </c>
      <c r="H672">
        <v>0.37819999999999998</v>
      </c>
      <c r="J672" t="s">
        <v>14</v>
      </c>
      <c r="K672" t="str">
        <f t="shared" si="27"/>
        <v>3F1</v>
      </c>
      <c r="L672" t="s">
        <v>15</v>
      </c>
    </row>
    <row r="673" spans="1:12" x14ac:dyDescent="0.25">
      <c r="A673" t="str">
        <f>"0907293706"</f>
        <v>0907293706</v>
      </c>
      <c r="B673" t="str">
        <f t="shared" si="25"/>
        <v>89301000</v>
      </c>
      <c r="C673" s="1">
        <v>44418</v>
      </c>
      <c r="D673" s="1">
        <v>44420</v>
      </c>
      <c r="E673">
        <v>1</v>
      </c>
      <c r="F673" t="s">
        <v>319</v>
      </c>
      <c r="G673" t="str">
        <f>"08-I25-02"</f>
        <v>08-I25-02</v>
      </c>
      <c r="H673">
        <v>0.5746</v>
      </c>
      <c r="J673" t="s">
        <v>14</v>
      </c>
      <c r="K673" t="str">
        <f t="shared" si="27"/>
        <v>3F1</v>
      </c>
      <c r="L673" t="s">
        <v>15</v>
      </c>
    </row>
    <row r="674" spans="1:12" x14ac:dyDescent="0.25">
      <c r="A674" t="str">
        <f>"0908133237"</f>
        <v>0908133237</v>
      </c>
      <c r="B674" t="str">
        <f t="shared" si="25"/>
        <v>89301000</v>
      </c>
      <c r="C674" s="1">
        <v>44530</v>
      </c>
      <c r="D674" s="1">
        <v>44533</v>
      </c>
      <c r="E674">
        <v>1</v>
      </c>
      <c r="F674" t="s">
        <v>63</v>
      </c>
      <c r="G674" t="str">
        <f>"08-I21-02"</f>
        <v>08-I21-02</v>
      </c>
      <c r="H674">
        <v>1.3371999999999999</v>
      </c>
      <c r="J674" t="s">
        <v>17</v>
      </c>
      <c r="K674" t="str">
        <f t="shared" si="27"/>
        <v>3F1</v>
      </c>
      <c r="L674" t="s">
        <v>15</v>
      </c>
    </row>
    <row r="675" spans="1:12" x14ac:dyDescent="0.25">
      <c r="A675" t="str">
        <f>"0908143236"</f>
        <v>0908143236</v>
      </c>
      <c r="B675" t="str">
        <f t="shared" si="25"/>
        <v>89301000</v>
      </c>
      <c r="C675" s="1">
        <v>44264</v>
      </c>
      <c r="D675" s="1">
        <v>44266</v>
      </c>
      <c r="E675">
        <v>1</v>
      </c>
      <c r="F675" t="s">
        <v>287</v>
      </c>
      <c r="G675" t="str">
        <f>"01-K16-06"</f>
        <v>01-K16-06</v>
      </c>
      <c r="H675">
        <v>0.26469999999999999</v>
      </c>
      <c r="I675" t="s">
        <v>196</v>
      </c>
      <c r="J675" t="s">
        <v>14</v>
      </c>
      <c r="K675" t="str">
        <f t="shared" si="27"/>
        <v>3F1</v>
      </c>
      <c r="L675" t="s">
        <v>15</v>
      </c>
    </row>
    <row r="676" spans="1:12" x14ac:dyDescent="0.25">
      <c r="A676" t="str">
        <f>"0908143247"</f>
        <v>0908143247</v>
      </c>
      <c r="B676" t="str">
        <f t="shared" si="25"/>
        <v>89301000</v>
      </c>
      <c r="C676" s="1">
        <v>44327</v>
      </c>
      <c r="D676" s="1">
        <v>44328</v>
      </c>
      <c r="E676">
        <v>1</v>
      </c>
      <c r="F676" t="s">
        <v>287</v>
      </c>
      <c r="G676" t="str">
        <f>"01-K16-06"</f>
        <v>01-K16-06</v>
      </c>
      <c r="H676">
        <v>0.26469999999999999</v>
      </c>
      <c r="I676" t="s">
        <v>684</v>
      </c>
      <c r="J676" t="s">
        <v>14</v>
      </c>
      <c r="K676" t="str">
        <f t="shared" si="27"/>
        <v>3F1</v>
      </c>
      <c r="L676" t="s">
        <v>15</v>
      </c>
    </row>
    <row r="677" spans="1:12" x14ac:dyDescent="0.25">
      <c r="A677" t="str">
        <f>"0908195288"</f>
        <v>0908195288</v>
      </c>
      <c r="B677" t="str">
        <f t="shared" si="25"/>
        <v>89301000</v>
      </c>
      <c r="C677" s="1">
        <v>44511</v>
      </c>
      <c r="D677" s="1">
        <v>44516</v>
      </c>
      <c r="E677">
        <v>1</v>
      </c>
      <c r="F677" t="s">
        <v>43</v>
      </c>
      <c r="G677" t="str">
        <f>"06-I18-04"</f>
        <v>06-I18-04</v>
      </c>
      <c r="H677">
        <v>1.1514</v>
      </c>
      <c r="I677" t="s">
        <v>168</v>
      </c>
      <c r="J677" t="s">
        <v>24</v>
      </c>
      <c r="K677" t="str">
        <f t="shared" si="27"/>
        <v>3F1</v>
      </c>
      <c r="L677" t="s">
        <v>15</v>
      </c>
    </row>
    <row r="678" spans="1:12" x14ac:dyDescent="0.25">
      <c r="A678" t="str">
        <f>"0909093240"</f>
        <v>0909093240</v>
      </c>
      <c r="B678" t="str">
        <f t="shared" si="25"/>
        <v>89301000</v>
      </c>
      <c r="C678" s="1">
        <v>44357</v>
      </c>
      <c r="D678" s="1">
        <v>44358</v>
      </c>
      <c r="E678">
        <v>1</v>
      </c>
      <c r="F678" t="s">
        <v>685</v>
      </c>
      <c r="G678" t="str">
        <f>"21-K05-04"</f>
        <v>21-K05-04</v>
      </c>
      <c r="H678">
        <v>0.2424</v>
      </c>
      <c r="I678" t="s">
        <v>686</v>
      </c>
      <c r="J678" t="s">
        <v>14</v>
      </c>
      <c r="K678" t="str">
        <f t="shared" si="27"/>
        <v>3F1</v>
      </c>
      <c r="L678" t="s">
        <v>15</v>
      </c>
    </row>
    <row r="679" spans="1:12" x14ac:dyDescent="0.25">
      <c r="A679" t="str">
        <f>"0909103272"</f>
        <v>0909103272</v>
      </c>
      <c r="B679" t="str">
        <f t="shared" si="25"/>
        <v>89301000</v>
      </c>
      <c r="C679" s="1">
        <v>44546</v>
      </c>
      <c r="D679" s="1">
        <v>44553</v>
      </c>
      <c r="E679">
        <v>1</v>
      </c>
      <c r="F679" t="s">
        <v>588</v>
      </c>
      <c r="G679" t="str">
        <f>"07-K02-02"</f>
        <v>07-K02-02</v>
      </c>
      <c r="H679">
        <v>1.4137</v>
      </c>
      <c r="I679" t="s">
        <v>687</v>
      </c>
      <c r="J679" t="s">
        <v>14</v>
      </c>
      <c r="K679" t="str">
        <f t="shared" si="27"/>
        <v>3F1</v>
      </c>
      <c r="L679" t="s">
        <v>15</v>
      </c>
    </row>
    <row r="680" spans="1:12" x14ac:dyDescent="0.25">
      <c r="A680" t="str">
        <f t="shared" ref="A680:A687" si="28">"0909143224"</f>
        <v>0909143224</v>
      </c>
      <c r="B680" t="str">
        <f t="shared" si="25"/>
        <v>89301000</v>
      </c>
      <c r="C680" s="1">
        <v>44274</v>
      </c>
      <c r="D680" s="1">
        <v>44275</v>
      </c>
      <c r="E680">
        <v>1</v>
      </c>
      <c r="F680" t="s">
        <v>637</v>
      </c>
      <c r="G680" t="str">
        <f t="shared" ref="G680:G687" si="29">"17-K04-00"</f>
        <v>17-K04-00</v>
      </c>
      <c r="H680">
        <v>0.86660000000000004</v>
      </c>
      <c r="I680" t="s">
        <v>541</v>
      </c>
      <c r="J680" t="s">
        <v>14</v>
      </c>
      <c r="K680" t="str">
        <f t="shared" si="27"/>
        <v>3F1</v>
      </c>
      <c r="L680" t="s">
        <v>15</v>
      </c>
    </row>
    <row r="681" spans="1:12" x14ac:dyDescent="0.25">
      <c r="A681" t="str">
        <f t="shared" si="28"/>
        <v>0909143224</v>
      </c>
      <c r="B681" t="str">
        <f t="shared" si="25"/>
        <v>89301000</v>
      </c>
      <c r="C681" s="1">
        <v>44333</v>
      </c>
      <c r="D681" s="1">
        <v>44334</v>
      </c>
      <c r="E681">
        <v>1</v>
      </c>
      <c r="F681" t="s">
        <v>637</v>
      </c>
      <c r="G681" t="str">
        <f t="shared" si="29"/>
        <v>17-K04-00</v>
      </c>
      <c r="H681">
        <v>0.86660000000000004</v>
      </c>
      <c r="I681" t="s">
        <v>541</v>
      </c>
      <c r="J681" t="s">
        <v>14</v>
      </c>
      <c r="K681" t="str">
        <f t="shared" si="27"/>
        <v>3F1</v>
      </c>
      <c r="L681" t="s">
        <v>15</v>
      </c>
    </row>
    <row r="682" spans="1:12" x14ac:dyDescent="0.25">
      <c r="A682" t="str">
        <f t="shared" si="28"/>
        <v>0909143224</v>
      </c>
      <c r="B682" t="str">
        <f t="shared" si="25"/>
        <v>89301000</v>
      </c>
      <c r="C682" s="1">
        <v>44326</v>
      </c>
      <c r="D682" s="1">
        <v>44327</v>
      </c>
      <c r="E682">
        <v>1</v>
      </c>
      <c r="F682" t="s">
        <v>637</v>
      </c>
      <c r="G682" t="str">
        <f t="shared" si="29"/>
        <v>17-K04-00</v>
      </c>
      <c r="H682">
        <v>0.86660000000000004</v>
      </c>
      <c r="I682" t="s">
        <v>541</v>
      </c>
      <c r="J682" t="s">
        <v>14</v>
      </c>
      <c r="K682" t="str">
        <f t="shared" si="27"/>
        <v>3F1</v>
      </c>
      <c r="L682" t="s">
        <v>15</v>
      </c>
    </row>
    <row r="683" spans="1:12" x14ac:dyDescent="0.25">
      <c r="A683" t="str">
        <f t="shared" si="28"/>
        <v>0909143224</v>
      </c>
      <c r="B683" t="str">
        <f t="shared" si="25"/>
        <v>89301000</v>
      </c>
      <c r="C683" s="1">
        <v>44305</v>
      </c>
      <c r="D683" s="1">
        <v>44306</v>
      </c>
      <c r="E683">
        <v>1</v>
      </c>
      <c r="F683" t="s">
        <v>637</v>
      </c>
      <c r="G683" t="str">
        <f t="shared" si="29"/>
        <v>17-K04-00</v>
      </c>
      <c r="H683">
        <v>0.86660000000000004</v>
      </c>
      <c r="I683" t="s">
        <v>541</v>
      </c>
      <c r="J683" t="s">
        <v>14</v>
      </c>
      <c r="K683" t="str">
        <f t="shared" si="27"/>
        <v>3F1</v>
      </c>
      <c r="L683" t="s">
        <v>15</v>
      </c>
    </row>
    <row r="684" spans="1:12" x14ac:dyDescent="0.25">
      <c r="A684" t="str">
        <f t="shared" si="28"/>
        <v>0909143224</v>
      </c>
      <c r="B684" t="str">
        <f t="shared" si="25"/>
        <v>89301000</v>
      </c>
      <c r="C684" s="1">
        <v>44298</v>
      </c>
      <c r="D684" s="1">
        <v>44299</v>
      </c>
      <c r="E684">
        <v>1</v>
      </c>
      <c r="F684" t="s">
        <v>637</v>
      </c>
      <c r="G684" t="str">
        <f t="shared" si="29"/>
        <v>17-K04-00</v>
      </c>
      <c r="H684">
        <v>0.86660000000000004</v>
      </c>
      <c r="I684" t="s">
        <v>541</v>
      </c>
      <c r="J684" t="s">
        <v>14</v>
      </c>
      <c r="K684" t="str">
        <f t="shared" si="27"/>
        <v>3F1</v>
      </c>
      <c r="L684" t="s">
        <v>15</v>
      </c>
    </row>
    <row r="685" spans="1:12" x14ac:dyDescent="0.25">
      <c r="A685" t="str">
        <f t="shared" si="28"/>
        <v>0909143224</v>
      </c>
      <c r="B685" t="str">
        <f t="shared" si="25"/>
        <v>89301000</v>
      </c>
      <c r="C685" s="1">
        <v>44267</v>
      </c>
      <c r="D685" s="1">
        <v>44268</v>
      </c>
      <c r="E685">
        <v>1</v>
      </c>
      <c r="F685" t="s">
        <v>688</v>
      </c>
      <c r="G685" t="str">
        <f t="shared" si="29"/>
        <v>17-K04-00</v>
      </c>
      <c r="H685">
        <v>0.86660000000000004</v>
      </c>
      <c r="I685" t="s">
        <v>541</v>
      </c>
      <c r="J685" t="s">
        <v>14</v>
      </c>
      <c r="K685" t="str">
        <f t="shared" si="27"/>
        <v>3F1</v>
      </c>
      <c r="L685" t="s">
        <v>15</v>
      </c>
    </row>
    <row r="686" spans="1:12" x14ac:dyDescent="0.25">
      <c r="A686" t="str">
        <f t="shared" si="28"/>
        <v>0909143224</v>
      </c>
      <c r="B686" t="str">
        <f t="shared" si="25"/>
        <v>89301000</v>
      </c>
      <c r="C686" s="1">
        <v>44246</v>
      </c>
      <c r="D686" s="1">
        <v>44247</v>
      </c>
      <c r="E686">
        <v>1</v>
      </c>
      <c r="F686" t="s">
        <v>637</v>
      </c>
      <c r="G686" t="str">
        <f t="shared" si="29"/>
        <v>17-K04-00</v>
      </c>
      <c r="H686">
        <v>0.86660000000000004</v>
      </c>
      <c r="I686" t="s">
        <v>541</v>
      </c>
      <c r="J686" t="s">
        <v>14</v>
      </c>
      <c r="K686" t="str">
        <f t="shared" si="27"/>
        <v>3F1</v>
      </c>
      <c r="L686" t="s">
        <v>15</v>
      </c>
    </row>
    <row r="687" spans="1:12" x14ac:dyDescent="0.25">
      <c r="A687" t="str">
        <f t="shared" si="28"/>
        <v>0909143224</v>
      </c>
      <c r="B687" t="str">
        <f t="shared" si="25"/>
        <v>89301000</v>
      </c>
      <c r="C687" s="1">
        <v>44239</v>
      </c>
      <c r="D687" s="1">
        <v>44240</v>
      </c>
      <c r="E687">
        <v>1</v>
      </c>
      <c r="F687" t="s">
        <v>637</v>
      </c>
      <c r="G687" t="str">
        <f t="shared" si="29"/>
        <v>17-K04-00</v>
      </c>
      <c r="H687">
        <v>0.86660000000000004</v>
      </c>
      <c r="I687" t="s">
        <v>541</v>
      </c>
      <c r="J687" t="s">
        <v>14</v>
      </c>
      <c r="K687" t="str">
        <f t="shared" si="27"/>
        <v>3F1</v>
      </c>
      <c r="L687" t="s">
        <v>15</v>
      </c>
    </row>
    <row r="688" spans="1:12" x14ac:dyDescent="0.25">
      <c r="A688" t="str">
        <f>"0909145259"</f>
        <v>0909145259</v>
      </c>
      <c r="B688" t="str">
        <f t="shared" si="25"/>
        <v>89301000</v>
      </c>
      <c r="C688" s="1">
        <v>44277</v>
      </c>
      <c r="D688" s="1">
        <v>44279</v>
      </c>
      <c r="E688">
        <v>1</v>
      </c>
      <c r="F688" t="s">
        <v>613</v>
      </c>
      <c r="G688" t="str">
        <f>"03-I14-02"</f>
        <v>03-I14-02</v>
      </c>
      <c r="H688">
        <v>1.1086</v>
      </c>
      <c r="I688" t="s">
        <v>689</v>
      </c>
      <c r="J688" t="s">
        <v>14</v>
      </c>
      <c r="K688" t="str">
        <f t="shared" si="27"/>
        <v>3F1</v>
      </c>
      <c r="L688" t="s">
        <v>15</v>
      </c>
    </row>
    <row r="689" spans="1:12" x14ac:dyDescent="0.25">
      <c r="A689" t="str">
        <f>"0909186069"</f>
        <v>0909186069</v>
      </c>
      <c r="B689" t="str">
        <f t="shared" si="25"/>
        <v>89301000</v>
      </c>
      <c r="C689" s="1">
        <v>44273</v>
      </c>
      <c r="D689" s="1">
        <v>44274</v>
      </c>
      <c r="E689">
        <v>1</v>
      </c>
      <c r="F689" t="s">
        <v>690</v>
      </c>
      <c r="G689" t="str">
        <f>"06-K03-03"</f>
        <v>06-K03-03</v>
      </c>
      <c r="H689">
        <v>0.44019999999999998</v>
      </c>
      <c r="I689" t="s">
        <v>691</v>
      </c>
      <c r="J689" t="s">
        <v>14</v>
      </c>
      <c r="K689" t="str">
        <f t="shared" si="27"/>
        <v>3F1</v>
      </c>
      <c r="L689" t="s">
        <v>15</v>
      </c>
    </row>
    <row r="690" spans="1:12" x14ac:dyDescent="0.25">
      <c r="A690" t="str">
        <f>"0909226065"</f>
        <v>0909226065</v>
      </c>
      <c r="B690" t="str">
        <f t="shared" si="25"/>
        <v>89301000</v>
      </c>
      <c r="C690" s="1">
        <v>44304</v>
      </c>
      <c r="D690" s="1">
        <v>44312</v>
      </c>
      <c r="E690">
        <v>1</v>
      </c>
      <c r="F690" t="s">
        <v>388</v>
      </c>
      <c r="G690" t="str">
        <f>"08-C01-06"</f>
        <v>08-C01-06</v>
      </c>
      <c r="H690">
        <v>1.2525999999999999</v>
      </c>
      <c r="I690" t="s">
        <v>275</v>
      </c>
      <c r="J690" t="s">
        <v>14</v>
      </c>
      <c r="K690" t="str">
        <f t="shared" si="27"/>
        <v>3F1</v>
      </c>
      <c r="L690" t="s">
        <v>15</v>
      </c>
    </row>
    <row r="691" spans="1:12" x14ac:dyDescent="0.25">
      <c r="A691" t="str">
        <f>"0909243225"</f>
        <v>0909243225</v>
      </c>
      <c r="B691" t="str">
        <f t="shared" si="25"/>
        <v>89301000</v>
      </c>
      <c r="C691" s="1">
        <v>44300</v>
      </c>
      <c r="D691" s="1">
        <v>44301</v>
      </c>
      <c r="E691">
        <v>1</v>
      </c>
      <c r="F691" t="s">
        <v>445</v>
      </c>
      <c r="G691" t="str">
        <f>"08-K14-03"</f>
        <v>08-K14-03</v>
      </c>
      <c r="H691">
        <v>0.26169999999999999</v>
      </c>
      <c r="I691" t="s">
        <v>692</v>
      </c>
      <c r="J691" t="s">
        <v>14</v>
      </c>
      <c r="K691" t="str">
        <f t="shared" si="27"/>
        <v>3F1</v>
      </c>
      <c r="L691" t="s">
        <v>15</v>
      </c>
    </row>
    <row r="692" spans="1:12" x14ac:dyDescent="0.25">
      <c r="A692" t="str">
        <f>"0910133235"</f>
        <v>0910133235</v>
      </c>
      <c r="B692" t="str">
        <f t="shared" si="25"/>
        <v>89301000</v>
      </c>
      <c r="C692" s="1">
        <v>44374</v>
      </c>
      <c r="D692" s="1">
        <v>44377</v>
      </c>
      <c r="E692">
        <v>1</v>
      </c>
      <c r="F692" t="s">
        <v>43</v>
      </c>
      <c r="G692" t="str">
        <f>"06-I18-04"</f>
        <v>06-I18-04</v>
      </c>
      <c r="H692">
        <v>1.1514</v>
      </c>
      <c r="J692" t="s">
        <v>24</v>
      </c>
      <c r="K692" t="str">
        <f t="shared" si="27"/>
        <v>3F1</v>
      </c>
      <c r="L692" t="s">
        <v>15</v>
      </c>
    </row>
    <row r="693" spans="1:12" x14ac:dyDescent="0.25">
      <c r="A693" t="str">
        <f>"0912015280"</f>
        <v>0912015280</v>
      </c>
      <c r="B693" t="str">
        <f t="shared" si="25"/>
        <v>89301000</v>
      </c>
      <c r="C693" s="1">
        <v>44405</v>
      </c>
      <c r="D693" s="1">
        <v>44406</v>
      </c>
      <c r="E693">
        <v>1</v>
      </c>
      <c r="F693" t="s">
        <v>605</v>
      </c>
      <c r="G693" t="str">
        <f>"09-K12-00"</f>
        <v>09-K12-00</v>
      </c>
      <c r="H693">
        <v>0.24349999999999999</v>
      </c>
      <c r="I693" t="s">
        <v>693</v>
      </c>
      <c r="J693" t="s">
        <v>14</v>
      </c>
      <c r="K693" t="str">
        <f t="shared" si="27"/>
        <v>3F1</v>
      </c>
      <c r="L693" t="s">
        <v>15</v>
      </c>
    </row>
    <row r="694" spans="1:12" x14ac:dyDescent="0.25">
      <c r="A694" t="str">
        <f>"0912045299"</f>
        <v>0912045299</v>
      </c>
      <c r="B694" t="str">
        <f t="shared" si="25"/>
        <v>89301000</v>
      </c>
      <c r="C694" s="1">
        <v>44443</v>
      </c>
      <c r="D694" s="1">
        <v>44453</v>
      </c>
      <c r="E694">
        <v>1</v>
      </c>
      <c r="F694" t="s">
        <v>694</v>
      </c>
      <c r="G694" t="str">
        <f>"07-K10-00"</f>
        <v>07-K10-00</v>
      </c>
      <c r="H694">
        <v>1.2437</v>
      </c>
      <c r="I694" t="s">
        <v>640</v>
      </c>
      <c r="J694" t="s">
        <v>14</v>
      </c>
      <c r="K694" t="str">
        <f t="shared" ref="K694:K710" si="30">"3F1"</f>
        <v>3F1</v>
      </c>
      <c r="L694" t="s">
        <v>15</v>
      </c>
    </row>
    <row r="695" spans="1:12" x14ac:dyDescent="0.25">
      <c r="A695" t="str">
        <f>"0912293250"</f>
        <v>0912293250</v>
      </c>
      <c r="B695" t="str">
        <f t="shared" si="25"/>
        <v>89301000</v>
      </c>
      <c r="C695" s="1">
        <v>44473</v>
      </c>
      <c r="D695" s="1">
        <v>44474</v>
      </c>
      <c r="E695">
        <v>1</v>
      </c>
      <c r="F695" t="s">
        <v>445</v>
      </c>
      <c r="G695" t="str">
        <f>"08-K14-03"</f>
        <v>08-K14-03</v>
      </c>
      <c r="H695">
        <v>0.26169999999999999</v>
      </c>
      <c r="I695" t="s">
        <v>233</v>
      </c>
      <c r="J695" t="s">
        <v>14</v>
      </c>
      <c r="K695" t="str">
        <f t="shared" si="30"/>
        <v>3F1</v>
      </c>
      <c r="L695" t="s">
        <v>15</v>
      </c>
    </row>
    <row r="696" spans="1:12" x14ac:dyDescent="0.25">
      <c r="A696" t="str">
        <f>"0951073244"</f>
        <v>0951073244</v>
      </c>
      <c r="B696" t="str">
        <f t="shared" si="25"/>
        <v>89301000</v>
      </c>
      <c r="C696" s="1">
        <v>44557</v>
      </c>
      <c r="D696" s="1">
        <v>44558</v>
      </c>
      <c r="E696">
        <v>1</v>
      </c>
      <c r="F696" t="s">
        <v>609</v>
      </c>
      <c r="G696" t="str">
        <f>"08-I20-03"</f>
        <v>08-I20-03</v>
      </c>
      <c r="H696">
        <v>0.63300000000000001</v>
      </c>
      <c r="I696" t="s">
        <v>695</v>
      </c>
      <c r="J696" t="s">
        <v>17</v>
      </c>
      <c r="K696" t="str">
        <f t="shared" si="30"/>
        <v>3F1</v>
      </c>
      <c r="L696" t="s">
        <v>15</v>
      </c>
    </row>
    <row r="697" spans="1:12" x14ac:dyDescent="0.25">
      <c r="A697" t="str">
        <f>"0952266073"</f>
        <v>0952266073</v>
      </c>
      <c r="B697" t="str">
        <f t="shared" si="25"/>
        <v>89301000</v>
      </c>
      <c r="C697" s="1">
        <v>44207</v>
      </c>
      <c r="D697" s="1">
        <v>44209</v>
      </c>
      <c r="E697">
        <v>1</v>
      </c>
      <c r="F697" t="s">
        <v>407</v>
      </c>
      <c r="G697" t="str">
        <f>"03-I19-02"</f>
        <v>03-I19-02</v>
      </c>
      <c r="H697">
        <v>0.88829999999999998</v>
      </c>
      <c r="J697" t="s">
        <v>14</v>
      </c>
      <c r="K697" t="str">
        <f t="shared" si="30"/>
        <v>3F1</v>
      </c>
      <c r="L697" t="s">
        <v>15</v>
      </c>
    </row>
    <row r="698" spans="1:12" x14ac:dyDescent="0.25">
      <c r="A698" t="str">
        <f>"0953123226"</f>
        <v>0953123226</v>
      </c>
      <c r="B698" t="str">
        <f t="shared" si="25"/>
        <v>89301000</v>
      </c>
      <c r="C698" s="1">
        <v>44357</v>
      </c>
      <c r="D698" s="1">
        <v>44361</v>
      </c>
      <c r="E698">
        <v>1</v>
      </c>
      <c r="F698" t="s">
        <v>43</v>
      </c>
      <c r="G698" t="str">
        <f>"06-I18-04"</f>
        <v>06-I18-04</v>
      </c>
      <c r="H698">
        <v>1.1514</v>
      </c>
      <c r="J698" t="s">
        <v>24</v>
      </c>
      <c r="K698" t="str">
        <f t="shared" si="30"/>
        <v>3F1</v>
      </c>
      <c r="L698" t="s">
        <v>15</v>
      </c>
    </row>
    <row r="699" spans="1:12" x14ac:dyDescent="0.25">
      <c r="A699" t="str">
        <f>"0953263256"</f>
        <v>0953263256</v>
      </c>
      <c r="B699" t="str">
        <f t="shared" si="25"/>
        <v>89301000</v>
      </c>
      <c r="C699" s="1">
        <v>44272</v>
      </c>
      <c r="D699" s="1">
        <v>44276</v>
      </c>
      <c r="E699">
        <v>1</v>
      </c>
      <c r="F699" t="s">
        <v>43</v>
      </c>
      <c r="G699" t="str">
        <f>"06-I18-04"</f>
        <v>06-I18-04</v>
      </c>
      <c r="H699">
        <v>1.1514</v>
      </c>
      <c r="I699" t="s">
        <v>168</v>
      </c>
      <c r="J699" t="s">
        <v>24</v>
      </c>
      <c r="K699" t="str">
        <f t="shared" si="30"/>
        <v>3F1</v>
      </c>
      <c r="L699" t="s">
        <v>15</v>
      </c>
    </row>
    <row r="700" spans="1:12" x14ac:dyDescent="0.25">
      <c r="A700" t="str">
        <f>"0953267095"</f>
        <v>0953267095</v>
      </c>
      <c r="B700" t="str">
        <f t="shared" si="25"/>
        <v>89301000</v>
      </c>
      <c r="C700" s="1">
        <v>44509</v>
      </c>
      <c r="D700" s="1">
        <v>44512</v>
      </c>
      <c r="E700">
        <v>1</v>
      </c>
      <c r="F700" t="s">
        <v>696</v>
      </c>
      <c r="G700" t="str">
        <f>"08-I23-02"</f>
        <v>08-I23-02</v>
      </c>
      <c r="H700">
        <v>0.93840000000000001</v>
      </c>
      <c r="I700" t="s">
        <v>697</v>
      </c>
      <c r="J700" t="s">
        <v>17</v>
      </c>
      <c r="K700" t="str">
        <f t="shared" si="30"/>
        <v>3F1</v>
      </c>
      <c r="L700" t="s">
        <v>15</v>
      </c>
    </row>
    <row r="701" spans="1:12" x14ac:dyDescent="0.25">
      <c r="A701" t="str">
        <f>"0954293263"</f>
        <v>0954293263</v>
      </c>
      <c r="B701" t="str">
        <f t="shared" ref="B701:B763" si="31">"89301000"</f>
        <v>89301000</v>
      </c>
      <c r="C701" s="1">
        <v>44427</v>
      </c>
      <c r="D701" s="1">
        <v>44430</v>
      </c>
      <c r="E701">
        <v>1</v>
      </c>
      <c r="F701" t="s">
        <v>467</v>
      </c>
      <c r="G701" t="str">
        <f>"06-K22-03"</f>
        <v>06-K22-03</v>
      </c>
      <c r="H701">
        <v>0.3165</v>
      </c>
      <c r="J701" t="s">
        <v>14</v>
      </c>
      <c r="K701" t="str">
        <f t="shared" si="30"/>
        <v>3F1</v>
      </c>
      <c r="L701" t="s">
        <v>15</v>
      </c>
    </row>
    <row r="702" spans="1:12" x14ac:dyDescent="0.25">
      <c r="A702" t="str">
        <f>"0954293263"</f>
        <v>0954293263</v>
      </c>
      <c r="B702" t="str">
        <f t="shared" si="31"/>
        <v>89301000</v>
      </c>
      <c r="C702" s="1">
        <v>44475</v>
      </c>
      <c r="D702" s="1">
        <v>44480</v>
      </c>
      <c r="E702">
        <v>1</v>
      </c>
      <c r="F702" t="s">
        <v>631</v>
      </c>
      <c r="G702" t="str">
        <f>"06-I18-04"</f>
        <v>06-I18-04</v>
      </c>
      <c r="H702">
        <v>1.1514</v>
      </c>
      <c r="I702" t="s">
        <v>698</v>
      </c>
      <c r="J702" t="s">
        <v>24</v>
      </c>
      <c r="K702" t="str">
        <f t="shared" si="30"/>
        <v>3F1</v>
      </c>
      <c r="L702" t="s">
        <v>15</v>
      </c>
    </row>
    <row r="703" spans="1:12" x14ac:dyDescent="0.25">
      <c r="A703" t="str">
        <f>"0955103237"</f>
        <v>0955103237</v>
      </c>
      <c r="B703" t="str">
        <f t="shared" si="31"/>
        <v>89301000</v>
      </c>
      <c r="C703" s="1">
        <v>44446</v>
      </c>
      <c r="D703" s="1">
        <v>44452</v>
      </c>
      <c r="E703">
        <v>1</v>
      </c>
      <c r="F703" t="s">
        <v>699</v>
      </c>
      <c r="G703" t="str">
        <f>"16-K02-03"</f>
        <v>16-K02-03</v>
      </c>
      <c r="H703">
        <v>0.5302</v>
      </c>
      <c r="I703" t="s">
        <v>700</v>
      </c>
      <c r="J703" t="s">
        <v>14</v>
      </c>
      <c r="K703" t="str">
        <f t="shared" si="30"/>
        <v>3F1</v>
      </c>
      <c r="L703" t="s">
        <v>15</v>
      </c>
    </row>
    <row r="704" spans="1:12" x14ac:dyDescent="0.25">
      <c r="A704" t="str">
        <f>"0955173263"</f>
        <v>0955173263</v>
      </c>
      <c r="B704" t="str">
        <f t="shared" si="31"/>
        <v>89301000</v>
      </c>
      <c r="C704" s="1">
        <v>44270</v>
      </c>
      <c r="D704" s="1">
        <v>44271</v>
      </c>
      <c r="E704">
        <v>1</v>
      </c>
      <c r="F704" t="s">
        <v>445</v>
      </c>
      <c r="G704" t="str">
        <f>"08-I20-03"</f>
        <v>08-I20-03</v>
      </c>
      <c r="H704">
        <v>0.63300000000000001</v>
      </c>
      <c r="I704" t="s">
        <v>196</v>
      </c>
      <c r="J704" t="s">
        <v>17</v>
      </c>
      <c r="K704" t="str">
        <f t="shared" si="30"/>
        <v>3F1</v>
      </c>
      <c r="L704" t="s">
        <v>15</v>
      </c>
    </row>
    <row r="705" spans="1:12" x14ac:dyDescent="0.25">
      <c r="A705" t="str">
        <f>"0955293229"</f>
        <v>0955293229</v>
      </c>
      <c r="B705" t="str">
        <f t="shared" si="31"/>
        <v>89301000</v>
      </c>
      <c r="C705" s="1">
        <v>44426</v>
      </c>
      <c r="D705" s="1">
        <v>44427</v>
      </c>
      <c r="E705">
        <v>1</v>
      </c>
      <c r="F705" t="s">
        <v>563</v>
      </c>
      <c r="G705" t="str">
        <f>"06-K22-03"</f>
        <v>06-K22-03</v>
      </c>
      <c r="H705">
        <v>0.3165</v>
      </c>
      <c r="I705" t="s">
        <v>168</v>
      </c>
      <c r="J705" t="s">
        <v>14</v>
      </c>
      <c r="K705" t="str">
        <f t="shared" si="30"/>
        <v>3F1</v>
      </c>
      <c r="L705" t="s">
        <v>15</v>
      </c>
    </row>
    <row r="706" spans="1:12" x14ac:dyDescent="0.25">
      <c r="A706" t="str">
        <f>"0956195339"</f>
        <v>0956195339</v>
      </c>
      <c r="B706" t="str">
        <f t="shared" si="31"/>
        <v>89301000</v>
      </c>
      <c r="C706" s="1">
        <v>44297</v>
      </c>
      <c r="D706" s="1">
        <v>44299</v>
      </c>
      <c r="E706">
        <v>1</v>
      </c>
      <c r="F706" t="s">
        <v>449</v>
      </c>
      <c r="G706" t="str">
        <f>"02-I11-01"</f>
        <v>02-I11-01</v>
      </c>
      <c r="H706">
        <v>0.87619999999999998</v>
      </c>
      <c r="J706" t="s">
        <v>17</v>
      </c>
      <c r="K706" t="str">
        <f t="shared" si="30"/>
        <v>3F1</v>
      </c>
      <c r="L706" t="s">
        <v>15</v>
      </c>
    </row>
    <row r="707" spans="1:12" x14ac:dyDescent="0.25">
      <c r="A707" t="str">
        <f>"0957135267"</f>
        <v>0957135267</v>
      </c>
      <c r="B707" t="str">
        <f t="shared" si="31"/>
        <v>89301000</v>
      </c>
      <c r="C707" s="1">
        <v>44257</v>
      </c>
      <c r="D707" s="1">
        <v>44258</v>
      </c>
      <c r="E707">
        <v>1</v>
      </c>
      <c r="F707" t="s">
        <v>292</v>
      </c>
      <c r="G707" t="str">
        <f>"08-K14-03"</f>
        <v>08-K14-03</v>
      </c>
      <c r="H707">
        <v>0.26169999999999999</v>
      </c>
      <c r="I707" t="s">
        <v>701</v>
      </c>
      <c r="J707" t="s">
        <v>14</v>
      </c>
      <c r="K707" t="str">
        <f t="shared" si="30"/>
        <v>3F1</v>
      </c>
      <c r="L707" t="s">
        <v>15</v>
      </c>
    </row>
    <row r="708" spans="1:12" x14ac:dyDescent="0.25">
      <c r="A708" t="str">
        <f>"0959026068"</f>
        <v>0959026068</v>
      </c>
      <c r="B708" t="str">
        <f t="shared" si="31"/>
        <v>89301000</v>
      </c>
      <c r="C708" s="1">
        <v>44494</v>
      </c>
      <c r="D708" s="1">
        <v>44498</v>
      </c>
      <c r="E708">
        <v>1</v>
      </c>
      <c r="F708" t="s">
        <v>43</v>
      </c>
      <c r="G708" t="str">
        <f>"06-I18-04"</f>
        <v>06-I18-04</v>
      </c>
      <c r="H708">
        <v>1.1514</v>
      </c>
      <c r="I708" t="s">
        <v>168</v>
      </c>
      <c r="J708" t="s">
        <v>24</v>
      </c>
      <c r="K708" t="str">
        <f t="shared" si="30"/>
        <v>3F1</v>
      </c>
      <c r="L708" t="s">
        <v>15</v>
      </c>
    </row>
    <row r="709" spans="1:12" x14ac:dyDescent="0.25">
      <c r="A709" t="str">
        <f>"0959145264"</f>
        <v>0959145264</v>
      </c>
      <c r="B709" t="str">
        <f t="shared" si="31"/>
        <v>89301000</v>
      </c>
      <c r="C709" s="1">
        <v>44498</v>
      </c>
      <c r="D709" s="1">
        <v>44501</v>
      </c>
      <c r="E709">
        <v>1</v>
      </c>
      <c r="F709" t="s">
        <v>702</v>
      </c>
      <c r="G709" t="str">
        <f>"02-K11-01"</f>
        <v>02-K11-01</v>
      </c>
      <c r="H709">
        <v>0.88200000000000001</v>
      </c>
      <c r="I709" t="s">
        <v>703</v>
      </c>
      <c r="J709" t="s">
        <v>14</v>
      </c>
      <c r="K709" t="str">
        <f t="shared" si="30"/>
        <v>3F1</v>
      </c>
      <c r="L709" t="s">
        <v>15</v>
      </c>
    </row>
    <row r="710" spans="1:12" x14ac:dyDescent="0.25">
      <c r="A710" t="str">
        <f>"0959175338"</f>
        <v>0959175338</v>
      </c>
      <c r="B710" t="str">
        <f t="shared" si="31"/>
        <v>89301000</v>
      </c>
      <c r="C710" s="1">
        <v>44292</v>
      </c>
      <c r="D710" s="1">
        <v>44293</v>
      </c>
      <c r="E710">
        <v>1</v>
      </c>
      <c r="F710" t="s">
        <v>334</v>
      </c>
      <c r="G710" t="str">
        <f>"06-K03-03"</f>
        <v>06-K03-03</v>
      </c>
      <c r="H710">
        <v>0.44019999999999998</v>
      </c>
      <c r="J710" t="s">
        <v>14</v>
      </c>
      <c r="K710" t="str">
        <f t="shared" si="30"/>
        <v>3F1</v>
      </c>
      <c r="L710" t="s">
        <v>15</v>
      </c>
    </row>
    <row r="711" spans="1:12" x14ac:dyDescent="0.25">
      <c r="A711" t="str">
        <f>"0959253240"</f>
        <v>0959253240</v>
      </c>
      <c r="B711" t="str">
        <f t="shared" si="31"/>
        <v>89301000</v>
      </c>
      <c r="C711" s="1">
        <v>44518</v>
      </c>
      <c r="D711" s="1">
        <v>44518</v>
      </c>
      <c r="E711">
        <v>1</v>
      </c>
      <c r="F711" t="s">
        <v>173</v>
      </c>
      <c r="G711" t="str">
        <f>"08-I32-02"</f>
        <v>08-I32-02</v>
      </c>
      <c r="H711">
        <v>0.20760000000000001</v>
      </c>
      <c r="J711" t="s">
        <v>14</v>
      </c>
      <c r="K711" t="str">
        <f>"5F3"</f>
        <v>5F3</v>
      </c>
      <c r="L711" t="s">
        <v>15</v>
      </c>
    </row>
    <row r="712" spans="1:12" x14ac:dyDescent="0.25">
      <c r="A712" t="str">
        <f>"0959253240"</f>
        <v>0959253240</v>
      </c>
      <c r="B712" t="str">
        <f t="shared" si="31"/>
        <v>89301000</v>
      </c>
      <c r="C712" s="1">
        <v>44365</v>
      </c>
      <c r="D712" s="1">
        <v>44367</v>
      </c>
      <c r="E712">
        <v>1</v>
      </c>
      <c r="F712" t="s">
        <v>292</v>
      </c>
      <c r="G712" t="str">
        <f>"08-I20-03"</f>
        <v>08-I20-03</v>
      </c>
      <c r="H712">
        <v>0.63300000000000001</v>
      </c>
      <c r="I712" t="s">
        <v>704</v>
      </c>
      <c r="J712" t="s">
        <v>17</v>
      </c>
      <c r="K712" t="str">
        <f t="shared" ref="K712:K743" si="32">"3F1"</f>
        <v>3F1</v>
      </c>
      <c r="L712" t="s">
        <v>15</v>
      </c>
    </row>
    <row r="713" spans="1:12" x14ac:dyDescent="0.25">
      <c r="A713" t="str">
        <f>"0960066063"</f>
        <v>0960066063</v>
      </c>
      <c r="B713" t="str">
        <f t="shared" si="31"/>
        <v>89301000</v>
      </c>
      <c r="C713" s="1">
        <v>44413</v>
      </c>
      <c r="D713" s="1">
        <v>44417</v>
      </c>
      <c r="E713">
        <v>1</v>
      </c>
      <c r="F713" t="s">
        <v>705</v>
      </c>
      <c r="G713" t="str">
        <f>"08-K02-03"</f>
        <v>08-K02-03</v>
      </c>
      <c r="H713">
        <v>0.73560000000000003</v>
      </c>
      <c r="J713" t="s">
        <v>14</v>
      </c>
      <c r="K713" t="str">
        <f t="shared" si="32"/>
        <v>3F1</v>
      </c>
      <c r="L713" t="s">
        <v>15</v>
      </c>
    </row>
    <row r="714" spans="1:12" x14ac:dyDescent="0.25">
      <c r="A714" t="str">
        <f>"0960085269"</f>
        <v>0960085269</v>
      </c>
      <c r="B714" t="str">
        <f t="shared" si="31"/>
        <v>89301000</v>
      </c>
      <c r="C714" s="1">
        <v>44326</v>
      </c>
      <c r="D714" s="1">
        <v>44330</v>
      </c>
      <c r="E714">
        <v>1</v>
      </c>
      <c r="F714" t="s">
        <v>706</v>
      </c>
      <c r="G714" t="str">
        <f>"03-I14-02"</f>
        <v>03-I14-02</v>
      </c>
      <c r="H714">
        <v>1.1086</v>
      </c>
      <c r="I714" t="s">
        <v>707</v>
      </c>
      <c r="J714" t="s">
        <v>14</v>
      </c>
      <c r="K714" t="str">
        <f t="shared" si="32"/>
        <v>3F1</v>
      </c>
      <c r="L714" t="s">
        <v>15</v>
      </c>
    </row>
    <row r="715" spans="1:12" x14ac:dyDescent="0.25">
      <c r="A715" t="str">
        <f>"0960126090"</f>
        <v>0960126090</v>
      </c>
      <c r="B715" t="str">
        <f t="shared" si="31"/>
        <v>89301000</v>
      </c>
      <c r="C715" s="1">
        <v>44315</v>
      </c>
      <c r="D715" s="1">
        <v>44320</v>
      </c>
      <c r="E715">
        <v>1</v>
      </c>
      <c r="F715" t="s">
        <v>152</v>
      </c>
      <c r="G715" t="str">
        <f>"19-K01-03"</f>
        <v>19-K01-03</v>
      </c>
      <c r="H715">
        <v>0.60250000000000004</v>
      </c>
      <c r="J715" t="s">
        <v>27</v>
      </c>
      <c r="K715" t="str">
        <f t="shared" si="32"/>
        <v>3F1</v>
      </c>
      <c r="L715" t="s">
        <v>15</v>
      </c>
    </row>
    <row r="716" spans="1:12" x14ac:dyDescent="0.25">
      <c r="A716" t="str">
        <f>"0961026099"</f>
        <v>0961026099</v>
      </c>
      <c r="B716" t="str">
        <f t="shared" si="31"/>
        <v>89301000</v>
      </c>
      <c r="C716" s="1">
        <v>44237</v>
      </c>
      <c r="D716" s="1">
        <v>44238</v>
      </c>
      <c r="E716">
        <v>1</v>
      </c>
      <c r="F716" t="s">
        <v>210</v>
      </c>
      <c r="G716" t="str">
        <f>"08-I20-02"</f>
        <v>08-I20-02</v>
      </c>
      <c r="H716">
        <v>0.94159999999999999</v>
      </c>
      <c r="I716" t="s">
        <v>708</v>
      </c>
      <c r="J716" t="s">
        <v>17</v>
      </c>
      <c r="K716" t="str">
        <f t="shared" si="32"/>
        <v>3F1</v>
      </c>
      <c r="L716" t="s">
        <v>15</v>
      </c>
    </row>
    <row r="717" spans="1:12" x14ac:dyDescent="0.25">
      <c r="A717" t="str">
        <f>"0961026099"</f>
        <v>0961026099</v>
      </c>
      <c r="B717" t="str">
        <f t="shared" si="31"/>
        <v>89301000</v>
      </c>
      <c r="C717" s="1">
        <v>44369</v>
      </c>
      <c r="D717" s="1">
        <v>44370</v>
      </c>
      <c r="E717">
        <v>1</v>
      </c>
      <c r="F717" t="s">
        <v>173</v>
      </c>
      <c r="G717" t="str">
        <f>"08-I32-02"</f>
        <v>08-I32-02</v>
      </c>
      <c r="H717">
        <v>0.4143</v>
      </c>
      <c r="J717" t="s">
        <v>14</v>
      </c>
      <c r="K717" t="str">
        <f t="shared" si="32"/>
        <v>3F1</v>
      </c>
      <c r="L717" t="s">
        <v>15</v>
      </c>
    </row>
    <row r="718" spans="1:12" x14ac:dyDescent="0.25">
      <c r="A718" t="str">
        <f>"0961113241"</f>
        <v>0961113241</v>
      </c>
      <c r="B718" t="str">
        <f t="shared" si="31"/>
        <v>89301000</v>
      </c>
      <c r="C718" s="1">
        <v>44474</v>
      </c>
      <c r="D718" s="1">
        <v>44476</v>
      </c>
      <c r="E718">
        <v>1</v>
      </c>
      <c r="F718" t="s">
        <v>709</v>
      </c>
      <c r="G718" t="str">
        <f>"06-K10-02"</f>
        <v>06-K10-02</v>
      </c>
      <c r="H718">
        <v>0.79259999999999997</v>
      </c>
      <c r="I718" t="s">
        <v>148</v>
      </c>
      <c r="J718" t="s">
        <v>14</v>
      </c>
      <c r="K718" t="str">
        <f t="shared" si="32"/>
        <v>3F1</v>
      </c>
      <c r="L718" t="s">
        <v>15</v>
      </c>
    </row>
    <row r="719" spans="1:12" x14ac:dyDescent="0.25">
      <c r="A719" t="str">
        <f>"0961114924"</f>
        <v>0961114924</v>
      </c>
      <c r="B719" t="str">
        <f t="shared" si="31"/>
        <v>89301000</v>
      </c>
      <c r="C719" s="1">
        <v>44369</v>
      </c>
      <c r="D719" s="1">
        <v>44371</v>
      </c>
      <c r="E719">
        <v>1</v>
      </c>
      <c r="F719" t="s">
        <v>471</v>
      </c>
      <c r="G719" t="str">
        <f>"03-I14-02"</f>
        <v>03-I14-02</v>
      </c>
      <c r="H719">
        <v>1.1086</v>
      </c>
      <c r="I719" t="s">
        <v>710</v>
      </c>
      <c r="J719" t="s">
        <v>14</v>
      </c>
      <c r="K719" t="str">
        <f t="shared" si="32"/>
        <v>3F1</v>
      </c>
      <c r="L719" t="s">
        <v>15</v>
      </c>
    </row>
    <row r="720" spans="1:12" x14ac:dyDescent="0.25">
      <c r="A720" t="str">
        <f>"0961125264"</f>
        <v>0961125264</v>
      </c>
      <c r="B720" t="str">
        <f t="shared" si="31"/>
        <v>89301000</v>
      </c>
      <c r="C720" s="1">
        <v>44369</v>
      </c>
      <c r="D720" s="1">
        <v>44377</v>
      </c>
      <c r="E720">
        <v>1</v>
      </c>
      <c r="F720" t="s">
        <v>140</v>
      </c>
      <c r="G720" t="str">
        <f>"02-I04-00"</f>
        <v>02-I04-00</v>
      </c>
      <c r="H720">
        <v>0.96789999999999998</v>
      </c>
      <c r="I720" t="s">
        <v>711</v>
      </c>
      <c r="J720" t="s">
        <v>17</v>
      </c>
      <c r="K720" t="str">
        <f t="shared" si="32"/>
        <v>3F1</v>
      </c>
      <c r="L720" t="s">
        <v>15</v>
      </c>
    </row>
    <row r="721" spans="1:12" x14ac:dyDescent="0.25">
      <c r="A721" t="str">
        <f>"0962150387"</f>
        <v>0962150387</v>
      </c>
      <c r="B721" t="str">
        <f t="shared" si="31"/>
        <v>89301000</v>
      </c>
      <c r="C721" s="1">
        <v>44493</v>
      </c>
      <c r="D721" s="1">
        <v>44495</v>
      </c>
      <c r="E721">
        <v>1</v>
      </c>
      <c r="F721" t="s">
        <v>50</v>
      </c>
      <c r="G721" t="str">
        <f>"02-I11-01"</f>
        <v>02-I11-01</v>
      </c>
      <c r="H721">
        <v>0.87619999999999998</v>
      </c>
      <c r="I721" t="s">
        <v>712</v>
      </c>
      <c r="J721" t="s">
        <v>17</v>
      </c>
      <c r="K721" t="str">
        <f t="shared" si="32"/>
        <v>3F1</v>
      </c>
      <c r="L721" t="s">
        <v>15</v>
      </c>
    </row>
    <row r="722" spans="1:12" x14ac:dyDescent="0.25">
      <c r="A722" t="str">
        <f>"1001013244"</f>
        <v>1001013244</v>
      </c>
      <c r="B722" t="str">
        <f t="shared" si="31"/>
        <v>89301000</v>
      </c>
      <c r="C722" s="1">
        <v>44503</v>
      </c>
      <c r="D722" s="1">
        <v>44509</v>
      </c>
      <c r="E722">
        <v>1</v>
      </c>
      <c r="F722" t="s">
        <v>630</v>
      </c>
      <c r="G722" t="str">
        <f>"06-I18-02"</f>
        <v>06-I18-02</v>
      </c>
      <c r="H722">
        <v>2.0447000000000002</v>
      </c>
      <c r="I722" t="s">
        <v>168</v>
      </c>
      <c r="J722" t="s">
        <v>24</v>
      </c>
      <c r="K722" t="str">
        <f t="shared" si="32"/>
        <v>3F1</v>
      </c>
      <c r="L722" t="s">
        <v>15</v>
      </c>
    </row>
    <row r="723" spans="1:12" x14ac:dyDescent="0.25">
      <c r="A723" t="str">
        <f>"1001126181"</f>
        <v>1001126181</v>
      </c>
      <c r="B723" t="str">
        <f t="shared" si="31"/>
        <v>89301000</v>
      </c>
      <c r="C723" s="1">
        <v>44229</v>
      </c>
      <c r="D723" s="1">
        <v>44232</v>
      </c>
      <c r="E723">
        <v>1</v>
      </c>
      <c r="F723" t="s">
        <v>713</v>
      </c>
      <c r="G723" t="str">
        <f>"03-I14-02"</f>
        <v>03-I14-02</v>
      </c>
      <c r="H723">
        <v>1.1086</v>
      </c>
      <c r="I723" t="s">
        <v>714</v>
      </c>
      <c r="J723" t="s">
        <v>14</v>
      </c>
      <c r="K723" t="str">
        <f t="shared" si="32"/>
        <v>3F1</v>
      </c>
      <c r="L723" t="s">
        <v>15</v>
      </c>
    </row>
    <row r="724" spans="1:12" x14ac:dyDescent="0.25">
      <c r="A724" t="str">
        <f>"1002015278"</f>
        <v>1002015278</v>
      </c>
      <c r="B724" t="str">
        <f t="shared" si="31"/>
        <v>89301000</v>
      </c>
      <c r="C724" s="1">
        <v>44487</v>
      </c>
      <c r="D724" s="1">
        <v>44489</v>
      </c>
      <c r="E724">
        <v>1</v>
      </c>
      <c r="F724" t="s">
        <v>715</v>
      </c>
      <c r="G724" t="str">
        <f>"03-K12-01"</f>
        <v>03-K12-01</v>
      </c>
      <c r="H724">
        <v>0.376</v>
      </c>
      <c r="I724" t="s">
        <v>716</v>
      </c>
      <c r="J724" t="s">
        <v>14</v>
      </c>
      <c r="K724" t="str">
        <f t="shared" si="32"/>
        <v>3F1</v>
      </c>
      <c r="L724" t="s">
        <v>15</v>
      </c>
    </row>
    <row r="725" spans="1:12" x14ac:dyDescent="0.25">
      <c r="A725" t="str">
        <f>"1002056077"</f>
        <v>1002056077</v>
      </c>
      <c r="B725" t="str">
        <f t="shared" si="31"/>
        <v>89301000</v>
      </c>
      <c r="C725" s="1">
        <v>44404</v>
      </c>
      <c r="D725" s="1">
        <v>44405</v>
      </c>
      <c r="E725">
        <v>1</v>
      </c>
      <c r="F725" t="s">
        <v>445</v>
      </c>
      <c r="G725" t="str">
        <f>"08-I20-03"</f>
        <v>08-I20-03</v>
      </c>
      <c r="H725">
        <v>0.63300000000000001</v>
      </c>
      <c r="I725" t="s">
        <v>717</v>
      </c>
      <c r="J725" t="s">
        <v>17</v>
      </c>
      <c r="K725" t="str">
        <f t="shared" si="32"/>
        <v>3F1</v>
      </c>
      <c r="L725" t="s">
        <v>15</v>
      </c>
    </row>
    <row r="726" spans="1:12" x14ac:dyDescent="0.25">
      <c r="A726" t="str">
        <f>"1003023274"</f>
        <v>1003023274</v>
      </c>
      <c r="B726" t="str">
        <f t="shared" si="31"/>
        <v>89301000</v>
      </c>
      <c r="C726" s="1">
        <v>44452</v>
      </c>
      <c r="D726" s="1">
        <v>44474</v>
      </c>
      <c r="E726">
        <v>1</v>
      </c>
      <c r="F726" t="s">
        <v>718</v>
      </c>
      <c r="G726" t="str">
        <f>"00-M01-03"</f>
        <v>00-M01-03</v>
      </c>
      <c r="H726">
        <v>9.6457999999999995</v>
      </c>
      <c r="I726" t="s">
        <v>719</v>
      </c>
      <c r="J726" t="s">
        <v>14</v>
      </c>
      <c r="K726" t="str">
        <f t="shared" si="32"/>
        <v>3F1</v>
      </c>
      <c r="L726" t="s">
        <v>15</v>
      </c>
    </row>
    <row r="727" spans="1:12" x14ac:dyDescent="0.25">
      <c r="A727" t="str">
        <f>"1003023274"</f>
        <v>1003023274</v>
      </c>
      <c r="B727" t="str">
        <f t="shared" si="31"/>
        <v>89301000</v>
      </c>
      <c r="C727" s="1">
        <v>44395</v>
      </c>
      <c r="D727" s="1">
        <v>44399</v>
      </c>
      <c r="E727">
        <v>1</v>
      </c>
      <c r="F727" t="s">
        <v>720</v>
      </c>
      <c r="G727" t="str">
        <f>"06-K02-04"</f>
        <v>06-K02-04</v>
      </c>
      <c r="H727">
        <v>0.3634</v>
      </c>
      <c r="I727" t="s">
        <v>552</v>
      </c>
      <c r="J727" t="s">
        <v>14</v>
      </c>
      <c r="K727" t="str">
        <f t="shared" si="32"/>
        <v>3F1</v>
      </c>
      <c r="L727" t="s">
        <v>15</v>
      </c>
    </row>
    <row r="728" spans="1:12" x14ac:dyDescent="0.25">
      <c r="A728" t="str">
        <f>"1003226070"</f>
        <v>1003226070</v>
      </c>
      <c r="B728" t="str">
        <f t="shared" si="31"/>
        <v>89301000</v>
      </c>
      <c r="C728" s="1">
        <v>44318</v>
      </c>
      <c r="D728" s="1">
        <v>44323</v>
      </c>
      <c r="E728">
        <v>1</v>
      </c>
      <c r="F728" t="s">
        <v>617</v>
      </c>
      <c r="G728" t="str">
        <f>"06-K02-04"</f>
        <v>06-K02-04</v>
      </c>
      <c r="H728">
        <v>0.3634</v>
      </c>
      <c r="I728" t="s">
        <v>721</v>
      </c>
      <c r="J728" t="s">
        <v>14</v>
      </c>
      <c r="K728" t="str">
        <f t="shared" si="32"/>
        <v>3F1</v>
      </c>
      <c r="L728" t="s">
        <v>15</v>
      </c>
    </row>
    <row r="729" spans="1:12" x14ac:dyDescent="0.25">
      <c r="A729" t="str">
        <f>"1004126068"</f>
        <v>1004126068</v>
      </c>
      <c r="B729" t="str">
        <f t="shared" si="31"/>
        <v>89301000</v>
      </c>
      <c r="C729" s="1">
        <v>44227</v>
      </c>
      <c r="D729" s="1">
        <v>44228</v>
      </c>
      <c r="E729">
        <v>1</v>
      </c>
      <c r="F729" t="s">
        <v>722</v>
      </c>
      <c r="G729" t="str">
        <f>"03-I22-03"</f>
        <v>03-I22-03</v>
      </c>
      <c r="H729">
        <v>0.49049999999999999</v>
      </c>
      <c r="I729" t="s">
        <v>168</v>
      </c>
      <c r="J729" t="s">
        <v>14</v>
      </c>
      <c r="K729" t="str">
        <f t="shared" si="32"/>
        <v>3F1</v>
      </c>
      <c r="L729" t="s">
        <v>15</v>
      </c>
    </row>
    <row r="730" spans="1:12" x14ac:dyDescent="0.25">
      <c r="A730" t="str">
        <f>"1004186062"</f>
        <v>1004186062</v>
      </c>
      <c r="B730" t="str">
        <f t="shared" si="31"/>
        <v>89301000</v>
      </c>
      <c r="C730" s="1">
        <v>44557</v>
      </c>
      <c r="D730" s="1">
        <v>44558</v>
      </c>
      <c r="E730">
        <v>1</v>
      </c>
      <c r="F730" t="s">
        <v>287</v>
      </c>
      <c r="G730" t="str">
        <f>"01-K16-06"</f>
        <v>01-K16-06</v>
      </c>
      <c r="H730">
        <v>0.26469999999999999</v>
      </c>
      <c r="I730" t="s">
        <v>723</v>
      </c>
      <c r="J730" t="s">
        <v>14</v>
      </c>
      <c r="K730" t="str">
        <f t="shared" si="32"/>
        <v>3F1</v>
      </c>
      <c r="L730" t="s">
        <v>15</v>
      </c>
    </row>
    <row r="731" spans="1:12" x14ac:dyDescent="0.25">
      <c r="A731" t="str">
        <f>"1004186161"</f>
        <v>1004186161</v>
      </c>
      <c r="B731" t="str">
        <f t="shared" si="31"/>
        <v>89301000</v>
      </c>
      <c r="C731" s="1">
        <v>44239</v>
      </c>
      <c r="D731" s="1">
        <v>44242</v>
      </c>
      <c r="E731">
        <v>1</v>
      </c>
      <c r="F731" t="s">
        <v>724</v>
      </c>
      <c r="G731" t="str">
        <f>"06-K10-03"</f>
        <v>06-K10-03</v>
      </c>
      <c r="H731">
        <v>0.43880000000000002</v>
      </c>
      <c r="I731" t="s">
        <v>168</v>
      </c>
      <c r="J731" t="s">
        <v>14</v>
      </c>
      <c r="K731" t="str">
        <f t="shared" si="32"/>
        <v>3F1</v>
      </c>
      <c r="L731" t="s">
        <v>15</v>
      </c>
    </row>
    <row r="732" spans="1:12" x14ac:dyDescent="0.25">
      <c r="A732" t="str">
        <f>"1004275272"</f>
        <v>1004275272</v>
      </c>
      <c r="B732" t="str">
        <f t="shared" si="31"/>
        <v>89301000</v>
      </c>
      <c r="C732" s="1">
        <v>44279</v>
      </c>
      <c r="D732" s="1">
        <v>44281</v>
      </c>
      <c r="E732">
        <v>1</v>
      </c>
      <c r="F732" t="s">
        <v>174</v>
      </c>
      <c r="G732" t="str">
        <f>"12-I14-00"</f>
        <v>12-I14-00</v>
      </c>
      <c r="H732">
        <v>0.44350000000000001</v>
      </c>
      <c r="J732" t="s">
        <v>14</v>
      </c>
      <c r="K732" t="str">
        <f t="shared" si="32"/>
        <v>3F1</v>
      </c>
      <c r="L732" t="s">
        <v>15</v>
      </c>
    </row>
    <row r="733" spans="1:12" x14ac:dyDescent="0.25">
      <c r="A733" t="str">
        <f>"1005103242"</f>
        <v>1005103242</v>
      </c>
      <c r="B733" t="str">
        <f t="shared" si="31"/>
        <v>89301000</v>
      </c>
      <c r="C733" s="1">
        <v>44375</v>
      </c>
      <c r="D733" s="1">
        <v>44379</v>
      </c>
      <c r="E733">
        <v>1</v>
      </c>
      <c r="F733" t="s">
        <v>725</v>
      </c>
      <c r="G733" t="str">
        <f>"09-I13-05"</f>
        <v>09-I13-05</v>
      </c>
      <c r="H733">
        <v>0.43659999999999999</v>
      </c>
      <c r="J733" t="s">
        <v>14</v>
      </c>
      <c r="K733" t="str">
        <f t="shared" si="32"/>
        <v>3F1</v>
      </c>
      <c r="L733" t="s">
        <v>15</v>
      </c>
    </row>
    <row r="734" spans="1:12" x14ac:dyDescent="0.25">
      <c r="A734" t="str">
        <f>"1006133656"</f>
        <v>1006133656</v>
      </c>
      <c r="B734" t="str">
        <f t="shared" si="31"/>
        <v>89301000</v>
      </c>
      <c r="C734" s="1">
        <v>44461</v>
      </c>
      <c r="D734" s="1">
        <v>44468</v>
      </c>
      <c r="E734">
        <v>1</v>
      </c>
      <c r="F734" t="s">
        <v>726</v>
      </c>
      <c r="G734" t="str">
        <f>"12-I07-02"</f>
        <v>12-I07-02</v>
      </c>
      <c r="H734">
        <v>1.8573</v>
      </c>
      <c r="I734" t="s">
        <v>727</v>
      </c>
      <c r="J734" t="s">
        <v>17</v>
      </c>
      <c r="K734" t="str">
        <f t="shared" si="32"/>
        <v>3F1</v>
      </c>
      <c r="L734" t="s">
        <v>15</v>
      </c>
    </row>
    <row r="735" spans="1:12" x14ac:dyDescent="0.25">
      <c r="A735" t="str">
        <f>"1006163279"</f>
        <v>1006163279</v>
      </c>
      <c r="B735" t="str">
        <f t="shared" si="31"/>
        <v>89301000</v>
      </c>
      <c r="C735" s="1">
        <v>44297</v>
      </c>
      <c r="D735" s="1">
        <v>44301</v>
      </c>
      <c r="E735">
        <v>1</v>
      </c>
      <c r="F735" t="s">
        <v>43</v>
      </c>
      <c r="G735" t="str">
        <f>"06-I18-04"</f>
        <v>06-I18-04</v>
      </c>
      <c r="H735">
        <v>1.1514</v>
      </c>
      <c r="J735" t="s">
        <v>24</v>
      </c>
      <c r="K735" t="str">
        <f t="shared" si="32"/>
        <v>3F1</v>
      </c>
      <c r="L735" t="s">
        <v>15</v>
      </c>
    </row>
    <row r="736" spans="1:12" x14ac:dyDescent="0.25">
      <c r="A736" t="str">
        <f>"1006286171"</f>
        <v>1006286171</v>
      </c>
      <c r="B736" t="str">
        <f t="shared" si="31"/>
        <v>89301000</v>
      </c>
      <c r="C736" s="1">
        <v>44494</v>
      </c>
      <c r="D736" s="1">
        <v>44501</v>
      </c>
      <c r="E736">
        <v>1</v>
      </c>
      <c r="F736" t="s">
        <v>728</v>
      </c>
      <c r="G736" t="str">
        <f>"09-I13-03"</f>
        <v>09-I13-03</v>
      </c>
      <c r="H736">
        <v>0.77380000000000004</v>
      </c>
      <c r="I736" t="s">
        <v>729</v>
      </c>
      <c r="J736" t="s">
        <v>14</v>
      </c>
      <c r="K736" t="str">
        <f t="shared" si="32"/>
        <v>3F1</v>
      </c>
      <c r="L736" t="s">
        <v>15</v>
      </c>
    </row>
    <row r="737" spans="1:12" x14ac:dyDescent="0.25">
      <c r="A737" t="str">
        <f>"1007130300"</f>
        <v>1007130300</v>
      </c>
      <c r="B737" t="str">
        <f t="shared" si="31"/>
        <v>89301000</v>
      </c>
      <c r="C737" s="1">
        <v>44275</v>
      </c>
      <c r="D737" s="1">
        <v>44284</v>
      </c>
      <c r="E737">
        <v>1</v>
      </c>
      <c r="F737" t="s">
        <v>388</v>
      </c>
      <c r="G737" t="str">
        <f>"08-C01-03"</f>
        <v>08-C01-03</v>
      </c>
      <c r="H737">
        <v>1.9153</v>
      </c>
      <c r="I737" t="s">
        <v>275</v>
      </c>
      <c r="J737" t="s">
        <v>14</v>
      </c>
      <c r="K737" t="str">
        <f t="shared" si="32"/>
        <v>3F1</v>
      </c>
      <c r="L737" t="s">
        <v>15</v>
      </c>
    </row>
    <row r="738" spans="1:12" x14ac:dyDescent="0.25">
      <c r="A738" t="str">
        <f>"1008050252"</f>
        <v>1008050252</v>
      </c>
      <c r="B738" t="str">
        <f t="shared" si="31"/>
        <v>89301000</v>
      </c>
      <c r="C738" s="1">
        <v>44362</v>
      </c>
      <c r="D738" s="1">
        <v>44365</v>
      </c>
      <c r="E738">
        <v>1</v>
      </c>
      <c r="F738" t="s">
        <v>43</v>
      </c>
      <c r="G738" t="str">
        <f>"06-I18-04"</f>
        <v>06-I18-04</v>
      </c>
      <c r="H738">
        <v>1.1514</v>
      </c>
      <c r="J738" t="s">
        <v>24</v>
      </c>
      <c r="K738" t="str">
        <f t="shared" si="32"/>
        <v>3F1</v>
      </c>
      <c r="L738" t="s">
        <v>15</v>
      </c>
    </row>
    <row r="739" spans="1:12" x14ac:dyDescent="0.25">
      <c r="A739" t="str">
        <f>"1008301074"</f>
        <v>1008301074</v>
      </c>
      <c r="B739" t="str">
        <f t="shared" si="31"/>
        <v>89301000</v>
      </c>
      <c r="C739" s="1">
        <v>44455</v>
      </c>
      <c r="D739" s="1">
        <v>44457</v>
      </c>
      <c r="E739">
        <v>1</v>
      </c>
      <c r="F739" t="s">
        <v>730</v>
      </c>
      <c r="G739" t="str">
        <f>"03-I19-03"</f>
        <v>03-I19-03</v>
      </c>
      <c r="H739">
        <v>0.60699999999999998</v>
      </c>
      <c r="J739" t="s">
        <v>14</v>
      </c>
      <c r="K739" t="str">
        <f t="shared" si="32"/>
        <v>3F1</v>
      </c>
      <c r="L739" t="s">
        <v>15</v>
      </c>
    </row>
    <row r="740" spans="1:12" x14ac:dyDescent="0.25">
      <c r="A740" t="str">
        <f>"1009011938"</f>
        <v>1009011938</v>
      </c>
      <c r="B740" t="str">
        <f t="shared" si="31"/>
        <v>89301000</v>
      </c>
      <c r="C740" s="1">
        <v>44230</v>
      </c>
      <c r="D740" s="1">
        <v>44232</v>
      </c>
      <c r="E740">
        <v>1</v>
      </c>
      <c r="F740" t="s">
        <v>174</v>
      </c>
      <c r="G740" t="str">
        <f>"12-I14-00"</f>
        <v>12-I14-00</v>
      </c>
      <c r="H740">
        <v>0.44350000000000001</v>
      </c>
      <c r="J740" t="s">
        <v>14</v>
      </c>
      <c r="K740" t="str">
        <f t="shared" si="32"/>
        <v>3F1</v>
      </c>
      <c r="L740" t="s">
        <v>15</v>
      </c>
    </row>
    <row r="741" spans="1:12" x14ac:dyDescent="0.25">
      <c r="A741" t="str">
        <f>"1009031782"</f>
        <v>1009031782</v>
      </c>
      <c r="B741" t="str">
        <f t="shared" si="31"/>
        <v>89301000</v>
      </c>
      <c r="C741" s="1">
        <v>44264</v>
      </c>
      <c r="D741" s="1">
        <v>44267</v>
      </c>
      <c r="E741">
        <v>1</v>
      </c>
      <c r="F741" t="s">
        <v>731</v>
      </c>
      <c r="G741" t="str">
        <f>"06-K02-03"</f>
        <v>06-K02-03</v>
      </c>
      <c r="H741">
        <v>0.47960000000000003</v>
      </c>
      <c r="I741" t="s">
        <v>530</v>
      </c>
      <c r="J741" t="s">
        <v>14</v>
      </c>
      <c r="K741" t="str">
        <f t="shared" si="32"/>
        <v>3F1</v>
      </c>
      <c r="L741" t="s">
        <v>15</v>
      </c>
    </row>
    <row r="742" spans="1:12" x14ac:dyDescent="0.25">
      <c r="A742" t="str">
        <f>"1009071657"</f>
        <v>1009071657</v>
      </c>
      <c r="B742" t="str">
        <f t="shared" si="31"/>
        <v>89301000</v>
      </c>
      <c r="C742" s="1">
        <v>44287</v>
      </c>
      <c r="D742" s="1">
        <v>44290</v>
      </c>
      <c r="E742">
        <v>1</v>
      </c>
      <c r="F742" t="s">
        <v>43</v>
      </c>
      <c r="G742" t="str">
        <f>"06-I18-04"</f>
        <v>06-I18-04</v>
      </c>
      <c r="H742">
        <v>1.1514</v>
      </c>
      <c r="J742" t="s">
        <v>24</v>
      </c>
      <c r="K742" t="str">
        <f t="shared" si="32"/>
        <v>3F1</v>
      </c>
      <c r="L742" t="s">
        <v>15</v>
      </c>
    </row>
    <row r="743" spans="1:12" x14ac:dyDescent="0.25">
      <c r="A743" t="str">
        <f>"1009160559"</f>
        <v>1009160559</v>
      </c>
      <c r="B743" t="str">
        <f t="shared" si="31"/>
        <v>89301000</v>
      </c>
      <c r="C743" s="1">
        <v>44375</v>
      </c>
      <c r="D743" s="1">
        <v>44385</v>
      </c>
      <c r="E743">
        <v>1</v>
      </c>
      <c r="F743" t="s">
        <v>304</v>
      </c>
      <c r="G743" t="str">
        <f>"10-K03-02"</f>
        <v>10-K03-02</v>
      </c>
      <c r="H743">
        <v>1.3724000000000001</v>
      </c>
      <c r="I743" t="s">
        <v>354</v>
      </c>
      <c r="J743" t="s">
        <v>14</v>
      </c>
      <c r="K743" t="str">
        <f t="shared" si="32"/>
        <v>3F1</v>
      </c>
      <c r="L743" t="s">
        <v>15</v>
      </c>
    </row>
    <row r="744" spans="1:12" x14ac:dyDescent="0.25">
      <c r="A744" t="str">
        <f>"1009202172"</f>
        <v>1009202172</v>
      </c>
      <c r="B744" t="str">
        <f t="shared" si="31"/>
        <v>89301000</v>
      </c>
      <c r="C744" s="1">
        <v>44368</v>
      </c>
      <c r="D744" s="1">
        <v>44372</v>
      </c>
      <c r="E744">
        <v>1</v>
      </c>
      <c r="F744" t="s">
        <v>544</v>
      </c>
      <c r="G744" t="str">
        <f>"09-K02-00"</f>
        <v>09-K02-00</v>
      </c>
      <c r="H744">
        <v>1.1361000000000001</v>
      </c>
      <c r="J744" t="s">
        <v>14</v>
      </c>
      <c r="K744" t="str">
        <f>"4F4"</f>
        <v>4F4</v>
      </c>
      <c r="L744" t="s">
        <v>15</v>
      </c>
    </row>
    <row r="745" spans="1:12" x14ac:dyDescent="0.25">
      <c r="A745" t="str">
        <f>"1009220223"</f>
        <v>1009220223</v>
      </c>
      <c r="B745" t="str">
        <f t="shared" si="31"/>
        <v>89301000</v>
      </c>
      <c r="C745" s="1">
        <v>44299</v>
      </c>
      <c r="D745" s="1">
        <v>44302</v>
      </c>
      <c r="E745">
        <v>1</v>
      </c>
      <c r="F745" t="s">
        <v>732</v>
      </c>
      <c r="G745" t="str">
        <f>"08-I23-02"</f>
        <v>08-I23-02</v>
      </c>
      <c r="H745">
        <v>0.93840000000000001</v>
      </c>
      <c r="I745" t="s">
        <v>525</v>
      </c>
      <c r="J745" t="s">
        <v>17</v>
      </c>
      <c r="K745" t="str">
        <f t="shared" ref="K745:K775" si="33">"3F1"</f>
        <v>3F1</v>
      </c>
      <c r="L745" t="s">
        <v>15</v>
      </c>
    </row>
    <row r="746" spans="1:12" x14ac:dyDescent="0.25">
      <c r="A746" t="str">
        <f>"1010191171"</f>
        <v>1010191171</v>
      </c>
      <c r="B746" t="str">
        <f t="shared" si="31"/>
        <v>89301000</v>
      </c>
      <c r="C746" s="1">
        <v>44509</v>
      </c>
      <c r="D746" s="1">
        <v>44512</v>
      </c>
      <c r="E746">
        <v>1</v>
      </c>
      <c r="F746" t="s">
        <v>733</v>
      </c>
      <c r="G746" t="str">
        <f>"08-I26-02"</f>
        <v>08-I26-02</v>
      </c>
      <c r="H746">
        <v>0.83399999999999996</v>
      </c>
      <c r="J746" t="s">
        <v>14</v>
      </c>
      <c r="K746" t="str">
        <f t="shared" si="33"/>
        <v>3F1</v>
      </c>
      <c r="L746" t="s">
        <v>15</v>
      </c>
    </row>
    <row r="747" spans="1:12" x14ac:dyDescent="0.25">
      <c r="A747" t="str">
        <f>"1010270426"</f>
        <v>1010270426</v>
      </c>
      <c r="B747" t="str">
        <f t="shared" si="31"/>
        <v>89301000</v>
      </c>
      <c r="C747" s="1">
        <v>44356</v>
      </c>
      <c r="D747" s="1">
        <v>44357</v>
      </c>
      <c r="E747">
        <v>1</v>
      </c>
      <c r="F747" t="s">
        <v>46</v>
      </c>
      <c r="G747" t="str">
        <f>"06-K02-03"</f>
        <v>06-K02-03</v>
      </c>
      <c r="H747">
        <v>0.47960000000000003</v>
      </c>
      <c r="I747" t="s">
        <v>168</v>
      </c>
      <c r="J747" t="s">
        <v>14</v>
      </c>
      <c r="K747" t="str">
        <f t="shared" si="33"/>
        <v>3F1</v>
      </c>
      <c r="L747" t="s">
        <v>15</v>
      </c>
    </row>
    <row r="748" spans="1:12" x14ac:dyDescent="0.25">
      <c r="A748" t="str">
        <f>"1011150272"</f>
        <v>1011150272</v>
      </c>
      <c r="B748" t="str">
        <f t="shared" si="31"/>
        <v>89301000</v>
      </c>
      <c r="C748" s="1">
        <v>44488</v>
      </c>
      <c r="D748" s="1">
        <v>44490</v>
      </c>
      <c r="E748">
        <v>1</v>
      </c>
      <c r="F748" t="s">
        <v>173</v>
      </c>
      <c r="G748" t="str">
        <f>"08-I32-02"</f>
        <v>08-I32-02</v>
      </c>
      <c r="H748">
        <v>0.4143</v>
      </c>
      <c r="I748" t="s">
        <v>734</v>
      </c>
      <c r="J748" t="s">
        <v>14</v>
      </c>
      <c r="K748" t="str">
        <f t="shared" si="33"/>
        <v>3F1</v>
      </c>
      <c r="L748" t="s">
        <v>15</v>
      </c>
    </row>
    <row r="749" spans="1:12" x14ac:dyDescent="0.25">
      <c r="A749" t="str">
        <f>"1011150272"</f>
        <v>1011150272</v>
      </c>
      <c r="B749" t="str">
        <f t="shared" si="31"/>
        <v>89301000</v>
      </c>
      <c r="C749" s="1">
        <v>44245</v>
      </c>
      <c r="D749" s="1">
        <v>44246</v>
      </c>
      <c r="E749">
        <v>1</v>
      </c>
      <c r="F749" t="s">
        <v>735</v>
      </c>
      <c r="G749" t="str">
        <f>"08-I20-02"</f>
        <v>08-I20-02</v>
      </c>
      <c r="H749">
        <v>0.94159999999999999</v>
      </c>
      <c r="I749" t="s">
        <v>21</v>
      </c>
      <c r="J749" t="s">
        <v>17</v>
      </c>
      <c r="K749" t="str">
        <f t="shared" si="33"/>
        <v>3F1</v>
      </c>
      <c r="L749" t="s">
        <v>15</v>
      </c>
    </row>
    <row r="750" spans="1:12" x14ac:dyDescent="0.25">
      <c r="A750" t="str">
        <f>"1012140173"</f>
        <v>1012140173</v>
      </c>
      <c r="B750" t="str">
        <f t="shared" si="31"/>
        <v>89301000</v>
      </c>
      <c r="C750" s="1">
        <v>44531</v>
      </c>
      <c r="D750" s="1">
        <v>44533</v>
      </c>
      <c r="E750">
        <v>1</v>
      </c>
      <c r="F750" t="s">
        <v>151</v>
      </c>
      <c r="G750" t="str">
        <f>"06-I16-05"</f>
        <v>06-I16-05</v>
      </c>
      <c r="H750">
        <v>0.46139999999999998</v>
      </c>
      <c r="J750" t="s">
        <v>24</v>
      </c>
      <c r="K750" t="str">
        <f t="shared" si="33"/>
        <v>3F1</v>
      </c>
      <c r="L750" t="s">
        <v>15</v>
      </c>
    </row>
    <row r="751" spans="1:12" x14ac:dyDescent="0.25">
      <c r="A751" t="str">
        <f>"1012210419"</f>
        <v>1012210419</v>
      </c>
      <c r="B751" t="str">
        <f t="shared" si="31"/>
        <v>89301000</v>
      </c>
      <c r="C751" s="1">
        <v>44375</v>
      </c>
      <c r="D751" s="1">
        <v>44378</v>
      </c>
      <c r="E751">
        <v>1</v>
      </c>
      <c r="F751" t="s">
        <v>43</v>
      </c>
      <c r="G751" t="str">
        <f>"06-I18-04"</f>
        <v>06-I18-04</v>
      </c>
      <c r="H751">
        <v>1.1514</v>
      </c>
      <c r="J751" t="s">
        <v>24</v>
      </c>
      <c r="K751" t="str">
        <f t="shared" si="33"/>
        <v>3F1</v>
      </c>
      <c r="L751" t="s">
        <v>15</v>
      </c>
    </row>
    <row r="752" spans="1:12" x14ac:dyDescent="0.25">
      <c r="A752" t="str">
        <f>"1012291412"</f>
        <v>1012291412</v>
      </c>
      <c r="B752" t="str">
        <f t="shared" si="31"/>
        <v>89301000</v>
      </c>
      <c r="C752" s="1">
        <v>44441</v>
      </c>
      <c r="D752" s="1">
        <v>44443</v>
      </c>
      <c r="E752">
        <v>1</v>
      </c>
      <c r="F752" t="s">
        <v>635</v>
      </c>
      <c r="G752" t="str">
        <f>"01-K16-06"</f>
        <v>01-K16-06</v>
      </c>
      <c r="H752">
        <v>0.26469999999999999</v>
      </c>
      <c r="I752" t="s">
        <v>736</v>
      </c>
      <c r="J752" t="s">
        <v>14</v>
      </c>
      <c r="K752" t="str">
        <f t="shared" si="33"/>
        <v>3F1</v>
      </c>
      <c r="L752" t="s">
        <v>15</v>
      </c>
    </row>
    <row r="753" spans="1:12" x14ac:dyDescent="0.25">
      <c r="A753" t="str">
        <f>"1051025272"</f>
        <v>1051025272</v>
      </c>
      <c r="B753" t="str">
        <f t="shared" si="31"/>
        <v>89301000</v>
      </c>
      <c r="C753" s="1">
        <v>44435</v>
      </c>
      <c r="D753" s="1">
        <v>44438</v>
      </c>
      <c r="E753">
        <v>1</v>
      </c>
      <c r="F753" t="s">
        <v>720</v>
      </c>
      <c r="G753" t="str">
        <f>"06-K02-04"</f>
        <v>06-K02-04</v>
      </c>
      <c r="H753">
        <v>0.3634</v>
      </c>
      <c r="J753" t="s">
        <v>14</v>
      </c>
      <c r="K753" t="str">
        <f t="shared" si="33"/>
        <v>3F1</v>
      </c>
      <c r="L753" t="s">
        <v>15</v>
      </c>
    </row>
    <row r="754" spans="1:12" x14ac:dyDescent="0.25">
      <c r="A754" t="str">
        <f>"1051233238"</f>
        <v>1051233238</v>
      </c>
      <c r="B754" t="str">
        <f t="shared" si="31"/>
        <v>89301000</v>
      </c>
      <c r="C754" s="1">
        <v>44279</v>
      </c>
      <c r="D754" s="1">
        <v>44280</v>
      </c>
      <c r="E754">
        <v>1</v>
      </c>
      <c r="F754" t="s">
        <v>292</v>
      </c>
      <c r="G754" t="str">
        <f>"08-K14-03"</f>
        <v>08-K14-03</v>
      </c>
      <c r="H754">
        <v>0.26169999999999999</v>
      </c>
      <c r="I754" t="s">
        <v>410</v>
      </c>
      <c r="J754" t="s">
        <v>14</v>
      </c>
      <c r="K754" t="str">
        <f t="shared" si="33"/>
        <v>3F1</v>
      </c>
      <c r="L754" t="s">
        <v>15</v>
      </c>
    </row>
    <row r="755" spans="1:12" x14ac:dyDescent="0.25">
      <c r="A755" t="str">
        <f>"1051266073"</f>
        <v>1051266073</v>
      </c>
      <c r="B755" t="str">
        <f t="shared" si="31"/>
        <v>89301000</v>
      </c>
      <c r="C755" s="1">
        <v>44555</v>
      </c>
      <c r="D755" s="1">
        <v>44561</v>
      </c>
      <c r="E755">
        <v>1</v>
      </c>
      <c r="F755" t="s">
        <v>351</v>
      </c>
      <c r="G755" t="str">
        <f>"10-K04-03"</f>
        <v>10-K04-03</v>
      </c>
      <c r="H755">
        <v>0.7984</v>
      </c>
      <c r="I755" t="s">
        <v>737</v>
      </c>
      <c r="J755" t="s">
        <v>14</v>
      </c>
      <c r="K755" t="str">
        <f t="shared" si="33"/>
        <v>3F1</v>
      </c>
      <c r="L755" t="s">
        <v>15</v>
      </c>
    </row>
    <row r="756" spans="1:12" x14ac:dyDescent="0.25">
      <c r="A756" t="str">
        <f>"1052183253"</f>
        <v>1052183253</v>
      </c>
      <c r="B756" t="str">
        <f t="shared" si="31"/>
        <v>89301000</v>
      </c>
      <c r="C756" s="1">
        <v>44335</v>
      </c>
      <c r="D756" s="1">
        <v>44337</v>
      </c>
      <c r="E756">
        <v>1</v>
      </c>
      <c r="F756" t="s">
        <v>151</v>
      </c>
      <c r="G756" t="str">
        <f>"06-I16-05"</f>
        <v>06-I16-05</v>
      </c>
      <c r="H756">
        <v>0.46139999999999998</v>
      </c>
      <c r="J756" t="s">
        <v>24</v>
      </c>
      <c r="K756" t="str">
        <f t="shared" si="33"/>
        <v>3F1</v>
      </c>
      <c r="L756" t="s">
        <v>15</v>
      </c>
    </row>
    <row r="757" spans="1:12" x14ac:dyDescent="0.25">
      <c r="A757" t="str">
        <f>"1053246062"</f>
        <v>1053246062</v>
      </c>
      <c r="B757" t="str">
        <f t="shared" si="31"/>
        <v>89301000</v>
      </c>
      <c r="C757" s="1">
        <v>44254</v>
      </c>
      <c r="D757" s="1">
        <v>44255</v>
      </c>
      <c r="E757">
        <v>1</v>
      </c>
      <c r="F757" t="s">
        <v>396</v>
      </c>
      <c r="G757" t="str">
        <f>"08-I20-03"</f>
        <v>08-I20-03</v>
      </c>
      <c r="H757">
        <v>0.63300000000000001</v>
      </c>
      <c r="I757" t="s">
        <v>606</v>
      </c>
      <c r="J757" t="s">
        <v>17</v>
      </c>
      <c r="K757" t="str">
        <f t="shared" si="33"/>
        <v>3F1</v>
      </c>
      <c r="L757" t="s">
        <v>15</v>
      </c>
    </row>
    <row r="758" spans="1:12" x14ac:dyDescent="0.25">
      <c r="A758" t="str">
        <f>"1054053231"</f>
        <v>1054053231</v>
      </c>
      <c r="B758" t="str">
        <f t="shared" si="31"/>
        <v>89301000</v>
      </c>
      <c r="C758" s="1">
        <v>44525</v>
      </c>
      <c r="D758" s="1">
        <v>44526</v>
      </c>
      <c r="E758">
        <v>1</v>
      </c>
      <c r="F758" t="s">
        <v>738</v>
      </c>
      <c r="G758" t="str">
        <f>"08-I20-03"</f>
        <v>08-I20-03</v>
      </c>
      <c r="H758">
        <v>0.63300000000000001</v>
      </c>
      <c r="I758" t="s">
        <v>739</v>
      </c>
      <c r="J758" t="s">
        <v>17</v>
      </c>
      <c r="K758" t="str">
        <f t="shared" si="33"/>
        <v>3F1</v>
      </c>
      <c r="L758" t="s">
        <v>15</v>
      </c>
    </row>
    <row r="759" spans="1:12" x14ac:dyDescent="0.25">
      <c r="A759" t="str">
        <f>"1054145290"</f>
        <v>1054145290</v>
      </c>
      <c r="B759" t="str">
        <f t="shared" si="31"/>
        <v>89301000</v>
      </c>
      <c r="C759" s="1">
        <v>44508</v>
      </c>
      <c r="D759" s="1">
        <v>44510</v>
      </c>
      <c r="E759">
        <v>6</v>
      </c>
      <c r="F759" t="s">
        <v>740</v>
      </c>
      <c r="G759" t="str">
        <f>"08-K01-03"</f>
        <v>08-K01-03</v>
      </c>
      <c r="H759">
        <v>0.65310000000000001</v>
      </c>
      <c r="J759" t="s">
        <v>14</v>
      </c>
      <c r="K759" t="str">
        <f t="shared" si="33"/>
        <v>3F1</v>
      </c>
      <c r="L759" t="s">
        <v>15</v>
      </c>
    </row>
    <row r="760" spans="1:12" x14ac:dyDescent="0.25">
      <c r="A760" t="str">
        <f>"1054145290"</f>
        <v>1054145290</v>
      </c>
      <c r="B760" t="str">
        <f t="shared" si="31"/>
        <v>89301000</v>
      </c>
      <c r="C760" s="1">
        <v>44327</v>
      </c>
      <c r="D760" s="1">
        <v>44330</v>
      </c>
      <c r="E760">
        <v>1</v>
      </c>
      <c r="F760" t="s">
        <v>741</v>
      </c>
      <c r="G760" t="str">
        <f>"11-K03-01"</f>
        <v>11-K03-01</v>
      </c>
      <c r="H760">
        <v>1.2428999999999999</v>
      </c>
      <c r="I760" t="s">
        <v>742</v>
      </c>
      <c r="J760" t="s">
        <v>14</v>
      </c>
      <c r="K760" t="str">
        <f t="shared" si="33"/>
        <v>3F1</v>
      </c>
      <c r="L760" t="s">
        <v>15</v>
      </c>
    </row>
    <row r="761" spans="1:12" x14ac:dyDescent="0.25">
      <c r="A761" t="str">
        <f>"1054245280"</f>
        <v>1054245280</v>
      </c>
      <c r="B761" t="str">
        <f t="shared" si="31"/>
        <v>89301000</v>
      </c>
      <c r="C761" s="1">
        <v>44400</v>
      </c>
      <c r="D761" s="1">
        <v>44400</v>
      </c>
      <c r="E761">
        <v>1</v>
      </c>
      <c r="F761" t="s">
        <v>92</v>
      </c>
      <c r="G761" t="str">
        <f>"05-K15-02"</f>
        <v>05-K15-02</v>
      </c>
      <c r="H761">
        <v>0.23899999999999999</v>
      </c>
      <c r="I761" t="s">
        <v>168</v>
      </c>
      <c r="J761" t="s">
        <v>14</v>
      </c>
      <c r="K761" t="str">
        <f t="shared" si="33"/>
        <v>3F1</v>
      </c>
      <c r="L761" t="s">
        <v>15</v>
      </c>
    </row>
    <row r="762" spans="1:12" x14ac:dyDescent="0.25">
      <c r="A762" t="str">
        <f>"1055077419"</f>
        <v>1055077419</v>
      </c>
      <c r="B762" t="str">
        <f t="shared" si="31"/>
        <v>89301000</v>
      </c>
      <c r="C762" s="1">
        <v>44534</v>
      </c>
      <c r="D762" s="1">
        <v>44535</v>
      </c>
      <c r="E762">
        <v>1</v>
      </c>
      <c r="F762" t="s">
        <v>743</v>
      </c>
      <c r="G762" t="str">
        <f>"21-K05-03"</f>
        <v>21-K05-03</v>
      </c>
      <c r="H762">
        <v>0.46750000000000003</v>
      </c>
      <c r="I762" t="s">
        <v>744</v>
      </c>
      <c r="J762" t="s">
        <v>14</v>
      </c>
      <c r="K762" t="str">
        <f t="shared" si="33"/>
        <v>3F1</v>
      </c>
      <c r="L762" t="s">
        <v>15</v>
      </c>
    </row>
    <row r="763" spans="1:12" x14ac:dyDescent="0.25">
      <c r="A763" t="str">
        <f>"1055136082"</f>
        <v>1055136082</v>
      </c>
      <c r="B763" t="str">
        <f t="shared" si="31"/>
        <v>89301000</v>
      </c>
      <c r="C763" s="1">
        <v>44312</v>
      </c>
      <c r="D763" s="1">
        <v>44313</v>
      </c>
      <c r="E763">
        <v>1</v>
      </c>
      <c r="F763" t="s">
        <v>414</v>
      </c>
      <c r="G763" t="str">
        <f>"19-K01-03"</f>
        <v>19-K01-03</v>
      </c>
      <c r="H763">
        <v>0.60250000000000004</v>
      </c>
      <c r="I763" t="s">
        <v>745</v>
      </c>
      <c r="J763" t="s">
        <v>27</v>
      </c>
      <c r="K763" t="str">
        <f t="shared" si="33"/>
        <v>3F1</v>
      </c>
      <c r="L763" t="s">
        <v>15</v>
      </c>
    </row>
    <row r="764" spans="1:12" x14ac:dyDescent="0.25">
      <c r="A764" t="str">
        <f>"1055201400"</f>
        <v>1055201400</v>
      </c>
      <c r="B764" t="str">
        <f t="shared" ref="B764:B827" si="34">"89301000"</f>
        <v>89301000</v>
      </c>
      <c r="C764" s="1">
        <v>44435</v>
      </c>
      <c r="D764" s="1">
        <v>44453</v>
      </c>
      <c r="E764">
        <v>1</v>
      </c>
      <c r="F764" t="s">
        <v>201</v>
      </c>
      <c r="G764" t="str">
        <f>"04-K02-02"</f>
        <v>04-K02-02</v>
      </c>
      <c r="H764">
        <v>2.5186000000000002</v>
      </c>
      <c r="I764" t="s">
        <v>746</v>
      </c>
      <c r="J764" t="s">
        <v>14</v>
      </c>
      <c r="K764" t="str">
        <f t="shared" si="33"/>
        <v>3F1</v>
      </c>
      <c r="L764" t="s">
        <v>15</v>
      </c>
    </row>
    <row r="765" spans="1:12" x14ac:dyDescent="0.25">
      <c r="A765" t="str">
        <f>"1055303249"</f>
        <v>1055303249</v>
      </c>
      <c r="B765" t="str">
        <f t="shared" si="34"/>
        <v>89301000</v>
      </c>
      <c r="C765" s="1">
        <v>44515</v>
      </c>
      <c r="D765" s="1">
        <v>44518</v>
      </c>
      <c r="E765">
        <v>1</v>
      </c>
      <c r="F765" t="s">
        <v>520</v>
      </c>
      <c r="G765" t="str">
        <f>"01-K07-01"</f>
        <v>01-K07-01</v>
      </c>
      <c r="H765">
        <v>1.2299</v>
      </c>
      <c r="J765" t="s">
        <v>14</v>
      </c>
      <c r="K765" t="str">
        <f t="shared" si="33"/>
        <v>3F1</v>
      </c>
      <c r="L765" t="s">
        <v>15</v>
      </c>
    </row>
    <row r="766" spans="1:12" x14ac:dyDescent="0.25">
      <c r="A766" t="str">
        <f>"1056093258"</f>
        <v>1056093258</v>
      </c>
      <c r="B766" t="str">
        <f t="shared" si="34"/>
        <v>89301000</v>
      </c>
      <c r="C766" s="1">
        <v>44518</v>
      </c>
      <c r="D766" s="1">
        <v>44525</v>
      </c>
      <c r="E766">
        <v>1</v>
      </c>
      <c r="F766" t="s">
        <v>388</v>
      </c>
      <c r="G766" t="str">
        <f>"08-C01-03"</f>
        <v>08-C01-03</v>
      </c>
      <c r="H766">
        <v>1.9153</v>
      </c>
      <c r="I766" t="s">
        <v>747</v>
      </c>
      <c r="J766" t="s">
        <v>14</v>
      </c>
      <c r="K766" t="str">
        <f t="shared" si="33"/>
        <v>3F1</v>
      </c>
      <c r="L766" t="s">
        <v>15</v>
      </c>
    </row>
    <row r="767" spans="1:12" x14ac:dyDescent="0.25">
      <c r="A767" t="str">
        <f>"1056183249"</f>
        <v>1056183249</v>
      </c>
      <c r="B767" t="str">
        <f t="shared" si="34"/>
        <v>89301000</v>
      </c>
      <c r="C767" s="1">
        <v>44362</v>
      </c>
      <c r="D767" s="1">
        <v>44363</v>
      </c>
      <c r="E767">
        <v>1</v>
      </c>
      <c r="F767" t="s">
        <v>445</v>
      </c>
      <c r="G767" t="str">
        <f>"08-I20-03"</f>
        <v>08-I20-03</v>
      </c>
      <c r="H767">
        <v>0.63300000000000001</v>
      </c>
      <c r="I767" t="s">
        <v>748</v>
      </c>
      <c r="J767" t="s">
        <v>17</v>
      </c>
      <c r="K767" t="str">
        <f t="shared" si="33"/>
        <v>3F1</v>
      </c>
      <c r="L767" t="s">
        <v>15</v>
      </c>
    </row>
    <row r="768" spans="1:12" x14ac:dyDescent="0.25">
      <c r="A768" t="str">
        <f>"1057121098"</f>
        <v>1057121098</v>
      </c>
      <c r="B768" t="str">
        <f t="shared" si="34"/>
        <v>89301000</v>
      </c>
      <c r="C768" s="1">
        <v>44305</v>
      </c>
      <c r="D768" s="1">
        <v>44307</v>
      </c>
      <c r="E768">
        <v>1</v>
      </c>
      <c r="F768" t="s">
        <v>749</v>
      </c>
      <c r="G768" t="str">
        <f>"03-I14-02"</f>
        <v>03-I14-02</v>
      </c>
      <c r="H768">
        <v>1.1086</v>
      </c>
      <c r="J768" t="s">
        <v>14</v>
      </c>
      <c r="K768" t="str">
        <f t="shared" si="33"/>
        <v>3F1</v>
      </c>
      <c r="L768" t="s">
        <v>15</v>
      </c>
    </row>
    <row r="769" spans="1:12" x14ac:dyDescent="0.25">
      <c r="A769" t="str">
        <f>"1057190024"</f>
        <v>1057190024</v>
      </c>
      <c r="B769" t="str">
        <f t="shared" si="34"/>
        <v>89301000</v>
      </c>
      <c r="C769" s="1">
        <v>44334</v>
      </c>
      <c r="D769" s="1">
        <v>44336</v>
      </c>
      <c r="E769">
        <v>1</v>
      </c>
      <c r="F769" t="s">
        <v>173</v>
      </c>
      <c r="G769" t="str">
        <f>"08-I32-02"</f>
        <v>08-I32-02</v>
      </c>
      <c r="H769">
        <v>0.4143</v>
      </c>
      <c r="J769" t="s">
        <v>14</v>
      </c>
      <c r="K769" t="str">
        <f t="shared" si="33"/>
        <v>3F1</v>
      </c>
      <c r="L769" t="s">
        <v>15</v>
      </c>
    </row>
    <row r="770" spans="1:12" x14ac:dyDescent="0.25">
      <c r="A770" t="str">
        <f>"1058130953"</f>
        <v>1058130953</v>
      </c>
      <c r="B770" t="str">
        <f t="shared" si="34"/>
        <v>89301000</v>
      </c>
      <c r="C770" s="1">
        <v>44455</v>
      </c>
      <c r="D770" s="1">
        <v>44457</v>
      </c>
      <c r="E770">
        <v>1</v>
      </c>
      <c r="F770" t="s">
        <v>750</v>
      </c>
      <c r="G770" t="str">
        <f>"11-K05-00"</f>
        <v>11-K05-00</v>
      </c>
      <c r="H770">
        <v>0.36730000000000002</v>
      </c>
      <c r="I770" t="s">
        <v>751</v>
      </c>
      <c r="J770" t="s">
        <v>14</v>
      </c>
      <c r="K770" t="str">
        <f t="shared" si="33"/>
        <v>3F1</v>
      </c>
      <c r="L770" t="s">
        <v>15</v>
      </c>
    </row>
    <row r="771" spans="1:12" x14ac:dyDescent="0.25">
      <c r="A771" t="str">
        <f>"1060111327"</f>
        <v>1060111327</v>
      </c>
      <c r="B771" t="str">
        <f t="shared" si="34"/>
        <v>89301000</v>
      </c>
      <c r="C771" s="1">
        <v>44248</v>
      </c>
      <c r="D771" s="1">
        <v>44251</v>
      </c>
      <c r="E771">
        <v>1</v>
      </c>
      <c r="F771" t="s">
        <v>43</v>
      </c>
      <c r="G771" t="str">
        <f>"06-I18-04"</f>
        <v>06-I18-04</v>
      </c>
      <c r="H771">
        <v>1.1514</v>
      </c>
      <c r="I771" t="s">
        <v>168</v>
      </c>
      <c r="J771" t="s">
        <v>24</v>
      </c>
      <c r="K771" t="str">
        <f t="shared" si="33"/>
        <v>3F1</v>
      </c>
      <c r="L771" t="s">
        <v>15</v>
      </c>
    </row>
    <row r="772" spans="1:12" x14ac:dyDescent="0.25">
      <c r="A772" t="str">
        <f>"1060130148"</f>
        <v>1060130148</v>
      </c>
      <c r="B772" t="str">
        <f t="shared" si="34"/>
        <v>89301000</v>
      </c>
      <c r="C772" s="1">
        <v>44354</v>
      </c>
      <c r="D772" s="1">
        <v>44357</v>
      </c>
      <c r="E772">
        <v>1</v>
      </c>
      <c r="F772" t="s">
        <v>351</v>
      </c>
      <c r="G772" t="str">
        <f>"10-M01-00"</f>
        <v>10-M01-00</v>
      </c>
      <c r="H772">
        <v>0.56330000000000002</v>
      </c>
      <c r="J772" t="s">
        <v>14</v>
      </c>
      <c r="K772" t="str">
        <f t="shared" si="33"/>
        <v>3F1</v>
      </c>
      <c r="L772" t="s">
        <v>15</v>
      </c>
    </row>
    <row r="773" spans="1:12" x14ac:dyDescent="0.25">
      <c r="A773" t="str">
        <f>"1061030256"</f>
        <v>1061030256</v>
      </c>
      <c r="B773" t="str">
        <f t="shared" si="34"/>
        <v>89301000</v>
      </c>
      <c r="C773" s="1">
        <v>44227</v>
      </c>
      <c r="D773" s="1">
        <v>44229</v>
      </c>
      <c r="E773">
        <v>1</v>
      </c>
      <c r="F773" t="s">
        <v>621</v>
      </c>
      <c r="G773" t="str">
        <f>"02-I12-02"</f>
        <v>02-I12-02</v>
      </c>
      <c r="H773">
        <v>0.97040000000000004</v>
      </c>
      <c r="J773" t="s">
        <v>14</v>
      </c>
      <c r="K773" t="str">
        <f t="shared" si="33"/>
        <v>3F1</v>
      </c>
      <c r="L773" t="s">
        <v>15</v>
      </c>
    </row>
    <row r="774" spans="1:12" x14ac:dyDescent="0.25">
      <c r="A774" t="str">
        <f>"1061060044"</f>
        <v>1061060044</v>
      </c>
      <c r="B774" t="str">
        <f t="shared" si="34"/>
        <v>89301000</v>
      </c>
      <c r="C774" s="1">
        <v>44361</v>
      </c>
      <c r="D774" s="1">
        <v>44363</v>
      </c>
      <c r="E774">
        <v>1</v>
      </c>
      <c r="F774" t="s">
        <v>752</v>
      </c>
      <c r="G774" t="str">
        <f>"03-I14-02"</f>
        <v>03-I14-02</v>
      </c>
      <c r="H774">
        <v>1.1086</v>
      </c>
      <c r="I774" t="s">
        <v>753</v>
      </c>
      <c r="J774" t="s">
        <v>14</v>
      </c>
      <c r="K774" t="str">
        <f t="shared" si="33"/>
        <v>3F1</v>
      </c>
      <c r="L774" t="s">
        <v>15</v>
      </c>
    </row>
    <row r="775" spans="1:12" x14ac:dyDescent="0.25">
      <c r="A775" t="str">
        <f>"1061060044"</f>
        <v>1061060044</v>
      </c>
      <c r="B775" t="str">
        <f t="shared" si="34"/>
        <v>89301000</v>
      </c>
      <c r="C775" s="1">
        <v>44263</v>
      </c>
      <c r="D775" s="1">
        <v>44265</v>
      </c>
      <c r="E775">
        <v>1</v>
      </c>
      <c r="F775" t="s">
        <v>752</v>
      </c>
      <c r="G775" t="str">
        <f>"03-I14-02"</f>
        <v>03-I14-02</v>
      </c>
      <c r="H775">
        <v>1.1086</v>
      </c>
      <c r="I775" t="s">
        <v>754</v>
      </c>
      <c r="J775" t="s">
        <v>14</v>
      </c>
      <c r="K775" t="str">
        <f t="shared" si="33"/>
        <v>3F1</v>
      </c>
      <c r="L775" t="s">
        <v>15</v>
      </c>
    </row>
    <row r="776" spans="1:12" x14ac:dyDescent="0.25">
      <c r="A776" t="str">
        <f>"1062130190"</f>
        <v>1062130190</v>
      </c>
      <c r="B776" t="str">
        <f t="shared" si="34"/>
        <v>89301000</v>
      </c>
      <c r="C776" s="1">
        <v>44292</v>
      </c>
      <c r="D776" s="1">
        <v>44294</v>
      </c>
      <c r="E776">
        <v>1</v>
      </c>
      <c r="F776" t="s">
        <v>207</v>
      </c>
      <c r="G776" t="str">
        <f>"06-K02-04"</f>
        <v>06-K02-04</v>
      </c>
      <c r="H776">
        <v>0.3634</v>
      </c>
      <c r="I776" t="s">
        <v>274</v>
      </c>
      <c r="J776" t="s">
        <v>14</v>
      </c>
      <c r="K776" t="str">
        <f t="shared" ref="K776:K792" si="35">"3F1"</f>
        <v>3F1</v>
      </c>
      <c r="L776" t="s">
        <v>15</v>
      </c>
    </row>
    <row r="777" spans="1:12" x14ac:dyDescent="0.25">
      <c r="A777" t="str">
        <f>"1062160033"</f>
        <v>1062160033</v>
      </c>
      <c r="B777" t="str">
        <f t="shared" si="34"/>
        <v>89301000</v>
      </c>
      <c r="C777" s="1">
        <v>44446</v>
      </c>
      <c r="D777" s="1">
        <v>44449</v>
      </c>
      <c r="E777">
        <v>1</v>
      </c>
      <c r="F777" t="s">
        <v>617</v>
      </c>
      <c r="G777" t="str">
        <f>"06-K02-04"</f>
        <v>06-K02-04</v>
      </c>
      <c r="H777">
        <v>0.3634</v>
      </c>
      <c r="I777" t="s">
        <v>755</v>
      </c>
      <c r="J777" t="s">
        <v>14</v>
      </c>
      <c r="K777" t="str">
        <f t="shared" si="35"/>
        <v>3F1</v>
      </c>
      <c r="L777" t="s">
        <v>15</v>
      </c>
    </row>
    <row r="778" spans="1:12" x14ac:dyDescent="0.25">
      <c r="A778" t="str">
        <f>"1062170670"</f>
        <v>1062170670</v>
      </c>
      <c r="B778" t="str">
        <f t="shared" si="34"/>
        <v>89301000</v>
      </c>
      <c r="C778" s="1">
        <v>44438</v>
      </c>
      <c r="D778" s="1">
        <v>44441</v>
      </c>
      <c r="E778">
        <v>1</v>
      </c>
      <c r="F778" t="s">
        <v>114</v>
      </c>
      <c r="G778" t="str">
        <f>"03-I17-00"</f>
        <v>03-I17-00</v>
      </c>
      <c r="H778">
        <v>0.84960000000000002</v>
      </c>
      <c r="I778" t="s">
        <v>234</v>
      </c>
      <c r="J778" t="s">
        <v>24</v>
      </c>
      <c r="K778" t="str">
        <f t="shared" si="35"/>
        <v>3F1</v>
      </c>
      <c r="L778" t="s">
        <v>15</v>
      </c>
    </row>
    <row r="779" spans="1:12" x14ac:dyDescent="0.25">
      <c r="A779" t="str">
        <f>"1101051160"</f>
        <v>1101051160</v>
      </c>
      <c r="B779" t="str">
        <f t="shared" si="34"/>
        <v>89301000</v>
      </c>
      <c r="C779" s="1">
        <v>44559</v>
      </c>
      <c r="D779" s="1">
        <v>44561</v>
      </c>
      <c r="E779">
        <v>1</v>
      </c>
      <c r="F779" t="s">
        <v>756</v>
      </c>
      <c r="G779" t="str">
        <f>"19-K01-03"</f>
        <v>19-K01-03</v>
      </c>
      <c r="H779">
        <v>0.60250000000000004</v>
      </c>
      <c r="J779" t="s">
        <v>27</v>
      </c>
      <c r="K779" t="str">
        <f t="shared" si="35"/>
        <v>3F1</v>
      </c>
      <c r="L779" t="s">
        <v>286</v>
      </c>
    </row>
    <row r="780" spans="1:12" x14ac:dyDescent="0.25">
      <c r="A780" t="str">
        <f>"1101160038"</f>
        <v>1101160038</v>
      </c>
      <c r="B780" t="str">
        <f t="shared" si="34"/>
        <v>89301000</v>
      </c>
      <c r="C780" s="1">
        <v>44300</v>
      </c>
      <c r="D780" s="1">
        <v>44302</v>
      </c>
      <c r="E780">
        <v>1</v>
      </c>
      <c r="F780" t="s">
        <v>757</v>
      </c>
      <c r="G780" t="str">
        <f>"21-K01-00"</f>
        <v>21-K01-00</v>
      </c>
      <c r="H780">
        <v>0.81520000000000004</v>
      </c>
      <c r="I780" t="s">
        <v>758</v>
      </c>
      <c r="J780" t="s">
        <v>14</v>
      </c>
      <c r="K780" t="str">
        <f t="shared" si="35"/>
        <v>3F1</v>
      </c>
      <c r="L780" t="s">
        <v>15</v>
      </c>
    </row>
    <row r="781" spans="1:12" x14ac:dyDescent="0.25">
      <c r="A781" t="str">
        <f>"1101200001"</f>
        <v>1101200001</v>
      </c>
      <c r="B781" t="str">
        <f t="shared" si="34"/>
        <v>89301000</v>
      </c>
      <c r="C781" s="1">
        <v>44522</v>
      </c>
      <c r="D781" s="1">
        <v>44525</v>
      </c>
      <c r="E781">
        <v>1</v>
      </c>
      <c r="F781" t="s">
        <v>520</v>
      </c>
      <c r="G781" t="str">
        <f>"01-K07-01"</f>
        <v>01-K07-01</v>
      </c>
      <c r="H781">
        <v>1.2299</v>
      </c>
      <c r="I781" t="s">
        <v>759</v>
      </c>
      <c r="J781" t="s">
        <v>14</v>
      </c>
      <c r="K781" t="str">
        <f t="shared" si="35"/>
        <v>3F1</v>
      </c>
      <c r="L781" t="s">
        <v>15</v>
      </c>
    </row>
    <row r="782" spans="1:12" x14ac:dyDescent="0.25">
      <c r="A782" t="str">
        <f>"1102040203"</f>
        <v>1102040203</v>
      </c>
      <c r="B782" t="str">
        <f t="shared" si="34"/>
        <v>89301000</v>
      </c>
      <c r="C782" s="1">
        <v>44369</v>
      </c>
      <c r="D782" s="1">
        <v>44370</v>
      </c>
      <c r="E782">
        <v>1</v>
      </c>
      <c r="F782" t="s">
        <v>760</v>
      </c>
      <c r="G782" t="str">
        <f>"09-K12-00"</f>
        <v>09-K12-00</v>
      </c>
      <c r="H782">
        <v>0.24349999999999999</v>
      </c>
      <c r="I782" t="s">
        <v>761</v>
      </c>
      <c r="J782" t="s">
        <v>14</v>
      </c>
      <c r="K782" t="str">
        <f t="shared" si="35"/>
        <v>3F1</v>
      </c>
      <c r="L782" t="s">
        <v>15</v>
      </c>
    </row>
    <row r="783" spans="1:12" x14ac:dyDescent="0.25">
      <c r="A783" t="str">
        <f>"1102160213"</f>
        <v>1102160213</v>
      </c>
      <c r="B783" t="str">
        <f t="shared" si="34"/>
        <v>89301000</v>
      </c>
      <c r="C783" s="1">
        <v>44389</v>
      </c>
      <c r="D783" s="1">
        <v>44392</v>
      </c>
      <c r="E783">
        <v>1</v>
      </c>
      <c r="F783" t="s">
        <v>174</v>
      </c>
      <c r="G783" t="str">
        <f>"12-I14-00"</f>
        <v>12-I14-00</v>
      </c>
      <c r="H783">
        <v>0.44350000000000001</v>
      </c>
      <c r="J783" t="s">
        <v>14</v>
      </c>
      <c r="K783" t="str">
        <f t="shared" si="35"/>
        <v>3F1</v>
      </c>
      <c r="L783" t="s">
        <v>15</v>
      </c>
    </row>
    <row r="784" spans="1:12" x14ac:dyDescent="0.25">
      <c r="A784" t="str">
        <f>"1102180486"</f>
        <v>1102180486</v>
      </c>
      <c r="B784" t="str">
        <f t="shared" si="34"/>
        <v>89301000</v>
      </c>
      <c r="C784" s="1">
        <v>44411</v>
      </c>
      <c r="D784" s="1">
        <v>44419</v>
      </c>
      <c r="E784">
        <v>1</v>
      </c>
      <c r="F784" t="s">
        <v>762</v>
      </c>
      <c r="G784" t="str">
        <f>"08-I32-02"</f>
        <v>08-I32-02</v>
      </c>
      <c r="H784">
        <v>0.745</v>
      </c>
      <c r="I784" t="s">
        <v>763</v>
      </c>
      <c r="J784" t="s">
        <v>14</v>
      </c>
      <c r="K784" t="str">
        <f t="shared" si="35"/>
        <v>3F1</v>
      </c>
      <c r="L784" t="s">
        <v>15</v>
      </c>
    </row>
    <row r="785" spans="1:12" x14ac:dyDescent="0.25">
      <c r="A785" t="str">
        <f>"1103162016"</f>
        <v>1103162016</v>
      </c>
      <c r="B785" t="str">
        <f t="shared" si="34"/>
        <v>89301000</v>
      </c>
      <c r="C785" s="1">
        <v>44351</v>
      </c>
      <c r="D785" s="1">
        <v>44400</v>
      </c>
      <c r="E785">
        <v>4</v>
      </c>
      <c r="F785" t="s">
        <v>764</v>
      </c>
      <c r="G785" t="str">
        <f>"01-I06-02"</f>
        <v>01-I06-02</v>
      </c>
      <c r="H785">
        <v>10.629799999999999</v>
      </c>
      <c r="I785" t="s">
        <v>765</v>
      </c>
      <c r="J785" t="s">
        <v>17</v>
      </c>
      <c r="K785" t="str">
        <f t="shared" si="35"/>
        <v>3F1</v>
      </c>
      <c r="L785" t="s">
        <v>15</v>
      </c>
    </row>
    <row r="786" spans="1:12" x14ac:dyDescent="0.25">
      <c r="A786" t="str">
        <f>"1103260070"</f>
        <v>1103260070</v>
      </c>
      <c r="B786" t="str">
        <f t="shared" si="34"/>
        <v>89301000</v>
      </c>
      <c r="C786" s="1">
        <v>44312</v>
      </c>
      <c r="D786" s="1">
        <v>44316</v>
      </c>
      <c r="E786">
        <v>1</v>
      </c>
      <c r="F786" t="s">
        <v>43</v>
      </c>
      <c r="G786" t="str">
        <f>"06-I18-04"</f>
        <v>06-I18-04</v>
      </c>
      <c r="H786">
        <v>1.1514</v>
      </c>
      <c r="I786" t="s">
        <v>766</v>
      </c>
      <c r="J786" t="s">
        <v>24</v>
      </c>
      <c r="K786" t="str">
        <f t="shared" si="35"/>
        <v>3F1</v>
      </c>
      <c r="L786" t="s">
        <v>15</v>
      </c>
    </row>
    <row r="787" spans="1:12" x14ac:dyDescent="0.25">
      <c r="A787" t="str">
        <f>"1106101667"</f>
        <v>1106101667</v>
      </c>
      <c r="B787" t="str">
        <f t="shared" si="34"/>
        <v>89301000</v>
      </c>
      <c r="C787" s="1">
        <v>44450</v>
      </c>
      <c r="D787" s="1">
        <v>44452</v>
      </c>
      <c r="E787">
        <v>1</v>
      </c>
      <c r="F787" t="s">
        <v>735</v>
      </c>
      <c r="G787" t="str">
        <f>"08-I20-02"</f>
        <v>08-I20-02</v>
      </c>
      <c r="H787">
        <v>0.94159999999999999</v>
      </c>
      <c r="I787" t="s">
        <v>233</v>
      </c>
      <c r="J787" t="s">
        <v>17</v>
      </c>
      <c r="K787" t="str">
        <f t="shared" si="35"/>
        <v>3F1</v>
      </c>
      <c r="L787" t="s">
        <v>15</v>
      </c>
    </row>
    <row r="788" spans="1:12" x14ac:dyDescent="0.25">
      <c r="A788" t="str">
        <f>"1107021630"</f>
        <v>1107021630</v>
      </c>
      <c r="B788" t="str">
        <f t="shared" si="34"/>
        <v>89301000</v>
      </c>
      <c r="C788" s="1">
        <v>44490</v>
      </c>
      <c r="D788" s="1">
        <v>44492</v>
      </c>
      <c r="E788">
        <v>1</v>
      </c>
      <c r="F788" t="s">
        <v>767</v>
      </c>
      <c r="G788" t="str">
        <f>"03-I22-03"</f>
        <v>03-I22-03</v>
      </c>
      <c r="H788">
        <v>0.49049999999999999</v>
      </c>
      <c r="I788" t="s">
        <v>768</v>
      </c>
      <c r="J788" t="s">
        <v>14</v>
      </c>
      <c r="K788" t="str">
        <f t="shared" si="35"/>
        <v>3F1</v>
      </c>
      <c r="L788" t="s">
        <v>15</v>
      </c>
    </row>
    <row r="789" spans="1:12" x14ac:dyDescent="0.25">
      <c r="A789" t="str">
        <f>"1107040253"</f>
        <v>1107040253</v>
      </c>
      <c r="B789" t="str">
        <f t="shared" si="34"/>
        <v>89301000</v>
      </c>
      <c r="C789" s="1">
        <v>44283</v>
      </c>
      <c r="D789" s="1">
        <v>44285</v>
      </c>
      <c r="E789">
        <v>1</v>
      </c>
      <c r="F789" t="s">
        <v>449</v>
      </c>
      <c r="G789" t="str">
        <f>"02-I11-01"</f>
        <v>02-I11-01</v>
      </c>
      <c r="H789">
        <v>0.87619999999999998</v>
      </c>
      <c r="J789" t="s">
        <v>17</v>
      </c>
      <c r="K789" t="str">
        <f t="shared" si="35"/>
        <v>3F1</v>
      </c>
      <c r="L789" t="s">
        <v>15</v>
      </c>
    </row>
    <row r="790" spans="1:12" x14ac:dyDescent="0.25">
      <c r="A790" t="str">
        <f>"1107090050"</f>
        <v>1107090050</v>
      </c>
      <c r="B790" t="str">
        <f t="shared" si="34"/>
        <v>89301000</v>
      </c>
      <c r="C790" s="1">
        <v>44384</v>
      </c>
      <c r="D790" s="1">
        <v>44385</v>
      </c>
      <c r="E790">
        <v>1</v>
      </c>
      <c r="F790" t="s">
        <v>617</v>
      </c>
      <c r="G790" t="str">
        <f>"06-K02-04"</f>
        <v>06-K02-04</v>
      </c>
      <c r="H790">
        <v>0.3634</v>
      </c>
      <c r="I790" t="s">
        <v>530</v>
      </c>
      <c r="J790" t="s">
        <v>14</v>
      </c>
      <c r="K790" t="str">
        <f t="shared" si="35"/>
        <v>3F1</v>
      </c>
      <c r="L790" t="s">
        <v>15</v>
      </c>
    </row>
    <row r="791" spans="1:12" x14ac:dyDescent="0.25">
      <c r="A791" t="str">
        <f>"1108050317"</f>
        <v>1108050317</v>
      </c>
      <c r="B791" t="str">
        <f t="shared" si="34"/>
        <v>89301000</v>
      </c>
      <c r="C791" s="1">
        <v>44326</v>
      </c>
      <c r="D791" s="1">
        <v>44328</v>
      </c>
      <c r="E791">
        <v>1</v>
      </c>
      <c r="F791" t="s">
        <v>174</v>
      </c>
      <c r="G791" t="str">
        <f>"12-I14-00"</f>
        <v>12-I14-00</v>
      </c>
      <c r="H791">
        <v>0.44350000000000001</v>
      </c>
      <c r="J791" t="s">
        <v>14</v>
      </c>
      <c r="K791" t="str">
        <f t="shared" si="35"/>
        <v>3F1</v>
      </c>
      <c r="L791" t="s">
        <v>15</v>
      </c>
    </row>
    <row r="792" spans="1:12" x14ac:dyDescent="0.25">
      <c r="A792" t="str">
        <f>"1108240298"</f>
        <v>1108240298</v>
      </c>
      <c r="B792" t="str">
        <f t="shared" si="34"/>
        <v>89301000</v>
      </c>
      <c r="C792" s="1">
        <v>44306</v>
      </c>
      <c r="D792" s="1">
        <v>44308</v>
      </c>
      <c r="E792">
        <v>1</v>
      </c>
      <c r="F792" t="s">
        <v>92</v>
      </c>
      <c r="G792" t="str">
        <f>"05-K15-02"</f>
        <v>05-K15-02</v>
      </c>
      <c r="H792">
        <v>0.47510000000000002</v>
      </c>
      <c r="I792" t="s">
        <v>769</v>
      </c>
      <c r="J792" t="s">
        <v>14</v>
      </c>
      <c r="K792" t="str">
        <f t="shared" si="35"/>
        <v>3F1</v>
      </c>
      <c r="L792" t="s">
        <v>15</v>
      </c>
    </row>
    <row r="793" spans="1:12" x14ac:dyDescent="0.25">
      <c r="A793" t="str">
        <f>"1109110156"</f>
        <v>1109110156</v>
      </c>
      <c r="B793" t="str">
        <f t="shared" si="34"/>
        <v>89301000</v>
      </c>
      <c r="C793" s="1">
        <v>44514</v>
      </c>
      <c r="D793" s="1">
        <v>44515</v>
      </c>
      <c r="E793">
        <v>6</v>
      </c>
      <c r="F793" t="s">
        <v>770</v>
      </c>
      <c r="G793" t="str">
        <f>"21-K05-04"</f>
        <v>21-K05-04</v>
      </c>
      <c r="H793">
        <v>0.2424</v>
      </c>
      <c r="I793" t="s">
        <v>771</v>
      </c>
      <c r="J793" t="s">
        <v>14</v>
      </c>
      <c r="K793" t="str">
        <f>"3T1"</f>
        <v>3T1</v>
      </c>
      <c r="L793" t="s">
        <v>15</v>
      </c>
    </row>
    <row r="794" spans="1:12" x14ac:dyDescent="0.25">
      <c r="A794" t="str">
        <f>"1109211026"</f>
        <v>1109211026</v>
      </c>
      <c r="B794" t="str">
        <f t="shared" si="34"/>
        <v>89301000</v>
      </c>
      <c r="C794" s="1">
        <v>44274</v>
      </c>
      <c r="D794" s="1">
        <v>44275</v>
      </c>
      <c r="E794">
        <v>1</v>
      </c>
      <c r="F794" t="s">
        <v>617</v>
      </c>
      <c r="G794" t="str">
        <f>"06-K02-04"</f>
        <v>06-K02-04</v>
      </c>
      <c r="H794">
        <v>0.3634</v>
      </c>
      <c r="I794" t="s">
        <v>530</v>
      </c>
      <c r="J794" t="s">
        <v>14</v>
      </c>
      <c r="K794" t="str">
        <f>"3F1"</f>
        <v>3F1</v>
      </c>
      <c r="L794" t="s">
        <v>15</v>
      </c>
    </row>
    <row r="795" spans="1:12" x14ac:dyDescent="0.25">
      <c r="A795" t="str">
        <f>"1109220431"</f>
        <v>1109220431</v>
      </c>
      <c r="B795" t="str">
        <f t="shared" si="34"/>
        <v>89301000</v>
      </c>
      <c r="C795" s="1">
        <v>44346</v>
      </c>
      <c r="D795" s="1">
        <v>44347</v>
      </c>
      <c r="E795">
        <v>1</v>
      </c>
      <c r="F795" t="s">
        <v>772</v>
      </c>
      <c r="G795" t="str">
        <f>"08-I20-03"</f>
        <v>08-I20-03</v>
      </c>
      <c r="H795">
        <v>0.63300000000000001</v>
      </c>
      <c r="I795" t="s">
        <v>773</v>
      </c>
      <c r="J795" t="s">
        <v>17</v>
      </c>
      <c r="K795" t="str">
        <f>"3F1"</f>
        <v>3F1</v>
      </c>
      <c r="L795" t="s">
        <v>15</v>
      </c>
    </row>
    <row r="796" spans="1:12" x14ac:dyDescent="0.25">
      <c r="A796" t="str">
        <f>"1110130329"</f>
        <v>1110130329</v>
      </c>
      <c r="B796" t="str">
        <f t="shared" si="34"/>
        <v>89301000</v>
      </c>
      <c r="C796" s="1">
        <v>44438</v>
      </c>
      <c r="D796" s="1">
        <v>44440</v>
      </c>
      <c r="E796">
        <v>1</v>
      </c>
      <c r="F796" t="s">
        <v>174</v>
      </c>
      <c r="G796" t="str">
        <f>"12-I14-00"</f>
        <v>12-I14-00</v>
      </c>
      <c r="H796">
        <v>0.44350000000000001</v>
      </c>
      <c r="J796" t="s">
        <v>14</v>
      </c>
      <c r="K796" t="str">
        <f>"3F1"</f>
        <v>3F1</v>
      </c>
      <c r="L796" t="s">
        <v>15</v>
      </c>
    </row>
    <row r="797" spans="1:12" x14ac:dyDescent="0.25">
      <c r="A797" t="str">
        <f>"1111151195"</f>
        <v>1111151195</v>
      </c>
      <c r="B797" t="str">
        <f t="shared" si="34"/>
        <v>89301000</v>
      </c>
      <c r="C797" s="1">
        <v>44348</v>
      </c>
      <c r="D797" s="1">
        <v>44349</v>
      </c>
      <c r="E797">
        <v>1</v>
      </c>
      <c r="F797" t="s">
        <v>774</v>
      </c>
      <c r="G797" t="str">
        <f>"03-K02-03"</f>
        <v>03-K02-03</v>
      </c>
      <c r="H797">
        <v>0.33960000000000001</v>
      </c>
      <c r="I797" t="s">
        <v>168</v>
      </c>
      <c r="J797" t="s">
        <v>14</v>
      </c>
      <c r="K797" t="str">
        <f>"3F1"</f>
        <v>3F1</v>
      </c>
      <c r="L797" t="s">
        <v>15</v>
      </c>
    </row>
    <row r="798" spans="1:12" x14ac:dyDescent="0.25">
      <c r="A798" t="str">
        <f>"1111251361"</f>
        <v>1111251361</v>
      </c>
      <c r="B798" t="str">
        <f t="shared" si="34"/>
        <v>89301000</v>
      </c>
      <c r="C798" s="1">
        <v>44336</v>
      </c>
      <c r="D798" s="1">
        <v>44345</v>
      </c>
      <c r="E798">
        <v>6</v>
      </c>
      <c r="F798" t="s">
        <v>377</v>
      </c>
      <c r="G798" t="str">
        <f>"01-I07-03"</f>
        <v>01-I07-03</v>
      </c>
      <c r="H798">
        <v>2.1576</v>
      </c>
      <c r="I798" t="s">
        <v>775</v>
      </c>
      <c r="J798" t="s">
        <v>17</v>
      </c>
      <c r="K798" t="str">
        <f>"3T1"</f>
        <v>3T1</v>
      </c>
      <c r="L798" t="s">
        <v>15</v>
      </c>
    </row>
    <row r="799" spans="1:12" x14ac:dyDescent="0.25">
      <c r="A799" t="str">
        <f>"1112030205"</f>
        <v>1112030205</v>
      </c>
      <c r="B799" t="str">
        <f t="shared" si="34"/>
        <v>89301000</v>
      </c>
      <c r="C799" s="1">
        <v>44297</v>
      </c>
      <c r="D799" s="1">
        <v>44299</v>
      </c>
      <c r="E799">
        <v>1</v>
      </c>
      <c r="F799" t="s">
        <v>449</v>
      </c>
      <c r="G799" t="str">
        <f>"02-I11-01"</f>
        <v>02-I11-01</v>
      </c>
      <c r="H799">
        <v>0.87619999999999998</v>
      </c>
      <c r="J799" t="s">
        <v>17</v>
      </c>
      <c r="K799" t="str">
        <f t="shared" ref="K799:K830" si="36">"3F1"</f>
        <v>3F1</v>
      </c>
      <c r="L799" t="s">
        <v>15</v>
      </c>
    </row>
    <row r="800" spans="1:12" x14ac:dyDescent="0.25">
      <c r="A800" t="str">
        <f>"1112050280"</f>
        <v>1112050280</v>
      </c>
      <c r="B800" t="str">
        <f t="shared" si="34"/>
        <v>89301000</v>
      </c>
      <c r="C800" s="1">
        <v>44438</v>
      </c>
      <c r="D800" s="1">
        <v>44440</v>
      </c>
      <c r="E800">
        <v>1</v>
      </c>
      <c r="F800" t="s">
        <v>776</v>
      </c>
      <c r="G800" t="str">
        <f>"11-I17-03"</f>
        <v>11-I17-03</v>
      </c>
      <c r="H800">
        <v>0.50609999999999999</v>
      </c>
      <c r="I800" t="s">
        <v>174</v>
      </c>
      <c r="J800" t="s">
        <v>14</v>
      </c>
      <c r="K800" t="str">
        <f t="shared" si="36"/>
        <v>3F1</v>
      </c>
      <c r="L800" t="s">
        <v>15</v>
      </c>
    </row>
    <row r="801" spans="1:12" x14ac:dyDescent="0.25">
      <c r="A801" t="str">
        <f>"1112060675"</f>
        <v>1112060675</v>
      </c>
      <c r="B801" t="str">
        <f t="shared" si="34"/>
        <v>89301000</v>
      </c>
      <c r="C801" s="1">
        <v>44480</v>
      </c>
      <c r="D801" s="1">
        <v>44482</v>
      </c>
      <c r="E801">
        <v>1</v>
      </c>
      <c r="F801" t="s">
        <v>151</v>
      </c>
      <c r="G801" t="str">
        <f>"06-I16-05"</f>
        <v>06-I16-05</v>
      </c>
      <c r="H801">
        <v>0.46139999999999998</v>
      </c>
      <c r="J801" t="s">
        <v>24</v>
      </c>
      <c r="K801" t="str">
        <f t="shared" si="36"/>
        <v>3F1</v>
      </c>
      <c r="L801" t="s">
        <v>15</v>
      </c>
    </row>
    <row r="802" spans="1:12" x14ac:dyDescent="0.25">
      <c r="A802" t="str">
        <f>"1151130112"</f>
        <v>1151130112</v>
      </c>
      <c r="B802" t="str">
        <f t="shared" si="34"/>
        <v>89301000</v>
      </c>
      <c r="C802" s="1">
        <v>44285</v>
      </c>
      <c r="D802" s="1">
        <v>44286</v>
      </c>
      <c r="E802">
        <v>1</v>
      </c>
      <c r="F802" t="s">
        <v>292</v>
      </c>
      <c r="G802" t="str">
        <f>"08-I20-03"</f>
        <v>08-I20-03</v>
      </c>
      <c r="H802">
        <v>0.63300000000000001</v>
      </c>
      <c r="I802" t="s">
        <v>777</v>
      </c>
      <c r="J802" t="s">
        <v>17</v>
      </c>
      <c r="K802" t="str">
        <f t="shared" si="36"/>
        <v>3F1</v>
      </c>
      <c r="L802" t="s">
        <v>15</v>
      </c>
    </row>
    <row r="803" spans="1:12" x14ac:dyDescent="0.25">
      <c r="A803" t="str">
        <f>"1151130112"</f>
        <v>1151130112</v>
      </c>
      <c r="B803" t="str">
        <f t="shared" si="34"/>
        <v>89301000</v>
      </c>
      <c r="C803" s="1">
        <v>44369</v>
      </c>
      <c r="D803" s="1">
        <v>44371</v>
      </c>
      <c r="E803">
        <v>1</v>
      </c>
      <c r="F803" t="s">
        <v>173</v>
      </c>
      <c r="G803" t="str">
        <f>"08-I32-02"</f>
        <v>08-I32-02</v>
      </c>
      <c r="H803">
        <v>0.4143</v>
      </c>
      <c r="J803" t="s">
        <v>14</v>
      </c>
      <c r="K803" t="str">
        <f t="shared" si="36"/>
        <v>3F1</v>
      </c>
      <c r="L803" t="s">
        <v>15</v>
      </c>
    </row>
    <row r="804" spans="1:12" x14ac:dyDescent="0.25">
      <c r="A804" t="str">
        <f>"1151150088"</f>
        <v>1151150088</v>
      </c>
      <c r="B804" t="str">
        <f t="shared" si="34"/>
        <v>89301000</v>
      </c>
      <c r="C804" s="1">
        <v>44501</v>
      </c>
      <c r="D804" s="1">
        <v>44502</v>
      </c>
      <c r="E804">
        <v>1</v>
      </c>
      <c r="F804" t="s">
        <v>351</v>
      </c>
      <c r="G804" t="str">
        <f>"10-K04-03"</f>
        <v>10-K04-03</v>
      </c>
      <c r="H804">
        <v>0.7984</v>
      </c>
      <c r="J804" t="s">
        <v>14</v>
      </c>
      <c r="K804" t="str">
        <f t="shared" si="36"/>
        <v>3F1</v>
      </c>
      <c r="L804" t="s">
        <v>15</v>
      </c>
    </row>
    <row r="805" spans="1:12" x14ac:dyDescent="0.25">
      <c r="A805" t="str">
        <f>"1153030208"</f>
        <v>1153030208</v>
      </c>
      <c r="B805" t="str">
        <f t="shared" si="34"/>
        <v>89301000</v>
      </c>
      <c r="C805" s="1">
        <v>44335</v>
      </c>
      <c r="D805" s="1">
        <v>44336</v>
      </c>
      <c r="E805">
        <v>1</v>
      </c>
      <c r="F805" t="s">
        <v>445</v>
      </c>
      <c r="G805" t="str">
        <f>"08-I20-03"</f>
        <v>08-I20-03</v>
      </c>
      <c r="H805">
        <v>0.63300000000000001</v>
      </c>
      <c r="I805" t="s">
        <v>30</v>
      </c>
      <c r="J805" t="s">
        <v>17</v>
      </c>
      <c r="K805" t="str">
        <f t="shared" si="36"/>
        <v>3F1</v>
      </c>
      <c r="L805" t="s">
        <v>15</v>
      </c>
    </row>
    <row r="806" spans="1:12" x14ac:dyDescent="0.25">
      <c r="A806" t="str">
        <f>"1153090444"</f>
        <v>1153090444</v>
      </c>
      <c r="B806" t="str">
        <f t="shared" si="34"/>
        <v>89301000</v>
      </c>
      <c r="C806" s="1">
        <v>44458</v>
      </c>
      <c r="D806" s="1">
        <v>44459</v>
      </c>
      <c r="E806">
        <v>1</v>
      </c>
      <c r="F806" t="s">
        <v>380</v>
      </c>
      <c r="G806" t="str">
        <f>"08-I20-03"</f>
        <v>08-I20-03</v>
      </c>
      <c r="H806">
        <v>0.63300000000000001</v>
      </c>
      <c r="I806" t="s">
        <v>410</v>
      </c>
      <c r="J806" t="s">
        <v>17</v>
      </c>
      <c r="K806" t="str">
        <f t="shared" si="36"/>
        <v>3F1</v>
      </c>
      <c r="L806" t="s">
        <v>15</v>
      </c>
    </row>
    <row r="807" spans="1:12" x14ac:dyDescent="0.25">
      <c r="A807" t="str">
        <f>"1153140296"</f>
        <v>1153140296</v>
      </c>
      <c r="B807" t="str">
        <f t="shared" si="34"/>
        <v>89301000</v>
      </c>
      <c r="C807" s="1">
        <v>44218</v>
      </c>
      <c r="D807" s="1">
        <v>44219</v>
      </c>
      <c r="E807">
        <v>1</v>
      </c>
      <c r="F807" t="s">
        <v>529</v>
      </c>
      <c r="G807" t="str">
        <f>"06-K04-03"</f>
        <v>06-K04-03</v>
      </c>
      <c r="H807">
        <v>0.38250000000000001</v>
      </c>
      <c r="I807" t="s">
        <v>354</v>
      </c>
      <c r="J807" t="s">
        <v>14</v>
      </c>
      <c r="K807" t="str">
        <f t="shared" si="36"/>
        <v>3F1</v>
      </c>
      <c r="L807" t="s">
        <v>15</v>
      </c>
    </row>
    <row r="808" spans="1:12" x14ac:dyDescent="0.25">
      <c r="A808" t="str">
        <f>"1153140296"</f>
        <v>1153140296</v>
      </c>
      <c r="B808" t="str">
        <f t="shared" si="34"/>
        <v>89301000</v>
      </c>
      <c r="C808" s="1">
        <v>44527</v>
      </c>
      <c r="D808" s="1">
        <v>44528</v>
      </c>
      <c r="E808">
        <v>1</v>
      </c>
      <c r="F808" t="s">
        <v>778</v>
      </c>
      <c r="G808" t="str">
        <f>"06-K22-03"</f>
        <v>06-K22-03</v>
      </c>
      <c r="H808">
        <v>0.3165</v>
      </c>
      <c r="I808" t="s">
        <v>168</v>
      </c>
      <c r="J808" t="s">
        <v>14</v>
      </c>
      <c r="K808" t="str">
        <f t="shared" si="36"/>
        <v>3F1</v>
      </c>
      <c r="L808" t="s">
        <v>15</v>
      </c>
    </row>
    <row r="809" spans="1:12" x14ac:dyDescent="0.25">
      <c r="A809" t="str">
        <f>"1154150448"</f>
        <v>1154150448</v>
      </c>
      <c r="B809" t="str">
        <f t="shared" si="34"/>
        <v>89301000</v>
      </c>
      <c r="C809" s="1">
        <v>44305</v>
      </c>
      <c r="D809" s="1">
        <v>44308</v>
      </c>
      <c r="E809">
        <v>1</v>
      </c>
      <c r="F809" t="s">
        <v>573</v>
      </c>
      <c r="G809" t="str">
        <f>"06-K22-03"</f>
        <v>06-K22-03</v>
      </c>
      <c r="H809">
        <v>0.3165</v>
      </c>
      <c r="I809" t="s">
        <v>168</v>
      </c>
      <c r="J809" t="s">
        <v>14</v>
      </c>
      <c r="K809" t="str">
        <f t="shared" si="36"/>
        <v>3F1</v>
      </c>
      <c r="L809" t="s">
        <v>15</v>
      </c>
    </row>
    <row r="810" spans="1:12" x14ac:dyDescent="0.25">
      <c r="A810" t="str">
        <f>"1154280292"</f>
        <v>1154280292</v>
      </c>
      <c r="B810" t="str">
        <f t="shared" si="34"/>
        <v>89301000</v>
      </c>
      <c r="C810" s="1">
        <v>44285</v>
      </c>
      <c r="D810" s="1">
        <v>44287</v>
      </c>
      <c r="E810">
        <v>1</v>
      </c>
      <c r="F810" t="s">
        <v>562</v>
      </c>
      <c r="G810" t="str">
        <f>"01-K03-07"</f>
        <v>01-K03-07</v>
      </c>
      <c r="H810">
        <v>0.60250000000000004</v>
      </c>
      <c r="I810" t="s">
        <v>779</v>
      </c>
      <c r="J810" t="s">
        <v>14</v>
      </c>
      <c r="K810" t="str">
        <f t="shared" si="36"/>
        <v>3F1</v>
      </c>
      <c r="L810" t="s">
        <v>15</v>
      </c>
    </row>
    <row r="811" spans="1:12" x14ac:dyDescent="0.25">
      <c r="A811" t="str">
        <f>"1155120010"</f>
        <v>1155120010</v>
      </c>
      <c r="B811" t="str">
        <f t="shared" si="34"/>
        <v>89301000</v>
      </c>
      <c r="C811" s="1">
        <v>44528</v>
      </c>
      <c r="D811" s="1">
        <v>44529</v>
      </c>
      <c r="E811">
        <v>1</v>
      </c>
      <c r="F811" t="s">
        <v>780</v>
      </c>
      <c r="G811" t="str">
        <f>"01-K16-05"</f>
        <v>01-K16-05</v>
      </c>
      <c r="H811">
        <v>0.57979999999999998</v>
      </c>
      <c r="I811" t="s">
        <v>548</v>
      </c>
      <c r="J811" t="s">
        <v>14</v>
      </c>
      <c r="K811" t="str">
        <f t="shared" si="36"/>
        <v>3F1</v>
      </c>
      <c r="L811" t="s">
        <v>15</v>
      </c>
    </row>
    <row r="812" spans="1:12" x14ac:dyDescent="0.25">
      <c r="A812" t="str">
        <f>"1155120274"</f>
        <v>1155120274</v>
      </c>
      <c r="B812" t="str">
        <f t="shared" si="34"/>
        <v>89301000</v>
      </c>
      <c r="C812" s="1">
        <v>44327</v>
      </c>
      <c r="D812" s="1">
        <v>44330</v>
      </c>
      <c r="E812">
        <v>1</v>
      </c>
      <c r="F812" t="s">
        <v>318</v>
      </c>
      <c r="G812" t="str">
        <f>"08-I23-02"</f>
        <v>08-I23-02</v>
      </c>
      <c r="H812">
        <v>0.93840000000000001</v>
      </c>
      <c r="I812" t="s">
        <v>781</v>
      </c>
      <c r="J812" t="s">
        <v>17</v>
      </c>
      <c r="K812" t="str">
        <f t="shared" si="36"/>
        <v>3F1</v>
      </c>
      <c r="L812" t="s">
        <v>15</v>
      </c>
    </row>
    <row r="813" spans="1:12" x14ac:dyDescent="0.25">
      <c r="A813" t="str">
        <f>"1155131582"</f>
        <v>1155131582</v>
      </c>
      <c r="B813" t="str">
        <f t="shared" si="34"/>
        <v>89301000</v>
      </c>
      <c r="C813" s="1">
        <v>44453</v>
      </c>
      <c r="D813" s="1">
        <v>44455</v>
      </c>
      <c r="E813">
        <v>1</v>
      </c>
      <c r="F813" t="s">
        <v>617</v>
      </c>
      <c r="G813" t="str">
        <f>"06-K02-04"</f>
        <v>06-K02-04</v>
      </c>
      <c r="H813">
        <v>0.3634</v>
      </c>
      <c r="I813" t="s">
        <v>354</v>
      </c>
      <c r="J813" t="s">
        <v>14</v>
      </c>
      <c r="K813" t="str">
        <f t="shared" si="36"/>
        <v>3F1</v>
      </c>
      <c r="L813" t="s">
        <v>15</v>
      </c>
    </row>
    <row r="814" spans="1:12" x14ac:dyDescent="0.25">
      <c r="A814" t="str">
        <f>"1155160237"</f>
        <v>1155160237</v>
      </c>
      <c r="B814" t="str">
        <f t="shared" si="34"/>
        <v>89301000</v>
      </c>
      <c r="C814" s="1">
        <v>44397</v>
      </c>
      <c r="D814" s="1">
        <v>44399</v>
      </c>
      <c r="E814">
        <v>1</v>
      </c>
      <c r="F814" t="s">
        <v>782</v>
      </c>
      <c r="G814" t="str">
        <f>"09-K13-01"</f>
        <v>09-K13-01</v>
      </c>
      <c r="H814">
        <v>0.58899999999999997</v>
      </c>
      <c r="I814" t="s">
        <v>783</v>
      </c>
      <c r="J814" t="s">
        <v>14</v>
      </c>
      <c r="K814" t="str">
        <f t="shared" si="36"/>
        <v>3F1</v>
      </c>
      <c r="L814" t="s">
        <v>15</v>
      </c>
    </row>
    <row r="815" spans="1:12" x14ac:dyDescent="0.25">
      <c r="A815" t="str">
        <f>"1155240295"</f>
        <v>1155240295</v>
      </c>
      <c r="B815" t="str">
        <f t="shared" si="34"/>
        <v>89301000</v>
      </c>
      <c r="C815" s="1">
        <v>44509</v>
      </c>
      <c r="D815" s="1">
        <v>44512</v>
      </c>
      <c r="E815">
        <v>1</v>
      </c>
      <c r="F815" t="s">
        <v>63</v>
      </c>
      <c r="G815" t="str">
        <f>"08-I21-02"</f>
        <v>08-I21-02</v>
      </c>
      <c r="H815">
        <v>1.3371999999999999</v>
      </c>
      <c r="I815" t="s">
        <v>784</v>
      </c>
      <c r="J815" t="s">
        <v>17</v>
      </c>
      <c r="K815" t="str">
        <f t="shared" si="36"/>
        <v>3F1</v>
      </c>
      <c r="L815" t="s">
        <v>15</v>
      </c>
    </row>
    <row r="816" spans="1:12" x14ac:dyDescent="0.25">
      <c r="A816" t="str">
        <f>"1156060400"</f>
        <v>1156060400</v>
      </c>
      <c r="B816" t="str">
        <f t="shared" si="34"/>
        <v>89301000</v>
      </c>
      <c r="C816" s="1">
        <v>44395</v>
      </c>
      <c r="D816" s="1">
        <v>44399</v>
      </c>
      <c r="E816">
        <v>1</v>
      </c>
      <c r="F816" t="s">
        <v>785</v>
      </c>
      <c r="G816" t="str">
        <f>"10-I13-02"</f>
        <v>10-I13-02</v>
      </c>
      <c r="H816">
        <v>1.1468</v>
      </c>
      <c r="J816" t="s">
        <v>24</v>
      </c>
      <c r="K816" t="str">
        <f t="shared" si="36"/>
        <v>3F1</v>
      </c>
      <c r="L816" t="s">
        <v>15</v>
      </c>
    </row>
    <row r="817" spans="1:12" x14ac:dyDescent="0.25">
      <c r="A817" t="str">
        <f>"1156260050"</f>
        <v>1156260050</v>
      </c>
      <c r="B817" t="str">
        <f t="shared" si="34"/>
        <v>89301000</v>
      </c>
      <c r="C817" s="1">
        <v>44356</v>
      </c>
      <c r="D817" s="1">
        <v>44365</v>
      </c>
      <c r="E817">
        <v>1</v>
      </c>
      <c r="F817" t="s">
        <v>304</v>
      </c>
      <c r="G817" t="str">
        <f>"10-K03-02"</f>
        <v>10-K03-02</v>
      </c>
      <c r="H817">
        <v>1.3724000000000001</v>
      </c>
      <c r="I817" t="s">
        <v>737</v>
      </c>
      <c r="J817" t="s">
        <v>14</v>
      </c>
      <c r="K817" t="str">
        <f t="shared" si="36"/>
        <v>3F1</v>
      </c>
      <c r="L817" t="s">
        <v>15</v>
      </c>
    </row>
    <row r="818" spans="1:12" x14ac:dyDescent="0.25">
      <c r="A818" t="str">
        <f>"1157170047"</f>
        <v>1157170047</v>
      </c>
      <c r="B818" t="str">
        <f t="shared" si="34"/>
        <v>89301000</v>
      </c>
      <c r="C818" s="1">
        <v>44257</v>
      </c>
      <c r="D818" s="1">
        <v>44258</v>
      </c>
      <c r="E818">
        <v>1</v>
      </c>
      <c r="F818" t="s">
        <v>786</v>
      </c>
      <c r="G818" t="str">
        <f>"04-K07-03"</f>
        <v>04-K07-03</v>
      </c>
      <c r="H818">
        <v>0.66259999999999997</v>
      </c>
      <c r="I818" t="s">
        <v>275</v>
      </c>
      <c r="J818" t="s">
        <v>14</v>
      </c>
      <c r="K818" t="str">
        <f t="shared" si="36"/>
        <v>3F1</v>
      </c>
      <c r="L818" t="s">
        <v>15</v>
      </c>
    </row>
    <row r="819" spans="1:12" x14ac:dyDescent="0.25">
      <c r="A819" t="str">
        <f>"1158250203"</f>
        <v>1158250203</v>
      </c>
      <c r="B819" t="str">
        <f t="shared" si="34"/>
        <v>89301000</v>
      </c>
      <c r="C819" s="1">
        <v>44392</v>
      </c>
      <c r="D819" s="1">
        <v>44396</v>
      </c>
      <c r="E819">
        <v>1</v>
      </c>
      <c r="F819" t="s">
        <v>731</v>
      </c>
      <c r="G819" t="str">
        <f>"06-K02-03"</f>
        <v>06-K02-03</v>
      </c>
      <c r="H819">
        <v>0.47960000000000003</v>
      </c>
      <c r="I819" t="s">
        <v>354</v>
      </c>
      <c r="J819" t="s">
        <v>14</v>
      </c>
      <c r="K819" t="str">
        <f t="shared" si="36"/>
        <v>3F1</v>
      </c>
      <c r="L819" t="s">
        <v>15</v>
      </c>
    </row>
    <row r="820" spans="1:12" x14ac:dyDescent="0.25">
      <c r="A820" t="str">
        <f>"1159120237"</f>
        <v>1159120237</v>
      </c>
      <c r="B820" t="str">
        <f t="shared" si="34"/>
        <v>89301000</v>
      </c>
      <c r="C820" s="1">
        <v>44427</v>
      </c>
      <c r="D820" s="1">
        <v>44430</v>
      </c>
      <c r="E820">
        <v>1</v>
      </c>
      <c r="F820" t="s">
        <v>776</v>
      </c>
      <c r="G820" t="str">
        <f>"11-I17-03"</f>
        <v>11-I17-03</v>
      </c>
      <c r="H820">
        <v>0.50609999999999999</v>
      </c>
      <c r="J820" t="s">
        <v>14</v>
      </c>
      <c r="K820" t="str">
        <f t="shared" si="36"/>
        <v>3F1</v>
      </c>
      <c r="L820" t="s">
        <v>15</v>
      </c>
    </row>
    <row r="821" spans="1:12" x14ac:dyDescent="0.25">
      <c r="A821" t="str">
        <f>"1159220524"</f>
        <v>1159220524</v>
      </c>
      <c r="B821" t="str">
        <f t="shared" si="34"/>
        <v>89301000</v>
      </c>
      <c r="C821" s="1">
        <v>44330</v>
      </c>
      <c r="D821" s="1">
        <v>44333</v>
      </c>
      <c r="E821">
        <v>1</v>
      </c>
      <c r="F821" t="s">
        <v>43</v>
      </c>
      <c r="G821" t="str">
        <f>"06-I18-04"</f>
        <v>06-I18-04</v>
      </c>
      <c r="H821">
        <v>1.1514</v>
      </c>
      <c r="I821" t="s">
        <v>168</v>
      </c>
      <c r="J821" t="s">
        <v>24</v>
      </c>
      <c r="K821" t="str">
        <f t="shared" si="36"/>
        <v>3F1</v>
      </c>
      <c r="L821" t="s">
        <v>15</v>
      </c>
    </row>
    <row r="822" spans="1:12" x14ac:dyDescent="0.25">
      <c r="A822" t="str">
        <f>"1159260300"</f>
        <v>1159260300</v>
      </c>
      <c r="B822" t="str">
        <f t="shared" si="34"/>
        <v>89301000</v>
      </c>
      <c r="C822" s="1">
        <v>44465</v>
      </c>
      <c r="D822" s="1">
        <v>44467</v>
      </c>
      <c r="E822">
        <v>1</v>
      </c>
      <c r="F822" t="s">
        <v>787</v>
      </c>
      <c r="G822" t="str">
        <f>"02-K07-02"</f>
        <v>02-K07-02</v>
      </c>
      <c r="H822">
        <v>0.48699999999999999</v>
      </c>
      <c r="I822" t="s">
        <v>788</v>
      </c>
      <c r="J822" t="s">
        <v>14</v>
      </c>
      <c r="K822" t="str">
        <f t="shared" si="36"/>
        <v>3F1</v>
      </c>
      <c r="L822" t="s">
        <v>15</v>
      </c>
    </row>
    <row r="823" spans="1:12" x14ac:dyDescent="0.25">
      <c r="A823" t="str">
        <f>"1159300340"</f>
        <v>1159300340</v>
      </c>
      <c r="B823" t="str">
        <f t="shared" si="34"/>
        <v>89301000</v>
      </c>
      <c r="C823" s="1">
        <v>44403</v>
      </c>
      <c r="D823" s="1">
        <v>44406</v>
      </c>
      <c r="E823">
        <v>1</v>
      </c>
      <c r="F823" t="s">
        <v>789</v>
      </c>
      <c r="G823" t="str">
        <f>"08-K05-00"</f>
        <v>08-K05-00</v>
      </c>
      <c r="H823">
        <v>0.99219999999999997</v>
      </c>
      <c r="I823" t="s">
        <v>790</v>
      </c>
      <c r="J823" t="s">
        <v>14</v>
      </c>
      <c r="K823" t="str">
        <f t="shared" si="36"/>
        <v>3F1</v>
      </c>
      <c r="L823" t="s">
        <v>15</v>
      </c>
    </row>
    <row r="824" spans="1:12" x14ac:dyDescent="0.25">
      <c r="A824" t="str">
        <f>"1159300340"</f>
        <v>1159300340</v>
      </c>
      <c r="B824" t="str">
        <f t="shared" si="34"/>
        <v>89301000</v>
      </c>
      <c r="C824" s="1">
        <v>44413</v>
      </c>
      <c r="D824" s="1">
        <v>44417</v>
      </c>
      <c r="E824">
        <v>1</v>
      </c>
      <c r="F824" t="s">
        <v>296</v>
      </c>
      <c r="G824" t="str">
        <f>"08-K03-03"</f>
        <v>08-K03-03</v>
      </c>
      <c r="H824">
        <v>0.80700000000000005</v>
      </c>
      <c r="I824" t="s">
        <v>791</v>
      </c>
      <c r="J824" t="s">
        <v>14</v>
      </c>
      <c r="K824" t="str">
        <f t="shared" si="36"/>
        <v>3F1</v>
      </c>
      <c r="L824" t="s">
        <v>15</v>
      </c>
    </row>
    <row r="825" spans="1:12" x14ac:dyDescent="0.25">
      <c r="A825" t="str">
        <f>"1159300340"</f>
        <v>1159300340</v>
      </c>
      <c r="B825" t="str">
        <f t="shared" si="34"/>
        <v>89301000</v>
      </c>
      <c r="C825" s="1">
        <v>44516</v>
      </c>
      <c r="D825" s="1">
        <v>44519</v>
      </c>
      <c r="E825">
        <v>1</v>
      </c>
      <c r="F825" t="s">
        <v>296</v>
      </c>
      <c r="G825" t="str">
        <f>"08-K03-03"</f>
        <v>08-K03-03</v>
      </c>
      <c r="H825">
        <v>0.80700000000000005</v>
      </c>
      <c r="J825" t="s">
        <v>14</v>
      </c>
      <c r="K825" t="str">
        <f t="shared" si="36"/>
        <v>3F1</v>
      </c>
      <c r="L825" t="s">
        <v>15</v>
      </c>
    </row>
    <row r="826" spans="1:12" x14ac:dyDescent="0.25">
      <c r="A826" t="str">
        <f>"1160100337"</f>
        <v>1160100337</v>
      </c>
      <c r="B826" t="str">
        <f t="shared" si="34"/>
        <v>89301000</v>
      </c>
      <c r="C826" s="1">
        <v>44480</v>
      </c>
      <c r="D826" s="1">
        <v>44482</v>
      </c>
      <c r="E826">
        <v>1</v>
      </c>
      <c r="F826" t="s">
        <v>623</v>
      </c>
      <c r="G826" t="str">
        <f>"03-I14-02"</f>
        <v>03-I14-02</v>
      </c>
      <c r="H826">
        <v>1.1086</v>
      </c>
      <c r="I826" t="s">
        <v>547</v>
      </c>
      <c r="J826" t="s">
        <v>14</v>
      </c>
      <c r="K826" t="str">
        <f t="shared" si="36"/>
        <v>3F1</v>
      </c>
      <c r="L826" t="s">
        <v>15</v>
      </c>
    </row>
    <row r="827" spans="1:12" x14ac:dyDescent="0.25">
      <c r="A827" t="str">
        <f>"1160251389"</f>
        <v>1160251389</v>
      </c>
      <c r="B827" t="str">
        <f t="shared" si="34"/>
        <v>89301000</v>
      </c>
      <c r="C827" s="1">
        <v>44211</v>
      </c>
      <c r="D827" s="1">
        <v>44212</v>
      </c>
      <c r="E827">
        <v>1</v>
      </c>
      <c r="F827" t="s">
        <v>792</v>
      </c>
      <c r="G827" t="str">
        <f>"11-K14-02"</f>
        <v>11-K14-02</v>
      </c>
      <c r="H827">
        <v>0.52259999999999995</v>
      </c>
      <c r="I827" t="s">
        <v>248</v>
      </c>
      <c r="J827" t="s">
        <v>14</v>
      </c>
      <c r="K827" t="str">
        <f t="shared" si="36"/>
        <v>3F1</v>
      </c>
      <c r="L827" t="s">
        <v>15</v>
      </c>
    </row>
    <row r="828" spans="1:12" x14ac:dyDescent="0.25">
      <c r="A828" t="str">
        <f>"1161110203"</f>
        <v>1161110203</v>
      </c>
      <c r="B828" t="str">
        <f t="shared" ref="B828:B890" si="37">"89301000"</f>
        <v>89301000</v>
      </c>
      <c r="C828" s="1">
        <v>44494</v>
      </c>
      <c r="D828" s="1">
        <v>44496</v>
      </c>
      <c r="E828">
        <v>1</v>
      </c>
      <c r="F828" t="s">
        <v>632</v>
      </c>
      <c r="G828" t="str">
        <f>"06-I17-05"</f>
        <v>06-I17-05</v>
      </c>
      <c r="H828">
        <v>0.39450000000000002</v>
      </c>
      <c r="I828" t="s">
        <v>793</v>
      </c>
      <c r="J828" t="s">
        <v>17</v>
      </c>
      <c r="K828" t="str">
        <f t="shared" si="36"/>
        <v>3F1</v>
      </c>
      <c r="L828" t="s">
        <v>15</v>
      </c>
    </row>
    <row r="829" spans="1:12" x14ac:dyDescent="0.25">
      <c r="A829" t="str">
        <f>"1161140255"</f>
        <v>1161140255</v>
      </c>
      <c r="B829" t="str">
        <f t="shared" si="37"/>
        <v>89301000</v>
      </c>
      <c r="C829" s="1">
        <v>44341</v>
      </c>
      <c r="D829" s="1">
        <v>44342</v>
      </c>
      <c r="E829">
        <v>1</v>
      </c>
      <c r="F829" t="s">
        <v>794</v>
      </c>
      <c r="G829" t="str">
        <f>"06-K22-03"</f>
        <v>06-K22-03</v>
      </c>
      <c r="H829">
        <v>0.3165</v>
      </c>
      <c r="J829" t="s">
        <v>14</v>
      </c>
      <c r="K829" t="str">
        <f t="shared" si="36"/>
        <v>3F1</v>
      </c>
      <c r="L829" t="s">
        <v>15</v>
      </c>
    </row>
    <row r="830" spans="1:12" x14ac:dyDescent="0.25">
      <c r="A830" t="str">
        <f>"1161150276"</f>
        <v>1161150276</v>
      </c>
      <c r="B830" t="str">
        <f t="shared" si="37"/>
        <v>89301000</v>
      </c>
      <c r="C830" s="1">
        <v>44236</v>
      </c>
      <c r="D830" s="1">
        <v>44239</v>
      </c>
      <c r="E830">
        <v>1</v>
      </c>
      <c r="F830" t="s">
        <v>795</v>
      </c>
      <c r="G830" t="str">
        <f>"09-I13-03"</f>
        <v>09-I13-03</v>
      </c>
      <c r="H830">
        <v>0.77380000000000004</v>
      </c>
      <c r="I830" t="s">
        <v>796</v>
      </c>
      <c r="J830" t="s">
        <v>14</v>
      </c>
      <c r="K830" t="str">
        <f t="shared" si="36"/>
        <v>3F1</v>
      </c>
      <c r="L830" t="s">
        <v>15</v>
      </c>
    </row>
    <row r="831" spans="1:12" x14ac:dyDescent="0.25">
      <c r="A831" t="str">
        <f>"1161240168"</f>
        <v>1161240168</v>
      </c>
      <c r="B831" t="str">
        <f t="shared" si="37"/>
        <v>89301000</v>
      </c>
      <c r="C831" s="1">
        <v>44468</v>
      </c>
      <c r="D831" s="1">
        <v>44471</v>
      </c>
      <c r="E831">
        <v>1</v>
      </c>
      <c r="F831" t="s">
        <v>96</v>
      </c>
      <c r="G831" t="str">
        <f>"11-K01-03"</f>
        <v>11-K01-03</v>
      </c>
      <c r="H831">
        <v>0.59489999999999998</v>
      </c>
      <c r="I831" t="s">
        <v>797</v>
      </c>
      <c r="J831" t="s">
        <v>14</v>
      </c>
      <c r="K831" t="str">
        <f t="shared" ref="K831:K856" si="38">"3F1"</f>
        <v>3F1</v>
      </c>
      <c r="L831" t="s">
        <v>15</v>
      </c>
    </row>
    <row r="832" spans="1:12" x14ac:dyDescent="0.25">
      <c r="A832" t="str">
        <f>"1202030522"</f>
        <v>1202030522</v>
      </c>
      <c r="B832" t="str">
        <f t="shared" si="37"/>
        <v>89301000</v>
      </c>
      <c r="C832" s="1">
        <v>44340</v>
      </c>
      <c r="D832" s="1">
        <v>44342</v>
      </c>
      <c r="E832">
        <v>1</v>
      </c>
      <c r="F832" t="s">
        <v>644</v>
      </c>
      <c r="G832" t="str">
        <f>"12-I10-02"</f>
        <v>12-I10-02</v>
      </c>
      <c r="H832">
        <v>0.57379999999999998</v>
      </c>
      <c r="J832" t="s">
        <v>24</v>
      </c>
      <c r="K832" t="str">
        <f t="shared" si="38"/>
        <v>3F1</v>
      </c>
      <c r="L832" t="s">
        <v>15</v>
      </c>
    </row>
    <row r="833" spans="1:12" x14ac:dyDescent="0.25">
      <c r="A833" t="str">
        <f>"1202150147"</f>
        <v>1202150147</v>
      </c>
      <c r="B833" t="str">
        <f t="shared" si="37"/>
        <v>89301000</v>
      </c>
      <c r="C833" s="1">
        <v>44222</v>
      </c>
      <c r="D833" s="1">
        <v>44223</v>
      </c>
      <c r="E833">
        <v>1</v>
      </c>
      <c r="F833" t="s">
        <v>798</v>
      </c>
      <c r="G833" t="str">
        <f>"08-K14-03"</f>
        <v>08-K14-03</v>
      </c>
      <c r="H833">
        <v>0.26169999999999999</v>
      </c>
      <c r="I833" t="s">
        <v>799</v>
      </c>
      <c r="J833" t="s">
        <v>14</v>
      </c>
      <c r="K833" t="str">
        <f t="shared" si="38"/>
        <v>3F1</v>
      </c>
      <c r="L833" t="s">
        <v>15</v>
      </c>
    </row>
    <row r="834" spans="1:12" x14ac:dyDescent="0.25">
      <c r="A834" t="str">
        <f>"1203230028"</f>
        <v>1203230028</v>
      </c>
      <c r="B834" t="str">
        <f t="shared" si="37"/>
        <v>89301000</v>
      </c>
      <c r="C834" s="1">
        <v>44441</v>
      </c>
      <c r="D834" s="1">
        <v>44445</v>
      </c>
      <c r="E834">
        <v>1</v>
      </c>
      <c r="F834" t="s">
        <v>43</v>
      </c>
      <c r="G834" t="str">
        <f>"06-I18-02"</f>
        <v>06-I18-02</v>
      </c>
      <c r="H834">
        <v>2.0447000000000002</v>
      </c>
      <c r="I834" t="s">
        <v>46</v>
      </c>
      <c r="J834" t="s">
        <v>24</v>
      </c>
      <c r="K834" t="str">
        <f t="shared" si="38"/>
        <v>3F1</v>
      </c>
      <c r="L834" t="s">
        <v>15</v>
      </c>
    </row>
    <row r="835" spans="1:12" x14ac:dyDescent="0.25">
      <c r="A835" t="str">
        <f>"1203270167"</f>
        <v>1203270167</v>
      </c>
      <c r="B835" t="str">
        <f t="shared" si="37"/>
        <v>89301000</v>
      </c>
      <c r="C835" s="1">
        <v>44369</v>
      </c>
      <c r="D835" s="1">
        <v>44379</v>
      </c>
      <c r="E835">
        <v>1</v>
      </c>
      <c r="F835" t="s">
        <v>800</v>
      </c>
      <c r="G835" t="str">
        <f>"08-K02-01"</f>
        <v>08-K02-01</v>
      </c>
      <c r="H835">
        <v>1.5983000000000001</v>
      </c>
      <c r="I835" t="s">
        <v>801</v>
      </c>
      <c r="J835" t="s">
        <v>14</v>
      </c>
      <c r="K835" t="str">
        <f t="shared" si="38"/>
        <v>3F1</v>
      </c>
      <c r="L835" t="s">
        <v>15</v>
      </c>
    </row>
    <row r="836" spans="1:12" x14ac:dyDescent="0.25">
      <c r="A836" t="str">
        <f>"1203270167"</f>
        <v>1203270167</v>
      </c>
      <c r="B836" t="str">
        <f t="shared" si="37"/>
        <v>89301000</v>
      </c>
      <c r="C836" s="1">
        <v>44341</v>
      </c>
      <c r="D836" s="1">
        <v>44354</v>
      </c>
      <c r="E836">
        <v>1</v>
      </c>
      <c r="F836" t="s">
        <v>802</v>
      </c>
      <c r="G836" t="str">
        <f>"08-K02-02"</f>
        <v>08-K02-02</v>
      </c>
      <c r="H836">
        <v>1.2081999999999999</v>
      </c>
      <c r="I836" t="s">
        <v>803</v>
      </c>
      <c r="J836" t="s">
        <v>14</v>
      </c>
      <c r="K836" t="str">
        <f t="shared" si="38"/>
        <v>3F1</v>
      </c>
      <c r="L836" t="s">
        <v>15</v>
      </c>
    </row>
    <row r="837" spans="1:12" x14ac:dyDescent="0.25">
      <c r="A837" t="str">
        <f>"1203300241"</f>
        <v>1203300241</v>
      </c>
      <c r="B837" t="str">
        <f t="shared" si="37"/>
        <v>89301000</v>
      </c>
      <c r="C837" s="1">
        <v>44343</v>
      </c>
      <c r="D837" s="1">
        <v>44344</v>
      </c>
      <c r="E837">
        <v>1</v>
      </c>
      <c r="F837" t="s">
        <v>804</v>
      </c>
      <c r="G837" t="str">
        <f>"08-K14-03"</f>
        <v>08-K14-03</v>
      </c>
      <c r="H837">
        <v>0.26169999999999999</v>
      </c>
      <c r="I837" t="s">
        <v>805</v>
      </c>
      <c r="J837" t="s">
        <v>14</v>
      </c>
      <c r="K837" t="str">
        <f t="shared" si="38"/>
        <v>3F1</v>
      </c>
      <c r="L837" t="s">
        <v>15</v>
      </c>
    </row>
    <row r="838" spans="1:12" x14ac:dyDescent="0.25">
      <c r="A838" t="str">
        <f>"1204050353"</f>
        <v>1204050353</v>
      </c>
      <c r="B838" t="str">
        <f t="shared" si="37"/>
        <v>89301000</v>
      </c>
      <c r="C838" s="1">
        <v>44422</v>
      </c>
      <c r="D838" s="1">
        <v>44423</v>
      </c>
      <c r="E838">
        <v>1</v>
      </c>
      <c r="F838" t="s">
        <v>529</v>
      </c>
      <c r="G838" t="str">
        <f>"06-K04-03"</f>
        <v>06-K04-03</v>
      </c>
      <c r="H838">
        <v>0.38250000000000001</v>
      </c>
      <c r="J838" t="s">
        <v>14</v>
      </c>
      <c r="K838" t="str">
        <f t="shared" si="38"/>
        <v>3F1</v>
      </c>
      <c r="L838" t="s">
        <v>15</v>
      </c>
    </row>
    <row r="839" spans="1:12" x14ac:dyDescent="0.25">
      <c r="A839" t="str">
        <f>"1205100237"</f>
        <v>1205100237</v>
      </c>
      <c r="B839" t="str">
        <f t="shared" si="37"/>
        <v>89301000</v>
      </c>
      <c r="C839" s="1">
        <v>44546</v>
      </c>
      <c r="D839" s="1">
        <v>44553</v>
      </c>
      <c r="E839">
        <v>1</v>
      </c>
      <c r="F839" t="s">
        <v>388</v>
      </c>
      <c r="G839" t="str">
        <f>"08-C01-03"</f>
        <v>08-C01-03</v>
      </c>
      <c r="H839">
        <v>1.9153</v>
      </c>
      <c r="I839" t="s">
        <v>806</v>
      </c>
      <c r="J839" t="s">
        <v>14</v>
      </c>
      <c r="K839" t="str">
        <f t="shared" si="38"/>
        <v>3F1</v>
      </c>
      <c r="L839" t="s">
        <v>15</v>
      </c>
    </row>
    <row r="840" spans="1:12" x14ac:dyDescent="0.25">
      <c r="A840" t="str">
        <f>"1205170142"</f>
        <v>1205170142</v>
      </c>
      <c r="B840" t="str">
        <f t="shared" si="37"/>
        <v>89301000</v>
      </c>
      <c r="C840" s="1">
        <v>44300</v>
      </c>
      <c r="D840" s="1">
        <v>44302</v>
      </c>
      <c r="E840">
        <v>1</v>
      </c>
      <c r="F840" t="s">
        <v>174</v>
      </c>
      <c r="G840" t="str">
        <f>"12-I14-00"</f>
        <v>12-I14-00</v>
      </c>
      <c r="H840">
        <v>0.44350000000000001</v>
      </c>
      <c r="J840" t="s">
        <v>14</v>
      </c>
      <c r="K840" t="str">
        <f t="shared" si="38"/>
        <v>3F1</v>
      </c>
      <c r="L840" t="s">
        <v>15</v>
      </c>
    </row>
    <row r="841" spans="1:12" x14ac:dyDescent="0.25">
      <c r="A841" t="str">
        <f>"1205220269"</f>
        <v>1205220269</v>
      </c>
      <c r="B841" t="str">
        <f t="shared" si="37"/>
        <v>89301000</v>
      </c>
      <c r="C841" s="1">
        <v>44198</v>
      </c>
      <c r="D841" s="1">
        <v>44200</v>
      </c>
      <c r="E841">
        <v>1</v>
      </c>
      <c r="F841" t="s">
        <v>529</v>
      </c>
      <c r="G841" t="str">
        <f>"06-K04-03"</f>
        <v>06-K04-03</v>
      </c>
      <c r="H841">
        <v>0.38250000000000001</v>
      </c>
      <c r="I841" t="s">
        <v>530</v>
      </c>
      <c r="J841" t="s">
        <v>14</v>
      </c>
      <c r="K841" t="str">
        <f t="shared" si="38"/>
        <v>3F1</v>
      </c>
      <c r="L841" t="s">
        <v>15</v>
      </c>
    </row>
    <row r="842" spans="1:12" x14ac:dyDescent="0.25">
      <c r="A842" t="str">
        <f>"1205281561"</f>
        <v>1205281561</v>
      </c>
      <c r="B842" t="str">
        <f t="shared" si="37"/>
        <v>89301000</v>
      </c>
      <c r="C842" s="1">
        <v>44291</v>
      </c>
      <c r="D842" s="1">
        <v>44293</v>
      </c>
      <c r="E842">
        <v>1</v>
      </c>
      <c r="F842" t="s">
        <v>174</v>
      </c>
      <c r="G842" t="str">
        <f>"12-I14-00"</f>
        <v>12-I14-00</v>
      </c>
      <c r="H842">
        <v>0.44350000000000001</v>
      </c>
      <c r="J842" t="s">
        <v>14</v>
      </c>
      <c r="K842" t="str">
        <f t="shared" si="38"/>
        <v>3F1</v>
      </c>
      <c r="L842" t="s">
        <v>15</v>
      </c>
    </row>
    <row r="843" spans="1:12" x14ac:dyDescent="0.25">
      <c r="A843" t="str">
        <f>"1206271330"</f>
        <v>1206271330</v>
      </c>
      <c r="B843" t="str">
        <f t="shared" si="37"/>
        <v>89301000</v>
      </c>
      <c r="C843" s="1">
        <v>44322</v>
      </c>
      <c r="D843" s="1">
        <v>44323</v>
      </c>
      <c r="E843">
        <v>1</v>
      </c>
      <c r="F843" t="s">
        <v>807</v>
      </c>
      <c r="G843" t="str">
        <f>"03-K01-02"</f>
        <v>03-K01-02</v>
      </c>
      <c r="H843">
        <v>0.37240000000000001</v>
      </c>
      <c r="J843" t="s">
        <v>14</v>
      </c>
      <c r="K843" t="str">
        <f t="shared" si="38"/>
        <v>3F1</v>
      </c>
      <c r="L843" t="s">
        <v>15</v>
      </c>
    </row>
    <row r="844" spans="1:12" x14ac:dyDescent="0.25">
      <c r="A844" t="str">
        <f>"1206300018"</f>
        <v>1206300018</v>
      </c>
      <c r="B844" t="str">
        <f t="shared" si="37"/>
        <v>89301000</v>
      </c>
      <c r="C844" s="1">
        <v>44312</v>
      </c>
      <c r="D844" s="1">
        <v>44314</v>
      </c>
      <c r="E844">
        <v>1</v>
      </c>
      <c r="F844" t="s">
        <v>174</v>
      </c>
      <c r="G844" t="str">
        <f>"12-I14-00"</f>
        <v>12-I14-00</v>
      </c>
      <c r="H844">
        <v>0.44350000000000001</v>
      </c>
      <c r="J844" t="s">
        <v>14</v>
      </c>
      <c r="K844" t="str">
        <f t="shared" si="38"/>
        <v>3F1</v>
      </c>
      <c r="L844" t="s">
        <v>15</v>
      </c>
    </row>
    <row r="845" spans="1:12" x14ac:dyDescent="0.25">
      <c r="A845" t="str">
        <f>"1207112049"</f>
        <v>1207112049</v>
      </c>
      <c r="B845" t="str">
        <f t="shared" si="37"/>
        <v>89301000</v>
      </c>
      <c r="C845" s="1">
        <v>44448</v>
      </c>
      <c r="D845" s="1">
        <v>44449</v>
      </c>
      <c r="E845">
        <v>1</v>
      </c>
      <c r="F845" t="s">
        <v>234</v>
      </c>
      <c r="G845" t="str">
        <f>"23-K01-00"</f>
        <v>23-K01-00</v>
      </c>
      <c r="H845">
        <v>0.13139999999999999</v>
      </c>
      <c r="I845" t="s">
        <v>808</v>
      </c>
      <c r="J845" t="s">
        <v>14</v>
      </c>
      <c r="K845" t="str">
        <f t="shared" si="38"/>
        <v>3F1</v>
      </c>
      <c r="L845" t="s">
        <v>15</v>
      </c>
    </row>
    <row r="846" spans="1:12" x14ac:dyDescent="0.25">
      <c r="A846" t="str">
        <f>"1207160284"</f>
        <v>1207160284</v>
      </c>
      <c r="B846" t="str">
        <f t="shared" si="37"/>
        <v>89301000</v>
      </c>
      <c r="C846" s="1">
        <v>44323</v>
      </c>
      <c r="D846" s="1">
        <v>44327</v>
      </c>
      <c r="E846">
        <v>1</v>
      </c>
      <c r="F846" t="s">
        <v>43</v>
      </c>
      <c r="G846" t="str">
        <f>"06-I18-04"</f>
        <v>06-I18-04</v>
      </c>
      <c r="H846">
        <v>1.1514</v>
      </c>
      <c r="J846" t="s">
        <v>24</v>
      </c>
      <c r="K846" t="str">
        <f t="shared" si="38"/>
        <v>3F1</v>
      </c>
      <c r="L846" t="s">
        <v>15</v>
      </c>
    </row>
    <row r="847" spans="1:12" x14ac:dyDescent="0.25">
      <c r="A847" t="str">
        <f>"1207220080"</f>
        <v>1207220080</v>
      </c>
      <c r="B847" t="str">
        <f t="shared" si="37"/>
        <v>89301000</v>
      </c>
      <c r="C847" s="1">
        <v>44395</v>
      </c>
      <c r="D847" s="1">
        <v>44396</v>
      </c>
      <c r="E847">
        <v>1</v>
      </c>
      <c r="F847" t="s">
        <v>445</v>
      </c>
      <c r="G847" t="str">
        <f>"08-I20-03"</f>
        <v>08-I20-03</v>
      </c>
      <c r="H847">
        <v>0.63300000000000001</v>
      </c>
      <c r="I847" t="s">
        <v>809</v>
      </c>
      <c r="J847" t="s">
        <v>17</v>
      </c>
      <c r="K847" t="str">
        <f t="shared" si="38"/>
        <v>3F1</v>
      </c>
      <c r="L847" t="s">
        <v>15</v>
      </c>
    </row>
    <row r="848" spans="1:12" x14ac:dyDescent="0.25">
      <c r="A848" t="str">
        <f>"1207290040"</f>
        <v>1207290040</v>
      </c>
      <c r="B848" t="str">
        <f t="shared" si="37"/>
        <v>89301000</v>
      </c>
      <c r="C848" s="1">
        <v>44480</v>
      </c>
      <c r="D848" s="1">
        <v>44482</v>
      </c>
      <c r="E848">
        <v>1</v>
      </c>
      <c r="F848" t="s">
        <v>644</v>
      </c>
      <c r="G848" t="str">
        <f>"12-I10-02"</f>
        <v>12-I10-02</v>
      </c>
      <c r="H848">
        <v>0.57379999999999998</v>
      </c>
      <c r="J848" t="s">
        <v>24</v>
      </c>
      <c r="K848" t="str">
        <f t="shared" si="38"/>
        <v>3F1</v>
      </c>
      <c r="L848" t="s">
        <v>15</v>
      </c>
    </row>
    <row r="849" spans="1:12" x14ac:dyDescent="0.25">
      <c r="A849" t="str">
        <f>"1208010452"</f>
        <v>1208010452</v>
      </c>
      <c r="B849" t="str">
        <f t="shared" si="37"/>
        <v>89301000</v>
      </c>
      <c r="C849" s="1">
        <v>44424</v>
      </c>
      <c r="D849" s="1">
        <v>44426</v>
      </c>
      <c r="E849">
        <v>1</v>
      </c>
      <c r="F849" t="s">
        <v>644</v>
      </c>
      <c r="G849" t="str">
        <f>"12-I10-02"</f>
        <v>12-I10-02</v>
      </c>
      <c r="H849">
        <v>0.57379999999999998</v>
      </c>
      <c r="I849" t="s">
        <v>174</v>
      </c>
      <c r="J849" t="s">
        <v>24</v>
      </c>
      <c r="K849" t="str">
        <f t="shared" si="38"/>
        <v>3F1</v>
      </c>
      <c r="L849" t="s">
        <v>15</v>
      </c>
    </row>
    <row r="850" spans="1:12" x14ac:dyDescent="0.25">
      <c r="A850" t="str">
        <f>"1208070424"</f>
        <v>1208070424</v>
      </c>
      <c r="B850" t="str">
        <f t="shared" si="37"/>
        <v>89301000</v>
      </c>
      <c r="C850" s="1">
        <v>44388</v>
      </c>
      <c r="D850" s="1">
        <v>44393</v>
      </c>
      <c r="E850">
        <v>1</v>
      </c>
      <c r="F850" t="s">
        <v>617</v>
      </c>
      <c r="G850" t="str">
        <f>"06-K02-02"</f>
        <v>06-K02-02</v>
      </c>
      <c r="H850">
        <v>0.79910000000000003</v>
      </c>
      <c r="I850" t="s">
        <v>810</v>
      </c>
      <c r="J850" t="s">
        <v>14</v>
      </c>
      <c r="K850" t="str">
        <f t="shared" si="38"/>
        <v>3F1</v>
      </c>
      <c r="L850" t="s">
        <v>15</v>
      </c>
    </row>
    <row r="851" spans="1:12" x14ac:dyDescent="0.25">
      <c r="A851" t="str">
        <f>"1208240605"</f>
        <v>1208240605</v>
      </c>
      <c r="B851" t="str">
        <f t="shared" si="37"/>
        <v>89301000</v>
      </c>
      <c r="C851" s="1">
        <v>44258</v>
      </c>
      <c r="D851" s="1">
        <v>44259</v>
      </c>
      <c r="E851">
        <v>1</v>
      </c>
      <c r="F851" t="s">
        <v>738</v>
      </c>
      <c r="G851" t="str">
        <f>"08-K14-03"</f>
        <v>08-K14-03</v>
      </c>
      <c r="H851">
        <v>0.26169999999999999</v>
      </c>
      <c r="I851" t="s">
        <v>196</v>
      </c>
      <c r="J851" t="s">
        <v>14</v>
      </c>
      <c r="K851" t="str">
        <f t="shared" si="38"/>
        <v>3F1</v>
      </c>
      <c r="L851" t="s">
        <v>15</v>
      </c>
    </row>
    <row r="852" spans="1:12" x14ac:dyDescent="0.25">
      <c r="A852" t="str">
        <f>"1208271460"</f>
        <v>1208271460</v>
      </c>
      <c r="B852" t="str">
        <f t="shared" si="37"/>
        <v>89301000</v>
      </c>
      <c r="C852" s="1">
        <v>44438</v>
      </c>
      <c r="D852" s="1">
        <v>44441</v>
      </c>
      <c r="E852">
        <v>1</v>
      </c>
      <c r="F852" t="s">
        <v>811</v>
      </c>
      <c r="G852" t="str">
        <f>"04-K14-03"</f>
        <v>04-K14-03</v>
      </c>
      <c r="H852">
        <v>0.78710000000000002</v>
      </c>
      <c r="I852" t="s">
        <v>812</v>
      </c>
      <c r="J852" t="s">
        <v>14</v>
      </c>
      <c r="K852" t="str">
        <f t="shared" si="38"/>
        <v>3F1</v>
      </c>
      <c r="L852" t="s">
        <v>15</v>
      </c>
    </row>
    <row r="853" spans="1:12" x14ac:dyDescent="0.25">
      <c r="A853" t="str">
        <f>"1209100035"</f>
        <v>1209100035</v>
      </c>
      <c r="B853" t="str">
        <f t="shared" si="37"/>
        <v>89301000</v>
      </c>
      <c r="C853" s="1">
        <v>44356</v>
      </c>
      <c r="D853" s="1">
        <v>44362</v>
      </c>
      <c r="E853">
        <v>1</v>
      </c>
      <c r="F853" t="s">
        <v>43</v>
      </c>
      <c r="G853" t="str">
        <f>"06-I18-04"</f>
        <v>06-I18-04</v>
      </c>
      <c r="H853">
        <v>1.1514</v>
      </c>
      <c r="I853" t="s">
        <v>168</v>
      </c>
      <c r="J853" t="s">
        <v>24</v>
      </c>
      <c r="K853" t="str">
        <f t="shared" si="38"/>
        <v>3F1</v>
      </c>
      <c r="L853" t="s">
        <v>15</v>
      </c>
    </row>
    <row r="854" spans="1:12" x14ac:dyDescent="0.25">
      <c r="A854" t="str">
        <f>"1209290005"</f>
        <v>1209290005</v>
      </c>
      <c r="B854" t="str">
        <f t="shared" si="37"/>
        <v>89301000</v>
      </c>
      <c r="C854" s="1">
        <v>44386</v>
      </c>
      <c r="D854" s="1">
        <v>44388</v>
      </c>
      <c r="E854">
        <v>1</v>
      </c>
      <c r="F854" t="s">
        <v>720</v>
      </c>
      <c r="G854" t="str">
        <f>"06-K02-04"</f>
        <v>06-K02-04</v>
      </c>
      <c r="H854">
        <v>0.3634</v>
      </c>
      <c r="I854" t="s">
        <v>354</v>
      </c>
      <c r="J854" t="s">
        <v>14</v>
      </c>
      <c r="K854" t="str">
        <f t="shared" si="38"/>
        <v>3F1</v>
      </c>
      <c r="L854" t="s">
        <v>15</v>
      </c>
    </row>
    <row r="855" spans="1:12" x14ac:dyDescent="0.25">
      <c r="A855" t="str">
        <f>"1210230329"</f>
        <v>1210230329</v>
      </c>
      <c r="B855" t="str">
        <f t="shared" si="37"/>
        <v>89301000</v>
      </c>
      <c r="C855" s="1">
        <v>44559</v>
      </c>
      <c r="D855" s="1">
        <v>44560</v>
      </c>
      <c r="E855">
        <v>1</v>
      </c>
      <c r="F855" t="s">
        <v>287</v>
      </c>
      <c r="G855" t="str">
        <f>"01-K16-06"</f>
        <v>01-K16-06</v>
      </c>
      <c r="H855">
        <v>0.26469999999999999</v>
      </c>
      <c r="I855" t="s">
        <v>813</v>
      </c>
      <c r="J855" t="s">
        <v>14</v>
      </c>
      <c r="K855" t="str">
        <f t="shared" si="38"/>
        <v>3F1</v>
      </c>
      <c r="L855" t="s">
        <v>15</v>
      </c>
    </row>
    <row r="856" spans="1:12" x14ac:dyDescent="0.25">
      <c r="A856" t="str">
        <f>"1211070311"</f>
        <v>1211070311</v>
      </c>
      <c r="B856" t="str">
        <f t="shared" si="37"/>
        <v>89301000</v>
      </c>
      <c r="C856" s="1">
        <v>44420</v>
      </c>
      <c r="D856" s="1">
        <v>44424</v>
      </c>
      <c r="E856">
        <v>1</v>
      </c>
      <c r="F856" t="s">
        <v>814</v>
      </c>
      <c r="G856" t="str">
        <f>"09-K13-02"</f>
        <v>09-K13-02</v>
      </c>
      <c r="H856">
        <v>0.3014</v>
      </c>
      <c r="I856" t="s">
        <v>815</v>
      </c>
      <c r="J856" t="s">
        <v>14</v>
      </c>
      <c r="K856" t="str">
        <f t="shared" si="38"/>
        <v>3F1</v>
      </c>
      <c r="L856" t="s">
        <v>15</v>
      </c>
    </row>
    <row r="857" spans="1:12" x14ac:dyDescent="0.25">
      <c r="A857" t="str">
        <f>"1211150149"</f>
        <v>1211150149</v>
      </c>
      <c r="B857" t="str">
        <f t="shared" si="37"/>
        <v>89301000</v>
      </c>
      <c r="C857" s="1">
        <v>44285</v>
      </c>
      <c r="D857" s="1">
        <v>44293</v>
      </c>
      <c r="E857">
        <v>6</v>
      </c>
      <c r="F857" t="s">
        <v>630</v>
      </c>
      <c r="G857" t="str">
        <f>"06-I18-02"</f>
        <v>06-I18-02</v>
      </c>
      <c r="H857">
        <v>2.0447000000000002</v>
      </c>
      <c r="I857" t="s">
        <v>816</v>
      </c>
      <c r="J857" t="s">
        <v>24</v>
      </c>
      <c r="K857" t="str">
        <f>"3T1"</f>
        <v>3T1</v>
      </c>
      <c r="L857" t="s">
        <v>15</v>
      </c>
    </row>
    <row r="858" spans="1:12" x14ac:dyDescent="0.25">
      <c r="A858" t="str">
        <f>"1211170147"</f>
        <v>1211170147</v>
      </c>
      <c r="B858" t="str">
        <f t="shared" si="37"/>
        <v>89301000</v>
      </c>
      <c r="C858" s="1">
        <v>44390</v>
      </c>
      <c r="D858" s="1">
        <v>44400</v>
      </c>
      <c r="E858">
        <v>1</v>
      </c>
      <c r="F858" t="s">
        <v>351</v>
      </c>
      <c r="G858" t="str">
        <f>"10-K04-03"</f>
        <v>10-K04-03</v>
      </c>
      <c r="H858">
        <v>0.7984</v>
      </c>
      <c r="J858" t="s">
        <v>14</v>
      </c>
      <c r="K858" t="str">
        <f t="shared" ref="K858:K866" si="39">"3F1"</f>
        <v>3F1</v>
      </c>
      <c r="L858" t="s">
        <v>15</v>
      </c>
    </row>
    <row r="859" spans="1:12" x14ac:dyDescent="0.25">
      <c r="A859" t="str">
        <f>"1211250106"</f>
        <v>1211250106</v>
      </c>
      <c r="B859" t="str">
        <f t="shared" si="37"/>
        <v>89301000</v>
      </c>
      <c r="C859" s="1">
        <v>44437</v>
      </c>
      <c r="D859" s="1">
        <v>44439</v>
      </c>
      <c r="E859">
        <v>1</v>
      </c>
      <c r="F859" t="s">
        <v>449</v>
      </c>
      <c r="G859" t="str">
        <f>"02-I11-01"</f>
        <v>02-I11-01</v>
      </c>
      <c r="H859">
        <v>0.87619999999999998</v>
      </c>
      <c r="J859" t="s">
        <v>17</v>
      </c>
      <c r="K859" t="str">
        <f t="shared" si="39"/>
        <v>3F1</v>
      </c>
      <c r="L859" t="s">
        <v>15</v>
      </c>
    </row>
    <row r="860" spans="1:12" x14ac:dyDescent="0.25">
      <c r="A860" t="str">
        <f>"1211300178"</f>
        <v>1211300178</v>
      </c>
      <c r="B860" t="str">
        <f t="shared" si="37"/>
        <v>89301000</v>
      </c>
      <c r="C860" s="1">
        <v>44400</v>
      </c>
      <c r="D860" s="1">
        <v>44401</v>
      </c>
      <c r="E860">
        <v>1</v>
      </c>
      <c r="F860" t="s">
        <v>380</v>
      </c>
      <c r="G860" t="str">
        <f>"08-I20-03"</f>
        <v>08-I20-03</v>
      </c>
      <c r="H860">
        <v>0.63300000000000001</v>
      </c>
      <c r="I860" t="s">
        <v>818</v>
      </c>
      <c r="J860" t="s">
        <v>17</v>
      </c>
      <c r="K860" t="str">
        <f t="shared" si="39"/>
        <v>3F1</v>
      </c>
      <c r="L860" t="s">
        <v>15</v>
      </c>
    </row>
    <row r="861" spans="1:12" x14ac:dyDescent="0.25">
      <c r="A861" t="str">
        <f>"1212090033"</f>
        <v>1212090033</v>
      </c>
      <c r="B861" t="str">
        <f t="shared" si="37"/>
        <v>89301000</v>
      </c>
      <c r="C861" s="1">
        <v>44508</v>
      </c>
      <c r="D861" s="1">
        <v>44523</v>
      </c>
      <c r="E861">
        <v>1</v>
      </c>
      <c r="F861" t="s">
        <v>18</v>
      </c>
      <c r="G861" t="str">
        <f>"11-I10-03"</f>
        <v>11-I10-03</v>
      </c>
      <c r="H861">
        <v>2.3313999999999999</v>
      </c>
      <c r="J861" t="s">
        <v>17</v>
      </c>
      <c r="K861" t="str">
        <f t="shared" si="39"/>
        <v>3F1</v>
      </c>
      <c r="L861" t="s">
        <v>15</v>
      </c>
    </row>
    <row r="862" spans="1:12" x14ac:dyDescent="0.25">
      <c r="A862" t="str">
        <f>"1212110240"</f>
        <v>1212110240</v>
      </c>
      <c r="B862" t="str">
        <f t="shared" si="37"/>
        <v>89301000</v>
      </c>
      <c r="C862" s="1">
        <v>44221</v>
      </c>
      <c r="D862" s="1">
        <v>44223</v>
      </c>
      <c r="E862">
        <v>1</v>
      </c>
      <c r="F862" t="s">
        <v>174</v>
      </c>
      <c r="G862" t="str">
        <f>"12-I14-00"</f>
        <v>12-I14-00</v>
      </c>
      <c r="H862">
        <v>0.44350000000000001</v>
      </c>
      <c r="J862" t="s">
        <v>14</v>
      </c>
      <c r="K862" t="str">
        <f t="shared" si="39"/>
        <v>3F1</v>
      </c>
      <c r="L862" t="s">
        <v>15</v>
      </c>
    </row>
    <row r="863" spans="1:12" x14ac:dyDescent="0.25">
      <c r="A863" t="str">
        <f>"1251311424"</f>
        <v>1251311424</v>
      </c>
      <c r="B863" t="str">
        <f t="shared" si="37"/>
        <v>89301000</v>
      </c>
      <c r="C863" s="1">
        <v>44327</v>
      </c>
      <c r="D863" s="1">
        <v>44330</v>
      </c>
      <c r="E863">
        <v>1</v>
      </c>
      <c r="F863" t="s">
        <v>605</v>
      </c>
      <c r="G863" t="str">
        <f>"09-K12-00"</f>
        <v>09-K12-00</v>
      </c>
      <c r="H863">
        <v>0.24349999999999999</v>
      </c>
      <c r="I863" t="s">
        <v>606</v>
      </c>
      <c r="J863" t="s">
        <v>14</v>
      </c>
      <c r="K863" t="str">
        <f t="shared" si="39"/>
        <v>3F1</v>
      </c>
      <c r="L863" t="s">
        <v>15</v>
      </c>
    </row>
    <row r="864" spans="1:12" x14ac:dyDescent="0.25">
      <c r="A864" t="str">
        <f>"1253061128"</f>
        <v>1253061128</v>
      </c>
      <c r="B864" t="str">
        <f t="shared" si="37"/>
        <v>89301000</v>
      </c>
      <c r="C864" s="1">
        <v>44353</v>
      </c>
      <c r="D864" s="1">
        <v>44354</v>
      </c>
      <c r="E864">
        <v>1</v>
      </c>
      <c r="F864" t="s">
        <v>819</v>
      </c>
      <c r="G864" t="str">
        <f>"04-K13-01"</f>
        <v>04-K13-01</v>
      </c>
      <c r="H864">
        <v>0.64270000000000005</v>
      </c>
      <c r="I864" t="s">
        <v>820</v>
      </c>
      <c r="J864" t="s">
        <v>14</v>
      </c>
      <c r="K864" t="str">
        <f t="shared" si="39"/>
        <v>3F1</v>
      </c>
      <c r="L864" t="s">
        <v>15</v>
      </c>
    </row>
    <row r="865" spans="1:12" x14ac:dyDescent="0.25">
      <c r="A865" t="str">
        <f>"1253140295"</f>
        <v>1253140295</v>
      </c>
      <c r="B865" t="str">
        <f t="shared" si="37"/>
        <v>89301000</v>
      </c>
      <c r="C865" s="1">
        <v>44537</v>
      </c>
      <c r="D865" s="1">
        <v>44540</v>
      </c>
      <c r="E865">
        <v>1</v>
      </c>
      <c r="F865" t="s">
        <v>18</v>
      </c>
      <c r="G865" t="str">
        <f>"11-I17-03"</f>
        <v>11-I17-03</v>
      </c>
      <c r="H865">
        <v>0.50609999999999999</v>
      </c>
      <c r="J865" t="s">
        <v>14</v>
      </c>
      <c r="K865" t="str">
        <f t="shared" si="39"/>
        <v>3F1</v>
      </c>
      <c r="L865" t="s">
        <v>15</v>
      </c>
    </row>
    <row r="866" spans="1:12" x14ac:dyDescent="0.25">
      <c r="A866" t="str">
        <f>"1253140295"</f>
        <v>1253140295</v>
      </c>
      <c r="B866" t="str">
        <f t="shared" si="37"/>
        <v>89301000</v>
      </c>
      <c r="C866" s="1">
        <v>44471</v>
      </c>
      <c r="D866" s="1">
        <v>44477</v>
      </c>
      <c r="E866">
        <v>1</v>
      </c>
      <c r="F866" t="s">
        <v>96</v>
      </c>
      <c r="G866" t="str">
        <f>"11-K01-03"</f>
        <v>11-K01-03</v>
      </c>
      <c r="H866">
        <v>0.59489999999999998</v>
      </c>
      <c r="I866" t="s">
        <v>797</v>
      </c>
      <c r="J866" t="s">
        <v>14</v>
      </c>
      <c r="K866" t="str">
        <f t="shared" si="39"/>
        <v>3F1</v>
      </c>
      <c r="L866" t="s">
        <v>15</v>
      </c>
    </row>
    <row r="867" spans="1:12" x14ac:dyDescent="0.25">
      <c r="A867" t="str">
        <f>"1253210057"</f>
        <v>1253210057</v>
      </c>
      <c r="B867" t="str">
        <f t="shared" si="37"/>
        <v>89301000</v>
      </c>
      <c r="C867" s="1">
        <v>44319</v>
      </c>
      <c r="D867" s="1">
        <v>44326</v>
      </c>
      <c r="E867">
        <v>5</v>
      </c>
      <c r="F867" t="s">
        <v>821</v>
      </c>
      <c r="G867" t="str">
        <f>"05-K08-01"</f>
        <v>05-K08-01</v>
      </c>
      <c r="H867">
        <v>4.5204000000000004</v>
      </c>
      <c r="I867" t="s">
        <v>822</v>
      </c>
      <c r="J867" t="s">
        <v>14</v>
      </c>
      <c r="K867" t="str">
        <f>"3T1"</f>
        <v>3T1</v>
      </c>
      <c r="L867" t="s">
        <v>15</v>
      </c>
    </row>
    <row r="868" spans="1:12" x14ac:dyDescent="0.25">
      <c r="A868" t="str">
        <f>"1254030404"</f>
        <v>1254030404</v>
      </c>
      <c r="B868" t="str">
        <f t="shared" si="37"/>
        <v>89301000</v>
      </c>
      <c r="C868" s="1">
        <v>44432</v>
      </c>
      <c r="D868" s="1">
        <v>44434</v>
      </c>
      <c r="E868">
        <v>1</v>
      </c>
      <c r="F868" t="s">
        <v>823</v>
      </c>
      <c r="G868" t="str">
        <f>"03-I20-03"</f>
        <v>03-I20-03</v>
      </c>
      <c r="H868">
        <v>0.68049999999999999</v>
      </c>
      <c r="J868" t="s">
        <v>17</v>
      </c>
      <c r="K868" t="str">
        <f t="shared" ref="K868:K891" si="40">"3F1"</f>
        <v>3F1</v>
      </c>
      <c r="L868" t="s">
        <v>15</v>
      </c>
    </row>
    <row r="869" spans="1:12" x14ac:dyDescent="0.25">
      <c r="A869" t="str">
        <f>"1255230273"</f>
        <v>1255230273</v>
      </c>
      <c r="B869" t="str">
        <f t="shared" si="37"/>
        <v>89301000</v>
      </c>
      <c r="C869" s="1">
        <v>44504</v>
      </c>
      <c r="D869" s="1">
        <v>44508</v>
      </c>
      <c r="E869">
        <v>1</v>
      </c>
      <c r="F869" t="s">
        <v>824</v>
      </c>
      <c r="G869" t="str">
        <f>"03-K02-03"</f>
        <v>03-K02-03</v>
      </c>
      <c r="H869">
        <v>0.33960000000000001</v>
      </c>
      <c r="I869" t="s">
        <v>825</v>
      </c>
      <c r="J869" t="s">
        <v>14</v>
      </c>
      <c r="K869" t="str">
        <f t="shared" si="40"/>
        <v>3F1</v>
      </c>
      <c r="L869" t="s">
        <v>15</v>
      </c>
    </row>
    <row r="870" spans="1:12" x14ac:dyDescent="0.25">
      <c r="A870" t="str">
        <f>"1256050180"</f>
        <v>1256050180</v>
      </c>
      <c r="B870" t="str">
        <f t="shared" si="37"/>
        <v>89301000</v>
      </c>
      <c r="C870" s="1">
        <v>44468</v>
      </c>
      <c r="D870" s="1">
        <v>44468</v>
      </c>
      <c r="E870">
        <v>1</v>
      </c>
      <c r="F870" t="s">
        <v>617</v>
      </c>
      <c r="G870" t="str">
        <f>"06-K02-04"</f>
        <v>06-K02-04</v>
      </c>
      <c r="H870">
        <v>0.18229999999999999</v>
      </c>
      <c r="I870" t="s">
        <v>552</v>
      </c>
      <c r="J870" t="s">
        <v>14</v>
      </c>
      <c r="K870" t="str">
        <f t="shared" si="40"/>
        <v>3F1</v>
      </c>
      <c r="L870" t="s">
        <v>15</v>
      </c>
    </row>
    <row r="871" spans="1:12" x14ac:dyDescent="0.25">
      <c r="A871" t="str">
        <f>"1257122207"</f>
        <v>1257122207</v>
      </c>
      <c r="B871" t="str">
        <f t="shared" si="37"/>
        <v>89301000</v>
      </c>
      <c r="C871" s="1">
        <v>44537</v>
      </c>
      <c r="D871" s="1">
        <v>44544</v>
      </c>
      <c r="E871">
        <v>1</v>
      </c>
      <c r="F871" t="s">
        <v>646</v>
      </c>
      <c r="G871" t="str">
        <f>"06-I12-03"</f>
        <v>06-I12-03</v>
      </c>
      <c r="H871">
        <v>1.8894</v>
      </c>
      <c r="I871" t="s">
        <v>826</v>
      </c>
      <c r="J871" t="s">
        <v>14</v>
      </c>
      <c r="K871" t="str">
        <f t="shared" si="40"/>
        <v>3F1</v>
      </c>
      <c r="L871" t="s">
        <v>15</v>
      </c>
    </row>
    <row r="872" spans="1:12" x14ac:dyDescent="0.25">
      <c r="A872" t="str">
        <f>"1257210306"</f>
        <v>1257210306</v>
      </c>
      <c r="B872" t="str">
        <f t="shared" si="37"/>
        <v>89301000</v>
      </c>
      <c r="C872" s="1">
        <v>44402</v>
      </c>
      <c r="D872" s="1">
        <v>44404</v>
      </c>
      <c r="E872">
        <v>1</v>
      </c>
      <c r="F872" t="s">
        <v>609</v>
      </c>
      <c r="G872" t="str">
        <f>"08-I20-03"</f>
        <v>08-I20-03</v>
      </c>
      <c r="H872">
        <v>0.63300000000000001</v>
      </c>
      <c r="I872" t="s">
        <v>827</v>
      </c>
      <c r="J872" t="s">
        <v>17</v>
      </c>
      <c r="K872" t="str">
        <f t="shared" si="40"/>
        <v>3F1</v>
      </c>
      <c r="L872" t="s">
        <v>15</v>
      </c>
    </row>
    <row r="873" spans="1:12" x14ac:dyDescent="0.25">
      <c r="A873" t="str">
        <f>"1259210161"</f>
        <v>1259210161</v>
      </c>
      <c r="B873" t="str">
        <f t="shared" si="37"/>
        <v>89301000</v>
      </c>
      <c r="C873" s="1">
        <v>44552</v>
      </c>
      <c r="D873" s="1">
        <v>44552</v>
      </c>
      <c r="E873">
        <v>1</v>
      </c>
      <c r="F873" t="s">
        <v>828</v>
      </c>
      <c r="G873" t="str">
        <f>"01-K03-07"</f>
        <v>01-K03-07</v>
      </c>
      <c r="H873">
        <v>0.30180000000000001</v>
      </c>
      <c r="J873" t="s">
        <v>14</v>
      </c>
      <c r="K873" t="str">
        <f t="shared" si="40"/>
        <v>3F1</v>
      </c>
      <c r="L873" t="s">
        <v>15</v>
      </c>
    </row>
    <row r="874" spans="1:12" x14ac:dyDescent="0.25">
      <c r="A874" t="str">
        <f>"1260030607"</f>
        <v>1260030607</v>
      </c>
      <c r="B874" t="str">
        <f t="shared" si="37"/>
        <v>89301000</v>
      </c>
      <c r="C874" s="1">
        <v>44356</v>
      </c>
      <c r="D874" s="1">
        <v>44370</v>
      </c>
      <c r="E874">
        <v>1</v>
      </c>
      <c r="F874" t="s">
        <v>829</v>
      </c>
      <c r="G874" t="str">
        <f>"11-I10-03"</f>
        <v>11-I10-03</v>
      </c>
      <c r="H874">
        <v>2.3313999999999999</v>
      </c>
      <c r="I874" t="s">
        <v>830</v>
      </c>
      <c r="J874" t="s">
        <v>17</v>
      </c>
      <c r="K874" t="str">
        <f t="shared" si="40"/>
        <v>3F1</v>
      </c>
      <c r="L874" t="s">
        <v>15</v>
      </c>
    </row>
    <row r="875" spans="1:12" x14ac:dyDescent="0.25">
      <c r="A875" t="str">
        <f>"1260180592"</f>
        <v>1260180592</v>
      </c>
      <c r="B875" t="str">
        <f t="shared" si="37"/>
        <v>89301000</v>
      </c>
      <c r="C875" s="1">
        <v>44274</v>
      </c>
      <c r="D875" s="1">
        <v>44276</v>
      </c>
      <c r="E875">
        <v>1</v>
      </c>
      <c r="F875" t="s">
        <v>831</v>
      </c>
      <c r="G875" t="str">
        <f>"02-K05-01"</f>
        <v>02-K05-01</v>
      </c>
      <c r="H875">
        <v>0.67849999999999999</v>
      </c>
      <c r="I875" t="s">
        <v>832</v>
      </c>
      <c r="J875" t="s">
        <v>14</v>
      </c>
      <c r="K875" t="str">
        <f t="shared" si="40"/>
        <v>3F1</v>
      </c>
      <c r="L875" t="s">
        <v>15</v>
      </c>
    </row>
    <row r="876" spans="1:12" x14ac:dyDescent="0.25">
      <c r="A876" t="str">
        <f>"1261110048"</f>
        <v>1261110048</v>
      </c>
      <c r="B876" t="str">
        <f t="shared" si="37"/>
        <v>89301000</v>
      </c>
      <c r="C876" s="1">
        <v>44547</v>
      </c>
      <c r="D876" s="1">
        <v>44550</v>
      </c>
      <c r="E876">
        <v>1</v>
      </c>
      <c r="F876" t="s">
        <v>23</v>
      </c>
      <c r="G876" t="str">
        <f>"06-I18-04"</f>
        <v>06-I18-04</v>
      </c>
      <c r="H876">
        <v>1.1514</v>
      </c>
      <c r="I876" t="s">
        <v>168</v>
      </c>
      <c r="J876" t="s">
        <v>24</v>
      </c>
      <c r="K876" t="str">
        <f t="shared" si="40"/>
        <v>3F1</v>
      </c>
      <c r="L876" t="s">
        <v>15</v>
      </c>
    </row>
    <row r="877" spans="1:12" x14ac:dyDescent="0.25">
      <c r="A877" t="str">
        <f>"1261220510"</f>
        <v>1261220510</v>
      </c>
      <c r="B877" t="str">
        <f t="shared" si="37"/>
        <v>89301000</v>
      </c>
      <c r="C877" s="1">
        <v>44402</v>
      </c>
      <c r="D877" s="1">
        <v>44404</v>
      </c>
      <c r="E877">
        <v>1</v>
      </c>
      <c r="F877" t="s">
        <v>292</v>
      </c>
      <c r="G877" t="str">
        <f>"08-I20-03"</f>
        <v>08-I20-03</v>
      </c>
      <c r="H877">
        <v>0.63300000000000001</v>
      </c>
      <c r="I877" t="s">
        <v>833</v>
      </c>
      <c r="J877" t="s">
        <v>17</v>
      </c>
      <c r="K877" t="str">
        <f t="shared" si="40"/>
        <v>3F1</v>
      </c>
      <c r="L877" t="s">
        <v>15</v>
      </c>
    </row>
    <row r="878" spans="1:12" x14ac:dyDescent="0.25">
      <c r="A878" t="str">
        <f>"1261220510"</f>
        <v>1261220510</v>
      </c>
      <c r="B878" t="str">
        <f t="shared" si="37"/>
        <v>89301000</v>
      </c>
      <c r="C878" s="1">
        <v>44530</v>
      </c>
      <c r="D878" s="1">
        <v>44531</v>
      </c>
      <c r="E878">
        <v>1</v>
      </c>
      <c r="F878" t="s">
        <v>173</v>
      </c>
      <c r="G878" t="str">
        <f>"08-I32-02"</f>
        <v>08-I32-02</v>
      </c>
      <c r="H878">
        <v>0.4143</v>
      </c>
      <c r="J878" t="s">
        <v>14</v>
      </c>
      <c r="K878" t="str">
        <f t="shared" si="40"/>
        <v>3F1</v>
      </c>
      <c r="L878" t="s">
        <v>15</v>
      </c>
    </row>
    <row r="879" spans="1:12" x14ac:dyDescent="0.25">
      <c r="A879" t="str">
        <f>"1262021024"</f>
        <v>1262021024</v>
      </c>
      <c r="B879" t="str">
        <f t="shared" si="37"/>
        <v>89301000</v>
      </c>
      <c r="C879" s="1">
        <v>44430</v>
      </c>
      <c r="D879" s="1">
        <v>44433</v>
      </c>
      <c r="E879">
        <v>1</v>
      </c>
      <c r="F879" t="s">
        <v>617</v>
      </c>
      <c r="G879" t="str">
        <f>"06-K02-04"</f>
        <v>06-K02-04</v>
      </c>
      <c r="H879">
        <v>0.3634</v>
      </c>
      <c r="I879" t="s">
        <v>530</v>
      </c>
      <c r="J879" t="s">
        <v>14</v>
      </c>
      <c r="K879" t="str">
        <f t="shared" si="40"/>
        <v>3F1</v>
      </c>
      <c r="L879" t="s">
        <v>15</v>
      </c>
    </row>
    <row r="880" spans="1:12" x14ac:dyDescent="0.25">
      <c r="A880" t="str">
        <f>"1301221064"</f>
        <v>1301221064</v>
      </c>
      <c r="B880" t="str">
        <f t="shared" si="37"/>
        <v>89301000</v>
      </c>
      <c r="C880" s="1">
        <v>44488</v>
      </c>
      <c r="D880" s="1">
        <v>44490</v>
      </c>
      <c r="E880">
        <v>1</v>
      </c>
      <c r="F880" t="s">
        <v>834</v>
      </c>
      <c r="G880" t="str">
        <f>"06-M01-04"</f>
        <v>06-M01-04</v>
      </c>
      <c r="H880">
        <v>0.65100000000000002</v>
      </c>
      <c r="I880" t="s">
        <v>835</v>
      </c>
      <c r="J880" t="s">
        <v>14</v>
      </c>
      <c r="K880" t="str">
        <f t="shared" si="40"/>
        <v>3F1</v>
      </c>
      <c r="L880" t="s">
        <v>15</v>
      </c>
    </row>
    <row r="881" spans="1:12" x14ac:dyDescent="0.25">
      <c r="A881" t="str">
        <f>"1301221856"</f>
        <v>1301221856</v>
      </c>
      <c r="B881" t="str">
        <f t="shared" si="37"/>
        <v>89301000</v>
      </c>
      <c r="C881" s="1">
        <v>44482</v>
      </c>
      <c r="D881" s="1">
        <v>44487</v>
      </c>
      <c r="E881">
        <v>1</v>
      </c>
      <c r="F881" t="s">
        <v>836</v>
      </c>
      <c r="G881" t="str">
        <f>"01-K18-01"</f>
        <v>01-K18-01</v>
      </c>
      <c r="H881">
        <v>2.5028999999999999</v>
      </c>
      <c r="I881" t="s">
        <v>837</v>
      </c>
      <c r="J881" t="s">
        <v>14</v>
      </c>
      <c r="K881" t="str">
        <f t="shared" si="40"/>
        <v>3F1</v>
      </c>
      <c r="L881" t="s">
        <v>15</v>
      </c>
    </row>
    <row r="882" spans="1:12" x14ac:dyDescent="0.25">
      <c r="A882" t="str">
        <f>"1302080175"</f>
        <v>1302080175</v>
      </c>
      <c r="B882" t="str">
        <f t="shared" si="37"/>
        <v>89301000</v>
      </c>
      <c r="C882" s="1">
        <v>44263</v>
      </c>
      <c r="D882" s="1">
        <v>44265</v>
      </c>
      <c r="E882">
        <v>1</v>
      </c>
      <c r="F882" t="s">
        <v>174</v>
      </c>
      <c r="G882" t="str">
        <f>"12-I14-00"</f>
        <v>12-I14-00</v>
      </c>
      <c r="H882">
        <v>0.44350000000000001</v>
      </c>
      <c r="J882" t="s">
        <v>14</v>
      </c>
      <c r="K882" t="str">
        <f t="shared" si="40"/>
        <v>3F1</v>
      </c>
      <c r="L882" t="s">
        <v>15</v>
      </c>
    </row>
    <row r="883" spans="1:12" x14ac:dyDescent="0.25">
      <c r="A883" t="str">
        <f>"1302190208"</f>
        <v>1302190208</v>
      </c>
      <c r="B883" t="str">
        <f t="shared" si="37"/>
        <v>89301000</v>
      </c>
      <c r="C883" s="1">
        <v>44344</v>
      </c>
      <c r="D883" s="1">
        <v>44351</v>
      </c>
      <c r="E883">
        <v>1</v>
      </c>
      <c r="F883" t="s">
        <v>469</v>
      </c>
      <c r="G883" t="str">
        <f>"01-K02-02"</f>
        <v>01-K02-02</v>
      </c>
      <c r="H883">
        <v>2.2991000000000001</v>
      </c>
      <c r="I883" t="s">
        <v>838</v>
      </c>
      <c r="J883" t="s">
        <v>14</v>
      </c>
      <c r="K883" t="str">
        <f t="shared" si="40"/>
        <v>3F1</v>
      </c>
      <c r="L883" t="s">
        <v>15</v>
      </c>
    </row>
    <row r="884" spans="1:12" x14ac:dyDescent="0.25">
      <c r="A884" t="str">
        <f>"1304251872"</f>
        <v>1304251872</v>
      </c>
      <c r="B884" t="str">
        <f t="shared" si="37"/>
        <v>89301000</v>
      </c>
      <c r="C884" s="1">
        <v>44361</v>
      </c>
      <c r="D884" s="1">
        <v>44363</v>
      </c>
      <c r="E884">
        <v>1</v>
      </c>
      <c r="F884" t="s">
        <v>174</v>
      </c>
      <c r="G884" t="str">
        <f>"12-I14-00"</f>
        <v>12-I14-00</v>
      </c>
      <c r="H884">
        <v>0.44350000000000001</v>
      </c>
      <c r="J884" t="s">
        <v>14</v>
      </c>
      <c r="K884" t="str">
        <f t="shared" si="40"/>
        <v>3F1</v>
      </c>
      <c r="L884" t="s">
        <v>15</v>
      </c>
    </row>
    <row r="885" spans="1:12" x14ac:dyDescent="0.25">
      <c r="A885" t="str">
        <f>"1305141178"</f>
        <v>1305141178</v>
      </c>
      <c r="B885" t="str">
        <f t="shared" si="37"/>
        <v>89301000</v>
      </c>
      <c r="C885" s="1">
        <v>44420</v>
      </c>
      <c r="D885" s="1">
        <v>44421</v>
      </c>
      <c r="E885">
        <v>1</v>
      </c>
      <c r="F885" t="s">
        <v>839</v>
      </c>
      <c r="G885" t="str">
        <f>"09-K12-00"</f>
        <v>09-K12-00</v>
      </c>
      <c r="H885">
        <v>0.24349999999999999</v>
      </c>
      <c r="I885" t="s">
        <v>840</v>
      </c>
      <c r="J885" t="s">
        <v>14</v>
      </c>
      <c r="K885" t="str">
        <f t="shared" si="40"/>
        <v>3F1</v>
      </c>
      <c r="L885" t="s">
        <v>15</v>
      </c>
    </row>
    <row r="886" spans="1:12" x14ac:dyDescent="0.25">
      <c r="A886" t="str">
        <f>"1306010409"</f>
        <v>1306010409</v>
      </c>
      <c r="B886" t="str">
        <f t="shared" si="37"/>
        <v>89301000</v>
      </c>
      <c r="C886" s="1">
        <v>44473</v>
      </c>
      <c r="D886" s="1">
        <v>44480</v>
      </c>
      <c r="E886">
        <v>1</v>
      </c>
      <c r="F886" t="s">
        <v>726</v>
      </c>
      <c r="G886" t="str">
        <f>"12-I07-02"</f>
        <v>12-I07-02</v>
      </c>
      <c r="H886">
        <v>1.8573</v>
      </c>
      <c r="J886" t="s">
        <v>17</v>
      </c>
      <c r="K886" t="str">
        <f t="shared" si="40"/>
        <v>3F1</v>
      </c>
      <c r="L886" t="s">
        <v>15</v>
      </c>
    </row>
    <row r="887" spans="1:12" x14ac:dyDescent="0.25">
      <c r="A887" t="str">
        <f>"1306120387"</f>
        <v>1306120387</v>
      </c>
      <c r="B887" t="str">
        <f t="shared" si="37"/>
        <v>89301000</v>
      </c>
      <c r="C887" s="1">
        <v>44370</v>
      </c>
      <c r="D887" s="1">
        <v>44372</v>
      </c>
      <c r="E887">
        <v>1</v>
      </c>
      <c r="F887" t="s">
        <v>841</v>
      </c>
      <c r="G887" t="str">
        <f>"04-K03-03"</f>
        <v>04-K03-03</v>
      </c>
      <c r="H887">
        <v>0.53180000000000005</v>
      </c>
      <c r="J887" t="s">
        <v>14</v>
      </c>
      <c r="K887" t="str">
        <f t="shared" si="40"/>
        <v>3F1</v>
      </c>
      <c r="L887" t="s">
        <v>15</v>
      </c>
    </row>
    <row r="888" spans="1:12" x14ac:dyDescent="0.25">
      <c r="A888" t="str">
        <f>"1306130012"</f>
        <v>1306130012</v>
      </c>
      <c r="B888" t="str">
        <f t="shared" si="37"/>
        <v>89301000</v>
      </c>
      <c r="C888" s="1">
        <v>44469</v>
      </c>
      <c r="D888" s="1">
        <v>44470</v>
      </c>
      <c r="E888">
        <v>1</v>
      </c>
      <c r="F888" t="s">
        <v>842</v>
      </c>
      <c r="G888" t="str">
        <f>"02-K11-02"</f>
        <v>02-K11-02</v>
      </c>
      <c r="H888">
        <v>0.52180000000000004</v>
      </c>
      <c r="I888" t="s">
        <v>843</v>
      </c>
      <c r="J888" t="s">
        <v>14</v>
      </c>
      <c r="K888" t="str">
        <f t="shared" si="40"/>
        <v>3F1</v>
      </c>
      <c r="L888" t="s">
        <v>15</v>
      </c>
    </row>
    <row r="889" spans="1:12" x14ac:dyDescent="0.25">
      <c r="A889" t="str">
        <f>"1306131343"</f>
        <v>1306131343</v>
      </c>
      <c r="B889" t="str">
        <f t="shared" si="37"/>
        <v>89301000</v>
      </c>
      <c r="C889" s="1">
        <v>44271</v>
      </c>
      <c r="D889" s="1">
        <v>44273</v>
      </c>
      <c r="E889">
        <v>1</v>
      </c>
      <c r="F889" t="s">
        <v>834</v>
      </c>
      <c r="G889" t="str">
        <f>"06-M01-04"</f>
        <v>06-M01-04</v>
      </c>
      <c r="H889">
        <v>0.65100000000000002</v>
      </c>
      <c r="I889" t="s">
        <v>844</v>
      </c>
      <c r="J889" t="s">
        <v>14</v>
      </c>
      <c r="K889" t="str">
        <f t="shared" si="40"/>
        <v>3F1</v>
      </c>
      <c r="L889" t="s">
        <v>15</v>
      </c>
    </row>
    <row r="890" spans="1:12" x14ac:dyDescent="0.25">
      <c r="A890" t="str">
        <f>"1307140153"</f>
        <v>1307140153</v>
      </c>
      <c r="B890" t="str">
        <f t="shared" si="37"/>
        <v>89301000</v>
      </c>
      <c r="C890" s="1">
        <v>44442</v>
      </c>
      <c r="D890" s="1">
        <v>44446</v>
      </c>
      <c r="E890">
        <v>1</v>
      </c>
      <c r="F890" t="s">
        <v>43</v>
      </c>
      <c r="G890" t="str">
        <f>"06-I18-04"</f>
        <v>06-I18-04</v>
      </c>
      <c r="H890">
        <v>1.1514</v>
      </c>
      <c r="I890" t="s">
        <v>168</v>
      </c>
      <c r="J890" t="s">
        <v>24</v>
      </c>
      <c r="K890" t="str">
        <f t="shared" si="40"/>
        <v>3F1</v>
      </c>
      <c r="L890" t="s">
        <v>15</v>
      </c>
    </row>
    <row r="891" spans="1:12" x14ac:dyDescent="0.25">
      <c r="A891" t="str">
        <f>"1307240264"</f>
        <v>1307240264</v>
      </c>
      <c r="B891" t="str">
        <f t="shared" ref="B891:B953" si="41">"89301000"</f>
        <v>89301000</v>
      </c>
      <c r="C891" s="1">
        <v>44420</v>
      </c>
      <c r="D891" s="1">
        <v>44421</v>
      </c>
      <c r="E891">
        <v>1</v>
      </c>
      <c r="F891" t="s">
        <v>735</v>
      </c>
      <c r="G891" t="str">
        <f>"08-I20-02"</f>
        <v>08-I20-02</v>
      </c>
      <c r="H891">
        <v>0.94159999999999999</v>
      </c>
      <c r="I891" t="s">
        <v>640</v>
      </c>
      <c r="J891" t="s">
        <v>17</v>
      </c>
      <c r="K891" t="str">
        <f t="shared" si="40"/>
        <v>3F1</v>
      </c>
      <c r="L891" t="s">
        <v>15</v>
      </c>
    </row>
    <row r="892" spans="1:12" x14ac:dyDescent="0.25">
      <c r="A892" t="str">
        <f>"1307241793"</f>
        <v>1307241793</v>
      </c>
      <c r="B892" t="str">
        <f t="shared" si="41"/>
        <v>89301000</v>
      </c>
      <c r="C892" s="1">
        <v>44309</v>
      </c>
      <c r="D892" s="1">
        <v>44342</v>
      </c>
      <c r="E892">
        <v>5</v>
      </c>
      <c r="F892" t="s">
        <v>845</v>
      </c>
      <c r="G892" t="str">
        <f>"01-K18-04"</f>
        <v>01-K18-04</v>
      </c>
      <c r="H892">
        <v>2.4337</v>
      </c>
      <c r="I892" t="s">
        <v>846</v>
      </c>
      <c r="J892" t="s">
        <v>14</v>
      </c>
      <c r="K892" t="str">
        <f>"3T1"</f>
        <v>3T1</v>
      </c>
      <c r="L892" t="s">
        <v>15</v>
      </c>
    </row>
    <row r="893" spans="1:12" x14ac:dyDescent="0.25">
      <c r="A893" t="str">
        <f>"1307241793"</f>
        <v>1307241793</v>
      </c>
      <c r="B893" t="str">
        <f t="shared" si="41"/>
        <v>89301000</v>
      </c>
      <c r="C893" s="1">
        <v>44259</v>
      </c>
      <c r="D893" s="1">
        <v>44296</v>
      </c>
      <c r="E893">
        <v>5</v>
      </c>
      <c r="F893" t="s">
        <v>290</v>
      </c>
      <c r="G893" t="str">
        <f>"05-I03-02"</f>
        <v>05-I03-02</v>
      </c>
      <c r="H893">
        <v>21.4406</v>
      </c>
      <c r="I893" t="s">
        <v>847</v>
      </c>
      <c r="J893" t="s">
        <v>14</v>
      </c>
      <c r="K893" t="str">
        <f>"3T1"</f>
        <v>3T1</v>
      </c>
      <c r="L893" t="s">
        <v>15</v>
      </c>
    </row>
    <row r="894" spans="1:12" x14ac:dyDescent="0.25">
      <c r="A894" t="str">
        <f>"1309180290"</f>
        <v>1309180290</v>
      </c>
      <c r="B894" t="str">
        <f t="shared" si="41"/>
        <v>89301000</v>
      </c>
      <c r="C894" s="1">
        <v>44302</v>
      </c>
      <c r="D894" s="1">
        <v>44303</v>
      </c>
      <c r="E894">
        <v>1</v>
      </c>
      <c r="F894" t="s">
        <v>287</v>
      </c>
      <c r="G894" t="str">
        <f>"01-K16-06"</f>
        <v>01-K16-06</v>
      </c>
      <c r="H894">
        <v>0.26469999999999999</v>
      </c>
      <c r="I894" t="s">
        <v>446</v>
      </c>
      <c r="J894" t="s">
        <v>14</v>
      </c>
      <c r="K894" t="str">
        <f t="shared" ref="K894:K907" si="42">"3F1"</f>
        <v>3F1</v>
      </c>
      <c r="L894" t="s">
        <v>15</v>
      </c>
    </row>
    <row r="895" spans="1:12" x14ac:dyDescent="0.25">
      <c r="A895" t="str">
        <f>"1310040061"</f>
        <v>1310040061</v>
      </c>
      <c r="B895" t="str">
        <f t="shared" si="41"/>
        <v>89301000</v>
      </c>
      <c r="C895" s="1">
        <v>44268</v>
      </c>
      <c r="D895" s="1">
        <v>44269</v>
      </c>
      <c r="E895">
        <v>1</v>
      </c>
      <c r="F895" t="s">
        <v>352</v>
      </c>
      <c r="G895" t="str">
        <f>"21-K05-04"</f>
        <v>21-K05-04</v>
      </c>
      <c r="H895">
        <v>0.2424</v>
      </c>
      <c r="I895" t="s">
        <v>848</v>
      </c>
      <c r="J895" t="s">
        <v>14</v>
      </c>
      <c r="K895" t="str">
        <f t="shared" si="42"/>
        <v>3F1</v>
      </c>
      <c r="L895" t="s">
        <v>15</v>
      </c>
    </row>
    <row r="896" spans="1:12" x14ac:dyDescent="0.25">
      <c r="A896" t="str">
        <f t="shared" ref="A896:A903" si="43">"1310170411"</f>
        <v>1310170411</v>
      </c>
      <c r="B896" t="str">
        <f t="shared" si="41"/>
        <v>89301000</v>
      </c>
      <c r="C896" s="1">
        <v>44461</v>
      </c>
      <c r="D896" s="1">
        <v>44480</v>
      </c>
      <c r="E896">
        <v>1</v>
      </c>
      <c r="F896" t="s">
        <v>850</v>
      </c>
      <c r="G896" t="str">
        <f>"18-K01-01"</f>
        <v>18-K01-01</v>
      </c>
      <c r="H896">
        <v>3.0181</v>
      </c>
      <c r="I896" t="s">
        <v>851</v>
      </c>
      <c r="J896" t="s">
        <v>14</v>
      </c>
      <c r="K896" t="str">
        <f t="shared" si="42"/>
        <v>3F1</v>
      </c>
      <c r="L896" t="s">
        <v>15</v>
      </c>
    </row>
    <row r="897" spans="1:12" x14ac:dyDescent="0.25">
      <c r="A897" t="str">
        <f t="shared" si="43"/>
        <v>1310170411</v>
      </c>
      <c r="B897" t="str">
        <f t="shared" si="41"/>
        <v>89301000</v>
      </c>
      <c r="C897" s="1">
        <v>44449</v>
      </c>
      <c r="D897" s="1">
        <v>44457</v>
      </c>
      <c r="E897">
        <v>1</v>
      </c>
      <c r="F897" t="s">
        <v>849</v>
      </c>
      <c r="G897" t="str">
        <f>"17-K05-01"</f>
        <v>17-K05-01</v>
      </c>
      <c r="H897">
        <v>2.6164999999999998</v>
      </c>
      <c r="I897" t="s">
        <v>852</v>
      </c>
      <c r="J897" t="s">
        <v>14</v>
      </c>
      <c r="K897" t="str">
        <f t="shared" si="42"/>
        <v>3F1</v>
      </c>
      <c r="L897" t="s">
        <v>15</v>
      </c>
    </row>
    <row r="898" spans="1:12" x14ac:dyDescent="0.25">
      <c r="A898" t="str">
        <f t="shared" si="43"/>
        <v>1310170411</v>
      </c>
      <c r="B898" t="str">
        <f t="shared" si="41"/>
        <v>89301000</v>
      </c>
      <c r="C898" s="1">
        <v>44424</v>
      </c>
      <c r="D898" s="1">
        <v>44445</v>
      </c>
      <c r="E898">
        <v>1</v>
      </c>
      <c r="F898" t="s">
        <v>849</v>
      </c>
      <c r="G898" t="str">
        <f>"17-I09-03"</f>
        <v>17-I09-03</v>
      </c>
      <c r="H898">
        <v>2.0566</v>
      </c>
      <c r="I898" t="s">
        <v>853</v>
      </c>
      <c r="J898" t="s">
        <v>14</v>
      </c>
      <c r="K898" t="str">
        <f t="shared" si="42"/>
        <v>3F1</v>
      </c>
      <c r="L898" t="s">
        <v>15</v>
      </c>
    </row>
    <row r="899" spans="1:12" x14ac:dyDescent="0.25">
      <c r="A899" t="str">
        <f t="shared" si="43"/>
        <v>1310170411</v>
      </c>
      <c r="B899" t="str">
        <f t="shared" si="41"/>
        <v>89301000</v>
      </c>
      <c r="C899" s="1">
        <v>44539</v>
      </c>
      <c r="D899" s="1">
        <v>44543</v>
      </c>
      <c r="E899">
        <v>1</v>
      </c>
      <c r="F899" t="s">
        <v>849</v>
      </c>
      <c r="G899" t="str">
        <f>"17-K05-01"</f>
        <v>17-K05-01</v>
      </c>
      <c r="H899">
        <v>2.6164999999999998</v>
      </c>
      <c r="I899" t="s">
        <v>854</v>
      </c>
      <c r="J899" t="s">
        <v>14</v>
      </c>
      <c r="K899" t="str">
        <f t="shared" si="42"/>
        <v>3F1</v>
      </c>
      <c r="L899" t="s">
        <v>15</v>
      </c>
    </row>
    <row r="900" spans="1:12" x14ac:dyDescent="0.25">
      <c r="A900" t="str">
        <f t="shared" si="43"/>
        <v>1310170411</v>
      </c>
      <c r="B900" t="str">
        <f t="shared" si="41"/>
        <v>89301000</v>
      </c>
      <c r="C900" s="1">
        <v>44522</v>
      </c>
      <c r="D900" s="1">
        <v>44528</v>
      </c>
      <c r="E900">
        <v>1</v>
      </c>
      <c r="F900" t="s">
        <v>849</v>
      </c>
      <c r="G900" t="str">
        <f>"17-K05-02"</f>
        <v>17-K05-02</v>
      </c>
      <c r="H900">
        <v>0.94220000000000004</v>
      </c>
      <c r="I900" t="s">
        <v>541</v>
      </c>
      <c r="J900" t="s">
        <v>14</v>
      </c>
      <c r="K900" t="str">
        <f t="shared" si="42"/>
        <v>3F1</v>
      </c>
      <c r="L900" t="s">
        <v>15</v>
      </c>
    </row>
    <row r="901" spans="1:12" x14ac:dyDescent="0.25">
      <c r="A901" t="str">
        <f t="shared" si="43"/>
        <v>1310170411</v>
      </c>
      <c r="B901" t="str">
        <f t="shared" si="41"/>
        <v>89301000</v>
      </c>
      <c r="C901" s="1">
        <v>44490</v>
      </c>
      <c r="D901" s="1">
        <v>44495</v>
      </c>
      <c r="E901">
        <v>1</v>
      </c>
      <c r="F901" t="s">
        <v>849</v>
      </c>
      <c r="G901" t="str">
        <f>"17-K05-02"</f>
        <v>17-K05-02</v>
      </c>
      <c r="H901">
        <v>0.94220000000000004</v>
      </c>
      <c r="I901" t="s">
        <v>541</v>
      </c>
      <c r="J901" t="s">
        <v>14</v>
      </c>
      <c r="K901" t="str">
        <f t="shared" si="42"/>
        <v>3F1</v>
      </c>
      <c r="L901" t="s">
        <v>15</v>
      </c>
    </row>
    <row r="902" spans="1:12" x14ac:dyDescent="0.25">
      <c r="A902" t="str">
        <f t="shared" si="43"/>
        <v>1310170411</v>
      </c>
      <c r="B902" t="str">
        <f t="shared" si="41"/>
        <v>89301000</v>
      </c>
      <c r="C902" s="1">
        <v>44501</v>
      </c>
      <c r="D902" s="1">
        <v>44501</v>
      </c>
      <c r="E902">
        <v>1</v>
      </c>
      <c r="F902" t="s">
        <v>855</v>
      </c>
      <c r="G902" t="str">
        <f>"16-K03-02"</f>
        <v>16-K03-02</v>
      </c>
      <c r="H902">
        <v>0.37359999999999999</v>
      </c>
      <c r="I902" t="s">
        <v>856</v>
      </c>
      <c r="J902" t="s">
        <v>14</v>
      </c>
      <c r="K902" t="str">
        <f t="shared" si="42"/>
        <v>3F1</v>
      </c>
      <c r="L902" t="s">
        <v>15</v>
      </c>
    </row>
    <row r="903" spans="1:12" x14ac:dyDescent="0.25">
      <c r="A903" t="str">
        <f t="shared" si="43"/>
        <v>1310170411</v>
      </c>
      <c r="B903" t="str">
        <f t="shared" si="41"/>
        <v>89301000</v>
      </c>
      <c r="C903" s="1">
        <v>44507</v>
      </c>
      <c r="D903" s="1">
        <v>44510</v>
      </c>
      <c r="E903">
        <v>1</v>
      </c>
      <c r="F903" t="s">
        <v>857</v>
      </c>
      <c r="G903" t="str">
        <f>"16-K04-01"</f>
        <v>16-K04-01</v>
      </c>
      <c r="H903">
        <v>1.3260000000000001</v>
      </c>
      <c r="I903" t="s">
        <v>858</v>
      </c>
      <c r="J903" t="s">
        <v>14</v>
      </c>
      <c r="K903" t="str">
        <f t="shared" si="42"/>
        <v>3F1</v>
      </c>
      <c r="L903" t="s">
        <v>15</v>
      </c>
    </row>
    <row r="904" spans="1:12" x14ac:dyDescent="0.25">
      <c r="A904" t="str">
        <f>"1311060982"</f>
        <v>1311060982</v>
      </c>
      <c r="B904" t="str">
        <f t="shared" si="41"/>
        <v>89301000</v>
      </c>
      <c r="C904" s="1">
        <v>44491</v>
      </c>
      <c r="D904" s="1">
        <v>44494</v>
      </c>
      <c r="E904">
        <v>1</v>
      </c>
      <c r="F904" t="s">
        <v>859</v>
      </c>
      <c r="G904" t="str">
        <f>"10-K10-00"</f>
        <v>10-K10-00</v>
      </c>
      <c r="H904">
        <v>0.54749999999999999</v>
      </c>
      <c r="J904" t="s">
        <v>14</v>
      </c>
      <c r="K904" t="str">
        <f t="shared" si="42"/>
        <v>3F1</v>
      </c>
      <c r="L904" t="s">
        <v>15</v>
      </c>
    </row>
    <row r="905" spans="1:12" x14ac:dyDescent="0.25">
      <c r="A905" t="str">
        <f>"1311150159"</f>
        <v>1311150159</v>
      </c>
      <c r="B905" t="str">
        <f t="shared" si="41"/>
        <v>89301000</v>
      </c>
      <c r="C905" s="1">
        <v>44434</v>
      </c>
      <c r="D905" s="1">
        <v>44436</v>
      </c>
      <c r="E905">
        <v>1</v>
      </c>
      <c r="F905" t="s">
        <v>234</v>
      </c>
      <c r="G905" t="str">
        <f>"03-I21-00"</f>
        <v>03-I21-00</v>
      </c>
      <c r="H905">
        <v>0.38500000000000001</v>
      </c>
      <c r="I905" t="s">
        <v>860</v>
      </c>
      <c r="J905" t="s">
        <v>14</v>
      </c>
      <c r="K905" t="str">
        <f t="shared" si="42"/>
        <v>3F1</v>
      </c>
      <c r="L905" t="s">
        <v>15</v>
      </c>
    </row>
    <row r="906" spans="1:12" x14ac:dyDescent="0.25">
      <c r="A906" t="str">
        <f>"1311180321"</f>
        <v>1311180321</v>
      </c>
      <c r="B906" t="str">
        <f t="shared" si="41"/>
        <v>89301000</v>
      </c>
      <c r="C906" s="1">
        <v>44414</v>
      </c>
      <c r="D906" s="1">
        <v>44417</v>
      </c>
      <c r="E906">
        <v>1</v>
      </c>
      <c r="F906" t="s">
        <v>861</v>
      </c>
      <c r="G906" t="str">
        <f>"03-K03-02"</f>
        <v>03-K03-02</v>
      </c>
      <c r="H906">
        <v>0.49249999999999999</v>
      </c>
      <c r="I906" t="s">
        <v>862</v>
      </c>
      <c r="J906" t="s">
        <v>14</v>
      </c>
      <c r="K906" t="str">
        <f t="shared" si="42"/>
        <v>3F1</v>
      </c>
      <c r="L906" t="s">
        <v>15</v>
      </c>
    </row>
    <row r="907" spans="1:12" x14ac:dyDescent="0.25">
      <c r="A907" t="str">
        <f>"1312100152"</f>
        <v>1312100152</v>
      </c>
      <c r="B907" t="str">
        <f t="shared" si="41"/>
        <v>89301000</v>
      </c>
      <c r="C907" s="1">
        <v>44389</v>
      </c>
      <c r="D907" s="1">
        <v>44391</v>
      </c>
      <c r="E907">
        <v>1</v>
      </c>
      <c r="F907" t="s">
        <v>174</v>
      </c>
      <c r="G907" t="str">
        <f>"12-I14-00"</f>
        <v>12-I14-00</v>
      </c>
      <c r="H907">
        <v>0.44350000000000001</v>
      </c>
      <c r="J907" t="s">
        <v>14</v>
      </c>
      <c r="K907" t="str">
        <f t="shared" si="42"/>
        <v>3F1</v>
      </c>
      <c r="L907" t="s">
        <v>15</v>
      </c>
    </row>
    <row r="908" spans="1:12" x14ac:dyDescent="0.25">
      <c r="A908" t="str">
        <f>"1312180155"</f>
        <v>1312180155</v>
      </c>
      <c r="B908" t="str">
        <f t="shared" si="41"/>
        <v>89301000</v>
      </c>
      <c r="C908" s="1">
        <v>44353</v>
      </c>
      <c r="D908" s="1">
        <v>44355</v>
      </c>
      <c r="E908">
        <v>6</v>
      </c>
      <c r="F908" t="s">
        <v>863</v>
      </c>
      <c r="G908" t="str">
        <f>"09-K12-00"</f>
        <v>09-K12-00</v>
      </c>
      <c r="H908">
        <v>0.24349999999999999</v>
      </c>
      <c r="I908" t="s">
        <v>864</v>
      </c>
      <c r="J908" t="s">
        <v>14</v>
      </c>
      <c r="K908" t="str">
        <f>"3T1"</f>
        <v>3T1</v>
      </c>
      <c r="L908" t="s">
        <v>15</v>
      </c>
    </row>
    <row r="909" spans="1:12" x14ac:dyDescent="0.25">
      <c r="A909" t="str">
        <f>"1312301782"</f>
        <v>1312301782</v>
      </c>
      <c r="B909" t="str">
        <f t="shared" si="41"/>
        <v>89301000</v>
      </c>
      <c r="C909" s="1">
        <v>44440</v>
      </c>
      <c r="D909" s="1">
        <v>44442</v>
      </c>
      <c r="E909">
        <v>1</v>
      </c>
      <c r="F909" t="s">
        <v>173</v>
      </c>
      <c r="G909" t="str">
        <f>"08-I32-02"</f>
        <v>08-I32-02</v>
      </c>
      <c r="H909">
        <v>0.4143</v>
      </c>
      <c r="I909" t="s">
        <v>865</v>
      </c>
      <c r="J909" t="s">
        <v>14</v>
      </c>
      <c r="K909" t="str">
        <f t="shared" ref="K909:K932" si="44">"3F1"</f>
        <v>3F1</v>
      </c>
      <c r="L909" t="s">
        <v>15</v>
      </c>
    </row>
    <row r="910" spans="1:12" x14ac:dyDescent="0.25">
      <c r="A910" t="str">
        <f>"1312301782"</f>
        <v>1312301782</v>
      </c>
      <c r="B910" t="str">
        <f t="shared" si="41"/>
        <v>89301000</v>
      </c>
      <c r="C910" s="1">
        <v>44238</v>
      </c>
      <c r="D910" s="1">
        <v>44239</v>
      </c>
      <c r="E910">
        <v>1</v>
      </c>
      <c r="F910" t="s">
        <v>866</v>
      </c>
      <c r="G910" t="str">
        <f>"08-I20-01"</f>
        <v>08-I20-01</v>
      </c>
      <c r="H910">
        <v>0.95989999999999998</v>
      </c>
      <c r="I910" t="s">
        <v>196</v>
      </c>
      <c r="J910" t="s">
        <v>17</v>
      </c>
      <c r="K910" t="str">
        <f t="shared" si="44"/>
        <v>3F1</v>
      </c>
      <c r="L910" t="s">
        <v>15</v>
      </c>
    </row>
    <row r="911" spans="1:12" x14ac:dyDescent="0.25">
      <c r="A911" t="str">
        <f>"1351130022"</f>
        <v>1351130022</v>
      </c>
      <c r="B911" t="str">
        <f t="shared" si="41"/>
        <v>89301000</v>
      </c>
      <c r="C911" s="1">
        <v>44481</v>
      </c>
      <c r="D911" s="1">
        <v>44483</v>
      </c>
      <c r="E911">
        <v>1</v>
      </c>
      <c r="F911" t="s">
        <v>867</v>
      </c>
      <c r="G911" t="str">
        <f>"01-K04-02"</f>
        <v>01-K04-02</v>
      </c>
      <c r="H911">
        <v>0.80059999999999998</v>
      </c>
      <c r="J911" t="s">
        <v>14</v>
      </c>
      <c r="K911" t="str">
        <f t="shared" si="44"/>
        <v>3F1</v>
      </c>
      <c r="L911" t="s">
        <v>15</v>
      </c>
    </row>
    <row r="912" spans="1:12" x14ac:dyDescent="0.25">
      <c r="A912" t="str">
        <f>"1351270041"</f>
        <v>1351270041</v>
      </c>
      <c r="B912" t="str">
        <f t="shared" si="41"/>
        <v>89301000</v>
      </c>
      <c r="C912" s="1">
        <v>44517</v>
      </c>
      <c r="D912" s="1">
        <v>44519</v>
      </c>
      <c r="E912">
        <v>1</v>
      </c>
      <c r="F912" t="s">
        <v>287</v>
      </c>
      <c r="G912" t="str">
        <f>"01-K16-06"</f>
        <v>01-K16-06</v>
      </c>
      <c r="H912">
        <v>0.26469999999999999</v>
      </c>
      <c r="I912" t="s">
        <v>818</v>
      </c>
      <c r="J912" t="s">
        <v>14</v>
      </c>
      <c r="K912" t="str">
        <f t="shared" si="44"/>
        <v>3F1</v>
      </c>
      <c r="L912" t="s">
        <v>15</v>
      </c>
    </row>
    <row r="913" spans="1:12" x14ac:dyDescent="0.25">
      <c r="A913" t="str">
        <f>"1351280018"</f>
        <v>1351280018</v>
      </c>
      <c r="B913" t="str">
        <f t="shared" si="41"/>
        <v>89301000</v>
      </c>
      <c r="C913" s="1">
        <v>44403</v>
      </c>
      <c r="D913" s="1">
        <v>44405</v>
      </c>
      <c r="E913">
        <v>1</v>
      </c>
      <c r="F913" t="s">
        <v>551</v>
      </c>
      <c r="G913" t="str">
        <f>"06-K04-03"</f>
        <v>06-K04-03</v>
      </c>
      <c r="H913">
        <v>0.38250000000000001</v>
      </c>
      <c r="J913" t="s">
        <v>14</v>
      </c>
      <c r="K913" t="str">
        <f t="shared" si="44"/>
        <v>3F1</v>
      </c>
      <c r="L913" t="s">
        <v>15</v>
      </c>
    </row>
    <row r="914" spans="1:12" x14ac:dyDescent="0.25">
      <c r="A914" t="str">
        <f>"1354180300"</f>
        <v>1354180300</v>
      </c>
      <c r="B914" t="str">
        <f t="shared" si="41"/>
        <v>89301000</v>
      </c>
      <c r="C914" s="1">
        <v>44443</v>
      </c>
      <c r="D914" s="1">
        <v>44449</v>
      </c>
      <c r="E914">
        <v>1</v>
      </c>
      <c r="F914" t="s">
        <v>43</v>
      </c>
      <c r="G914" t="str">
        <f>"06-I18-04"</f>
        <v>06-I18-04</v>
      </c>
      <c r="H914">
        <v>1.1514</v>
      </c>
      <c r="J914" t="s">
        <v>24</v>
      </c>
      <c r="K914" t="str">
        <f t="shared" si="44"/>
        <v>3F1</v>
      </c>
      <c r="L914" t="s">
        <v>15</v>
      </c>
    </row>
    <row r="915" spans="1:12" x14ac:dyDescent="0.25">
      <c r="A915" t="str">
        <f>"1356010018"</f>
        <v>1356010018</v>
      </c>
      <c r="B915" t="str">
        <f t="shared" si="41"/>
        <v>89301000</v>
      </c>
      <c r="C915" s="1">
        <v>44271</v>
      </c>
      <c r="D915" s="1">
        <v>44273</v>
      </c>
      <c r="E915">
        <v>1</v>
      </c>
      <c r="F915" t="s">
        <v>732</v>
      </c>
      <c r="G915" t="str">
        <f>"08-I26-02"</f>
        <v>08-I26-02</v>
      </c>
      <c r="H915">
        <v>0.83399999999999996</v>
      </c>
      <c r="I915" t="s">
        <v>868</v>
      </c>
      <c r="J915" t="s">
        <v>14</v>
      </c>
      <c r="K915" t="str">
        <f t="shared" si="44"/>
        <v>3F1</v>
      </c>
      <c r="L915" t="s">
        <v>15</v>
      </c>
    </row>
    <row r="916" spans="1:12" x14ac:dyDescent="0.25">
      <c r="A916" t="str">
        <f>"1357061046"</f>
        <v>1357061046</v>
      </c>
      <c r="B916" t="str">
        <f t="shared" si="41"/>
        <v>89301000</v>
      </c>
      <c r="C916" s="1">
        <v>44465</v>
      </c>
      <c r="D916" s="1">
        <v>44467</v>
      </c>
      <c r="E916">
        <v>1</v>
      </c>
      <c r="F916" t="s">
        <v>449</v>
      </c>
      <c r="G916" t="str">
        <f>"02-I11-01"</f>
        <v>02-I11-01</v>
      </c>
      <c r="H916">
        <v>0.87619999999999998</v>
      </c>
      <c r="J916" t="s">
        <v>17</v>
      </c>
      <c r="K916" t="str">
        <f t="shared" si="44"/>
        <v>3F1</v>
      </c>
      <c r="L916" t="s">
        <v>15</v>
      </c>
    </row>
    <row r="917" spans="1:12" x14ac:dyDescent="0.25">
      <c r="A917" t="str">
        <f>"1357190219"</f>
        <v>1357190219</v>
      </c>
      <c r="B917" t="str">
        <f t="shared" si="41"/>
        <v>89301000</v>
      </c>
      <c r="C917" s="1">
        <v>44458</v>
      </c>
      <c r="D917" s="1">
        <v>44462</v>
      </c>
      <c r="E917">
        <v>1</v>
      </c>
      <c r="F917" t="s">
        <v>841</v>
      </c>
      <c r="G917" t="str">
        <f>"04-K03-03"</f>
        <v>04-K03-03</v>
      </c>
      <c r="H917">
        <v>0.53180000000000005</v>
      </c>
      <c r="I917" t="s">
        <v>869</v>
      </c>
      <c r="J917" t="s">
        <v>14</v>
      </c>
      <c r="K917" t="str">
        <f t="shared" si="44"/>
        <v>3F1</v>
      </c>
      <c r="L917" t="s">
        <v>15</v>
      </c>
    </row>
    <row r="918" spans="1:12" x14ac:dyDescent="0.25">
      <c r="A918" t="str">
        <f>"1357291078"</f>
        <v>1357291078</v>
      </c>
      <c r="B918" t="str">
        <f t="shared" si="41"/>
        <v>89301000</v>
      </c>
      <c r="C918" s="1">
        <v>44308</v>
      </c>
      <c r="D918" s="1">
        <v>44314</v>
      </c>
      <c r="E918">
        <v>1</v>
      </c>
      <c r="F918" t="s">
        <v>870</v>
      </c>
      <c r="G918" t="str">
        <f>"01-K03-05"</f>
        <v>01-K03-05</v>
      </c>
      <c r="H918">
        <v>1.9289000000000001</v>
      </c>
      <c r="I918" t="s">
        <v>871</v>
      </c>
      <c r="J918" t="s">
        <v>14</v>
      </c>
      <c r="K918" t="str">
        <f t="shared" si="44"/>
        <v>3F1</v>
      </c>
      <c r="L918" t="s">
        <v>15</v>
      </c>
    </row>
    <row r="919" spans="1:12" x14ac:dyDescent="0.25">
      <c r="A919" t="str">
        <f>"1357300263"</f>
        <v>1357300263</v>
      </c>
      <c r="B919" t="str">
        <f t="shared" si="41"/>
        <v>89301000</v>
      </c>
      <c r="C919" s="1">
        <v>44412</v>
      </c>
      <c r="D919" s="1">
        <v>44421</v>
      </c>
      <c r="E919">
        <v>1</v>
      </c>
      <c r="F919" t="s">
        <v>872</v>
      </c>
      <c r="G919" t="str">
        <f>"09-I05-02"</f>
        <v>09-I05-02</v>
      </c>
      <c r="H919">
        <v>1.8446</v>
      </c>
      <c r="I919" t="s">
        <v>163</v>
      </c>
      <c r="J919" t="s">
        <v>14</v>
      </c>
      <c r="K919" t="str">
        <f t="shared" si="44"/>
        <v>3F1</v>
      </c>
      <c r="L919" t="s">
        <v>15</v>
      </c>
    </row>
    <row r="920" spans="1:12" x14ac:dyDescent="0.25">
      <c r="A920" t="str">
        <f>"1358131379"</f>
        <v>1358131379</v>
      </c>
      <c r="B920" t="str">
        <f t="shared" si="41"/>
        <v>89301000</v>
      </c>
      <c r="C920" s="1">
        <v>44241</v>
      </c>
      <c r="D920" s="1">
        <v>44243</v>
      </c>
      <c r="E920">
        <v>1</v>
      </c>
      <c r="F920" t="s">
        <v>326</v>
      </c>
      <c r="G920" t="str">
        <f>"02-I11-01"</f>
        <v>02-I11-01</v>
      </c>
      <c r="H920">
        <v>0.87619999999999998</v>
      </c>
      <c r="J920" t="s">
        <v>17</v>
      </c>
      <c r="K920" t="str">
        <f t="shared" si="44"/>
        <v>3F1</v>
      </c>
      <c r="L920" t="s">
        <v>15</v>
      </c>
    </row>
    <row r="921" spans="1:12" x14ac:dyDescent="0.25">
      <c r="A921" t="str">
        <f>"1358140234"</f>
        <v>1358140234</v>
      </c>
      <c r="B921" t="str">
        <f t="shared" si="41"/>
        <v>89301000</v>
      </c>
      <c r="C921" s="1">
        <v>44347</v>
      </c>
      <c r="D921" s="1">
        <v>44349</v>
      </c>
      <c r="E921">
        <v>1</v>
      </c>
      <c r="F921" t="s">
        <v>20</v>
      </c>
      <c r="G921" t="str">
        <f>"08-I20-03"</f>
        <v>08-I20-03</v>
      </c>
      <c r="H921">
        <v>0.63300000000000001</v>
      </c>
      <c r="I921" t="s">
        <v>640</v>
      </c>
      <c r="J921" t="s">
        <v>17</v>
      </c>
      <c r="K921" t="str">
        <f t="shared" si="44"/>
        <v>3F1</v>
      </c>
      <c r="L921" t="s">
        <v>15</v>
      </c>
    </row>
    <row r="922" spans="1:12" x14ac:dyDescent="0.25">
      <c r="A922" t="str">
        <f>"1359290031"</f>
        <v>1359290031</v>
      </c>
      <c r="B922" t="str">
        <f t="shared" si="41"/>
        <v>89301000</v>
      </c>
      <c r="C922" s="1">
        <v>44451</v>
      </c>
      <c r="D922" s="1">
        <v>44453</v>
      </c>
      <c r="E922">
        <v>1</v>
      </c>
      <c r="F922" t="s">
        <v>234</v>
      </c>
      <c r="G922" t="str">
        <f>"03-I21-00"</f>
        <v>03-I21-00</v>
      </c>
      <c r="H922">
        <v>0.38500000000000001</v>
      </c>
      <c r="J922" t="s">
        <v>14</v>
      </c>
      <c r="K922" t="str">
        <f t="shared" si="44"/>
        <v>3F1</v>
      </c>
      <c r="L922" t="s">
        <v>15</v>
      </c>
    </row>
    <row r="923" spans="1:12" x14ac:dyDescent="0.25">
      <c r="A923" t="str">
        <f>"1360110488"</f>
        <v>1360110488</v>
      </c>
      <c r="B923" t="str">
        <f t="shared" si="41"/>
        <v>89301000</v>
      </c>
      <c r="C923" s="1">
        <v>44507</v>
      </c>
      <c r="D923" s="1">
        <v>44509</v>
      </c>
      <c r="E923">
        <v>1</v>
      </c>
      <c r="F923" t="s">
        <v>326</v>
      </c>
      <c r="G923" t="str">
        <f>"02-I11-01"</f>
        <v>02-I11-01</v>
      </c>
      <c r="H923">
        <v>0.87619999999999998</v>
      </c>
      <c r="J923" t="s">
        <v>17</v>
      </c>
      <c r="K923" t="str">
        <f t="shared" si="44"/>
        <v>3F1</v>
      </c>
      <c r="L923" t="s">
        <v>15</v>
      </c>
    </row>
    <row r="924" spans="1:12" x14ac:dyDescent="0.25">
      <c r="A924" t="str">
        <f>"1360250903"</f>
        <v>1360250903</v>
      </c>
      <c r="B924" t="str">
        <f t="shared" si="41"/>
        <v>89301000</v>
      </c>
      <c r="C924" s="1">
        <v>44465</v>
      </c>
      <c r="D924" s="1">
        <v>44467</v>
      </c>
      <c r="E924">
        <v>1</v>
      </c>
      <c r="F924" t="s">
        <v>873</v>
      </c>
      <c r="G924" t="str">
        <f>"02-I13-02"</f>
        <v>02-I13-02</v>
      </c>
      <c r="H924">
        <v>0.376</v>
      </c>
      <c r="J924" t="s">
        <v>14</v>
      </c>
      <c r="K924" t="str">
        <f t="shared" si="44"/>
        <v>3F1</v>
      </c>
      <c r="L924" t="s">
        <v>15</v>
      </c>
    </row>
    <row r="925" spans="1:12" x14ac:dyDescent="0.25">
      <c r="A925" t="str">
        <f>"1361050438"</f>
        <v>1361050438</v>
      </c>
      <c r="B925" t="str">
        <f t="shared" si="41"/>
        <v>89301000</v>
      </c>
      <c r="C925" s="1">
        <v>44259</v>
      </c>
      <c r="D925" s="1">
        <v>44260</v>
      </c>
      <c r="E925">
        <v>1</v>
      </c>
      <c r="F925" t="s">
        <v>874</v>
      </c>
      <c r="G925" t="str">
        <f>"07-K03-02"</f>
        <v>07-K03-02</v>
      </c>
      <c r="H925">
        <v>0.53059999999999996</v>
      </c>
      <c r="J925" t="s">
        <v>14</v>
      </c>
      <c r="K925" t="str">
        <f t="shared" si="44"/>
        <v>3F1</v>
      </c>
      <c r="L925" t="s">
        <v>15</v>
      </c>
    </row>
    <row r="926" spans="1:12" x14ac:dyDescent="0.25">
      <c r="A926" t="str">
        <f>"1361061185"</f>
        <v>1361061185</v>
      </c>
      <c r="B926" t="str">
        <f t="shared" si="41"/>
        <v>89301000</v>
      </c>
      <c r="C926" s="1">
        <v>44476</v>
      </c>
      <c r="D926" s="1">
        <v>44478</v>
      </c>
      <c r="E926">
        <v>1</v>
      </c>
      <c r="F926" t="s">
        <v>875</v>
      </c>
      <c r="G926" t="str">
        <f>"03-K03-02"</f>
        <v>03-K03-02</v>
      </c>
      <c r="H926">
        <v>0.49249999999999999</v>
      </c>
      <c r="I926" t="s">
        <v>320</v>
      </c>
      <c r="J926" t="s">
        <v>14</v>
      </c>
      <c r="K926" t="str">
        <f t="shared" si="44"/>
        <v>3F1</v>
      </c>
      <c r="L926" t="s">
        <v>15</v>
      </c>
    </row>
    <row r="927" spans="1:12" x14ac:dyDescent="0.25">
      <c r="A927" t="str">
        <f>"1362010859"</f>
        <v>1362010859</v>
      </c>
      <c r="B927" t="str">
        <f t="shared" si="41"/>
        <v>89301000</v>
      </c>
      <c r="C927" s="1">
        <v>44241</v>
      </c>
      <c r="D927" s="1">
        <v>44243</v>
      </c>
      <c r="E927">
        <v>1</v>
      </c>
      <c r="F927" t="s">
        <v>326</v>
      </c>
      <c r="G927" t="str">
        <f>"02-I11-01"</f>
        <v>02-I11-01</v>
      </c>
      <c r="H927">
        <v>0.87619999999999998</v>
      </c>
      <c r="J927" t="s">
        <v>17</v>
      </c>
      <c r="K927" t="str">
        <f t="shared" si="44"/>
        <v>3F1</v>
      </c>
      <c r="L927" t="s">
        <v>15</v>
      </c>
    </row>
    <row r="928" spans="1:12" x14ac:dyDescent="0.25">
      <c r="A928" t="str">
        <f>"1362270360"</f>
        <v>1362270360</v>
      </c>
      <c r="B928" t="str">
        <f t="shared" si="41"/>
        <v>89301000</v>
      </c>
      <c r="C928" s="1">
        <v>44378</v>
      </c>
      <c r="D928" s="1">
        <v>44389</v>
      </c>
      <c r="E928">
        <v>1</v>
      </c>
      <c r="F928" t="s">
        <v>876</v>
      </c>
      <c r="G928" t="str">
        <f>"11-K01-03"</f>
        <v>11-K01-03</v>
      </c>
      <c r="H928">
        <v>0.59489999999999998</v>
      </c>
      <c r="J928" t="s">
        <v>14</v>
      </c>
      <c r="K928" t="str">
        <f t="shared" si="44"/>
        <v>3F1</v>
      </c>
      <c r="L928" t="s">
        <v>15</v>
      </c>
    </row>
    <row r="929" spans="1:12" x14ac:dyDescent="0.25">
      <c r="A929" t="str">
        <f>"1362300720"</f>
        <v>1362300720</v>
      </c>
      <c r="B929" t="str">
        <f t="shared" si="41"/>
        <v>89301000</v>
      </c>
      <c r="C929" s="1">
        <v>44351</v>
      </c>
      <c r="D929" s="1">
        <v>44352</v>
      </c>
      <c r="E929">
        <v>1</v>
      </c>
      <c r="F929" t="s">
        <v>292</v>
      </c>
      <c r="G929" t="str">
        <f>"08-K14-03"</f>
        <v>08-K14-03</v>
      </c>
      <c r="H929">
        <v>0.26169999999999999</v>
      </c>
      <c r="I929" t="s">
        <v>640</v>
      </c>
      <c r="J929" t="s">
        <v>14</v>
      </c>
      <c r="K929" t="str">
        <f t="shared" si="44"/>
        <v>3F1</v>
      </c>
      <c r="L929" t="s">
        <v>15</v>
      </c>
    </row>
    <row r="930" spans="1:12" x14ac:dyDescent="0.25">
      <c r="A930" t="str">
        <f>"1401061420"</f>
        <v>1401061420</v>
      </c>
      <c r="B930" t="str">
        <f t="shared" si="41"/>
        <v>89301000</v>
      </c>
      <c r="C930" s="1">
        <v>44425</v>
      </c>
      <c r="D930" s="1">
        <v>44427</v>
      </c>
      <c r="E930">
        <v>1</v>
      </c>
      <c r="F930" t="s">
        <v>877</v>
      </c>
      <c r="G930" t="str">
        <f>"06-K21-03"</f>
        <v>06-K21-03</v>
      </c>
      <c r="H930">
        <v>0.44429999999999997</v>
      </c>
      <c r="I930" t="s">
        <v>168</v>
      </c>
      <c r="J930" t="s">
        <v>14</v>
      </c>
      <c r="K930" t="str">
        <f t="shared" si="44"/>
        <v>3F1</v>
      </c>
      <c r="L930" t="s">
        <v>15</v>
      </c>
    </row>
    <row r="931" spans="1:12" x14ac:dyDescent="0.25">
      <c r="A931" t="str">
        <f>"1401100239"</f>
        <v>1401100239</v>
      </c>
      <c r="B931" t="str">
        <f t="shared" si="41"/>
        <v>89301000</v>
      </c>
      <c r="C931" s="1">
        <v>44283</v>
      </c>
      <c r="D931" s="1">
        <v>44285</v>
      </c>
      <c r="E931">
        <v>1</v>
      </c>
      <c r="F931" t="s">
        <v>326</v>
      </c>
      <c r="G931" t="str">
        <f>"02-I11-01"</f>
        <v>02-I11-01</v>
      </c>
      <c r="H931">
        <v>0.87619999999999998</v>
      </c>
      <c r="J931" t="s">
        <v>17</v>
      </c>
      <c r="K931" t="str">
        <f t="shared" si="44"/>
        <v>3F1</v>
      </c>
      <c r="L931" t="s">
        <v>15</v>
      </c>
    </row>
    <row r="932" spans="1:12" x14ac:dyDescent="0.25">
      <c r="A932" t="str">
        <f>"1403050011"</f>
        <v>1403050011</v>
      </c>
      <c r="B932" t="str">
        <f t="shared" si="41"/>
        <v>89301000</v>
      </c>
      <c r="C932" s="1">
        <v>44500</v>
      </c>
      <c r="D932" s="1">
        <v>44501</v>
      </c>
      <c r="E932">
        <v>1</v>
      </c>
      <c r="F932" t="s">
        <v>380</v>
      </c>
      <c r="G932" t="str">
        <f>"08-I20-03"</f>
        <v>08-I20-03</v>
      </c>
      <c r="H932">
        <v>0.63300000000000001</v>
      </c>
      <c r="I932" t="s">
        <v>878</v>
      </c>
      <c r="J932" t="s">
        <v>17</v>
      </c>
      <c r="K932" t="str">
        <f t="shared" si="44"/>
        <v>3F1</v>
      </c>
      <c r="L932" t="s">
        <v>15</v>
      </c>
    </row>
    <row r="933" spans="1:12" x14ac:dyDescent="0.25">
      <c r="A933" t="str">
        <f>"1403140002"</f>
        <v>1403140002</v>
      </c>
      <c r="B933" t="str">
        <f t="shared" si="41"/>
        <v>89301000</v>
      </c>
      <c r="C933" s="1">
        <v>44477</v>
      </c>
      <c r="D933" s="1">
        <v>44479</v>
      </c>
      <c r="E933">
        <v>6</v>
      </c>
      <c r="F933" t="s">
        <v>879</v>
      </c>
      <c r="G933" t="str">
        <f>"03-K02-03"</f>
        <v>03-K02-03</v>
      </c>
      <c r="H933">
        <v>0.33960000000000001</v>
      </c>
      <c r="I933" t="s">
        <v>168</v>
      </c>
      <c r="J933" t="s">
        <v>14</v>
      </c>
      <c r="K933" t="str">
        <f>"3T1"</f>
        <v>3T1</v>
      </c>
      <c r="L933" t="s">
        <v>15</v>
      </c>
    </row>
    <row r="934" spans="1:12" x14ac:dyDescent="0.25">
      <c r="A934" t="str">
        <f>"1403160176"</f>
        <v>1403160176</v>
      </c>
      <c r="B934" t="str">
        <f t="shared" si="41"/>
        <v>89301000</v>
      </c>
      <c r="C934" s="1">
        <v>44421</v>
      </c>
      <c r="D934" s="1">
        <v>44427</v>
      </c>
      <c r="E934">
        <v>1</v>
      </c>
      <c r="F934" t="s">
        <v>23</v>
      </c>
      <c r="G934" t="str">
        <f>"06-I18-04"</f>
        <v>06-I18-04</v>
      </c>
      <c r="H934">
        <v>1.1514</v>
      </c>
      <c r="J934" t="s">
        <v>24</v>
      </c>
      <c r="K934" t="str">
        <f t="shared" ref="K934:K971" si="45">"3F1"</f>
        <v>3F1</v>
      </c>
      <c r="L934" t="s">
        <v>15</v>
      </c>
    </row>
    <row r="935" spans="1:12" x14ac:dyDescent="0.25">
      <c r="A935" t="str">
        <f>"1403280010"</f>
        <v>1403280010</v>
      </c>
      <c r="B935" t="str">
        <f t="shared" si="41"/>
        <v>89301000</v>
      </c>
      <c r="C935" s="1">
        <v>44482</v>
      </c>
      <c r="D935" s="1">
        <v>44484</v>
      </c>
      <c r="E935">
        <v>1</v>
      </c>
      <c r="F935" t="s">
        <v>354</v>
      </c>
      <c r="G935" t="str">
        <f>"10-K14-05"</f>
        <v>10-K14-05</v>
      </c>
      <c r="H935">
        <v>0.34639999999999999</v>
      </c>
      <c r="I935" t="s">
        <v>880</v>
      </c>
      <c r="J935" t="s">
        <v>14</v>
      </c>
      <c r="K935" t="str">
        <f t="shared" si="45"/>
        <v>3F1</v>
      </c>
      <c r="L935" t="s">
        <v>15</v>
      </c>
    </row>
    <row r="936" spans="1:12" x14ac:dyDescent="0.25">
      <c r="A936" t="str">
        <f>"1404040198"</f>
        <v>1404040198</v>
      </c>
      <c r="B936" t="str">
        <f t="shared" si="41"/>
        <v>89301000</v>
      </c>
      <c r="C936" s="1">
        <v>44440</v>
      </c>
      <c r="D936" s="1">
        <v>44445</v>
      </c>
      <c r="E936">
        <v>1</v>
      </c>
      <c r="F936" t="s">
        <v>40</v>
      </c>
      <c r="G936" t="str">
        <f>"06-K03-03"</f>
        <v>06-K03-03</v>
      </c>
      <c r="H936">
        <v>0.44019999999999998</v>
      </c>
      <c r="I936" t="s">
        <v>881</v>
      </c>
      <c r="J936" t="s">
        <v>14</v>
      </c>
      <c r="K936" t="str">
        <f t="shared" si="45"/>
        <v>3F1</v>
      </c>
      <c r="L936" t="s">
        <v>15</v>
      </c>
    </row>
    <row r="937" spans="1:12" x14ac:dyDescent="0.25">
      <c r="A937" t="str">
        <f>"1404071284"</f>
        <v>1404071284</v>
      </c>
      <c r="B937" t="str">
        <f t="shared" si="41"/>
        <v>89301000</v>
      </c>
      <c r="C937" s="1">
        <v>44423</v>
      </c>
      <c r="D937" s="1">
        <v>44432</v>
      </c>
      <c r="E937">
        <v>1</v>
      </c>
      <c r="F937" t="s">
        <v>388</v>
      </c>
      <c r="G937" t="str">
        <f>"08-C01-03"</f>
        <v>08-C01-03</v>
      </c>
      <c r="H937">
        <v>1.9153</v>
      </c>
      <c r="I937" t="s">
        <v>882</v>
      </c>
      <c r="J937" t="s">
        <v>14</v>
      </c>
      <c r="K937" t="str">
        <f t="shared" si="45"/>
        <v>3F1</v>
      </c>
      <c r="L937" t="s">
        <v>15</v>
      </c>
    </row>
    <row r="938" spans="1:12" x14ac:dyDescent="0.25">
      <c r="A938" t="str">
        <f>"1404071284"</f>
        <v>1404071284</v>
      </c>
      <c r="B938" t="str">
        <f t="shared" si="41"/>
        <v>89301000</v>
      </c>
      <c r="C938" s="1">
        <v>44435</v>
      </c>
      <c r="D938" s="1">
        <v>44445</v>
      </c>
      <c r="E938">
        <v>1</v>
      </c>
      <c r="F938" t="s">
        <v>388</v>
      </c>
      <c r="G938" t="str">
        <f>"08-C01-03"</f>
        <v>08-C01-03</v>
      </c>
      <c r="H938">
        <v>1.9897</v>
      </c>
      <c r="I938" t="s">
        <v>275</v>
      </c>
      <c r="J938" t="s">
        <v>14</v>
      </c>
      <c r="K938" t="str">
        <f t="shared" si="45"/>
        <v>3F1</v>
      </c>
      <c r="L938" t="s">
        <v>15</v>
      </c>
    </row>
    <row r="939" spans="1:12" x14ac:dyDescent="0.25">
      <c r="A939" t="str">
        <f>"1404081943"</f>
        <v>1404081943</v>
      </c>
      <c r="B939" t="str">
        <f t="shared" si="41"/>
        <v>89301000</v>
      </c>
      <c r="C939" s="1">
        <v>44483</v>
      </c>
      <c r="D939" s="1">
        <v>44485</v>
      </c>
      <c r="E939">
        <v>1</v>
      </c>
      <c r="F939" t="s">
        <v>551</v>
      </c>
      <c r="G939" t="str">
        <f>"06-K04-03"</f>
        <v>06-K04-03</v>
      </c>
      <c r="H939">
        <v>0.38250000000000001</v>
      </c>
      <c r="I939" t="s">
        <v>883</v>
      </c>
      <c r="J939" t="s">
        <v>14</v>
      </c>
      <c r="K939" t="str">
        <f t="shared" si="45"/>
        <v>3F1</v>
      </c>
      <c r="L939" t="s">
        <v>15</v>
      </c>
    </row>
    <row r="940" spans="1:12" x14ac:dyDescent="0.25">
      <c r="A940" t="str">
        <f>"1404210093"</f>
        <v>1404210093</v>
      </c>
      <c r="B940" t="str">
        <f t="shared" si="41"/>
        <v>89301000</v>
      </c>
      <c r="C940" s="1">
        <v>44288</v>
      </c>
      <c r="D940" s="1">
        <v>44289</v>
      </c>
      <c r="E940">
        <v>1</v>
      </c>
      <c r="F940" t="s">
        <v>651</v>
      </c>
      <c r="G940" t="str">
        <f>"10-K04-03"</f>
        <v>10-K04-03</v>
      </c>
      <c r="H940">
        <v>0.7984</v>
      </c>
      <c r="J940" t="s">
        <v>14</v>
      </c>
      <c r="K940" t="str">
        <f t="shared" si="45"/>
        <v>3F1</v>
      </c>
      <c r="L940" t="s">
        <v>15</v>
      </c>
    </row>
    <row r="941" spans="1:12" x14ac:dyDescent="0.25">
      <c r="A941" t="str">
        <f>"1405100180"</f>
        <v>1405100180</v>
      </c>
      <c r="B941" t="str">
        <f t="shared" si="41"/>
        <v>89301000</v>
      </c>
      <c r="C941" s="1">
        <v>44539</v>
      </c>
      <c r="D941" s="1">
        <v>44540</v>
      </c>
      <c r="E941">
        <v>1</v>
      </c>
      <c r="F941" t="s">
        <v>646</v>
      </c>
      <c r="G941" t="str">
        <f>"06-M01-05"</f>
        <v>06-M01-05</v>
      </c>
      <c r="H941">
        <v>0.42559999999999998</v>
      </c>
      <c r="I941" t="s">
        <v>884</v>
      </c>
      <c r="J941" t="s">
        <v>14</v>
      </c>
      <c r="K941" t="str">
        <f t="shared" si="45"/>
        <v>3F1</v>
      </c>
      <c r="L941" t="s">
        <v>15</v>
      </c>
    </row>
    <row r="942" spans="1:12" x14ac:dyDescent="0.25">
      <c r="A942" t="str">
        <f>"1405110036"</f>
        <v>1405110036</v>
      </c>
      <c r="B942" t="str">
        <f t="shared" si="41"/>
        <v>89301000</v>
      </c>
      <c r="C942" s="1">
        <v>44434</v>
      </c>
      <c r="D942" s="1">
        <v>44435</v>
      </c>
      <c r="E942">
        <v>1</v>
      </c>
      <c r="F942" t="s">
        <v>234</v>
      </c>
      <c r="G942" t="str">
        <f>"23-K01-00"</f>
        <v>23-K01-00</v>
      </c>
      <c r="H942">
        <v>0.13139999999999999</v>
      </c>
      <c r="I942" t="s">
        <v>885</v>
      </c>
      <c r="J942" t="s">
        <v>14</v>
      </c>
      <c r="K942" t="str">
        <f t="shared" si="45"/>
        <v>3F1</v>
      </c>
      <c r="L942" t="s">
        <v>15</v>
      </c>
    </row>
    <row r="943" spans="1:12" x14ac:dyDescent="0.25">
      <c r="A943" t="str">
        <f>"1405110036"</f>
        <v>1405110036</v>
      </c>
      <c r="B943" t="str">
        <f t="shared" si="41"/>
        <v>89301000</v>
      </c>
      <c r="C943" s="1">
        <v>44507</v>
      </c>
      <c r="D943" s="1">
        <v>44509</v>
      </c>
      <c r="E943">
        <v>1</v>
      </c>
      <c r="F943" t="s">
        <v>234</v>
      </c>
      <c r="G943" t="str">
        <f>"03-K06-02"</f>
        <v>03-K06-02</v>
      </c>
      <c r="H943">
        <v>0.26829999999999998</v>
      </c>
      <c r="J943" t="s">
        <v>14</v>
      </c>
      <c r="K943" t="str">
        <f t="shared" si="45"/>
        <v>3F1</v>
      </c>
      <c r="L943" t="s">
        <v>15</v>
      </c>
    </row>
    <row r="944" spans="1:12" x14ac:dyDescent="0.25">
      <c r="A944" t="str">
        <f>"1405181184"</f>
        <v>1405181184</v>
      </c>
      <c r="B944" t="str">
        <f t="shared" si="41"/>
        <v>89301000</v>
      </c>
      <c r="C944" s="1">
        <v>44398</v>
      </c>
      <c r="D944" s="1">
        <v>44400</v>
      </c>
      <c r="E944">
        <v>1</v>
      </c>
      <c r="F944" t="s">
        <v>174</v>
      </c>
      <c r="G944" t="str">
        <f>"12-I14-00"</f>
        <v>12-I14-00</v>
      </c>
      <c r="H944">
        <v>0.44350000000000001</v>
      </c>
      <c r="J944" t="s">
        <v>14</v>
      </c>
      <c r="K944" t="str">
        <f t="shared" si="45"/>
        <v>3F1</v>
      </c>
      <c r="L944" t="s">
        <v>15</v>
      </c>
    </row>
    <row r="945" spans="1:12" x14ac:dyDescent="0.25">
      <c r="A945" t="str">
        <f>"1405190358"</f>
        <v>1405190358</v>
      </c>
      <c r="B945" t="str">
        <f t="shared" si="41"/>
        <v>89301000</v>
      </c>
      <c r="C945" s="1">
        <v>44406</v>
      </c>
      <c r="D945" s="1">
        <v>44408</v>
      </c>
      <c r="E945">
        <v>1</v>
      </c>
      <c r="F945" t="s">
        <v>886</v>
      </c>
      <c r="G945" t="str">
        <f>"03-K12-01"</f>
        <v>03-K12-01</v>
      </c>
      <c r="H945">
        <v>0.376</v>
      </c>
      <c r="I945" t="s">
        <v>887</v>
      </c>
      <c r="J945" t="s">
        <v>14</v>
      </c>
      <c r="K945" t="str">
        <f t="shared" si="45"/>
        <v>3F1</v>
      </c>
      <c r="L945" t="s">
        <v>15</v>
      </c>
    </row>
    <row r="946" spans="1:12" x14ac:dyDescent="0.25">
      <c r="A946" t="str">
        <f>"1405190622"</f>
        <v>1405190622</v>
      </c>
      <c r="B946" t="str">
        <f t="shared" si="41"/>
        <v>89301000</v>
      </c>
      <c r="C946" s="1">
        <v>44222</v>
      </c>
      <c r="D946" s="1">
        <v>44223</v>
      </c>
      <c r="E946">
        <v>1</v>
      </c>
      <c r="F946" t="s">
        <v>323</v>
      </c>
      <c r="G946" t="str">
        <f>"06-K06-02"</f>
        <v>06-K06-02</v>
      </c>
      <c r="H946">
        <v>0.69359999999999999</v>
      </c>
      <c r="I946" t="s">
        <v>888</v>
      </c>
      <c r="J946" t="s">
        <v>14</v>
      </c>
      <c r="K946" t="str">
        <f t="shared" si="45"/>
        <v>3F1</v>
      </c>
      <c r="L946" t="s">
        <v>15</v>
      </c>
    </row>
    <row r="947" spans="1:12" x14ac:dyDescent="0.25">
      <c r="A947" t="str">
        <f>"1405210400"</f>
        <v>1405210400</v>
      </c>
      <c r="B947" t="str">
        <f t="shared" si="41"/>
        <v>89301000</v>
      </c>
      <c r="C947" s="1">
        <v>44382</v>
      </c>
      <c r="D947" s="1">
        <v>44383</v>
      </c>
      <c r="E947">
        <v>2</v>
      </c>
      <c r="F947" t="s">
        <v>814</v>
      </c>
      <c r="G947" t="str">
        <f>"09-K13-02"</f>
        <v>09-K13-02</v>
      </c>
      <c r="H947">
        <v>0.3014</v>
      </c>
      <c r="I947" t="s">
        <v>606</v>
      </c>
      <c r="J947" t="s">
        <v>14</v>
      </c>
      <c r="K947" t="str">
        <f t="shared" si="45"/>
        <v>3F1</v>
      </c>
      <c r="L947" t="s">
        <v>15</v>
      </c>
    </row>
    <row r="948" spans="1:12" x14ac:dyDescent="0.25">
      <c r="A948" t="str">
        <f>"1405240001"</f>
        <v>1405240001</v>
      </c>
      <c r="B948" t="str">
        <f t="shared" si="41"/>
        <v>89301000</v>
      </c>
      <c r="C948" s="1">
        <v>44377</v>
      </c>
      <c r="D948" s="1">
        <v>44379</v>
      </c>
      <c r="E948">
        <v>1</v>
      </c>
      <c r="F948" t="s">
        <v>520</v>
      </c>
      <c r="G948" t="str">
        <f>"01-K07-01"</f>
        <v>01-K07-01</v>
      </c>
      <c r="H948">
        <v>1.2299</v>
      </c>
      <c r="I948" t="s">
        <v>889</v>
      </c>
      <c r="J948" t="s">
        <v>14</v>
      </c>
      <c r="K948" t="str">
        <f t="shared" si="45"/>
        <v>3F1</v>
      </c>
      <c r="L948" t="s">
        <v>15</v>
      </c>
    </row>
    <row r="949" spans="1:12" x14ac:dyDescent="0.25">
      <c r="A949" t="str">
        <f>"1405300325"</f>
        <v>1405300325</v>
      </c>
      <c r="B949" t="str">
        <f t="shared" si="41"/>
        <v>89301000</v>
      </c>
      <c r="C949" s="1">
        <v>44253</v>
      </c>
      <c r="D949" s="1">
        <v>44256</v>
      </c>
      <c r="E949">
        <v>1</v>
      </c>
      <c r="F949" t="s">
        <v>720</v>
      </c>
      <c r="G949" t="str">
        <f>"06-K02-04"</f>
        <v>06-K02-04</v>
      </c>
      <c r="H949">
        <v>0.3634</v>
      </c>
      <c r="I949" t="s">
        <v>890</v>
      </c>
      <c r="J949" t="s">
        <v>14</v>
      </c>
      <c r="K949" t="str">
        <f t="shared" si="45"/>
        <v>3F1</v>
      </c>
      <c r="L949" t="s">
        <v>15</v>
      </c>
    </row>
    <row r="950" spans="1:12" x14ac:dyDescent="0.25">
      <c r="A950" t="str">
        <f>"1406030395"</f>
        <v>1406030395</v>
      </c>
      <c r="B950" t="str">
        <f t="shared" si="41"/>
        <v>89301000</v>
      </c>
      <c r="C950" s="1">
        <v>44541</v>
      </c>
      <c r="D950" s="1">
        <v>44547</v>
      </c>
      <c r="E950">
        <v>1</v>
      </c>
      <c r="F950" t="s">
        <v>630</v>
      </c>
      <c r="G950" t="str">
        <f>"06-I18-02"</f>
        <v>06-I18-02</v>
      </c>
      <c r="H950">
        <v>2.0447000000000002</v>
      </c>
      <c r="I950" t="s">
        <v>168</v>
      </c>
      <c r="J950" t="s">
        <v>24</v>
      </c>
      <c r="K950" t="str">
        <f t="shared" si="45"/>
        <v>3F1</v>
      </c>
      <c r="L950" t="s">
        <v>15</v>
      </c>
    </row>
    <row r="951" spans="1:12" x14ac:dyDescent="0.25">
      <c r="A951" t="str">
        <f>"1406170271"</f>
        <v>1406170271</v>
      </c>
      <c r="B951" t="str">
        <f t="shared" si="41"/>
        <v>89301000</v>
      </c>
      <c r="C951" s="1">
        <v>44320</v>
      </c>
      <c r="D951" s="1">
        <v>44323</v>
      </c>
      <c r="E951">
        <v>1</v>
      </c>
      <c r="F951" t="s">
        <v>471</v>
      </c>
      <c r="G951" t="str">
        <f>"03-I14-02"</f>
        <v>03-I14-02</v>
      </c>
      <c r="H951">
        <v>1.1086</v>
      </c>
      <c r="I951" t="s">
        <v>891</v>
      </c>
      <c r="J951" t="s">
        <v>14</v>
      </c>
      <c r="K951" t="str">
        <f t="shared" si="45"/>
        <v>3F1</v>
      </c>
      <c r="L951" t="s">
        <v>15</v>
      </c>
    </row>
    <row r="952" spans="1:12" x14ac:dyDescent="0.25">
      <c r="A952" t="str">
        <f>"1407150173"</f>
        <v>1407150173</v>
      </c>
      <c r="B952" t="str">
        <f t="shared" si="41"/>
        <v>89301000</v>
      </c>
      <c r="C952" s="1">
        <v>44383</v>
      </c>
      <c r="D952" s="1">
        <v>44385</v>
      </c>
      <c r="E952">
        <v>1</v>
      </c>
      <c r="F952" t="s">
        <v>892</v>
      </c>
      <c r="G952" t="str">
        <f>"03-I20-03"</f>
        <v>03-I20-03</v>
      </c>
      <c r="H952">
        <v>0.68049999999999999</v>
      </c>
      <c r="J952" t="s">
        <v>17</v>
      </c>
      <c r="K952" t="str">
        <f t="shared" si="45"/>
        <v>3F1</v>
      </c>
      <c r="L952" t="s">
        <v>15</v>
      </c>
    </row>
    <row r="953" spans="1:12" x14ac:dyDescent="0.25">
      <c r="A953" t="str">
        <f>"1407161844"</f>
        <v>1407161844</v>
      </c>
      <c r="B953" t="str">
        <f t="shared" si="41"/>
        <v>89301000</v>
      </c>
      <c r="C953" s="1">
        <v>44469</v>
      </c>
      <c r="D953" s="1">
        <v>44471</v>
      </c>
      <c r="E953">
        <v>1</v>
      </c>
      <c r="F953" t="s">
        <v>373</v>
      </c>
      <c r="G953" t="str">
        <f>"04-K03-03"</f>
        <v>04-K03-03</v>
      </c>
      <c r="H953">
        <v>0.53180000000000005</v>
      </c>
      <c r="I953" t="s">
        <v>893</v>
      </c>
      <c r="J953" t="s">
        <v>14</v>
      </c>
      <c r="K953" t="str">
        <f t="shared" si="45"/>
        <v>3F1</v>
      </c>
      <c r="L953" t="s">
        <v>15</v>
      </c>
    </row>
    <row r="954" spans="1:12" x14ac:dyDescent="0.25">
      <c r="A954" t="str">
        <f>"1407210002"</f>
        <v>1407210002</v>
      </c>
      <c r="B954" t="str">
        <f t="shared" ref="B954:B1017" si="46">"89301000"</f>
        <v>89301000</v>
      </c>
      <c r="C954" s="1">
        <v>44202</v>
      </c>
      <c r="D954" s="1">
        <v>44204</v>
      </c>
      <c r="E954">
        <v>1</v>
      </c>
      <c r="F954" t="s">
        <v>174</v>
      </c>
      <c r="G954" t="str">
        <f>"12-I14-00"</f>
        <v>12-I14-00</v>
      </c>
      <c r="H954">
        <v>0.44350000000000001</v>
      </c>
      <c r="J954" t="s">
        <v>14</v>
      </c>
      <c r="K954" t="str">
        <f t="shared" si="45"/>
        <v>3F1</v>
      </c>
      <c r="L954" t="s">
        <v>15</v>
      </c>
    </row>
    <row r="955" spans="1:12" x14ac:dyDescent="0.25">
      <c r="A955" t="str">
        <f>"1408081862"</f>
        <v>1408081862</v>
      </c>
      <c r="B955" t="str">
        <f t="shared" si="46"/>
        <v>89301000</v>
      </c>
      <c r="C955" s="1">
        <v>44365</v>
      </c>
      <c r="D955" s="1">
        <v>44366</v>
      </c>
      <c r="E955">
        <v>1</v>
      </c>
      <c r="F955" t="s">
        <v>894</v>
      </c>
      <c r="G955" t="str">
        <f>"04-K03-03"</f>
        <v>04-K03-03</v>
      </c>
      <c r="H955">
        <v>0.53180000000000005</v>
      </c>
      <c r="J955" t="s">
        <v>14</v>
      </c>
      <c r="K955" t="str">
        <f t="shared" si="45"/>
        <v>3F1</v>
      </c>
      <c r="L955" t="s">
        <v>15</v>
      </c>
    </row>
    <row r="956" spans="1:12" x14ac:dyDescent="0.25">
      <c r="A956" t="str">
        <f>"1408100089"</f>
        <v>1408100089</v>
      </c>
      <c r="B956" t="str">
        <f t="shared" si="46"/>
        <v>89301000</v>
      </c>
      <c r="C956" s="1">
        <v>44329</v>
      </c>
      <c r="D956" s="1">
        <v>44330</v>
      </c>
      <c r="E956">
        <v>1</v>
      </c>
      <c r="F956" t="s">
        <v>819</v>
      </c>
      <c r="G956" t="str">
        <f>"04-K13-01"</f>
        <v>04-K13-01</v>
      </c>
      <c r="H956">
        <v>0.64270000000000005</v>
      </c>
      <c r="I956" t="s">
        <v>895</v>
      </c>
      <c r="J956" t="s">
        <v>14</v>
      </c>
      <c r="K956" t="str">
        <f t="shared" si="45"/>
        <v>3F1</v>
      </c>
      <c r="L956" t="s">
        <v>15</v>
      </c>
    </row>
    <row r="957" spans="1:12" x14ac:dyDescent="0.25">
      <c r="A957" t="str">
        <f>"1408280280"</f>
        <v>1408280280</v>
      </c>
      <c r="B957" t="str">
        <f t="shared" si="46"/>
        <v>89301000</v>
      </c>
      <c r="C957" s="1">
        <v>44414</v>
      </c>
      <c r="D957" s="1">
        <v>44424</v>
      </c>
      <c r="E957">
        <v>1</v>
      </c>
      <c r="F957" t="s">
        <v>304</v>
      </c>
      <c r="G957" t="str">
        <f>"10-K03-02"</f>
        <v>10-K03-02</v>
      </c>
      <c r="H957">
        <v>1.3724000000000001</v>
      </c>
      <c r="J957" t="s">
        <v>14</v>
      </c>
      <c r="K957" t="str">
        <f t="shared" si="45"/>
        <v>3F1</v>
      </c>
      <c r="L957" t="s">
        <v>15</v>
      </c>
    </row>
    <row r="958" spans="1:12" x14ac:dyDescent="0.25">
      <c r="A958" t="str">
        <f>"1409230350"</f>
        <v>1409230350</v>
      </c>
      <c r="B958" t="str">
        <f t="shared" si="46"/>
        <v>89301000</v>
      </c>
      <c r="C958" s="1">
        <v>44418</v>
      </c>
      <c r="D958" s="1">
        <v>44420</v>
      </c>
      <c r="E958">
        <v>1</v>
      </c>
      <c r="F958" t="s">
        <v>189</v>
      </c>
      <c r="G958" t="str">
        <f>"03-I15-00"</f>
        <v>03-I15-00</v>
      </c>
      <c r="H958">
        <v>0.97689999999999999</v>
      </c>
      <c r="I958" t="s">
        <v>234</v>
      </c>
      <c r="J958" t="s">
        <v>24</v>
      </c>
      <c r="K958" t="str">
        <f t="shared" si="45"/>
        <v>3F1</v>
      </c>
      <c r="L958" t="s">
        <v>15</v>
      </c>
    </row>
    <row r="959" spans="1:12" x14ac:dyDescent="0.25">
      <c r="A959" t="str">
        <f>"1409241999"</f>
        <v>1409241999</v>
      </c>
      <c r="B959" t="str">
        <f t="shared" si="46"/>
        <v>89301000</v>
      </c>
      <c r="C959" s="1">
        <v>44500</v>
      </c>
      <c r="D959" s="1">
        <v>44502</v>
      </c>
      <c r="E959">
        <v>1</v>
      </c>
      <c r="F959" t="s">
        <v>720</v>
      </c>
      <c r="G959" t="str">
        <f>"06-K02-04"</f>
        <v>06-K02-04</v>
      </c>
      <c r="H959">
        <v>0.3634</v>
      </c>
      <c r="I959" t="s">
        <v>168</v>
      </c>
      <c r="J959" t="s">
        <v>14</v>
      </c>
      <c r="K959" t="str">
        <f t="shared" si="45"/>
        <v>3F1</v>
      </c>
      <c r="L959" t="s">
        <v>15</v>
      </c>
    </row>
    <row r="960" spans="1:12" x14ac:dyDescent="0.25">
      <c r="A960" t="str">
        <f>"1409241999"</f>
        <v>1409241999</v>
      </c>
      <c r="B960" t="str">
        <f t="shared" si="46"/>
        <v>89301000</v>
      </c>
      <c r="C960" s="1">
        <v>44372</v>
      </c>
      <c r="D960" s="1">
        <v>44374</v>
      </c>
      <c r="E960">
        <v>1</v>
      </c>
      <c r="F960" t="s">
        <v>617</v>
      </c>
      <c r="G960" t="str">
        <f>"06-K02-04"</f>
        <v>06-K02-04</v>
      </c>
      <c r="H960">
        <v>0.3634</v>
      </c>
      <c r="I960" t="s">
        <v>168</v>
      </c>
      <c r="J960" t="s">
        <v>14</v>
      </c>
      <c r="K960" t="str">
        <f t="shared" si="45"/>
        <v>3F1</v>
      </c>
      <c r="L960" t="s">
        <v>15</v>
      </c>
    </row>
    <row r="961" spans="1:12" x14ac:dyDescent="0.25">
      <c r="A961" t="str">
        <f>"1409250722"</f>
        <v>1409250722</v>
      </c>
      <c r="B961" t="str">
        <f t="shared" si="46"/>
        <v>89301000</v>
      </c>
      <c r="C961" s="1">
        <v>44376</v>
      </c>
      <c r="D961" s="1">
        <v>44378</v>
      </c>
      <c r="E961">
        <v>1</v>
      </c>
      <c r="F961" t="s">
        <v>525</v>
      </c>
      <c r="G961" t="str">
        <f>"08-I26-02"</f>
        <v>08-I26-02</v>
      </c>
      <c r="H961">
        <v>0.83399999999999996</v>
      </c>
      <c r="J961" t="s">
        <v>14</v>
      </c>
      <c r="K961" t="str">
        <f t="shared" si="45"/>
        <v>3F1</v>
      </c>
      <c r="L961" t="s">
        <v>15</v>
      </c>
    </row>
    <row r="962" spans="1:12" x14ac:dyDescent="0.25">
      <c r="A962" t="str">
        <f>"1411070254"</f>
        <v>1411070254</v>
      </c>
      <c r="B962" t="str">
        <f t="shared" si="46"/>
        <v>89301000</v>
      </c>
      <c r="C962" s="1">
        <v>44302</v>
      </c>
      <c r="D962" s="1">
        <v>44305</v>
      </c>
      <c r="E962">
        <v>1</v>
      </c>
      <c r="F962" t="s">
        <v>43</v>
      </c>
      <c r="G962" t="str">
        <f>"06-I18-04"</f>
        <v>06-I18-04</v>
      </c>
      <c r="H962">
        <v>1.1514</v>
      </c>
      <c r="J962" t="s">
        <v>24</v>
      </c>
      <c r="K962" t="str">
        <f t="shared" si="45"/>
        <v>3F1</v>
      </c>
      <c r="L962" t="s">
        <v>15</v>
      </c>
    </row>
    <row r="963" spans="1:12" x14ac:dyDescent="0.25">
      <c r="A963" t="str">
        <f>"1451060160"</f>
        <v>1451060160</v>
      </c>
      <c r="B963" t="str">
        <f t="shared" si="46"/>
        <v>89301000</v>
      </c>
      <c r="C963" s="1">
        <v>44288</v>
      </c>
      <c r="D963" s="1">
        <v>44289</v>
      </c>
      <c r="E963">
        <v>1</v>
      </c>
      <c r="F963" t="s">
        <v>724</v>
      </c>
      <c r="G963" t="str">
        <f>"06-K10-03"</f>
        <v>06-K10-03</v>
      </c>
      <c r="H963">
        <v>0.43880000000000002</v>
      </c>
      <c r="J963" t="s">
        <v>14</v>
      </c>
      <c r="K963" t="str">
        <f t="shared" si="45"/>
        <v>3F1</v>
      </c>
      <c r="L963" t="s">
        <v>15</v>
      </c>
    </row>
    <row r="964" spans="1:12" x14ac:dyDescent="0.25">
      <c r="A964" t="str">
        <f>"1452040073"</f>
        <v>1452040073</v>
      </c>
      <c r="B964" t="str">
        <f t="shared" si="46"/>
        <v>89301000</v>
      </c>
      <c r="C964" s="1">
        <v>44488</v>
      </c>
      <c r="D964" s="1">
        <v>44489</v>
      </c>
      <c r="E964">
        <v>1</v>
      </c>
      <c r="F964" t="s">
        <v>380</v>
      </c>
      <c r="G964" t="str">
        <f>"08-I20-03"</f>
        <v>08-I20-03</v>
      </c>
      <c r="H964">
        <v>0.63300000000000001</v>
      </c>
      <c r="I964" t="s">
        <v>606</v>
      </c>
      <c r="J964" t="s">
        <v>17</v>
      </c>
      <c r="K964" t="str">
        <f t="shared" si="45"/>
        <v>3F1</v>
      </c>
      <c r="L964" t="s">
        <v>15</v>
      </c>
    </row>
    <row r="965" spans="1:12" x14ac:dyDescent="0.25">
      <c r="A965" t="str">
        <f>"1452050259"</f>
        <v>1452050259</v>
      </c>
      <c r="B965" t="str">
        <f t="shared" si="46"/>
        <v>89301000</v>
      </c>
      <c r="C965" s="1">
        <v>44199</v>
      </c>
      <c r="D965" s="1">
        <v>44201</v>
      </c>
      <c r="E965">
        <v>1</v>
      </c>
      <c r="F965" t="s">
        <v>449</v>
      </c>
      <c r="G965" t="str">
        <f>"02-I11-01"</f>
        <v>02-I11-01</v>
      </c>
      <c r="H965">
        <v>0.87619999999999998</v>
      </c>
      <c r="J965" t="s">
        <v>17</v>
      </c>
      <c r="K965" t="str">
        <f t="shared" si="45"/>
        <v>3F1</v>
      </c>
      <c r="L965" t="s">
        <v>15</v>
      </c>
    </row>
    <row r="966" spans="1:12" x14ac:dyDescent="0.25">
      <c r="A966" t="str">
        <f>"1452180158"</f>
        <v>1452180158</v>
      </c>
      <c r="B966" t="str">
        <f t="shared" si="46"/>
        <v>89301000</v>
      </c>
      <c r="C966" s="1">
        <v>44265</v>
      </c>
      <c r="D966" s="1">
        <v>44268</v>
      </c>
      <c r="E966">
        <v>1</v>
      </c>
      <c r="F966" t="s">
        <v>43</v>
      </c>
      <c r="G966" t="str">
        <f>"06-I18-04"</f>
        <v>06-I18-04</v>
      </c>
      <c r="H966">
        <v>1.1514</v>
      </c>
      <c r="I966" t="s">
        <v>168</v>
      </c>
      <c r="J966" t="s">
        <v>24</v>
      </c>
      <c r="K966" t="str">
        <f t="shared" si="45"/>
        <v>3F1</v>
      </c>
      <c r="L966" t="s">
        <v>15</v>
      </c>
    </row>
    <row r="967" spans="1:12" x14ac:dyDescent="0.25">
      <c r="A967" t="str">
        <f>"1455030335"</f>
        <v>1455030335</v>
      </c>
      <c r="B967" t="str">
        <f t="shared" si="46"/>
        <v>89301000</v>
      </c>
      <c r="C967" s="1">
        <v>44207</v>
      </c>
      <c r="D967" s="1">
        <v>44208</v>
      </c>
      <c r="E967">
        <v>1</v>
      </c>
      <c r="F967" t="s">
        <v>646</v>
      </c>
      <c r="G967" t="str">
        <f>"06-M01-05"</f>
        <v>06-M01-05</v>
      </c>
      <c r="H967">
        <v>0.41710000000000003</v>
      </c>
      <c r="I967" t="s">
        <v>896</v>
      </c>
      <c r="J967" t="s">
        <v>14</v>
      </c>
      <c r="K967" t="str">
        <f t="shared" si="45"/>
        <v>3F1</v>
      </c>
      <c r="L967" t="s">
        <v>15</v>
      </c>
    </row>
    <row r="968" spans="1:12" x14ac:dyDescent="0.25">
      <c r="A968" t="str">
        <f>"1456080065"</f>
        <v>1456080065</v>
      </c>
      <c r="B968" t="str">
        <f t="shared" si="46"/>
        <v>89301000</v>
      </c>
      <c r="C968" s="1">
        <v>44431</v>
      </c>
      <c r="D968" s="1">
        <v>44436</v>
      </c>
      <c r="E968">
        <v>1</v>
      </c>
      <c r="F968" t="s">
        <v>189</v>
      </c>
      <c r="G968" t="str">
        <f>"03-I15-00"</f>
        <v>03-I15-00</v>
      </c>
      <c r="H968">
        <v>0.97689999999999999</v>
      </c>
      <c r="I968" t="s">
        <v>134</v>
      </c>
      <c r="J968" t="s">
        <v>24</v>
      </c>
      <c r="K968" t="str">
        <f t="shared" si="45"/>
        <v>3F1</v>
      </c>
      <c r="L968" t="s">
        <v>15</v>
      </c>
    </row>
    <row r="969" spans="1:12" x14ac:dyDescent="0.25">
      <c r="A969" t="str">
        <f>"1456161784"</f>
        <v>1456161784</v>
      </c>
      <c r="B969" t="str">
        <f t="shared" si="46"/>
        <v>89301000</v>
      </c>
      <c r="C969" s="1">
        <v>44465</v>
      </c>
      <c r="D969" s="1">
        <v>44467</v>
      </c>
      <c r="E969">
        <v>1</v>
      </c>
      <c r="F969" t="s">
        <v>449</v>
      </c>
      <c r="G969" t="str">
        <f>"02-I11-01"</f>
        <v>02-I11-01</v>
      </c>
      <c r="H969">
        <v>0.87619999999999998</v>
      </c>
      <c r="J969" t="s">
        <v>17</v>
      </c>
      <c r="K969" t="str">
        <f t="shared" si="45"/>
        <v>3F1</v>
      </c>
      <c r="L969" t="s">
        <v>15</v>
      </c>
    </row>
    <row r="970" spans="1:12" x14ac:dyDescent="0.25">
      <c r="A970" t="str">
        <f>"1457291649"</f>
        <v>1457291649</v>
      </c>
      <c r="B970" t="str">
        <f t="shared" si="46"/>
        <v>89301000</v>
      </c>
      <c r="C970" s="1">
        <v>44511</v>
      </c>
      <c r="D970" s="1">
        <v>44512</v>
      </c>
      <c r="E970">
        <v>1</v>
      </c>
      <c r="F970" t="s">
        <v>632</v>
      </c>
      <c r="G970" t="str">
        <f>"06-I17-05"</f>
        <v>06-I17-05</v>
      </c>
      <c r="H970">
        <v>0.39450000000000002</v>
      </c>
      <c r="I970" t="s">
        <v>347</v>
      </c>
      <c r="J970" t="s">
        <v>17</v>
      </c>
      <c r="K970" t="str">
        <f t="shared" si="45"/>
        <v>3F1</v>
      </c>
      <c r="L970" t="s">
        <v>15</v>
      </c>
    </row>
    <row r="971" spans="1:12" x14ac:dyDescent="0.25">
      <c r="A971" t="str">
        <f>"1458220302"</f>
        <v>1458220302</v>
      </c>
      <c r="B971" t="str">
        <f t="shared" si="46"/>
        <v>89301000</v>
      </c>
      <c r="C971" s="1">
        <v>44492</v>
      </c>
      <c r="D971" s="1">
        <v>44493</v>
      </c>
      <c r="E971">
        <v>1</v>
      </c>
      <c r="F971" t="s">
        <v>897</v>
      </c>
      <c r="G971" t="str">
        <f>"09-K13-02"</f>
        <v>09-K13-02</v>
      </c>
      <c r="H971">
        <v>0.3014</v>
      </c>
      <c r="I971" t="s">
        <v>898</v>
      </c>
      <c r="J971" t="s">
        <v>14</v>
      </c>
      <c r="K971" t="str">
        <f t="shared" si="45"/>
        <v>3F1</v>
      </c>
      <c r="L971" t="s">
        <v>15</v>
      </c>
    </row>
    <row r="972" spans="1:12" x14ac:dyDescent="0.25">
      <c r="A972" t="str">
        <f>"1459170240"</f>
        <v>1459170240</v>
      </c>
      <c r="B972" t="str">
        <f t="shared" si="46"/>
        <v>89301000</v>
      </c>
      <c r="C972" s="1">
        <v>44392</v>
      </c>
      <c r="D972" s="1">
        <v>44393</v>
      </c>
      <c r="E972">
        <v>6</v>
      </c>
      <c r="F972" t="s">
        <v>899</v>
      </c>
      <c r="G972" t="str">
        <f>"01-K03-06"</f>
        <v>01-K03-06</v>
      </c>
      <c r="H972">
        <v>0.80789999999999995</v>
      </c>
      <c r="I972" t="s">
        <v>900</v>
      </c>
      <c r="J972" t="s">
        <v>14</v>
      </c>
      <c r="K972" t="str">
        <f>"3T1"</f>
        <v>3T1</v>
      </c>
      <c r="L972" t="s">
        <v>15</v>
      </c>
    </row>
    <row r="973" spans="1:12" x14ac:dyDescent="0.25">
      <c r="A973" t="str">
        <f>"1459270021"</f>
        <v>1459270021</v>
      </c>
      <c r="B973" t="str">
        <f t="shared" si="46"/>
        <v>89301000</v>
      </c>
      <c r="C973" s="1">
        <v>44453</v>
      </c>
      <c r="D973" s="1">
        <v>44457</v>
      </c>
      <c r="E973">
        <v>1</v>
      </c>
      <c r="F973" t="s">
        <v>551</v>
      </c>
      <c r="G973" t="str">
        <f>"06-K04-03"</f>
        <v>06-K04-03</v>
      </c>
      <c r="H973">
        <v>0.38250000000000001</v>
      </c>
      <c r="I973" t="s">
        <v>354</v>
      </c>
      <c r="J973" t="s">
        <v>14</v>
      </c>
      <c r="K973" t="str">
        <f t="shared" ref="K973:K1004" si="47">"3F1"</f>
        <v>3F1</v>
      </c>
      <c r="L973" t="s">
        <v>15</v>
      </c>
    </row>
    <row r="974" spans="1:12" x14ac:dyDescent="0.25">
      <c r="A974" t="str">
        <f>"1460021046"</f>
        <v>1460021046</v>
      </c>
      <c r="B974" t="str">
        <f t="shared" si="46"/>
        <v>89301000</v>
      </c>
      <c r="C974" s="1">
        <v>44248</v>
      </c>
      <c r="D974" s="1">
        <v>44250</v>
      </c>
      <c r="E974">
        <v>1</v>
      </c>
      <c r="F974" t="s">
        <v>577</v>
      </c>
      <c r="G974" t="str">
        <f>"08-K14-03"</f>
        <v>08-K14-03</v>
      </c>
      <c r="H974">
        <v>0.26169999999999999</v>
      </c>
      <c r="I974" t="s">
        <v>196</v>
      </c>
      <c r="J974" t="s">
        <v>14</v>
      </c>
      <c r="K974" t="str">
        <f t="shared" si="47"/>
        <v>3F1</v>
      </c>
      <c r="L974" t="s">
        <v>15</v>
      </c>
    </row>
    <row r="975" spans="1:12" x14ac:dyDescent="0.25">
      <c r="A975" t="str">
        <f>"1460240969"</f>
        <v>1460240969</v>
      </c>
      <c r="B975" t="str">
        <f t="shared" si="46"/>
        <v>89301000</v>
      </c>
      <c r="C975" s="1">
        <v>44425</v>
      </c>
      <c r="D975" s="1">
        <v>44427</v>
      </c>
      <c r="E975">
        <v>1</v>
      </c>
      <c r="F975" t="s">
        <v>311</v>
      </c>
      <c r="G975" t="str">
        <f>"03-I14-02"</f>
        <v>03-I14-02</v>
      </c>
      <c r="H975">
        <v>1.1086</v>
      </c>
      <c r="J975" t="s">
        <v>14</v>
      </c>
      <c r="K975" t="str">
        <f t="shared" si="47"/>
        <v>3F1</v>
      </c>
      <c r="L975" t="s">
        <v>15</v>
      </c>
    </row>
    <row r="976" spans="1:12" x14ac:dyDescent="0.25">
      <c r="A976" t="str">
        <f>"1501160122"</f>
        <v>1501160122</v>
      </c>
      <c r="B976" t="str">
        <f t="shared" si="46"/>
        <v>89301000</v>
      </c>
      <c r="C976" s="1">
        <v>44432</v>
      </c>
      <c r="D976" s="1">
        <v>44434</v>
      </c>
      <c r="E976">
        <v>1</v>
      </c>
      <c r="F976" t="s">
        <v>901</v>
      </c>
      <c r="G976" t="str">
        <f>"08-I26-02"</f>
        <v>08-I26-02</v>
      </c>
      <c r="H976">
        <v>0.83399999999999996</v>
      </c>
      <c r="J976" t="s">
        <v>14</v>
      </c>
      <c r="K976" t="str">
        <f t="shared" si="47"/>
        <v>3F1</v>
      </c>
      <c r="L976" t="s">
        <v>15</v>
      </c>
    </row>
    <row r="977" spans="1:12" x14ac:dyDescent="0.25">
      <c r="A977" t="str">
        <f>"1501290241"</f>
        <v>1501290241</v>
      </c>
      <c r="B977" t="str">
        <f t="shared" si="46"/>
        <v>89301000</v>
      </c>
      <c r="C977" s="1">
        <v>44356</v>
      </c>
      <c r="D977" s="1">
        <v>44356</v>
      </c>
      <c r="E977">
        <v>1</v>
      </c>
      <c r="F977" t="s">
        <v>532</v>
      </c>
      <c r="G977" t="str">
        <f>"06-M01-05"</f>
        <v>06-M01-05</v>
      </c>
      <c r="H977">
        <v>0.22120000000000001</v>
      </c>
      <c r="I977" t="s">
        <v>902</v>
      </c>
      <c r="J977" t="s">
        <v>14</v>
      </c>
      <c r="K977" t="str">
        <f t="shared" si="47"/>
        <v>3F1</v>
      </c>
      <c r="L977" t="s">
        <v>15</v>
      </c>
    </row>
    <row r="978" spans="1:12" x14ac:dyDescent="0.25">
      <c r="A978" t="str">
        <f>"1502020212"</f>
        <v>1502020212</v>
      </c>
      <c r="B978" t="str">
        <f t="shared" si="46"/>
        <v>89301000</v>
      </c>
      <c r="C978" s="1">
        <v>44472</v>
      </c>
      <c r="D978" s="1">
        <v>44475</v>
      </c>
      <c r="E978">
        <v>1</v>
      </c>
      <c r="F978" t="s">
        <v>234</v>
      </c>
      <c r="G978" t="str">
        <f>"03-I21-00"</f>
        <v>03-I21-00</v>
      </c>
      <c r="H978">
        <v>0.38500000000000001</v>
      </c>
      <c r="J978" t="s">
        <v>14</v>
      </c>
      <c r="K978" t="str">
        <f t="shared" si="47"/>
        <v>3F1</v>
      </c>
      <c r="L978" t="s">
        <v>15</v>
      </c>
    </row>
    <row r="979" spans="1:12" x14ac:dyDescent="0.25">
      <c r="A979" t="str">
        <f>"1502021257"</f>
        <v>1502021257</v>
      </c>
      <c r="B979" t="str">
        <f t="shared" si="46"/>
        <v>89301000</v>
      </c>
      <c r="C979" s="1">
        <v>44503</v>
      </c>
      <c r="D979" s="1">
        <v>44505</v>
      </c>
      <c r="E979">
        <v>1</v>
      </c>
      <c r="F979" t="s">
        <v>903</v>
      </c>
      <c r="G979" t="str">
        <f>"06-K11-00"</f>
        <v>06-K11-00</v>
      </c>
      <c r="H979">
        <v>0.34810000000000002</v>
      </c>
      <c r="I979" t="s">
        <v>904</v>
      </c>
      <c r="J979" t="s">
        <v>14</v>
      </c>
      <c r="K979" t="str">
        <f t="shared" si="47"/>
        <v>3F1</v>
      </c>
      <c r="L979" t="s">
        <v>15</v>
      </c>
    </row>
    <row r="980" spans="1:12" x14ac:dyDescent="0.25">
      <c r="A980" t="str">
        <f>"1502031124"</f>
        <v>1502031124</v>
      </c>
      <c r="B980" t="str">
        <f t="shared" si="46"/>
        <v>89301000</v>
      </c>
      <c r="C980" s="1">
        <v>44454</v>
      </c>
      <c r="D980" s="1">
        <v>44461</v>
      </c>
      <c r="E980">
        <v>1</v>
      </c>
      <c r="F980" t="s">
        <v>905</v>
      </c>
      <c r="G980" t="str">
        <f>"08-K14-03"</f>
        <v>08-K14-03</v>
      </c>
      <c r="H980">
        <v>0.57450000000000001</v>
      </c>
      <c r="I980" t="s">
        <v>906</v>
      </c>
      <c r="J980" t="s">
        <v>14</v>
      </c>
      <c r="K980" t="str">
        <f t="shared" si="47"/>
        <v>3F1</v>
      </c>
      <c r="L980" t="s">
        <v>15</v>
      </c>
    </row>
    <row r="981" spans="1:12" x14ac:dyDescent="0.25">
      <c r="A981" t="str">
        <f>"1502270440"</f>
        <v>1502270440</v>
      </c>
      <c r="B981" t="str">
        <f t="shared" si="46"/>
        <v>89301000</v>
      </c>
      <c r="C981" s="1">
        <v>44340</v>
      </c>
      <c r="D981" s="1">
        <v>44342</v>
      </c>
      <c r="E981">
        <v>1</v>
      </c>
      <c r="F981" t="s">
        <v>632</v>
      </c>
      <c r="G981" t="str">
        <f>"06-I17-05"</f>
        <v>06-I17-05</v>
      </c>
      <c r="H981">
        <v>0.39450000000000002</v>
      </c>
      <c r="J981" t="s">
        <v>17</v>
      </c>
      <c r="K981" t="str">
        <f t="shared" si="47"/>
        <v>3F1</v>
      </c>
      <c r="L981" t="s">
        <v>15</v>
      </c>
    </row>
    <row r="982" spans="1:12" x14ac:dyDescent="0.25">
      <c r="A982" t="str">
        <f>"1503120388"</f>
        <v>1503120388</v>
      </c>
      <c r="B982" t="str">
        <f t="shared" si="46"/>
        <v>89301000</v>
      </c>
      <c r="C982" s="1">
        <v>44501</v>
      </c>
      <c r="D982" s="1">
        <v>44505</v>
      </c>
      <c r="E982">
        <v>1</v>
      </c>
      <c r="F982" t="s">
        <v>43</v>
      </c>
      <c r="G982" t="str">
        <f>"06-I18-04"</f>
        <v>06-I18-04</v>
      </c>
      <c r="H982">
        <v>1.1514</v>
      </c>
      <c r="J982" t="s">
        <v>24</v>
      </c>
      <c r="K982" t="str">
        <f t="shared" si="47"/>
        <v>3F1</v>
      </c>
      <c r="L982" t="s">
        <v>15</v>
      </c>
    </row>
    <row r="983" spans="1:12" x14ac:dyDescent="0.25">
      <c r="A983" t="str">
        <f>"1504020419"</f>
        <v>1504020419</v>
      </c>
      <c r="B983" t="str">
        <f t="shared" si="46"/>
        <v>89301000</v>
      </c>
      <c r="C983" s="1">
        <v>44451</v>
      </c>
      <c r="D983" s="1">
        <v>44453</v>
      </c>
      <c r="E983">
        <v>1</v>
      </c>
      <c r="F983" t="s">
        <v>907</v>
      </c>
      <c r="G983" t="str">
        <f>"88-I03-00"</f>
        <v>88-I03-00</v>
      </c>
      <c r="H983">
        <v>0.11459999999999999</v>
      </c>
      <c r="J983" t="s">
        <v>14</v>
      </c>
      <c r="K983" t="str">
        <f t="shared" si="47"/>
        <v>3F1</v>
      </c>
      <c r="L983" t="s">
        <v>15</v>
      </c>
    </row>
    <row r="984" spans="1:12" x14ac:dyDescent="0.25">
      <c r="A984" t="str">
        <f>"1504081832"</f>
        <v>1504081832</v>
      </c>
      <c r="B984" t="str">
        <f t="shared" si="46"/>
        <v>89301000</v>
      </c>
      <c r="C984" s="1">
        <v>44321</v>
      </c>
      <c r="D984" s="1">
        <v>44323</v>
      </c>
      <c r="E984">
        <v>1</v>
      </c>
      <c r="F984" t="s">
        <v>908</v>
      </c>
      <c r="G984" t="str">
        <f>"09-I13-05"</f>
        <v>09-I13-05</v>
      </c>
      <c r="H984">
        <v>0.43659999999999999</v>
      </c>
      <c r="I984" t="s">
        <v>909</v>
      </c>
      <c r="J984" t="s">
        <v>14</v>
      </c>
      <c r="K984" t="str">
        <f t="shared" si="47"/>
        <v>3F1</v>
      </c>
      <c r="L984" t="s">
        <v>15</v>
      </c>
    </row>
    <row r="985" spans="1:12" x14ac:dyDescent="0.25">
      <c r="A985" t="str">
        <f>"1504091358"</f>
        <v>1504091358</v>
      </c>
      <c r="B985" t="str">
        <f t="shared" si="46"/>
        <v>89301000</v>
      </c>
      <c r="C985" s="1">
        <v>44350</v>
      </c>
      <c r="D985" s="1">
        <v>44351</v>
      </c>
      <c r="E985">
        <v>1</v>
      </c>
      <c r="F985" t="s">
        <v>910</v>
      </c>
      <c r="G985" t="str">
        <f>"19-K01-03"</f>
        <v>19-K01-03</v>
      </c>
      <c r="H985">
        <v>0.60250000000000004</v>
      </c>
      <c r="J985" t="s">
        <v>27</v>
      </c>
      <c r="K985" t="str">
        <f t="shared" si="47"/>
        <v>3F1</v>
      </c>
      <c r="L985" t="s">
        <v>15</v>
      </c>
    </row>
    <row r="986" spans="1:12" x14ac:dyDescent="0.25">
      <c r="A986" t="str">
        <f>"1504240518"</f>
        <v>1504240518</v>
      </c>
      <c r="B986" t="str">
        <f t="shared" si="46"/>
        <v>89301000</v>
      </c>
      <c r="C986" s="1">
        <v>44221</v>
      </c>
      <c r="D986" s="1">
        <v>44223</v>
      </c>
      <c r="E986">
        <v>1</v>
      </c>
      <c r="F986" t="s">
        <v>823</v>
      </c>
      <c r="G986" t="str">
        <f>"03-I20-03"</f>
        <v>03-I20-03</v>
      </c>
      <c r="H986">
        <v>0.68049999999999999</v>
      </c>
      <c r="J986" t="s">
        <v>17</v>
      </c>
      <c r="K986" t="str">
        <f t="shared" si="47"/>
        <v>3F1</v>
      </c>
      <c r="L986" t="s">
        <v>15</v>
      </c>
    </row>
    <row r="987" spans="1:12" x14ac:dyDescent="0.25">
      <c r="A987" t="str">
        <f>"1505050778"</f>
        <v>1505050778</v>
      </c>
      <c r="B987" t="str">
        <f t="shared" si="46"/>
        <v>89301000</v>
      </c>
      <c r="C987" s="1">
        <v>44465</v>
      </c>
      <c r="D987" s="1">
        <v>44467</v>
      </c>
      <c r="E987">
        <v>1</v>
      </c>
      <c r="F987" t="s">
        <v>449</v>
      </c>
      <c r="G987" t="str">
        <f>"02-I11-01"</f>
        <v>02-I11-01</v>
      </c>
      <c r="H987">
        <v>0.87619999999999998</v>
      </c>
      <c r="J987" t="s">
        <v>17</v>
      </c>
      <c r="K987" t="str">
        <f t="shared" si="47"/>
        <v>3F1</v>
      </c>
      <c r="L987" t="s">
        <v>15</v>
      </c>
    </row>
    <row r="988" spans="1:12" x14ac:dyDescent="0.25">
      <c r="A988" t="str">
        <f>"1505100157"</f>
        <v>1505100157</v>
      </c>
      <c r="B988" t="str">
        <f t="shared" si="46"/>
        <v>89301000</v>
      </c>
      <c r="C988" s="1">
        <v>44078</v>
      </c>
      <c r="D988" s="1">
        <v>44210</v>
      </c>
      <c r="E988">
        <v>4</v>
      </c>
      <c r="F988" t="s">
        <v>911</v>
      </c>
      <c r="G988" t="str">
        <f>"17-C01-02"</f>
        <v>17-C01-02</v>
      </c>
      <c r="H988">
        <v>31.244599999999998</v>
      </c>
      <c r="I988" t="s">
        <v>912</v>
      </c>
      <c r="J988" t="s">
        <v>14</v>
      </c>
      <c r="K988" t="str">
        <f t="shared" si="47"/>
        <v>3F1</v>
      </c>
      <c r="L988" t="s">
        <v>15</v>
      </c>
    </row>
    <row r="989" spans="1:12" x14ac:dyDescent="0.25">
      <c r="A989" t="str">
        <f>"1506080433"</f>
        <v>1506080433</v>
      </c>
      <c r="B989" t="str">
        <f t="shared" si="46"/>
        <v>89301000</v>
      </c>
      <c r="C989" s="1">
        <v>44340</v>
      </c>
      <c r="D989" s="1">
        <v>44342</v>
      </c>
      <c r="E989">
        <v>1</v>
      </c>
      <c r="F989" t="s">
        <v>632</v>
      </c>
      <c r="G989" t="str">
        <f>"06-I17-05"</f>
        <v>06-I17-05</v>
      </c>
      <c r="H989">
        <v>0.39450000000000002</v>
      </c>
      <c r="I989" t="s">
        <v>168</v>
      </c>
      <c r="J989" t="s">
        <v>17</v>
      </c>
      <c r="K989" t="str">
        <f t="shared" si="47"/>
        <v>3F1</v>
      </c>
      <c r="L989" t="s">
        <v>15</v>
      </c>
    </row>
    <row r="990" spans="1:12" x14ac:dyDescent="0.25">
      <c r="A990" t="str">
        <f>"1506112003"</f>
        <v>1506112003</v>
      </c>
      <c r="B990" t="str">
        <f t="shared" si="46"/>
        <v>89301000</v>
      </c>
      <c r="C990" s="1">
        <v>44426</v>
      </c>
      <c r="D990" s="1">
        <v>44428</v>
      </c>
      <c r="E990">
        <v>1</v>
      </c>
      <c r="F990" t="s">
        <v>817</v>
      </c>
      <c r="G990" t="str">
        <f>"06-K02-04"</f>
        <v>06-K02-04</v>
      </c>
      <c r="H990">
        <v>0.3634</v>
      </c>
      <c r="I990" t="s">
        <v>354</v>
      </c>
      <c r="J990" t="s">
        <v>14</v>
      </c>
      <c r="K990" t="str">
        <f t="shared" si="47"/>
        <v>3F1</v>
      </c>
      <c r="L990" t="s">
        <v>15</v>
      </c>
    </row>
    <row r="991" spans="1:12" x14ac:dyDescent="0.25">
      <c r="A991" t="str">
        <f>"1506150283"</f>
        <v>1506150283</v>
      </c>
      <c r="B991" t="str">
        <f t="shared" si="46"/>
        <v>89301000</v>
      </c>
      <c r="C991" s="1">
        <v>44315</v>
      </c>
      <c r="D991" s="1">
        <v>44316</v>
      </c>
      <c r="E991">
        <v>1</v>
      </c>
      <c r="F991" t="s">
        <v>287</v>
      </c>
      <c r="G991" t="str">
        <f>"01-K16-06"</f>
        <v>01-K16-06</v>
      </c>
      <c r="H991">
        <v>0.26469999999999999</v>
      </c>
      <c r="I991" t="s">
        <v>913</v>
      </c>
      <c r="J991" t="s">
        <v>14</v>
      </c>
      <c r="K991" t="str">
        <f t="shared" si="47"/>
        <v>3F1</v>
      </c>
      <c r="L991" t="s">
        <v>15</v>
      </c>
    </row>
    <row r="992" spans="1:12" x14ac:dyDescent="0.25">
      <c r="A992" t="str">
        <f>"1506170292"</f>
        <v>1506170292</v>
      </c>
      <c r="B992" t="str">
        <f t="shared" si="46"/>
        <v>89301000</v>
      </c>
      <c r="C992" s="1">
        <v>44359</v>
      </c>
      <c r="D992" s="1">
        <v>44361</v>
      </c>
      <c r="E992">
        <v>1</v>
      </c>
      <c r="F992" t="s">
        <v>841</v>
      </c>
      <c r="G992" t="str">
        <f>"04-K03-03"</f>
        <v>04-K03-03</v>
      </c>
      <c r="H992">
        <v>0.53180000000000005</v>
      </c>
      <c r="I992" t="s">
        <v>168</v>
      </c>
      <c r="J992" t="s">
        <v>14</v>
      </c>
      <c r="K992" t="str">
        <f t="shared" si="47"/>
        <v>3F1</v>
      </c>
      <c r="L992" t="s">
        <v>15</v>
      </c>
    </row>
    <row r="993" spans="1:12" x14ac:dyDescent="0.25">
      <c r="A993" t="str">
        <f>"1506211399"</f>
        <v>1506211399</v>
      </c>
      <c r="B993" t="str">
        <f t="shared" si="46"/>
        <v>89301000</v>
      </c>
      <c r="C993" s="1">
        <v>44354</v>
      </c>
      <c r="D993" s="1">
        <v>44355</v>
      </c>
      <c r="E993">
        <v>1</v>
      </c>
      <c r="F993" t="s">
        <v>380</v>
      </c>
      <c r="G993" t="str">
        <f>"08-I20-03"</f>
        <v>08-I20-03</v>
      </c>
      <c r="H993">
        <v>0.63300000000000001</v>
      </c>
      <c r="I993" t="s">
        <v>606</v>
      </c>
      <c r="J993" t="s">
        <v>17</v>
      </c>
      <c r="K993" t="str">
        <f t="shared" si="47"/>
        <v>3F1</v>
      </c>
      <c r="L993" t="s">
        <v>15</v>
      </c>
    </row>
    <row r="994" spans="1:12" x14ac:dyDescent="0.25">
      <c r="A994" t="str">
        <f>"1506211399"</f>
        <v>1506211399</v>
      </c>
      <c r="B994" t="str">
        <f t="shared" si="46"/>
        <v>89301000</v>
      </c>
      <c r="C994" s="1">
        <v>44529</v>
      </c>
      <c r="D994" s="1">
        <v>44530</v>
      </c>
      <c r="E994">
        <v>1</v>
      </c>
      <c r="F994" t="s">
        <v>173</v>
      </c>
      <c r="G994" t="str">
        <f>"08-I32-02"</f>
        <v>08-I32-02</v>
      </c>
      <c r="H994">
        <v>0.4143</v>
      </c>
      <c r="J994" t="s">
        <v>14</v>
      </c>
      <c r="K994" t="str">
        <f t="shared" si="47"/>
        <v>3F1</v>
      </c>
      <c r="L994" t="s">
        <v>15</v>
      </c>
    </row>
    <row r="995" spans="1:12" x14ac:dyDescent="0.25">
      <c r="A995" t="str">
        <f>"1506300411"</f>
        <v>1506300411</v>
      </c>
      <c r="B995" t="str">
        <f t="shared" si="46"/>
        <v>89301000</v>
      </c>
      <c r="C995" s="1">
        <v>44489</v>
      </c>
      <c r="D995" s="1">
        <v>44491</v>
      </c>
      <c r="E995">
        <v>1</v>
      </c>
      <c r="F995" t="s">
        <v>563</v>
      </c>
      <c r="G995" t="str">
        <f>"06-K22-03"</f>
        <v>06-K22-03</v>
      </c>
      <c r="H995">
        <v>0.3165</v>
      </c>
      <c r="J995" t="s">
        <v>14</v>
      </c>
      <c r="K995" t="str">
        <f t="shared" si="47"/>
        <v>3F1</v>
      </c>
      <c r="L995" t="s">
        <v>15</v>
      </c>
    </row>
    <row r="996" spans="1:12" x14ac:dyDescent="0.25">
      <c r="A996" t="str">
        <f>"1507060225"</f>
        <v>1507060225</v>
      </c>
      <c r="B996" t="str">
        <f t="shared" si="46"/>
        <v>89301000</v>
      </c>
      <c r="C996" s="1">
        <v>44380</v>
      </c>
      <c r="D996" s="1">
        <v>44381</v>
      </c>
      <c r="E996">
        <v>1</v>
      </c>
      <c r="F996" t="s">
        <v>445</v>
      </c>
      <c r="G996" t="str">
        <f>"08-I20-03"</f>
        <v>08-I20-03</v>
      </c>
      <c r="H996">
        <v>0.63300000000000001</v>
      </c>
      <c r="I996" t="s">
        <v>914</v>
      </c>
      <c r="J996" t="s">
        <v>17</v>
      </c>
      <c r="K996" t="str">
        <f t="shared" si="47"/>
        <v>3F1</v>
      </c>
      <c r="L996" t="s">
        <v>15</v>
      </c>
    </row>
    <row r="997" spans="1:12" x14ac:dyDescent="0.25">
      <c r="A997" t="str">
        <f>"1507060225"</f>
        <v>1507060225</v>
      </c>
      <c r="B997" t="str">
        <f t="shared" si="46"/>
        <v>89301000</v>
      </c>
      <c r="C997" s="1">
        <v>44393</v>
      </c>
      <c r="D997" s="1">
        <v>44394</v>
      </c>
      <c r="E997">
        <v>1</v>
      </c>
      <c r="F997" t="s">
        <v>445</v>
      </c>
      <c r="G997" t="str">
        <f>"08-I20-03"</f>
        <v>08-I20-03</v>
      </c>
      <c r="H997">
        <v>0.63300000000000001</v>
      </c>
      <c r="I997" t="s">
        <v>915</v>
      </c>
      <c r="J997" t="s">
        <v>17</v>
      </c>
      <c r="K997" t="str">
        <f t="shared" si="47"/>
        <v>3F1</v>
      </c>
      <c r="L997" t="s">
        <v>15</v>
      </c>
    </row>
    <row r="998" spans="1:12" x14ac:dyDescent="0.25">
      <c r="A998" t="str">
        <f>"1507100474"</f>
        <v>1507100474</v>
      </c>
      <c r="B998" t="str">
        <f t="shared" si="46"/>
        <v>89301000</v>
      </c>
      <c r="C998" s="1">
        <v>44448</v>
      </c>
      <c r="D998" s="1">
        <v>44450</v>
      </c>
      <c r="E998">
        <v>1</v>
      </c>
      <c r="F998" t="s">
        <v>396</v>
      </c>
      <c r="G998" t="str">
        <f>"08-I20-03"</f>
        <v>08-I20-03</v>
      </c>
      <c r="H998">
        <v>0.63300000000000001</v>
      </c>
      <c r="I998" t="s">
        <v>196</v>
      </c>
      <c r="J998" t="s">
        <v>17</v>
      </c>
      <c r="K998" t="str">
        <f t="shared" si="47"/>
        <v>3F1</v>
      </c>
      <c r="L998" t="s">
        <v>15</v>
      </c>
    </row>
    <row r="999" spans="1:12" x14ac:dyDescent="0.25">
      <c r="A999" t="str">
        <f>"1507160270"</f>
        <v>1507160270</v>
      </c>
      <c r="B999" t="str">
        <f t="shared" si="46"/>
        <v>89301000</v>
      </c>
      <c r="C999" s="1">
        <v>44476</v>
      </c>
      <c r="D999" s="1">
        <v>44477</v>
      </c>
      <c r="E999">
        <v>1</v>
      </c>
      <c r="F999" t="s">
        <v>571</v>
      </c>
      <c r="G999" t="str">
        <f>"08-I20-02"</f>
        <v>08-I20-02</v>
      </c>
      <c r="H999">
        <v>0.94159999999999999</v>
      </c>
      <c r="I999" t="s">
        <v>233</v>
      </c>
      <c r="J999" t="s">
        <v>17</v>
      </c>
      <c r="K999" t="str">
        <f t="shared" si="47"/>
        <v>3F1</v>
      </c>
      <c r="L999" t="s">
        <v>15</v>
      </c>
    </row>
    <row r="1000" spans="1:12" x14ac:dyDescent="0.25">
      <c r="A1000" t="str">
        <f>"1507160270"</f>
        <v>1507160270</v>
      </c>
      <c r="B1000" t="str">
        <f t="shared" si="46"/>
        <v>89301000</v>
      </c>
      <c r="C1000" s="1">
        <v>44467</v>
      </c>
      <c r="D1000" s="1">
        <v>44468</v>
      </c>
      <c r="E1000">
        <v>1</v>
      </c>
      <c r="F1000" t="s">
        <v>617</v>
      </c>
      <c r="G1000" t="str">
        <f>"06-K02-04"</f>
        <v>06-K02-04</v>
      </c>
      <c r="H1000">
        <v>0.3634</v>
      </c>
      <c r="I1000" t="s">
        <v>168</v>
      </c>
      <c r="J1000" t="s">
        <v>14</v>
      </c>
      <c r="K1000" t="str">
        <f t="shared" si="47"/>
        <v>3F1</v>
      </c>
      <c r="L1000" t="s">
        <v>15</v>
      </c>
    </row>
    <row r="1001" spans="1:12" x14ac:dyDescent="0.25">
      <c r="A1001" t="str">
        <f>"1507291786"</f>
        <v>1507291786</v>
      </c>
      <c r="B1001" t="str">
        <f t="shared" si="46"/>
        <v>89301000</v>
      </c>
      <c r="C1001" s="1">
        <v>44245</v>
      </c>
      <c r="D1001" s="1">
        <v>44251</v>
      </c>
      <c r="E1001">
        <v>1</v>
      </c>
      <c r="F1001" t="s">
        <v>46</v>
      </c>
      <c r="G1001" t="str">
        <f>"06-K02-03"</f>
        <v>06-K02-03</v>
      </c>
      <c r="H1001">
        <v>0.47960000000000003</v>
      </c>
      <c r="I1001" t="s">
        <v>354</v>
      </c>
      <c r="J1001" t="s">
        <v>14</v>
      </c>
      <c r="K1001" t="str">
        <f t="shared" si="47"/>
        <v>3F1</v>
      </c>
      <c r="L1001" t="s">
        <v>15</v>
      </c>
    </row>
    <row r="1002" spans="1:12" x14ac:dyDescent="0.25">
      <c r="A1002" t="str">
        <f>"1508010141"</f>
        <v>1508010141</v>
      </c>
      <c r="B1002" t="str">
        <f t="shared" si="46"/>
        <v>89301000</v>
      </c>
      <c r="C1002" s="1">
        <v>44238</v>
      </c>
      <c r="D1002" s="1">
        <v>44239</v>
      </c>
      <c r="E1002">
        <v>1</v>
      </c>
      <c r="F1002" t="s">
        <v>814</v>
      </c>
      <c r="G1002" t="str">
        <f>"09-K13-02"</f>
        <v>09-K13-02</v>
      </c>
      <c r="H1002">
        <v>0.3014</v>
      </c>
      <c r="I1002" t="s">
        <v>21</v>
      </c>
      <c r="J1002" t="s">
        <v>14</v>
      </c>
      <c r="K1002" t="str">
        <f t="shared" si="47"/>
        <v>3F1</v>
      </c>
      <c r="L1002" t="s">
        <v>15</v>
      </c>
    </row>
    <row r="1003" spans="1:12" x14ac:dyDescent="0.25">
      <c r="A1003" t="str">
        <f>"1508030546"</f>
        <v>1508030546</v>
      </c>
      <c r="B1003" t="str">
        <f t="shared" si="46"/>
        <v>89301000</v>
      </c>
      <c r="C1003" s="1">
        <v>44354</v>
      </c>
      <c r="D1003" s="1">
        <v>44361</v>
      </c>
      <c r="E1003">
        <v>1</v>
      </c>
      <c r="F1003" t="s">
        <v>726</v>
      </c>
      <c r="G1003" t="str">
        <f>"12-I07-02"</f>
        <v>12-I07-02</v>
      </c>
      <c r="H1003">
        <v>1.8573</v>
      </c>
      <c r="J1003" t="s">
        <v>17</v>
      </c>
      <c r="K1003" t="str">
        <f t="shared" si="47"/>
        <v>3F1</v>
      </c>
      <c r="L1003" t="s">
        <v>15</v>
      </c>
    </row>
    <row r="1004" spans="1:12" x14ac:dyDescent="0.25">
      <c r="A1004" t="str">
        <f>"1508141800"</f>
        <v>1508141800</v>
      </c>
      <c r="B1004" t="str">
        <f t="shared" si="46"/>
        <v>89301000</v>
      </c>
      <c r="C1004" s="1">
        <v>44244</v>
      </c>
      <c r="D1004" s="1">
        <v>44246</v>
      </c>
      <c r="E1004">
        <v>1</v>
      </c>
      <c r="F1004" t="s">
        <v>632</v>
      </c>
      <c r="G1004" t="str">
        <f>"06-I17-05"</f>
        <v>06-I17-05</v>
      </c>
      <c r="H1004">
        <v>0.39450000000000002</v>
      </c>
      <c r="I1004" t="s">
        <v>916</v>
      </c>
      <c r="J1004" t="s">
        <v>17</v>
      </c>
      <c r="K1004" t="str">
        <f t="shared" si="47"/>
        <v>3F1</v>
      </c>
      <c r="L1004" t="s">
        <v>15</v>
      </c>
    </row>
    <row r="1005" spans="1:12" x14ac:dyDescent="0.25">
      <c r="A1005" t="str">
        <f>"1508170312"</f>
        <v>1508170312</v>
      </c>
      <c r="B1005" t="str">
        <f t="shared" si="46"/>
        <v>89301000</v>
      </c>
      <c r="C1005" s="1">
        <v>44384</v>
      </c>
      <c r="D1005" s="1">
        <v>44387</v>
      </c>
      <c r="E1005">
        <v>1</v>
      </c>
      <c r="F1005" t="s">
        <v>398</v>
      </c>
      <c r="G1005" t="str">
        <f>"06-I16-02"</f>
        <v>06-I16-02</v>
      </c>
      <c r="H1005">
        <v>1.1053999999999999</v>
      </c>
      <c r="I1005" t="s">
        <v>917</v>
      </c>
      <c r="J1005" t="s">
        <v>24</v>
      </c>
      <c r="K1005" t="str">
        <f t="shared" ref="K1005:K1026" si="48">"3F1"</f>
        <v>3F1</v>
      </c>
      <c r="L1005" t="s">
        <v>15</v>
      </c>
    </row>
    <row r="1006" spans="1:12" x14ac:dyDescent="0.25">
      <c r="A1006" t="str">
        <f>"1508180212"</f>
        <v>1508180212</v>
      </c>
      <c r="B1006" t="str">
        <f t="shared" si="46"/>
        <v>89301000</v>
      </c>
      <c r="C1006" s="1">
        <v>44311</v>
      </c>
      <c r="D1006" s="1">
        <v>44313</v>
      </c>
      <c r="E1006">
        <v>1</v>
      </c>
      <c r="F1006" t="s">
        <v>326</v>
      </c>
      <c r="G1006" t="str">
        <f>"02-I11-01"</f>
        <v>02-I11-01</v>
      </c>
      <c r="H1006">
        <v>0.87619999999999998</v>
      </c>
      <c r="I1006" t="s">
        <v>918</v>
      </c>
      <c r="J1006" t="s">
        <v>17</v>
      </c>
      <c r="K1006" t="str">
        <f t="shared" si="48"/>
        <v>3F1</v>
      </c>
      <c r="L1006" t="s">
        <v>15</v>
      </c>
    </row>
    <row r="1007" spans="1:12" x14ac:dyDescent="0.25">
      <c r="A1007" t="str">
        <f>"1508200199"</f>
        <v>1508200199</v>
      </c>
      <c r="B1007" t="str">
        <f t="shared" si="46"/>
        <v>89301000</v>
      </c>
      <c r="C1007" s="1">
        <v>44344</v>
      </c>
      <c r="D1007" s="1">
        <v>44346</v>
      </c>
      <c r="E1007">
        <v>1</v>
      </c>
      <c r="F1007" t="s">
        <v>396</v>
      </c>
      <c r="G1007" t="str">
        <f>"08-I20-03"</f>
        <v>08-I20-03</v>
      </c>
      <c r="H1007">
        <v>0.63300000000000001</v>
      </c>
      <c r="I1007" t="s">
        <v>640</v>
      </c>
      <c r="J1007" t="s">
        <v>17</v>
      </c>
      <c r="K1007" t="str">
        <f t="shared" si="48"/>
        <v>3F1</v>
      </c>
      <c r="L1007" t="s">
        <v>15</v>
      </c>
    </row>
    <row r="1008" spans="1:12" x14ac:dyDescent="0.25">
      <c r="A1008" t="str">
        <f>"1510050311"</f>
        <v>1510050311</v>
      </c>
      <c r="B1008" t="str">
        <f t="shared" si="46"/>
        <v>89301000</v>
      </c>
      <c r="C1008" s="1">
        <v>44413</v>
      </c>
      <c r="D1008" s="1">
        <v>44414</v>
      </c>
      <c r="E1008">
        <v>1</v>
      </c>
      <c r="F1008" t="s">
        <v>760</v>
      </c>
      <c r="G1008" t="str">
        <f>"09-I13-04"</f>
        <v>09-I13-04</v>
      </c>
      <c r="H1008">
        <v>0.57730000000000004</v>
      </c>
      <c r="I1008" t="s">
        <v>919</v>
      </c>
      <c r="J1008" t="s">
        <v>14</v>
      </c>
      <c r="K1008" t="str">
        <f t="shared" si="48"/>
        <v>3F1</v>
      </c>
      <c r="L1008" t="s">
        <v>15</v>
      </c>
    </row>
    <row r="1009" spans="1:12" x14ac:dyDescent="0.25">
      <c r="A1009" t="str">
        <f>"1510240248"</f>
        <v>1510240248</v>
      </c>
      <c r="B1009" t="str">
        <f t="shared" si="46"/>
        <v>89301000</v>
      </c>
      <c r="C1009" s="1">
        <v>44489</v>
      </c>
      <c r="D1009" s="1">
        <v>44494</v>
      </c>
      <c r="E1009">
        <v>1</v>
      </c>
      <c r="F1009" t="s">
        <v>920</v>
      </c>
      <c r="G1009" t="str">
        <f>"01-I06-03"</f>
        <v>01-I06-03</v>
      </c>
      <c r="H1009">
        <v>3.5348999999999999</v>
      </c>
      <c r="J1009" t="s">
        <v>17</v>
      </c>
      <c r="K1009" t="str">
        <f t="shared" si="48"/>
        <v>3F1</v>
      </c>
      <c r="L1009" t="s">
        <v>15</v>
      </c>
    </row>
    <row r="1010" spans="1:12" x14ac:dyDescent="0.25">
      <c r="A1010" t="str">
        <f>"1511020203"</f>
        <v>1511020203</v>
      </c>
      <c r="B1010" t="str">
        <f t="shared" si="46"/>
        <v>89301000</v>
      </c>
      <c r="C1010" s="1">
        <v>44553</v>
      </c>
      <c r="D1010" s="1">
        <v>44558</v>
      </c>
      <c r="E1010">
        <v>1</v>
      </c>
      <c r="F1010" t="s">
        <v>921</v>
      </c>
      <c r="G1010" t="str">
        <f>"04-K03-03"</f>
        <v>04-K03-03</v>
      </c>
      <c r="H1010">
        <v>0.53180000000000005</v>
      </c>
      <c r="I1010" t="s">
        <v>922</v>
      </c>
      <c r="J1010" t="s">
        <v>14</v>
      </c>
      <c r="K1010" t="str">
        <f t="shared" si="48"/>
        <v>3F1</v>
      </c>
      <c r="L1010" t="s">
        <v>15</v>
      </c>
    </row>
    <row r="1011" spans="1:12" x14ac:dyDescent="0.25">
      <c r="A1011" t="str">
        <f>"1511170012"</f>
        <v>1511170012</v>
      </c>
      <c r="B1011" t="str">
        <f t="shared" si="46"/>
        <v>89301000</v>
      </c>
      <c r="C1011" s="1">
        <v>44356</v>
      </c>
      <c r="D1011" s="1">
        <v>44357</v>
      </c>
      <c r="E1011">
        <v>1</v>
      </c>
      <c r="F1011" t="s">
        <v>923</v>
      </c>
      <c r="G1011" t="str">
        <f>"06-K22-03"</f>
        <v>06-K22-03</v>
      </c>
      <c r="H1011">
        <v>0.3165</v>
      </c>
      <c r="I1011" t="s">
        <v>168</v>
      </c>
      <c r="J1011" t="s">
        <v>14</v>
      </c>
      <c r="K1011" t="str">
        <f t="shared" si="48"/>
        <v>3F1</v>
      </c>
      <c r="L1011" t="s">
        <v>15</v>
      </c>
    </row>
    <row r="1012" spans="1:12" x14ac:dyDescent="0.25">
      <c r="A1012" t="str">
        <f>"1512100975"</f>
        <v>1512100975</v>
      </c>
      <c r="B1012" t="str">
        <f t="shared" si="46"/>
        <v>89301000</v>
      </c>
      <c r="C1012" s="1">
        <v>44507</v>
      </c>
      <c r="D1012" s="1">
        <v>44509</v>
      </c>
      <c r="E1012">
        <v>1</v>
      </c>
      <c r="F1012" t="s">
        <v>234</v>
      </c>
      <c r="G1012" t="str">
        <f>"03-I21-00"</f>
        <v>03-I21-00</v>
      </c>
      <c r="H1012">
        <v>0.38500000000000001</v>
      </c>
      <c r="J1012" t="s">
        <v>14</v>
      </c>
      <c r="K1012" t="str">
        <f t="shared" si="48"/>
        <v>3F1</v>
      </c>
      <c r="L1012" t="s">
        <v>15</v>
      </c>
    </row>
    <row r="1013" spans="1:12" x14ac:dyDescent="0.25">
      <c r="A1013" t="str">
        <f>"1512150244"</f>
        <v>1512150244</v>
      </c>
      <c r="B1013" t="str">
        <f t="shared" si="46"/>
        <v>89301000</v>
      </c>
      <c r="C1013" s="1">
        <v>44517</v>
      </c>
      <c r="D1013" s="1">
        <v>44519</v>
      </c>
      <c r="E1013">
        <v>1</v>
      </c>
      <c r="F1013" t="s">
        <v>924</v>
      </c>
      <c r="G1013" t="str">
        <f>"06-K02-04"</f>
        <v>06-K02-04</v>
      </c>
      <c r="H1013">
        <v>0.3634</v>
      </c>
      <c r="I1013" t="s">
        <v>168</v>
      </c>
      <c r="J1013" t="s">
        <v>14</v>
      </c>
      <c r="K1013" t="str">
        <f t="shared" si="48"/>
        <v>3F1</v>
      </c>
      <c r="L1013" t="s">
        <v>15</v>
      </c>
    </row>
    <row r="1014" spans="1:12" x14ac:dyDescent="0.25">
      <c r="A1014" t="str">
        <f>"1551060225"</f>
        <v>1551060225</v>
      </c>
      <c r="B1014" t="str">
        <f t="shared" si="46"/>
        <v>89301000</v>
      </c>
      <c r="C1014" s="1">
        <v>44419</v>
      </c>
      <c r="D1014" s="1">
        <v>44420</v>
      </c>
      <c r="E1014">
        <v>1</v>
      </c>
      <c r="F1014" t="s">
        <v>396</v>
      </c>
      <c r="G1014" t="str">
        <f>"08-K14-03"</f>
        <v>08-K14-03</v>
      </c>
      <c r="H1014">
        <v>0.26169999999999999</v>
      </c>
      <c r="I1014" t="s">
        <v>925</v>
      </c>
      <c r="J1014" t="s">
        <v>14</v>
      </c>
      <c r="K1014" t="str">
        <f t="shared" si="48"/>
        <v>3F1</v>
      </c>
      <c r="L1014" t="s">
        <v>15</v>
      </c>
    </row>
    <row r="1015" spans="1:12" x14ac:dyDescent="0.25">
      <c r="A1015" t="str">
        <f>"1551280225"</f>
        <v>1551280225</v>
      </c>
      <c r="B1015" t="str">
        <f t="shared" si="46"/>
        <v>89301000</v>
      </c>
      <c r="C1015" s="1">
        <v>44517</v>
      </c>
      <c r="D1015" s="1">
        <v>44519</v>
      </c>
      <c r="E1015">
        <v>1</v>
      </c>
      <c r="F1015" t="s">
        <v>655</v>
      </c>
      <c r="G1015" t="str">
        <f>"02-K11-02"</f>
        <v>02-K11-02</v>
      </c>
      <c r="H1015">
        <v>0.52180000000000004</v>
      </c>
      <c r="J1015" t="s">
        <v>14</v>
      </c>
      <c r="K1015" t="str">
        <f t="shared" si="48"/>
        <v>3F1</v>
      </c>
      <c r="L1015" t="s">
        <v>15</v>
      </c>
    </row>
    <row r="1016" spans="1:12" x14ac:dyDescent="0.25">
      <c r="A1016" t="str">
        <f>"1552020382"</f>
        <v>1552020382</v>
      </c>
      <c r="B1016" t="str">
        <f t="shared" si="46"/>
        <v>89301000</v>
      </c>
      <c r="C1016" s="1">
        <v>44470</v>
      </c>
      <c r="D1016" s="1">
        <v>44474</v>
      </c>
      <c r="E1016">
        <v>1</v>
      </c>
      <c r="F1016" t="s">
        <v>653</v>
      </c>
      <c r="G1016" t="str">
        <f>"13-I14-03"</f>
        <v>13-I14-03</v>
      </c>
      <c r="H1016">
        <v>0.83199999999999996</v>
      </c>
      <c r="I1016" t="s">
        <v>266</v>
      </c>
      <c r="J1016" t="s">
        <v>24</v>
      </c>
      <c r="K1016" t="str">
        <f t="shared" si="48"/>
        <v>3F1</v>
      </c>
      <c r="L1016" t="s">
        <v>15</v>
      </c>
    </row>
    <row r="1017" spans="1:12" x14ac:dyDescent="0.25">
      <c r="A1017" t="str">
        <f>"1552100011"</f>
        <v>1552100011</v>
      </c>
      <c r="B1017" t="str">
        <f t="shared" si="46"/>
        <v>89301000</v>
      </c>
      <c r="C1017" s="1">
        <v>44319</v>
      </c>
      <c r="D1017" s="1">
        <v>44320</v>
      </c>
      <c r="E1017">
        <v>1</v>
      </c>
      <c r="F1017" t="s">
        <v>724</v>
      </c>
      <c r="G1017" t="str">
        <f>"06-K10-03"</f>
        <v>06-K10-03</v>
      </c>
      <c r="H1017">
        <v>0.43880000000000002</v>
      </c>
      <c r="I1017" t="s">
        <v>168</v>
      </c>
      <c r="J1017" t="s">
        <v>14</v>
      </c>
      <c r="K1017" t="str">
        <f t="shared" si="48"/>
        <v>3F1</v>
      </c>
      <c r="L1017" t="s">
        <v>15</v>
      </c>
    </row>
    <row r="1018" spans="1:12" x14ac:dyDescent="0.25">
      <c r="A1018" t="str">
        <f>"1554190044"</f>
        <v>1554190044</v>
      </c>
      <c r="B1018" t="str">
        <f t="shared" ref="B1018:B1081" si="49">"89301000"</f>
        <v>89301000</v>
      </c>
      <c r="C1018" s="1">
        <v>44258</v>
      </c>
      <c r="D1018" s="1">
        <v>44260</v>
      </c>
      <c r="E1018">
        <v>1</v>
      </c>
      <c r="F1018" t="s">
        <v>632</v>
      </c>
      <c r="G1018" t="str">
        <f>"06-I17-05"</f>
        <v>06-I17-05</v>
      </c>
      <c r="H1018">
        <v>0.39450000000000002</v>
      </c>
      <c r="J1018" t="s">
        <v>17</v>
      </c>
      <c r="K1018" t="str">
        <f t="shared" si="48"/>
        <v>3F1</v>
      </c>
      <c r="L1018" t="s">
        <v>15</v>
      </c>
    </row>
    <row r="1019" spans="1:12" x14ac:dyDescent="0.25">
      <c r="A1019" t="str">
        <f>"1554300264"</f>
        <v>1554300264</v>
      </c>
      <c r="B1019" t="str">
        <f t="shared" si="49"/>
        <v>89301000</v>
      </c>
      <c r="C1019" s="1">
        <v>44340</v>
      </c>
      <c r="D1019" s="1">
        <v>44342</v>
      </c>
      <c r="E1019">
        <v>1</v>
      </c>
      <c r="F1019" t="s">
        <v>632</v>
      </c>
      <c r="G1019" t="str">
        <f>"06-I17-05"</f>
        <v>06-I17-05</v>
      </c>
      <c r="H1019">
        <v>0.39450000000000002</v>
      </c>
      <c r="J1019" t="s">
        <v>17</v>
      </c>
      <c r="K1019" t="str">
        <f t="shared" si="48"/>
        <v>3F1</v>
      </c>
      <c r="L1019" t="s">
        <v>15</v>
      </c>
    </row>
    <row r="1020" spans="1:12" x14ac:dyDescent="0.25">
      <c r="A1020" t="str">
        <f>"1555260036"</f>
        <v>1555260036</v>
      </c>
      <c r="B1020" t="str">
        <f t="shared" si="49"/>
        <v>89301000</v>
      </c>
      <c r="C1020" s="1">
        <v>44368</v>
      </c>
      <c r="D1020" s="1">
        <v>44375</v>
      </c>
      <c r="E1020">
        <v>1</v>
      </c>
      <c r="F1020" t="s">
        <v>562</v>
      </c>
      <c r="G1020" t="str">
        <f>"01-K03-05"</f>
        <v>01-K03-05</v>
      </c>
      <c r="H1020">
        <v>1.9289000000000001</v>
      </c>
      <c r="I1020" t="s">
        <v>926</v>
      </c>
      <c r="J1020" t="s">
        <v>14</v>
      </c>
      <c r="K1020" t="str">
        <f t="shared" si="48"/>
        <v>3F1</v>
      </c>
      <c r="L1020" t="s">
        <v>15</v>
      </c>
    </row>
    <row r="1021" spans="1:12" x14ac:dyDescent="0.25">
      <c r="A1021" t="str">
        <f>"1556011127"</f>
        <v>1556011127</v>
      </c>
      <c r="B1021" t="str">
        <f t="shared" si="49"/>
        <v>89301000</v>
      </c>
      <c r="C1021" s="1">
        <v>44384</v>
      </c>
      <c r="D1021" s="1">
        <v>44386</v>
      </c>
      <c r="E1021">
        <v>1</v>
      </c>
      <c r="F1021" t="s">
        <v>632</v>
      </c>
      <c r="G1021" t="str">
        <f>"06-I17-05"</f>
        <v>06-I17-05</v>
      </c>
      <c r="H1021">
        <v>0.39450000000000002</v>
      </c>
      <c r="J1021" t="s">
        <v>17</v>
      </c>
      <c r="K1021" t="str">
        <f t="shared" si="48"/>
        <v>3F1</v>
      </c>
      <c r="L1021" t="s">
        <v>15</v>
      </c>
    </row>
    <row r="1022" spans="1:12" x14ac:dyDescent="0.25">
      <c r="A1022" t="str">
        <f>"1556230181"</f>
        <v>1556230181</v>
      </c>
      <c r="B1022" t="str">
        <f t="shared" si="49"/>
        <v>89301000</v>
      </c>
      <c r="C1022" s="1">
        <v>44343</v>
      </c>
      <c r="D1022" s="1">
        <v>44344</v>
      </c>
      <c r="E1022">
        <v>1</v>
      </c>
      <c r="F1022" t="s">
        <v>605</v>
      </c>
      <c r="G1022" t="str">
        <f>"09-K12-00"</f>
        <v>09-K12-00</v>
      </c>
      <c r="H1022">
        <v>0.24349999999999999</v>
      </c>
      <c r="I1022" t="s">
        <v>606</v>
      </c>
      <c r="J1022" t="s">
        <v>14</v>
      </c>
      <c r="K1022" t="str">
        <f t="shared" si="48"/>
        <v>3F1</v>
      </c>
      <c r="L1022" t="s">
        <v>15</v>
      </c>
    </row>
    <row r="1023" spans="1:12" x14ac:dyDescent="0.25">
      <c r="A1023" t="str">
        <f>"1557040298"</f>
        <v>1557040298</v>
      </c>
      <c r="B1023" t="str">
        <f t="shared" si="49"/>
        <v>89301000</v>
      </c>
      <c r="C1023" s="1">
        <v>44197</v>
      </c>
      <c r="D1023" s="1">
        <v>44207</v>
      </c>
      <c r="E1023">
        <v>1</v>
      </c>
      <c r="F1023" t="s">
        <v>304</v>
      </c>
      <c r="G1023" t="str">
        <f>"10-K03-02"</f>
        <v>10-K03-02</v>
      </c>
      <c r="H1023">
        <v>1.3724000000000001</v>
      </c>
      <c r="I1023" t="s">
        <v>927</v>
      </c>
      <c r="J1023" t="s">
        <v>14</v>
      </c>
      <c r="K1023" t="str">
        <f t="shared" si="48"/>
        <v>3F1</v>
      </c>
      <c r="L1023" t="s">
        <v>15</v>
      </c>
    </row>
    <row r="1024" spans="1:12" x14ac:dyDescent="0.25">
      <c r="A1024" t="str">
        <f>"1557041310"</f>
        <v>1557041310</v>
      </c>
      <c r="B1024" t="str">
        <f t="shared" si="49"/>
        <v>89301000</v>
      </c>
      <c r="C1024" s="1">
        <v>44370</v>
      </c>
      <c r="D1024" s="1">
        <v>44384</v>
      </c>
      <c r="E1024">
        <v>1</v>
      </c>
      <c r="F1024" t="s">
        <v>731</v>
      </c>
      <c r="G1024" t="str">
        <f>"06-K02-03"</f>
        <v>06-K02-03</v>
      </c>
      <c r="H1024">
        <v>0.88039999999999996</v>
      </c>
      <c r="I1024" t="s">
        <v>928</v>
      </c>
      <c r="J1024" t="s">
        <v>14</v>
      </c>
      <c r="K1024" t="str">
        <f t="shared" si="48"/>
        <v>3F1</v>
      </c>
      <c r="L1024" t="s">
        <v>15</v>
      </c>
    </row>
    <row r="1025" spans="1:12" x14ac:dyDescent="0.25">
      <c r="A1025" t="str">
        <f>"1557251201"</f>
        <v>1557251201</v>
      </c>
      <c r="B1025" t="str">
        <f t="shared" si="49"/>
        <v>89301000</v>
      </c>
      <c r="C1025" s="1">
        <v>44311</v>
      </c>
      <c r="D1025" s="1">
        <v>44313</v>
      </c>
      <c r="E1025">
        <v>1</v>
      </c>
      <c r="F1025" t="s">
        <v>449</v>
      </c>
      <c r="G1025" t="str">
        <f>"02-I11-01"</f>
        <v>02-I11-01</v>
      </c>
      <c r="H1025">
        <v>0.87619999999999998</v>
      </c>
      <c r="J1025" t="s">
        <v>17</v>
      </c>
      <c r="K1025" t="str">
        <f t="shared" si="48"/>
        <v>3F1</v>
      </c>
      <c r="L1025" t="s">
        <v>15</v>
      </c>
    </row>
    <row r="1026" spans="1:12" x14ac:dyDescent="0.25">
      <c r="A1026" t="str">
        <f>"1558241135"</f>
        <v>1558241135</v>
      </c>
      <c r="B1026" t="str">
        <f t="shared" si="49"/>
        <v>89301000</v>
      </c>
      <c r="C1026" s="1">
        <v>44448</v>
      </c>
      <c r="D1026" s="1">
        <v>44450</v>
      </c>
      <c r="E1026">
        <v>1</v>
      </c>
      <c r="F1026" t="s">
        <v>753</v>
      </c>
      <c r="G1026" t="str">
        <f>"03-K01-02"</f>
        <v>03-K01-02</v>
      </c>
      <c r="H1026">
        <v>0.37240000000000001</v>
      </c>
      <c r="I1026" t="s">
        <v>929</v>
      </c>
      <c r="J1026" t="s">
        <v>14</v>
      </c>
      <c r="K1026" t="str">
        <f t="shared" si="48"/>
        <v>3F1</v>
      </c>
      <c r="L1026" t="s">
        <v>15</v>
      </c>
    </row>
    <row r="1027" spans="1:12" x14ac:dyDescent="0.25">
      <c r="A1027" t="str">
        <f>"1559251947"</f>
        <v>1559251947</v>
      </c>
      <c r="B1027" t="str">
        <f t="shared" si="49"/>
        <v>89301000</v>
      </c>
      <c r="C1027" s="1">
        <v>44346</v>
      </c>
      <c r="D1027" s="1">
        <v>44347</v>
      </c>
      <c r="E1027">
        <v>6</v>
      </c>
      <c r="F1027" t="s">
        <v>819</v>
      </c>
      <c r="G1027" t="str">
        <f>"04-K13-01"</f>
        <v>04-K13-01</v>
      </c>
      <c r="H1027">
        <v>0.64270000000000005</v>
      </c>
      <c r="I1027" t="s">
        <v>930</v>
      </c>
      <c r="J1027" t="s">
        <v>14</v>
      </c>
      <c r="K1027" t="str">
        <f>"3T1"</f>
        <v>3T1</v>
      </c>
      <c r="L1027" t="s">
        <v>15</v>
      </c>
    </row>
    <row r="1028" spans="1:12" x14ac:dyDescent="0.25">
      <c r="A1028" t="str">
        <f>"1559300303"</f>
        <v>1559300303</v>
      </c>
      <c r="B1028" t="str">
        <f t="shared" si="49"/>
        <v>89301000</v>
      </c>
      <c r="C1028" s="1">
        <v>44467</v>
      </c>
      <c r="D1028" s="1">
        <v>44469</v>
      </c>
      <c r="E1028">
        <v>1</v>
      </c>
      <c r="F1028" t="s">
        <v>931</v>
      </c>
      <c r="G1028" t="str">
        <f>"09-I13-04"</f>
        <v>09-I13-04</v>
      </c>
      <c r="H1028">
        <v>0.57730000000000004</v>
      </c>
      <c r="J1028" t="s">
        <v>14</v>
      </c>
      <c r="K1028" t="str">
        <f t="shared" ref="K1028:K1059" si="50">"3F1"</f>
        <v>3F1</v>
      </c>
      <c r="L1028" t="s">
        <v>15</v>
      </c>
    </row>
    <row r="1029" spans="1:12" x14ac:dyDescent="0.25">
      <c r="A1029" t="str">
        <f>"1560100014"</f>
        <v>1560100014</v>
      </c>
      <c r="B1029" t="str">
        <f t="shared" si="49"/>
        <v>89301000</v>
      </c>
      <c r="C1029" s="1">
        <v>44335</v>
      </c>
      <c r="D1029" s="1">
        <v>44336</v>
      </c>
      <c r="E1029">
        <v>1</v>
      </c>
      <c r="F1029" t="s">
        <v>932</v>
      </c>
      <c r="G1029" t="str">
        <f>"23-K06-00"</f>
        <v>23-K06-00</v>
      </c>
      <c r="H1029">
        <v>0.61319999999999997</v>
      </c>
      <c r="I1029" t="s">
        <v>933</v>
      </c>
      <c r="J1029" t="s">
        <v>14</v>
      </c>
      <c r="K1029" t="str">
        <f t="shared" si="50"/>
        <v>3F1</v>
      </c>
      <c r="L1029" t="s">
        <v>15</v>
      </c>
    </row>
    <row r="1030" spans="1:12" x14ac:dyDescent="0.25">
      <c r="A1030" t="str">
        <f>"1560100014"</f>
        <v>1560100014</v>
      </c>
      <c r="B1030" t="str">
        <f t="shared" si="49"/>
        <v>89301000</v>
      </c>
      <c r="C1030" s="1">
        <v>44259</v>
      </c>
      <c r="D1030" s="1">
        <v>44260</v>
      </c>
      <c r="E1030">
        <v>1</v>
      </c>
      <c r="F1030" t="s">
        <v>933</v>
      </c>
      <c r="G1030" t="str">
        <f>"17-C03-02"</f>
        <v>17-C03-02</v>
      </c>
      <c r="H1030">
        <v>0.94469999999999998</v>
      </c>
      <c r="I1030" t="s">
        <v>541</v>
      </c>
      <c r="J1030" t="s">
        <v>14</v>
      </c>
      <c r="K1030" t="str">
        <f t="shared" si="50"/>
        <v>3F1</v>
      </c>
      <c r="L1030" t="s">
        <v>15</v>
      </c>
    </row>
    <row r="1031" spans="1:12" x14ac:dyDescent="0.25">
      <c r="A1031" t="str">
        <f>"1560100014"</f>
        <v>1560100014</v>
      </c>
      <c r="B1031" t="str">
        <f t="shared" si="49"/>
        <v>89301000</v>
      </c>
      <c r="C1031" s="1">
        <v>44200</v>
      </c>
      <c r="D1031" s="1">
        <v>44231</v>
      </c>
      <c r="E1031">
        <v>1</v>
      </c>
      <c r="F1031" t="s">
        <v>933</v>
      </c>
      <c r="G1031" t="str">
        <f>"17-C03-01"</f>
        <v>17-C03-01</v>
      </c>
      <c r="H1031">
        <v>6.1641000000000004</v>
      </c>
      <c r="I1031" t="s">
        <v>934</v>
      </c>
      <c r="J1031" t="s">
        <v>14</v>
      </c>
      <c r="K1031" t="str">
        <f t="shared" si="50"/>
        <v>3F1</v>
      </c>
      <c r="L1031" t="s">
        <v>15</v>
      </c>
    </row>
    <row r="1032" spans="1:12" x14ac:dyDescent="0.25">
      <c r="A1032" t="str">
        <f>"1560160448"</f>
        <v>1560160448</v>
      </c>
      <c r="B1032" t="str">
        <f t="shared" si="49"/>
        <v>89301000</v>
      </c>
      <c r="C1032" s="1">
        <v>44507</v>
      </c>
      <c r="D1032" s="1">
        <v>44511</v>
      </c>
      <c r="E1032">
        <v>1</v>
      </c>
      <c r="F1032" t="s">
        <v>134</v>
      </c>
      <c r="G1032" t="str">
        <f>"16-K01-01"</f>
        <v>16-K01-01</v>
      </c>
      <c r="H1032">
        <v>0.86160000000000003</v>
      </c>
      <c r="I1032" t="s">
        <v>935</v>
      </c>
      <c r="J1032" t="s">
        <v>14</v>
      </c>
      <c r="K1032" t="str">
        <f t="shared" si="50"/>
        <v>3F1</v>
      </c>
      <c r="L1032" t="s">
        <v>15</v>
      </c>
    </row>
    <row r="1033" spans="1:12" x14ac:dyDescent="0.25">
      <c r="A1033" t="str">
        <f>"1561140020"</f>
        <v>1561140020</v>
      </c>
      <c r="B1033" t="str">
        <f t="shared" si="49"/>
        <v>89301000</v>
      </c>
      <c r="C1033" s="1">
        <v>44506</v>
      </c>
      <c r="D1033" s="1">
        <v>44509</v>
      </c>
      <c r="E1033">
        <v>1</v>
      </c>
      <c r="F1033" t="s">
        <v>43</v>
      </c>
      <c r="G1033" t="str">
        <f>"06-I18-04"</f>
        <v>06-I18-04</v>
      </c>
      <c r="H1033">
        <v>1.1514</v>
      </c>
      <c r="J1033" t="s">
        <v>24</v>
      </c>
      <c r="K1033" t="str">
        <f t="shared" si="50"/>
        <v>3F1</v>
      </c>
      <c r="L1033" t="s">
        <v>15</v>
      </c>
    </row>
    <row r="1034" spans="1:12" x14ac:dyDescent="0.25">
      <c r="A1034" t="str">
        <f>"1561140042"</f>
        <v>1561140042</v>
      </c>
      <c r="B1034" t="str">
        <f t="shared" si="49"/>
        <v>89301000</v>
      </c>
      <c r="C1034" s="1">
        <v>44437</v>
      </c>
      <c r="D1034" s="1">
        <v>44438</v>
      </c>
      <c r="E1034">
        <v>1</v>
      </c>
      <c r="F1034" t="s">
        <v>292</v>
      </c>
      <c r="G1034" t="str">
        <f>"08-I20-03"</f>
        <v>08-I20-03</v>
      </c>
      <c r="H1034">
        <v>0.63300000000000001</v>
      </c>
      <c r="I1034" t="s">
        <v>395</v>
      </c>
      <c r="J1034" t="s">
        <v>17</v>
      </c>
      <c r="K1034" t="str">
        <f t="shared" si="50"/>
        <v>3F1</v>
      </c>
      <c r="L1034" t="s">
        <v>15</v>
      </c>
    </row>
    <row r="1035" spans="1:12" x14ac:dyDescent="0.25">
      <c r="A1035" t="str">
        <f>"1561140042"</f>
        <v>1561140042</v>
      </c>
      <c r="B1035" t="str">
        <f t="shared" si="49"/>
        <v>89301000</v>
      </c>
      <c r="C1035" s="1">
        <v>44503</v>
      </c>
      <c r="D1035" s="1">
        <v>44504</v>
      </c>
      <c r="E1035">
        <v>1</v>
      </c>
      <c r="F1035" t="s">
        <v>173</v>
      </c>
      <c r="G1035" t="str">
        <f>"08-I32-02"</f>
        <v>08-I32-02</v>
      </c>
      <c r="H1035">
        <v>0.4143</v>
      </c>
      <c r="J1035" t="s">
        <v>14</v>
      </c>
      <c r="K1035" t="str">
        <f t="shared" si="50"/>
        <v>3F1</v>
      </c>
      <c r="L1035" t="s">
        <v>15</v>
      </c>
    </row>
    <row r="1036" spans="1:12" x14ac:dyDescent="0.25">
      <c r="A1036" t="str">
        <f>"1562011429"</f>
        <v>1562011429</v>
      </c>
      <c r="B1036" t="str">
        <f t="shared" si="49"/>
        <v>89301000</v>
      </c>
      <c r="C1036" s="1">
        <v>44510</v>
      </c>
      <c r="D1036" s="1">
        <v>44511</v>
      </c>
      <c r="E1036">
        <v>1</v>
      </c>
      <c r="F1036" t="s">
        <v>632</v>
      </c>
      <c r="G1036" t="str">
        <f>"06-I17-05"</f>
        <v>06-I17-05</v>
      </c>
      <c r="H1036">
        <v>0.39450000000000002</v>
      </c>
      <c r="I1036" t="s">
        <v>168</v>
      </c>
      <c r="J1036" t="s">
        <v>17</v>
      </c>
      <c r="K1036" t="str">
        <f t="shared" si="50"/>
        <v>3F1</v>
      </c>
      <c r="L1036" t="s">
        <v>15</v>
      </c>
    </row>
    <row r="1037" spans="1:12" x14ac:dyDescent="0.25">
      <c r="A1037" t="str">
        <f>"1562020042"</f>
        <v>1562020042</v>
      </c>
      <c r="B1037" t="str">
        <f t="shared" si="49"/>
        <v>89301000</v>
      </c>
      <c r="C1037" s="1">
        <v>44235</v>
      </c>
      <c r="D1037" s="1">
        <v>44239</v>
      </c>
      <c r="E1037">
        <v>1</v>
      </c>
      <c r="F1037" t="s">
        <v>933</v>
      </c>
      <c r="G1037" t="str">
        <f>"17-C03-02"</f>
        <v>17-C03-02</v>
      </c>
      <c r="H1037">
        <v>0.94469999999999998</v>
      </c>
      <c r="I1037" t="s">
        <v>541</v>
      </c>
      <c r="J1037" t="s">
        <v>14</v>
      </c>
      <c r="K1037" t="str">
        <f t="shared" si="50"/>
        <v>3F1</v>
      </c>
      <c r="L1037" t="s">
        <v>15</v>
      </c>
    </row>
    <row r="1038" spans="1:12" x14ac:dyDescent="0.25">
      <c r="A1038" t="str">
        <f>"1562020042"</f>
        <v>1562020042</v>
      </c>
      <c r="B1038" t="str">
        <f t="shared" si="49"/>
        <v>89301000</v>
      </c>
      <c r="C1038" s="1">
        <v>44249</v>
      </c>
      <c r="D1038" s="1">
        <v>44253</v>
      </c>
      <c r="E1038">
        <v>1</v>
      </c>
      <c r="F1038" t="s">
        <v>933</v>
      </c>
      <c r="G1038" t="str">
        <f>"17-C03-02"</f>
        <v>17-C03-02</v>
      </c>
      <c r="H1038">
        <v>0.94469999999999998</v>
      </c>
      <c r="I1038" t="s">
        <v>541</v>
      </c>
      <c r="J1038" t="s">
        <v>14</v>
      </c>
      <c r="K1038" t="str">
        <f t="shared" si="50"/>
        <v>3F1</v>
      </c>
      <c r="L1038" t="s">
        <v>15</v>
      </c>
    </row>
    <row r="1039" spans="1:12" x14ac:dyDescent="0.25">
      <c r="A1039" t="str">
        <f>"1562020042"</f>
        <v>1562020042</v>
      </c>
      <c r="B1039" t="str">
        <f t="shared" si="49"/>
        <v>89301000</v>
      </c>
      <c r="C1039" s="1">
        <v>44305</v>
      </c>
      <c r="D1039" s="1">
        <v>44309</v>
      </c>
      <c r="E1039">
        <v>1</v>
      </c>
      <c r="F1039" t="s">
        <v>857</v>
      </c>
      <c r="G1039" t="str">
        <f>"16-C03-01"</f>
        <v>16-C03-01</v>
      </c>
      <c r="H1039">
        <v>3.5402999999999998</v>
      </c>
      <c r="I1039" t="s">
        <v>936</v>
      </c>
      <c r="J1039" t="s">
        <v>14</v>
      </c>
      <c r="K1039" t="str">
        <f t="shared" si="50"/>
        <v>3F1</v>
      </c>
      <c r="L1039" t="s">
        <v>15</v>
      </c>
    </row>
    <row r="1040" spans="1:12" x14ac:dyDescent="0.25">
      <c r="A1040" t="str">
        <f>"1562020042"</f>
        <v>1562020042</v>
      </c>
      <c r="B1040" t="str">
        <f t="shared" si="49"/>
        <v>89301000</v>
      </c>
      <c r="C1040" s="1">
        <v>44319</v>
      </c>
      <c r="D1040" s="1">
        <v>44320</v>
      </c>
      <c r="E1040">
        <v>1</v>
      </c>
      <c r="F1040" t="s">
        <v>933</v>
      </c>
      <c r="G1040" t="str">
        <f>"17-C03-02"</f>
        <v>17-C03-02</v>
      </c>
      <c r="H1040">
        <v>0.94469999999999998</v>
      </c>
      <c r="I1040" t="s">
        <v>541</v>
      </c>
      <c r="J1040" t="s">
        <v>14</v>
      </c>
      <c r="K1040" t="str">
        <f t="shared" si="50"/>
        <v>3F1</v>
      </c>
      <c r="L1040" t="s">
        <v>15</v>
      </c>
    </row>
    <row r="1041" spans="1:12" x14ac:dyDescent="0.25">
      <c r="A1041" t="str">
        <f>"1562020042"</f>
        <v>1562020042</v>
      </c>
      <c r="B1041" t="str">
        <f t="shared" si="49"/>
        <v>89301000</v>
      </c>
      <c r="C1041" s="1">
        <v>44206</v>
      </c>
      <c r="D1041" s="1">
        <v>44210</v>
      </c>
      <c r="E1041">
        <v>1</v>
      </c>
      <c r="F1041" t="s">
        <v>933</v>
      </c>
      <c r="G1041" t="str">
        <f>"17-C03-02"</f>
        <v>17-C03-02</v>
      </c>
      <c r="H1041">
        <v>0.94469999999999998</v>
      </c>
      <c r="I1041" t="s">
        <v>541</v>
      </c>
      <c r="J1041" t="s">
        <v>14</v>
      </c>
      <c r="K1041" t="str">
        <f t="shared" si="50"/>
        <v>3F1</v>
      </c>
      <c r="L1041" t="s">
        <v>15</v>
      </c>
    </row>
    <row r="1042" spans="1:12" x14ac:dyDescent="0.25">
      <c r="A1042" t="str">
        <f>"1562230219"</f>
        <v>1562230219</v>
      </c>
      <c r="B1042" t="str">
        <f t="shared" si="49"/>
        <v>89301000</v>
      </c>
      <c r="C1042" s="1">
        <v>44342</v>
      </c>
      <c r="D1042" s="1">
        <v>44344</v>
      </c>
      <c r="E1042">
        <v>1</v>
      </c>
      <c r="F1042" t="s">
        <v>937</v>
      </c>
      <c r="G1042" t="str">
        <f>"10-K01-02"</f>
        <v>10-K01-02</v>
      </c>
      <c r="H1042">
        <v>0.63170000000000004</v>
      </c>
      <c r="J1042" t="s">
        <v>14</v>
      </c>
      <c r="K1042" t="str">
        <f t="shared" si="50"/>
        <v>3F1</v>
      </c>
      <c r="L1042" t="s">
        <v>15</v>
      </c>
    </row>
    <row r="1043" spans="1:12" x14ac:dyDescent="0.25">
      <c r="A1043" t="str">
        <f>"1562290389"</f>
        <v>1562290389</v>
      </c>
      <c r="B1043" t="str">
        <f t="shared" si="49"/>
        <v>89301000</v>
      </c>
      <c r="C1043" s="1">
        <v>44473</v>
      </c>
      <c r="D1043" s="1">
        <v>44475</v>
      </c>
      <c r="E1043">
        <v>1</v>
      </c>
      <c r="F1043" t="s">
        <v>823</v>
      </c>
      <c r="G1043" t="str">
        <f>"03-I20-03"</f>
        <v>03-I20-03</v>
      </c>
      <c r="H1043">
        <v>0.68049999999999999</v>
      </c>
      <c r="J1043" t="s">
        <v>17</v>
      </c>
      <c r="K1043" t="str">
        <f t="shared" si="50"/>
        <v>3F1</v>
      </c>
      <c r="L1043" t="s">
        <v>15</v>
      </c>
    </row>
    <row r="1044" spans="1:12" x14ac:dyDescent="0.25">
      <c r="A1044" t="str">
        <f>"1601150320"</f>
        <v>1601150320</v>
      </c>
      <c r="B1044" t="str">
        <f t="shared" si="49"/>
        <v>89301000</v>
      </c>
      <c r="C1044" s="1">
        <v>44458</v>
      </c>
      <c r="D1044" s="1">
        <v>44460</v>
      </c>
      <c r="E1044">
        <v>1</v>
      </c>
      <c r="F1044" t="s">
        <v>234</v>
      </c>
      <c r="G1044" t="str">
        <f>"03-I21-00"</f>
        <v>03-I21-00</v>
      </c>
      <c r="H1044">
        <v>0.38500000000000001</v>
      </c>
      <c r="J1044" t="s">
        <v>14</v>
      </c>
      <c r="K1044" t="str">
        <f t="shared" si="50"/>
        <v>3F1</v>
      </c>
      <c r="L1044" t="s">
        <v>15</v>
      </c>
    </row>
    <row r="1045" spans="1:12" x14ac:dyDescent="0.25">
      <c r="A1045" t="str">
        <f>"1601191603"</f>
        <v>1601191603</v>
      </c>
      <c r="B1045" t="str">
        <f t="shared" si="49"/>
        <v>89301000</v>
      </c>
      <c r="C1045" s="1">
        <v>44455</v>
      </c>
      <c r="D1045" s="1">
        <v>44457</v>
      </c>
      <c r="E1045">
        <v>1</v>
      </c>
      <c r="F1045" t="s">
        <v>234</v>
      </c>
      <c r="G1045" t="str">
        <f>"03-I21-00"</f>
        <v>03-I21-00</v>
      </c>
      <c r="H1045">
        <v>0.38500000000000001</v>
      </c>
      <c r="J1045" t="s">
        <v>14</v>
      </c>
      <c r="K1045" t="str">
        <f t="shared" si="50"/>
        <v>3F1</v>
      </c>
      <c r="L1045" t="s">
        <v>15</v>
      </c>
    </row>
    <row r="1046" spans="1:12" x14ac:dyDescent="0.25">
      <c r="A1046" t="str">
        <f>"1601200150"</f>
        <v>1601200150</v>
      </c>
      <c r="B1046" t="str">
        <f t="shared" si="49"/>
        <v>89301000</v>
      </c>
      <c r="C1046" s="1">
        <v>44367</v>
      </c>
      <c r="D1046" s="1">
        <v>44369</v>
      </c>
      <c r="E1046">
        <v>1</v>
      </c>
      <c r="F1046" t="s">
        <v>234</v>
      </c>
      <c r="G1046" t="str">
        <f>"03-I21-00"</f>
        <v>03-I21-00</v>
      </c>
      <c r="H1046">
        <v>0.38500000000000001</v>
      </c>
      <c r="J1046" t="s">
        <v>14</v>
      </c>
      <c r="K1046" t="str">
        <f t="shared" si="50"/>
        <v>3F1</v>
      </c>
      <c r="L1046" t="s">
        <v>15</v>
      </c>
    </row>
    <row r="1047" spans="1:12" x14ac:dyDescent="0.25">
      <c r="A1047" t="str">
        <f>"1602020222"</f>
        <v>1602020222</v>
      </c>
      <c r="B1047" t="str">
        <f t="shared" si="49"/>
        <v>89301000</v>
      </c>
      <c r="C1047" s="1">
        <v>44202</v>
      </c>
      <c r="D1047" s="1">
        <v>44204</v>
      </c>
      <c r="E1047">
        <v>1</v>
      </c>
      <c r="F1047" t="s">
        <v>938</v>
      </c>
      <c r="G1047" t="str">
        <f>"06-I17-05"</f>
        <v>06-I17-05</v>
      </c>
      <c r="H1047">
        <v>0.39450000000000002</v>
      </c>
      <c r="J1047" t="s">
        <v>17</v>
      </c>
      <c r="K1047" t="str">
        <f t="shared" si="50"/>
        <v>3F1</v>
      </c>
      <c r="L1047" t="s">
        <v>15</v>
      </c>
    </row>
    <row r="1048" spans="1:12" x14ac:dyDescent="0.25">
      <c r="A1048" t="str">
        <f>"1602040088"</f>
        <v>1602040088</v>
      </c>
      <c r="B1048" t="str">
        <f t="shared" si="49"/>
        <v>89301000</v>
      </c>
      <c r="C1048" s="1">
        <v>44361</v>
      </c>
      <c r="D1048" s="1">
        <v>44363</v>
      </c>
      <c r="E1048">
        <v>1</v>
      </c>
      <c r="F1048" t="s">
        <v>486</v>
      </c>
      <c r="G1048" t="str">
        <f>"05-M08-00"</f>
        <v>05-M08-00</v>
      </c>
      <c r="H1048">
        <v>1.0623</v>
      </c>
      <c r="J1048" t="s">
        <v>17</v>
      </c>
      <c r="K1048" t="str">
        <f t="shared" si="50"/>
        <v>3F1</v>
      </c>
      <c r="L1048" t="s">
        <v>15</v>
      </c>
    </row>
    <row r="1049" spans="1:12" x14ac:dyDescent="0.25">
      <c r="A1049" t="str">
        <f>"1602151848"</f>
        <v>1602151848</v>
      </c>
      <c r="B1049" t="str">
        <f t="shared" si="49"/>
        <v>89301000</v>
      </c>
      <c r="C1049" s="1">
        <v>44299</v>
      </c>
      <c r="D1049" s="1">
        <v>44306</v>
      </c>
      <c r="E1049">
        <v>1</v>
      </c>
      <c r="F1049" t="s">
        <v>260</v>
      </c>
      <c r="G1049" t="str">
        <f>"03-I16-02"</f>
        <v>03-I16-02</v>
      </c>
      <c r="H1049">
        <v>0.91649999999999998</v>
      </c>
      <c r="I1049" t="s">
        <v>102</v>
      </c>
      <c r="J1049" t="s">
        <v>24</v>
      </c>
      <c r="K1049" t="str">
        <f t="shared" si="50"/>
        <v>3F1</v>
      </c>
      <c r="L1049" t="s">
        <v>15</v>
      </c>
    </row>
    <row r="1050" spans="1:12" x14ac:dyDescent="0.25">
      <c r="A1050" t="str">
        <f>"1602180228"</f>
        <v>1602180228</v>
      </c>
      <c r="B1050" t="str">
        <f t="shared" si="49"/>
        <v>89301000</v>
      </c>
      <c r="C1050" s="1">
        <v>44384</v>
      </c>
      <c r="D1050" s="1">
        <v>44386</v>
      </c>
      <c r="E1050">
        <v>1</v>
      </c>
      <c r="F1050" t="s">
        <v>151</v>
      </c>
      <c r="G1050" t="str">
        <f>"06-I16-05"</f>
        <v>06-I16-05</v>
      </c>
      <c r="H1050">
        <v>0.46139999999999998</v>
      </c>
      <c r="I1050" t="s">
        <v>939</v>
      </c>
      <c r="J1050" t="s">
        <v>24</v>
      </c>
      <c r="K1050" t="str">
        <f t="shared" si="50"/>
        <v>3F1</v>
      </c>
      <c r="L1050" t="s">
        <v>15</v>
      </c>
    </row>
    <row r="1051" spans="1:12" x14ac:dyDescent="0.25">
      <c r="A1051" t="str">
        <f>"1603090302"</f>
        <v>1603090302</v>
      </c>
      <c r="B1051" t="str">
        <f t="shared" si="49"/>
        <v>89301000</v>
      </c>
      <c r="C1051" s="1">
        <v>44537</v>
      </c>
      <c r="D1051" s="1">
        <v>44543</v>
      </c>
      <c r="E1051">
        <v>1</v>
      </c>
      <c r="F1051" t="s">
        <v>43</v>
      </c>
      <c r="G1051" t="str">
        <f>"06-I18-04"</f>
        <v>06-I18-04</v>
      </c>
      <c r="H1051">
        <v>1.1514</v>
      </c>
      <c r="I1051" t="s">
        <v>168</v>
      </c>
      <c r="J1051" t="s">
        <v>24</v>
      </c>
      <c r="K1051" t="str">
        <f t="shared" si="50"/>
        <v>3F1</v>
      </c>
      <c r="L1051" t="s">
        <v>15</v>
      </c>
    </row>
    <row r="1052" spans="1:12" x14ac:dyDescent="0.25">
      <c r="A1052" t="str">
        <f>"1603091435"</f>
        <v>1603091435</v>
      </c>
      <c r="B1052" t="str">
        <f t="shared" si="49"/>
        <v>89301000</v>
      </c>
      <c r="C1052" s="1">
        <v>44299</v>
      </c>
      <c r="D1052" s="1">
        <v>44302</v>
      </c>
      <c r="E1052">
        <v>1</v>
      </c>
      <c r="F1052" t="s">
        <v>940</v>
      </c>
      <c r="G1052" t="str">
        <f>"08-I23-02"</f>
        <v>08-I23-02</v>
      </c>
      <c r="H1052">
        <v>0.93840000000000001</v>
      </c>
      <c r="J1052" t="s">
        <v>17</v>
      </c>
      <c r="K1052" t="str">
        <f t="shared" si="50"/>
        <v>3F1</v>
      </c>
      <c r="L1052" t="s">
        <v>15</v>
      </c>
    </row>
    <row r="1053" spans="1:12" x14ac:dyDescent="0.25">
      <c r="A1053" t="str">
        <f>"1603100202"</f>
        <v>1603100202</v>
      </c>
      <c r="B1053" t="str">
        <f t="shared" si="49"/>
        <v>89301000</v>
      </c>
      <c r="C1053" s="1">
        <v>44535</v>
      </c>
      <c r="D1053" s="1">
        <v>44537</v>
      </c>
      <c r="E1053">
        <v>1</v>
      </c>
      <c r="F1053" t="s">
        <v>326</v>
      </c>
      <c r="G1053" t="str">
        <f>"02-I11-01"</f>
        <v>02-I11-01</v>
      </c>
      <c r="H1053">
        <v>0.87619999999999998</v>
      </c>
      <c r="I1053" t="s">
        <v>918</v>
      </c>
      <c r="J1053" t="s">
        <v>17</v>
      </c>
      <c r="K1053" t="str">
        <f t="shared" si="50"/>
        <v>3F1</v>
      </c>
      <c r="L1053" t="s">
        <v>15</v>
      </c>
    </row>
    <row r="1054" spans="1:12" x14ac:dyDescent="0.25">
      <c r="A1054" t="str">
        <f>"1603180007"</f>
        <v>1603180007</v>
      </c>
      <c r="B1054" t="str">
        <f t="shared" si="49"/>
        <v>89301000</v>
      </c>
      <c r="C1054" s="1">
        <v>44242</v>
      </c>
      <c r="D1054" s="1">
        <v>44243</v>
      </c>
      <c r="E1054">
        <v>1</v>
      </c>
      <c r="F1054" t="s">
        <v>605</v>
      </c>
      <c r="G1054" t="str">
        <f>"09-K12-00"</f>
        <v>09-K12-00</v>
      </c>
      <c r="H1054">
        <v>0.24349999999999999</v>
      </c>
      <c r="I1054" t="s">
        <v>196</v>
      </c>
      <c r="J1054" t="s">
        <v>14</v>
      </c>
      <c r="K1054" t="str">
        <f t="shared" si="50"/>
        <v>3F1</v>
      </c>
      <c r="L1054" t="s">
        <v>15</v>
      </c>
    </row>
    <row r="1055" spans="1:12" x14ac:dyDescent="0.25">
      <c r="A1055" t="str">
        <f>"1603270812"</f>
        <v>1603270812</v>
      </c>
      <c r="B1055" t="str">
        <f t="shared" si="49"/>
        <v>89301000</v>
      </c>
      <c r="C1055" s="1">
        <v>44353</v>
      </c>
      <c r="D1055" s="1">
        <v>44355</v>
      </c>
      <c r="E1055">
        <v>1</v>
      </c>
      <c r="F1055" t="s">
        <v>449</v>
      </c>
      <c r="G1055" t="str">
        <f>"02-I11-01"</f>
        <v>02-I11-01</v>
      </c>
      <c r="H1055">
        <v>0.87619999999999998</v>
      </c>
      <c r="J1055" t="s">
        <v>17</v>
      </c>
      <c r="K1055" t="str">
        <f t="shared" si="50"/>
        <v>3F1</v>
      </c>
      <c r="L1055" t="s">
        <v>15</v>
      </c>
    </row>
    <row r="1056" spans="1:12" x14ac:dyDescent="0.25">
      <c r="A1056" t="str">
        <f>"1603291008"</f>
        <v>1603291008</v>
      </c>
      <c r="B1056" t="str">
        <f t="shared" si="49"/>
        <v>89301000</v>
      </c>
      <c r="C1056" s="1">
        <v>44282</v>
      </c>
      <c r="D1056" s="1">
        <v>44285</v>
      </c>
      <c r="E1056">
        <v>1</v>
      </c>
      <c r="F1056" t="s">
        <v>401</v>
      </c>
      <c r="G1056" t="str">
        <f>"04-K04-02"</f>
        <v>04-K04-02</v>
      </c>
      <c r="H1056">
        <v>0.50470000000000004</v>
      </c>
      <c r="I1056" t="s">
        <v>941</v>
      </c>
      <c r="J1056" t="s">
        <v>14</v>
      </c>
      <c r="K1056" t="str">
        <f t="shared" si="50"/>
        <v>3F1</v>
      </c>
      <c r="L1056" t="s">
        <v>15</v>
      </c>
    </row>
    <row r="1057" spans="1:12" x14ac:dyDescent="0.25">
      <c r="A1057" t="str">
        <f>"1604210344"</f>
        <v>1604210344</v>
      </c>
      <c r="B1057" t="str">
        <f t="shared" si="49"/>
        <v>89301000</v>
      </c>
      <c r="C1057" s="1">
        <v>44432</v>
      </c>
      <c r="D1057" s="1">
        <v>44433</v>
      </c>
      <c r="E1057">
        <v>1</v>
      </c>
      <c r="F1057" t="s">
        <v>720</v>
      </c>
      <c r="G1057" t="str">
        <f>"06-K02-04"</f>
        <v>06-K02-04</v>
      </c>
      <c r="H1057">
        <v>0.3634</v>
      </c>
      <c r="J1057" t="s">
        <v>14</v>
      </c>
      <c r="K1057" t="str">
        <f t="shared" si="50"/>
        <v>3F1</v>
      </c>
      <c r="L1057" t="s">
        <v>15</v>
      </c>
    </row>
    <row r="1058" spans="1:12" x14ac:dyDescent="0.25">
      <c r="A1058" t="str">
        <f>"1605040184"</f>
        <v>1605040184</v>
      </c>
      <c r="B1058" t="str">
        <f t="shared" si="49"/>
        <v>89301000</v>
      </c>
      <c r="C1058" s="1">
        <v>44302</v>
      </c>
      <c r="D1058" s="1">
        <v>44307</v>
      </c>
      <c r="E1058">
        <v>1</v>
      </c>
      <c r="F1058" t="s">
        <v>942</v>
      </c>
      <c r="G1058" t="str">
        <f>"19-K02-03"</f>
        <v>19-K02-03</v>
      </c>
      <c r="H1058">
        <v>0.67269999999999996</v>
      </c>
      <c r="I1058" t="s">
        <v>943</v>
      </c>
      <c r="J1058" t="s">
        <v>27</v>
      </c>
      <c r="K1058" t="str">
        <f t="shared" si="50"/>
        <v>3F1</v>
      </c>
      <c r="L1058" t="s">
        <v>15</v>
      </c>
    </row>
    <row r="1059" spans="1:12" x14ac:dyDescent="0.25">
      <c r="A1059" t="str">
        <f>"1605290027"</f>
        <v>1605290027</v>
      </c>
      <c r="B1059" t="str">
        <f t="shared" si="49"/>
        <v>89301000</v>
      </c>
      <c r="C1059" s="1">
        <v>44445</v>
      </c>
      <c r="D1059" s="1">
        <v>44449</v>
      </c>
      <c r="E1059">
        <v>1</v>
      </c>
      <c r="F1059" t="s">
        <v>43</v>
      </c>
      <c r="G1059" t="str">
        <f>"06-I18-04"</f>
        <v>06-I18-04</v>
      </c>
      <c r="H1059">
        <v>1.1514</v>
      </c>
      <c r="J1059" t="s">
        <v>24</v>
      </c>
      <c r="K1059" t="str">
        <f t="shared" si="50"/>
        <v>3F1</v>
      </c>
      <c r="L1059" t="s">
        <v>15</v>
      </c>
    </row>
    <row r="1060" spans="1:12" x14ac:dyDescent="0.25">
      <c r="A1060" t="str">
        <f>"1606131945"</f>
        <v>1606131945</v>
      </c>
      <c r="B1060" t="str">
        <f t="shared" si="49"/>
        <v>89301000</v>
      </c>
      <c r="C1060" s="1">
        <v>44489</v>
      </c>
      <c r="D1060" s="1">
        <v>44491</v>
      </c>
      <c r="E1060">
        <v>1</v>
      </c>
      <c r="F1060" t="s">
        <v>644</v>
      </c>
      <c r="G1060" t="str">
        <f>"12-K09-00"</f>
        <v>12-K09-00</v>
      </c>
      <c r="H1060">
        <v>0.48139999999999999</v>
      </c>
      <c r="J1060" t="s">
        <v>14</v>
      </c>
      <c r="K1060" t="str">
        <f t="shared" ref="K1060:K1086" si="51">"3F1"</f>
        <v>3F1</v>
      </c>
      <c r="L1060" t="s">
        <v>15</v>
      </c>
    </row>
    <row r="1061" spans="1:12" x14ac:dyDescent="0.25">
      <c r="A1061" t="str">
        <f>"1606300025"</f>
        <v>1606300025</v>
      </c>
      <c r="B1061" t="str">
        <f t="shared" si="49"/>
        <v>89301000</v>
      </c>
      <c r="C1061" s="1">
        <v>44382</v>
      </c>
      <c r="D1061" s="1">
        <v>44395</v>
      </c>
      <c r="E1061">
        <v>1</v>
      </c>
      <c r="F1061" t="s">
        <v>43</v>
      </c>
      <c r="G1061" t="str">
        <f>"06-I18-02"</f>
        <v>06-I18-02</v>
      </c>
      <c r="H1061">
        <v>2.0447000000000002</v>
      </c>
      <c r="I1061" t="s">
        <v>944</v>
      </c>
      <c r="J1061" t="s">
        <v>24</v>
      </c>
      <c r="K1061" t="str">
        <f t="shared" si="51"/>
        <v>3F1</v>
      </c>
      <c r="L1061" t="s">
        <v>15</v>
      </c>
    </row>
    <row r="1062" spans="1:12" x14ac:dyDescent="0.25">
      <c r="A1062" t="str">
        <f>"1606300025"</f>
        <v>1606300025</v>
      </c>
      <c r="B1062" t="str">
        <f t="shared" si="49"/>
        <v>89301000</v>
      </c>
      <c r="C1062" s="1">
        <v>44439</v>
      </c>
      <c r="D1062" s="1">
        <v>44441</v>
      </c>
      <c r="E1062">
        <v>1</v>
      </c>
      <c r="F1062" t="s">
        <v>563</v>
      </c>
      <c r="G1062" t="str">
        <f>"06-K22-02"</f>
        <v>06-K22-02</v>
      </c>
      <c r="H1062">
        <v>0.58020000000000005</v>
      </c>
      <c r="I1062" t="s">
        <v>945</v>
      </c>
      <c r="J1062" t="s">
        <v>14</v>
      </c>
      <c r="K1062" t="str">
        <f t="shared" si="51"/>
        <v>3F1</v>
      </c>
      <c r="L1062" t="s">
        <v>15</v>
      </c>
    </row>
    <row r="1063" spans="1:12" x14ac:dyDescent="0.25">
      <c r="A1063" t="str">
        <f>"1607202036"</f>
        <v>1607202036</v>
      </c>
      <c r="B1063" t="str">
        <f t="shared" si="49"/>
        <v>89301000</v>
      </c>
      <c r="C1063" s="1">
        <v>44303</v>
      </c>
      <c r="D1063" s="1">
        <v>44304</v>
      </c>
      <c r="E1063">
        <v>1</v>
      </c>
      <c r="F1063" t="s">
        <v>946</v>
      </c>
      <c r="G1063" t="str">
        <f>"03-K12-01"</f>
        <v>03-K12-01</v>
      </c>
      <c r="H1063">
        <v>0.376</v>
      </c>
      <c r="I1063" t="s">
        <v>947</v>
      </c>
      <c r="J1063" t="s">
        <v>14</v>
      </c>
      <c r="K1063" t="str">
        <f t="shared" si="51"/>
        <v>3F1</v>
      </c>
      <c r="L1063" t="s">
        <v>15</v>
      </c>
    </row>
    <row r="1064" spans="1:12" x14ac:dyDescent="0.25">
      <c r="A1064" t="str">
        <f>"1607291983"</f>
        <v>1607291983</v>
      </c>
      <c r="B1064" t="str">
        <f t="shared" si="49"/>
        <v>89301000</v>
      </c>
      <c r="C1064" s="1">
        <v>44363</v>
      </c>
      <c r="D1064" s="1">
        <v>44365</v>
      </c>
      <c r="E1064">
        <v>1</v>
      </c>
      <c r="F1064" t="s">
        <v>948</v>
      </c>
      <c r="G1064" t="str">
        <f>"17-I10-02"</f>
        <v>17-I10-02</v>
      </c>
      <c r="H1064">
        <v>0.92959999999999998</v>
      </c>
      <c r="J1064" t="s">
        <v>14</v>
      </c>
      <c r="K1064" t="str">
        <f t="shared" si="51"/>
        <v>3F1</v>
      </c>
      <c r="L1064" t="s">
        <v>15</v>
      </c>
    </row>
    <row r="1065" spans="1:12" x14ac:dyDescent="0.25">
      <c r="A1065" t="str">
        <f>"1608220317"</f>
        <v>1608220317</v>
      </c>
      <c r="B1065" t="str">
        <f t="shared" si="49"/>
        <v>89301000</v>
      </c>
      <c r="C1065" s="1">
        <v>44549</v>
      </c>
      <c r="D1065" s="1">
        <v>44560</v>
      </c>
      <c r="E1065">
        <v>1</v>
      </c>
      <c r="F1065" t="s">
        <v>535</v>
      </c>
      <c r="G1065" t="str">
        <f>"16-K06-01"</f>
        <v>16-K06-01</v>
      </c>
      <c r="H1065">
        <v>1.6866000000000001</v>
      </c>
      <c r="I1065" t="s">
        <v>949</v>
      </c>
      <c r="J1065" t="s">
        <v>14</v>
      </c>
      <c r="K1065" t="str">
        <f t="shared" si="51"/>
        <v>3F1</v>
      </c>
      <c r="L1065" t="s">
        <v>15</v>
      </c>
    </row>
    <row r="1066" spans="1:12" x14ac:dyDescent="0.25">
      <c r="A1066" t="str">
        <f>"1609080385"</f>
        <v>1609080385</v>
      </c>
      <c r="B1066" t="str">
        <f t="shared" si="49"/>
        <v>89301000</v>
      </c>
      <c r="C1066" s="1">
        <v>44480</v>
      </c>
      <c r="D1066" s="1">
        <v>44483</v>
      </c>
      <c r="E1066">
        <v>1</v>
      </c>
      <c r="F1066" t="s">
        <v>950</v>
      </c>
      <c r="G1066" t="str">
        <f>"04-K03-03"</f>
        <v>04-K03-03</v>
      </c>
      <c r="H1066">
        <v>0.53180000000000005</v>
      </c>
      <c r="I1066" t="s">
        <v>168</v>
      </c>
      <c r="J1066" t="s">
        <v>14</v>
      </c>
      <c r="K1066" t="str">
        <f t="shared" si="51"/>
        <v>3F1</v>
      </c>
      <c r="L1066" t="s">
        <v>15</v>
      </c>
    </row>
    <row r="1067" spans="1:12" x14ac:dyDescent="0.25">
      <c r="A1067" t="str">
        <f>"1609101329"</f>
        <v>1609101329</v>
      </c>
      <c r="B1067" t="str">
        <f t="shared" si="49"/>
        <v>89301000</v>
      </c>
      <c r="C1067" s="1">
        <v>44392</v>
      </c>
      <c r="D1067" s="1">
        <v>44399</v>
      </c>
      <c r="E1067">
        <v>1</v>
      </c>
      <c r="F1067" t="s">
        <v>951</v>
      </c>
      <c r="G1067" t="str">
        <f>"04-K02-03"</f>
        <v>04-K02-03</v>
      </c>
      <c r="H1067">
        <v>1.2859</v>
      </c>
      <c r="I1067" t="s">
        <v>952</v>
      </c>
      <c r="J1067" t="s">
        <v>14</v>
      </c>
      <c r="K1067" t="str">
        <f t="shared" si="51"/>
        <v>3F1</v>
      </c>
      <c r="L1067" t="s">
        <v>15</v>
      </c>
    </row>
    <row r="1068" spans="1:12" x14ac:dyDescent="0.25">
      <c r="A1068" t="str">
        <f>"1609150697"</f>
        <v>1609150697</v>
      </c>
      <c r="B1068" t="str">
        <f t="shared" si="49"/>
        <v>89301000</v>
      </c>
      <c r="C1068" s="1">
        <v>44252</v>
      </c>
      <c r="D1068" s="1">
        <v>44255</v>
      </c>
      <c r="E1068">
        <v>1</v>
      </c>
      <c r="F1068" t="s">
        <v>953</v>
      </c>
      <c r="G1068" t="str">
        <f>"03-K10-01"</f>
        <v>03-K10-01</v>
      </c>
      <c r="H1068">
        <v>0.67610000000000003</v>
      </c>
      <c r="J1068" t="s">
        <v>14</v>
      </c>
      <c r="K1068" t="str">
        <f t="shared" si="51"/>
        <v>3F1</v>
      </c>
      <c r="L1068" t="s">
        <v>15</v>
      </c>
    </row>
    <row r="1069" spans="1:12" x14ac:dyDescent="0.25">
      <c r="A1069" t="str">
        <f>"1609160443"</f>
        <v>1609160443</v>
      </c>
      <c r="B1069" t="str">
        <f t="shared" si="49"/>
        <v>89301000</v>
      </c>
      <c r="C1069" s="1">
        <v>44320</v>
      </c>
      <c r="D1069" s="1">
        <v>44321</v>
      </c>
      <c r="E1069">
        <v>1</v>
      </c>
      <c r="F1069" t="s">
        <v>396</v>
      </c>
      <c r="G1069" t="str">
        <f>"08-I20-03"</f>
        <v>08-I20-03</v>
      </c>
      <c r="H1069">
        <v>0.63300000000000001</v>
      </c>
      <c r="I1069" t="s">
        <v>196</v>
      </c>
      <c r="J1069" t="s">
        <v>17</v>
      </c>
      <c r="K1069" t="str">
        <f t="shared" si="51"/>
        <v>3F1</v>
      </c>
      <c r="L1069" t="s">
        <v>15</v>
      </c>
    </row>
    <row r="1070" spans="1:12" x14ac:dyDescent="0.25">
      <c r="A1070" t="str">
        <f>"1609160443"</f>
        <v>1609160443</v>
      </c>
      <c r="B1070" t="str">
        <f t="shared" si="49"/>
        <v>89301000</v>
      </c>
      <c r="C1070" s="1">
        <v>44362</v>
      </c>
      <c r="D1070" s="1">
        <v>44364</v>
      </c>
      <c r="E1070">
        <v>1</v>
      </c>
      <c r="F1070" t="s">
        <v>173</v>
      </c>
      <c r="G1070" t="str">
        <f>"08-I32-02"</f>
        <v>08-I32-02</v>
      </c>
      <c r="H1070">
        <v>0.4143</v>
      </c>
      <c r="J1070" t="s">
        <v>14</v>
      </c>
      <c r="K1070" t="str">
        <f t="shared" si="51"/>
        <v>3F1</v>
      </c>
      <c r="L1070" t="s">
        <v>15</v>
      </c>
    </row>
    <row r="1071" spans="1:12" x14ac:dyDescent="0.25">
      <c r="A1071" t="str">
        <f>"1610120347"</f>
        <v>1610120347</v>
      </c>
      <c r="B1071" t="str">
        <f t="shared" si="49"/>
        <v>89301000</v>
      </c>
      <c r="C1071" s="1">
        <v>44328</v>
      </c>
      <c r="D1071" s="1">
        <v>44330</v>
      </c>
      <c r="E1071">
        <v>1</v>
      </c>
      <c r="F1071" t="s">
        <v>151</v>
      </c>
      <c r="G1071" t="str">
        <f>"06-I16-05"</f>
        <v>06-I16-05</v>
      </c>
      <c r="H1071">
        <v>0.46139999999999998</v>
      </c>
      <c r="J1071" t="s">
        <v>24</v>
      </c>
      <c r="K1071" t="str">
        <f t="shared" si="51"/>
        <v>3F1</v>
      </c>
      <c r="L1071" t="s">
        <v>15</v>
      </c>
    </row>
    <row r="1072" spans="1:12" x14ac:dyDescent="0.25">
      <c r="A1072" t="str">
        <f>"1610280067"</f>
        <v>1610280067</v>
      </c>
      <c r="B1072" t="str">
        <f t="shared" si="49"/>
        <v>89301000</v>
      </c>
      <c r="C1072" s="1">
        <v>44550</v>
      </c>
      <c r="D1072" s="1">
        <v>44552</v>
      </c>
      <c r="E1072">
        <v>1</v>
      </c>
      <c r="F1072" t="s">
        <v>151</v>
      </c>
      <c r="G1072" t="str">
        <f>"06-I16-05"</f>
        <v>06-I16-05</v>
      </c>
      <c r="H1072">
        <v>0.46139999999999998</v>
      </c>
      <c r="J1072" t="s">
        <v>24</v>
      </c>
      <c r="K1072" t="str">
        <f t="shared" si="51"/>
        <v>3F1</v>
      </c>
      <c r="L1072" t="s">
        <v>15</v>
      </c>
    </row>
    <row r="1073" spans="1:12" x14ac:dyDescent="0.25">
      <c r="A1073" t="str">
        <f>"1611010280"</f>
        <v>1611010280</v>
      </c>
      <c r="B1073" t="str">
        <f t="shared" si="49"/>
        <v>89301000</v>
      </c>
      <c r="C1073" s="1">
        <v>44508</v>
      </c>
      <c r="D1073" s="1">
        <v>44510</v>
      </c>
      <c r="E1073">
        <v>1</v>
      </c>
      <c r="F1073" t="s">
        <v>632</v>
      </c>
      <c r="G1073" t="str">
        <f>"06-I17-05"</f>
        <v>06-I17-05</v>
      </c>
      <c r="H1073">
        <v>0.39450000000000002</v>
      </c>
      <c r="J1073" t="s">
        <v>17</v>
      </c>
      <c r="K1073" t="str">
        <f t="shared" si="51"/>
        <v>3F1</v>
      </c>
      <c r="L1073" t="s">
        <v>15</v>
      </c>
    </row>
    <row r="1074" spans="1:12" x14ac:dyDescent="0.25">
      <c r="A1074" t="str">
        <f>"1611050364"</f>
        <v>1611050364</v>
      </c>
      <c r="B1074" t="str">
        <f t="shared" si="49"/>
        <v>89301000</v>
      </c>
      <c r="C1074" s="1">
        <v>44438</v>
      </c>
      <c r="D1074" s="1">
        <v>44455</v>
      </c>
      <c r="E1074">
        <v>1</v>
      </c>
      <c r="F1074" t="s">
        <v>564</v>
      </c>
      <c r="G1074" t="str">
        <f>"06-I09-01"</f>
        <v>06-I09-01</v>
      </c>
      <c r="H1074">
        <v>3.5413999999999999</v>
      </c>
      <c r="I1074" t="s">
        <v>954</v>
      </c>
      <c r="J1074" t="s">
        <v>17</v>
      </c>
      <c r="K1074" t="str">
        <f t="shared" si="51"/>
        <v>3F1</v>
      </c>
      <c r="L1074" t="s">
        <v>15</v>
      </c>
    </row>
    <row r="1075" spans="1:12" x14ac:dyDescent="0.25">
      <c r="A1075" t="str">
        <f>"1611050364"</f>
        <v>1611050364</v>
      </c>
      <c r="B1075" t="str">
        <f t="shared" si="49"/>
        <v>89301000</v>
      </c>
      <c r="C1075" s="1">
        <v>44278</v>
      </c>
      <c r="D1075" s="1">
        <v>44284</v>
      </c>
      <c r="E1075">
        <v>1</v>
      </c>
      <c r="F1075" t="s">
        <v>564</v>
      </c>
      <c r="G1075" t="str">
        <f>"06-I09-01"</f>
        <v>06-I09-01</v>
      </c>
      <c r="H1075">
        <v>3.3593999999999999</v>
      </c>
      <c r="J1075" t="s">
        <v>17</v>
      </c>
      <c r="K1075" t="str">
        <f t="shared" si="51"/>
        <v>3F1</v>
      </c>
      <c r="L1075" t="s">
        <v>15</v>
      </c>
    </row>
    <row r="1076" spans="1:12" x14ac:dyDescent="0.25">
      <c r="A1076" t="str">
        <f>"1611050364"</f>
        <v>1611050364</v>
      </c>
      <c r="B1076" t="str">
        <f t="shared" si="49"/>
        <v>89301000</v>
      </c>
      <c r="C1076" s="1">
        <v>44502</v>
      </c>
      <c r="D1076" s="1">
        <v>44504</v>
      </c>
      <c r="E1076">
        <v>1</v>
      </c>
      <c r="F1076" t="s">
        <v>955</v>
      </c>
      <c r="G1076" t="str">
        <f>"11-M04-03"</f>
        <v>11-M04-03</v>
      </c>
      <c r="H1076">
        <v>1.0784</v>
      </c>
      <c r="J1076" t="s">
        <v>14</v>
      </c>
      <c r="K1076" t="str">
        <f t="shared" si="51"/>
        <v>3F1</v>
      </c>
      <c r="L1076" t="s">
        <v>15</v>
      </c>
    </row>
    <row r="1077" spans="1:12" x14ac:dyDescent="0.25">
      <c r="A1077" t="str">
        <f>"1611100183"</f>
        <v>1611100183</v>
      </c>
      <c r="B1077" t="str">
        <f t="shared" si="49"/>
        <v>89301000</v>
      </c>
      <c r="C1077" s="1">
        <v>44448</v>
      </c>
      <c r="D1077" s="1">
        <v>44450</v>
      </c>
      <c r="E1077">
        <v>1</v>
      </c>
      <c r="F1077" t="s">
        <v>234</v>
      </c>
      <c r="G1077" t="str">
        <f>"03-I21-00"</f>
        <v>03-I21-00</v>
      </c>
      <c r="H1077">
        <v>0.38500000000000001</v>
      </c>
      <c r="J1077" t="s">
        <v>14</v>
      </c>
      <c r="K1077" t="str">
        <f t="shared" si="51"/>
        <v>3F1</v>
      </c>
      <c r="L1077" t="s">
        <v>15</v>
      </c>
    </row>
    <row r="1078" spans="1:12" x14ac:dyDescent="0.25">
      <c r="A1078" t="str">
        <f>"1611290021"</f>
        <v>1611290021</v>
      </c>
      <c r="B1078" t="str">
        <f t="shared" si="49"/>
        <v>89301000</v>
      </c>
      <c r="C1078" s="1">
        <v>44434</v>
      </c>
      <c r="D1078" s="1">
        <v>44436</v>
      </c>
      <c r="E1078">
        <v>1</v>
      </c>
      <c r="F1078" t="s">
        <v>234</v>
      </c>
      <c r="G1078" t="str">
        <f>"03-I21-00"</f>
        <v>03-I21-00</v>
      </c>
      <c r="H1078">
        <v>0.38500000000000001</v>
      </c>
      <c r="J1078" t="s">
        <v>14</v>
      </c>
      <c r="K1078" t="str">
        <f t="shared" si="51"/>
        <v>3F1</v>
      </c>
      <c r="L1078" t="s">
        <v>15</v>
      </c>
    </row>
    <row r="1079" spans="1:12" x14ac:dyDescent="0.25">
      <c r="A1079" t="str">
        <f>"1611290021"</f>
        <v>1611290021</v>
      </c>
      <c r="B1079" t="str">
        <f t="shared" si="49"/>
        <v>89301000</v>
      </c>
      <c r="C1079" s="1">
        <v>44442</v>
      </c>
      <c r="D1079" s="1">
        <v>44447</v>
      </c>
      <c r="E1079">
        <v>1</v>
      </c>
      <c r="F1079" t="s">
        <v>956</v>
      </c>
      <c r="G1079" t="str">
        <f>"08-K08-00"</f>
        <v>08-K08-00</v>
      </c>
      <c r="H1079">
        <v>0.51670000000000005</v>
      </c>
      <c r="J1079" t="s">
        <v>14</v>
      </c>
      <c r="K1079" t="str">
        <f t="shared" si="51"/>
        <v>3F1</v>
      </c>
      <c r="L1079" t="s">
        <v>15</v>
      </c>
    </row>
    <row r="1080" spans="1:12" x14ac:dyDescent="0.25">
      <c r="A1080" t="str">
        <f>"1612020179"</f>
        <v>1612020179</v>
      </c>
      <c r="B1080" t="str">
        <f t="shared" si="49"/>
        <v>89301000</v>
      </c>
      <c r="C1080" s="1">
        <v>44443</v>
      </c>
      <c r="D1080" s="1">
        <v>44444</v>
      </c>
      <c r="E1080">
        <v>1</v>
      </c>
      <c r="F1080" t="s">
        <v>957</v>
      </c>
      <c r="G1080" t="str">
        <f>"06-K02-04"</f>
        <v>06-K02-04</v>
      </c>
      <c r="H1080">
        <v>0.3634</v>
      </c>
      <c r="I1080" t="s">
        <v>248</v>
      </c>
      <c r="J1080" t="s">
        <v>14</v>
      </c>
      <c r="K1080" t="str">
        <f t="shared" si="51"/>
        <v>3F1</v>
      </c>
      <c r="L1080" t="s">
        <v>15</v>
      </c>
    </row>
    <row r="1081" spans="1:12" x14ac:dyDescent="0.25">
      <c r="A1081" t="str">
        <f>"1612100160"</f>
        <v>1612100160</v>
      </c>
      <c r="B1081" t="str">
        <f t="shared" si="49"/>
        <v>89301000</v>
      </c>
      <c r="C1081" s="1">
        <v>44252</v>
      </c>
      <c r="D1081" s="1">
        <v>44254</v>
      </c>
      <c r="E1081">
        <v>1</v>
      </c>
      <c r="F1081" t="s">
        <v>447</v>
      </c>
      <c r="G1081" t="str">
        <f>"11-K05-00"</f>
        <v>11-K05-00</v>
      </c>
      <c r="H1081">
        <v>0.36730000000000002</v>
      </c>
      <c r="J1081" t="s">
        <v>14</v>
      </c>
      <c r="K1081" t="str">
        <f t="shared" si="51"/>
        <v>3F1</v>
      </c>
      <c r="L1081" t="s">
        <v>15</v>
      </c>
    </row>
    <row r="1082" spans="1:12" x14ac:dyDescent="0.25">
      <c r="A1082" t="str">
        <f>"1612100160"</f>
        <v>1612100160</v>
      </c>
      <c r="B1082" t="str">
        <f t="shared" ref="B1082:B1142" si="52">"89301000"</f>
        <v>89301000</v>
      </c>
      <c r="C1082" s="1">
        <v>44490</v>
      </c>
      <c r="D1082" s="1">
        <v>44492</v>
      </c>
      <c r="E1082">
        <v>1</v>
      </c>
      <c r="F1082" t="s">
        <v>954</v>
      </c>
      <c r="G1082" t="str">
        <f>"11-K13-01"</f>
        <v>11-K13-01</v>
      </c>
      <c r="H1082">
        <v>0.49149999999999999</v>
      </c>
      <c r="I1082" t="s">
        <v>447</v>
      </c>
      <c r="J1082" t="s">
        <v>14</v>
      </c>
      <c r="K1082" t="str">
        <f t="shared" si="51"/>
        <v>3F1</v>
      </c>
      <c r="L1082" t="s">
        <v>15</v>
      </c>
    </row>
    <row r="1083" spans="1:12" x14ac:dyDescent="0.25">
      <c r="A1083" t="str">
        <f>"1651080090"</f>
        <v>1651080090</v>
      </c>
      <c r="B1083" t="str">
        <f t="shared" si="52"/>
        <v>89301000</v>
      </c>
      <c r="C1083" s="1">
        <v>44377</v>
      </c>
      <c r="D1083" s="1">
        <v>44392</v>
      </c>
      <c r="E1083">
        <v>1</v>
      </c>
      <c r="F1083" t="s">
        <v>751</v>
      </c>
      <c r="G1083" t="str">
        <f>"11-I09-00"</f>
        <v>11-I09-00</v>
      </c>
      <c r="H1083">
        <v>2.7728000000000002</v>
      </c>
      <c r="I1083" t="s">
        <v>958</v>
      </c>
      <c r="J1083" t="s">
        <v>17</v>
      </c>
      <c r="K1083" t="str">
        <f t="shared" si="51"/>
        <v>3F1</v>
      </c>
      <c r="L1083" t="s">
        <v>15</v>
      </c>
    </row>
    <row r="1084" spans="1:12" x14ac:dyDescent="0.25">
      <c r="A1084" t="str">
        <f>"1651160313"</f>
        <v>1651160313</v>
      </c>
      <c r="B1084" t="str">
        <f t="shared" si="52"/>
        <v>89301000</v>
      </c>
      <c r="C1084" s="1">
        <v>44446</v>
      </c>
      <c r="D1084" s="1">
        <v>44448</v>
      </c>
      <c r="E1084">
        <v>1</v>
      </c>
      <c r="F1084" t="s">
        <v>959</v>
      </c>
      <c r="G1084" t="str">
        <f>"13-I19-00"</f>
        <v>13-I19-00</v>
      </c>
      <c r="H1084">
        <v>0.24679999999999999</v>
      </c>
      <c r="J1084" t="s">
        <v>14</v>
      </c>
      <c r="K1084" t="str">
        <f t="shared" si="51"/>
        <v>3F1</v>
      </c>
      <c r="L1084" t="s">
        <v>15</v>
      </c>
    </row>
    <row r="1085" spans="1:12" x14ac:dyDescent="0.25">
      <c r="A1085" t="str">
        <f>"1651180179"</f>
        <v>1651180179</v>
      </c>
      <c r="B1085" t="str">
        <f t="shared" si="52"/>
        <v>89301000</v>
      </c>
      <c r="C1085" s="1">
        <v>44432</v>
      </c>
      <c r="D1085" s="1">
        <v>44434</v>
      </c>
      <c r="E1085">
        <v>1</v>
      </c>
      <c r="F1085" t="s">
        <v>173</v>
      </c>
      <c r="G1085" t="str">
        <f>"08-I32-02"</f>
        <v>08-I32-02</v>
      </c>
      <c r="H1085">
        <v>0.4143</v>
      </c>
      <c r="J1085" t="s">
        <v>14</v>
      </c>
      <c r="K1085" t="str">
        <f t="shared" si="51"/>
        <v>3F1</v>
      </c>
      <c r="L1085" t="s">
        <v>15</v>
      </c>
    </row>
    <row r="1086" spans="1:12" x14ac:dyDescent="0.25">
      <c r="A1086" t="str">
        <f>"1651180179"</f>
        <v>1651180179</v>
      </c>
      <c r="B1086" t="str">
        <f t="shared" si="52"/>
        <v>89301000</v>
      </c>
      <c r="C1086" s="1">
        <v>44287</v>
      </c>
      <c r="D1086" s="1">
        <v>44288</v>
      </c>
      <c r="E1086">
        <v>1</v>
      </c>
      <c r="F1086" t="s">
        <v>571</v>
      </c>
      <c r="G1086" t="str">
        <f>"08-I20-02"</f>
        <v>08-I20-02</v>
      </c>
      <c r="H1086">
        <v>0.94159999999999999</v>
      </c>
      <c r="I1086" t="s">
        <v>21</v>
      </c>
      <c r="J1086" t="s">
        <v>17</v>
      </c>
      <c r="K1086" t="str">
        <f t="shared" si="51"/>
        <v>3F1</v>
      </c>
      <c r="L1086" t="s">
        <v>15</v>
      </c>
    </row>
    <row r="1087" spans="1:12" x14ac:dyDescent="0.25">
      <c r="A1087" t="str">
        <f>"1651300046"</f>
        <v>1651300046</v>
      </c>
      <c r="B1087" t="str">
        <f t="shared" si="52"/>
        <v>89301000</v>
      </c>
      <c r="C1087" s="1">
        <v>44460</v>
      </c>
      <c r="D1087" s="1">
        <v>44474</v>
      </c>
      <c r="E1087">
        <v>5</v>
      </c>
      <c r="F1087" t="s">
        <v>960</v>
      </c>
      <c r="G1087" t="str">
        <f>"00-M01-03"</f>
        <v>00-M01-03</v>
      </c>
      <c r="H1087">
        <v>10.0288</v>
      </c>
      <c r="I1087" t="s">
        <v>961</v>
      </c>
      <c r="J1087" t="s">
        <v>14</v>
      </c>
      <c r="K1087" t="str">
        <f>"3T1"</f>
        <v>3T1</v>
      </c>
      <c r="L1087" t="s">
        <v>15</v>
      </c>
    </row>
    <row r="1088" spans="1:12" x14ac:dyDescent="0.25">
      <c r="A1088" t="str">
        <f>"1652010426"</f>
        <v>1652010426</v>
      </c>
      <c r="B1088" t="str">
        <f t="shared" si="52"/>
        <v>89301000</v>
      </c>
      <c r="C1088" s="1">
        <v>44299</v>
      </c>
      <c r="D1088" s="1">
        <v>44301</v>
      </c>
      <c r="E1088">
        <v>1</v>
      </c>
      <c r="F1088" t="s">
        <v>173</v>
      </c>
      <c r="G1088" t="str">
        <f>"08-I32-02"</f>
        <v>08-I32-02</v>
      </c>
      <c r="H1088">
        <v>0.4143</v>
      </c>
      <c r="J1088" t="s">
        <v>14</v>
      </c>
      <c r="K1088" t="str">
        <f>"3F1"</f>
        <v>3F1</v>
      </c>
      <c r="L1088" t="s">
        <v>15</v>
      </c>
    </row>
    <row r="1089" spans="1:12" x14ac:dyDescent="0.25">
      <c r="A1089" t="str">
        <f>"1652020810"</f>
        <v>1652020810</v>
      </c>
      <c r="B1089" t="str">
        <f t="shared" si="52"/>
        <v>89301000</v>
      </c>
      <c r="C1089" s="1">
        <v>44484</v>
      </c>
      <c r="D1089" s="1">
        <v>44495</v>
      </c>
      <c r="E1089">
        <v>5</v>
      </c>
      <c r="F1089" t="s">
        <v>962</v>
      </c>
      <c r="G1089" t="str">
        <f>"04-K08-03"</f>
        <v>04-K08-03</v>
      </c>
      <c r="H1089">
        <v>1.5965</v>
      </c>
      <c r="I1089" t="s">
        <v>963</v>
      </c>
      <c r="J1089" t="s">
        <v>14</v>
      </c>
      <c r="K1089" t="str">
        <f>"3T1"</f>
        <v>3T1</v>
      </c>
      <c r="L1089" t="s">
        <v>15</v>
      </c>
    </row>
    <row r="1090" spans="1:12" x14ac:dyDescent="0.25">
      <c r="A1090" t="str">
        <f>"1652120008"</f>
        <v>1652120008</v>
      </c>
      <c r="B1090" t="str">
        <f t="shared" si="52"/>
        <v>89301000</v>
      </c>
      <c r="C1090" s="1">
        <v>44542</v>
      </c>
      <c r="D1090" s="1">
        <v>44544</v>
      </c>
      <c r="E1090">
        <v>1</v>
      </c>
      <c r="F1090" t="s">
        <v>720</v>
      </c>
      <c r="G1090" t="str">
        <f>"06-K02-04"</f>
        <v>06-K02-04</v>
      </c>
      <c r="H1090">
        <v>0.3634</v>
      </c>
      <c r="I1090" t="s">
        <v>552</v>
      </c>
      <c r="J1090" t="s">
        <v>14</v>
      </c>
      <c r="K1090" t="str">
        <f t="shared" ref="K1090:K1100" si="53">"3F1"</f>
        <v>3F1</v>
      </c>
      <c r="L1090" t="s">
        <v>15</v>
      </c>
    </row>
    <row r="1091" spans="1:12" x14ac:dyDescent="0.25">
      <c r="A1091" t="str">
        <f>"1652260368"</f>
        <v>1652260368</v>
      </c>
      <c r="B1091" t="str">
        <f t="shared" si="52"/>
        <v>89301000</v>
      </c>
      <c r="C1091" s="1">
        <v>44342</v>
      </c>
      <c r="D1091" s="1">
        <v>44343</v>
      </c>
      <c r="E1091">
        <v>1</v>
      </c>
      <c r="F1091" t="s">
        <v>532</v>
      </c>
      <c r="G1091" t="str">
        <f>"06-M01-05"</f>
        <v>06-M01-05</v>
      </c>
      <c r="H1091">
        <v>0.41710000000000003</v>
      </c>
      <c r="I1091" t="s">
        <v>895</v>
      </c>
      <c r="J1091" t="s">
        <v>14</v>
      </c>
      <c r="K1091" t="str">
        <f t="shared" si="53"/>
        <v>3F1</v>
      </c>
      <c r="L1091" t="s">
        <v>15</v>
      </c>
    </row>
    <row r="1092" spans="1:12" x14ac:dyDescent="0.25">
      <c r="A1092" t="str">
        <f>"1653020182"</f>
        <v>1653020182</v>
      </c>
      <c r="B1092" t="str">
        <f t="shared" si="52"/>
        <v>89301000</v>
      </c>
      <c r="C1092" s="1">
        <v>44455</v>
      </c>
      <c r="D1092" s="1">
        <v>44456</v>
      </c>
      <c r="E1092">
        <v>1</v>
      </c>
      <c r="F1092" t="s">
        <v>563</v>
      </c>
      <c r="G1092" t="str">
        <f>"06-K22-03"</f>
        <v>06-K22-03</v>
      </c>
      <c r="H1092">
        <v>0.3165</v>
      </c>
      <c r="J1092" t="s">
        <v>14</v>
      </c>
      <c r="K1092" t="str">
        <f t="shared" si="53"/>
        <v>3F1</v>
      </c>
      <c r="L1092" t="s">
        <v>15</v>
      </c>
    </row>
    <row r="1093" spans="1:12" x14ac:dyDescent="0.25">
      <c r="A1093" t="str">
        <f>"1653270014"</f>
        <v>1653270014</v>
      </c>
      <c r="B1093" t="str">
        <f t="shared" si="52"/>
        <v>89301000</v>
      </c>
      <c r="C1093" s="1">
        <v>44458</v>
      </c>
      <c r="D1093" s="1">
        <v>44460</v>
      </c>
      <c r="E1093">
        <v>1</v>
      </c>
      <c r="F1093" t="s">
        <v>234</v>
      </c>
      <c r="G1093" t="str">
        <f>"03-I21-00"</f>
        <v>03-I21-00</v>
      </c>
      <c r="H1093">
        <v>0.38500000000000001</v>
      </c>
      <c r="J1093" t="s">
        <v>14</v>
      </c>
      <c r="K1093" t="str">
        <f t="shared" si="53"/>
        <v>3F1</v>
      </c>
      <c r="L1093" t="s">
        <v>15</v>
      </c>
    </row>
    <row r="1094" spans="1:12" x14ac:dyDescent="0.25">
      <c r="A1094" t="str">
        <f>"1653300297"</f>
        <v>1653300297</v>
      </c>
      <c r="B1094" t="str">
        <f t="shared" si="52"/>
        <v>89301000</v>
      </c>
      <c r="C1094" s="1">
        <v>44378</v>
      </c>
      <c r="D1094" s="1">
        <v>44380</v>
      </c>
      <c r="E1094">
        <v>1</v>
      </c>
      <c r="F1094" t="s">
        <v>396</v>
      </c>
      <c r="G1094" t="str">
        <f>"08-I20-03"</f>
        <v>08-I20-03</v>
      </c>
      <c r="H1094">
        <v>0.63300000000000001</v>
      </c>
      <c r="I1094" t="s">
        <v>818</v>
      </c>
      <c r="J1094" t="s">
        <v>17</v>
      </c>
      <c r="K1094" t="str">
        <f t="shared" si="53"/>
        <v>3F1</v>
      </c>
      <c r="L1094" t="s">
        <v>15</v>
      </c>
    </row>
    <row r="1095" spans="1:12" x14ac:dyDescent="0.25">
      <c r="A1095" t="str">
        <f>"1654080175"</f>
        <v>1654080175</v>
      </c>
      <c r="B1095" t="str">
        <f t="shared" si="52"/>
        <v>89301000</v>
      </c>
      <c r="C1095" s="1">
        <v>44538</v>
      </c>
      <c r="D1095" s="1">
        <v>44540</v>
      </c>
      <c r="E1095">
        <v>5</v>
      </c>
      <c r="F1095" t="s">
        <v>964</v>
      </c>
      <c r="G1095" t="str">
        <f>"09-I13-03"</f>
        <v>09-I13-03</v>
      </c>
      <c r="H1095">
        <v>0.77380000000000004</v>
      </c>
      <c r="J1095" t="s">
        <v>14</v>
      </c>
      <c r="K1095" t="str">
        <f t="shared" si="53"/>
        <v>3F1</v>
      </c>
      <c r="L1095" t="s">
        <v>15</v>
      </c>
    </row>
    <row r="1096" spans="1:12" x14ac:dyDescent="0.25">
      <c r="A1096" t="str">
        <f>"1654260509"</f>
        <v>1654260509</v>
      </c>
      <c r="B1096" t="str">
        <f t="shared" si="52"/>
        <v>89301000</v>
      </c>
      <c r="C1096" s="1">
        <v>44507</v>
      </c>
      <c r="D1096" s="1">
        <v>44509</v>
      </c>
      <c r="E1096">
        <v>1</v>
      </c>
      <c r="F1096" t="s">
        <v>234</v>
      </c>
      <c r="G1096" t="str">
        <f>"03-I21-00"</f>
        <v>03-I21-00</v>
      </c>
      <c r="H1096">
        <v>0.38500000000000001</v>
      </c>
      <c r="J1096" t="s">
        <v>14</v>
      </c>
      <c r="K1096" t="str">
        <f t="shared" si="53"/>
        <v>3F1</v>
      </c>
      <c r="L1096" t="s">
        <v>15</v>
      </c>
    </row>
    <row r="1097" spans="1:12" x14ac:dyDescent="0.25">
      <c r="A1097" t="str">
        <f>"1655310162"</f>
        <v>1655310162</v>
      </c>
      <c r="B1097" t="str">
        <f t="shared" si="52"/>
        <v>89301000</v>
      </c>
      <c r="C1097" s="1">
        <v>44555</v>
      </c>
      <c r="D1097" s="1">
        <v>44557</v>
      </c>
      <c r="E1097">
        <v>1</v>
      </c>
      <c r="F1097" t="s">
        <v>617</v>
      </c>
      <c r="G1097" t="str">
        <f>"06-K02-04"</f>
        <v>06-K02-04</v>
      </c>
      <c r="H1097">
        <v>0.3634</v>
      </c>
      <c r="I1097" t="s">
        <v>530</v>
      </c>
      <c r="J1097" t="s">
        <v>14</v>
      </c>
      <c r="K1097" t="str">
        <f t="shared" si="53"/>
        <v>3F1</v>
      </c>
      <c r="L1097" t="s">
        <v>15</v>
      </c>
    </row>
    <row r="1098" spans="1:12" x14ac:dyDescent="0.25">
      <c r="A1098" t="str">
        <f>"1656060197"</f>
        <v>1656060197</v>
      </c>
      <c r="B1098" t="str">
        <f t="shared" si="52"/>
        <v>89301000</v>
      </c>
      <c r="C1098" s="1">
        <v>44464</v>
      </c>
      <c r="D1098" s="1">
        <v>44466</v>
      </c>
      <c r="E1098">
        <v>1</v>
      </c>
      <c r="F1098" t="s">
        <v>720</v>
      </c>
      <c r="G1098" t="str">
        <f>"06-K02-04"</f>
        <v>06-K02-04</v>
      </c>
      <c r="H1098">
        <v>0.3634</v>
      </c>
      <c r="I1098" t="s">
        <v>965</v>
      </c>
      <c r="J1098" t="s">
        <v>14</v>
      </c>
      <c r="K1098" t="str">
        <f t="shared" si="53"/>
        <v>3F1</v>
      </c>
      <c r="L1098" t="s">
        <v>15</v>
      </c>
    </row>
    <row r="1099" spans="1:12" x14ac:dyDescent="0.25">
      <c r="A1099" t="str">
        <f>"1656070229"</f>
        <v>1656070229</v>
      </c>
      <c r="B1099" t="str">
        <f t="shared" si="52"/>
        <v>89301000</v>
      </c>
      <c r="C1099" s="1">
        <v>44486</v>
      </c>
      <c r="D1099" s="1">
        <v>44488</v>
      </c>
      <c r="E1099">
        <v>1</v>
      </c>
      <c r="F1099" t="s">
        <v>234</v>
      </c>
      <c r="G1099" t="str">
        <f>"03-I21-00"</f>
        <v>03-I21-00</v>
      </c>
      <c r="H1099">
        <v>0.38500000000000001</v>
      </c>
      <c r="J1099" t="s">
        <v>14</v>
      </c>
      <c r="K1099" t="str">
        <f t="shared" si="53"/>
        <v>3F1</v>
      </c>
      <c r="L1099" t="s">
        <v>15</v>
      </c>
    </row>
    <row r="1100" spans="1:12" x14ac:dyDescent="0.25">
      <c r="A1100" t="str">
        <f>"1658100620"</f>
        <v>1658100620</v>
      </c>
      <c r="B1100" t="str">
        <f t="shared" si="52"/>
        <v>89301000</v>
      </c>
      <c r="C1100" s="1">
        <v>44448</v>
      </c>
      <c r="D1100" s="1">
        <v>44450</v>
      </c>
      <c r="E1100">
        <v>1</v>
      </c>
      <c r="F1100" t="s">
        <v>234</v>
      </c>
      <c r="G1100" t="str">
        <f>"03-I21-00"</f>
        <v>03-I21-00</v>
      </c>
      <c r="H1100">
        <v>0.38500000000000001</v>
      </c>
      <c r="J1100" t="s">
        <v>14</v>
      </c>
      <c r="K1100" t="str">
        <f t="shared" si="53"/>
        <v>3F1</v>
      </c>
      <c r="L1100" t="s">
        <v>15</v>
      </c>
    </row>
    <row r="1101" spans="1:12" x14ac:dyDescent="0.25">
      <c r="A1101" t="str">
        <f>"1658110674"</f>
        <v>1658110674</v>
      </c>
      <c r="B1101" t="str">
        <f t="shared" si="52"/>
        <v>89301000</v>
      </c>
      <c r="C1101" s="1">
        <v>44479</v>
      </c>
      <c r="D1101" s="1">
        <v>44480</v>
      </c>
      <c r="E1101">
        <v>6</v>
      </c>
      <c r="F1101" t="s">
        <v>966</v>
      </c>
      <c r="G1101" t="str">
        <f>"03-K02-03"</f>
        <v>03-K02-03</v>
      </c>
      <c r="H1101">
        <v>0.33960000000000001</v>
      </c>
      <c r="I1101" t="s">
        <v>552</v>
      </c>
      <c r="J1101" t="s">
        <v>14</v>
      </c>
      <c r="K1101" t="str">
        <f>"3T1"</f>
        <v>3T1</v>
      </c>
      <c r="L1101" t="s">
        <v>15</v>
      </c>
    </row>
    <row r="1102" spans="1:12" x14ac:dyDescent="0.25">
      <c r="A1102" t="str">
        <f>"1658171075"</f>
        <v>1658171075</v>
      </c>
      <c r="B1102" t="str">
        <f t="shared" si="52"/>
        <v>89301000</v>
      </c>
      <c r="C1102" s="1">
        <v>44514</v>
      </c>
      <c r="D1102" s="1">
        <v>44518</v>
      </c>
      <c r="E1102">
        <v>1</v>
      </c>
      <c r="F1102" t="s">
        <v>273</v>
      </c>
      <c r="G1102" t="str">
        <f>"23-K06-00"</f>
        <v>23-K06-00</v>
      </c>
      <c r="H1102">
        <v>0.61319999999999997</v>
      </c>
      <c r="I1102" t="s">
        <v>909</v>
      </c>
      <c r="J1102" t="s">
        <v>14</v>
      </c>
      <c r="K1102" t="str">
        <f t="shared" ref="K1102:K1118" si="54">"3F1"</f>
        <v>3F1</v>
      </c>
      <c r="L1102" t="s">
        <v>15</v>
      </c>
    </row>
    <row r="1103" spans="1:12" x14ac:dyDescent="0.25">
      <c r="A1103" t="str">
        <f>"1658251650"</f>
        <v>1658251650</v>
      </c>
      <c r="B1103" t="str">
        <f t="shared" si="52"/>
        <v>89301000</v>
      </c>
      <c r="C1103" s="1">
        <v>44550</v>
      </c>
      <c r="D1103" s="1">
        <v>44552</v>
      </c>
      <c r="E1103">
        <v>5</v>
      </c>
      <c r="F1103" t="s">
        <v>967</v>
      </c>
      <c r="G1103" t="str">
        <f>"17-K10-02"</f>
        <v>17-K10-02</v>
      </c>
      <c r="H1103">
        <v>0.65480000000000005</v>
      </c>
      <c r="I1103" t="s">
        <v>168</v>
      </c>
      <c r="J1103" t="s">
        <v>14</v>
      </c>
      <c r="K1103" t="str">
        <f t="shared" si="54"/>
        <v>3F1</v>
      </c>
      <c r="L1103" t="s">
        <v>15</v>
      </c>
    </row>
    <row r="1104" spans="1:12" x14ac:dyDescent="0.25">
      <c r="A1104" t="str">
        <f>"1659121409"</f>
        <v>1659121409</v>
      </c>
      <c r="B1104" t="str">
        <f t="shared" si="52"/>
        <v>89301000</v>
      </c>
      <c r="C1104" s="1">
        <v>44531</v>
      </c>
      <c r="D1104" s="1">
        <v>44533</v>
      </c>
      <c r="E1104">
        <v>1</v>
      </c>
      <c r="F1104" t="s">
        <v>234</v>
      </c>
      <c r="G1104" t="str">
        <f>"03-I21-00"</f>
        <v>03-I21-00</v>
      </c>
      <c r="H1104">
        <v>0.38500000000000001</v>
      </c>
      <c r="J1104" t="s">
        <v>14</v>
      </c>
      <c r="K1104" t="str">
        <f t="shared" si="54"/>
        <v>3F1</v>
      </c>
      <c r="L1104" t="s">
        <v>15</v>
      </c>
    </row>
    <row r="1105" spans="1:12" x14ac:dyDescent="0.25">
      <c r="A1105" t="str">
        <f>"1659151615"</f>
        <v>1659151615</v>
      </c>
      <c r="B1105" t="str">
        <f t="shared" si="52"/>
        <v>89301000</v>
      </c>
      <c r="C1105" s="1">
        <v>44475</v>
      </c>
      <c r="D1105" s="1">
        <v>44477</v>
      </c>
      <c r="E1105">
        <v>1</v>
      </c>
      <c r="F1105" t="s">
        <v>151</v>
      </c>
      <c r="G1105" t="str">
        <f>"06-I16-05"</f>
        <v>06-I16-05</v>
      </c>
      <c r="H1105">
        <v>0.46139999999999998</v>
      </c>
      <c r="J1105" t="s">
        <v>24</v>
      </c>
      <c r="K1105" t="str">
        <f t="shared" si="54"/>
        <v>3F1</v>
      </c>
      <c r="L1105" t="s">
        <v>15</v>
      </c>
    </row>
    <row r="1106" spans="1:12" x14ac:dyDescent="0.25">
      <c r="A1106" t="str">
        <f>"1659290303"</f>
        <v>1659290303</v>
      </c>
      <c r="B1106" t="str">
        <f t="shared" si="52"/>
        <v>89301000</v>
      </c>
      <c r="C1106" s="1">
        <v>44222</v>
      </c>
      <c r="D1106" s="1">
        <v>44228</v>
      </c>
      <c r="E1106">
        <v>1</v>
      </c>
      <c r="F1106" t="s">
        <v>968</v>
      </c>
      <c r="G1106" t="str">
        <f>"08-I21-02"</f>
        <v>08-I21-02</v>
      </c>
      <c r="H1106">
        <v>1.3371999999999999</v>
      </c>
      <c r="I1106" t="s">
        <v>525</v>
      </c>
      <c r="J1106" t="s">
        <v>17</v>
      </c>
      <c r="K1106" t="str">
        <f t="shared" si="54"/>
        <v>3F1</v>
      </c>
      <c r="L1106" t="s">
        <v>15</v>
      </c>
    </row>
    <row r="1107" spans="1:12" x14ac:dyDescent="0.25">
      <c r="A1107" t="str">
        <f>"1660121639"</f>
        <v>1660121639</v>
      </c>
      <c r="B1107" t="str">
        <f t="shared" si="52"/>
        <v>89301000</v>
      </c>
      <c r="C1107" s="1">
        <v>44538</v>
      </c>
      <c r="D1107" s="1">
        <v>44540</v>
      </c>
      <c r="E1107">
        <v>1</v>
      </c>
      <c r="F1107" t="s">
        <v>617</v>
      </c>
      <c r="G1107" t="str">
        <f>"06-K02-04"</f>
        <v>06-K02-04</v>
      </c>
      <c r="H1107">
        <v>0.3634</v>
      </c>
      <c r="I1107" t="s">
        <v>530</v>
      </c>
      <c r="J1107" t="s">
        <v>14</v>
      </c>
      <c r="K1107" t="str">
        <f t="shared" si="54"/>
        <v>3F1</v>
      </c>
      <c r="L1107" t="s">
        <v>15</v>
      </c>
    </row>
    <row r="1108" spans="1:12" x14ac:dyDescent="0.25">
      <c r="A1108" t="str">
        <f>"1660130483"</f>
        <v>1660130483</v>
      </c>
      <c r="B1108" t="str">
        <f t="shared" si="52"/>
        <v>89301000</v>
      </c>
      <c r="C1108" s="1">
        <v>44437</v>
      </c>
      <c r="D1108" s="1">
        <v>44439</v>
      </c>
      <c r="E1108">
        <v>1</v>
      </c>
      <c r="F1108" t="s">
        <v>969</v>
      </c>
      <c r="G1108" t="str">
        <f>"09-I13-04"</f>
        <v>09-I13-04</v>
      </c>
      <c r="H1108">
        <v>0.57730000000000004</v>
      </c>
      <c r="J1108" t="s">
        <v>14</v>
      </c>
      <c r="K1108" t="str">
        <f t="shared" si="54"/>
        <v>3F1</v>
      </c>
      <c r="L1108" t="s">
        <v>15</v>
      </c>
    </row>
    <row r="1109" spans="1:12" x14ac:dyDescent="0.25">
      <c r="A1109" t="str">
        <f>"1660250647"</f>
        <v>1660250647</v>
      </c>
      <c r="B1109" t="str">
        <f t="shared" si="52"/>
        <v>89301000</v>
      </c>
      <c r="C1109" s="1">
        <v>44486</v>
      </c>
      <c r="D1109" s="1">
        <v>44488</v>
      </c>
      <c r="E1109">
        <v>1</v>
      </c>
      <c r="F1109" t="s">
        <v>234</v>
      </c>
      <c r="G1109" t="str">
        <f>"03-I21-00"</f>
        <v>03-I21-00</v>
      </c>
      <c r="H1109">
        <v>0.38500000000000001</v>
      </c>
      <c r="J1109" t="s">
        <v>14</v>
      </c>
      <c r="K1109" t="str">
        <f t="shared" si="54"/>
        <v>3F1</v>
      </c>
      <c r="L1109" t="s">
        <v>15</v>
      </c>
    </row>
    <row r="1110" spans="1:12" x14ac:dyDescent="0.25">
      <c r="A1110" t="str">
        <f>"1661010021"</f>
        <v>1661010021</v>
      </c>
      <c r="B1110" t="str">
        <f t="shared" si="52"/>
        <v>89301000</v>
      </c>
      <c r="C1110" s="1">
        <v>44223</v>
      </c>
      <c r="D1110" s="1">
        <v>44225</v>
      </c>
      <c r="E1110">
        <v>1</v>
      </c>
      <c r="F1110" t="s">
        <v>632</v>
      </c>
      <c r="G1110" t="str">
        <f>"06-I17-05"</f>
        <v>06-I17-05</v>
      </c>
      <c r="H1110">
        <v>0.39450000000000002</v>
      </c>
      <c r="J1110" t="s">
        <v>17</v>
      </c>
      <c r="K1110" t="str">
        <f t="shared" si="54"/>
        <v>3F1</v>
      </c>
      <c r="L1110" t="s">
        <v>15</v>
      </c>
    </row>
    <row r="1111" spans="1:12" x14ac:dyDescent="0.25">
      <c r="A1111" t="str">
        <f>"1661170742"</f>
        <v>1661170742</v>
      </c>
      <c r="B1111" t="str">
        <f t="shared" si="52"/>
        <v>89301000</v>
      </c>
      <c r="C1111" s="1">
        <v>44321</v>
      </c>
      <c r="D1111" s="1">
        <v>44323</v>
      </c>
      <c r="E1111">
        <v>1</v>
      </c>
      <c r="F1111" t="s">
        <v>398</v>
      </c>
      <c r="G1111" t="str">
        <f>"06-I16-05"</f>
        <v>06-I16-05</v>
      </c>
      <c r="H1111">
        <v>0.46139999999999998</v>
      </c>
      <c r="J1111" t="s">
        <v>24</v>
      </c>
      <c r="K1111" t="str">
        <f t="shared" si="54"/>
        <v>3F1</v>
      </c>
      <c r="L1111" t="s">
        <v>15</v>
      </c>
    </row>
    <row r="1112" spans="1:12" x14ac:dyDescent="0.25">
      <c r="A1112" t="str">
        <f>"1662010141"</f>
        <v>1662010141</v>
      </c>
      <c r="B1112" t="str">
        <f t="shared" si="52"/>
        <v>89301000</v>
      </c>
      <c r="C1112" s="1">
        <v>44360</v>
      </c>
      <c r="D1112" s="1">
        <v>44362</v>
      </c>
      <c r="E1112">
        <v>1</v>
      </c>
      <c r="F1112" t="s">
        <v>234</v>
      </c>
      <c r="G1112" t="str">
        <f>"03-I21-00"</f>
        <v>03-I21-00</v>
      </c>
      <c r="H1112">
        <v>0.38500000000000001</v>
      </c>
      <c r="J1112" t="s">
        <v>14</v>
      </c>
      <c r="K1112" t="str">
        <f t="shared" si="54"/>
        <v>3F1</v>
      </c>
      <c r="L1112" t="s">
        <v>15</v>
      </c>
    </row>
    <row r="1113" spans="1:12" x14ac:dyDescent="0.25">
      <c r="A1113" t="str">
        <f>"1662200177"</f>
        <v>1662200177</v>
      </c>
      <c r="B1113" t="str">
        <f t="shared" si="52"/>
        <v>89301000</v>
      </c>
      <c r="C1113" s="1">
        <v>44280</v>
      </c>
      <c r="D1113" s="1">
        <v>44282</v>
      </c>
      <c r="E1113">
        <v>1</v>
      </c>
      <c r="F1113" t="s">
        <v>751</v>
      </c>
      <c r="G1113" t="str">
        <f>"11-K11-00"</f>
        <v>11-K11-00</v>
      </c>
      <c r="H1113">
        <v>0.52710000000000001</v>
      </c>
      <c r="J1113" t="s">
        <v>14</v>
      </c>
      <c r="K1113" t="str">
        <f t="shared" si="54"/>
        <v>3F1</v>
      </c>
      <c r="L1113" t="s">
        <v>15</v>
      </c>
    </row>
    <row r="1114" spans="1:12" x14ac:dyDescent="0.25">
      <c r="A1114" t="str">
        <f>"1662220274"</f>
        <v>1662220274</v>
      </c>
      <c r="B1114" t="str">
        <f t="shared" si="52"/>
        <v>89301000</v>
      </c>
      <c r="C1114" s="1">
        <v>44215</v>
      </c>
      <c r="D1114" s="1">
        <v>44223</v>
      </c>
      <c r="E1114">
        <v>1</v>
      </c>
      <c r="F1114" t="s">
        <v>23</v>
      </c>
      <c r="G1114" t="str">
        <f>"06-I18-04"</f>
        <v>06-I18-04</v>
      </c>
      <c r="H1114">
        <v>1.1514</v>
      </c>
      <c r="I1114" t="s">
        <v>168</v>
      </c>
      <c r="J1114" t="s">
        <v>24</v>
      </c>
      <c r="K1114" t="str">
        <f t="shared" si="54"/>
        <v>3F1</v>
      </c>
      <c r="L1114" t="s">
        <v>15</v>
      </c>
    </row>
    <row r="1115" spans="1:12" x14ac:dyDescent="0.25">
      <c r="A1115" t="str">
        <f>"1701160175"</f>
        <v>1701160175</v>
      </c>
      <c r="B1115" t="str">
        <f t="shared" si="52"/>
        <v>89301000</v>
      </c>
      <c r="C1115" s="1">
        <v>44436</v>
      </c>
      <c r="D1115" s="1">
        <v>44437</v>
      </c>
      <c r="E1115">
        <v>1</v>
      </c>
      <c r="F1115" t="s">
        <v>407</v>
      </c>
      <c r="G1115" t="str">
        <f>"03-K03-02"</f>
        <v>03-K03-02</v>
      </c>
      <c r="H1115">
        <v>0.49249999999999999</v>
      </c>
      <c r="I1115" t="s">
        <v>408</v>
      </c>
      <c r="J1115" t="s">
        <v>14</v>
      </c>
      <c r="K1115" t="str">
        <f t="shared" si="54"/>
        <v>3F1</v>
      </c>
      <c r="L1115" t="s">
        <v>15</v>
      </c>
    </row>
    <row r="1116" spans="1:12" x14ac:dyDescent="0.25">
      <c r="A1116" t="str">
        <f>"1701191327"</f>
        <v>1701191327</v>
      </c>
      <c r="B1116" t="str">
        <f t="shared" si="52"/>
        <v>89301000</v>
      </c>
      <c r="C1116" s="1">
        <v>44374</v>
      </c>
      <c r="D1116" s="1">
        <v>44376</v>
      </c>
      <c r="E1116">
        <v>1</v>
      </c>
      <c r="F1116" t="s">
        <v>970</v>
      </c>
      <c r="G1116" t="str">
        <f>"09-I13-04"</f>
        <v>09-I13-04</v>
      </c>
      <c r="H1116">
        <v>0.57730000000000004</v>
      </c>
      <c r="J1116" t="s">
        <v>14</v>
      </c>
      <c r="K1116" t="str">
        <f t="shared" si="54"/>
        <v>3F1</v>
      </c>
      <c r="L1116" t="s">
        <v>15</v>
      </c>
    </row>
    <row r="1117" spans="1:12" x14ac:dyDescent="0.25">
      <c r="A1117" t="str">
        <f>"1701240486"</f>
        <v>1701240486</v>
      </c>
      <c r="B1117" t="str">
        <f t="shared" si="52"/>
        <v>89301000</v>
      </c>
      <c r="C1117" s="1">
        <v>44349</v>
      </c>
      <c r="D1117" s="1">
        <v>44354</v>
      </c>
      <c r="E1117">
        <v>1</v>
      </c>
      <c r="F1117" t="s">
        <v>971</v>
      </c>
      <c r="G1117" t="str">
        <f>"01-K18-04"</f>
        <v>01-K18-04</v>
      </c>
      <c r="H1117">
        <v>0.49890000000000001</v>
      </c>
      <c r="I1117" t="s">
        <v>354</v>
      </c>
      <c r="J1117" t="s">
        <v>14</v>
      </c>
      <c r="K1117" t="str">
        <f t="shared" si="54"/>
        <v>3F1</v>
      </c>
      <c r="L1117" t="s">
        <v>15</v>
      </c>
    </row>
    <row r="1118" spans="1:12" x14ac:dyDescent="0.25">
      <c r="A1118" t="str">
        <f>"1701271935"</f>
        <v>1701271935</v>
      </c>
      <c r="B1118" t="str">
        <f t="shared" si="52"/>
        <v>89301000</v>
      </c>
      <c r="C1118" s="1">
        <v>44345</v>
      </c>
      <c r="D1118" s="1">
        <v>44354</v>
      </c>
      <c r="E1118">
        <v>1</v>
      </c>
      <c r="F1118" t="s">
        <v>972</v>
      </c>
      <c r="G1118" t="str">
        <f>"08-K02-01"</f>
        <v>08-K02-01</v>
      </c>
      <c r="H1118">
        <v>1.5983000000000001</v>
      </c>
      <c r="I1118" t="s">
        <v>567</v>
      </c>
      <c r="J1118" t="s">
        <v>14</v>
      </c>
      <c r="K1118" t="str">
        <f t="shared" si="54"/>
        <v>3F1</v>
      </c>
      <c r="L1118" t="s">
        <v>15</v>
      </c>
    </row>
    <row r="1119" spans="1:12" x14ac:dyDescent="0.25">
      <c r="A1119" t="str">
        <f>"1701271935"</f>
        <v>1701271935</v>
      </c>
      <c r="B1119" t="str">
        <f t="shared" si="52"/>
        <v>89301000</v>
      </c>
      <c r="C1119" s="1">
        <v>44358</v>
      </c>
      <c r="D1119" s="1">
        <v>44358</v>
      </c>
      <c r="E1119">
        <v>5</v>
      </c>
      <c r="F1119" t="s">
        <v>973</v>
      </c>
      <c r="G1119" t="str">
        <f>"08-K02-02"</f>
        <v>08-K02-02</v>
      </c>
      <c r="H1119">
        <v>0.40600000000000003</v>
      </c>
      <c r="I1119" t="s">
        <v>974</v>
      </c>
      <c r="J1119" t="s">
        <v>14</v>
      </c>
      <c r="K1119" t="str">
        <f>"3T1"</f>
        <v>3T1</v>
      </c>
      <c r="L1119" t="s">
        <v>15</v>
      </c>
    </row>
    <row r="1120" spans="1:12" x14ac:dyDescent="0.25">
      <c r="A1120" t="str">
        <f>"1701271935"</f>
        <v>1701271935</v>
      </c>
      <c r="B1120" t="str">
        <f t="shared" si="52"/>
        <v>89301000</v>
      </c>
      <c r="C1120" s="1">
        <v>44380</v>
      </c>
      <c r="D1120" s="1">
        <v>44386</v>
      </c>
      <c r="E1120">
        <v>1</v>
      </c>
      <c r="F1120" t="s">
        <v>973</v>
      </c>
      <c r="G1120" t="str">
        <f>"08-K02-03"</f>
        <v>08-K02-03</v>
      </c>
      <c r="H1120">
        <v>0.73560000000000003</v>
      </c>
      <c r="I1120" t="s">
        <v>168</v>
      </c>
      <c r="J1120" t="s">
        <v>14</v>
      </c>
      <c r="K1120" t="str">
        <f t="shared" ref="K1120:K1128" si="55">"3F1"</f>
        <v>3F1</v>
      </c>
      <c r="L1120" t="s">
        <v>15</v>
      </c>
    </row>
    <row r="1121" spans="1:12" x14ac:dyDescent="0.25">
      <c r="A1121" t="str">
        <f>"1702020078"</f>
        <v>1702020078</v>
      </c>
      <c r="B1121" t="str">
        <f t="shared" si="52"/>
        <v>89301000</v>
      </c>
      <c r="C1121" s="1">
        <v>44491</v>
      </c>
      <c r="D1121" s="1">
        <v>44492</v>
      </c>
      <c r="E1121">
        <v>1</v>
      </c>
      <c r="F1121" t="s">
        <v>467</v>
      </c>
      <c r="G1121" t="str">
        <f>"06-K22-03"</f>
        <v>06-K22-03</v>
      </c>
      <c r="H1121">
        <v>0.3165</v>
      </c>
      <c r="J1121" t="s">
        <v>14</v>
      </c>
      <c r="K1121" t="str">
        <f t="shared" si="55"/>
        <v>3F1</v>
      </c>
      <c r="L1121" t="s">
        <v>15</v>
      </c>
    </row>
    <row r="1122" spans="1:12" x14ac:dyDescent="0.25">
      <c r="A1122" t="str">
        <f>"1702060283"</f>
        <v>1702060283</v>
      </c>
      <c r="B1122" t="str">
        <f t="shared" si="52"/>
        <v>89301000</v>
      </c>
      <c r="C1122" s="1">
        <v>44474</v>
      </c>
      <c r="D1122" s="1">
        <v>44480</v>
      </c>
      <c r="E1122">
        <v>1</v>
      </c>
      <c r="F1122" t="s">
        <v>564</v>
      </c>
      <c r="G1122" t="str">
        <f>"06-I09-01"</f>
        <v>06-I09-01</v>
      </c>
      <c r="H1122">
        <v>3.3593999999999999</v>
      </c>
      <c r="J1122" t="s">
        <v>17</v>
      </c>
      <c r="K1122" t="str">
        <f t="shared" si="55"/>
        <v>3F1</v>
      </c>
      <c r="L1122" t="s">
        <v>15</v>
      </c>
    </row>
    <row r="1123" spans="1:12" x14ac:dyDescent="0.25">
      <c r="A1123" t="str">
        <f>"1702090313"</f>
        <v>1702090313</v>
      </c>
      <c r="B1123" t="str">
        <f t="shared" si="52"/>
        <v>89301000</v>
      </c>
      <c r="C1123" s="1">
        <v>44525</v>
      </c>
      <c r="D1123" s="1">
        <v>44526</v>
      </c>
      <c r="E1123">
        <v>1</v>
      </c>
      <c r="F1123" t="s">
        <v>563</v>
      </c>
      <c r="G1123" t="str">
        <f>"06-K22-03"</f>
        <v>06-K22-03</v>
      </c>
      <c r="H1123">
        <v>0.3165</v>
      </c>
      <c r="J1123" t="s">
        <v>14</v>
      </c>
      <c r="K1123" t="str">
        <f t="shared" si="55"/>
        <v>3F1</v>
      </c>
      <c r="L1123" t="s">
        <v>15</v>
      </c>
    </row>
    <row r="1124" spans="1:12" x14ac:dyDescent="0.25">
      <c r="A1124" t="str">
        <f>"1702130034"</f>
        <v>1702130034</v>
      </c>
      <c r="B1124" t="str">
        <f t="shared" si="52"/>
        <v>89301000</v>
      </c>
      <c r="C1124" s="1">
        <v>44516</v>
      </c>
      <c r="D1124" s="1">
        <v>44518</v>
      </c>
      <c r="E1124">
        <v>1</v>
      </c>
      <c r="F1124" t="s">
        <v>924</v>
      </c>
      <c r="G1124" t="str">
        <f>"06-K02-04"</f>
        <v>06-K02-04</v>
      </c>
      <c r="H1124">
        <v>0.3634</v>
      </c>
      <c r="I1124" t="s">
        <v>975</v>
      </c>
      <c r="J1124" t="s">
        <v>14</v>
      </c>
      <c r="K1124" t="str">
        <f t="shared" si="55"/>
        <v>3F1</v>
      </c>
      <c r="L1124" t="s">
        <v>15</v>
      </c>
    </row>
    <row r="1125" spans="1:12" x14ac:dyDescent="0.25">
      <c r="A1125" t="str">
        <f>"1702230013"</f>
        <v>1702230013</v>
      </c>
      <c r="B1125" t="str">
        <f t="shared" si="52"/>
        <v>89301000</v>
      </c>
      <c r="C1125" s="1">
        <v>44378</v>
      </c>
      <c r="D1125" s="1">
        <v>44381</v>
      </c>
      <c r="E1125">
        <v>1</v>
      </c>
      <c r="F1125" t="s">
        <v>976</v>
      </c>
      <c r="G1125" t="str">
        <f>"11-K06-01"</f>
        <v>11-K06-01</v>
      </c>
      <c r="H1125">
        <v>0.29770000000000002</v>
      </c>
      <c r="J1125" t="s">
        <v>14</v>
      </c>
      <c r="K1125" t="str">
        <f t="shared" si="55"/>
        <v>3F1</v>
      </c>
      <c r="L1125" t="s">
        <v>15</v>
      </c>
    </row>
    <row r="1126" spans="1:12" x14ac:dyDescent="0.25">
      <c r="A1126" t="str">
        <f>"1703040075"</f>
        <v>1703040075</v>
      </c>
      <c r="B1126" t="str">
        <f t="shared" si="52"/>
        <v>89301000</v>
      </c>
      <c r="C1126" s="1">
        <v>44466</v>
      </c>
      <c r="D1126" s="1">
        <v>44468</v>
      </c>
      <c r="E1126">
        <v>1</v>
      </c>
      <c r="F1126" t="s">
        <v>924</v>
      </c>
      <c r="G1126" t="str">
        <f>"06-K02-04"</f>
        <v>06-K02-04</v>
      </c>
      <c r="H1126">
        <v>0.3634</v>
      </c>
      <c r="I1126" t="s">
        <v>552</v>
      </c>
      <c r="J1126" t="s">
        <v>14</v>
      </c>
      <c r="K1126" t="str">
        <f t="shared" si="55"/>
        <v>3F1</v>
      </c>
      <c r="L1126" t="s">
        <v>15</v>
      </c>
    </row>
    <row r="1127" spans="1:12" x14ac:dyDescent="0.25">
      <c r="A1127" t="str">
        <f>"1703060172"</f>
        <v>1703060172</v>
      </c>
      <c r="B1127" t="str">
        <f t="shared" si="52"/>
        <v>89301000</v>
      </c>
      <c r="C1127" s="1">
        <v>44453</v>
      </c>
      <c r="D1127" s="1">
        <v>44466</v>
      </c>
      <c r="E1127">
        <v>1</v>
      </c>
      <c r="F1127" t="s">
        <v>498</v>
      </c>
      <c r="G1127" t="str">
        <f>"01-K02-03"</f>
        <v>01-K02-03</v>
      </c>
      <c r="H1127">
        <v>1.7790999999999999</v>
      </c>
      <c r="I1127" t="s">
        <v>977</v>
      </c>
      <c r="J1127" t="s">
        <v>14</v>
      </c>
      <c r="K1127" t="str">
        <f t="shared" si="55"/>
        <v>3F1</v>
      </c>
      <c r="L1127" t="s">
        <v>15</v>
      </c>
    </row>
    <row r="1128" spans="1:12" x14ac:dyDescent="0.25">
      <c r="A1128" t="str">
        <f>"1703081798"</f>
        <v>1703081798</v>
      </c>
      <c r="B1128" t="str">
        <f t="shared" si="52"/>
        <v>89301000</v>
      </c>
      <c r="C1128" s="1">
        <v>44438</v>
      </c>
      <c r="D1128" s="1">
        <v>44439</v>
      </c>
      <c r="E1128">
        <v>1</v>
      </c>
      <c r="F1128" t="s">
        <v>396</v>
      </c>
      <c r="G1128" t="str">
        <f>"08-I20-03"</f>
        <v>08-I20-03</v>
      </c>
      <c r="H1128">
        <v>0.63300000000000001</v>
      </c>
      <c r="I1128" t="s">
        <v>978</v>
      </c>
      <c r="J1128" t="s">
        <v>17</v>
      </c>
      <c r="K1128" t="str">
        <f t="shared" si="55"/>
        <v>3F1</v>
      </c>
      <c r="L1128" t="s">
        <v>15</v>
      </c>
    </row>
    <row r="1129" spans="1:12" x14ac:dyDescent="0.25">
      <c r="A1129" t="str">
        <f>"1704020802"</f>
        <v>1704020802</v>
      </c>
      <c r="B1129" t="str">
        <f t="shared" si="52"/>
        <v>89301000</v>
      </c>
      <c r="C1129" s="1">
        <v>44535</v>
      </c>
      <c r="D1129" s="1">
        <v>44537</v>
      </c>
      <c r="E1129">
        <v>6</v>
      </c>
      <c r="F1129" t="s">
        <v>980</v>
      </c>
      <c r="G1129" t="str">
        <f>"03-K02-02"</f>
        <v>03-K02-02</v>
      </c>
      <c r="H1129">
        <v>0.56889999999999996</v>
      </c>
      <c r="I1129" t="s">
        <v>981</v>
      </c>
      <c r="J1129" t="s">
        <v>14</v>
      </c>
      <c r="K1129" t="str">
        <f>"3T1"</f>
        <v>3T1</v>
      </c>
      <c r="L1129" t="s">
        <v>15</v>
      </c>
    </row>
    <row r="1130" spans="1:12" x14ac:dyDescent="0.25">
      <c r="A1130" t="str">
        <f>"1704061865"</f>
        <v>1704061865</v>
      </c>
      <c r="B1130" t="str">
        <f t="shared" si="52"/>
        <v>89301000</v>
      </c>
      <c r="C1130" s="1">
        <v>44499</v>
      </c>
      <c r="D1130" s="1">
        <v>44502</v>
      </c>
      <c r="E1130">
        <v>1</v>
      </c>
      <c r="F1130" t="s">
        <v>982</v>
      </c>
      <c r="G1130" t="str">
        <f>"04-K02-04"</f>
        <v>04-K02-04</v>
      </c>
      <c r="H1130">
        <v>0.82469999999999999</v>
      </c>
      <c r="I1130" t="s">
        <v>530</v>
      </c>
      <c r="J1130" t="s">
        <v>14</v>
      </c>
      <c r="K1130" t="str">
        <f t="shared" ref="K1130:K1141" si="56">"3F1"</f>
        <v>3F1</v>
      </c>
      <c r="L1130" t="s">
        <v>15</v>
      </c>
    </row>
    <row r="1131" spans="1:12" x14ac:dyDescent="0.25">
      <c r="A1131" t="str">
        <f>"1704231232"</f>
        <v>1704231232</v>
      </c>
      <c r="B1131" t="str">
        <f t="shared" si="52"/>
        <v>89301000</v>
      </c>
      <c r="C1131" s="1">
        <v>44236</v>
      </c>
      <c r="D1131" s="1">
        <v>44239</v>
      </c>
      <c r="E1131">
        <v>1</v>
      </c>
      <c r="F1131" t="s">
        <v>983</v>
      </c>
      <c r="G1131" t="str">
        <f>"03-I22-03"</f>
        <v>03-I22-03</v>
      </c>
      <c r="H1131">
        <v>0.49049999999999999</v>
      </c>
      <c r="I1131" t="s">
        <v>984</v>
      </c>
      <c r="J1131" t="s">
        <v>14</v>
      </c>
      <c r="K1131" t="str">
        <f t="shared" si="56"/>
        <v>3F1</v>
      </c>
      <c r="L1131" t="s">
        <v>15</v>
      </c>
    </row>
    <row r="1132" spans="1:12" x14ac:dyDescent="0.25">
      <c r="A1132" t="str">
        <f>"1704261680"</f>
        <v>1704261680</v>
      </c>
      <c r="B1132" t="str">
        <f t="shared" si="52"/>
        <v>89301000</v>
      </c>
      <c r="C1132" s="1">
        <v>44450</v>
      </c>
      <c r="D1132" s="1">
        <v>44452</v>
      </c>
      <c r="E1132">
        <v>1</v>
      </c>
      <c r="F1132" t="s">
        <v>617</v>
      </c>
      <c r="G1132" t="str">
        <f>"06-K02-04"</f>
        <v>06-K02-04</v>
      </c>
      <c r="H1132">
        <v>0.3634</v>
      </c>
      <c r="I1132" t="s">
        <v>530</v>
      </c>
      <c r="J1132" t="s">
        <v>14</v>
      </c>
      <c r="K1132" t="str">
        <f t="shared" si="56"/>
        <v>3F1</v>
      </c>
      <c r="L1132" t="s">
        <v>15</v>
      </c>
    </row>
    <row r="1133" spans="1:12" x14ac:dyDescent="0.25">
      <c r="A1133" t="str">
        <f>"1704300246"</f>
        <v>1704300246</v>
      </c>
      <c r="B1133" t="str">
        <f t="shared" si="52"/>
        <v>89301000</v>
      </c>
      <c r="C1133" s="1">
        <v>44348</v>
      </c>
      <c r="D1133" s="1">
        <v>44351</v>
      </c>
      <c r="E1133">
        <v>1</v>
      </c>
      <c r="F1133" t="s">
        <v>985</v>
      </c>
      <c r="G1133" t="str">
        <f>"04-K02-04"</f>
        <v>04-K02-04</v>
      </c>
      <c r="H1133">
        <v>0.82469999999999999</v>
      </c>
      <c r="I1133" t="s">
        <v>986</v>
      </c>
      <c r="J1133" t="s">
        <v>14</v>
      </c>
      <c r="K1133" t="str">
        <f t="shared" si="56"/>
        <v>3F1</v>
      </c>
      <c r="L1133" t="s">
        <v>15</v>
      </c>
    </row>
    <row r="1134" spans="1:12" x14ac:dyDescent="0.25">
      <c r="A1134" t="str">
        <f>"1705021384"</f>
        <v>1705021384</v>
      </c>
      <c r="B1134" t="str">
        <f t="shared" si="52"/>
        <v>89301000</v>
      </c>
      <c r="C1134" s="1">
        <v>44423</v>
      </c>
      <c r="D1134" s="1">
        <v>44425</v>
      </c>
      <c r="E1134">
        <v>1</v>
      </c>
      <c r="F1134" t="s">
        <v>909</v>
      </c>
      <c r="G1134" t="str">
        <f>"09-I13-05"</f>
        <v>09-I13-05</v>
      </c>
      <c r="H1134">
        <v>0.43659999999999999</v>
      </c>
      <c r="J1134" t="s">
        <v>14</v>
      </c>
      <c r="K1134" t="str">
        <f t="shared" si="56"/>
        <v>3F1</v>
      </c>
      <c r="L1134" t="s">
        <v>15</v>
      </c>
    </row>
    <row r="1135" spans="1:12" x14ac:dyDescent="0.25">
      <c r="A1135" t="str">
        <f>"1705250503"</f>
        <v>1705250503</v>
      </c>
      <c r="B1135" t="str">
        <f t="shared" si="52"/>
        <v>89301000</v>
      </c>
      <c r="C1135" s="1">
        <v>44530</v>
      </c>
      <c r="D1135" s="1">
        <v>44531</v>
      </c>
      <c r="E1135">
        <v>1</v>
      </c>
      <c r="F1135" t="s">
        <v>287</v>
      </c>
      <c r="G1135" t="str">
        <f>"01-K16-06"</f>
        <v>01-K16-06</v>
      </c>
      <c r="H1135">
        <v>0.26469999999999999</v>
      </c>
      <c r="I1135" t="s">
        <v>196</v>
      </c>
      <c r="J1135" t="s">
        <v>14</v>
      </c>
      <c r="K1135" t="str">
        <f t="shared" si="56"/>
        <v>3F1</v>
      </c>
      <c r="L1135" t="s">
        <v>15</v>
      </c>
    </row>
    <row r="1136" spans="1:12" x14ac:dyDescent="0.25">
      <c r="A1136" t="str">
        <f>"1706221000"</f>
        <v>1706221000</v>
      </c>
      <c r="B1136" t="str">
        <f t="shared" si="52"/>
        <v>89301000</v>
      </c>
      <c r="C1136" s="1">
        <v>44370</v>
      </c>
      <c r="D1136" s="1">
        <v>44376</v>
      </c>
      <c r="E1136">
        <v>1</v>
      </c>
      <c r="F1136" t="s">
        <v>987</v>
      </c>
      <c r="G1136" t="str">
        <f>"18-K02-05"</f>
        <v>18-K02-05</v>
      </c>
      <c r="H1136">
        <v>0.49220000000000003</v>
      </c>
      <c r="I1136" t="s">
        <v>988</v>
      </c>
      <c r="J1136" t="s">
        <v>14</v>
      </c>
      <c r="K1136" t="str">
        <f t="shared" si="56"/>
        <v>3F1</v>
      </c>
      <c r="L1136" t="s">
        <v>15</v>
      </c>
    </row>
    <row r="1137" spans="1:12" x14ac:dyDescent="0.25">
      <c r="A1137" t="str">
        <f>"1706241372"</f>
        <v>1706241372</v>
      </c>
      <c r="B1137" t="str">
        <f t="shared" si="52"/>
        <v>89301000</v>
      </c>
      <c r="C1137" s="1">
        <v>44355</v>
      </c>
      <c r="D1137" s="1">
        <v>44357</v>
      </c>
      <c r="E1137">
        <v>1</v>
      </c>
      <c r="F1137" t="s">
        <v>396</v>
      </c>
      <c r="G1137" t="str">
        <f>"08-I20-03"</f>
        <v>08-I20-03</v>
      </c>
      <c r="H1137">
        <v>0.63300000000000001</v>
      </c>
      <c r="I1137" t="s">
        <v>989</v>
      </c>
      <c r="J1137" t="s">
        <v>17</v>
      </c>
      <c r="K1137" t="str">
        <f t="shared" si="56"/>
        <v>3F1</v>
      </c>
      <c r="L1137" t="s">
        <v>15</v>
      </c>
    </row>
    <row r="1138" spans="1:12" x14ac:dyDescent="0.25">
      <c r="A1138" t="str">
        <f>"1707040654"</f>
        <v>1707040654</v>
      </c>
      <c r="B1138" t="str">
        <f t="shared" si="52"/>
        <v>89301000</v>
      </c>
      <c r="C1138" s="1">
        <v>44374</v>
      </c>
      <c r="D1138" s="1">
        <v>44375</v>
      </c>
      <c r="E1138">
        <v>1</v>
      </c>
      <c r="F1138" t="s">
        <v>563</v>
      </c>
      <c r="G1138" t="str">
        <f>"06-K22-03"</f>
        <v>06-K22-03</v>
      </c>
      <c r="H1138">
        <v>0.3165</v>
      </c>
      <c r="J1138" t="s">
        <v>14</v>
      </c>
      <c r="K1138" t="str">
        <f t="shared" si="56"/>
        <v>3F1</v>
      </c>
      <c r="L1138" t="s">
        <v>15</v>
      </c>
    </row>
    <row r="1139" spans="1:12" x14ac:dyDescent="0.25">
      <c r="A1139" t="str">
        <f>"1707170256"</f>
        <v>1707170256</v>
      </c>
      <c r="B1139" t="str">
        <f t="shared" si="52"/>
        <v>89301000</v>
      </c>
      <c r="C1139" s="1">
        <v>44446</v>
      </c>
      <c r="D1139" s="1">
        <v>44454</v>
      </c>
      <c r="E1139">
        <v>1</v>
      </c>
      <c r="F1139" t="s">
        <v>990</v>
      </c>
      <c r="G1139" t="str">
        <f>"04-K02-04"</f>
        <v>04-K02-04</v>
      </c>
      <c r="H1139">
        <v>0.82469999999999999</v>
      </c>
      <c r="I1139" t="s">
        <v>991</v>
      </c>
      <c r="J1139" t="s">
        <v>14</v>
      </c>
      <c r="K1139" t="str">
        <f t="shared" si="56"/>
        <v>3F1</v>
      </c>
      <c r="L1139" t="s">
        <v>15</v>
      </c>
    </row>
    <row r="1140" spans="1:12" x14ac:dyDescent="0.25">
      <c r="A1140" t="str">
        <f>"1707210329"</f>
        <v>1707210329</v>
      </c>
      <c r="B1140" t="str">
        <f t="shared" si="52"/>
        <v>89301000</v>
      </c>
      <c r="C1140" s="1">
        <v>44361</v>
      </c>
      <c r="D1140" s="1">
        <v>44363</v>
      </c>
      <c r="E1140">
        <v>1</v>
      </c>
      <c r="F1140" t="s">
        <v>644</v>
      </c>
      <c r="G1140" t="str">
        <f>"12-I10-02"</f>
        <v>12-I10-02</v>
      </c>
      <c r="H1140">
        <v>0.57379999999999998</v>
      </c>
      <c r="J1140" t="s">
        <v>24</v>
      </c>
      <c r="K1140" t="str">
        <f t="shared" si="56"/>
        <v>3F1</v>
      </c>
      <c r="L1140" t="s">
        <v>15</v>
      </c>
    </row>
    <row r="1141" spans="1:12" x14ac:dyDescent="0.25">
      <c r="A1141" t="str">
        <f>"1707250699"</f>
        <v>1707250699</v>
      </c>
      <c r="B1141" t="str">
        <f t="shared" si="52"/>
        <v>89301000</v>
      </c>
      <c r="C1141" s="1">
        <v>44335</v>
      </c>
      <c r="D1141" s="1">
        <v>44337</v>
      </c>
      <c r="E1141">
        <v>1</v>
      </c>
      <c r="F1141" t="s">
        <v>632</v>
      </c>
      <c r="G1141" t="str">
        <f>"06-I17-05"</f>
        <v>06-I17-05</v>
      </c>
      <c r="H1141">
        <v>0.39450000000000002</v>
      </c>
      <c r="J1141" t="s">
        <v>17</v>
      </c>
      <c r="K1141" t="str">
        <f t="shared" si="56"/>
        <v>3F1</v>
      </c>
      <c r="L1141" t="s">
        <v>15</v>
      </c>
    </row>
    <row r="1142" spans="1:12" x14ac:dyDescent="0.25">
      <c r="A1142" t="str">
        <f>"1708240006"</f>
        <v>1708240006</v>
      </c>
      <c r="B1142" t="str">
        <f t="shared" si="52"/>
        <v>89301000</v>
      </c>
      <c r="C1142" s="1">
        <v>44514</v>
      </c>
      <c r="D1142" s="1">
        <v>44515</v>
      </c>
      <c r="E1142">
        <v>6</v>
      </c>
      <c r="F1142" t="s">
        <v>770</v>
      </c>
      <c r="G1142" t="str">
        <f>"21-K05-04"</f>
        <v>21-K05-04</v>
      </c>
      <c r="H1142">
        <v>0.2424</v>
      </c>
      <c r="I1142" t="s">
        <v>992</v>
      </c>
      <c r="J1142" t="s">
        <v>14</v>
      </c>
      <c r="K1142" t="str">
        <f>"3T1"</f>
        <v>3T1</v>
      </c>
      <c r="L1142" t="s">
        <v>15</v>
      </c>
    </row>
    <row r="1143" spans="1:12" x14ac:dyDescent="0.25">
      <c r="A1143" t="str">
        <f>"1708290210"</f>
        <v>1708290210</v>
      </c>
      <c r="B1143" t="str">
        <f t="shared" ref="B1143:B1206" si="57">"89301000"</f>
        <v>89301000</v>
      </c>
      <c r="C1143" s="1">
        <v>44524</v>
      </c>
      <c r="D1143" s="1">
        <v>44526</v>
      </c>
      <c r="E1143">
        <v>1</v>
      </c>
      <c r="F1143" t="s">
        <v>966</v>
      </c>
      <c r="G1143" t="str">
        <f>"03-K02-03"</f>
        <v>03-K02-03</v>
      </c>
      <c r="H1143">
        <v>0.33960000000000001</v>
      </c>
      <c r="I1143" t="s">
        <v>993</v>
      </c>
      <c r="J1143" t="s">
        <v>14</v>
      </c>
      <c r="K1143" t="str">
        <f t="shared" ref="K1143:K1155" si="58">"3F1"</f>
        <v>3F1</v>
      </c>
      <c r="L1143" t="s">
        <v>15</v>
      </c>
    </row>
    <row r="1144" spans="1:12" x14ac:dyDescent="0.25">
      <c r="A1144" t="str">
        <f>"1709080780"</f>
        <v>1709080780</v>
      </c>
      <c r="B1144" t="str">
        <f t="shared" si="57"/>
        <v>89301000</v>
      </c>
      <c r="C1144" s="1">
        <v>44482</v>
      </c>
      <c r="D1144" s="1">
        <v>44484</v>
      </c>
      <c r="E1144">
        <v>1</v>
      </c>
      <c r="F1144" t="s">
        <v>724</v>
      </c>
      <c r="G1144" t="str">
        <f>"06-K10-03"</f>
        <v>06-K10-03</v>
      </c>
      <c r="H1144">
        <v>0.43880000000000002</v>
      </c>
      <c r="J1144" t="s">
        <v>14</v>
      </c>
      <c r="K1144" t="str">
        <f t="shared" si="58"/>
        <v>3F1</v>
      </c>
      <c r="L1144" t="s">
        <v>15</v>
      </c>
    </row>
    <row r="1145" spans="1:12" x14ac:dyDescent="0.25">
      <c r="A1145" t="str">
        <f>"1709220260"</f>
        <v>1709220260</v>
      </c>
      <c r="B1145" t="str">
        <f t="shared" si="57"/>
        <v>89301000</v>
      </c>
      <c r="C1145" s="1">
        <v>44458</v>
      </c>
      <c r="D1145" s="1">
        <v>44460</v>
      </c>
      <c r="E1145">
        <v>1</v>
      </c>
      <c r="F1145" t="s">
        <v>234</v>
      </c>
      <c r="G1145" t="str">
        <f>"03-I21-00"</f>
        <v>03-I21-00</v>
      </c>
      <c r="H1145">
        <v>0.38500000000000001</v>
      </c>
      <c r="J1145" t="s">
        <v>14</v>
      </c>
      <c r="K1145" t="str">
        <f t="shared" si="58"/>
        <v>3F1</v>
      </c>
      <c r="L1145" t="s">
        <v>15</v>
      </c>
    </row>
    <row r="1146" spans="1:12" x14ac:dyDescent="0.25">
      <c r="A1146" t="str">
        <f>"1710120324"</f>
        <v>1710120324</v>
      </c>
      <c r="B1146" t="str">
        <f t="shared" si="57"/>
        <v>89301000</v>
      </c>
      <c r="C1146" s="1">
        <v>44251</v>
      </c>
      <c r="D1146" s="1">
        <v>44253</v>
      </c>
      <c r="E1146">
        <v>1</v>
      </c>
      <c r="F1146" t="s">
        <v>151</v>
      </c>
      <c r="G1146" t="str">
        <f>"06-I16-05"</f>
        <v>06-I16-05</v>
      </c>
      <c r="H1146">
        <v>0.46139999999999998</v>
      </c>
      <c r="J1146" t="s">
        <v>24</v>
      </c>
      <c r="K1146" t="str">
        <f t="shared" si="58"/>
        <v>3F1</v>
      </c>
      <c r="L1146" t="s">
        <v>15</v>
      </c>
    </row>
    <row r="1147" spans="1:12" x14ac:dyDescent="0.25">
      <c r="A1147" t="str">
        <f>"1710140344"</f>
        <v>1710140344</v>
      </c>
      <c r="B1147" t="str">
        <f t="shared" si="57"/>
        <v>89301000</v>
      </c>
      <c r="C1147" s="1">
        <v>44431</v>
      </c>
      <c r="D1147" s="1">
        <v>44435</v>
      </c>
      <c r="E1147">
        <v>1</v>
      </c>
      <c r="F1147" t="s">
        <v>994</v>
      </c>
      <c r="G1147" t="str">
        <f>"01-I07-03"</f>
        <v>01-I07-03</v>
      </c>
      <c r="H1147">
        <v>2.4741</v>
      </c>
      <c r="I1147" t="s">
        <v>995</v>
      </c>
      <c r="J1147" t="s">
        <v>17</v>
      </c>
      <c r="K1147" t="str">
        <f t="shared" si="58"/>
        <v>3F1</v>
      </c>
      <c r="L1147" t="s">
        <v>15</v>
      </c>
    </row>
    <row r="1148" spans="1:12" x14ac:dyDescent="0.25">
      <c r="A1148" t="str">
        <f>"1710161695"</f>
        <v>1710161695</v>
      </c>
      <c r="B1148" t="str">
        <f t="shared" si="57"/>
        <v>89301000</v>
      </c>
      <c r="C1148" s="1">
        <v>44480</v>
      </c>
      <c r="D1148" s="1">
        <v>44484</v>
      </c>
      <c r="E1148">
        <v>1</v>
      </c>
      <c r="F1148" t="s">
        <v>996</v>
      </c>
      <c r="G1148" t="str">
        <f>"06-K11-00"</f>
        <v>06-K11-00</v>
      </c>
      <c r="H1148">
        <v>0.34810000000000002</v>
      </c>
      <c r="I1148" t="s">
        <v>997</v>
      </c>
      <c r="J1148" t="s">
        <v>14</v>
      </c>
      <c r="K1148" t="str">
        <f t="shared" si="58"/>
        <v>3F1</v>
      </c>
      <c r="L1148" t="s">
        <v>15</v>
      </c>
    </row>
    <row r="1149" spans="1:12" x14ac:dyDescent="0.25">
      <c r="A1149" t="str">
        <f>"1710220072"</f>
        <v>1710220072</v>
      </c>
      <c r="B1149" t="str">
        <f t="shared" si="57"/>
        <v>89301000</v>
      </c>
      <c r="C1149" s="1">
        <v>44481</v>
      </c>
      <c r="D1149" s="1">
        <v>44484</v>
      </c>
      <c r="E1149">
        <v>1</v>
      </c>
      <c r="F1149" t="s">
        <v>998</v>
      </c>
      <c r="G1149" t="str">
        <f>"18-K01-03"</f>
        <v>18-K01-03</v>
      </c>
      <c r="H1149">
        <v>1.8284</v>
      </c>
      <c r="I1149" t="s">
        <v>999</v>
      </c>
      <c r="J1149" t="s">
        <v>14</v>
      </c>
      <c r="K1149" t="str">
        <f t="shared" si="58"/>
        <v>3F1</v>
      </c>
      <c r="L1149" t="s">
        <v>15</v>
      </c>
    </row>
    <row r="1150" spans="1:12" x14ac:dyDescent="0.25">
      <c r="A1150" t="str">
        <f>"1710220072"</f>
        <v>1710220072</v>
      </c>
      <c r="B1150" t="str">
        <f t="shared" si="57"/>
        <v>89301000</v>
      </c>
      <c r="C1150" s="1">
        <v>44234</v>
      </c>
      <c r="D1150" s="1">
        <v>44239</v>
      </c>
      <c r="E1150">
        <v>1</v>
      </c>
      <c r="F1150" t="s">
        <v>1000</v>
      </c>
      <c r="G1150" t="str">
        <f>"22-I05-04"</f>
        <v>22-I05-04</v>
      </c>
      <c r="H1150">
        <v>0.42070000000000002</v>
      </c>
      <c r="I1150" t="s">
        <v>1001</v>
      </c>
      <c r="J1150" t="s">
        <v>14</v>
      </c>
      <c r="K1150" t="str">
        <f t="shared" si="58"/>
        <v>3F1</v>
      </c>
      <c r="L1150" t="s">
        <v>15</v>
      </c>
    </row>
    <row r="1151" spans="1:12" x14ac:dyDescent="0.25">
      <c r="A1151" t="str">
        <f>"1710231523"</f>
        <v>1710231523</v>
      </c>
      <c r="B1151" t="str">
        <f t="shared" si="57"/>
        <v>89301000</v>
      </c>
      <c r="C1151" s="1">
        <v>44422</v>
      </c>
      <c r="D1151" s="1">
        <v>44424</v>
      </c>
      <c r="E1151">
        <v>1</v>
      </c>
      <c r="F1151" t="s">
        <v>861</v>
      </c>
      <c r="G1151" t="str">
        <f>"03-K03-02"</f>
        <v>03-K03-02</v>
      </c>
      <c r="H1151">
        <v>0.49249999999999999</v>
      </c>
      <c r="I1151" t="s">
        <v>320</v>
      </c>
      <c r="J1151" t="s">
        <v>14</v>
      </c>
      <c r="K1151" t="str">
        <f t="shared" si="58"/>
        <v>3F1</v>
      </c>
      <c r="L1151" t="s">
        <v>15</v>
      </c>
    </row>
    <row r="1152" spans="1:12" x14ac:dyDescent="0.25">
      <c r="A1152" t="str">
        <f>"1711070614"</f>
        <v>1711070614</v>
      </c>
      <c r="B1152" t="str">
        <f t="shared" si="57"/>
        <v>89301000</v>
      </c>
      <c r="C1152" s="1">
        <v>44229</v>
      </c>
      <c r="D1152" s="1">
        <v>44236</v>
      </c>
      <c r="E1152">
        <v>1</v>
      </c>
      <c r="F1152" t="s">
        <v>96</v>
      </c>
      <c r="G1152" t="str">
        <f>"11-K01-03"</f>
        <v>11-K01-03</v>
      </c>
      <c r="H1152">
        <v>0.59489999999999998</v>
      </c>
      <c r="I1152" t="s">
        <v>1002</v>
      </c>
      <c r="J1152" t="s">
        <v>14</v>
      </c>
      <c r="K1152" t="str">
        <f t="shared" si="58"/>
        <v>3F1</v>
      </c>
      <c r="L1152" t="s">
        <v>15</v>
      </c>
    </row>
    <row r="1153" spans="1:12" x14ac:dyDescent="0.25">
      <c r="A1153" t="str">
        <f>"1711281814"</f>
        <v>1711281814</v>
      </c>
      <c r="B1153" t="str">
        <f t="shared" si="57"/>
        <v>89301000</v>
      </c>
      <c r="C1153" s="1">
        <v>44279</v>
      </c>
      <c r="D1153" s="1">
        <v>44281</v>
      </c>
      <c r="E1153">
        <v>1</v>
      </c>
      <c r="F1153" t="s">
        <v>939</v>
      </c>
      <c r="G1153" t="str">
        <f>"12-K04-00"</f>
        <v>12-K04-00</v>
      </c>
      <c r="H1153">
        <v>0.38790000000000002</v>
      </c>
      <c r="I1153" t="s">
        <v>174</v>
      </c>
      <c r="J1153" t="s">
        <v>14</v>
      </c>
      <c r="K1153" t="str">
        <f t="shared" si="58"/>
        <v>3F1</v>
      </c>
      <c r="L1153" t="s">
        <v>15</v>
      </c>
    </row>
    <row r="1154" spans="1:12" x14ac:dyDescent="0.25">
      <c r="A1154" t="str">
        <f>"1712080238"</f>
        <v>1712080238</v>
      </c>
      <c r="B1154" t="str">
        <f t="shared" si="57"/>
        <v>89301000</v>
      </c>
      <c r="C1154" s="1">
        <v>44349</v>
      </c>
      <c r="D1154" s="1">
        <v>44351</v>
      </c>
      <c r="E1154">
        <v>1</v>
      </c>
      <c r="F1154" t="s">
        <v>151</v>
      </c>
      <c r="G1154" t="str">
        <f>"06-I16-05"</f>
        <v>06-I16-05</v>
      </c>
      <c r="H1154">
        <v>0.46139999999999998</v>
      </c>
      <c r="I1154" t="s">
        <v>939</v>
      </c>
      <c r="J1154" t="s">
        <v>24</v>
      </c>
      <c r="K1154" t="str">
        <f t="shared" si="58"/>
        <v>3F1</v>
      </c>
      <c r="L1154" t="s">
        <v>15</v>
      </c>
    </row>
    <row r="1155" spans="1:12" x14ac:dyDescent="0.25">
      <c r="A1155" t="str">
        <f>"1712100126"</f>
        <v>1712100126</v>
      </c>
      <c r="B1155" t="str">
        <f t="shared" si="57"/>
        <v>89301000</v>
      </c>
      <c r="C1155" s="1">
        <v>44486</v>
      </c>
      <c r="D1155" s="1">
        <v>44488</v>
      </c>
      <c r="E1155">
        <v>1</v>
      </c>
      <c r="F1155" t="s">
        <v>234</v>
      </c>
      <c r="G1155" t="str">
        <f>"03-I21-00"</f>
        <v>03-I21-00</v>
      </c>
      <c r="H1155">
        <v>0.38500000000000001</v>
      </c>
      <c r="J1155" t="s">
        <v>14</v>
      </c>
      <c r="K1155" t="str">
        <f t="shared" si="58"/>
        <v>3F1</v>
      </c>
      <c r="L1155" t="s">
        <v>15</v>
      </c>
    </row>
    <row r="1156" spans="1:12" x14ac:dyDescent="0.25">
      <c r="A1156" t="str">
        <f>"1712130035"</f>
        <v>1712130035</v>
      </c>
      <c r="B1156" t="str">
        <f t="shared" si="57"/>
        <v>89301000</v>
      </c>
      <c r="C1156" s="1">
        <v>44480</v>
      </c>
      <c r="D1156" s="1">
        <v>44481</v>
      </c>
      <c r="E1156">
        <v>6</v>
      </c>
      <c r="F1156" t="s">
        <v>1003</v>
      </c>
      <c r="G1156" t="str">
        <f>"01-K18-04"</f>
        <v>01-K18-04</v>
      </c>
      <c r="H1156">
        <v>0.49890000000000001</v>
      </c>
      <c r="I1156" t="s">
        <v>1004</v>
      </c>
      <c r="J1156" t="s">
        <v>14</v>
      </c>
      <c r="K1156" t="str">
        <f>"3T1"</f>
        <v>3T1</v>
      </c>
      <c r="L1156" t="s">
        <v>15</v>
      </c>
    </row>
    <row r="1157" spans="1:12" x14ac:dyDescent="0.25">
      <c r="A1157" t="str">
        <f>"1712131674"</f>
        <v>1712131674</v>
      </c>
      <c r="B1157" t="str">
        <f t="shared" si="57"/>
        <v>89301000</v>
      </c>
      <c r="C1157" s="1">
        <v>44199</v>
      </c>
      <c r="D1157" s="1">
        <v>44201</v>
      </c>
      <c r="E1157">
        <v>6</v>
      </c>
      <c r="F1157" t="s">
        <v>1005</v>
      </c>
      <c r="G1157" t="str">
        <f>"10-K16-03"</f>
        <v>10-K16-03</v>
      </c>
      <c r="H1157">
        <v>0.37969999999999998</v>
      </c>
      <c r="I1157" t="s">
        <v>248</v>
      </c>
      <c r="J1157" t="s">
        <v>14</v>
      </c>
      <c r="K1157" t="str">
        <f>"3T1"</f>
        <v>3T1</v>
      </c>
      <c r="L1157" t="s">
        <v>15</v>
      </c>
    </row>
    <row r="1158" spans="1:12" x14ac:dyDescent="0.25">
      <c r="A1158" t="str">
        <f>"1712270307"</f>
        <v>1712270307</v>
      </c>
      <c r="B1158" t="str">
        <f t="shared" si="57"/>
        <v>89301000</v>
      </c>
      <c r="C1158" s="1">
        <v>44390</v>
      </c>
      <c r="D1158" s="1">
        <v>44392</v>
      </c>
      <c r="E1158">
        <v>1</v>
      </c>
      <c r="F1158" t="s">
        <v>1006</v>
      </c>
      <c r="G1158" t="str">
        <f>"11-K14-02"</f>
        <v>11-K14-02</v>
      </c>
      <c r="H1158">
        <v>0.52259999999999995</v>
      </c>
      <c r="J1158" t="s">
        <v>14</v>
      </c>
      <c r="K1158" t="str">
        <f t="shared" ref="K1158:K1167" si="59">"3F1"</f>
        <v>3F1</v>
      </c>
      <c r="L1158" t="s">
        <v>15</v>
      </c>
    </row>
    <row r="1159" spans="1:12" x14ac:dyDescent="0.25">
      <c r="A1159" t="str">
        <f>"1712270318"</f>
        <v>1712270318</v>
      </c>
      <c r="B1159" t="str">
        <f t="shared" si="57"/>
        <v>89301000</v>
      </c>
      <c r="C1159" s="1">
        <v>44197</v>
      </c>
      <c r="D1159" s="1">
        <v>44198</v>
      </c>
      <c r="E1159">
        <v>1</v>
      </c>
      <c r="F1159" t="s">
        <v>867</v>
      </c>
      <c r="G1159" t="str">
        <f>"01-K04-02"</f>
        <v>01-K04-02</v>
      </c>
      <c r="H1159">
        <v>0.53510000000000002</v>
      </c>
      <c r="J1159" t="s">
        <v>14</v>
      </c>
      <c r="K1159" t="str">
        <f t="shared" si="59"/>
        <v>3F1</v>
      </c>
      <c r="L1159" t="s">
        <v>15</v>
      </c>
    </row>
    <row r="1160" spans="1:12" x14ac:dyDescent="0.25">
      <c r="A1160" t="str">
        <f>"1712290789"</f>
        <v>1712290789</v>
      </c>
      <c r="B1160" t="str">
        <f t="shared" si="57"/>
        <v>89301000</v>
      </c>
      <c r="C1160" s="1">
        <v>44223</v>
      </c>
      <c r="D1160" s="1">
        <v>44224</v>
      </c>
      <c r="E1160">
        <v>1</v>
      </c>
      <c r="F1160" t="s">
        <v>995</v>
      </c>
      <c r="G1160" t="str">
        <f>"01-K18-04"</f>
        <v>01-K18-04</v>
      </c>
      <c r="H1160">
        <v>0.49890000000000001</v>
      </c>
      <c r="I1160" t="s">
        <v>168</v>
      </c>
      <c r="J1160" t="s">
        <v>14</v>
      </c>
      <c r="K1160" t="str">
        <f t="shared" si="59"/>
        <v>3F1</v>
      </c>
      <c r="L1160" t="s">
        <v>15</v>
      </c>
    </row>
    <row r="1161" spans="1:12" x14ac:dyDescent="0.25">
      <c r="A1161" t="str">
        <f>"1751130282"</f>
        <v>1751130282</v>
      </c>
      <c r="B1161" t="str">
        <f t="shared" si="57"/>
        <v>89301000</v>
      </c>
      <c r="C1161" s="1">
        <v>44459</v>
      </c>
      <c r="D1161" s="1">
        <v>44463</v>
      </c>
      <c r="E1161">
        <v>1</v>
      </c>
      <c r="F1161" t="s">
        <v>841</v>
      </c>
      <c r="G1161" t="str">
        <f>"04-K03-01"</f>
        <v>04-K03-01</v>
      </c>
      <c r="H1161">
        <v>1.1687000000000001</v>
      </c>
      <c r="I1161" t="s">
        <v>1007</v>
      </c>
      <c r="J1161" t="s">
        <v>14</v>
      </c>
      <c r="K1161" t="str">
        <f t="shared" si="59"/>
        <v>3F1</v>
      </c>
      <c r="L1161" t="s">
        <v>15</v>
      </c>
    </row>
    <row r="1162" spans="1:12" x14ac:dyDescent="0.25">
      <c r="A1162" t="str">
        <f>"1751140138"</f>
        <v>1751140138</v>
      </c>
      <c r="B1162" t="str">
        <f t="shared" si="57"/>
        <v>89301000</v>
      </c>
      <c r="C1162" s="1">
        <v>44216</v>
      </c>
      <c r="D1162" s="1">
        <v>44217</v>
      </c>
      <c r="E1162">
        <v>1</v>
      </c>
      <c r="F1162" t="s">
        <v>632</v>
      </c>
      <c r="G1162" t="str">
        <f>"23-K01-00"</f>
        <v>23-K01-00</v>
      </c>
      <c r="H1162">
        <v>0.13139999999999999</v>
      </c>
      <c r="I1162" t="s">
        <v>643</v>
      </c>
      <c r="J1162" t="s">
        <v>14</v>
      </c>
      <c r="K1162" t="str">
        <f t="shared" si="59"/>
        <v>3F1</v>
      </c>
      <c r="L1162" t="s">
        <v>15</v>
      </c>
    </row>
    <row r="1163" spans="1:12" x14ac:dyDescent="0.25">
      <c r="A1163" t="str">
        <f>"1751190265"</f>
        <v>1751190265</v>
      </c>
      <c r="B1163" t="str">
        <f t="shared" si="57"/>
        <v>89301000</v>
      </c>
      <c r="C1163" s="1">
        <v>44242</v>
      </c>
      <c r="D1163" s="1">
        <v>44243</v>
      </c>
      <c r="E1163">
        <v>1</v>
      </c>
      <c r="F1163" t="s">
        <v>605</v>
      </c>
      <c r="G1163" t="str">
        <f>"09-K12-00"</f>
        <v>09-K12-00</v>
      </c>
      <c r="H1163">
        <v>0.24349999999999999</v>
      </c>
      <c r="I1163" t="s">
        <v>813</v>
      </c>
      <c r="J1163" t="s">
        <v>14</v>
      </c>
      <c r="K1163" t="str">
        <f t="shared" si="59"/>
        <v>3F1</v>
      </c>
      <c r="L1163" t="s">
        <v>15</v>
      </c>
    </row>
    <row r="1164" spans="1:12" x14ac:dyDescent="0.25">
      <c r="A1164" t="str">
        <f>"1752020017"</f>
        <v>1752020017</v>
      </c>
      <c r="B1164" t="str">
        <f t="shared" si="57"/>
        <v>89301000</v>
      </c>
      <c r="C1164" s="1">
        <v>44343</v>
      </c>
      <c r="D1164" s="1">
        <v>44344</v>
      </c>
      <c r="E1164">
        <v>1</v>
      </c>
      <c r="F1164" t="s">
        <v>1003</v>
      </c>
      <c r="G1164" t="str">
        <f>"01-K18-04"</f>
        <v>01-K18-04</v>
      </c>
      <c r="H1164">
        <v>0.49890000000000001</v>
      </c>
      <c r="I1164" t="s">
        <v>966</v>
      </c>
      <c r="J1164" t="s">
        <v>14</v>
      </c>
      <c r="K1164" t="str">
        <f t="shared" si="59"/>
        <v>3F1</v>
      </c>
      <c r="L1164" t="s">
        <v>15</v>
      </c>
    </row>
    <row r="1165" spans="1:12" x14ac:dyDescent="0.25">
      <c r="A1165" t="str">
        <f>"1752150191"</f>
        <v>1752150191</v>
      </c>
      <c r="B1165" t="str">
        <f t="shared" si="57"/>
        <v>89301000</v>
      </c>
      <c r="C1165" s="1">
        <v>44434</v>
      </c>
      <c r="D1165" s="1">
        <v>44436</v>
      </c>
      <c r="E1165">
        <v>1</v>
      </c>
      <c r="F1165" t="s">
        <v>234</v>
      </c>
      <c r="G1165" t="str">
        <f>"03-I21-00"</f>
        <v>03-I21-00</v>
      </c>
      <c r="H1165">
        <v>0.38500000000000001</v>
      </c>
      <c r="J1165" t="s">
        <v>14</v>
      </c>
      <c r="K1165" t="str">
        <f t="shared" si="59"/>
        <v>3F1</v>
      </c>
      <c r="L1165" t="s">
        <v>15</v>
      </c>
    </row>
    <row r="1166" spans="1:12" x14ac:dyDescent="0.25">
      <c r="A1166" t="str">
        <f>"1752220481"</f>
        <v>1752220481</v>
      </c>
      <c r="B1166" t="str">
        <f t="shared" si="57"/>
        <v>89301000</v>
      </c>
      <c r="C1166" s="1">
        <v>44255</v>
      </c>
      <c r="D1166" s="1">
        <v>44257</v>
      </c>
      <c r="E1166">
        <v>1</v>
      </c>
      <c r="F1166" t="s">
        <v>449</v>
      </c>
      <c r="G1166" t="str">
        <f>"02-I11-01"</f>
        <v>02-I11-01</v>
      </c>
      <c r="H1166">
        <v>0.87619999999999998</v>
      </c>
      <c r="J1166" t="s">
        <v>17</v>
      </c>
      <c r="K1166" t="str">
        <f t="shared" si="59"/>
        <v>3F1</v>
      </c>
      <c r="L1166" t="s">
        <v>15</v>
      </c>
    </row>
    <row r="1167" spans="1:12" x14ac:dyDescent="0.25">
      <c r="A1167" t="str">
        <f>"1753170232"</f>
        <v>1753170232</v>
      </c>
      <c r="B1167" t="str">
        <f t="shared" si="57"/>
        <v>89301000</v>
      </c>
      <c r="C1167" s="1">
        <v>44479</v>
      </c>
      <c r="D1167" s="1">
        <v>44480</v>
      </c>
      <c r="E1167">
        <v>1</v>
      </c>
      <c r="F1167" t="s">
        <v>879</v>
      </c>
      <c r="G1167" t="str">
        <f>"03-K02-03"</f>
        <v>03-K02-03</v>
      </c>
      <c r="H1167">
        <v>0.33960000000000001</v>
      </c>
      <c r="I1167" t="s">
        <v>168</v>
      </c>
      <c r="J1167" t="s">
        <v>14</v>
      </c>
      <c r="K1167" t="str">
        <f t="shared" si="59"/>
        <v>3F1</v>
      </c>
      <c r="L1167" t="s">
        <v>15</v>
      </c>
    </row>
    <row r="1168" spans="1:12" x14ac:dyDescent="0.25">
      <c r="A1168" t="str">
        <f>"1753210096"</f>
        <v>1753210096</v>
      </c>
      <c r="B1168" t="str">
        <f t="shared" si="57"/>
        <v>89301000</v>
      </c>
      <c r="C1168" s="1">
        <v>44481</v>
      </c>
      <c r="D1168" s="1">
        <v>44482</v>
      </c>
      <c r="E1168">
        <v>6</v>
      </c>
      <c r="F1168" t="s">
        <v>966</v>
      </c>
      <c r="G1168" t="str">
        <f>"03-K02-03"</f>
        <v>03-K02-03</v>
      </c>
      <c r="H1168">
        <v>0.33960000000000001</v>
      </c>
      <c r="I1168" t="s">
        <v>890</v>
      </c>
      <c r="J1168" t="s">
        <v>14</v>
      </c>
      <c r="K1168" t="str">
        <f>"3T1"</f>
        <v>3T1</v>
      </c>
      <c r="L1168" t="s">
        <v>15</v>
      </c>
    </row>
    <row r="1169" spans="1:12" x14ac:dyDescent="0.25">
      <c r="A1169" t="str">
        <f>"1753210096"</f>
        <v>1753210096</v>
      </c>
      <c r="B1169" t="str">
        <f t="shared" si="57"/>
        <v>89301000</v>
      </c>
      <c r="C1169" s="1">
        <v>44212</v>
      </c>
      <c r="D1169" s="1">
        <v>44222</v>
      </c>
      <c r="E1169">
        <v>5</v>
      </c>
      <c r="F1169" t="s">
        <v>1008</v>
      </c>
      <c r="G1169" t="str">
        <f>"18-K01-01"</f>
        <v>18-K01-01</v>
      </c>
      <c r="H1169">
        <v>3.0181</v>
      </c>
      <c r="I1169" t="s">
        <v>1009</v>
      </c>
      <c r="J1169" t="s">
        <v>14</v>
      </c>
      <c r="K1169" t="str">
        <f>"3T1"</f>
        <v>3T1</v>
      </c>
      <c r="L1169" t="s">
        <v>15</v>
      </c>
    </row>
    <row r="1170" spans="1:12" x14ac:dyDescent="0.25">
      <c r="A1170" t="str">
        <f>"1753210096"</f>
        <v>1753210096</v>
      </c>
      <c r="B1170" t="str">
        <f t="shared" si="57"/>
        <v>89301000</v>
      </c>
      <c r="C1170" s="1">
        <v>44376</v>
      </c>
      <c r="D1170" s="1">
        <v>44389</v>
      </c>
      <c r="E1170">
        <v>1</v>
      </c>
      <c r="F1170" t="s">
        <v>479</v>
      </c>
      <c r="G1170" t="str">
        <f>"18-K01-02"</f>
        <v>18-K01-02</v>
      </c>
      <c r="H1170">
        <v>2.6107999999999998</v>
      </c>
      <c r="I1170" t="s">
        <v>1010</v>
      </c>
      <c r="J1170" t="s">
        <v>14</v>
      </c>
      <c r="K1170" t="str">
        <f t="shared" ref="K1170:K1192" si="60">"3F1"</f>
        <v>3F1</v>
      </c>
      <c r="L1170" t="s">
        <v>15</v>
      </c>
    </row>
    <row r="1171" spans="1:12" x14ac:dyDescent="0.25">
      <c r="A1171" t="str">
        <f>"1754010159"</f>
        <v>1754010159</v>
      </c>
      <c r="B1171" t="str">
        <f t="shared" si="57"/>
        <v>89301000</v>
      </c>
      <c r="C1171" s="1">
        <v>44548</v>
      </c>
      <c r="D1171" s="1">
        <v>44550</v>
      </c>
      <c r="E1171">
        <v>1</v>
      </c>
      <c r="F1171" t="s">
        <v>1011</v>
      </c>
      <c r="G1171" t="str">
        <f>"03-K03-02"</f>
        <v>03-K03-02</v>
      </c>
      <c r="H1171">
        <v>0.49249999999999999</v>
      </c>
      <c r="J1171" t="s">
        <v>14</v>
      </c>
      <c r="K1171" t="str">
        <f t="shared" si="60"/>
        <v>3F1</v>
      </c>
      <c r="L1171" t="s">
        <v>15</v>
      </c>
    </row>
    <row r="1172" spans="1:12" x14ac:dyDescent="0.25">
      <c r="A1172" t="str">
        <f>"1754070054"</f>
        <v>1754070054</v>
      </c>
      <c r="B1172" t="str">
        <f t="shared" si="57"/>
        <v>89301000</v>
      </c>
      <c r="C1172" s="1">
        <v>44362</v>
      </c>
      <c r="D1172" s="1">
        <v>44364</v>
      </c>
      <c r="E1172">
        <v>1</v>
      </c>
      <c r="F1172" t="s">
        <v>323</v>
      </c>
      <c r="G1172" t="str">
        <f>"06-K06-02"</f>
        <v>06-K06-02</v>
      </c>
      <c r="H1172">
        <v>0.69359999999999999</v>
      </c>
      <c r="J1172" t="s">
        <v>14</v>
      </c>
      <c r="K1172" t="str">
        <f t="shared" si="60"/>
        <v>3F1</v>
      </c>
      <c r="L1172" t="s">
        <v>15</v>
      </c>
    </row>
    <row r="1173" spans="1:12" x14ac:dyDescent="0.25">
      <c r="A1173" t="str">
        <f>"1754070054"</f>
        <v>1754070054</v>
      </c>
      <c r="B1173" t="str">
        <f t="shared" si="57"/>
        <v>89301000</v>
      </c>
      <c r="C1173" s="1">
        <v>44371</v>
      </c>
      <c r="D1173" s="1">
        <v>44372</v>
      </c>
      <c r="E1173">
        <v>1</v>
      </c>
      <c r="F1173" t="s">
        <v>323</v>
      </c>
      <c r="G1173" t="str">
        <f>"06-C01-00"</f>
        <v>06-C01-00</v>
      </c>
      <c r="H1173">
        <v>0.39269999999999999</v>
      </c>
      <c r="J1173" t="s">
        <v>14</v>
      </c>
      <c r="K1173" t="str">
        <f t="shared" si="60"/>
        <v>3F1</v>
      </c>
      <c r="L1173" t="s">
        <v>15</v>
      </c>
    </row>
    <row r="1174" spans="1:12" x14ac:dyDescent="0.25">
      <c r="A1174" t="str">
        <f>"1755050011"</f>
        <v>1755050011</v>
      </c>
      <c r="B1174" t="str">
        <f t="shared" si="57"/>
        <v>89301000</v>
      </c>
      <c r="C1174" s="1">
        <v>44503</v>
      </c>
      <c r="D1174" s="1">
        <v>44504</v>
      </c>
      <c r="E1174">
        <v>1</v>
      </c>
      <c r="F1174" t="s">
        <v>354</v>
      </c>
      <c r="G1174" t="str">
        <f>"10-K14-05"</f>
        <v>10-K14-05</v>
      </c>
      <c r="H1174">
        <v>0.34639999999999999</v>
      </c>
      <c r="I1174" t="s">
        <v>1012</v>
      </c>
      <c r="J1174" t="s">
        <v>14</v>
      </c>
      <c r="K1174" t="str">
        <f t="shared" si="60"/>
        <v>3F1</v>
      </c>
      <c r="L1174" t="s">
        <v>15</v>
      </c>
    </row>
    <row r="1175" spans="1:12" x14ac:dyDescent="0.25">
      <c r="A1175" t="str">
        <f>"1755050011"</f>
        <v>1755050011</v>
      </c>
      <c r="B1175" t="str">
        <f t="shared" si="57"/>
        <v>89301000</v>
      </c>
      <c r="C1175" s="1">
        <v>44406</v>
      </c>
      <c r="D1175" s="1">
        <v>44407</v>
      </c>
      <c r="E1175">
        <v>1</v>
      </c>
      <c r="F1175" t="s">
        <v>1013</v>
      </c>
      <c r="G1175" t="str">
        <f>"06-K02-04"</f>
        <v>06-K02-04</v>
      </c>
      <c r="H1175">
        <v>0.3634</v>
      </c>
      <c r="J1175" t="s">
        <v>14</v>
      </c>
      <c r="K1175" t="str">
        <f t="shared" si="60"/>
        <v>3F1</v>
      </c>
      <c r="L1175" t="s">
        <v>15</v>
      </c>
    </row>
    <row r="1176" spans="1:12" x14ac:dyDescent="0.25">
      <c r="A1176" t="str">
        <f>"1755162101"</f>
        <v>1755162101</v>
      </c>
      <c r="B1176" t="str">
        <f t="shared" si="57"/>
        <v>89301000</v>
      </c>
      <c r="C1176" s="1">
        <v>44542</v>
      </c>
      <c r="D1176" s="1">
        <v>44543</v>
      </c>
      <c r="E1176">
        <v>1</v>
      </c>
      <c r="F1176" t="s">
        <v>646</v>
      </c>
      <c r="G1176" t="str">
        <f>"06-K17-02"</f>
        <v>06-K17-02</v>
      </c>
      <c r="H1176">
        <v>0.29680000000000001</v>
      </c>
      <c r="I1176" t="s">
        <v>896</v>
      </c>
      <c r="J1176" t="s">
        <v>14</v>
      </c>
      <c r="K1176" t="str">
        <f t="shared" si="60"/>
        <v>3F1</v>
      </c>
      <c r="L1176" t="s">
        <v>15</v>
      </c>
    </row>
    <row r="1177" spans="1:12" x14ac:dyDescent="0.25">
      <c r="A1177" t="str">
        <f>"1755210039"</f>
        <v>1755210039</v>
      </c>
      <c r="B1177" t="str">
        <f t="shared" si="57"/>
        <v>89301000</v>
      </c>
      <c r="C1177" s="1">
        <v>44509</v>
      </c>
      <c r="D1177" s="1">
        <v>44510</v>
      </c>
      <c r="E1177">
        <v>1</v>
      </c>
      <c r="F1177" t="s">
        <v>1014</v>
      </c>
      <c r="G1177" t="str">
        <f>"04-K12-00"</f>
        <v>04-K12-00</v>
      </c>
      <c r="H1177">
        <v>0.67300000000000004</v>
      </c>
      <c r="J1177" t="s">
        <v>14</v>
      </c>
      <c r="K1177" t="str">
        <f t="shared" si="60"/>
        <v>3F1</v>
      </c>
      <c r="L1177" t="s">
        <v>15</v>
      </c>
    </row>
    <row r="1178" spans="1:12" x14ac:dyDescent="0.25">
      <c r="A1178" t="str">
        <f>"1755250442"</f>
        <v>1755250442</v>
      </c>
      <c r="B1178" t="str">
        <f t="shared" si="57"/>
        <v>89301000</v>
      </c>
      <c r="C1178" s="1">
        <v>44474</v>
      </c>
      <c r="D1178" s="1">
        <v>44475</v>
      </c>
      <c r="E1178">
        <v>1</v>
      </c>
      <c r="F1178" t="s">
        <v>173</v>
      </c>
      <c r="G1178" t="str">
        <f>"08-I32-02"</f>
        <v>08-I32-02</v>
      </c>
      <c r="H1178">
        <v>0.4143</v>
      </c>
      <c r="I1178" t="s">
        <v>1015</v>
      </c>
      <c r="J1178" t="s">
        <v>14</v>
      </c>
      <c r="K1178" t="str">
        <f t="shared" si="60"/>
        <v>3F1</v>
      </c>
      <c r="L1178" t="s">
        <v>15</v>
      </c>
    </row>
    <row r="1179" spans="1:12" x14ac:dyDescent="0.25">
      <c r="A1179" t="str">
        <f>"1755250442"</f>
        <v>1755250442</v>
      </c>
      <c r="B1179" t="str">
        <f t="shared" si="57"/>
        <v>89301000</v>
      </c>
      <c r="C1179" s="1">
        <v>44397</v>
      </c>
      <c r="D1179" s="1">
        <v>44398</v>
      </c>
      <c r="E1179">
        <v>1</v>
      </c>
      <c r="F1179" t="s">
        <v>445</v>
      </c>
      <c r="G1179" t="str">
        <f>"08-I20-03"</f>
        <v>08-I20-03</v>
      </c>
      <c r="H1179">
        <v>0.63300000000000001</v>
      </c>
      <c r="I1179" t="s">
        <v>606</v>
      </c>
      <c r="J1179" t="s">
        <v>17</v>
      </c>
      <c r="K1179" t="str">
        <f t="shared" si="60"/>
        <v>3F1</v>
      </c>
      <c r="L1179" t="s">
        <v>15</v>
      </c>
    </row>
    <row r="1180" spans="1:12" x14ac:dyDescent="0.25">
      <c r="A1180" t="str">
        <f>"1755300261"</f>
        <v>1755300261</v>
      </c>
      <c r="B1180" t="str">
        <f t="shared" si="57"/>
        <v>89301000</v>
      </c>
      <c r="C1180" s="1">
        <v>44472</v>
      </c>
      <c r="D1180" s="1">
        <v>44473</v>
      </c>
      <c r="E1180">
        <v>1</v>
      </c>
      <c r="F1180" t="s">
        <v>1016</v>
      </c>
      <c r="G1180" t="str">
        <f>"23-K01-00"</f>
        <v>23-K01-00</v>
      </c>
      <c r="H1180">
        <v>0.13139999999999999</v>
      </c>
      <c r="I1180" t="s">
        <v>885</v>
      </c>
      <c r="J1180" t="s">
        <v>14</v>
      </c>
      <c r="K1180" t="str">
        <f t="shared" si="60"/>
        <v>3F1</v>
      </c>
      <c r="L1180" t="s">
        <v>15</v>
      </c>
    </row>
    <row r="1181" spans="1:12" x14ac:dyDescent="0.25">
      <c r="A1181" t="str">
        <f>"1756260583"</f>
        <v>1756260583</v>
      </c>
      <c r="B1181" t="str">
        <f t="shared" si="57"/>
        <v>89301000</v>
      </c>
      <c r="C1181" s="1">
        <v>44354</v>
      </c>
      <c r="D1181" s="1">
        <v>44356</v>
      </c>
      <c r="E1181">
        <v>1</v>
      </c>
      <c r="F1181" t="s">
        <v>1017</v>
      </c>
      <c r="G1181" t="str">
        <f>"08-K06-01"</f>
        <v>08-K06-01</v>
      </c>
      <c r="H1181">
        <v>1.0745</v>
      </c>
      <c r="J1181" t="s">
        <v>14</v>
      </c>
      <c r="K1181" t="str">
        <f t="shared" si="60"/>
        <v>3F1</v>
      </c>
      <c r="L1181" t="s">
        <v>15</v>
      </c>
    </row>
    <row r="1182" spans="1:12" x14ac:dyDescent="0.25">
      <c r="A1182" t="str">
        <f>"1757060360"</f>
        <v>1757060360</v>
      </c>
      <c r="B1182" t="str">
        <f t="shared" si="57"/>
        <v>89301000</v>
      </c>
      <c r="C1182" s="1">
        <v>44483</v>
      </c>
      <c r="D1182" s="1">
        <v>44496</v>
      </c>
      <c r="E1182">
        <v>1</v>
      </c>
      <c r="F1182" t="s">
        <v>469</v>
      </c>
      <c r="G1182" t="str">
        <f>"01-K02-01"</f>
        <v>01-K02-01</v>
      </c>
      <c r="H1182">
        <v>2.637</v>
      </c>
      <c r="I1182" t="s">
        <v>470</v>
      </c>
      <c r="J1182" t="s">
        <v>14</v>
      </c>
      <c r="K1182" t="str">
        <f t="shared" si="60"/>
        <v>3F1</v>
      </c>
      <c r="L1182" t="s">
        <v>15</v>
      </c>
    </row>
    <row r="1183" spans="1:12" x14ac:dyDescent="0.25">
      <c r="A1183" t="str">
        <f>"1757070260"</f>
        <v>1757070260</v>
      </c>
      <c r="B1183" t="str">
        <f t="shared" si="57"/>
        <v>89301000</v>
      </c>
      <c r="C1183" s="1">
        <v>44417</v>
      </c>
      <c r="D1183" s="1">
        <v>44418</v>
      </c>
      <c r="E1183">
        <v>1</v>
      </c>
      <c r="F1183" t="s">
        <v>1018</v>
      </c>
      <c r="G1183" t="str">
        <f>"21-K04-00"</f>
        <v>21-K04-00</v>
      </c>
      <c r="H1183">
        <v>0.22789999999999999</v>
      </c>
      <c r="I1183" t="s">
        <v>1019</v>
      </c>
      <c r="J1183" t="s">
        <v>14</v>
      </c>
      <c r="K1183" t="str">
        <f t="shared" si="60"/>
        <v>3F1</v>
      </c>
      <c r="L1183" t="s">
        <v>15</v>
      </c>
    </row>
    <row r="1184" spans="1:12" x14ac:dyDescent="0.25">
      <c r="A1184" t="str">
        <f>"1758030241"</f>
        <v>1758030241</v>
      </c>
      <c r="B1184" t="str">
        <f t="shared" si="57"/>
        <v>89301000</v>
      </c>
      <c r="C1184" s="1">
        <v>44507</v>
      </c>
      <c r="D1184" s="1">
        <v>44509</v>
      </c>
      <c r="E1184">
        <v>1</v>
      </c>
      <c r="F1184" t="s">
        <v>449</v>
      </c>
      <c r="G1184" t="str">
        <f>"02-I11-01"</f>
        <v>02-I11-01</v>
      </c>
      <c r="H1184">
        <v>0.87619999999999998</v>
      </c>
      <c r="J1184" t="s">
        <v>17</v>
      </c>
      <c r="K1184" t="str">
        <f t="shared" si="60"/>
        <v>3F1</v>
      </c>
      <c r="L1184" t="s">
        <v>15</v>
      </c>
    </row>
    <row r="1185" spans="1:12" x14ac:dyDescent="0.25">
      <c r="A1185" t="str">
        <f>"1758170260"</f>
        <v>1758170260</v>
      </c>
      <c r="B1185" t="str">
        <f t="shared" si="57"/>
        <v>89301000</v>
      </c>
      <c r="C1185" s="1">
        <v>44348</v>
      </c>
      <c r="D1185" s="1">
        <v>44352</v>
      </c>
      <c r="E1185">
        <v>1</v>
      </c>
      <c r="F1185" t="s">
        <v>354</v>
      </c>
      <c r="G1185" t="str">
        <f>"10-K14-05"</f>
        <v>10-K14-05</v>
      </c>
      <c r="H1185">
        <v>0.34639999999999999</v>
      </c>
      <c r="I1185" t="s">
        <v>1020</v>
      </c>
      <c r="J1185" t="s">
        <v>14</v>
      </c>
      <c r="K1185" t="str">
        <f t="shared" si="60"/>
        <v>3F1</v>
      </c>
      <c r="L1185" t="s">
        <v>15</v>
      </c>
    </row>
    <row r="1186" spans="1:12" x14ac:dyDescent="0.25">
      <c r="A1186" t="str">
        <f>"1758300269"</f>
        <v>1758300269</v>
      </c>
      <c r="B1186" t="str">
        <f t="shared" si="57"/>
        <v>89301000</v>
      </c>
      <c r="C1186" s="1">
        <v>44298</v>
      </c>
      <c r="D1186" s="1">
        <v>44300</v>
      </c>
      <c r="E1186">
        <v>1</v>
      </c>
      <c r="F1186" t="s">
        <v>814</v>
      </c>
      <c r="G1186" t="str">
        <f>"09-K13-02"</f>
        <v>09-K13-02</v>
      </c>
      <c r="H1186">
        <v>0.3014</v>
      </c>
      <c r="I1186" t="s">
        <v>21</v>
      </c>
      <c r="J1186" t="s">
        <v>14</v>
      </c>
      <c r="K1186" t="str">
        <f t="shared" si="60"/>
        <v>3F1</v>
      </c>
      <c r="L1186" t="s">
        <v>15</v>
      </c>
    </row>
    <row r="1187" spans="1:12" x14ac:dyDescent="0.25">
      <c r="A1187" t="str">
        <f>"1759050513"</f>
        <v>1759050513</v>
      </c>
      <c r="B1187" t="str">
        <f t="shared" si="57"/>
        <v>89301000</v>
      </c>
      <c r="C1187" s="1">
        <v>44279</v>
      </c>
      <c r="D1187" s="1">
        <v>44281</v>
      </c>
      <c r="E1187">
        <v>1</v>
      </c>
      <c r="F1187" t="s">
        <v>151</v>
      </c>
      <c r="G1187" t="str">
        <f>"06-I16-05"</f>
        <v>06-I16-05</v>
      </c>
      <c r="H1187">
        <v>0.46139999999999998</v>
      </c>
      <c r="J1187" t="s">
        <v>24</v>
      </c>
      <c r="K1187" t="str">
        <f t="shared" si="60"/>
        <v>3F1</v>
      </c>
      <c r="L1187" t="s">
        <v>15</v>
      </c>
    </row>
    <row r="1188" spans="1:12" x14ac:dyDescent="0.25">
      <c r="A1188" t="str">
        <f>"1759070258"</f>
        <v>1759070258</v>
      </c>
      <c r="B1188" t="str">
        <f t="shared" si="57"/>
        <v>89301000</v>
      </c>
      <c r="C1188" s="1">
        <v>44459</v>
      </c>
      <c r="D1188" s="1">
        <v>44461</v>
      </c>
      <c r="E1188">
        <v>1</v>
      </c>
      <c r="F1188" t="s">
        <v>957</v>
      </c>
      <c r="G1188" t="str">
        <f>"06-K02-04"</f>
        <v>06-K02-04</v>
      </c>
      <c r="H1188">
        <v>0.3634</v>
      </c>
      <c r="I1188" t="s">
        <v>1021</v>
      </c>
      <c r="J1188" t="s">
        <v>14</v>
      </c>
      <c r="K1188" t="str">
        <f t="shared" si="60"/>
        <v>3F1</v>
      </c>
      <c r="L1188" t="s">
        <v>15</v>
      </c>
    </row>
    <row r="1189" spans="1:12" x14ac:dyDescent="0.25">
      <c r="A1189" t="str">
        <f>"1759210288"</f>
        <v>1759210288</v>
      </c>
      <c r="B1189" t="str">
        <f t="shared" si="57"/>
        <v>89301000</v>
      </c>
      <c r="C1189" s="1">
        <v>44487</v>
      </c>
      <c r="D1189" s="1">
        <v>44490</v>
      </c>
      <c r="E1189">
        <v>1</v>
      </c>
      <c r="F1189" t="s">
        <v>924</v>
      </c>
      <c r="G1189" t="str">
        <f>"06-K02-04"</f>
        <v>06-K02-04</v>
      </c>
      <c r="H1189">
        <v>0.3634</v>
      </c>
      <c r="I1189" t="s">
        <v>552</v>
      </c>
      <c r="J1189" t="s">
        <v>14</v>
      </c>
      <c r="K1189" t="str">
        <f t="shared" si="60"/>
        <v>3F1</v>
      </c>
      <c r="L1189" t="s">
        <v>15</v>
      </c>
    </row>
    <row r="1190" spans="1:12" x14ac:dyDescent="0.25">
      <c r="A1190" t="str">
        <f>"1760101750"</f>
        <v>1760101750</v>
      </c>
      <c r="B1190" t="str">
        <f t="shared" si="57"/>
        <v>89301000</v>
      </c>
      <c r="C1190" s="1">
        <v>44492</v>
      </c>
      <c r="D1190" s="1">
        <v>44493</v>
      </c>
      <c r="E1190">
        <v>1</v>
      </c>
      <c r="F1190" t="s">
        <v>646</v>
      </c>
      <c r="G1190" t="str">
        <f>"06-M01-05"</f>
        <v>06-M01-05</v>
      </c>
      <c r="H1190">
        <v>0.4395</v>
      </c>
      <c r="I1190" t="s">
        <v>1022</v>
      </c>
      <c r="J1190" t="s">
        <v>14</v>
      </c>
      <c r="K1190" t="str">
        <f t="shared" si="60"/>
        <v>3F1</v>
      </c>
      <c r="L1190" t="s">
        <v>15</v>
      </c>
    </row>
    <row r="1191" spans="1:12" x14ac:dyDescent="0.25">
      <c r="A1191" t="str">
        <f>"1760160457"</f>
        <v>1760160457</v>
      </c>
      <c r="B1191" t="str">
        <f t="shared" si="57"/>
        <v>89301000</v>
      </c>
      <c r="C1191" s="1">
        <v>44448</v>
      </c>
      <c r="D1191" s="1">
        <v>44450</v>
      </c>
      <c r="E1191">
        <v>1</v>
      </c>
      <c r="F1191" t="s">
        <v>234</v>
      </c>
      <c r="G1191" t="str">
        <f>"03-I21-00"</f>
        <v>03-I21-00</v>
      </c>
      <c r="H1191">
        <v>0.38500000000000001</v>
      </c>
      <c r="J1191" t="s">
        <v>14</v>
      </c>
      <c r="K1191" t="str">
        <f t="shared" si="60"/>
        <v>3F1</v>
      </c>
      <c r="L1191" t="s">
        <v>15</v>
      </c>
    </row>
    <row r="1192" spans="1:12" x14ac:dyDescent="0.25">
      <c r="A1192" t="str">
        <f>"1760200387"</f>
        <v>1760200387</v>
      </c>
      <c r="B1192" t="str">
        <f t="shared" si="57"/>
        <v>89301000</v>
      </c>
      <c r="C1192" s="1">
        <v>44297</v>
      </c>
      <c r="D1192" s="1">
        <v>44300</v>
      </c>
      <c r="E1192">
        <v>1</v>
      </c>
      <c r="F1192" t="s">
        <v>642</v>
      </c>
      <c r="G1192" t="str">
        <f>"03-I16-02"</f>
        <v>03-I16-02</v>
      </c>
      <c r="H1192">
        <v>0.89539999999999997</v>
      </c>
      <c r="J1192" t="s">
        <v>24</v>
      </c>
      <c r="K1192" t="str">
        <f t="shared" si="60"/>
        <v>3F1</v>
      </c>
      <c r="L1192" t="s">
        <v>15</v>
      </c>
    </row>
    <row r="1193" spans="1:12" x14ac:dyDescent="0.25">
      <c r="A1193" t="str">
        <f>"1760251218"</f>
        <v>1760251218</v>
      </c>
      <c r="B1193" t="str">
        <f t="shared" si="57"/>
        <v>89301000</v>
      </c>
      <c r="C1193" s="1">
        <v>44247</v>
      </c>
      <c r="D1193" s="1">
        <v>44262</v>
      </c>
      <c r="E1193">
        <v>6</v>
      </c>
      <c r="F1193" t="s">
        <v>1008</v>
      </c>
      <c r="G1193" t="str">
        <f>"18-K01-02"</f>
        <v>18-K01-02</v>
      </c>
      <c r="H1193">
        <v>2.6107999999999998</v>
      </c>
      <c r="I1193" t="s">
        <v>1023</v>
      </c>
      <c r="J1193" t="s">
        <v>14</v>
      </c>
      <c r="K1193" t="str">
        <f>"3T1"</f>
        <v>3T1</v>
      </c>
      <c r="L1193" t="s">
        <v>15</v>
      </c>
    </row>
    <row r="1194" spans="1:12" x14ac:dyDescent="0.25">
      <c r="A1194" t="str">
        <f>"1760251218"</f>
        <v>1760251218</v>
      </c>
      <c r="B1194" t="str">
        <f t="shared" si="57"/>
        <v>89301000</v>
      </c>
      <c r="C1194" s="1">
        <v>44461</v>
      </c>
      <c r="D1194" s="1">
        <v>44463</v>
      </c>
      <c r="E1194">
        <v>1</v>
      </c>
      <c r="F1194" t="s">
        <v>1024</v>
      </c>
      <c r="G1194" t="str">
        <f>"03-K01-01"</f>
        <v>03-K01-01</v>
      </c>
      <c r="H1194">
        <v>0.66990000000000005</v>
      </c>
      <c r="I1194" t="s">
        <v>1025</v>
      </c>
      <c r="J1194" t="s">
        <v>14</v>
      </c>
      <c r="K1194" t="str">
        <f>"3F1"</f>
        <v>3F1</v>
      </c>
      <c r="L1194" t="s">
        <v>15</v>
      </c>
    </row>
    <row r="1195" spans="1:12" x14ac:dyDescent="0.25">
      <c r="A1195" t="str">
        <f>"1760251218"</f>
        <v>1760251218</v>
      </c>
      <c r="B1195" t="str">
        <f t="shared" si="57"/>
        <v>89301000</v>
      </c>
      <c r="C1195" s="1">
        <v>44488</v>
      </c>
      <c r="D1195" s="1">
        <v>44496</v>
      </c>
      <c r="E1195">
        <v>6</v>
      </c>
      <c r="F1195" t="s">
        <v>1026</v>
      </c>
      <c r="G1195" t="str">
        <f>"04-K02-03"</f>
        <v>04-K02-03</v>
      </c>
      <c r="H1195">
        <v>1.2859</v>
      </c>
      <c r="I1195" t="s">
        <v>1027</v>
      </c>
      <c r="J1195" t="s">
        <v>14</v>
      </c>
      <c r="K1195" t="str">
        <f>"3T1"</f>
        <v>3T1</v>
      </c>
      <c r="L1195" t="s">
        <v>15</v>
      </c>
    </row>
    <row r="1196" spans="1:12" x14ac:dyDescent="0.25">
      <c r="A1196" t="str">
        <f>"1761010196"</f>
        <v>1761010196</v>
      </c>
      <c r="B1196" t="str">
        <f t="shared" si="57"/>
        <v>89301000</v>
      </c>
      <c r="C1196" s="1">
        <v>44486</v>
      </c>
      <c r="D1196" s="1">
        <v>44490</v>
      </c>
      <c r="E1196">
        <v>1</v>
      </c>
      <c r="F1196" t="s">
        <v>1028</v>
      </c>
      <c r="G1196" t="str">
        <f>"04-K02-04"</f>
        <v>04-K02-04</v>
      </c>
      <c r="H1196">
        <v>0.82469999999999999</v>
      </c>
      <c r="J1196" t="s">
        <v>14</v>
      </c>
      <c r="K1196" t="str">
        <f t="shared" ref="K1196:K1204" si="61">"3F1"</f>
        <v>3F1</v>
      </c>
      <c r="L1196" t="s">
        <v>15</v>
      </c>
    </row>
    <row r="1197" spans="1:12" x14ac:dyDescent="0.25">
      <c r="A1197" t="str">
        <f>"1761061984"</f>
        <v>1761061984</v>
      </c>
      <c r="B1197" t="str">
        <f t="shared" si="57"/>
        <v>89301000</v>
      </c>
      <c r="C1197" s="1">
        <v>44362</v>
      </c>
      <c r="D1197" s="1">
        <v>44376</v>
      </c>
      <c r="E1197">
        <v>1</v>
      </c>
      <c r="F1197" t="s">
        <v>630</v>
      </c>
      <c r="G1197" t="str">
        <f>"06-I18-02"</f>
        <v>06-I18-02</v>
      </c>
      <c r="H1197">
        <v>2.1901999999999999</v>
      </c>
      <c r="I1197" t="s">
        <v>1029</v>
      </c>
      <c r="J1197" t="s">
        <v>24</v>
      </c>
      <c r="K1197" t="str">
        <f t="shared" si="61"/>
        <v>3F1</v>
      </c>
      <c r="L1197" t="s">
        <v>15</v>
      </c>
    </row>
    <row r="1198" spans="1:12" x14ac:dyDescent="0.25">
      <c r="A1198" t="str">
        <f>"1761160313"</f>
        <v>1761160313</v>
      </c>
      <c r="B1198" t="str">
        <f t="shared" si="57"/>
        <v>89301000</v>
      </c>
      <c r="C1198" s="1">
        <v>44314</v>
      </c>
      <c r="D1198" s="1">
        <v>44315</v>
      </c>
      <c r="E1198">
        <v>1</v>
      </c>
      <c r="F1198" t="s">
        <v>1030</v>
      </c>
      <c r="G1198" t="str">
        <f>"02-K09-00"</f>
        <v>02-K09-00</v>
      </c>
      <c r="H1198">
        <v>0.40720000000000001</v>
      </c>
      <c r="I1198" t="s">
        <v>1031</v>
      </c>
      <c r="J1198" t="s">
        <v>14</v>
      </c>
      <c r="K1198" t="str">
        <f t="shared" si="61"/>
        <v>3F1</v>
      </c>
      <c r="L1198" t="s">
        <v>15</v>
      </c>
    </row>
    <row r="1199" spans="1:12" x14ac:dyDescent="0.25">
      <c r="A1199" t="str">
        <f>"1761160335"</f>
        <v>1761160335</v>
      </c>
      <c r="B1199" t="str">
        <f t="shared" si="57"/>
        <v>89301000</v>
      </c>
      <c r="C1199" s="1">
        <v>44545</v>
      </c>
      <c r="D1199" s="1">
        <v>44547</v>
      </c>
      <c r="E1199">
        <v>1</v>
      </c>
      <c r="F1199" t="s">
        <v>841</v>
      </c>
      <c r="G1199" t="str">
        <f>"04-K03-03"</f>
        <v>04-K03-03</v>
      </c>
      <c r="H1199">
        <v>0.53180000000000005</v>
      </c>
      <c r="I1199" t="s">
        <v>869</v>
      </c>
      <c r="J1199" t="s">
        <v>14</v>
      </c>
      <c r="K1199" t="str">
        <f t="shared" si="61"/>
        <v>3F1</v>
      </c>
      <c r="L1199" t="s">
        <v>15</v>
      </c>
    </row>
    <row r="1200" spans="1:12" x14ac:dyDescent="0.25">
      <c r="A1200" t="str">
        <f>"1761250073"</f>
        <v>1761250073</v>
      </c>
      <c r="B1200" t="str">
        <f t="shared" si="57"/>
        <v>89301000</v>
      </c>
      <c r="C1200" s="1">
        <v>44508</v>
      </c>
      <c r="D1200" s="1">
        <v>44510</v>
      </c>
      <c r="E1200">
        <v>1</v>
      </c>
      <c r="F1200" t="s">
        <v>632</v>
      </c>
      <c r="G1200" t="str">
        <f>"06-I17-05"</f>
        <v>06-I17-05</v>
      </c>
      <c r="H1200">
        <v>0.39450000000000002</v>
      </c>
      <c r="J1200" t="s">
        <v>17</v>
      </c>
      <c r="K1200" t="str">
        <f t="shared" si="61"/>
        <v>3F1</v>
      </c>
      <c r="L1200" t="s">
        <v>15</v>
      </c>
    </row>
    <row r="1201" spans="1:12" x14ac:dyDescent="0.25">
      <c r="A1201" t="str">
        <f>"1762110702"</f>
        <v>1762110702</v>
      </c>
      <c r="B1201" t="str">
        <f t="shared" si="57"/>
        <v>89301000</v>
      </c>
      <c r="C1201" s="1">
        <v>44498</v>
      </c>
      <c r="D1201" s="1">
        <v>44505</v>
      </c>
      <c r="E1201">
        <v>1</v>
      </c>
      <c r="F1201" t="s">
        <v>828</v>
      </c>
      <c r="G1201" t="str">
        <f>"01-K03-07"</f>
        <v>01-K03-07</v>
      </c>
      <c r="H1201">
        <v>0.60250000000000004</v>
      </c>
      <c r="J1201" t="s">
        <v>14</v>
      </c>
      <c r="K1201" t="str">
        <f t="shared" si="61"/>
        <v>3F1</v>
      </c>
      <c r="L1201" t="s">
        <v>15</v>
      </c>
    </row>
    <row r="1202" spans="1:12" x14ac:dyDescent="0.25">
      <c r="A1202" t="str">
        <f>"1762110702"</f>
        <v>1762110702</v>
      </c>
      <c r="B1202" t="str">
        <f t="shared" si="57"/>
        <v>89301000</v>
      </c>
      <c r="C1202" s="1">
        <v>44491</v>
      </c>
      <c r="D1202" s="1">
        <v>44495</v>
      </c>
      <c r="E1202">
        <v>1</v>
      </c>
      <c r="F1202" t="s">
        <v>950</v>
      </c>
      <c r="G1202" t="str">
        <f>"04-K03-02"</f>
        <v>04-K03-02</v>
      </c>
      <c r="H1202">
        <v>0.82599999999999996</v>
      </c>
      <c r="I1202" t="s">
        <v>1032</v>
      </c>
      <c r="J1202" t="s">
        <v>14</v>
      </c>
      <c r="K1202" t="str">
        <f t="shared" si="61"/>
        <v>3F1</v>
      </c>
      <c r="L1202" t="s">
        <v>15</v>
      </c>
    </row>
    <row r="1203" spans="1:12" x14ac:dyDescent="0.25">
      <c r="A1203" t="str">
        <f>"1762110702"</f>
        <v>1762110702</v>
      </c>
      <c r="B1203" t="str">
        <f t="shared" si="57"/>
        <v>89301000</v>
      </c>
      <c r="C1203" s="1">
        <v>44430</v>
      </c>
      <c r="D1203" s="1">
        <v>44435</v>
      </c>
      <c r="E1203">
        <v>1</v>
      </c>
      <c r="F1203" t="s">
        <v>660</v>
      </c>
      <c r="G1203" t="str">
        <f>"01-K03-07"</f>
        <v>01-K03-07</v>
      </c>
      <c r="H1203">
        <v>0.60250000000000004</v>
      </c>
      <c r="J1203" t="s">
        <v>14</v>
      </c>
      <c r="K1203" t="str">
        <f t="shared" si="61"/>
        <v>3F1</v>
      </c>
      <c r="L1203" t="s">
        <v>15</v>
      </c>
    </row>
    <row r="1204" spans="1:12" x14ac:dyDescent="0.25">
      <c r="A1204" t="str">
        <f>"1762201221"</f>
        <v>1762201221</v>
      </c>
      <c r="B1204" t="str">
        <f t="shared" si="57"/>
        <v>89301000</v>
      </c>
      <c r="C1204" s="1">
        <v>44426</v>
      </c>
      <c r="D1204" s="1">
        <v>44428</v>
      </c>
      <c r="E1204">
        <v>1</v>
      </c>
      <c r="F1204" t="s">
        <v>398</v>
      </c>
      <c r="G1204" t="str">
        <f>"06-I16-05"</f>
        <v>06-I16-05</v>
      </c>
      <c r="H1204">
        <v>0.46139999999999998</v>
      </c>
      <c r="J1204" t="s">
        <v>24</v>
      </c>
      <c r="K1204" t="str">
        <f t="shared" si="61"/>
        <v>3F1</v>
      </c>
      <c r="L1204" t="s">
        <v>15</v>
      </c>
    </row>
    <row r="1205" spans="1:12" x14ac:dyDescent="0.25">
      <c r="A1205" t="str">
        <f>"1762220361"</f>
        <v>1762220361</v>
      </c>
      <c r="B1205" t="str">
        <f t="shared" si="57"/>
        <v>89301000</v>
      </c>
      <c r="C1205" s="1">
        <v>44495</v>
      </c>
      <c r="D1205" s="1">
        <v>44496</v>
      </c>
      <c r="E1205">
        <v>6</v>
      </c>
      <c r="F1205" t="s">
        <v>186</v>
      </c>
      <c r="G1205" t="str">
        <f>"05-K05-05"</f>
        <v>05-K05-05</v>
      </c>
      <c r="H1205">
        <v>0.37819999999999998</v>
      </c>
      <c r="J1205" t="s">
        <v>14</v>
      </c>
      <c r="K1205" t="str">
        <f>"3T1"</f>
        <v>3T1</v>
      </c>
      <c r="L1205" t="s">
        <v>15</v>
      </c>
    </row>
    <row r="1206" spans="1:12" x14ac:dyDescent="0.25">
      <c r="A1206" t="str">
        <f>"1801032068"</f>
        <v>1801032068</v>
      </c>
      <c r="B1206" t="str">
        <f t="shared" si="57"/>
        <v>89301000</v>
      </c>
      <c r="C1206" s="1">
        <v>44239</v>
      </c>
      <c r="D1206" s="1">
        <v>44246</v>
      </c>
      <c r="E1206">
        <v>1</v>
      </c>
      <c r="F1206" t="s">
        <v>1033</v>
      </c>
      <c r="G1206" t="str">
        <f>"11-K03-01"</f>
        <v>11-K03-01</v>
      </c>
      <c r="H1206">
        <v>1.2428999999999999</v>
      </c>
      <c r="I1206" t="s">
        <v>1034</v>
      </c>
      <c r="J1206" t="s">
        <v>14</v>
      </c>
      <c r="K1206" t="str">
        <f t="shared" ref="K1206:K1234" si="62">"3F1"</f>
        <v>3F1</v>
      </c>
      <c r="L1206" t="s">
        <v>15</v>
      </c>
    </row>
    <row r="1207" spans="1:12" x14ac:dyDescent="0.25">
      <c r="A1207" t="str">
        <f>"1801032068"</f>
        <v>1801032068</v>
      </c>
      <c r="B1207" t="str">
        <f t="shared" ref="B1207:B1269" si="63">"89301000"</f>
        <v>89301000</v>
      </c>
      <c r="C1207" s="1">
        <v>44399</v>
      </c>
      <c r="D1207" s="1">
        <v>44407</v>
      </c>
      <c r="E1207">
        <v>1</v>
      </c>
      <c r="F1207" t="s">
        <v>1033</v>
      </c>
      <c r="G1207" t="str">
        <f>"11-K03-01"</f>
        <v>11-K03-01</v>
      </c>
      <c r="H1207">
        <v>1.2428999999999999</v>
      </c>
      <c r="I1207" t="s">
        <v>168</v>
      </c>
      <c r="J1207" t="s">
        <v>14</v>
      </c>
      <c r="K1207" t="str">
        <f t="shared" si="62"/>
        <v>3F1</v>
      </c>
      <c r="L1207" t="s">
        <v>15</v>
      </c>
    </row>
    <row r="1208" spans="1:12" x14ac:dyDescent="0.25">
      <c r="A1208" t="str">
        <f>"1801110322"</f>
        <v>1801110322</v>
      </c>
      <c r="B1208" t="str">
        <f t="shared" si="63"/>
        <v>89301000</v>
      </c>
      <c r="C1208" s="1">
        <v>44521</v>
      </c>
      <c r="D1208" s="1">
        <v>44522</v>
      </c>
      <c r="E1208">
        <v>1</v>
      </c>
      <c r="F1208" t="s">
        <v>532</v>
      </c>
      <c r="G1208" t="str">
        <f>"06-M01-05"</f>
        <v>06-M01-05</v>
      </c>
      <c r="H1208">
        <v>0.41710000000000003</v>
      </c>
      <c r="I1208" t="s">
        <v>1035</v>
      </c>
      <c r="J1208" t="s">
        <v>14</v>
      </c>
      <c r="K1208" t="str">
        <f t="shared" si="62"/>
        <v>3F1</v>
      </c>
      <c r="L1208" t="s">
        <v>15</v>
      </c>
    </row>
    <row r="1209" spans="1:12" x14ac:dyDescent="0.25">
      <c r="A1209" t="str">
        <f>"1801170239"</f>
        <v>1801170239</v>
      </c>
      <c r="B1209" t="str">
        <f t="shared" si="63"/>
        <v>89301000</v>
      </c>
      <c r="C1209" s="1">
        <v>44259</v>
      </c>
      <c r="D1209" s="1">
        <v>44260</v>
      </c>
      <c r="E1209">
        <v>1</v>
      </c>
      <c r="F1209" t="s">
        <v>354</v>
      </c>
      <c r="G1209" t="str">
        <f>"10-K14-05"</f>
        <v>10-K14-05</v>
      </c>
      <c r="H1209">
        <v>0.34639999999999999</v>
      </c>
      <c r="I1209" t="s">
        <v>1036</v>
      </c>
      <c r="J1209" t="s">
        <v>14</v>
      </c>
      <c r="K1209" t="str">
        <f t="shared" si="62"/>
        <v>3F1</v>
      </c>
      <c r="L1209" t="s">
        <v>15</v>
      </c>
    </row>
    <row r="1210" spans="1:12" x14ac:dyDescent="0.25">
      <c r="A1210" t="str">
        <f>"1802010386"</f>
        <v>1802010386</v>
      </c>
      <c r="B1210" t="str">
        <f t="shared" si="63"/>
        <v>89301000</v>
      </c>
      <c r="C1210" s="1">
        <v>44196</v>
      </c>
      <c r="D1210" s="1">
        <v>44198</v>
      </c>
      <c r="E1210">
        <v>1</v>
      </c>
      <c r="F1210" t="s">
        <v>354</v>
      </c>
      <c r="G1210" t="str">
        <f>"10-K14-05"</f>
        <v>10-K14-05</v>
      </c>
      <c r="H1210">
        <v>0.34639999999999999</v>
      </c>
      <c r="I1210" t="s">
        <v>1037</v>
      </c>
      <c r="J1210" t="s">
        <v>14</v>
      </c>
      <c r="K1210" t="str">
        <f t="shared" si="62"/>
        <v>3F1</v>
      </c>
      <c r="L1210" t="s">
        <v>15</v>
      </c>
    </row>
    <row r="1211" spans="1:12" x14ac:dyDescent="0.25">
      <c r="A1211" t="str">
        <f>"1803020395"</f>
        <v>1803020395</v>
      </c>
      <c r="B1211" t="str">
        <f t="shared" si="63"/>
        <v>89301000</v>
      </c>
      <c r="C1211" s="1">
        <v>44278</v>
      </c>
      <c r="D1211" s="1">
        <v>44279</v>
      </c>
      <c r="E1211">
        <v>1</v>
      </c>
      <c r="F1211" t="s">
        <v>380</v>
      </c>
      <c r="G1211" t="str">
        <f>"08-K14-03"</f>
        <v>08-K14-03</v>
      </c>
      <c r="H1211">
        <v>0.26169999999999999</v>
      </c>
      <c r="I1211" t="s">
        <v>211</v>
      </c>
      <c r="J1211" t="s">
        <v>14</v>
      </c>
      <c r="K1211" t="str">
        <f t="shared" si="62"/>
        <v>3F1</v>
      </c>
      <c r="L1211" t="s">
        <v>15</v>
      </c>
    </row>
    <row r="1212" spans="1:12" x14ac:dyDescent="0.25">
      <c r="A1212" t="str">
        <f>"1803020395"</f>
        <v>1803020395</v>
      </c>
      <c r="B1212" t="str">
        <f t="shared" si="63"/>
        <v>89301000</v>
      </c>
      <c r="C1212" s="1">
        <v>44292</v>
      </c>
      <c r="D1212" s="1">
        <v>44294</v>
      </c>
      <c r="E1212">
        <v>1</v>
      </c>
      <c r="F1212" t="s">
        <v>292</v>
      </c>
      <c r="G1212" t="str">
        <f>"08-I20-03"</f>
        <v>08-I20-03</v>
      </c>
      <c r="H1212">
        <v>0.63300000000000001</v>
      </c>
      <c r="I1212" t="s">
        <v>211</v>
      </c>
      <c r="J1212" t="s">
        <v>17</v>
      </c>
      <c r="K1212" t="str">
        <f t="shared" si="62"/>
        <v>3F1</v>
      </c>
      <c r="L1212" t="s">
        <v>15</v>
      </c>
    </row>
    <row r="1213" spans="1:12" x14ac:dyDescent="0.25">
      <c r="A1213" t="str">
        <f>"1803020395"</f>
        <v>1803020395</v>
      </c>
      <c r="B1213" t="str">
        <f t="shared" si="63"/>
        <v>89301000</v>
      </c>
      <c r="C1213" s="1">
        <v>44411</v>
      </c>
      <c r="D1213" s="1">
        <v>44413</v>
      </c>
      <c r="E1213">
        <v>1</v>
      </c>
      <c r="F1213" t="s">
        <v>173</v>
      </c>
      <c r="G1213" t="str">
        <f>"08-I32-02"</f>
        <v>08-I32-02</v>
      </c>
      <c r="H1213">
        <v>0.4143</v>
      </c>
      <c r="J1213" t="s">
        <v>14</v>
      </c>
      <c r="K1213" t="str">
        <f t="shared" si="62"/>
        <v>3F1</v>
      </c>
      <c r="L1213" t="s">
        <v>15</v>
      </c>
    </row>
    <row r="1214" spans="1:12" x14ac:dyDescent="0.25">
      <c r="A1214" t="str">
        <f>"1803140042"</f>
        <v>1803140042</v>
      </c>
      <c r="B1214" t="str">
        <f t="shared" si="63"/>
        <v>89301000</v>
      </c>
      <c r="C1214" s="1">
        <v>44549</v>
      </c>
      <c r="D1214" s="1">
        <v>44551</v>
      </c>
      <c r="E1214">
        <v>1</v>
      </c>
      <c r="F1214" t="s">
        <v>617</v>
      </c>
      <c r="G1214" t="str">
        <f>"06-K02-04"</f>
        <v>06-K02-04</v>
      </c>
      <c r="H1214">
        <v>0.3634</v>
      </c>
      <c r="I1214" t="s">
        <v>168</v>
      </c>
      <c r="J1214" t="s">
        <v>14</v>
      </c>
      <c r="K1214" t="str">
        <f t="shared" si="62"/>
        <v>3F1</v>
      </c>
      <c r="L1214" t="s">
        <v>15</v>
      </c>
    </row>
    <row r="1215" spans="1:12" x14ac:dyDescent="0.25">
      <c r="A1215" t="str">
        <f>"1804101750"</f>
        <v>1804101750</v>
      </c>
      <c r="B1215" t="str">
        <f t="shared" si="63"/>
        <v>89301000</v>
      </c>
      <c r="C1215" s="1">
        <v>44524</v>
      </c>
      <c r="D1215" s="1">
        <v>44525</v>
      </c>
      <c r="E1215">
        <v>1</v>
      </c>
      <c r="F1215" t="s">
        <v>646</v>
      </c>
      <c r="G1215" t="str">
        <f>"06-M01-05"</f>
        <v>06-M01-05</v>
      </c>
      <c r="H1215">
        <v>0.41710000000000003</v>
      </c>
      <c r="I1215" t="s">
        <v>1038</v>
      </c>
      <c r="J1215" t="s">
        <v>14</v>
      </c>
      <c r="K1215" t="str">
        <f t="shared" si="62"/>
        <v>3F1</v>
      </c>
      <c r="L1215" t="s">
        <v>15</v>
      </c>
    </row>
    <row r="1216" spans="1:12" x14ac:dyDescent="0.25">
      <c r="A1216" t="str">
        <f>"1804160237"</f>
        <v>1804160237</v>
      </c>
      <c r="B1216" t="str">
        <f t="shared" si="63"/>
        <v>89301000</v>
      </c>
      <c r="C1216" s="1">
        <v>44268</v>
      </c>
      <c r="D1216" s="1">
        <v>44269</v>
      </c>
      <c r="E1216">
        <v>1</v>
      </c>
      <c r="F1216" t="s">
        <v>529</v>
      </c>
      <c r="G1216" t="str">
        <f>"06-K04-03"</f>
        <v>06-K04-03</v>
      </c>
      <c r="H1216">
        <v>0.38250000000000001</v>
      </c>
      <c r="I1216" t="s">
        <v>552</v>
      </c>
      <c r="J1216" t="s">
        <v>14</v>
      </c>
      <c r="K1216" t="str">
        <f t="shared" si="62"/>
        <v>3F1</v>
      </c>
      <c r="L1216" t="s">
        <v>15</v>
      </c>
    </row>
    <row r="1217" spans="1:12" x14ac:dyDescent="0.25">
      <c r="A1217" t="str">
        <f>"1804250019"</f>
        <v>1804250019</v>
      </c>
      <c r="B1217" t="str">
        <f t="shared" si="63"/>
        <v>89301000</v>
      </c>
      <c r="C1217" s="1">
        <v>44552</v>
      </c>
      <c r="D1217" s="1">
        <v>44554</v>
      </c>
      <c r="E1217">
        <v>1</v>
      </c>
      <c r="F1217" t="s">
        <v>1039</v>
      </c>
      <c r="G1217" t="str">
        <f>"16-K03-03"</f>
        <v>16-K03-03</v>
      </c>
      <c r="H1217">
        <v>0.62319999999999998</v>
      </c>
      <c r="I1217" t="s">
        <v>966</v>
      </c>
      <c r="J1217" t="s">
        <v>14</v>
      </c>
      <c r="K1217" t="str">
        <f t="shared" si="62"/>
        <v>3F1</v>
      </c>
      <c r="L1217" t="s">
        <v>15</v>
      </c>
    </row>
    <row r="1218" spans="1:12" x14ac:dyDescent="0.25">
      <c r="A1218" t="str">
        <f>"1805090551"</f>
        <v>1805090551</v>
      </c>
      <c r="B1218" t="str">
        <f t="shared" si="63"/>
        <v>89301000</v>
      </c>
      <c r="C1218" s="1">
        <v>44550</v>
      </c>
      <c r="D1218" s="1">
        <v>44553</v>
      </c>
      <c r="E1218">
        <v>1</v>
      </c>
      <c r="F1218" t="s">
        <v>151</v>
      </c>
      <c r="G1218" t="str">
        <f>"06-I16-05"</f>
        <v>06-I16-05</v>
      </c>
      <c r="H1218">
        <v>0.46139999999999998</v>
      </c>
      <c r="I1218" t="s">
        <v>917</v>
      </c>
      <c r="J1218" t="s">
        <v>24</v>
      </c>
      <c r="K1218" t="str">
        <f t="shared" si="62"/>
        <v>3F1</v>
      </c>
      <c r="L1218" t="s">
        <v>15</v>
      </c>
    </row>
    <row r="1219" spans="1:12" x14ac:dyDescent="0.25">
      <c r="A1219" t="str">
        <f>"1805220714"</f>
        <v>1805220714</v>
      </c>
      <c r="B1219" t="str">
        <f t="shared" si="63"/>
        <v>89301000</v>
      </c>
      <c r="C1219" s="1">
        <v>44554</v>
      </c>
      <c r="D1219" s="1">
        <v>44554</v>
      </c>
      <c r="E1219">
        <v>1</v>
      </c>
      <c r="F1219" t="s">
        <v>1040</v>
      </c>
      <c r="G1219" t="str">
        <f>"03-K12-01"</f>
        <v>03-K12-01</v>
      </c>
      <c r="H1219">
        <v>0.18890000000000001</v>
      </c>
      <c r="I1219" t="s">
        <v>1041</v>
      </c>
      <c r="J1219" t="s">
        <v>14</v>
      </c>
      <c r="K1219" t="str">
        <f t="shared" si="62"/>
        <v>3F1</v>
      </c>
      <c r="L1219" t="s">
        <v>15</v>
      </c>
    </row>
    <row r="1220" spans="1:12" x14ac:dyDescent="0.25">
      <c r="A1220" t="str">
        <f>"1805250271"</f>
        <v>1805250271</v>
      </c>
      <c r="B1220" t="str">
        <f t="shared" si="63"/>
        <v>89301000</v>
      </c>
      <c r="C1220" s="1">
        <v>44429</v>
      </c>
      <c r="D1220" s="1">
        <v>44431</v>
      </c>
      <c r="E1220">
        <v>1</v>
      </c>
      <c r="F1220" t="s">
        <v>184</v>
      </c>
      <c r="G1220" t="str">
        <f>"01-I14-02"</f>
        <v>01-I14-02</v>
      </c>
      <c r="H1220">
        <v>1.1561999999999999</v>
      </c>
      <c r="I1220" t="s">
        <v>1042</v>
      </c>
      <c r="J1220" t="s">
        <v>14</v>
      </c>
      <c r="K1220" t="str">
        <f t="shared" si="62"/>
        <v>3F1</v>
      </c>
      <c r="L1220" t="s">
        <v>15</v>
      </c>
    </row>
    <row r="1221" spans="1:12" x14ac:dyDescent="0.25">
      <c r="A1221" t="str">
        <f>"1805300288"</f>
        <v>1805300288</v>
      </c>
      <c r="B1221" t="str">
        <f t="shared" si="63"/>
        <v>89301000</v>
      </c>
      <c r="C1221" s="1">
        <v>44397</v>
      </c>
      <c r="D1221" s="1">
        <v>44400</v>
      </c>
      <c r="E1221">
        <v>1</v>
      </c>
      <c r="F1221" t="s">
        <v>43</v>
      </c>
      <c r="G1221" t="str">
        <f>"06-I18-04"</f>
        <v>06-I18-04</v>
      </c>
      <c r="H1221">
        <v>1.1514</v>
      </c>
      <c r="I1221" t="s">
        <v>1043</v>
      </c>
      <c r="J1221" t="s">
        <v>24</v>
      </c>
      <c r="K1221" t="str">
        <f t="shared" si="62"/>
        <v>3F1</v>
      </c>
      <c r="L1221" t="s">
        <v>15</v>
      </c>
    </row>
    <row r="1222" spans="1:12" x14ac:dyDescent="0.25">
      <c r="A1222" t="str">
        <f>"1805301366"</f>
        <v>1805301366</v>
      </c>
      <c r="B1222" t="str">
        <f t="shared" si="63"/>
        <v>89301000</v>
      </c>
      <c r="C1222" s="1">
        <v>44236</v>
      </c>
      <c r="D1222" s="1">
        <v>44239</v>
      </c>
      <c r="E1222">
        <v>1</v>
      </c>
      <c r="F1222" t="s">
        <v>1044</v>
      </c>
      <c r="G1222" t="str">
        <f>"09-I13-03"</f>
        <v>09-I13-03</v>
      </c>
      <c r="H1222">
        <v>0.77380000000000004</v>
      </c>
      <c r="I1222" t="s">
        <v>1045</v>
      </c>
      <c r="J1222" t="s">
        <v>14</v>
      </c>
      <c r="K1222" t="str">
        <f t="shared" si="62"/>
        <v>3F1</v>
      </c>
      <c r="L1222" t="s">
        <v>15</v>
      </c>
    </row>
    <row r="1223" spans="1:12" x14ac:dyDescent="0.25">
      <c r="A1223" t="str">
        <f>"1806101143"</f>
        <v>1806101143</v>
      </c>
      <c r="B1223" t="str">
        <f t="shared" si="63"/>
        <v>89301000</v>
      </c>
      <c r="C1223" s="1">
        <v>44438</v>
      </c>
      <c r="D1223" s="1">
        <v>44440</v>
      </c>
      <c r="E1223">
        <v>1</v>
      </c>
      <c r="F1223" t="s">
        <v>724</v>
      </c>
      <c r="G1223" t="str">
        <f>"06-K10-03"</f>
        <v>06-K10-03</v>
      </c>
      <c r="H1223">
        <v>0.43880000000000002</v>
      </c>
      <c r="I1223" t="s">
        <v>168</v>
      </c>
      <c r="J1223" t="s">
        <v>14</v>
      </c>
      <c r="K1223" t="str">
        <f t="shared" si="62"/>
        <v>3F1</v>
      </c>
      <c r="L1223" t="s">
        <v>15</v>
      </c>
    </row>
    <row r="1224" spans="1:12" x14ac:dyDescent="0.25">
      <c r="A1224" t="str">
        <f>"1806111406"</f>
        <v>1806111406</v>
      </c>
      <c r="B1224" t="str">
        <f t="shared" si="63"/>
        <v>89301000</v>
      </c>
      <c r="C1224" s="1">
        <v>44525</v>
      </c>
      <c r="D1224" s="1">
        <v>44526</v>
      </c>
      <c r="E1224">
        <v>1</v>
      </c>
      <c r="F1224" t="s">
        <v>724</v>
      </c>
      <c r="G1224" t="str">
        <f>"06-K10-03"</f>
        <v>06-K10-03</v>
      </c>
      <c r="H1224">
        <v>0.43880000000000002</v>
      </c>
      <c r="I1224" t="s">
        <v>168</v>
      </c>
      <c r="J1224" t="s">
        <v>14</v>
      </c>
      <c r="K1224" t="str">
        <f t="shared" si="62"/>
        <v>3F1</v>
      </c>
      <c r="L1224" t="s">
        <v>15</v>
      </c>
    </row>
    <row r="1225" spans="1:12" x14ac:dyDescent="0.25">
      <c r="A1225" t="str">
        <f>"1806160037"</f>
        <v>1806160037</v>
      </c>
      <c r="B1225" t="str">
        <f t="shared" si="63"/>
        <v>89301000</v>
      </c>
      <c r="C1225" s="1">
        <v>44288</v>
      </c>
      <c r="D1225" s="1">
        <v>44289</v>
      </c>
      <c r="E1225">
        <v>1</v>
      </c>
      <c r="F1225" t="s">
        <v>1046</v>
      </c>
      <c r="G1225" t="str">
        <f>"21-K05-04"</f>
        <v>21-K05-04</v>
      </c>
      <c r="H1225">
        <v>0.2424</v>
      </c>
      <c r="I1225" t="s">
        <v>1047</v>
      </c>
      <c r="J1225" t="s">
        <v>14</v>
      </c>
      <c r="K1225" t="str">
        <f t="shared" si="62"/>
        <v>3F1</v>
      </c>
      <c r="L1225" t="s">
        <v>15</v>
      </c>
    </row>
    <row r="1226" spans="1:12" x14ac:dyDescent="0.25">
      <c r="A1226" t="str">
        <f>"1807042545"</f>
        <v>1807042545</v>
      </c>
      <c r="B1226" t="str">
        <f t="shared" si="63"/>
        <v>89301000</v>
      </c>
      <c r="C1226" s="1">
        <v>44469</v>
      </c>
      <c r="D1226" s="1">
        <v>44471</v>
      </c>
      <c r="E1226">
        <v>1</v>
      </c>
      <c r="F1226" t="s">
        <v>234</v>
      </c>
      <c r="G1226" t="str">
        <f>"03-I21-00"</f>
        <v>03-I21-00</v>
      </c>
      <c r="H1226">
        <v>0.38500000000000001</v>
      </c>
      <c r="J1226" t="s">
        <v>14</v>
      </c>
      <c r="K1226" t="str">
        <f t="shared" si="62"/>
        <v>3F1</v>
      </c>
      <c r="L1226" t="s">
        <v>15</v>
      </c>
    </row>
    <row r="1227" spans="1:12" x14ac:dyDescent="0.25">
      <c r="A1227" t="str">
        <f>"1807180243"</f>
        <v>1807180243</v>
      </c>
      <c r="B1227" t="str">
        <f t="shared" si="63"/>
        <v>89301000</v>
      </c>
      <c r="C1227" s="1">
        <v>44437</v>
      </c>
      <c r="D1227" s="1">
        <v>44439</v>
      </c>
      <c r="E1227">
        <v>1</v>
      </c>
      <c r="F1227" t="s">
        <v>931</v>
      </c>
      <c r="G1227" t="str">
        <f>"09-I13-04"</f>
        <v>09-I13-04</v>
      </c>
      <c r="H1227">
        <v>0.57730000000000004</v>
      </c>
      <c r="J1227" t="s">
        <v>14</v>
      </c>
      <c r="K1227" t="str">
        <f t="shared" si="62"/>
        <v>3F1</v>
      </c>
      <c r="L1227" t="s">
        <v>15</v>
      </c>
    </row>
    <row r="1228" spans="1:12" x14ac:dyDescent="0.25">
      <c r="A1228" t="str">
        <f>"1808030686"</f>
        <v>1808030686</v>
      </c>
      <c r="B1228" t="str">
        <f t="shared" si="63"/>
        <v>89301000</v>
      </c>
      <c r="C1228" s="1">
        <v>44385</v>
      </c>
      <c r="D1228" s="1">
        <v>44399</v>
      </c>
      <c r="E1228">
        <v>1</v>
      </c>
      <c r="F1228" t="s">
        <v>1040</v>
      </c>
      <c r="G1228" t="str">
        <f>"00-M01-04"</f>
        <v>00-M01-04</v>
      </c>
      <c r="H1228">
        <v>6.85</v>
      </c>
      <c r="I1228" t="s">
        <v>1048</v>
      </c>
      <c r="J1228" t="s">
        <v>14</v>
      </c>
      <c r="K1228" t="str">
        <f t="shared" si="62"/>
        <v>3F1</v>
      </c>
      <c r="L1228" t="s">
        <v>15</v>
      </c>
    </row>
    <row r="1229" spans="1:12" x14ac:dyDescent="0.25">
      <c r="A1229" t="str">
        <f>"1808060045"</f>
        <v>1808060045</v>
      </c>
      <c r="B1229" t="str">
        <f t="shared" si="63"/>
        <v>89301000</v>
      </c>
      <c r="C1229" s="1">
        <v>44383</v>
      </c>
      <c r="D1229" s="1">
        <v>44389</v>
      </c>
      <c r="E1229">
        <v>1</v>
      </c>
      <c r="F1229" t="s">
        <v>1049</v>
      </c>
      <c r="G1229" t="str">
        <f>"18-K02-02"</f>
        <v>18-K02-02</v>
      </c>
      <c r="H1229">
        <v>1.2563</v>
      </c>
      <c r="I1229" t="s">
        <v>1050</v>
      </c>
      <c r="J1229" t="s">
        <v>14</v>
      </c>
      <c r="K1229" t="str">
        <f t="shared" si="62"/>
        <v>3F1</v>
      </c>
      <c r="L1229" t="s">
        <v>15</v>
      </c>
    </row>
    <row r="1230" spans="1:12" x14ac:dyDescent="0.25">
      <c r="A1230" t="str">
        <f>"1808210602"</f>
        <v>1808210602</v>
      </c>
      <c r="B1230" t="str">
        <f t="shared" si="63"/>
        <v>89301000</v>
      </c>
      <c r="C1230" s="1">
        <v>44354</v>
      </c>
      <c r="D1230" s="1">
        <v>44356</v>
      </c>
      <c r="E1230">
        <v>1</v>
      </c>
      <c r="F1230" t="s">
        <v>347</v>
      </c>
      <c r="G1230" t="str">
        <f>"11-K11-00"</f>
        <v>11-K11-00</v>
      </c>
      <c r="H1230">
        <v>0.52710000000000001</v>
      </c>
      <c r="I1230" t="s">
        <v>917</v>
      </c>
      <c r="J1230" t="s">
        <v>14</v>
      </c>
      <c r="K1230" t="str">
        <f t="shared" si="62"/>
        <v>3F1</v>
      </c>
      <c r="L1230" t="s">
        <v>15</v>
      </c>
    </row>
    <row r="1231" spans="1:12" x14ac:dyDescent="0.25">
      <c r="A1231" t="str">
        <f>"1808231645"</f>
        <v>1808231645</v>
      </c>
      <c r="B1231" t="str">
        <f t="shared" si="63"/>
        <v>89301000</v>
      </c>
      <c r="C1231" s="1">
        <v>44307</v>
      </c>
      <c r="D1231" s="1">
        <v>44309</v>
      </c>
      <c r="E1231">
        <v>1</v>
      </c>
      <c r="F1231" t="s">
        <v>151</v>
      </c>
      <c r="G1231" t="str">
        <f>"06-I16-05"</f>
        <v>06-I16-05</v>
      </c>
      <c r="H1231">
        <v>0.46139999999999998</v>
      </c>
      <c r="J1231" t="s">
        <v>24</v>
      </c>
      <c r="K1231" t="str">
        <f t="shared" si="62"/>
        <v>3F1</v>
      </c>
      <c r="L1231" t="s">
        <v>15</v>
      </c>
    </row>
    <row r="1232" spans="1:12" x14ac:dyDescent="0.25">
      <c r="A1232" t="str">
        <f>"1808242282"</f>
        <v>1808242282</v>
      </c>
      <c r="B1232" t="str">
        <f t="shared" si="63"/>
        <v>89301000</v>
      </c>
      <c r="C1232" s="1">
        <v>44315</v>
      </c>
      <c r="D1232" s="1">
        <v>44317</v>
      </c>
      <c r="E1232">
        <v>1</v>
      </c>
      <c r="F1232" t="s">
        <v>644</v>
      </c>
      <c r="G1232" t="str">
        <f>"12-I10-02"</f>
        <v>12-I10-02</v>
      </c>
      <c r="H1232">
        <v>0.57379999999999998</v>
      </c>
      <c r="J1232" t="s">
        <v>24</v>
      </c>
      <c r="K1232" t="str">
        <f t="shared" si="62"/>
        <v>3F1</v>
      </c>
      <c r="L1232" t="s">
        <v>15</v>
      </c>
    </row>
    <row r="1233" spans="1:12" x14ac:dyDescent="0.25">
      <c r="A1233" t="str">
        <f>"1808250444"</f>
        <v>1808250444</v>
      </c>
      <c r="B1233" t="str">
        <f t="shared" si="63"/>
        <v>89301000</v>
      </c>
      <c r="C1233" s="1">
        <v>44384</v>
      </c>
      <c r="D1233" s="1">
        <v>44386</v>
      </c>
      <c r="E1233">
        <v>1</v>
      </c>
      <c r="F1233" t="s">
        <v>1051</v>
      </c>
      <c r="G1233" t="str">
        <f>"12-I08-03"</f>
        <v>12-I08-03</v>
      </c>
      <c r="H1233">
        <v>0.7036</v>
      </c>
      <c r="I1233" t="s">
        <v>644</v>
      </c>
      <c r="J1233" t="s">
        <v>14</v>
      </c>
      <c r="K1233" t="str">
        <f t="shared" si="62"/>
        <v>3F1</v>
      </c>
      <c r="L1233" t="s">
        <v>15</v>
      </c>
    </row>
    <row r="1234" spans="1:12" x14ac:dyDescent="0.25">
      <c r="A1234" t="str">
        <f>"1809041696"</f>
        <v>1809041696</v>
      </c>
      <c r="B1234" t="str">
        <f t="shared" si="63"/>
        <v>89301000</v>
      </c>
      <c r="C1234" s="1">
        <v>44482</v>
      </c>
      <c r="D1234" s="1">
        <v>44484</v>
      </c>
      <c r="E1234">
        <v>1</v>
      </c>
      <c r="F1234" t="s">
        <v>726</v>
      </c>
      <c r="G1234" t="str">
        <f>"12-I14-00"</f>
        <v>12-I14-00</v>
      </c>
      <c r="H1234">
        <v>0.44350000000000001</v>
      </c>
      <c r="J1234" t="s">
        <v>14</v>
      </c>
      <c r="K1234" t="str">
        <f t="shared" si="62"/>
        <v>3F1</v>
      </c>
      <c r="L1234" t="s">
        <v>15</v>
      </c>
    </row>
    <row r="1235" spans="1:12" x14ac:dyDescent="0.25">
      <c r="A1235" t="str">
        <f>"1809130180"</f>
        <v>1809130180</v>
      </c>
      <c r="B1235" t="str">
        <f t="shared" si="63"/>
        <v>89301000</v>
      </c>
      <c r="C1235" s="1">
        <v>44339</v>
      </c>
      <c r="D1235" s="1">
        <v>44340</v>
      </c>
      <c r="E1235">
        <v>6</v>
      </c>
      <c r="F1235" t="s">
        <v>1052</v>
      </c>
      <c r="G1235" t="str">
        <f>"21-K05-04"</f>
        <v>21-K05-04</v>
      </c>
      <c r="H1235">
        <v>0.2424</v>
      </c>
      <c r="I1235" t="s">
        <v>1053</v>
      </c>
      <c r="J1235" t="s">
        <v>14</v>
      </c>
      <c r="K1235" t="str">
        <f>"3T1"</f>
        <v>3T1</v>
      </c>
      <c r="L1235" t="s">
        <v>15</v>
      </c>
    </row>
    <row r="1236" spans="1:12" x14ac:dyDescent="0.25">
      <c r="A1236" t="str">
        <f>"1809250289"</f>
        <v>1809250289</v>
      </c>
      <c r="B1236" t="str">
        <f t="shared" si="63"/>
        <v>89301000</v>
      </c>
      <c r="C1236" s="1">
        <v>44547</v>
      </c>
      <c r="D1236" s="1">
        <v>44548</v>
      </c>
      <c r="E1236">
        <v>1</v>
      </c>
      <c r="F1236" t="s">
        <v>954</v>
      </c>
      <c r="G1236" t="str">
        <f>"11-K13-01"</f>
        <v>11-K13-01</v>
      </c>
      <c r="H1236">
        <v>0.49149999999999999</v>
      </c>
      <c r="I1236" t="s">
        <v>1054</v>
      </c>
      <c r="J1236" t="s">
        <v>14</v>
      </c>
      <c r="K1236" t="str">
        <f t="shared" ref="K1236:K1246" si="64">"3F1"</f>
        <v>3F1</v>
      </c>
      <c r="L1236" t="s">
        <v>15</v>
      </c>
    </row>
    <row r="1237" spans="1:12" x14ac:dyDescent="0.25">
      <c r="A1237" t="str">
        <f>"1810280219"</f>
        <v>1810280219</v>
      </c>
      <c r="B1237" t="str">
        <f t="shared" si="63"/>
        <v>89301000</v>
      </c>
      <c r="C1237" s="1">
        <v>44514</v>
      </c>
      <c r="D1237" s="1">
        <v>44516</v>
      </c>
      <c r="E1237">
        <v>1</v>
      </c>
      <c r="F1237" t="s">
        <v>720</v>
      </c>
      <c r="G1237" t="str">
        <f>"06-K02-04"</f>
        <v>06-K02-04</v>
      </c>
      <c r="H1237">
        <v>0.3634</v>
      </c>
      <c r="I1237" t="s">
        <v>1055</v>
      </c>
      <c r="J1237" t="s">
        <v>14</v>
      </c>
      <c r="K1237" t="str">
        <f t="shared" si="64"/>
        <v>3F1</v>
      </c>
      <c r="L1237" t="s">
        <v>15</v>
      </c>
    </row>
    <row r="1238" spans="1:12" x14ac:dyDescent="0.25">
      <c r="A1238" t="str">
        <f>"1811030276"</f>
        <v>1811030276</v>
      </c>
      <c r="B1238" t="str">
        <f t="shared" si="63"/>
        <v>89301000</v>
      </c>
      <c r="C1238" s="1">
        <v>44458</v>
      </c>
      <c r="D1238" s="1">
        <v>44459</v>
      </c>
      <c r="E1238">
        <v>1</v>
      </c>
      <c r="F1238" t="s">
        <v>1056</v>
      </c>
      <c r="G1238" t="str">
        <f>"03-K01-02"</f>
        <v>03-K01-02</v>
      </c>
      <c r="H1238">
        <v>0.37240000000000001</v>
      </c>
      <c r="I1238" t="s">
        <v>778</v>
      </c>
      <c r="J1238" t="s">
        <v>14</v>
      </c>
      <c r="K1238" t="str">
        <f t="shared" si="64"/>
        <v>3F1</v>
      </c>
      <c r="L1238" t="s">
        <v>15</v>
      </c>
    </row>
    <row r="1239" spans="1:12" x14ac:dyDescent="0.25">
      <c r="A1239" t="str">
        <f>"1811230014"</f>
        <v>1811230014</v>
      </c>
      <c r="B1239" t="str">
        <f t="shared" si="63"/>
        <v>89301000</v>
      </c>
      <c r="C1239" s="1">
        <v>44197</v>
      </c>
      <c r="D1239" s="1">
        <v>44199</v>
      </c>
      <c r="E1239">
        <v>1</v>
      </c>
      <c r="F1239" t="s">
        <v>605</v>
      </c>
      <c r="G1239" t="str">
        <f>"09-K12-00"</f>
        <v>09-K12-00</v>
      </c>
      <c r="H1239">
        <v>0.24349999999999999</v>
      </c>
      <c r="I1239" t="s">
        <v>196</v>
      </c>
      <c r="J1239" t="s">
        <v>14</v>
      </c>
      <c r="K1239" t="str">
        <f t="shared" si="64"/>
        <v>3F1</v>
      </c>
      <c r="L1239" t="s">
        <v>15</v>
      </c>
    </row>
    <row r="1240" spans="1:12" x14ac:dyDescent="0.25">
      <c r="A1240" t="str">
        <f>"1811281351"</f>
        <v>1811281351</v>
      </c>
      <c r="B1240" t="str">
        <f t="shared" si="63"/>
        <v>89301000</v>
      </c>
      <c r="C1240" s="1">
        <v>44305</v>
      </c>
      <c r="D1240" s="1">
        <v>44306</v>
      </c>
      <c r="E1240">
        <v>1</v>
      </c>
      <c r="F1240" t="s">
        <v>1057</v>
      </c>
      <c r="G1240" t="str">
        <f>"21-K05-04"</f>
        <v>21-K05-04</v>
      </c>
      <c r="H1240">
        <v>0.2424</v>
      </c>
      <c r="I1240" t="s">
        <v>1058</v>
      </c>
      <c r="J1240" t="s">
        <v>14</v>
      </c>
      <c r="K1240" t="str">
        <f t="shared" si="64"/>
        <v>3F1</v>
      </c>
      <c r="L1240" t="s">
        <v>15</v>
      </c>
    </row>
    <row r="1241" spans="1:12" x14ac:dyDescent="0.25">
      <c r="A1241" t="str">
        <f>"1812090445"</f>
        <v>1812090445</v>
      </c>
      <c r="B1241" t="str">
        <f t="shared" si="63"/>
        <v>89301000</v>
      </c>
      <c r="C1241" s="1">
        <v>44363</v>
      </c>
      <c r="D1241" s="1">
        <v>44365</v>
      </c>
      <c r="E1241">
        <v>1</v>
      </c>
      <c r="F1241" t="s">
        <v>398</v>
      </c>
      <c r="G1241" t="str">
        <f>"06-I16-05"</f>
        <v>06-I16-05</v>
      </c>
      <c r="H1241">
        <v>0.46139999999999998</v>
      </c>
      <c r="J1241" t="s">
        <v>24</v>
      </c>
      <c r="K1241" t="str">
        <f t="shared" si="64"/>
        <v>3F1</v>
      </c>
      <c r="L1241" t="s">
        <v>15</v>
      </c>
    </row>
    <row r="1242" spans="1:12" x14ac:dyDescent="0.25">
      <c r="A1242" t="str">
        <f>"1812101610"</f>
        <v>1812101610</v>
      </c>
      <c r="B1242" t="str">
        <f t="shared" si="63"/>
        <v>89301000</v>
      </c>
      <c r="C1242" s="1">
        <v>44438</v>
      </c>
      <c r="D1242" s="1">
        <v>44440</v>
      </c>
      <c r="E1242">
        <v>1</v>
      </c>
      <c r="F1242" t="s">
        <v>151</v>
      </c>
      <c r="G1242" t="str">
        <f>"06-K09-02"</f>
        <v>06-K09-02</v>
      </c>
      <c r="H1242">
        <v>0.35549999999999998</v>
      </c>
      <c r="I1242" t="s">
        <v>390</v>
      </c>
      <c r="J1242" t="s">
        <v>14</v>
      </c>
      <c r="K1242" t="str">
        <f t="shared" si="64"/>
        <v>3F1</v>
      </c>
      <c r="L1242" t="s">
        <v>15</v>
      </c>
    </row>
    <row r="1243" spans="1:12" x14ac:dyDescent="0.25">
      <c r="A1243" t="str">
        <f>"1812270680"</f>
        <v>1812270680</v>
      </c>
      <c r="B1243" t="str">
        <f t="shared" si="63"/>
        <v>89301000</v>
      </c>
      <c r="C1243" s="1">
        <v>44495</v>
      </c>
      <c r="D1243" s="1">
        <v>44498</v>
      </c>
      <c r="E1243">
        <v>1</v>
      </c>
      <c r="F1243" t="s">
        <v>234</v>
      </c>
      <c r="G1243" t="str">
        <f>"03-I21-00"</f>
        <v>03-I21-00</v>
      </c>
      <c r="H1243">
        <v>0.38500000000000001</v>
      </c>
      <c r="I1243" t="s">
        <v>1059</v>
      </c>
      <c r="J1243" t="s">
        <v>14</v>
      </c>
      <c r="K1243" t="str">
        <f t="shared" si="64"/>
        <v>3F1</v>
      </c>
      <c r="L1243" t="s">
        <v>15</v>
      </c>
    </row>
    <row r="1244" spans="1:12" x14ac:dyDescent="0.25">
      <c r="A1244" t="str">
        <f>"1851181871"</f>
        <v>1851181871</v>
      </c>
      <c r="B1244" t="str">
        <f t="shared" si="63"/>
        <v>89301000</v>
      </c>
      <c r="C1244" s="1">
        <v>44506</v>
      </c>
      <c r="D1244" s="1">
        <v>44508</v>
      </c>
      <c r="E1244">
        <v>1</v>
      </c>
      <c r="F1244" t="s">
        <v>724</v>
      </c>
      <c r="G1244" t="str">
        <f>"06-K10-02"</f>
        <v>06-K10-02</v>
      </c>
      <c r="H1244">
        <v>0.79259999999999997</v>
      </c>
      <c r="I1244" t="s">
        <v>1020</v>
      </c>
      <c r="J1244" t="s">
        <v>14</v>
      </c>
      <c r="K1244" t="str">
        <f t="shared" si="64"/>
        <v>3F1</v>
      </c>
      <c r="L1244" t="s">
        <v>15</v>
      </c>
    </row>
    <row r="1245" spans="1:12" x14ac:dyDescent="0.25">
      <c r="A1245" t="str">
        <f>"1851190022"</f>
        <v>1851190022</v>
      </c>
      <c r="B1245" t="str">
        <f t="shared" si="63"/>
        <v>89301000</v>
      </c>
      <c r="C1245" s="1">
        <v>44240</v>
      </c>
      <c r="D1245" s="1">
        <v>44241</v>
      </c>
      <c r="E1245">
        <v>1</v>
      </c>
      <c r="F1245" t="s">
        <v>646</v>
      </c>
      <c r="G1245" t="str">
        <f>"06-M01-05"</f>
        <v>06-M01-05</v>
      </c>
      <c r="H1245">
        <v>0.41710000000000003</v>
      </c>
      <c r="I1245" t="s">
        <v>1060</v>
      </c>
      <c r="J1245" t="s">
        <v>14</v>
      </c>
      <c r="K1245" t="str">
        <f t="shared" si="64"/>
        <v>3F1</v>
      </c>
      <c r="L1245" t="s">
        <v>15</v>
      </c>
    </row>
    <row r="1246" spans="1:12" x14ac:dyDescent="0.25">
      <c r="A1246" t="str">
        <f>"1851240567"</f>
        <v>1851240567</v>
      </c>
      <c r="B1246" t="str">
        <f t="shared" si="63"/>
        <v>89301000</v>
      </c>
      <c r="C1246" s="1">
        <v>44230</v>
      </c>
      <c r="D1246" s="1">
        <v>44242</v>
      </c>
      <c r="E1246">
        <v>1</v>
      </c>
      <c r="F1246" t="s">
        <v>751</v>
      </c>
      <c r="G1246" t="str">
        <f>"11-I10-03"</f>
        <v>11-I10-03</v>
      </c>
      <c r="H1246">
        <v>2.3313999999999999</v>
      </c>
      <c r="I1246" t="s">
        <v>1061</v>
      </c>
      <c r="J1246" t="s">
        <v>17</v>
      </c>
      <c r="K1246" t="str">
        <f t="shared" si="64"/>
        <v>3F1</v>
      </c>
      <c r="L1246" t="s">
        <v>15</v>
      </c>
    </row>
    <row r="1247" spans="1:12" x14ac:dyDescent="0.25">
      <c r="A1247" t="str">
        <f>"1852041114"</f>
        <v>1852041114</v>
      </c>
      <c r="B1247" t="str">
        <f t="shared" si="63"/>
        <v>89301000</v>
      </c>
      <c r="C1247" s="1">
        <v>44299</v>
      </c>
      <c r="D1247" s="1">
        <v>44304</v>
      </c>
      <c r="E1247">
        <v>5</v>
      </c>
      <c r="F1247" t="s">
        <v>341</v>
      </c>
      <c r="G1247" t="str">
        <f>"06-K21-01"</f>
        <v>06-K21-01</v>
      </c>
      <c r="H1247">
        <v>1.4296</v>
      </c>
      <c r="I1247" t="s">
        <v>1062</v>
      </c>
      <c r="J1247" t="s">
        <v>14</v>
      </c>
      <c r="K1247" t="str">
        <f>"3T1"</f>
        <v>3T1</v>
      </c>
      <c r="L1247" t="s">
        <v>15</v>
      </c>
    </row>
    <row r="1248" spans="1:12" x14ac:dyDescent="0.25">
      <c r="A1248" t="str">
        <f>"1852210668"</f>
        <v>1852210668</v>
      </c>
      <c r="B1248" t="str">
        <f t="shared" si="63"/>
        <v>89301000</v>
      </c>
      <c r="C1248" s="1">
        <v>44469</v>
      </c>
      <c r="D1248" s="1">
        <v>44471</v>
      </c>
      <c r="E1248">
        <v>1</v>
      </c>
      <c r="F1248" t="s">
        <v>234</v>
      </c>
      <c r="G1248" t="str">
        <f>"03-I21-00"</f>
        <v>03-I21-00</v>
      </c>
      <c r="H1248">
        <v>0.38500000000000001</v>
      </c>
      <c r="J1248" t="s">
        <v>14</v>
      </c>
      <c r="K1248" t="str">
        <f>"3F1"</f>
        <v>3F1</v>
      </c>
      <c r="L1248" t="s">
        <v>15</v>
      </c>
    </row>
    <row r="1249" spans="1:12" x14ac:dyDescent="0.25">
      <c r="A1249" t="str">
        <f>"1853060308"</f>
        <v>1853060308</v>
      </c>
      <c r="B1249" t="str">
        <f t="shared" si="63"/>
        <v>89301000</v>
      </c>
      <c r="C1249" s="1">
        <v>44202</v>
      </c>
      <c r="D1249" s="1">
        <v>44204</v>
      </c>
      <c r="E1249">
        <v>1</v>
      </c>
      <c r="F1249" t="s">
        <v>354</v>
      </c>
      <c r="G1249" t="str">
        <f>"10-K14-05"</f>
        <v>10-K14-05</v>
      </c>
      <c r="H1249">
        <v>0.34639999999999999</v>
      </c>
      <c r="I1249" t="s">
        <v>617</v>
      </c>
      <c r="J1249" t="s">
        <v>14</v>
      </c>
      <c r="K1249" t="str">
        <f>"3F1"</f>
        <v>3F1</v>
      </c>
      <c r="L1249" t="s">
        <v>15</v>
      </c>
    </row>
    <row r="1250" spans="1:12" x14ac:dyDescent="0.25">
      <c r="A1250" t="str">
        <f>"1853241346"</f>
        <v>1853241346</v>
      </c>
      <c r="B1250" t="str">
        <f t="shared" si="63"/>
        <v>89301000</v>
      </c>
      <c r="C1250" s="1">
        <v>44404</v>
      </c>
      <c r="D1250" s="1">
        <v>44409</v>
      </c>
      <c r="E1250">
        <v>5</v>
      </c>
      <c r="F1250" t="s">
        <v>304</v>
      </c>
      <c r="G1250" t="str">
        <f>"10-K03-02"</f>
        <v>10-K03-02</v>
      </c>
      <c r="H1250">
        <v>1.3724000000000001</v>
      </c>
      <c r="I1250" t="s">
        <v>1063</v>
      </c>
      <c r="J1250" t="s">
        <v>14</v>
      </c>
      <c r="K1250" t="str">
        <f>"3F1"</f>
        <v>3F1</v>
      </c>
      <c r="L1250" t="s">
        <v>15</v>
      </c>
    </row>
    <row r="1251" spans="1:12" x14ac:dyDescent="0.25">
      <c r="A1251" t="str">
        <f>"1854021312"</f>
        <v>1854021312</v>
      </c>
      <c r="B1251" t="str">
        <f t="shared" si="63"/>
        <v>89301000</v>
      </c>
      <c r="C1251" s="1">
        <v>44422</v>
      </c>
      <c r="D1251" s="1">
        <v>44423</v>
      </c>
      <c r="E1251">
        <v>6</v>
      </c>
      <c r="F1251" t="s">
        <v>1064</v>
      </c>
      <c r="G1251" t="str">
        <f>"21-K05-03"</f>
        <v>21-K05-03</v>
      </c>
      <c r="H1251">
        <v>0.46750000000000003</v>
      </c>
      <c r="I1251" t="s">
        <v>1065</v>
      </c>
      <c r="J1251" t="s">
        <v>14</v>
      </c>
      <c r="K1251" t="str">
        <f>"3T1"</f>
        <v>3T1</v>
      </c>
      <c r="L1251" t="s">
        <v>15</v>
      </c>
    </row>
    <row r="1252" spans="1:12" x14ac:dyDescent="0.25">
      <c r="A1252" t="str">
        <f>"1855180283"</f>
        <v>1855180283</v>
      </c>
      <c r="B1252" t="str">
        <f t="shared" si="63"/>
        <v>89301000</v>
      </c>
      <c r="C1252" s="1">
        <v>44341</v>
      </c>
      <c r="D1252" s="1">
        <v>44343</v>
      </c>
      <c r="E1252">
        <v>1</v>
      </c>
      <c r="F1252" t="s">
        <v>564</v>
      </c>
      <c r="G1252" t="str">
        <f>"06-K16-00"</f>
        <v>06-K16-00</v>
      </c>
      <c r="H1252">
        <v>0.55059999999999998</v>
      </c>
      <c r="J1252" t="s">
        <v>14</v>
      </c>
      <c r="K1252" t="str">
        <f t="shared" ref="K1252:K1296" si="65">"3F1"</f>
        <v>3F1</v>
      </c>
      <c r="L1252" t="s">
        <v>15</v>
      </c>
    </row>
    <row r="1253" spans="1:12" x14ac:dyDescent="0.25">
      <c r="A1253" t="str">
        <f>"1855180283"</f>
        <v>1855180283</v>
      </c>
      <c r="B1253" t="str">
        <f t="shared" si="63"/>
        <v>89301000</v>
      </c>
      <c r="C1253" s="1">
        <v>44544</v>
      </c>
      <c r="D1253" s="1">
        <v>44551</v>
      </c>
      <c r="E1253">
        <v>1</v>
      </c>
      <c r="F1253" t="s">
        <v>564</v>
      </c>
      <c r="G1253" t="str">
        <f>"06-I09-01"</f>
        <v>06-I09-01</v>
      </c>
      <c r="H1253">
        <v>3.3593999999999999</v>
      </c>
      <c r="I1253" t="s">
        <v>168</v>
      </c>
      <c r="J1253" t="s">
        <v>17</v>
      </c>
      <c r="K1253" t="str">
        <f t="shared" si="65"/>
        <v>3F1</v>
      </c>
      <c r="L1253" t="s">
        <v>15</v>
      </c>
    </row>
    <row r="1254" spans="1:12" x14ac:dyDescent="0.25">
      <c r="A1254" t="str">
        <f>"1855250309"</f>
        <v>1855250309</v>
      </c>
      <c r="B1254" t="str">
        <f t="shared" si="63"/>
        <v>89301000</v>
      </c>
      <c r="C1254" s="1">
        <v>44271</v>
      </c>
      <c r="D1254" s="1">
        <v>44278</v>
      </c>
      <c r="E1254">
        <v>1</v>
      </c>
      <c r="F1254" t="s">
        <v>1066</v>
      </c>
      <c r="G1254" t="str">
        <f>"08-C01-05"</f>
        <v>08-C01-05</v>
      </c>
      <c r="H1254">
        <v>1.1969000000000001</v>
      </c>
      <c r="I1254" t="s">
        <v>882</v>
      </c>
      <c r="J1254" t="s">
        <v>14</v>
      </c>
      <c r="K1254" t="str">
        <f t="shared" si="65"/>
        <v>3F1</v>
      </c>
      <c r="L1254" t="s">
        <v>15</v>
      </c>
    </row>
    <row r="1255" spans="1:12" x14ac:dyDescent="0.25">
      <c r="A1255" t="str">
        <f>"1855280361"</f>
        <v>1855280361</v>
      </c>
      <c r="B1255" t="str">
        <f t="shared" si="63"/>
        <v>89301000</v>
      </c>
      <c r="C1255" s="1">
        <v>44332</v>
      </c>
      <c r="D1255" s="1">
        <v>44335</v>
      </c>
      <c r="E1255">
        <v>1</v>
      </c>
      <c r="F1255" t="s">
        <v>1067</v>
      </c>
      <c r="G1255" t="str">
        <f>"09-K14-02"</f>
        <v>09-K14-02</v>
      </c>
      <c r="H1255">
        <v>0.50549999999999995</v>
      </c>
      <c r="I1255" t="s">
        <v>168</v>
      </c>
      <c r="J1255" t="s">
        <v>14</v>
      </c>
      <c r="K1255" t="str">
        <f t="shared" si="65"/>
        <v>3F1</v>
      </c>
      <c r="L1255" t="s">
        <v>15</v>
      </c>
    </row>
    <row r="1256" spans="1:12" x14ac:dyDescent="0.25">
      <c r="A1256" t="str">
        <f>"1856010101"</f>
        <v>1856010101</v>
      </c>
      <c r="B1256" t="str">
        <f t="shared" si="63"/>
        <v>89301000</v>
      </c>
      <c r="C1256" s="1">
        <v>44518</v>
      </c>
      <c r="D1256" s="1">
        <v>44547</v>
      </c>
      <c r="E1256">
        <v>1</v>
      </c>
      <c r="F1256" t="s">
        <v>201</v>
      </c>
      <c r="G1256" t="str">
        <f>"00-M02-04"</f>
        <v>00-M02-04</v>
      </c>
      <c r="H1256">
        <v>12.071199999999999</v>
      </c>
      <c r="I1256" t="s">
        <v>1068</v>
      </c>
      <c r="J1256" t="s">
        <v>14</v>
      </c>
      <c r="K1256" t="str">
        <f t="shared" si="65"/>
        <v>3F1</v>
      </c>
      <c r="L1256" t="s">
        <v>15</v>
      </c>
    </row>
    <row r="1257" spans="1:12" x14ac:dyDescent="0.25">
      <c r="A1257" t="str">
        <f>"1856040472"</f>
        <v>1856040472</v>
      </c>
      <c r="B1257" t="str">
        <f t="shared" si="63"/>
        <v>89301000</v>
      </c>
      <c r="C1257" s="1">
        <v>44368</v>
      </c>
      <c r="D1257" s="1">
        <v>44369</v>
      </c>
      <c r="E1257">
        <v>1</v>
      </c>
      <c r="F1257" t="s">
        <v>532</v>
      </c>
      <c r="G1257" t="str">
        <f>"06-K17-02"</f>
        <v>06-K17-02</v>
      </c>
      <c r="H1257">
        <v>0.29680000000000001</v>
      </c>
      <c r="I1257" t="s">
        <v>1069</v>
      </c>
      <c r="J1257" t="s">
        <v>14</v>
      </c>
      <c r="K1257" t="str">
        <f t="shared" si="65"/>
        <v>3F1</v>
      </c>
      <c r="L1257" t="s">
        <v>15</v>
      </c>
    </row>
    <row r="1258" spans="1:12" x14ac:dyDescent="0.25">
      <c r="A1258" t="str">
        <f>"1856230046"</f>
        <v>1856230046</v>
      </c>
      <c r="B1258" t="str">
        <f t="shared" si="63"/>
        <v>89301000</v>
      </c>
      <c r="C1258" s="1">
        <v>44343</v>
      </c>
      <c r="D1258" s="1">
        <v>44344</v>
      </c>
      <c r="E1258">
        <v>1</v>
      </c>
      <c r="F1258" t="s">
        <v>532</v>
      </c>
      <c r="G1258" t="str">
        <f>"06-M01-05"</f>
        <v>06-M01-05</v>
      </c>
      <c r="H1258">
        <v>0.41710000000000003</v>
      </c>
      <c r="I1258" t="s">
        <v>1070</v>
      </c>
      <c r="J1258" t="s">
        <v>14</v>
      </c>
      <c r="K1258" t="str">
        <f t="shared" si="65"/>
        <v>3F1</v>
      </c>
      <c r="L1258" t="s">
        <v>15</v>
      </c>
    </row>
    <row r="1259" spans="1:12" x14ac:dyDescent="0.25">
      <c r="A1259" t="str">
        <f>"1857130011"</f>
        <v>1857130011</v>
      </c>
      <c r="B1259" t="str">
        <f t="shared" si="63"/>
        <v>89301000</v>
      </c>
      <c r="C1259" s="1">
        <v>44403</v>
      </c>
      <c r="D1259" s="1">
        <v>44404</v>
      </c>
      <c r="E1259">
        <v>1</v>
      </c>
      <c r="F1259" t="s">
        <v>563</v>
      </c>
      <c r="G1259" t="str">
        <f>"06-K22-03"</f>
        <v>06-K22-03</v>
      </c>
      <c r="H1259">
        <v>0.3165</v>
      </c>
      <c r="J1259" t="s">
        <v>14</v>
      </c>
      <c r="K1259" t="str">
        <f t="shared" si="65"/>
        <v>3F1</v>
      </c>
      <c r="L1259" t="s">
        <v>15</v>
      </c>
    </row>
    <row r="1260" spans="1:12" x14ac:dyDescent="0.25">
      <c r="A1260" t="str">
        <f>"1857130363"</f>
        <v>1857130363</v>
      </c>
      <c r="B1260" t="str">
        <f t="shared" si="63"/>
        <v>89301000</v>
      </c>
      <c r="C1260" s="1">
        <v>44306</v>
      </c>
      <c r="D1260" s="1">
        <v>44307</v>
      </c>
      <c r="E1260">
        <v>6</v>
      </c>
      <c r="F1260" t="s">
        <v>563</v>
      </c>
      <c r="G1260" t="str">
        <f>"06-K22-03"</f>
        <v>06-K22-03</v>
      </c>
      <c r="H1260">
        <v>0.3165</v>
      </c>
      <c r="J1260" t="s">
        <v>14</v>
      </c>
      <c r="K1260" t="str">
        <f t="shared" si="65"/>
        <v>3F1</v>
      </c>
      <c r="L1260" t="s">
        <v>15</v>
      </c>
    </row>
    <row r="1261" spans="1:12" x14ac:dyDescent="0.25">
      <c r="A1261" t="str">
        <f>"1857130363"</f>
        <v>1857130363</v>
      </c>
      <c r="B1261" t="str">
        <f t="shared" si="63"/>
        <v>89301000</v>
      </c>
      <c r="C1261" s="1">
        <v>44376</v>
      </c>
      <c r="D1261" s="1">
        <v>44382</v>
      </c>
      <c r="E1261">
        <v>1</v>
      </c>
      <c r="F1261" t="s">
        <v>564</v>
      </c>
      <c r="G1261" t="str">
        <f>"06-I09-01"</f>
        <v>06-I09-01</v>
      </c>
      <c r="H1261">
        <v>3.3593999999999999</v>
      </c>
      <c r="I1261" t="s">
        <v>563</v>
      </c>
      <c r="J1261" t="s">
        <v>17</v>
      </c>
      <c r="K1261" t="str">
        <f t="shared" si="65"/>
        <v>3F1</v>
      </c>
      <c r="L1261" t="s">
        <v>15</v>
      </c>
    </row>
    <row r="1262" spans="1:12" x14ac:dyDescent="0.25">
      <c r="A1262" t="str">
        <f>"1857141341"</f>
        <v>1857141341</v>
      </c>
      <c r="B1262" t="str">
        <f t="shared" si="63"/>
        <v>89301000</v>
      </c>
      <c r="C1262" s="1">
        <v>44270</v>
      </c>
      <c r="D1262" s="1">
        <v>44277</v>
      </c>
      <c r="E1262">
        <v>1</v>
      </c>
      <c r="F1262" t="s">
        <v>731</v>
      </c>
      <c r="G1262" t="str">
        <f>"06-K02-03"</f>
        <v>06-K02-03</v>
      </c>
      <c r="H1262">
        <v>0.47960000000000003</v>
      </c>
      <c r="I1262" t="s">
        <v>1071</v>
      </c>
      <c r="J1262" t="s">
        <v>14</v>
      </c>
      <c r="K1262" t="str">
        <f t="shared" si="65"/>
        <v>3F1</v>
      </c>
      <c r="L1262" t="s">
        <v>15</v>
      </c>
    </row>
    <row r="1263" spans="1:12" x14ac:dyDescent="0.25">
      <c r="A1263" t="str">
        <f>"1857210047"</f>
        <v>1857210047</v>
      </c>
      <c r="B1263" t="str">
        <f t="shared" si="63"/>
        <v>89301000</v>
      </c>
      <c r="C1263" s="1">
        <v>44364</v>
      </c>
      <c r="D1263" s="1">
        <v>44365</v>
      </c>
      <c r="E1263">
        <v>1</v>
      </c>
      <c r="F1263" t="s">
        <v>287</v>
      </c>
      <c r="G1263" t="str">
        <f>"01-K16-06"</f>
        <v>01-K16-06</v>
      </c>
      <c r="H1263">
        <v>0.26469999999999999</v>
      </c>
      <c r="I1263" t="s">
        <v>640</v>
      </c>
      <c r="J1263" t="s">
        <v>14</v>
      </c>
      <c r="K1263" t="str">
        <f t="shared" si="65"/>
        <v>3F1</v>
      </c>
      <c r="L1263" t="s">
        <v>15</v>
      </c>
    </row>
    <row r="1264" spans="1:12" x14ac:dyDescent="0.25">
      <c r="A1264" t="str">
        <f>"1858160359"</f>
        <v>1858160359</v>
      </c>
      <c r="B1264" t="str">
        <f t="shared" si="63"/>
        <v>89301000</v>
      </c>
      <c r="C1264" s="1">
        <v>44242</v>
      </c>
      <c r="D1264" s="1">
        <v>44243</v>
      </c>
      <c r="E1264">
        <v>1</v>
      </c>
      <c r="F1264" t="s">
        <v>605</v>
      </c>
      <c r="G1264" t="str">
        <f>"09-K12-00"</f>
        <v>09-K12-00</v>
      </c>
      <c r="H1264">
        <v>0.24349999999999999</v>
      </c>
      <c r="I1264" t="s">
        <v>658</v>
      </c>
      <c r="J1264" t="s">
        <v>14</v>
      </c>
      <c r="K1264" t="str">
        <f t="shared" si="65"/>
        <v>3F1</v>
      </c>
      <c r="L1264" t="s">
        <v>15</v>
      </c>
    </row>
    <row r="1265" spans="1:12" x14ac:dyDescent="0.25">
      <c r="A1265" t="str">
        <f>"1859030228"</f>
        <v>1859030228</v>
      </c>
      <c r="B1265" t="str">
        <f t="shared" si="63"/>
        <v>89301000</v>
      </c>
      <c r="C1265" s="1">
        <v>44555</v>
      </c>
      <c r="D1265" s="1">
        <v>44558</v>
      </c>
      <c r="E1265">
        <v>1</v>
      </c>
      <c r="F1265" t="s">
        <v>1072</v>
      </c>
      <c r="G1265" t="str">
        <f>"18-K02-05"</f>
        <v>18-K02-05</v>
      </c>
      <c r="H1265">
        <v>0.49220000000000003</v>
      </c>
      <c r="I1265" t="s">
        <v>530</v>
      </c>
      <c r="J1265" t="s">
        <v>14</v>
      </c>
      <c r="K1265" t="str">
        <f t="shared" si="65"/>
        <v>3F1</v>
      </c>
      <c r="L1265" t="s">
        <v>15</v>
      </c>
    </row>
    <row r="1266" spans="1:12" x14ac:dyDescent="0.25">
      <c r="A1266" t="str">
        <f>"1859101112"</f>
        <v>1859101112</v>
      </c>
      <c r="B1266" t="str">
        <f t="shared" si="63"/>
        <v>89301000</v>
      </c>
      <c r="C1266" s="1">
        <v>44312</v>
      </c>
      <c r="D1266" s="1">
        <v>44315</v>
      </c>
      <c r="E1266">
        <v>1</v>
      </c>
      <c r="F1266" t="s">
        <v>96</v>
      </c>
      <c r="G1266" t="str">
        <f>"11-K01-03"</f>
        <v>11-K01-03</v>
      </c>
      <c r="H1266">
        <v>0.59489999999999998</v>
      </c>
      <c r="I1266" t="s">
        <v>1073</v>
      </c>
      <c r="J1266" t="s">
        <v>14</v>
      </c>
      <c r="K1266" t="str">
        <f t="shared" si="65"/>
        <v>3F1</v>
      </c>
      <c r="L1266" t="s">
        <v>15</v>
      </c>
    </row>
    <row r="1267" spans="1:12" x14ac:dyDescent="0.25">
      <c r="A1267" t="str">
        <f>"1859101112"</f>
        <v>1859101112</v>
      </c>
      <c r="B1267" t="str">
        <f t="shared" si="63"/>
        <v>89301000</v>
      </c>
      <c r="C1267" s="1">
        <v>44482</v>
      </c>
      <c r="D1267" s="1">
        <v>44485</v>
      </c>
      <c r="E1267">
        <v>1</v>
      </c>
      <c r="F1267" t="s">
        <v>96</v>
      </c>
      <c r="G1267" t="str">
        <f>"11-K01-03"</f>
        <v>11-K01-03</v>
      </c>
      <c r="H1267">
        <v>0.59489999999999998</v>
      </c>
      <c r="I1267" t="s">
        <v>1074</v>
      </c>
      <c r="J1267" t="s">
        <v>14</v>
      </c>
      <c r="K1267" t="str">
        <f t="shared" si="65"/>
        <v>3F1</v>
      </c>
      <c r="L1267" t="s">
        <v>15</v>
      </c>
    </row>
    <row r="1268" spans="1:12" x14ac:dyDescent="0.25">
      <c r="A1268" t="str">
        <f>"1859120219"</f>
        <v>1859120219</v>
      </c>
      <c r="B1268" t="str">
        <f t="shared" si="63"/>
        <v>89301000</v>
      </c>
      <c r="C1268" s="1">
        <v>44334</v>
      </c>
      <c r="D1268" s="1">
        <v>44336</v>
      </c>
      <c r="E1268">
        <v>1</v>
      </c>
      <c r="F1268" t="s">
        <v>311</v>
      </c>
      <c r="G1268" t="str">
        <f>"03-I14-01"</f>
        <v>03-I14-01</v>
      </c>
      <c r="H1268">
        <v>2.0825</v>
      </c>
      <c r="I1268" t="s">
        <v>234</v>
      </c>
      <c r="J1268" t="s">
        <v>14</v>
      </c>
      <c r="K1268" t="str">
        <f t="shared" si="65"/>
        <v>3F1</v>
      </c>
      <c r="L1268" t="s">
        <v>15</v>
      </c>
    </row>
    <row r="1269" spans="1:12" x14ac:dyDescent="0.25">
      <c r="A1269" t="str">
        <f>"1859130240"</f>
        <v>1859130240</v>
      </c>
      <c r="B1269" t="str">
        <f t="shared" si="63"/>
        <v>89301000</v>
      </c>
      <c r="C1269" s="1">
        <v>44456</v>
      </c>
      <c r="D1269" s="1">
        <v>44457</v>
      </c>
      <c r="E1269">
        <v>1</v>
      </c>
      <c r="F1269" t="s">
        <v>1075</v>
      </c>
      <c r="G1269" t="str">
        <f>"13-K14-00"</f>
        <v>13-K14-00</v>
      </c>
      <c r="H1269">
        <v>0.33129999999999998</v>
      </c>
      <c r="I1269" t="s">
        <v>1076</v>
      </c>
      <c r="J1269" t="s">
        <v>14</v>
      </c>
      <c r="K1269" t="str">
        <f t="shared" si="65"/>
        <v>3F1</v>
      </c>
      <c r="L1269" t="s">
        <v>15</v>
      </c>
    </row>
    <row r="1270" spans="1:12" x14ac:dyDescent="0.25">
      <c r="A1270" t="str">
        <f>"1859200244"</f>
        <v>1859200244</v>
      </c>
      <c r="B1270" t="str">
        <f t="shared" ref="B1270:B1332" si="66">"89301000"</f>
        <v>89301000</v>
      </c>
      <c r="C1270" s="1">
        <v>44293</v>
      </c>
      <c r="D1270" s="1">
        <v>44295</v>
      </c>
      <c r="E1270">
        <v>1</v>
      </c>
      <c r="F1270" t="s">
        <v>398</v>
      </c>
      <c r="G1270" t="str">
        <f>"06-I16-05"</f>
        <v>06-I16-05</v>
      </c>
      <c r="H1270">
        <v>0.46139999999999998</v>
      </c>
      <c r="I1270" t="s">
        <v>632</v>
      </c>
      <c r="J1270" t="s">
        <v>24</v>
      </c>
      <c r="K1270" t="str">
        <f t="shared" si="65"/>
        <v>3F1</v>
      </c>
      <c r="L1270" t="s">
        <v>15</v>
      </c>
    </row>
    <row r="1271" spans="1:12" x14ac:dyDescent="0.25">
      <c r="A1271" t="str">
        <f>"1859270017"</f>
        <v>1859270017</v>
      </c>
      <c r="B1271" t="str">
        <f t="shared" si="66"/>
        <v>89301000</v>
      </c>
      <c r="C1271" s="1">
        <v>44314</v>
      </c>
      <c r="D1271" s="1">
        <v>44319</v>
      </c>
      <c r="E1271">
        <v>1</v>
      </c>
      <c r="F1271" t="s">
        <v>96</v>
      </c>
      <c r="G1271" t="str">
        <f>"11-K01-03"</f>
        <v>11-K01-03</v>
      </c>
      <c r="H1271">
        <v>0.59489999999999998</v>
      </c>
      <c r="J1271" t="s">
        <v>14</v>
      </c>
      <c r="K1271" t="str">
        <f t="shared" si="65"/>
        <v>3F1</v>
      </c>
      <c r="L1271" t="s">
        <v>15</v>
      </c>
    </row>
    <row r="1272" spans="1:12" x14ac:dyDescent="0.25">
      <c r="A1272" t="str">
        <f>"1859290059"</f>
        <v>1859290059</v>
      </c>
      <c r="B1272" t="str">
        <f t="shared" si="66"/>
        <v>89301000</v>
      </c>
      <c r="C1272" s="1">
        <v>44477</v>
      </c>
      <c r="D1272" s="1">
        <v>44480</v>
      </c>
      <c r="E1272">
        <v>1</v>
      </c>
      <c r="F1272" t="s">
        <v>1077</v>
      </c>
      <c r="G1272" t="str">
        <f>"09-I13-04"</f>
        <v>09-I13-04</v>
      </c>
      <c r="H1272">
        <v>0.57730000000000004</v>
      </c>
      <c r="I1272" t="s">
        <v>381</v>
      </c>
      <c r="J1272" t="s">
        <v>14</v>
      </c>
      <c r="K1272" t="str">
        <f t="shared" si="65"/>
        <v>3F1</v>
      </c>
      <c r="L1272" t="s">
        <v>15</v>
      </c>
    </row>
    <row r="1273" spans="1:12" x14ac:dyDescent="0.25">
      <c r="A1273" t="str">
        <f>"1860060246"</f>
        <v>1860060246</v>
      </c>
      <c r="B1273" t="str">
        <f t="shared" si="66"/>
        <v>89301000</v>
      </c>
      <c r="C1273" s="1">
        <v>44440</v>
      </c>
      <c r="D1273" s="1">
        <v>44441</v>
      </c>
      <c r="E1273">
        <v>1</v>
      </c>
      <c r="F1273" t="s">
        <v>1078</v>
      </c>
      <c r="G1273" t="str">
        <f>"03-K12-01"</f>
        <v>03-K12-01</v>
      </c>
      <c r="H1273">
        <v>0.376</v>
      </c>
      <c r="I1273" t="s">
        <v>1079</v>
      </c>
      <c r="J1273" t="s">
        <v>14</v>
      </c>
      <c r="K1273" t="str">
        <f t="shared" si="65"/>
        <v>3F1</v>
      </c>
      <c r="L1273" t="s">
        <v>15</v>
      </c>
    </row>
    <row r="1274" spans="1:12" x14ac:dyDescent="0.25">
      <c r="A1274" t="str">
        <f>"1860120262"</f>
        <v>1860120262</v>
      </c>
      <c r="B1274" t="str">
        <f t="shared" si="66"/>
        <v>89301000</v>
      </c>
      <c r="C1274" s="1">
        <v>44325</v>
      </c>
      <c r="D1274" s="1">
        <v>44327</v>
      </c>
      <c r="E1274">
        <v>1</v>
      </c>
      <c r="F1274" t="s">
        <v>326</v>
      </c>
      <c r="G1274" t="str">
        <f>"02-I11-01"</f>
        <v>02-I11-01</v>
      </c>
      <c r="H1274">
        <v>0.87619999999999998</v>
      </c>
      <c r="J1274" t="s">
        <v>17</v>
      </c>
      <c r="K1274" t="str">
        <f t="shared" si="65"/>
        <v>3F1</v>
      </c>
      <c r="L1274" t="s">
        <v>15</v>
      </c>
    </row>
    <row r="1275" spans="1:12" x14ac:dyDescent="0.25">
      <c r="A1275" t="str">
        <f t="shared" ref="A1275:A1282" si="67">"1860250502"</f>
        <v>1860250502</v>
      </c>
      <c r="B1275" t="str">
        <f t="shared" si="66"/>
        <v>89301000</v>
      </c>
      <c r="C1275" s="1">
        <v>44467</v>
      </c>
      <c r="D1275" s="1">
        <v>44487</v>
      </c>
      <c r="E1275">
        <v>1</v>
      </c>
      <c r="F1275" t="s">
        <v>857</v>
      </c>
      <c r="G1275" t="str">
        <f>"16-C03-01"</f>
        <v>16-C03-01</v>
      </c>
      <c r="H1275">
        <v>4.2068000000000003</v>
      </c>
      <c r="I1275" t="s">
        <v>1080</v>
      </c>
      <c r="J1275" t="s">
        <v>14</v>
      </c>
      <c r="K1275" t="str">
        <f t="shared" si="65"/>
        <v>3F1</v>
      </c>
      <c r="L1275" t="s">
        <v>15</v>
      </c>
    </row>
    <row r="1276" spans="1:12" x14ac:dyDescent="0.25">
      <c r="A1276" t="str">
        <f t="shared" si="67"/>
        <v>1860250502</v>
      </c>
      <c r="B1276" t="str">
        <f t="shared" si="66"/>
        <v>89301000</v>
      </c>
      <c r="C1276" s="1">
        <v>44495</v>
      </c>
      <c r="D1276" s="1">
        <v>44512</v>
      </c>
      <c r="E1276">
        <v>1</v>
      </c>
      <c r="F1276" t="s">
        <v>933</v>
      </c>
      <c r="G1276" t="str">
        <f>"17-C03-01"</f>
        <v>17-C03-01</v>
      </c>
      <c r="H1276">
        <v>4.2108999999999996</v>
      </c>
      <c r="I1276" t="s">
        <v>1081</v>
      </c>
      <c r="J1276" t="s">
        <v>14</v>
      </c>
      <c r="K1276" t="str">
        <f t="shared" si="65"/>
        <v>3F1</v>
      </c>
      <c r="L1276" t="s">
        <v>15</v>
      </c>
    </row>
    <row r="1277" spans="1:12" x14ac:dyDescent="0.25">
      <c r="A1277" t="str">
        <f t="shared" si="67"/>
        <v>1860250502</v>
      </c>
      <c r="B1277" t="str">
        <f t="shared" si="66"/>
        <v>89301000</v>
      </c>
      <c r="C1277" s="1">
        <v>44532</v>
      </c>
      <c r="D1277" s="1">
        <v>44540</v>
      </c>
      <c r="E1277">
        <v>1</v>
      </c>
      <c r="F1277" t="s">
        <v>933</v>
      </c>
      <c r="G1277" t="str">
        <f>"17-C03-02"</f>
        <v>17-C03-02</v>
      </c>
      <c r="H1277">
        <v>1.212</v>
      </c>
      <c r="I1277" t="s">
        <v>1082</v>
      </c>
      <c r="J1277" t="s">
        <v>14</v>
      </c>
      <c r="K1277" t="str">
        <f t="shared" si="65"/>
        <v>3F1</v>
      </c>
      <c r="L1277" t="s">
        <v>15</v>
      </c>
    </row>
    <row r="1278" spans="1:12" x14ac:dyDescent="0.25">
      <c r="A1278" t="str">
        <f t="shared" si="67"/>
        <v>1860250502</v>
      </c>
      <c r="B1278" t="str">
        <f t="shared" si="66"/>
        <v>89301000</v>
      </c>
      <c r="C1278" s="1">
        <v>44345</v>
      </c>
      <c r="D1278" s="1">
        <v>44379</v>
      </c>
      <c r="E1278">
        <v>1</v>
      </c>
      <c r="F1278" t="s">
        <v>933</v>
      </c>
      <c r="G1278" t="str">
        <f>"17-C01-02"</f>
        <v>17-C01-02</v>
      </c>
      <c r="H1278">
        <v>11.111800000000001</v>
      </c>
      <c r="I1278" t="s">
        <v>1083</v>
      </c>
      <c r="J1278" t="s">
        <v>14</v>
      </c>
      <c r="K1278" t="str">
        <f t="shared" si="65"/>
        <v>3F1</v>
      </c>
      <c r="L1278" t="s">
        <v>15</v>
      </c>
    </row>
    <row r="1279" spans="1:12" x14ac:dyDescent="0.25">
      <c r="A1279" t="str">
        <f t="shared" si="67"/>
        <v>1860250502</v>
      </c>
      <c r="B1279" t="str">
        <f t="shared" si="66"/>
        <v>89301000</v>
      </c>
      <c r="C1279" s="1">
        <v>44382</v>
      </c>
      <c r="D1279" s="1">
        <v>44393</v>
      </c>
      <c r="E1279">
        <v>1</v>
      </c>
      <c r="F1279" t="s">
        <v>933</v>
      </c>
      <c r="G1279" t="str">
        <f>"17-C03-01"</f>
        <v>17-C03-01</v>
      </c>
      <c r="H1279">
        <v>3.6528999999999998</v>
      </c>
      <c r="I1279" t="s">
        <v>1084</v>
      </c>
      <c r="J1279" t="s">
        <v>14</v>
      </c>
      <c r="K1279" t="str">
        <f t="shared" si="65"/>
        <v>3F1</v>
      </c>
      <c r="L1279" t="s">
        <v>15</v>
      </c>
    </row>
    <row r="1280" spans="1:12" x14ac:dyDescent="0.25">
      <c r="A1280" t="str">
        <f t="shared" si="67"/>
        <v>1860250502</v>
      </c>
      <c r="B1280" t="str">
        <f t="shared" si="66"/>
        <v>89301000</v>
      </c>
      <c r="C1280" s="1">
        <v>44417</v>
      </c>
      <c r="D1280" s="1">
        <v>44420</v>
      </c>
      <c r="E1280">
        <v>1</v>
      </c>
      <c r="F1280" t="s">
        <v>933</v>
      </c>
      <c r="G1280" t="str">
        <f>"17-C03-01"</f>
        <v>17-C03-01</v>
      </c>
      <c r="H1280">
        <v>3.6528999999999998</v>
      </c>
      <c r="I1280" t="s">
        <v>1085</v>
      </c>
      <c r="J1280" t="s">
        <v>14</v>
      </c>
      <c r="K1280" t="str">
        <f t="shared" si="65"/>
        <v>3F1</v>
      </c>
      <c r="L1280" t="s">
        <v>15</v>
      </c>
    </row>
    <row r="1281" spans="1:12" x14ac:dyDescent="0.25">
      <c r="A1281" t="str">
        <f t="shared" si="67"/>
        <v>1860250502</v>
      </c>
      <c r="B1281" t="str">
        <f t="shared" si="66"/>
        <v>89301000</v>
      </c>
      <c r="C1281" s="1">
        <v>44424</v>
      </c>
      <c r="D1281" s="1">
        <v>44434</v>
      </c>
      <c r="E1281">
        <v>1</v>
      </c>
      <c r="F1281" t="s">
        <v>324</v>
      </c>
      <c r="G1281" t="str">
        <f>"06-K01-01"</f>
        <v>06-K01-01</v>
      </c>
      <c r="H1281">
        <v>2.0232999999999999</v>
      </c>
      <c r="I1281" t="s">
        <v>1086</v>
      </c>
      <c r="J1281" t="s">
        <v>14</v>
      </c>
      <c r="K1281" t="str">
        <f t="shared" si="65"/>
        <v>3F1</v>
      </c>
      <c r="L1281" t="s">
        <v>15</v>
      </c>
    </row>
    <row r="1282" spans="1:12" x14ac:dyDescent="0.25">
      <c r="A1282" t="str">
        <f t="shared" si="67"/>
        <v>1860250502</v>
      </c>
      <c r="B1282" t="str">
        <f t="shared" si="66"/>
        <v>89301000</v>
      </c>
      <c r="C1282" s="1">
        <v>44447</v>
      </c>
      <c r="D1282" s="1">
        <v>44448</v>
      </c>
      <c r="E1282">
        <v>1</v>
      </c>
      <c r="F1282" t="s">
        <v>933</v>
      </c>
      <c r="G1282" t="str">
        <f>"17-C03-02"</f>
        <v>17-C03-02</v>
      </c>
      <c r="H1282">
        <v>1.0086999999999999</v>
      </c>
      <c r="I1282" t="s">
        <v>541</v>
      </c>
      <c r="J1282" t="s">
        <v>14</v>
      </c>
      <c r="K1282" t="str">
        <f t="shared" si="65"/>
        <v>3F1</v>
      </c>
      <c r="L1282" t="s">
        <v>15</v>
      </c>
    </row>
    <row r="1283" spans="1:12" x14ac:dyDescent="0.25">
      <c r="A1283" t="str">
        <f>"1860290993"</f>
        <v>1860290993</v>
      </c>
      <c r="B1283" t="str">
        <f t="shared" si="66"/>
        <v>89301000</v>
      </c>
      <c r="C1283" s="1">
        <v>44230</v>
      </c>
      <c r="D1283" s="1">
        <v>44232</v>
      </c>
      <c r="E1283">
        <v>1</v>
      </c>
      <c r="F1283" t="s">
        <v>151</v>
      </c>
      <c r="G1283" t="str">
        <f>"06-I16-05"</f>
        <v>06-I16-05</v>
      </c>
      <c r="H1283">
        <v>0.46139999999999998</v>
      </c>
      <c r="J1283" t="s">
        <v>24</v>
      </c>
      <c r="K1283" t="str">
        <f t="shared" si="65"/>
        <v>3F1</v>
      </c>
      <c r="L1283" t="s">
        <v>15</v>
      </c>
    </row>
    <row r="1284" spans="1:12" x14ac:dyDescent="0.25">
      <c r="A1284" t="str">
        <f>"1860300530"</f>
        <v>1860300530</v>
      </c>
      <c r="B1284" t="str">
        <f t="shared" si="66"/>
        <v>89301000</v>
      </c>
      <c r="C1284" s="1">
        <v>44494</v>
      </c>
      <c r="D1284" s="1">
        <v>44496</v>
      </c>
      <c r="E1284">
        <v>1</v>
      </c>
      <c r="F1284" t="s">
        <v>398</v>
      </c>
      <c r="G1284" t="str">
        <f>"06-I16-05"</f>
        <v>06-I16-05</v>
      </c>
      <c r="H1284">
        <v>0.46139999999999998</v>
      </c>
      <c r="J1284" t="s">
        <v>24</v>
      </c>
      <c r="K1284" t="str">
        <f t="shared" si="65"/>
        <v>3F1</v>
      </c>
      <c r="L1284" t="s">
        <v>15</v>
      </c>
    </row>
    <row r="1285" spans="1:12" x14ac:dyDescent="0.25">
      <c r="A1285" t="str">
        <f>"1861050191"</f>
        <v>1861050191</v>
      </c>
      <c r="B1285" t="str">
        <f t="shared" si="66"/>
        <v>89301000</v>
      </c>
      <c r="C1285" s="1">
        <v>44429</v>
      </c>
      <c r="D1285" s="1">
        <v>44430</v>
      </c>
      <c r="E1285">
        <v>1</v>
      </c>
      <c r="F1285" t="s">
        <v>445</v>
      </c>
      <c r="G1285" t="str">
        <f>"08-K14-03"</f>
        <v>08-K14-03</v>
      </c>
      <c r="H1285">
        <v>0.26169999999999999</v>
      </c>
      <c r="I1285" t="s">
        <v>1087</v>
      </c>
      <c r="J1285" t="s">
        <v>14</v>
      </c>
      <c r="K1285" t="str">
        <f t="shared" si="65"/>
        <v>3F1</v>
      </c>
      <c r="L1285" t="s">
        <v>15</v>
      </c>
    </row>
    <row r="1286" spans="1:12" x14ac:dyDescent="0.25">
      <c r="A1286" t="str">
        <f>"1861051533"</f>
        <v>1861051533</v>
      </c>
      <c r="B1286" t="str">
        <f t="shared" si="66"/>
        <v>89301000</v>
      </c>
      <c r="C1286" s="1">
        <v>44512</v>
      </c>
      <c r="D1286" s="1">
        <v>44515</v>
      </c>
      <c r="E1286">
        <v>1</v>
      </c>
      <c r="F1286" t="s">
        <v>1088</v>
      </c>
      <c r="G1286" t="str">
        <f>"04-K03-01"</f>
        <v>04-K03-01</v>
      </c>
      <c r="H1286">
        <v>1.1687000000000001</v>
      </c>
      <c r="I1286" t="s">
        <v>1089</v>
      </c>
      <c r="J1286" t="s">
        <v>14</v>
      </c>
      <c r="K1286" t="str">
        <f t="shared" si="65"/>
        <v>3F1</v>
      </c>
      <c r="L1286" t="s">
        <v>15</v>
      </c>
    </row>
    <row r="1287" spans="1:12" x14ac:dyDescent="0.25">
      <c r="A1287" t="str">
        <f>"1861080727"</f>
        <v>1861080727</v>
      </c>
      <c r="B1287" t="str">
        <f t="shared" si="66"/>
        <v>89301000</v>
      </c>
      <c r="C1287" s="1">
        <v>44550</v>
      </c>
      <c r="D1287" s="1">
        <v>44559</v>
      </c>
      <c r="E1287">
        <v>1</v>
      </c>
      <c r="F1287" t="s">
        <v>1090</v>
      </c>
      <c r="G1287" t="str">
        <f>"11-K03-01"</f>
        <v>11-K03-01</v>
      </c>
      <c r="H1287">
        <v>1.2428999999999999</v>
      </c>
      <c r="I1287" t="s">
        <v>1091</v>
      </c>
      <c r="J1287" t="s">
        <v>14</v>
      </c>
      <c r="K1287" t="str">
        <f t="shared" si="65"/>
        <v>3F1</v>
      </c>
      <c r="L1287" t="s">
        <v>15</v>
      </c>
    </row>
    <row r="1288" spans="1:12" x14ac:dyDescent="0.25">
      <c r="A1288" t="str">
        <f>"1861081200"</f>
        <v>1861081200</v>
      </c>
      <c r="B1288" t="str">
        <f t="shared" si="66"/>
        <v>89301000</v>
      </c>
      <c r="C1288" s="1">
        <v>44235</v>
      </c>
      <c r="D1288" s="1">
        <v>44236</v>
      </c>
      <c r="E1288">
        <v>1</v>
      </c>
      <c r="F1288" t="s">
        <v>1057</v>
      </c>
      <c r="G1288" t="str">
        <f>"21-K05-04"</f>
        <v>21-K05-04</v>
      </c>
      <c r="H1288">
        <v>0.2424</v>
      </c>
      <c r="I1288" t="s">
        <v>1092</v>
      </c>
      <c r="J1288" t="s">
        <v>14</v>
      </c>
      <c r="K1288" t="str">
        <f t="shared" si="65"/>
        <v>3F1</v>
      </c>
      <c r="L1288" t="s">
        <v>15</v>
      </c>
    </row>
    <row r="1289" spans="1:12" x14ac:dyDescent="0.25">
      <c r="A1289" t="str">
        <f>"1861091584"</f>
        <v>1861091584</v>
      </c>
      <c r="B1289" t="str">
        <f t="shared" si="66"/>
        <v>89301000</v>
      </c>
      <c r="C1289" s="1">
        <v>44509</v>
      </c>
      <c r="D1289" s="1">
        <v>44512</v>
      </c>
      <c r="E1289">
        <v>1</v>
      </c>
      <c r="F1289" t="s">
        <v>1093</v>
      </c>
      <c r="G1289" t="str">
        <f>"02-K02-01"</f>
        <v>02-K02-01</v>
      </c>
      <c r="H1289">
        <v>0.8901</v>
      </c>
      <c r="I1289" t="s">
        <v>1094</v>
      </c>
      <c r="J1289" t="s">
        <v>14</v>
      </c>
      <c r="K1289" t="str">
        <f t="shared" si="65"/>
        <v>3F1</v>
      </c>
      <c r="L1289" t="s">
        <v>15</v>
      </c>
    </row>
    <row r="1290" spans="1:12" x14ac:dyDescent="0.25">
      <c r="A1290" t="str">
        <f>"1861230217"</f>
        <v>1861230217</v>
      </c>
      <c r="B1290" t="str">
        <f t="shared" si="66"/>
        <v>89301000</v>
      </c>
      <c r="C1290" s="1">
        <v>44490</v>
      </c>
      <c r="D1290" s="1">
        <v>44495</v>
      </c>
      <c r="E1290">
        <v>1</v>
      </c>
      <c r="F1290" t="s">
        <v>18</v>
      </c>
      <c r="G1290" t="str">
        <f>"11-K11-00"</f>
        <v>11-K11-00</v>
      </c>
      <c r="H1290">
        <v>0.52710000000000001</v>
      </c>
      <c r="I1290" t="s">
        <v>1095</v>
      </c>
      <c r="J1290" t="s">
        <v>14</v>
      </c>
      <c r="K1290" t="str">
        <f t="shared" si="65"/>
        <v>3F1</v>
      </c>
      <c r="L1290" t="s">
        <v>15</v>
      </c>
    </row>
    <row r="1291" spans="1:12" x14ac:dyDescent="0.25">
      <c r="A1291" t="str">
        <f>"1861290288"</f>
        <v>1861290288</v>
      </c>
      <c r="B1291" t="str">
        <f t="shared" si="66"/>
        <v>89301000</v>
      </c>
      <c r="C1291" s="1">
        <v>44469</v>
      </c>
      <c r="D1291" s="1">
        <v>44474</v>
      </c>
      <c r="E1291">
        <v>1</v>
      </c>
      <c r="F1291" t="s">
        <v>96</v>
      </c>
      <c r="G1291" t="str">
        <f>"11-K01-03"</f>
        <v>11-K01-03</v>
      </c>
      <c r="H1291">
        <v>0.59489999999999998</v>
      </c>
      <c r="I1291" t="s">
        <v>797</v>
      </c>
      <c r="J1291" t="s">
        <v>14</v>
      </c>
      <c r="K1291" t="str">
        <f t="shared" si="65"/>
        <v>3F1</v>
      </c>
      <c r="L1291" t="s">
        <v>15</v>
      </c>
    </row>
    <row r="1292" spans="1:12" x14ac:dyDescent="0.25">
      <c r="A1292" t="str">
        <f>"1862111460"</f>
        <v>1862111460</v>
      </c>
      <c r="B1292" t="str">
        <f t="shared" si="66"/>
        <v>89301000</v>
      </c>
      <c r="C1292" s="1">
        <v>44537</v>
      </c>
      <c r="D1292" s="1">
        <v>44538</v>
      </c>
      <c r="E1292">
        <v>1</v>
      </c>
      <c r="F1292" t="s">
        <v>563</v>
      </c>
      <c r="G1292" t="str">
        <f>"06-K22-03"</f>
        <v>06-K22-03</v>
      </c>
      <c r="H1292">
        <v>0.3165</v>
      </c>
      <c r="J1292" t="s">
        <v>14</v>
      </c>
      <c r="K1292" t="str">
        <f t="shared" si="65"/>
        <v>3F1</v>
      </c>
      <c r="L1292" t="s">
        <v>15</v>
      </c>
    </row>
    <row r="1293" spans="1:12" x14ac:dyDescent="0.25">
      <c r="A1293" t="str">
        <f>"1862140192"</f>
        <v>1862140192</v>
      </c>
      <c r="B1293" t="str">
        <f t="shared" si="66"/>
        <v>89301000</v>
      </c>
      <c r="C1293" s="1">
        <v>44355</v>
      </c>
      <c r="D1293" s="1">
        <v>44357</v>
      </c>
      <c r="E1293">
        <v>1</v>
      </c>
      <c r="F1293" t="s">
        <v>841</v>
      </c>
      <c r="G1293" t="str">
        <f>"04-K03-03"</f>
        <v>04-K03-03</v>
      </c>
      <c r="H1293">
        <v>0.53180000000000005</v>
      </c>
      <c r="I1293" t="s">
        <v>168</v>
      </c>
      <c r="J1293" t="s">
        <v>14</v>
      </c>
      <c r="K1293" t="str">
        <f t="shared" si="65"/>
        <v>3F1</v>
      </c>
      <c r="L1293" t="s">
        <v>15</v>
      </c>
    </row>
    <row r="1294" spans="1:12" x14ac:dyDescent="0.25">
      <c r="A1294" t="str">
        <f>"1862140236"</f>
        <v>1862140236</v>
      </c>
      <c r="B1294" t="str">
        <f t="shared" si="66"/>
        <v>89301000</v>
      </c>
      <c r="C1294" s="1">
        <v>44481</v>
      </c>
      <c r="D1294" s="1">
        <v>44486</v>
      </c>
      <c r="E1294">
        <v>1</v>
      </c>
      <c r="F1294" t="s">
        <v>1096</v>
      </c>
      <c r="G1294" t="str">
        <f>"04-K02-04"</f>
        <v>04-K02-04</v>
      </c>
      <c r="H1294">
        <v>0.82469999999999999</v>
      </c>
      <c r="I1294" t="s">
        <v>1097</v>
      </c>
      <c r="J1294" t="s">
        <v>14</v>
      </c>
      <c r="K1294" t="str">
        <f t="shared" si="65"/>
        <v>3F1</v>
      </c>
      <c r="L1294" t="s">
        <v>15</v>
      </c>
    </row>
    <row r="1295" spans="1:12" x14ac:dyDescent="0.25">
      <c r="A1295" t="str">
        <f>"1862260081"</f>
        <v>1862260081</v>
      </c>
      <c r="B1295" t="str">
        <f t="shared" si="66"/>
        <v>89301000</v>
      </c>
      <c r="C1295" s="1">
        <v>44351</v>
      </c>
      <c r="D1295" s="1">
        <v>44354</v>
      </c>
      <c r="E1295">
        <v>1</v>
      </c>
      <c r="F1295" t="s">
        <v>354</v>
      </c>
      <c r="G1295" t="str">
        <f>"10-K14-05"</f>
        <v>10-K14-05</v>
      </c>
      <c r="H1295">
        <v>0.34639999999999999</v>
      </c>
      <c r="I1295" t="s">
        <v>720</v>
      </c>
      <c r="J1295" t="s">
        <v>14</v>
      </c>
      <c r="K1295" t="str">
        <f t="shared" si="65"/>
        <v>3F1</v>
      </c>
      <c r="L1295" t="s">
        <v>15</v>
      </c>
    </row>
    <row r="1296" spans="1:12" x14ac:dyDescent="0.25">
      <c r="A1296" t="str">
        <f>"1862260081"</f>
        <v>1862260081</v>
      </c>
      <c r="B1296" t="str">
        <f t="shared" si="66"/>
        <v>89301000</v>
      </c>
      <c r="C1296" s="1">
        <v>44420</v>
      </c>
      <c r="D1296" s="1">
        <v>44422</v>
      </c>
      <c r="E1296">
        <v>1</v>
      </c>
      <c r="F1296" t="s">
        <v>966</v>
      </c>
      <c r="G1296" t="str">
        <f>"03-K02-03"</f>
        <v>03-K02-03</v>
      </c>
      <c r="H1296">
        <v>0.33960000000000001</v>
      </c>
      <c r="I1296" t="s">
        <v>552</v>
      </c>
      <c r="J1296" t="s">
        <v>14</v>
      </c>
      <c r="K1296" t="str">
        <f t="shared" si="65"/>
        <v>3F1</v>
      </c>
      <c r="L1296" t="s">
        <v>15</v>
      </c>
    </row>
    <row r="1297" spans="1:12" x14ac:dyDescent="0.25">
      <c r="A1297" t="str">
        <f>"1862271774"</f>
        <v>1862271774</v>
      </c>
      <c r="B1297" t="str">
        <f t="shared" si="66"/>
        <v>89301000</v>
      </c>
      <c r="C1297" s="1">
        <v>44434</v>
      </c>
      <c r="D1297" s="1">
        <v>44439</v>
      </c>
      <c r="E1297">
        <v>6</v>
      </c>
      <c r="F1297" t="s">
        <v>102</v>
      </c>
      <c r="G1297" t="str">
        <f>"03-K06-01"</f>
        <v>03-K06-01</v>
      </c>
      <c r="H1297">
        <v>0.4718</v>
      </c>
      <c r="I1297" t="s">
        <v>1098</v>
      </c>
      <c r="J1297" t="s">
        <v>14</v>
      </c>
      <c r="K1297" t="str">
        <f>"3T1"</f>
        <v>3T1</v>
      </c>
      <c r="L1297" t="s">
        <v>15</v>
      </c>
    </row>
    <row r="1298" spans="1:12" x14ac:dyDescent="0.25">
      <c r="A1298" t="str">
        <f>"1901040515"</f>
        <v>1901040515</v>
      </c>
      <c r="B1298" t="str">
        <f t="shared" si="66"/>
        <v>89301000</v>
      </c>
      <c r="C1298" s="1">
        <v>44468</v>
      </c>
      <c r="D1298" s="1">
        <v>44470</v>
      </c>
      <c r="E1298">
        <v>1</v>
      </c>
      <c r="F1298" t="s">
        <v>644</v>
      </c>
      <c r="G1298" t="str">
        <f>"12-I08-03"</f>
        <v>12-I08-03</v>
      </c>
      <c r="H1298">
        <v>0.7036</v>
      </c>
      <c r="J1298" t="s">
        <v>14</v>
      </c>
      <c r="K1298" t="str">
        <f t="shared" ref="K1298:K1340" si="68">"3F1"</f>
        <v>3F1</v>
      </c>
      <c r="L1298" t="s">
        <v>15</v>
      </c>
    </row>
    <row r="1299" spans="1:12" x14ac:dyDescent="0.25">
      <c r="A1299" t="str">
        <f>"1901050173"</f>
        <v>1901050173</v>
      </c>
      <c r="B1299" t="str">
        <f t="shared" si="66"/>
        <v>89301000</v>
      </c>
      <c r="C1299" s="1">
        <v>44507</v>
      </c>
      <c r="D1299" s="1">
        <v>44508</v>
      </c>
      <c r="E1299">
        <v>1</v>
      </c>
      <c r="F1299" t="s">
        <v>646</v>
      </c>
      <c r="G1299" t="str">
        <f>"06-K17-02"</f>
        <v>06-K17-02</v>
      </c>
      <c r="H1299">
        <v>0.29680000000000001</v>
      </c>
      <c r="I1299" t="s">
        <v>1099</v>
      </c>
      <c r="J1299" t="s">
        <v>14</v>
      </c>
      <c r="K1299" t="str">
        <f t="shared" si="68"/>
        <v>3F1</v>
      </c>
      <c r="L1299" t="s">
        <v>15</v>
      </c>
    </row>
    <row r="1300" spans="1:12" x14ac:dyDescent="0.25">
      <c r="A1300" t="str">
        <f>"1901171701"</f>
        <v>1901171701</v>
      </c>
      <c r="B1300" t="str">
        <f t="shared" si="66"/>
        <v>89301000</v>
      </c>
      <c r="C1300" s="1">
        <v>44292</v>
      </c>
      <c r="D1300" s="1">
        <v>44293</v>
      </c>
      <c r="E1300">
        <v>1</v>
      </c>
      <c r="F1300" t="s">
        <v>1046</v>
      </c>
      <c r="G1300" t="str">
        <f>"21-K05-04"</f>
        <v>21-K05-04</v>
      </c>
      <c r="H1300">
        <v>0.2424</v>
      </c>
      <c r="I1300" t="s">
        <v>1100</v>
      </c>
      <c r="J1300" t="s">
        <v>14</v>
      </c>
      <c r="K1300" t="str">
        <f t="shared" si="68"/>
        <v>3F1</v>
      </c>
      <c r="L1300" t="s">
        <v>15</v>
      </c>
    </row>
    <row r="1301" spans="1:12" x14ac:dyDescent="0.25">
      <c r="A1301" t="str">
        <f>"1903060225"</f>
        <v>1903060225</v>
      </c>
      <c r="B1301" t="str">
        <f t="shared" si="66"/>
        <v>89301000</v>
      </c>
      <c r="C1301" s="1">
        <v>44432</v>
      </c>
      <c r="D1301" s="1">
        <v>44435</v>
      </c>
      <c r="E1301">
        <v>1</v>
      </c>
      <c r="F1301" t="s">
        <v>1101</v>
      </c>
      <c r="G1301" t="str">
        <f>"21-K05-04"</f>
        <v>21-K05-04</v>
      </c>
      <c r="H1301">
        <v>0.2424</v>
      </c>
      <c r="I1301" t="s">
        <v>1102</v>
      </c>
      <c r="J1301" t="s">
        <v>14</v>
      </c>
      <c r="K1301" t="str">
        <f t="shared" si="68"/>
        <v>3F1</v>
      </c>
      <c r="L1301" t="s">
        <v>15</v>
      </c>
    </row>
    <row r="1302" spans="1:12" x14ac:dyDescent="0.25">
      <c r="A1302" t="str">
        <f>"1903110275"</f>
        <v>1903110275</v>
      </c>
      <c r="B1302" t="str">
        <f t="shared" si="66"/>
        <v>89301000</v>
      </c>
      <c r="C1302" s="1">
        <v>44306</v>
      </c>
      <c r="D1302" s="1">
        <v>44309</v>
      </c>
      <c r="E1302">
        <v>1</v>
      </c>
      <c r="F1302" t="s">
        <v>617</v>
      </c>
      <c r="G1302" t="str">
        <f>"06-K02-04"</f>
        <v>06-K02-04</v>
      </c>
      <c r="H1302">
        <v>0.3634</v>
      </c>
      <c r="J1302" t="s">
        <v>14</v>
      </c>
      <c r="K1302" t="str">
        <f t="shared" si="68"/>
        <v>3F1</v>
      </c>
      <c r="L1302" t="s">
        <v>15</v>
      </c>
    </row>
    <row r="1303" spans="1:12" x14ac:dyDescent="0.25">
      <c r="A1303" t="str">
        <f>"1903110286"</f>
        <v>1903110286</v>
      </c>
      <c r="B1303" t="str">
        <f t="shared" si="66"/>
        <v>89301000</v>
      </c>
      <c r="C1303" s="1">
        <v>44269</v>
      </c>
      <c r="D1303" s="1">
        <v>44271</v>
      </c>
      <c r="E1303">
        <v>1</v>
      </c>
      <c r="F1303" t="s">
        <v>449</v>
      </c>
      <c r="G1303" t="str">
        <f>"02-I11-01"</f>
        <v>02-I11-01</v>
      </c>
      <c r="H1303">
        <v>0.87619999999999998</v>
      </c>
      <c r="J1303" t="s">
        <v>17</v>
      </c>
      <c r="K1303" t="str">
        <f t="shared" si="68"/>
        <v>3F1</v>
      </c>
      <c r="L1303" t="s">
        <v>15</v>
      </c>
    </row>
    <row r="1304" spans="1:12" x14ac:dyDescent="0.25">
      <c r="A1304" t="str">
        <f>"1903110517"</f>
        <v>1903110517</v>
      </c>
      <c r="B1304" t="str">
        <f t="shared" si="66"/>
        <v>89301000</v>
      </c>
      <c r="C1304" s="1">
        <v>44259</v>
      </c>
      <c r="D1304" s="1">
        <v>44260</v>
      </c>
      <c r="E1304">
        <v>1</v>
      </c>
      <c r="F1304" t="s">
        <v>1103</v>
      </c>
      <c r="G1304" t="str">
        <f>"04-K15-03"</f>
        <v>04-K15-03</v>
      </c>
      <c r="H1304">
        <v>0.49009999999999998</v>
      </c>
      <c r="J1304" t="s">
        <v>14</v>
      </c>
      <c r="K1304" t="str">
        <f t="shared" si="68"/>
        <v>3F1</v>
      </c>
      <c r="L1304" t="s">
        <v>15</v>
      </c>
    </row>
    <row r="1305" spans="1:12" x14ac:dyDescent="0.25">
      <c r="A1305" t="str">
        <f>"1904030359"</f>
        <v>1904030359</v>
      </c>
      <c r="B1305" t="str">
        <f t="shared" si="66"/>
        <v>89301000</v>
      </c>
      <c r="C1305" s="1">
        <v>44489</v>
      </c>
      <c r="D1305" s="1">
        <v>44490</v>
      </c>
      <c r="E1305">
        <v>1</v>
      </c>
      <c r="F1305" t="s">
        <v>563</v>
      </c>
      <c r="G1305" t="str">
        <f>"06-K22-03"</f>
        <v>06-K22-03</v>
      </c>
      <c r="H1305">
        <v>0.3165</v>
      </c>
      <c r="I1305" t="s">
        <v>168</v>
      </c>
      <c r="J1305" t="s">
        <v>14</v>
      </c>
      <c r="K1305" t="str">
        <f t="shared" si="68"/>
        <v>3F1</v>
      </c>
      <c r="L1305" t="s">
        <v>15</v>
      </c>
    </row>
    <row r="1306" spans="1:12" x14ac:dyDescent="0.25">
      <c r="A1306" t="str">
        <f>"1904130206"</f>
        <v>1904130206</v>
      </c>
      <c r="B1306" t="str">
        <f t="shared" si="66"/>
        <v>89301000</v>
      </c>
      <c r="C1306" s="1">
        <v>44310</v>
      </c>
      <c r="D1306" s="1">
        <v>44326</v>
      </c>
      <c r="E1306">
        <v>1</v>
      </c>
      <c r="F1306" t="s">
        <v>1104</v>
      </c>
      <c r="G1306" t="str">
        <f>"01-K02-03"</f>
        <v>01-K02-03</v>
      </c>
      <c r="H1306">
        <v>1.7790999999999999</v>
      </c>
      <c r="I1306" t="s">
        <v>1105</v>
      </c>
      <c r="J1306" t="s">
        <v>14</v>
      </c>
      <c r="K1306" t="str">
        <f t="shared" si="68"/>
        <v>3F1</v>
      </c>
      <c r="L1306" t="s">
        <v>15</v>
      </c>
    </row>
    <row r="1307" spans="1:12" x14ac:dyDescent="0.25">
      <c r="A1307" t="str">
        <f>"1904210022"</f>
        <v>1904210022</v>
      </c>
      <c r="B1307" t="str">
        <f t="shared" si="66"/>
        <v>89301000</v>
      </c>
      <c r="C1307" s="1">
        <v>44455</v>
      </c>
      <c r="D1307" s="1">
        <v>44460</v>
      </c>
      <c r="E1307">
        <v>1</v>
      </c>
      <c r="F1307" t="s">
        <v>962</v>
      </c>
      <c r="G1307" t="str">
        <f>"04-K08-03"</f>
        <v>04-K08-03</v>
      </c>
      <c r="H1307">
        <v>1.5965</v>
      </c>
      <c r="I1307" t="s">
        <v>1106</v>
      </c>
      <c r="J1307" t="s">
        <v>14</v>
      </c>
      <c r="K1307" t="str">
        <f t="shared" si="68"/>
        <v>3F1</v>
      </c>
      <c r="L1307" t="s">
        <v>15</v>
      </c>
    </row>
    <row r="1308" spans="1:12" x14ac:dyDescent="0.25">
      <c r="A1308" t="str">
        <f>"1904250029"</f>
        <v>1904250029</v>
      </c>
      <c r="B1308" t="str">
        <f t="shared" si="66"/>
        <v>89301000</v>
      </c>
      <c r="C1308" s="1">
        <v>44272</v>
      </c>
      <c r="D1308" s="1">
        <v>44279</v>
      </c>
      <c r="E1308">
        <v>1</v>
      </c>
      <c r="F1308" t="s">
        <v>731</v>
      </c>
      <c r="G1308" t="str">
        <f>"06-K02-03"</f>
        <v>06-K02-03</v>
      </c>
      <c r="H1308">
        <v>0.47960000000000003</v>
      </c>
      <c r="I1308" t="s">
        <v>1107</v>
      </c>
      <c r="J1308" t="s">
        <v>14</v>
      </c>
      <c r="K1308" t="str">
        <f t="shared" si="68"/>
        <v>3F1</v>
      </c>
      <c r="L1308" t="s">
        <v>15</v>
      </c>
    </row>
    <row r="1309" spans="1:12" x14ac:dyDescent="0.25">
      <c r="A1309" t="str">
        <f>"1905051214"</f>
        <v>1905051214</v>
      </c>
      <c r="B1309" t="str">
        <f t="shared" si="66"/>
        <v>89301000</v>
      </c>
      <c r="C1309" s="1">
        <v>44211</v>
      </c>
      <c r="D1309" s="1">
        <v>44215</v>
      </c>
      <c r="E1309">
        <v>1</v>
      </c>
      <c r="F1309" t="s">
        <v>102</v>
      </c>
      <c r="G1309" t="str">
        <f>"03-K06-01"</f>
        <v>03-K06-01</v>
      </c>
      <c r="H1309">
        <v>0.4718</v>
      </c>
      <c r="I1309" t="s">
        <v>552</v>
      </c>
      <c r="J1309" t="s">
        <v>14</v>
      </c>
      <c r="K1309" t="str">
        <f t="shared" si="68"/>
        <v>3F1</v>
      </c>
      <c r="L1309" t="s">
        <v>15</v>
      </c>
    </row>
    <row r="1310" spans="1:12" x14ac:dyDescent="0.25">
      <c r="A1310" t="str">
        <f>"1905060036"</f>
        <v>1905060036</v>
      </c>
      <c r="B1310" t="str">
        <f t="shared" si="66"/>
        <v>89301000</v>
      </c>
      <c r="C1310" s="1">
        <v>44540</v>
      </c>
      <c r="D1310" s="1">
        <v>44542</v>
      </c>
      <c r="E1310">
        <v>1</v>
      </c>
      <c r="F1310" t="s">
        <v>841</v>
      </c>
      <c r="G1310" t="str">
        <f>"04-K03-03"</f>
        <v>04-K03-03</v>
      </c>
      <c r="H1310">
        <v>0.53180000000000005</v>
      </c>
      <c r="I1310" t="s">
        <v>168</v>
      </c>
      <c r="J1310" t="s">
        <v>14</v>
      </c>
      <c r="K1310" t="str">
        <f t="shared" si="68"/>
        <v>3F1</v>
      </c>
      <c r="L1310" t="s">
        <v>15</v>
      </c>
    </row>
    <row r="1311" spans="1:12" x14ac:dyDescent="0.25">
      <c r="A1311" t="str">
        <f>"1905260852"</f>
        <v>1905260852</v>
      </c>
      <c r="B1311" t="str">
        <f t="shared" si="66"/>
        <v>89301000</v>
      </c>
      <c r="C1311" s="1">
        <v>44427</v>
      </c>
      <c r="D1311" s="1">
        <v>44429</v>
      </c>
      <c r="E1311">
        <v>1</v>
      </c>
      <c r="F1311" t="s">
        <v>219</v>
      </c>
      <c r="G1311" t="str">
        <f>"09-K13-02"</f>
        <v>09-K13-02</v>
      </c>
      <c r="H1311">
        <v>0.3014</v>
      </c>
      <c r="I1311" t="s">
        <v>1108</v>
      </c>
      <c r="J1311" t="s">
        <v>14</v>
      </c>
      <c r="K1311" t="str">
        <f t="shared" si="68"/>
        <v>3F1</v>
      </c>
      <c r="L1311" t="s">
        <v>15</v>
      </c>
    </row>
    <row r="1312" spans="1:12" x14ac:dyDescent="0.25">
      <c r="A1312" t="str">
        <f>"1906070254"</f>
        <v>1906070254</v>
      </c>
      <c r="B1312" t="str">
        <f t="shared" si="66"/>
        <v>89301000</v>
      </c>
      <c r="C1312" s="1">
        <v>44475</v>
      </c>
      <c r="D1312" s="1">
        <v>44477</v>
      </c>
      <c r="E1312">
        <v>1</v>
      </c>
      <c r="F1312" t="s">
        <v>924</v>
      </c>
      <c r="G1312" t="str">
        <f>"06-K02-04"</f>
        <v>06-K02-04</v>
      </c>
      <c r="H1312">
        <v>0.3634</v>
      </c>
      <c r="I1312" t="s">
        <v>552</v>
      </c>
      <c r="J1312" t="s">
        <v>14</v>
      </c>
      <c r="K1312" t="str">
        <f t="shared" si="68"/>
        <v>3F1</v>
      </c>
      <c r="L1312" t="s">
        <v>15</v>
      </c>
    </row>
    <row r="1313" spans="1:12" x14ac:dyDescent="0.25">
      <c r="A1313" t="str">
        <f>"1906110316"</f>
        <v>1906110316</v>
      </c>
      <c r="B1313" t="str">
        <f t="shared" si="66"/>
        <v>89301000</v>
      </c>
      <c r="C1313" s="1">
        <v>44340</v>
      </c>
      <c r="D1313" s="1">
        <v>44342</v>
      </c>
      <c r="E1313">
        <v>1</v>
      </c>
      <c r="F1313" t="s">
        <v>151</v>
      </c>
      <c r="G1313" t="str">
        <f>"06-I16-05"</f>
        <v>06-I16-05</v>
      </c>
      <c r="H1313">
        <v>0.46139999999999998</v>
      </c>
      <c r="I1313" t="s">
        <v>390</v>
      </c>
      <c r="J1313" t="s">
        <v>24</v>
      </c>
      <c r="K1313" t="str">
        <f t="shared" si="68"/>
        <v>3F1</v>
      </c>
      <c r="L1313" t="s">
        <v>15</v>
      </c>
    </row>
    <row r="1314" spans="1:12" x14ac:dyDescent="0.25">
      <c r="A1314" t="str">
        <f t="shared" ref="A1314:A1320" si="69">"1906140005"</f>
        <v>1906140005</v>
      </c>
      <c r="B1314" t="str">
        <f t="shared" si="66"/>
        <v>89301000</v>
      </c>
      <c r="C1314" s="1">
        <v>44464</v>
      </c>
      <c r="D1314" s="1">
        <v>44465</v>
      </c>
      <c r="E1314">
        <v>1</v>
      </c>
      <c r="F1314" t="s">
        <v>933</v>
      </c>
      <c r="G1314" t="str">
        <f>"17-C03-02"</f>
        <v>17-C03-02</v>
      </c>
      <c r="H1314">
        <v>0.94469999999999998</v>
      </c>
      <c r="I1314" t="s">
        <v>541</v>
      </c>
      <c r="J1314" t="s">
        <v>14</v>
      </c>
      <c r="K1314" t="str">
        <f t="shared" si="68"/>
        <v>3F1</v>
      </c>
      <c r="L1314" t="s">
        <v>15</v>
      </c>
    </row>
    <row r="1315" spans="1:12" x14ac:dyDescent="0.25">
      <c r="A1315" t="str">
        <f t="shared" si="69"/>
        <v>1906140005</v>
      </c>
      <c r="B1315" t="str">
        <f t="shared" si="66"/>
        <v>89301000</v>
      </c>
      <c r="C1315" s="1">
        <v>44476</v>
      </c>
      <c r="D1315" s="1">
        <v>44496</v>
      </c>
      <c r="E1315">
        <v>1</v>
      </c>
      <c r="F1315" t="s">
        <v>857</v>
      </c>
      <c r="G1315" t="str">
        <f>"16-C03-01"</f>
        <v>16-C03-01</v>
      </c>
      <c r="H1315">
        <v>4.4527999999999999</v>
      </c>
      <c r="I1315" t="s">
        <v>1109</v>
      </c>
      <c r="J1315" t="s">
        <v>14</v>
      </c>
      <c r="K1315" t="str">
        <f t="shared" si="68"/>
        <v>3F1</v>
      </c>
      <c r="L1315" t="s">
        <v>15</v>
      </c>
    </row>
    <row r="1316" spans="1:12" x14ac:dyDescent="0.25">
      <c r="A1316" t="str">
        <f t="shared" si="69"/>
        <v>1906140005</v>
      </c>
      <c r="B1316" t="str">
        <f t="shared" si="66"/>
        <v>89301000</v>
      </c>
      <c r="C1316" s="1">
        <v>44522</v>
      </c>
      <c r="D1316" s="1">
        <v>44526</v>
      </c>
      <c r="E1316">
        <v>1</v>
      </c>
      <c r="F1316" t="s">
        <v>933</v>
      </c>
      <c r="G1316" t="str">
        <f>"17-C03-02"</f>
        <v>17-C03-02</v>
      </c>
      <c r="H1316">
        <v>0.94469999999999998</v>
      </c>
      <c r="I1316" t="s">
        <v>541</v>
      </c>
      <c r="J1316" t="s">
        <v>14</v>
      </c>
      <c r="K1316" t="str">
        <f t="shared" si="68"/>
        <v>3F1</v>
      </c>
      <c r="L1316" t="s">
        <v>15</v>
      </c>
    </row>
    <row r="1317" spans="1:12" x14ac:dyDescent="0.25">
      <c r="A1317" t="str">
        <f t="shared" si="69"/>
        <v>1906140005</v>
      </c>
      <c r="B1317" t="str">
        <f t="shared" si="66"/>
        <v>89301000</v>
      </c>
      <c r="C1317" s="1">
        <v>44536</v>
      </c>
      <c r="D1317" s="1">
        <v>44540</v>
      </c>
      <c r="E1317">
        <v>1</v>
      </c>
      <c r="F1317" t="s">
        <v>933</v>
      </c>
      <c r="G1317" t="str">
        <f>"17-C03-02"</f>
        <v>17-C03-02</v>
      </c>
      <c r="H1317">
        <v>0.94469999999999998</v>
      </c>
      <c r="I1317" t="s">
        <v>541</v>
      </c>
      <c r="J1317" t="s">
        <v>14</v>
      </c>
      <c r="K1317" t="str">
        <f t="shared" si="68"/>
        <v>3F1</v>
      </c>
      <c r="L1317" t="s">
        <v>15</v>
      </c>
    </row>
    <row r="1318" spans="1:12" x14ac:dyDescent="0.25">
      <c r="A1318" t="str">
        <f t="shared" si="69"/>
        <v>1906140005</v>
      </c>
      <c r="B1318" t="str">
        <f t="shared" si="66"/>
        <v>89301000</v>
      </c>
      <c r="C1318" s="1">
        <v>44557</v>
      </c>
      <c r="D1318" s="1">
        <v>44561</v>
      </c>
      <c r="E1318">
        <v>1</v>
      </c>
      <c r="F1318" t="s">
        <v>933</v>
      </c>
      <c r="G1318" t="str">
        <f>"17-C03-02"</f>
        <v>17-C03-02</v>
      </c>
      <c r="H1318">
        <v>0.94469999999999998</v>
      </c>
      <c r="I1318" t="s">
        <v>541</v>
      </c>
      <c r="J1318" t="s">
        <v>14</v>
      </c>
      <c r="K1318" t="str">
        <f t="shared" si="68"/>
        <v>3F1</v>
      </c>
      <c r="L1318" t="s">
        <v>15</v>
      </c>
    </row>
    <row r="1319" spans="1:12" x14ac:dyDescent="0.25">
      <c r="A1319" t="str">
        <f t="shared" si="69"/>
        <v>1906140005</v>
      </c>
      <c r="B1319" t="str">
        <f t="shared" si="66"/>
        <v>89301000</v>
      </c>
      <c r="C1319" s="1">
        <v>44395</v>
      </c>
      <c r="D1319" s="1">
        <v>44432</v>
      </c>
      <c r="E1319">
        <v>1</v>
      </c>
      <c r="F1319" t="s">
        <v>933</v>
      </c>
      <c r="G1319" t="str">
        <f>"17-C01-02"</f>
        <v>17-C01-02</v>
      </c>
      <c r="H1319">
        <v>11.111800000000001</v>
      </c>
      <c r="I1319" t="s">
        <v>1110</v>
      </c>
      <c r="J1319" t="s">
        <v>14</v>
      </c>
      <c r="K1319" t="str">
        <f t="shared" si="68"/>
        <v>3F1</v>
      </c>
      <c r="L1319" t="s">
        <v>15</v>
      </c>
    </row>
    <row r="1320" spans="1:12" x14ac:dyDescent="0.25">
      <c r="A1320" t="str">
        <f t="shared" si="69"/>
        <v>1906140005</v>
      </c>
      <c r="B1320" t="str">
        <f t="shared" si="66"/>
        <v>89301000</v>
      </c>
      <c r="C1320" s="1">
        <v>44436</v>
      </c>
      <c r="D1320" s="1">
        <v>44445</v>
      </c>
      <c r="E1320">
        <v>1</v>
      </c>
      <c r="F1320" t="s">
        <v>857</v>
      </c>
      <c r="G1320" t="str">
        <f>"16-K04-01"</f>
        <v>16-K04-01</v>
      </c>
      <c r="H1320">
        <v>1.3260000000000001</v>
      </c>
      <c r="I1320" t="s">
        <v>1111</v>
      </c>
      <c r="J1320" t="s">
        <v>14</v>
      </c>
      <c r="K1320" t="str">
        <f t="shared" si="68"/>
        <v>3F1</v>
      </c>
      <c r="L1320" t="s">
        <v>15</v>
      </c>
    </row>
    <row r="1321" spans="1:12" x14ac:dyDescent="0.25">
      <c r="A1321" t="str">
        <f>"1906230172"</f>
        <v>1906230172</v>
      </c>
      <c r="B1321" t="str">
        <f t="shared" si="66"/>
        <v>89301000</v>
      </c>
      <c r="C1321" s="1">
        <v>44438</v>
      </c>
      <c r="D1321" s="1">
        <v>44440</v>
      </c>
      <c r="E1321">
        <v>1</v>
      </c>
      <c r="F1321" t="s">
        <v>151</v>
      </c>
      <c r="G1321" t="str">
        <f>"06-I16-05"</f>
        <v>06-I16-05</v>
      </c>
      <c r="H1321">
        <v>0.46139999999999998</v>
      </c>
      <c r="I1321" t="s">
        <v>390</v>
      </c>
      <c r="J1321" t="s">
        <v>24</v>
      </c>
      <c r="K1321" t="str">
        <f t="shared" si="68"/>
        <v>3F1</v>
      </c>
      <c r="L1321" t="s">
        <v>15</v>
      </c>
    </row>
    <row r="1322" spans="1:12" x14ac:dyDescent="0.25">
      <c r="A1322" t="str">
        <f>"1906260411"</f>
        <v>1906260411</v>
      </c>
      <c r="B1322" t="str">
        <f t="shared" si="66"/>
        <v>89301000</v>
      </c>
      <c r="C1322" s="1">
        <v>44223</v>
      </c>
      <c r="D1322" s="1">
        <v>44226</v>
      </c>
      <c r="E1322">
        <v>1</v>
      </c>
      <c r="F1322" t="s">
        <v>398</v>
      </c>
      <c r="G1322" t="str">
        <f>"06-I16-05"</f>
        <v>06-I16-05</v>
      </c>
      <c r="H1322">
        <v>0.46139999999999998</v>
      </c>
      <c r="J1322" t="s">
        <v>24</v>
      </c>
      <c r="K1322" t="str">
        <f t="shared" si="68"/>
        <v>3F1</v>
      </c>
      <c r="L1322" t="s">
        <v>15</v>
      </c>
    </row>
    <row r="1323" spans="1:12" x14ac:dyDescent="0.25">
      <c r="A1323" t="str">
        <f>"1907100030"</f>
        <v>1907100030</v>
      </c>
      <c r="B1323" t="str">
        <f t="shared" si="66"/>
        <v>89301000</v>
      </c>
      <c r="C1323" s="1">
        <v>44519</v>
      </c>
      <c r="D1323" s="1">
        <v>44523</v>
      </c>
      <c r="E1323">
        <v>1</v>
      </c>
      <c r="F1323" t="s">
        <v>731</v>
      </c>
      <c r="G1323" t="str">
        <f>"06-K02-03"</f>
        <v>06-K02-03</v>
      </c>
      <c r="H1323">
        <v>0.47960000000000003</v>
      </c>
      <c r="I1323" t="s">
        <v>552</v>
      </c>
      <c r="J1323" t="s">
        <v>14</v>
      </c>
      <c r="K1323" t="str">
        <f t="shared" si="68"/>
        <v>3F1</v>
      </c>
      <c r="L1323" t="s">
        <v>15</v>
      </c>
    </row>
    <row r="1324" spans="1:12" x14ac:dyDescent="0.25">
      <c r="A1324" t="str">
        <f>"1907172047"</f>
        <v>1907172047</v>
      </c>
      <c r="B1324" t="str">
        <f t="shared" si="66"/>
        <v>89301000</v>
      </c>
      <c r="C1324" s="1">
        <v>44455</v>
      </c>
      <c r="D1324" s="1">
        <v>44462</v>
      </c>
      <c r="E1324">
        <v>1</v>
      </c>
      <c r="F1324" t="s">
        <v>1112</v>
      </c>
      <c r="G1324" t="str">
        <f>"06-K19-03"</f>
        <v>06-K19-03</v>
      </c>
      <c r="H1324">
        <v>0.8901</v>
      </c>
      <c r="I1324" t="s">
        <v>552</v>
      </c>
      <c r="J1324" t="s">
        <v>14</v>
      </c>
      <c r="K1324" t="str">
        <f t="shared" si="68"/>
        <v>3F1</v>
      </c>
      <c r="L1324" t="s">
        <v>15</v>
      </c>
    </row>
    <row r="1325" spans="1:12" x14ac:dyDescent="0.25">
      <c r="A1325" t="str">
        <f>"1907180451"</f>
        <v>1907180451</v>
      </c>
      <c r="B1325" t="str">
        <f t="shared" si="66"/>
        <v>89301000</v>
      </c>
      <c r="C1325" s="1">
        <v>44293</v>
      </c>
      <c r="D1325" s="1">
        <v>44302</v>
      </c>
      <c r="E1325">
        <v>1</v>
      </c>
      <c r="F1325" t="s">
        <v>1113</v>
      </c>
      <c r="G1325" t="str">
        <f>"08-I20-03"</f>
        <v>08-I20-03</v>
      </c>
      <c r="H1325">
        <v>1.1222000000000001</v>
      </c>
      <c r="I1325" t="s">
        <v>1114</v>
      </c>
      <c r="J1325" t="s">
        <v>17</v>
      </c>
      <c r="K1325" t="str">
        <f t="shared" si="68"/>
        <v>3F1</v>
      </c>
      <c r="L1325" t="s">
        <v>15</v>
      </c>
    </row>
    <row r="1326" spans="1:12" x14ac:dyDescent="0.25">
      <c r="A1326" t="str">
        <f>"1907280166"</f>
        <v>1907280166</v>
      </c>
      <c r="B1326" t="str">
        <f t="shared" si="66"/>
        <v>89301000</v>
      </c>
      <c r="C1326" s="1">
        <v>44490</v>
      </c>
      <c r="D1326" s="1">
        <v>44494</v>
      </c>
      <c r="E1326">
        <v>1</v>
      </c>
      <c r="F1326" t="s">
        <v>1115</v>
      </c>
      <c r="G1326" t="str">
        <f>"02-K02-02"</f>
        <v>02-K02-02</v>
      </c>
      <c r="H1326">
        <v>0.55289999999999995</v>
      </c>
      <c r="I1326" t="s">
        <v>168</v>
      </c>
      <c r="J1326" t="s">
        <v>14</v>
      </c>
      <c r="K1326" t="str">
        <f t="shared" si="68"/>
        <v>3F1</v>
      </c>
      <c r="L1326" t="s">
        <v>15</v>
      </c>
    </row>
    <row r="1327" spans="1:12" x14ac:dyDescent="0.25">
      <c r="A1327" t="str">
        <f>"1908070725"</f>
        <v>1908070725</v>
      </c>
      <c r="B1327" t="str">
        <f t="shared" si="66"/>
        <v>89301000</v>
      </c>
      <c r="C1327" s="1">
        <v>44202</v>
      </c>
      <c r="D1327" s="1">
        <v>44205</v>
      </c>
      <c r="E1327">
        <v>1</v>
      </c>
      <c r="F1327" t="s">
        <v>644</v>
      </c>
      <c r="G1327" t="str">
        <f>"12-I08-03"</f>
        <v>12-I08-03</v>
      </c>
      <c r="H1327">
        <v>0.7036</v>
      </c>
      <c r="J1327" t="s">
        <v>14</v>
      </c>
      <c r="K1327" t="str">
        <f t="shared" si="68"/>
        <v>3F1</v>
      </c>
      <c r="L1327" t="s">
        <v>15</v>
      </c>
    </row>
    <row r="1328" spans="1:12" x14ac:dyDescent="0.25">
      <c r="A1328" t="str">
        <f>"1908091570"</f>
        <v>1908091570</v>
      </c>
      <c r="B1328" t="str">
        <f t="shared" si="66"/>
        <v>89301000</v>
      </c>
      <c r="C1328" s="1">
        <v>44332</v>
      </c>
      <c r="D1328" s="1">
        <v>44337</v>
      </c>
      <c r="E1328">
        <v>1</v>
      </c>
      <c r="F1328" t="s">
        <v>1116</v>
      </c>
      <c r="G1328" t="str">
        <f>"06-I16-05"</f>
        <v>06-I16-05</v>
      </c>
      <c r="H1328">
        <v>0.64600000000000002</v>
      </c>
      <c r="I1328" t="s">
        <v>168</v>
      </c>
      <c r="J1328" t="s">
        <v>24</v>
      </c>
      <c r="K1328" t="str">
        <f t="shared" si="68"/>
        <v>3F1</v>
      </c>
      <c r="L1328" t="s">
        <v>15</v>
      </c>
    </row>
    <row r="1329" spans="1:12" x14ac:dyDescent="0.25">
      <c r="A1329" t="str">
        <f>"1908191659"</f>
        <v>1908191659</v>
      </c>
      <c r="B1329" t="str">
        <f t="shared" si="66"/>
        <v>89301000</v>
      </c>
      <c r="C1329" s="1">
        <v>44386</v>
      </c>
      <c r="D1329" s="1">
        <v>44389</v>
      </c>
      <c r="E1329">
        <v>1</v>
      </c>
      <c r="F1329" t="s">
        <v>724</v>
      </c>
      <c r="G1329" t="str">
        <f>"06-K10-03"</f>
        <v>06-K10-03</v>
      </c>
      <c r="H1329">
        <v>0.43880000000000002</v>
      </c>
      <c r="J1329" t="s">
        <v>14</v>
      </c>
      <c r="K1329" t="str">
        <f t="shared" si="68"/>
        <v>3F1</v>
      </c>
      <c r="L1329" t="s">
        <v>15</v>
      </c>
    </row>
    <row r="1330" spans="1:12" x14ac:dyDescent="0.25">
      <c r="A1330" t="str">
        <f>"1908240136"</f>
        <v>1908240136</v>
      </c>
      <c r="B1330" t="str">
        <f t="shared" si="66"/>
        <v>89301000</v>
      </c>
      <c r="C1330" s="1">
        <v>44207</v>
      </c>
      <c r="D1330" s="1">
        <v>44220</v>
      </c>
      <c r="E1330">
        <v>1</v>
      </c>
      <c r="F1330" t="s">
        <v>1117</v>
      </c>
      <c r="G1330" t="str">
        <f>"04-K15-02"</f>
        <v>04-K15-02</v>
      </c>
      <c r="H1330">
        <v>1.0601</v>
      </c>
      <c r="I1330" t="s">
        <v>1118</v>
      </c>
      <c r="J1330" t="s">
        <v>14</v>
      </c>
      <c r="K1330" t="str">
        <f t="shared" si="68"/>
        <v>3F1</v>
      </c>
      <c r="L1330" t="s">
        <v>15</v>
      </c>
    </row>
    <row r="1331" spans="1:12" x14ac:dyDescent="0.25">
      <c r="A1331" t="str">
        <f>"1908281573"</f>
        <v>1908281573</v>
      </c>
      <c r="B1331" t="str">
        <f t="shared" si="66"/>
        <v>89301000</v>
      </c>
      <c r="C1331" s="1">
        <v>44552</v>
      </c>
      <c r="D1331" s="1">
        <v>44557</v>
      </c>
      <c r="E1331">
        <v>1</v>
      </c>
      <c r="F1331" t="s">
        <v>1066</v>
      </c>
      <c r="G1331" t="str">
        <f>"08-C01-05"</f>
        <v>08-C01-05</v>
      </c>
      <c r="H1331">
        <v>1.1969000000000001</v>
      </c>
      <c r="J1331" t="s">
        <v>14</v>
      </c>
      <c r="K1331" t="str">
        <f t="shared" si="68"/>
        <v>3F1</v>
      </c>
      <c r="L1331" t="s">
        <v>15</v>
      </c>
    </row>
    <row r="1332" spans="1:12" x14ac:dyDescent="0.25">
      <c r="A1332" t="str">
        <f>"1909090733"</f>
        <v>1909090733</v>
      </c>
      <c r="B1332" t="str">
        <f t="shared" si="66"/>
        <v>89301000</v>
      </c>
      <c r="C1332" s="1">
        <v>44249</v>
      </c>
      <c r="D1332" s="1">
        <v>44251</v>
      </c>
      <c r="E1332">
        <v>1</v>
      </c>
      <c r="F1332" t="s">
        <v>644</v>
      </c>
      <c r="G1332" t="str">
        <f>"12-I10-02"</f>
        <v>12-I10-02</v>
      </c>
      <c r="H1332">
        <v>0.57379999999999998</v>
      </c>
      <c r="J1332" t="s">
        <v>24</v>
      </c>
      <c r="K1332" t="str">
        <f t="shared" si="68"/>
        <v>3F1</v>
      </c>
      <c r="L1332" t="s">
        <v>15</v>
      </c>
    </row>
    <row r="1333" spans="1:12" x14ac:dyDescent="0.25">
      <c r="A1333" t="str">
        <f>"1909100798"</f>
        <v>1909100798</v>
      </c>
      <c r="B1333" t="str">
        <f t="shared" ref="B1333:B1395" si="70">"89301000"</f>
        <v>89301000</v>
      </c>
      <c r="C1333" s="1">
        <v>44349</v>
      </c>
      <c r="D1333" s="1">
        <v>44351</v>
      </c>
      <c r="E1333">
        <v>1</v>
      </c>
      <c r="F1333" t="s">
        <v>644</v>
      </c>
      <c r="G1333" t="str">
        <f>"12-I10-02"</f>
        <v>12-I10-02</v>
      </c>
      <c r="H1333">
        <v>0.57379999999999998</v>
      </c>
      <c r="J1333" t="s">
        <v>24</v>
      </c>
      <c r="K1333" t="str">
        <f t="shared" si="68"/>
        <v>3F1</v>
      </c>
      <c r="L1333" t="s">
        <v>15</v>
      </c>
    </row>
    <row r="1334" spans="1:12" x14ac:dyDescent="0.25">
      <c r="A1334" t="str">
        <f>"1909101678"</f>
        <v>1909101678</v>
      </c>
      <c r="B1334" t="str">
        <f t="shared" si="70"/>
        <v>89301000</v>
      </c>
      <c r="C1334" s="1">
        <v>44474</v>
      </c>
      <c r="D1334" s="1">
        <v>44482</v>
      </c>
      <c r="E1334">
        <v>1</v>
      </c>
      <c r="F1334" t="s">
        <v>1119</v>
      </c>
      <c r="G1334" t="str">
        <f>"09-K14-02"</f>
        <v>09-K14-02</v>
      </c>
      <c r="H1334">
        <v>0.50549999999999995</v>
      </c>
      <c r="J1334" t="s">
        <v>14</v>
      </c>
      <c r="K1334" t="str">
        <f t="shared" si="68"/>
        <v>3F1</v>
      </c>
      <c r="L1334" t="s">
        <v>15</v>
      </c>
    </row>
    <row r="1335" spans="1:12" x14ac:dyDescent="0.25">
      <c r="A1335" t="str">
        <f>"1909190855"</f>
        <v>1909190855</v>
      </c>
      <c r="B1335" t="str">
        <f t="shared" si="70"/>
        <v>89301000</v>
      </c>
      <c r="C1335" s="1">
        <v>44400</v>
      </c>
      <c r="D1335" s="1">
        <v>44403</v>
      </c>
      <c r="E1335">
        <v>1</v>
      </c>
      <c r="F1335" t="s">
        <v>102</v>
      </c>
      <c r="G1335" t="str">
        <f>"03-K06-01"</f>
        <v>03-K06-01</v>
      </c>
      <c r="H1335">
        <v>0.4718</v>
      </c>
      <c r="I1335" t="s">
        <v>552</v>
      </c>
      <c r="J1335" t="s">
        <v>14</v>
      </c>
      <c r="K1335" t="str">
        <f t="shared" si="68"/>
        <v>3F1</v>
      </c>
      <c r="L1335" t="s">
        <v>15</v>
      </c>
    </row>
    <row r="1336" spans="1:12" x14ac:dyDescent="0.25">
      <c r="A1336" t="str">
        <f>"1909210226"</f>
        <v>1909210226</v>
      </c>
      <c r="B1336" t="str">
        <f t="shared" si="70"/>
        <v>89301000</v>
      </c>
      <c r="C1336" s="1">
        <v>44381</v>
      </c>
      <c r="D1336" s="1">
        <v>44382</v>
      </c>
      <c r="E1336">
        <v>1</v>
      </c>
      <c r="F1336" t="s">
        <v>1120</v>
      </c>
      <c r="G1336" t="str">
        <f>"21-K05-03"</f>
        <v>21-K05-03</v>
      </c>
      <c r="H1336">
        <v>0.46750000000000003</v>
      </c>
      <c r="I1336" t="s">
        <v>744</v>
      </c>
      <c r="J1336" t="s">
        <v>14</v>
      </c>
      <c r="K1336" t="str">
        <f t="shared" si="68"/>
        <v>3F1</v>
      </c>
      <c r="L1336" t="s">
        <v>15</v>
      </c>
    </row>
    <row r="1337" spans="1:12" x14ac:dyDescent="0.25">
      <c r="A1337" t="str">
        <f>"1910220741"</f>
        <v>1910220741</v>
      </c>
      <c r="B1337" t="str">
        <f t="shared" si="70"/>
        <v>89301000</v>
      </c>
      <c r="C1337" s="1">
        <v>44516</v>
      </c>
      <c r="D1337" s="1">
        <v>44519</v>
      </c>
      <c r="E1337">
        <v>1</v>
      </c>
      <c r="F1337" t="s">
        <v>979</v>
      </c>
      <c r="G1337" t="str">
        <f>"04-K02-04"</f>
        <v>04-K02-04</v>
      </c>
      <c r="H1337">
        <v>0.82469999999999999</v>
      </c>
      <c r="I1337" t="s">
        <v>168</v>
      </c>
      <c r="J1337" t="s">
        <v>14</v>
      </c>
      <c r="K1337" t="str">
        <f t="shared" si="68"/>
        <v>3F1</v>
      </c>
      <c r="L1337" t="s">
        <v>15</v>
      </c>
    </row>
    <row r="1338" spans="1:12" x14ac:dyDescent="0.25">
      <c r="A1338" t="str">
        <f>"1910220741"</f>
        <v>1910220741</v>
      </c>
      <c r="B1338" t="str">
        <f t="shared" si="70"/>
        <v>89301000</v>
      </c>
      <c r="C1338" s="1">
        <v>44351</v>
      </c>
      <c r="D1338" s="1">
        <v>44355</v>
      </c>
      <c r="E1338">
        <v>1</v>
      </c>
      <c r="F1338" t="s">
        <v>731</v>
      </c>
      <c r="G1338" t="str">
        <f>"06-K02-03"</f>
        <v>06-K02-03</v>
      </c>
      <c r="H1338">
        <v>0.47960000000000003</v>
      </c>
      <c r="I1338" t="s">
        <v>552</v>
      </c>
      <c r="J1338" t="s">
        <v>14</v>
      </c>
      <c r="K1338" t="str">
        <f t="shared" si="68"/>
        <v>3F1</v>
      </c>
      <c r="L1338" t="s">
        <v>15</v>
      </c>
    </row>
    <row r="1339" spans="1:12" x14ac:dyDescent="0.25">
      <c r="A1339" t="str">
        <f>"1910230971"</f>
        <v>1910230971</v>
      </c>
      <c r="B1339" t="str">
        <f t="shared" si="70"/>
        <v>89301000</v>
      </c>
      <c r="C1339" s="1">
        <v>44257</v>
      </c>
      <c r="D1339" s="1">
        <v>44263</v>
      </c>
      <c r="E1339">
        <v>1</v>
      </c>
      <c r="F1339" t="s">
        <v>1121</v>
      </c>
      <c r="G1339" t="str">
        <f>"04-K02-04"</f>
        <v>04-K02-04</v>
      </c>
      <c r="H1339">
        <v>0.82469999999999999</v>
      </c>
      <c r="I1339" t="s">
        <v>1122</v>
      </c>
      <c r="J1339" t="s">
        <v>14</v>
      </c>
      <c r="K1339" t="str">
        <f t="shared" si="68"/>
        <v>3F1</v>
      </c>
      <c r="L1339" t="s">
        <v>15</v>
      </c>
    </row>
    <row r="1340" spans="1:12" x14ac:dyDescent="0.25">
      <c r="A1340" t="str">
        <f>"1911040615"</f>
        <v>1911040615</v>
      </c>
      <c r="B1340" t="str">
        <f t="shared" si="70"/>
        <v>89301000</v>
      </c>
      <c r="C1340" s="1">
        <v>44461</v>
      </c>
      <c r="D1340" s="1">
        <v>44463</v>
      </c>
      <c r="E1340">
        <v>1</v>
      </c>
      <c r="F1340" t="s">
        <v>1123</v>
      </c>
      <c r="G1340" t="str">
        <f>"04-K15-03"</f>
        <v>04-K15-03</v>
      </c>
      <c r="H1340">
        <v>0.49009999999999998</v>
      </c>
      <c r="J1340" t="s">
        <v>14</v>
      </c>
      <c r="K1340" t="str">
        <f t="shared" si="68"/>
        <v>3F1</v>
      </c>
      <c r="L1340" t="s">
        <v>15</v>
      </c>
    </row>
    <row r="1341" spans="1:12" x14ac:dyDescent="0.25">
      <c r="A1341" t="str">
        <f>"1911121245"</f>
        <v>1911121245</v>
      </c>
      <c r="B1341" t="str">
        <f t="shared" si="70"/>
        <v>89301000</v>
      </c>
      <c r="C1341" s="1">
        <v>44496</v>
      </c>
      <c r="D1341" s="1">
        <v>44517</v>
      </c>
      <c r="E1341">
        <v>6</v>
      </c>
      <c r="F1341" t="s">
        <v>1124</v>
      </c>
      <c r="G1341" t="str">
        <f>"06-I07-02"</f>
        <v>06-I07-02</v>
      </c>
      <c r="H1341">
        <v>4.4950000000000001</v>
      </c>
      <c r="I1341" t="s">
        <v>1125</v>
      </c>
      <c r="J1341" t="s">
        <v>17</v>
      </c>
      <c r="K1341" t="str">
        <f>"3T1"</f>
        <v>3T1</v>
      </c>
      <c r="L1341" t="s">
        <v>15</v>
      </c>
    </row>
    <row r="1342" spans="1:12" x14ac:dyDescent="0.25">
      <c r="A1342" t="str">
        <f>"1911121245"</f>
        <v>1911121245</v>
      </c>
      <c r="B1342" t="str">
        <f t="shared" si="70"/>
        <v>89301000</v>
      </c>
      <c r="C1342" s="1">
        <v>44523</v>
      </c>
      <c r="D1342" s="1">
        <v>44524</v>
      </c>
      <c r="E1342">
        <v>1</v>
      </c>
      <c r="F1342" t="s">
        <v>1126</v>
      </c>
      <c r="G1342" t="str">
        <f>"23-K05-02"</f>
        <v>23-K05-02</v>
      </c>
      <c r="H1342">
        <v>0.4425</v>
      </c>
      <c r="J1342" t="s">
        <v>14</v>
      </c>
      <c r="K1342" t="str">
        <f t="shared" ref="K1342:K1373" si="71">"3F1"</f>
        <v>3F1</v>
      </c>
      <c r="L1342" t="s">
        <v>15</v>
      </c>
    </row>
    <row r="1343" spans="1:12" x14ac:dyDescent="0.25">
      <c r="A1343" t="str">
        <f>"1911180634"</f>
        <v>1911180634</v>
      </c>
      <c r="B1343" t="str">
        <f t="shared" si="70"/>
        <v>89301000</v>
      </c>
      <c r="C1343" s="1">
        <v>44324</v>
      </c>
      <c r="D1343" s="1">
        <v>44326</v>
      </c>
      <c r="E1343">
        <v>1</v>
      </c>
      <c r="F1343" t="s">
        <v>354</v>
      </c>
      <c r="G1343" t="str">
        <f>"10-K14-05"</f>
        <v>10-K14-05</v>
      </c>
      <c r="H1343">
        <v>0.34639999999999999</v>
      </c>
      <c r="I1343" t="s">
        <v>168</v>
      </c>
      <c r="J1343" t="s">
        <v>14</v>
      </c>
      <c r="K1343" t="str">
        <f t="shared" si="71"/>
        <v>3F1</v>
      </c>
      <c r="L1343" t="s">
        <v>15</v>
      </c>
    </row>
    <row r="1344" spans="1:12" x14ac:dyDescent="0.25">
      <c r="A1344" t="str">
        <f>"1911300149"</f>
        <v>1911300149</v>
      </c>
      <c r="B1344" t="str">
        <f t="shared" si="70"/>
        <v>89301000</v>
      </c>
      <c r="C1344" s="1">
        <v>44494</v>
      </c>
      <c r="D1344" s="1">
        <v>44505</v>
      </c>
      <c r="E1344">
        <v>1</v>
      </c>
      <c r="F1344" t="s">
        <v>304</v>
      </c>
      <c r="G1344" t="str">
        <f>"10-K03-02"</f>
        <v>10-K03-02</v>
      </c>
      <c r="H1344">
        <v>1.3724000000000001</v>
      </c>
      <c r="I1344" t="s">
        <v>1127</v>
      </c>
      <c r="J1344" t="s">
        <v>14</v>
      </c>
      <c r="K1344" t="str">
        <f t="shared" si="71"/>
        <v>3F1</v>
      </c>
      <c r="L1344" t="s">
        <v>15</v>
      </c>
    </row>
    <row r="1345" spans="1:12" x14ac:dyDescent="0.25">
      <c r="A1345" t="str">
        <f>"1912121552"</f>
        <v>1912121552</v>
      </c>
      <c r="B1345" t="str">
        <f t="shared" si="70"/>
        <v>89301000</v>
      </c>
      <c r="C1345" s="1">
        <v>44328</v>
      </c>
      <c r="D1345" s="1">
        <v>44329</v>
      </c>
      <c r="E1345">
        <v>1</v>
      </c>
      <c r="F1345" t="s">
        <v>1128</v>
      </c>
      <c r="G1345" t="str">
        <f>"09-I13-04"</f>
        <v>09-I13-04</v>
      </c>
      <c r="H1345">
        <v>0.57730000000000004</v>
      </c>
      <c r="I1345" t="s">
        <v>1129</v>
      </c>
      <c r="J1345" t="s">
        <v>14</v>
      </c>
      <c r="K1345" t="str">
        <f t="shared" si="71"/>
        <v>3F1</v>
      </c>
      <c r="L1345" t="s">
        <v>15</v>
      </c>
    </row>
    <row r="1346" spans="1:12" x14ac:dyDescent="0.25">
      <c r="A1346" t="str">
        <f>"1912140362"</f>
        <v>1912140362</v>
      </c>
      <c r="B1346" t="str">
        <f t="shared" si="70"/>
        <v>89301000</v>
      </c>
      <c r="C1346" s="1">
        <v>44354</v>
      </c>
      <c r="D1346" s="1">
        <v>44357</v>
      </c>
      <c r="E1346">
        <v>1</v>
      </c>
      <c r="F1346" t="s">
        <v>644</v>
      </c>
      <c r="G1346" t="str">
        <f>"12-I10-02"</f>
        <v>12-I10-02</v>
      </c>
      <c r="H1346">
        <v>0.57379999999999998</v>
      </c>
      <c r="I1346" t="s">
        <v>1130</v>
      </c>
      <c r="J1346" t="s">
        <v>24</v>
      </c>
      <c r="K1346" t="str">
        <f t="shared" si="71"/>
        <v>3F1</v>
      </c>
      <c r="L1346" t="s">
        <v>15</v>
      </c>
    </row>
    <row r="1347" spans="1:12" x14ac:dyDescent="0.25">
      <c r="A1347" t="str">
        <f>"1912190291"</f>
        <v>1912190291</v>
      </c>
      <c r="B1347" t="str">
        <f t="shared" si="70"/>
        <v>89301000</v>
      </c>
      <c r="C1347" s="1">
        <v>44393</v>
      </c>
      <c r="D1347" s="1">
        <v>44395</v>
      </c>
      <c r="E1347">
        <v>1</v>
      </c>
      <c r="F1347" t="s">
        <v>1040</v>
      </c>
      <c r="G1347" t="str">
        <f>"03-K12-01"</f>
        <v>03-K12-01</v>
      </c>
      <c r="H1347">
        <v>0.376</v>
      </c>
      <c r="I1347" t="s">
        <v>1131</v>
      </c>
      <c r="J1347" t="s">
        <v>14</v>
      </c>
      <c r="K1347" t="str">
        <f t="shared" si="71"/>
        <v>3F1</v>
      </c>
      <c r="L1347" t="s">
        <v>15</v>
      </c>
    </row>
    <row r="1348" spans="1:12" x14ac:dyDescent="0.25">
      <c r="A1348" t="str">
        <f>"1912290336"</f>
        <v>1912290336</v>
      </c>
      <c r="B1348" t="str">
        <f t="shared" si="70"/>
        <v>89301000</v>
      </c>
      <c r="C1348" s="1">
        <v>44438</v>
      </c>
      <c r="D1348" s="1">
        <v>44440</v>
      </c>
      <c r="E1348">
        <v>1</v>
      </c>
      <c r="F1348" t="s">
        <v>1132</v>
      </c>
      <c r="G1348" t="str">
        <f>"23-K04-02"</f>
        <v>23-K04-02</v>
      </c>
      <c r="H1348">
        <v>0.38690000000000002</v>
      </c>
      <c r="J1348" t="s">
        <v>14</v>
      </c>
      <c r="K1348" t="str">
        <f t="shared" si="71"/>
        <v>3F1</v>
      </c>
      <c r="L1348" t="s">
        <v>15</v>
      </c>
    </row>
    <row r="1349" spans="1:12" x14ac:dyDescent="0.25">
      <c r="A1349" t="str">
        <f>"1951040256"</f>
        <v>1951040256</v>
      </c>
      <c r="B1349" t="str">
        <f t="shared" si="70"/>
        <v>89301000</v>
      </c>
      <c r="C1349" s="1">
        <v>44494</v>
      </c>
      <c r="D1349" s="1">
        <v>44496</v>
      </c>
      <c r="E1349">
        <v>1</v>
      </c>
      <c r="F1349" t="s">
        <v>151</v>
      </c>
      <c r="G1349" t="str">
        <f>"06-I16-05"</f>
        <v>06-I16-05</v>
      </c>
      <c r="H1349">
        <v>0.46139999999999998</v>
      </c>
      <c r="J1349" t="s">
        <v>24</v>
      </c>
      <c r="K1349" t="str">
        <f t="shared" si="71"/>
        <v>3F1</v>
      </c>
      <c r="L1349" t="s">
        <v>15</v>
      </c>
    </row>
    <row r="1350" spans="1:12" x14ac:dyDescent="0.25">
      <c r="A1350" t="str">
        <f>"1952050309"</f>
        <v>1952050309</v>
      </c>
      <c r="B1350" t="str">
        <f t="shared" si="70"/>
        <v>89301000</v>
      </c>
      <c r="C1350" s="1">
        <v>44353</v>
      </c>
      <c r="D1350" s="1">
        <v>44354</v>
      </c>
      <c r="E1350">
        <v>1</v>
      </c>
      <c r="F1350" t="s">
        <v>287</v>
      </c>
      <c r="G1350" t="str">
        <f>"01-K16-06"</f>
        <v>01-K16-06</v>
      </c>
      <c r="H1350">
        <v>0.26469999999999999</v>
      </c>
      <c r="I1350" t="s">
        <v>1133</v>
      </c>
      <c r="J1350" t="s">
        <v>14</v>
      </c>
      <c r="K1350" t="str">
        <f t="shared" si="71"/>
        <v>3F1</v>
      </c>
      <c r="L1350" t="s">
        <v>15</v>
      </c>
    </row>
    <row r="1351" spans="1:12" x14ac:dyDescent="0.25">
      <c r="A1351" t="str">
        <f>"1952251048"</f>
        <v>1952251048</v>
      </c>
      <c r="B1351" t="str">
        <f t="shared" si="70"/>
        <v>89301000</v>
      </c>
      <c r="C1351" s="1">
        <v>44391</v>
      </c>
      <c r="D1351" s="1">
        <v>44393</v>
      </c>
      <c r="E1351">
        <v>1</v>
      </c>
      <c r="F1351" t="s">
        <v>1040</v>
      </c>
      <c r="G1351" t="str">
        <f>"03-I19-03"</f>
        <v>03-I19-03</v>
      </c>
      <c r="H1351">
        <v>0.60699999999999998</v>
      </c>
      <c r="I1351" t="s">
        <v>1134</v>
      </c>
      <c r="J1351" t="s">
        <v>14</v>
      </c>
      <c r="K1351" t="str">
        <f t="shared" si="71"/>
        <v>3F1</v>
      </c>
      <c r="L1351" t="s">
        <v>15</v>
      </c>
    </row>
    <row r="1352" spans="1:12" x14ac:dyDescent="0.25">
      <c r="A1352" t="str">
        <f>"1952280286"</f>
        <v>1952280286</v>
      </c>
      <c r="B1352" t="str">
        <f t="shared" si="70"/>
        <v>89301000</v>
      </c>
      <c r="C1352" s="1">
        <v>44550</v>
      </c>
      <c r="D1352" s="1">
        <v>44551</v>
      </c>
      <c r="E1352">
        <v>1</v>
      </c>
      <c r="F1352" t="s">
        <v>1135</v>
      </c>
      <c r="G1352" t="str">
        <f>"21-K02-00"</f>
        <v>21-K02-00</v>
      </c>
      <c r="H1352">
        <v>0.376</v>
      </c>
      <c r="I1352" t="s">
        <v>1136</v>
      </c>
      <c r="J1352" t="s">
        <v>14</v>
      </c>
      <c r="K1352" t="str">
        <f t="shared" si="71"/>
        <v>3F1</v>
      </c>
      <c r="L1352" t="s">
        <v>15</v>
      </c>
    </row>
    <row r="1353" spans="1:12" x14ac:dyDescent="0.25">
      <c r="A1353" t="str">
        <f>"1953230037"</f>
        <v>1953230037</v>
      </c>
      <c r="B1353" t="str">
        <f t="shared" si="70"/>
        <v>89301000</v>
      </c>
      <c r="C1353" s="1">
        <v>44310</v>
      </c>
      <c r="D1353" s="1">
        <v>44311</v>
      </c>
      <c r="E1353">
        <v>1</v>
      </c>
      <c r="F1353" t="s">
        <v>1137</v>
      </c>
      <c r="G1353" t="str">
        <f>"06-M01-05"</f>
        <v>06-M01-05</v>
      </c>
      <c r="H1353">
        <v>0.41710000000000003</v>
      </c>
      <c r="I1353" t="s">
        <v>896</v>
      </c>
      <c r="J1353" t="s">
        <v>14</v>
      </c>
      <c r="K1353" t="str">
        <f t="shared" si="71"/>
        <v>3F1</v>
      </c>
      <c r="L1353" t="s">
        <v>15</v>
      </c>
    </row>
    <row r="1354" spans="1:12" x14ac:dyDescent="0.25">
      <c r="A1354" t="str">
        <f>"1953251080"</f>
        <v>1953251080</v>
      </c>
      <c r="B1354" t="str">
        <f t="shared" si="70"/>
        <v>89301000</v>
      </c>
      <c r="C1354" s="1">
        <v>44199</v>
      </c>
      <c r="D1354" s="1">
        <v>44201</v>
      </c>
      <c r="E1354">
        <v>1</v>
      </c>
      <c r="F1354" t="s">
        <v>1138</v>
      </c>
      <c r="G1354" t="str">
        <f>"02-K02-02"</f>
        <v>02-K02-02</v>
      </c>
      <c r="H1354">
        <v>0.55289999999999995</v>
      </c>
      <c r="J1354" t="s">
        <v>14</v>
      </c>
      <c r="K1354" t="str">
        <f t="shared" si="71"/>
        <v>3F1</v>
      </c>
      <c r="L1354" t="s">
        <v>15</v>
      </c>
    </row>
    <row r="1355" spans="1:12" x14ac:dyDescent="0.25">
      <c r="A1355" t="str">
        <f>"1953300074"</f>
        <v>1953300074</v>
      </c>
      <c r="B1355" t="str">
        <f t="shared" si="70"/>
        <v>89301000</v>
      </c>
      <c r="C1355" s="1">
        <v>44212</v>
      </c>
      <c r="D1355" s="1">
        <v>44214</v>
      </c>
      <c r="E1355">
        <v>1</v>
      </c>
      <c r="F1355" t="s">
        <v>966</v>
      </c>
      <c r="G1355" t="str">
        <f>"03-K02-03"</f>
        <v>03-K02-03</v>
      </c>
      <c r="H1355">
        <v>0.33960000000000001</v>
      </c>
      <c r="I1355" t="s">
        <v>168</v>
      </c>
      <c r="J1355" t="s">
        <v>14</v>
      </c>
      <c r="K1355" t="str">
        <f t="shared" si="71"/>
        <v>3F1</v>
      </c>
      <c r="L1355" t="s">
        <v>15</v>
      </c>
    </row>
    <row r="1356" spans="1:12" x14ac:dyDescent="0.25">
      <c r="A1356" t="str">
        <f>"1954031442"</f>
        <v>1954031442</v>
      </c>
      <c r="B1356" t="str">
        <f t="shared" si="70"/>
        <v>89301000</v>
      </c>
      <c r="C1356" s="1">
        <v>44511</v>
      </c>
      <c r="D1356" s="1">
        <v>44515</v>
      </c>
      <c r="E1356">
        <v>1</v>
      </c>
      <c r="F1356" t="s">
        <v>1003</v>
      </c>
      <c r="G1356" t="str">
        <f>"01-K18-04"</f>
        <v>01-K18-04</v>
      </c>
      <c r="H1356">
        <v>0.49890000000000001</v>
      </c>
      <c r="I1356" t="s">
        <v>1139</v>
      </c>
      <c r="J1356" t="s">
        <v>14</v>
      </c>
      <c r="K1356" t="str">
        <f t="shared" si="71"/>
        <v>3F1</v>
      </c>
      <c r="L1356" t="s">
        <v>15</v>
      </c>
    </row>
    <row r="1357" spans="1:12" x14ac:dyDescent="0.25">
      <c r="A1357" t="str">
        <f>"1954070140"</f>
        <v>1954070140</v>
      </c>
      <c r="B1357" t="str">
        <f t="shared" si="70"/>
        <v>89301000</v>
      </c>
      <c r="C1357" s="1">
        <v>44291</v>
      </c>
      <c r="D1357" s="1">
        <v>44294</v>
      </c>
      <c r="E1357">
        <v>1</v>
      </c>
      <c r="F1357" t="s">
        <v>134</v>
      </c>
      <c r="G1357" t="str">
        <f>"16-I04-01"</f>
        <v>16-I04-01</v>
      </c>
      <c r="H1357">
        <v>1.0085999999999999</v>
      </c>
      <c r="J1357" t="s">
        <v>17</v>
      </c>
      <c r="K1357" t="str">
        <f t="shared" si="71"/>
        <v>3F1</v>
      </c>
      <c r="L1357" t="s">
        <v>15</v>
      </c>
    </row>
    <row r="1358" spans="1:12" x14ac:dyDescent="0.25">
      <c r="A1358" t="str">
        <f>"1954110202"</f>
        <v>1954110202</v>
      </c>
      <c r="B1358" t="str">
        <f t="shared" si="70"/>
        <v>89301000</v>
      </c>
      <c r="C1358" s="1">
        <v>44510</v>
      </c>
      <c r="D1358" s="1">
        <v>44512</v>
      </c>
      <c r="E1358">
        <v>1</v>
      </c>
      <c r="F1358" t="s">
        <v>720</v>
      </c>
      <c r="G1358" t="str">
        <f>"06-K02-04"</f>
        <v>06-K02-04</v>
      </c>
      <c r="H1358">
        <v>0.3634</v>
      </c>
      <c r="I1358" t="s">
        <v>1140</v>
      </c>
      <c r="J1358" t="s">
        <v>14</v>
      </c>
      <c r="K1358" t="str">
        <f t="shared" si="71"/>
        <v>3F1</v>
      </c>
      <c r="L1358" t="s">
        <v>15</v>
      </c>
    </row>
    <row r="1359" spans="1:12" x14ac:dyDescent="0.25">
      <c r="A1359" t="str">
        <f>"1954121620"</f>
        <v>1954121620</v>
      </c>
      <c r="B1359" t="str">
        <f t="shared" si="70"/>
        <v>89301000</v>
      </c>
      <c r="C1359" s="1">
        <v>44251</v>
      </c>
      <c r="D1359" s="1">
        <v>44253</v>
      </c>
      <c r="E1359">
        <v>1</v>
      </c>
      <c r="F1359" t="s">
        <v>1141</v>
      </c>
      <c r="G1359" t="str">
        <f>"08-K03-03"</f>
        <v>08-K03-03</v>
      </c>
      <c r="H1359">
        <v>0.80700000000000005</v>
      </c>
      <c r="J1359" t="s">
        <v>14</v>
      </c>
      <c r="K1359" t="str">
        <f t="shared" si="71"/>
        <v>3F1</v>
      </c>
      <c r="L1359" t="s">
        <v>15</v>
      </c>
    </row>
    <row r="1360" spans="1:12" x14ac:dyDescent="0.25">
      <c r="A1360" t="str">
        <f>"1954160340"</f>
        <v>1954160340</v>
      </c>
      <c r="B1360" t="str">
        <f t="shared" si="70"/>
        <v>89301000</v>
      </c>
      <c r="C1360" s="1">
        <v>44466</v>
      </c>
      <c r="D1360" s="1">
        <v>44467</v>
      </c>
      <c r="E1360">
        <v>1</v>
      </c>
      <c r="F1360" t="s">
        <v>1142</v>
      </c>
      <c r="G1360" t="str">
        <f>"21-K05-03"</f>
        <v>21-K05-03</v>
      </c>
      <c r="H1360">
        <v>0.46750000000000003</v>
      </c>
      <c r="I1360" t="s">
        <v>1143</v>
      </c>
      <c r="J1360" t="s">
        <v>14</v>
      </c>
      <c r="K1360" t="str">
        <f t="shared" si="71"/>
        <v>3F1</v>
      </c>
      <c r="L1360" t="s">
        <v>15</v>
      </c>
    </row>
    <row r="1361" spans="1:12" x14ac:dyDescent="0.25">
      <c r="A1361" t="str">
        <f>"1954200787"</f>
        <v>1954200787</v>
      </c>
      <c r="B1361" t="str">
        <f t="shared" si="70"/>
        <v>89301000</v>
      </c>
      <c r="C1361" s="1">
        <v>44393</v>
      </c>
      <c r="D1361" s="1">
        <v>44396</v>
      </c>
      <c r="E1361">
        <v>1</v>
      </c>
      <c r="F1361" t="s">
        <v>1144</v>
      </c>
      <c r="G1361" t="str">
        <f>"09-I13-03"</f>
        <v>09-I13-03</v>
      </c>
      <c r="H1361">
        <v>0.77380000000000004</v>
      </c>
      <c r="I1361" t="s">
        <v>1145</v>
      </c>
      <c r="J1361" t="s">
        <v>14</v>
      </c>
      <c r="K1361" t="str">
        <f t="shared" si="71"/>
        <v>3F1</v>
      </c>
      <c r="L1361" t="s">
        <v>15</v>
      </c>
    </row>
    <row r="1362" spans="1:12" x14ac:dyDescent="0.25">
      <c r="A1362" t="str">
        <f>"1954240332"</f>
        <v>1954240332</v>
      </c>
      <c r="B1362" t="str">
        <f t="shared" si="70"/>
        <v>89301000</v>
      </c>
      <c r="C1362" s="1">
        <v>44265</v>
      </c>
      <c r="D1362" s="1">
        <v>44266</v>
      </c>
      <c r="E1362">
        <v>1</v>
      </c>
      <c r="F1362" t="s">
        <v>92</v>
      </c>
      <c r="G1362" t="str">
        <f>"05-K15-02"</f>
        <v>05-K15-02</v>
      </c>
      <c r="H1362">
        <v>0.47510000000000002</v>
      </c>
      <c r="I1362" t="s">
        <v>168</v>
      </c>
      <c r="J1362" t="s">
        <v>14</v>
      </c>
      <c r="K1362" t="str">
        <f t="shared" si="71"/>
        <v>3F1</v>
      </c>
      <c r="L1362" t="s">
        <v>15</v>
      </c>
    </row>
    <row r="1363" spans="1:12" x14ac:dyDescent="0.25">
      <c r="A1363" t="str">
        <f>"1954240332"</f>
        <v>1954240332</v>
      </c>
      <c r="B1363" t="str">
        <f t="shared" si="70"/>
        <v>89301000</v>
      </c>
      <c r="C1363" s="1">
        <v>44510</v>
      </c>
      <c r="D1363" s="1">
        <v>44512</v>
      </c>
      <c r="E1363">
        <v>1</v>
      </c>
      <c r="F1363" t="s">
        <v>924</v>
      </c>
      <c r="G1363" t="str">
        <f>"06-K02-04"</f>
        <v>06-K02-04</v>
      </c>
      <c r="H1363">
        <v>0.3634</v>
      </c>
      <c r="I1363" t="s">
        <v>530</v>
      </c>
      <c r="J1363" t="s">
        <v>14</v>
      </c>
      <c r="K1363" t="str">
        <f t="shared" si="71"/>
        <v>3F1</v>
      </c>
      <c r="L1363" t="s">
        <v>15</v>
      </c>
    </row>
    <row r="1364" spans="1:12" x14ac:dyDescent="0.25">
      <c r="A1364" t="str">
        <f>"1954240530"</f>
        <v>1954240530</v>
      </c>
      <c r="B1364" t="str">
        <f t="shared" si="70"/>
        <v>89301000</v>
      </c>
      <c r="C1364" s="1">
        <v>44270</v>
      </c>
      <c r="D1364" s="1">
        <v>44279</v>
      </c>
      <c r="E1364">
        <v>1</v>
      </c>
      <c r="F1364" t="s">
        <v>388</v>
      </c>
      <c r="G1364" t="str">
        <f>"08-C01-05"</f>
        <v>08-C01-05</v>
      </c>
      <c r="H1364">
        <v>1.1969000000000001</v>
      </c>
      <c r="I1364" t="s">
        <v>1146</v>
      </c>
      <c r="J1364" t="s">
        <v>14</v>
      </c>
      <c r="K1364" t="str">
        <f t="shared" si="71"/>
        <v>3F1</v>
      </c>
      <c r="L1364" t="s">
        <v>15</v>
      </c>
    </row>
    <row r="1365" spans="1:12" x14ac:dyDescent="0.25">
      <c r="A1365" t="str">
        <f>"1955080127"</f>
        <v>1955080127</v>
      </c>
      <c r="B1365" t="str">
        <f t="shared" si="70"/>
        <v>89301000</v>
      </c>
      <c r="C1365" s="1">
        <v>44380</v>
      </c>
      <c r="D1365" s="1">
        <v>44383</v>
      </c>
      <c r="E1365">
        <v>1</v>
      </c>
      <c r="F1365" t="s">
        <v>529</v>
      </c>
      <c r="G1365" t="str">
        <f>"06-K04-03"</f>
        <v>06-K04-03</v>
      </c>
      <c r="H1365">
        <v>0.38250000000000001</v>
      </c>
      <c r="I1365" t="s">
        <v>552</v>
      </c>
      <c r="J1365" t="s">
        <v>14</v>
      </c>
      <c r="K1365" t="str">
        <f t="shared" si="71"/>
        <v>3F1</v>
      </c>
      <c r="L1365" t="s">
        <v>15</v>
      </c>
    </row>
    <row r="1366" spans="1:12" x14ac:dyDescent="0.25">
      <c r="A1366" t="str">
        <f>"1955180139"</f>
        <v>1955180139</v>
      </c>
      <c r="B1366" t="str">
        <f t="shared" si="70"/>
        <v>89301000</v>
      </c>
      <c r="C1366" s="1">
        <v>44302</v>
      </c>
      <c r="D1366" s="1">
        <v>44304</v>
      </c>
      <c r="E1366">
        <v>1</v>
      </c>
      <c r="F1366" t="s">
        <v>957</v>
      </c>
      <c r="G1366" t="str">
        <f>"06-K02-04"</f>
        <v>06-K02-04</v>
      </c>
      <c r="H1366">
        <v>0.3634</v>
      </c>
      <c r="I1366" t="s">
        <v>552</v>
      </c>
      <c r="J1366" t="s">
        <v>14</v>
      </c>
      <c r="K1366" t="str">
        <f t="shared" si="71"/>
        <v>3F1</v>
      </c>
      <c r="L1366" t="s">
        <v>15</v>
      </c>
    </row>
    <row r="1367" spans="1:12" x14ac:dyDescent="0.25">
      <c r="A1367" t="str">
        <f>"1955200225"</f>
        <v>1955200225</v>
      </c>
      <c r="B1367" t="str">
        <f t="shared" si="70"/>
        <v>89301000</v>
      </c>
      <c r="C1367" s="1">
        <v>44222</v>
      </c>
      <c r="D1367" s="1">
        <v>44225</v>
      </c>
      <c r="E1367">
        <v>1</v>
      </c>
      <c r="F1367" t="s">
        <v>731</v>
      </c>
      <c r="G1367" t="str">
        <f>"06-K02-03"</f>
        <v>06-K02-03</v>
      </c>
      <c r="H1367">
        <v>0.47960000000000003</v>
      </c>
      <c r="I1367" t="s">
        <v>1147</v>
      </c>
      <c r="J1367" t="s">
        <v>14</v>
      </c>
      <c r="K1367" t="str">
        <f t="shared" si="71"/>
        <v>3F1</v>
      </c>
      <c r="L1367" t="s">
        <v>15</v>
      </c>
    </row>
    <row r="1368" spans="1:12" x14ac:dyDescent="0.25">
      <c r="A1368" t="str">
        <f>"1955250066"</f>
        <v>1955250066</v>
      </c>
      <c r="B1368" t="str">
        <f t="shared" si="70"/>
        <v>89301000</v>
      </c>
      <c r="C1368" s="1">
        <v>44268</v>
      </c>
      <c r="D1368" s="1">
        <v>44271</v>
      </c>
      <c r="E1368">
        <v>1</v>
      </c>
      <c r="F1368" t="s">
        <v>1148</v>
      </c>
      <c r="G1368" t="str">
        <f>"09-K01-04"</f>
        <v>09-K01-04</v>
      </c>
      <c r="H1368">
        <v>0.57820000000000005</v>
      </c>
      <c r="I1368" t="s">
        <v>1149</v>
      </c>
      <c r="J1368" t="s">
        <v>14</v>
      </c>
      <c r="K1368" t="str">
        <f t="shared" si="71"/>
        <v>3F1</v>
      </c>
      <c r="L1368" t="s">
        <v>15</v>
      </c>
    </row>
    <row r="1369" spans="1:12" x14ac:dyDescent="0.25">
      <c r="A1369" t="str">
        <f>"1956150075"</f>
        <v>1956150075</v>
      </c>
      <c r="B1369" t="str">
        <f t="shared" si="70"/>
        <v>89301000</v>
      </c>
      <c r="C1369" s="1">
        <v>44439</v>
      </c>
      <c r="D1369" s="1">
        <v>44441</v>
      </c>
      <c r="E1369">
        <v>1</v>
      </c>
      <c r="F1369" t="s">
        <v>724</v>
      </c>
      <c r="G1369" t="str">
        <f>"06-K10-03"</f>
        <v>06-K10-03</v>
      </c>
      <c r="H1369">
        <v>0.43880000000000002</v>
      </c>
      <c r="J1369" t="s">
        <v>14</v>
      </c>
      <c r="K1369" t="str">
        <f t="shared" si="71"/>
        <v>3F1</v>
      </c>
      <c r="L1369" t="s">
        <v>15</v>
      </c>
    </row>
    <row r="1370" spans="1:12" x14ac:dyDescent="0.25">
      <c r="A1370" t="str">
        <f>"1957040030"</f>
        <v>1957040030</v>
      </c>
      <c r="B1370" t="str">
        <f t="shared" si="70"/>
        <v>89301000</v>
      </c>
      <c r="C1370" s="1">
        <v>44194</v>
      </c>
      <c r="D1370" s="1">
        <v>44198</v>
      </c>
      <c r="E1370">
        <v>1</v>
      </c>
      <c r="F1370" t="s">
        <v>354</v>
      </c>
      <c r="G1370" t="str">
        <f>"10-K14-05"</f>
        <v>10-K14-05</v>
      </c>
      <c r="H1370">
        <v>0.34639999999999999</v>
      </c>
      <c r="I1370" t="s">
        <v>1037</v>
      </c>
      <c r="J1370" t="s">
        <v>14</v>
      </c>
      <c r="K1370" t="str">
        <f t="shared" si="71"/>
        <v>3F1</v>
      </c>
      <c r="L1370" t="s">
        <v>15</v>
      </c>
    </row>
    <row r="1371" spans="1:12" x14ac:dyDescent="0.25">
      <c r="A1371" t="str">
        <f>"1957100233"</f>
        <v>1957100233</v>
      </c>
      <c r="B1371" t="str">
        <f t="shared" si="70"/>
        <v>89301000</v>
      </c>
      <c r="C1371" s="1">
        <v>44319</v>
      </c>
      <c r="D1371" s="1">
        <v>44324</v>
      </c>
      <c r="E1371">
        <v>1</v>
      </c>
      <c r="F1371" t="s">
        <v>102</v>
      </c>
      <c r="G1371" t="str">
        <f>"03-K06-01"</f>
        <v>03-K06-01</v>
      </c>
      <c r="H1371">
        <v>0.4718</v>
      </c>
      <c r="I1371" t="s">
        <v>1150</v>
      </c>
      <c r="J1371" t="s">
        <v>14</v>
      </c>
      <c r="K1371" t="str">
        <f t="shared" si="71"/>
        <v>3F1</v>
      </c>
      <c r="L1371" t="s">
        <v>15</v>
      </c>
    </row>
    <row r="1372" spans="1:12" x14ac:dyDescent="0.25">
      <c r="A1372" t="str">
        <f>"1957110012"</f>
        <v>1957110012</v>
      </c>
      <c r="B1372" t="str">
        <f t="shared" si="70"/>
        <v>89301000</v>
      </c>
      <c r="C1372" s="1">
        <v>44484</v>
      </c>
      <c r="D1372" s="1">
        <v>44488</v>
      </c>
      <c r="E1372">
        <v>1</v>
      </c>
      <c r="F1372" t="s">
        <v>1003</v>
      </c>
      <c r="G1372" t="str">
        <f>"01-K18-02"</f>
        <v>01-K18-02</v>
      </c>
      <c r="H1372">
        <v>1.117</v>
      </c>
      <c r="I1372" t="s">
        <v>1151</v>
      </c>
      <c r="J1372" t="s">
        <v>14</v>
      </c>
      <c r="K1372" t="str">
        <f t="shared" si="71"/>
        <v>3F1</v>
      </c>
      <c r="L1372" t="s">
        <v>15</v>
      </c>
    </row>
    <row r="1373" spans="1:12" x14ac:dyDescent="0.25">
      <c r="A1373" t="str">
        <f>"1957110012"</f>
        <v>1957110012</v>
      </c>
      <c r="B1373" t="str">
        <f t="shared" si="70"/>
        <v>89301000</v>
      </c>
      <c r="C1373" s="1">
        <v>44382</v>
      </c>
      <c r="D1373" s="1">
        <v>44386</v>
      </c>
      <c r="E1373">
        <v>1</v>
      </c>
      <c r="F1373" t="s">
        <v>1152</v>
      </c>
      <c r="G1373" t="str">
        <f>"18-K02-05"</f>
        <v>18-K02-05</v>
      </c>
      <c r="H1373">
        <v>0.49220000000000003</v>
      </c>
      <c r="I1373" t="s">
        <v>1153</v>
      </c>
      <c r="J1373" t="s">
        <v>14</v>
      </c>
      <c r="K1373" t="str">
        <f t="shared" si="71"/>
        <v>3F1</v>
      </c>
      <c r="L1373" t="s">
        <v>15</v>
      </c>
    </row>
    <row r="1374" spans="1:12" x14ac:dyDescent="0.25">
      <c r="A1374" t="str">
        <f>"1958040095"</f>
        <v>1958040095</v>
      </c>
      <c r="B1374" t="str">
        <f t="shared" si="70"/>
        <v>89301000</v>
      </c>
      <c r="C1374" s="1">
        <v>44459</v>
      </c>
      <c r="D1374" s="1">
        <v>44460</v>
      </c>
      <c r="E1374">
        <v>6</v>
      </c>
      <c r="F1374" t="s">
        <v>817</v>
      </c>
      <c r="G1374" t="str">
        <f>"06-K02-04"</f>
        <v>06-K02-04</v>
      </c>
      <c r="H1374">
        <v>0.3634</v>
      </c>
      <c r="I1374" t="s">
        <v>168</v>
      </c>
      <c r="J1374" t="s">
        <v>14</v>
      </c>
      <c r="K1374" t="str">
        <f t="shared" ref="K1374:K1404" si="72">"3F1"</f>
        <v>3F1</v>
      </c>
      <c r="L1374" t="s">
        <v>15</v>
      </c>
    </row>
    <row r="1375" spans="1:12" x14ac:dyDescent="0.25">
      <c r="A1375" t="str">
        <f>"1958110154"</f>
        <v>1958110154</v>
      </c>
      <c r="B1375" t="str">
        <f t="shared" si="70"/>
        <v>89301000</v>
      </c>
      <c r="C1375" s="1">
        <v>44217</v>
      </c>
      <c r="D1375" s="1">
        <v>44221</v>
      </c>
      <c r="E1375">
        <v>1</v>
      </c>
      <c r="F1375" t="s">
        <v>96</v>
      </c>
      <c r="G1375" t="str">
        <f>"11-K01-03"</f>
        <v>11-K01-03</v>
      </c>
      <c r="H1375">
        <v>0.59489999999999998</v>
      </c>
      <c r="I1375" t="s">
        <v>1073</v>
      </c>
      <c r="J1375" t="s">
        <v>14</v>
      </c>
      <c r="K1375" t="str">
        <f t="shared" si="72"/>
        <v>3F1</v>
      </c>
      <c r="L1375" t="s">
        <v>15</v>
      </c>
    </row>
    <row r="1376" spans="1:12" x14ac:dyDescent="0.25">
      <c r="A1376" t="str">
        <f>"1958110154"</f>
        <v>1958110154</v>
      </c>
      <c r="B1376" t="str">
        <f t="shared" si="70"/>
        <v>89301000</v>
      </c>
      <c r="C1376" s="1">
        <v>44361</v>
      </c>
      <c r="D1376" s="1">
        <v>44364</v>
      </c>
      <c r="E1376">
        <v>1</v>
      </c>
      <c r="F1376" t="s">
        <v>46</v>
      </c>
      <c r="G1376" t="str">
        <f>"06-K02-03"</f>
        <v>06-K02-03</v>
      </c>
      <c r="H1376">
        <v>0.47960000000000003</v>
      </c>
      <c r="I1376" t="s">
        <v>530</v>
      </c>
      <c r="J1376" t="s">
        <v>14</v>
      </c>
      <c r="K1376" t="str">
        <f t="shared" si="72"/>
        <v>3F1</v>
      </c>
      <c r="L1376" t="s">
        <v>15</v>
      </c>
    </row>
    <row r="1377" spans="1:12" x14ac:dyDescent="0.25">
      <c r="A1377" t="str">
        <f>"1958160545"</f>
        <v>1958160545</v>
      </c>
      <c r="B1377" t="str">
        <f t="shared" si="70"/>
        <v>89301000</v>
      </c>
      <c r="C1377" s="1">
        <v>44364</v>
      </c>
      <c r="D1377" s="1">
        <v>44367</v>
      </c>
      <c r="E1377">
        <v>1</v>
      </c>
      <c r="F1377" t="s">
        <v>447</v>
      </c>
      <c r="G1377" t="str">
        <f>"11-I17-03"</f>
        <v>11-I17-03</v>
      </c>
      <c r="H1377">
        <v>0.50609999999999999</v>
      </c>
      <c r="I1377" t="s">
        <v>751</v>
      </c>
      <c r="J1377" t="s">
        <v>14</v>
      </c>
      <c r="K1377" t="str">
        <f t="shared" si="72"/>
        <v>3F1</v>
      </c>
      <c r="L1377" t="s">
        <v>15</v>
      </c>
    </row>
    <row r="1378" spans="1:12" x14ac:dyDescent="0.25">
      <c r="A1378" t="str">
        <f>"1958160545"</f>
        <v>1958160545</v>
      </c>
      <c r="B1378" t="str">
        <f t="shared" si="70"/>
        <v>89301000</v>
      </c>
      <c r="C1378" s="1">
        <v>44444</v>
      </c>
      <c r="D1378" s="1">
        <v>44445</v>
      </c>
      <c r="E1378">
        <v>1</v>
      </c>
      <c r="F1378" t="s">
        <v>966</v>
      </c>
      <c r="G1378" t="str">
        <f>"03-K02-03"</f>
        <v>03-K02-03</v>
      </c>
      <c r="H1378">
        <v>0.33960000000000001</v>
      </c>
      <c r="I1378" t="s">
        <v>168</v>
      </c>
      <c r="J1378" t="s">
        <v>14</v>
      </c>
      <c r="K1378" t="str">
        <f t="shared" si="72"/>
        <v>3F1</v>
      </c>
      <c r="L1378" t="s">
        <v>15</v>
      </c>
    </row>
    <row r="1379" spans="1:12" x14ac:dyDescent="0.25">
      <c r="A1379" t="str">
        <f>"1958160545"</f>
        <v>1958160545</v>
      </c>
      <c r="B1379" t="str">
        <f t="shared" si="70"/>
        <v>89301000</v>
      </c>
      <c r="C1379" s="1">
        <v>44480</v>
      </c>
      <c r="D1379" s="1">
        <v>44494</v>
      </c>
      <c r="E1379">
        <v>1</v>
      </c>
      <c r="F1379" t="s">
        <v>751</v>
      </c>
      <c r="G1379" t="str">
        <f>"11-I10-03"</f>
        <v>11-I10-03</v>
      </c>
      <c r="H1379">
        <v>2.3313999999999999</v>
      </c>
      <c r="I1379" t="s">
        <v>1061</v>
      </c>
      <c r="J1379" t="s">
        <v>17</v>
      </c>
      <c r="K1379" t="str">
        <f t="shared" si="72"/>
        <v>3F1</v>
      </c>
      <c r="L1379" t="s">
        <v>15</v>
      </c>
    </row>
    <row r="1380" spans="1:12" x14ac:dyDescent="0.25">
      <c r="A1380" t="str">
        <f>"1958160545"</f>
        <v>1958160545</v>
      </c>
      <c r="B1380" t="str">
        <f t="shared" si="70"/>
        <v>89301000</v>
      </c>
      <c r="C1380" s="1">
        <v>44272</v>
      </c>
      <c r="D1380" s="1">
        <v>44283</v>
      </c>
      <c r="E1380">
        <v>1</v>
      </c>
      <c r="F1380" t="s">
        <v>96</v>
      </c>
      <c r="G1380" t="str">
        <f>"11-K01-03"</f>
        <v>11-K01-03</v>
      </c>
      <c r="H1380">
        <v>0.59489999999999998</v>
      </c>
      <c r="I1380" t="s">
        <v>1154</v>
      </c>
      <c r="J1380" t="s">
        <v>14</v>
      </c>
      <c r="K1380" t="str">
        <f t="shared" si="72"/>
        <v>3F1</v>
      </c>
      <c r="L1380" t="s">
        <v>15</v>
      </c>
    </row>
    <row r="1381" spans="1:12" x14ac:dyDescent="0.25">
      <c r="A1381" t="str">
        <f>"1958160545"</f>
        <v>1958160545</v>
      </c>
      <c r="B1381" t="str">
        <f t="shared" si="70"/>
        <v>89301000</v>
      </c>
      <c r="C1381" s="1">
        <v>44212</v>
      </c>
      <c r="D1381" s="1">
        <v>44215</v>
      </c>
      <c r="E1381">
        <v>1</v>
      </c>
      <c r="F1381" t="s">
        <v>96</v>
      </c>
      <c r="G1381" t="str">
        <f>"11-K01-03"</f>
        <v>11-K01-03</v>
      </c>
      <c r="H1381">
        <v>0.59489999999999998</v>
      </c>
      <c r="I1381" t="s">
        <v>1155</v>
      </c>
      <c r="J1381" t="s">
        <v>14</v>
      </c>
      <c r="K1381" t="str">
        <f t="shared" si="72"/>
        <v>3F1</v>
      </c>
      <c r="L1381" t="s">
        <v>15</v>
      </c>
    </row>
    <row r="1382" spans="1:12" x14ac:dyDescent="0.25">
      <c r="A1382" t="str">
        <f>"1958260150"</f>
        <v>1958260150</v>
      </c>
      <c r="B1382" t="str">
        <f t="shared" si="70"/>
        <v>89301000</v>
      </c>
      <c r="C1382" s="1">
        <v>44486</v>
      </c>
      <c r="D1382" s="1">
        <v>44488</v>
      </c>
      <c r="E1382">
        <v>1</v>
      </c>
      <c r="F1382" t="s">
        <v>1156</v>
      </c>
      <c r="G1382" t="str">
        <f>"03-I15-00"</f>
        <v>03-I15-00</v>
      </c>
      <c r="H1382">
        <v>0.97689999999999999</v>
      </c>
      <c r="J1382" t="s">
        <v>24</v>
      </c>
      <c r="K1382" t="str">
        <f t="shared" si="72"/>
        <v>3F1</v>
      </c>
      <c r="L1382" t="s">
        <v>15</v>
      </c>
    </row>
    <row r="1383" spans="1:12" x14ac:dyDescent="0.25">
      <c r="A1383" t="str">
        <f>"1958280489"</f>
        <v>1958280489</v>
      </c>
      <c r="B1383" t="str">
        <f t="shared" si="70"/>
        <v>89301000</v>
      </c>
      <c r="C1383" s="1">
        <v>44280</v>
      </c>
      <c r="D1383" s="1">
        <v>44282</v>
      </c>
      <c r="E1383">
        <v>1</v>
      </c>
      <c r="F1383" t="s">
        <v>287</v>
      </c>
      <c r="G1383" t="str">
        <f>"01-K16-06"</f>
        <v>01-K16-06</v>
      </c>
      <c r="H1383">
        <v>0.26469999999999999</v>
      </c>
      <c r="I1383" t="s">
        <v>455</v>
      </c>
      <c r="J1383" t="s">
        <v>14</v>
      </c>
      <c r="K1383" t="str">
        <f t="shared" si="72"/>
        <v>3F1</v>
      </c>
      <c r="L1383" t="s">
        <v>15</v>
      </c>
    </row>
    <row r="1384" spans="1:12" x14ac:dyDescent="0.25">
      <c r="A1384" t="str">
        <f>"1959060070"</f>
        <v>1959060070</v>
      </c>
      <c r="B1384" t="str">
        <f t="shared" si="70"/>
        <v>89301000</v>
      </c>
      <c r="C1384" s="1">
        <v>44515</v>
      </c>
      <c r="D1384" s="1">
        <v>44553</v>
      </c>
      <c r="E1384">
        <v>1</v>
      </c>
      <c r="F1384" t="s">
        <v>1157</v>
      </c>
      <c r="G1384" t="str">
        <f>"17-K07-01"</f>
        <v>17-K07-01</v>
      </c>
      <c r="H1384">
        <v>5.5936000000000003</v>
      </c>
      <c r="I1384" t="s">
        <v>1158</v>
      </c>
      <c r="J1384" t="s">
        <v>14</v>
      </c>
      <c r="K1384" t="str">
        <f t="shared" si="72"/>
        <v>3F1</v>
      </c>
      <c r="L1384" t="s">
        <v>15</v>
      </c>
    </row>
    <row r="1385" spans="1:12" x14ac:dyDescent="0.25">
      <c r="A1385" t="str">
        <f>"1959111715"</f>
        <v>1959111715</v>
      </c>
      <c r="B1385" t="str">
        <f t="shared" si="70"/>
        <v>89301000</v>
      </c>
      <c r="C1385" s="1">
        <v>44196</v>
      </c>
      <c r="D1385" s="1">
        <v>44198</v>
      </c>
      <c r="E1385">
        <v>1</v>
      </c>
      <c r="F1385" t="s">
        <v>354</v>
      </c>
      <c r="G1385" t="str">
        <f>"10-K14-05"</f>
        <v>10-K14-05</v>
      </c>
      <c r="H1385">
        <v>0.34639999999999999</v>
      </c>
      <c r="I1385" t="s">
        <v>1091</v>
      </c>
      <c r="J1385" t="s">
        <v>14</v>
      </c>
      <c r="K1385" t="str">
        <f t="shared" si="72"/>
        <v>3F1</v>
      </c>
      <c r="L1385" t="s">
        <v>15</v>
      </c>
    </row>
    <row r="1386" spans="1:12" x14ac:dyDescent="0.25">
      <c r="A1386" t="str">
        <f>"1959150402"</f>
        <v>1959150402</v>
      </c>
      <c r="B1386" t="str">
        <f t="shared" si="70"/>
        <v>89301000</v>
      </c>
      <c r="C1386" s="1">
        <v>44530</v>
      </c>
      <c r="D1386" s="1">
        <v>44532</v>
      </c>
      <c r="E1386">
        <v>1</v>
      </c>
      <c r="F1386" t="s">
        <v>173</v>
      </c>
      <c r="G1386" t="str">
        <f>"08-I32-02"</f>
        <v>08-I32-02</v>
      </c>
      <c r="H1386">
        <v>0.4143</v>
      </c>
      <c r="I1386" t="s">
        <v>1159</v>
      </c>
      <c r="J1386" t="s">
        <v>14</v>
      </c>
      <c r="K1386" t="str">
        <f t="shared" si="72"/>
        <v>3F1</v>
      </c>
      <c r="L1386" t="s">
        <v>15</v>
      </c>
    </row>
    <row r="1387" spans="1:12" x14ac:dyDescent="0.25">
      <c r="A1387" t="str">
        <f>"1959290179"</f>
        <v>1959290179</v>
      </c>
      <c r="B1387" t="str">
        <f t="shared" si="70"/>
        <v>89301000</v>
      </c>
      <c r="C1387" s="1">
        <v>44277</v>
      </c>
      <c r="D1387" s="1">
        <v>44292</v>
      </c>
      <c r="E1387">
        <v>6</v>
      </c>
      <c r="F1387" t="s">
        <v>1160</v>
      </c>
      <c r="G1387" t="str">
        <f>"09-I13-02"</f>
        <v>09-I13-02</v>
      </c>
      <c r="H1387">
        <v>1.3832</v>
      </c>
      <c r="I1387" t="s">
        <v>1161</v>
      </c>
      <c r="J1387" t="s">
        <v>14</v>
      </c>
      <c r="K1387" t="str">
        <f t="shared" si="72"/>
        <v>3F1</v>
      </c>
      <c r="L1387" t="s">
        <v>15</v>
      </c>
    </row>
    <row r="1388" spans="1:12" x14ac:dyDescent="0.25">
      <c r="A1388" t="str">
        <f>"1960080353"</f>
        <v>1960080353</v>
      </c>
      <c r="B1388" t="str">
        <f t="shared" si="70"/>
        <v>89301000</v>
      </c>
      <c r="C1388" s="1">
        <v>44229</v>
      </c>
      <c r="D1388" s="1">
        <v>44230</v>
      </c>
      <c r="E1388">
        <v>1</v>
      </c>
      <c r="F1388" t="s">
        <v>1162</v>
      </c>
      <c r="G1388" t="str">
        <f>"03-K11-00"</f>
        <v>03-K11-00</v>
      </c>
      <c r="H1388">
        <v>0.43830000000000002</v>
      </c>
      <c r="I1388" t="s">
        <v>1163</v>
      </c>
      <c r="J1388" t="s">
        <v>14</v>
      </c>
      <c r="K1388" t="str">
        <f t="shared" si="72"/>
        <v>3F1</v>
      </c>
      <c r="L1388" t="s">
        <v>15</v>
      </c>
    </row>
    <row r="1389" spans="1:12" x14ac:dyDescent="0.25">
      <c r="A1389" t="str">
        <f>"1960181157"</f>
        <v>1960181157</v>
      </c>
      <c r="B1389" t="str">
        <f t="shared" si="70"/>
        <v>89301000</v>
      </c>
      <c r="C1389" s="1">
        <v>44498</v>
      </c>
      <c r="D1389" s="1">
        <v>44501</v>
      </c>
      <c r="E1389">
        <v>1</v>
      </c>
      <c r="F1389" t="s">
        <v>1164</v>
      </c>
      <c r="G1389" t="str">
        <f>"01-K03-07"</f>
        <v>01-K03-07</v>
      </c>
      <c r="H1389">
        <v>0.60250000000000004</v>
      </c>
      <c r="I1389" t="s">
        <v>1165</v>
      </c>
      <c r="J1389" t="s">
        <v>14</v>
      </c>
      <c r="K1389" t="str">
        <f t="shared" si="72"/>
        <v>3F1</v>
      </c>
      <c r="L1389" t="s">
        <v>15</v>
      </c>
    </row>
    <row r="1390" spans="1:12" x14ac:dyDescent="0.25">
      <c r="A1390" t="str">
        <f>"1960240689"</f>
        <v>1960240689</v>
      </c>
      <c r="B1390" t="str">
        <f t="shared" si="70"/>
        <v>89301000</v>
      </c>
      <c r="C1390" s="1">
        <v>44303</v>
      </c>
      <c r="D1390" s="1">
        <v>44308</v>
      </c>
      <c r="E1390">
        <v>1</v>
      </c>
      <c r="F1390" t="s">
        <v>1166</v>
      </c>
      <c r="G1390" t="str">
        <f>"09-K04-02"</f>
        <v>09-K04-02</v>
      </c>
      <c r="H1390">
        <v>0.68279999999999996</v>
      </c>
      <c r="I1390" t="s">
        <v>1167</v>
      </c>
      <c r="J1390" t="s">
        <v>14</v>
      </c>
      <c r="K1390" t="str">
        <f t="shared" si="72"/>
        <v>3F1</v>
      </c>
      <c r="L1390" t="s">
        <v>15</v>
      </c>
    </row>
    <row r="1391" spans="1:12" x14ac:dyDescent="0.25">
      <c r="A1391" t="str">
        <f>"1961060596"</f>
        <v>1961060596</v>
      </c>
      <c r="B1391" t="str">
        <f t="shared" si="70"/>
        <v>89301000</v>
      </c>
      <c r="C1391" s="1">
        <v>44430</v>
      </c>
      <c r="D1391" s="1">
        <v>44431</v>
      </c>
      <c r="E1391">
        <v>1</v>
      </c>
      <c r="F1391" t="s">
        <v>646</v>
      </c>
      <c r="G1391" t="str">
        <f>"06-M01-05"</f>
        <v>06-M01-05</v>
      </c>
      <c r="H1391">
        <v>0.42559999999999998</v>
      </c>
      <c r="I1391" t="s">
        <v>1070</v>
      </c>
      <c r="J1391" t="s">
        <v>14</v>
      </c>
      <c r="K1391" t="str">
        <f t="shared" si="72"/>
        <v>3F1</v>
      </c>
      <c r="L1391" t="s">
        <v>15</v>
      </c>
    </row>
    <row r="1392" spans="1:12" x14ac:dyDescent="0.25">
      <c r="A1392" t="str">
        <f>"1961230942"</f>
        <v>1961230942</v>
      </c>
      <c r="B1392" t="str">
        <f t="shared" si="70"/>
        <v>89301000</v>
      </c>
      <c r="C1392" s="1">
        <v>44455</v>
      </c>
      <c r="D1392" s="1">
        <v>44458</v>
      </c>
      <c r="E1392">
        <v>1</v>
      </c>
      <c r="F1392" t="s">
        <v>751</v>
      </c>
      <c r="G1392" t="str">
        <f>"11-K11-00"</f>
        <v>11-K11-00</v>
      </c>
      <c r="H1392">
        <v>0.52710000000000001</v>
      </c>
      <c r="J1392" t="s">
        <v>14</v>
      </c>
      <c r="K1392" t="str">
        <f t="shared" si="72"/>
        <v>3F1</v>
      </c>
      <c r="L1392" t="s">
        <v>15</v>
      </c>
    </row>
    <row r="1393" spans="1:12" x14ac:dyDescent="0.25">
      <c r="A1393" t="str">
        <f>"1962091428"</f>
        <v>1962091428</v>
      </c>
      <c r="B1393" t="str">
        <f t="shared" si="70"/>
        <v>89301000</v>
      </c>
      <c r="C1393" s="1">
        <v>44536</v>
      </c>
      <c r="D1393" s="1">
        <v>44538</v>
      </c>
      <c r="E1393">
        <v>1</v>
      </c>
      <c r="F1393" t="s">
        <v>1168</v>
      </c>
      <c r="G1393" t="str">
        <f>"09-K13-02"</f>
        <v>09-K13-02</v>
      </c>
      <c r="H1393">
        <v>0.3014</v>
      </c>
      <c r="I1393" t="s">
        <v>1169</v>
      </c>
      <c r="J1393" t="s">
        <v>14</v>
      </c>
      <c r="K1393" t="str">
        <f t="shared" si="72"/>
        <v>3F1</v>
      </c>
      <c r="L1393" t="s">
        <v>15</v>
      </c>
    </row>
    <row r="1394" spans="1:12" x14ac:dyDescent="0.25">
      <c r="A1394" t="str">
        <f>"1962190824"</f>
        <v>1962190824</v>
      </c>
      <c r="B1394" t="str">
        <f t="shared" si="70"/>
        <v>89301000</v>
      </c>
      <c r="C1394" s="1">
        <v>44221</v>
      </c>
      <c r="D1394" s="1">
        <v>44232</v>
      </c>
      <c r="E1394">
        <v>1</v>
      </c>
      <c r="F1394" t="s">
        <v>1170</v>
      </c>
      <c r="G1394" t="str">
        <f>"11-I10-03"</f>
        <v>11-I10-03</v>
      </c>
      <c r="H1394">
        <v>2.3313999999999999</v>
      </c>
      <c r="J1394" t="s">
        <v>17</v>
      </c>
      <c r="K1394" t="str">
        <f t="shared" si="72"/>
        <v>3F1</v>
      </c>
      <c r="L1394" t="s">
        <v>15</v>
      </c>
    </row>
    <row r="1395" spans="1:12" x14ac:dyDescent="0.25">
      <c r="A1395" t="str">
        <f>"1962200713"</f>
        <v>1962200713</v>
      </c>
      <c r="B1395" t="str">
        <f t="shared" si="70"/>
        <v>89301000</v>
      </c>
      <c r="C1395" s="1">
        <v>44452</v>
      </c>
      <c r="D1395" s="1">
        <v>44455</v>
      </c>
      <c r="E1395">
        <v>1</v>
      </c>
      <c r="F1395" t="s">
        <v>96</v>
      </c>
      <c r="G1395" t="str">
        <f>"11-K01-03"</f>
        <v>11-K01-03</v>
      </c>
      <c r="H1395">
        <v>0.59489999999999998</v>
      </c>
      <c r="I1395" t="s">
        <v>356</v>
      </c>
      <c r="J1395" t="s">
        <v>14</v>
      </c>
      <c r="K1395" t="str">
        <f t="shared" si="72"/>
        <v>3F1</v>
      </c>
      <c r="L1395" t="s">
        <v>15</v>
      </c>
    </row>
    <row r="1396" spans="1:12" x14ac:dyDescent="0.25">
      <c r="A1396" t="str">
        <f>"1962240137"</f>
        <v>1962240137</v>
      </c>
      <c r="B1396" t="str">
        <f t="shared" ref="B1396:B1459" si="73">"89301000"</f>
        <v>89301000</v>
      </c>
      <c r="C1396" s="1">
        <v>44296</v>
      </c>
      <c r="D1396" s="1">
        <v>44298</v>
      </c>
      <c r="E1396">
        <v>1</v>
      </c>
      <c r="F1396" t="s">
        <v>461</v>
      </c>
      <c r="G1396" t="str">
        <f>"03-K06-01"</f>
        <v>03-K06-01</v>
      </c>
      <c r="H1396">
        <v>0.4718</v>
      </c>
      <c r="J1396" t="s">
        <v>14</v>
      </c>
      <c r="K1396" t="str">
        <f t="shared" si="72"/>
        <v>3F1</v>
      </c>
      <c r="L1396" t="s">
        <v>15</v>
      </c>
    </row>
    <row r="1397" spans="1:12" x14ac:dyDescent="0.25">
      <c r="A1397" t="str">
        <f>"2001090850"</f>
        <v>2001090850</v>
      </c>
      <c r="B1397" t="str">
        <f t="shared" si="73"/>
        <v>89301000</v>
      </c>
      <c r="C1397" s="1">
        <v>44267</v>
      </c>
      <c r="D1397" s="1">
        <v>44270</v>
      </c>
      <c r="E1397">
        <v>1</v>
      </c>
      <c r="F1397" t="s">
        <v>1003</v>
      </c>
      <c r="G1397" t="str">
        <f>"01-K18-04"</f>
        <v>01-K18-04</v>
      </c>
      <c r="H1397">
        <v>0.49890000000000001</v>
      </c>
      <c r="I1397" t="s">
        <v>1171</v>
      </c>
      <c r="J1397" t="s">
        <v>14</v>
      </c>
      <c r="K1397" t="str">
        <f t="shared" si="72"/>
        <v>3F1</v>
      </c>
      <c r="L1397" t="s">
        <v>15</v>
      </c>
    </row>
    <row r="1398" spans="1:12" x14ac:dyDescent="0.25">
      <c r="A1398" t="str">
        <f>"2001150030"</f>
        <v>2001150030</v>
      </c>
      <c r="B1398" t="str">
        <f t="shared" si="73"/>
        <v>89301000</v>
      </c>
      <c r="C1398" s="1">
        <v>44517</v>
      </c>
      <c r="D1398" s="1">
        <v>44519</v>
      </c>
      <c r="E1398">
        <v>1</v>
      </c>
      <c r="F1398" t="s">
        <v>151</v>
      </c>
      <c r="G1398" t="str">
        <f>"06-I16-05"</f>
        <v>06-I16-05</v>
      </c>
      <c r="H1398">
        <v>0.46139999999999998</v>
      </c>
      <c r="J1398" t="s">
        <v>24</v>
      </c>
      <c r="K1398" t="str">
        <f t="shared" si="72"/>
        <v>3F1</v>
      </c>
      <c r="L1398" t="s">
        <v>15</v>
      </c>
    </row>
    <row r="1399" spans="1:12" x14ac:dyDescent="0.25">
      <c r="A1399" t="str">
        <f>"2001151394"</f>
        <v>2001151394</v>
      </c>
      <c r="B1399" t="str">
        <f t="shared" si="73"/>
        <v>89301000</v>
      </c>
      <c r="C1399" s="1">
        <v>44378</v>
      </c>
      <c r="D1399" s="1">
        <v>44380</v>
      </c>
      <c r="E1399">
        <v>1</v>
      </c>
      <c r="F1399" t="s">
        <v>751</v>
      </c>
      <c r="G1399" t="str">
        <f>"11-K11-00"</f>
        <v>11-K11-00</v>
      </c>
      <c r="H1399">
        <v>0.52710000000000001</v>
      </c>
      <c r="I1399" t="s">
        <v>1172</v>
      </c>
      <c r="J1399" t="s">
        <v>14</v>
      </c>
      <c r="K1399" t="str">
        <f t="shared" si="72"/>
        <v>3F1</v>
      </c>
      <c r="L1399" t="s">
        <v>15</v>
      </c>
    </row>
    <row r="1400" spans="1:12" x14ac:dyDescent="0.25">
      <c r="A1400" t="str">
        <f>"2001170006"</f>
        <v>2001170006</v>
      </c>
      <c r="B1400" t="str">
        <f t="shared" si="73"/>
        <v>89301000</v>
      </c>
      <c r="C1400" s="1">
        <v>44384</v>
      </c>
      <c r="D1400" s="1">
        <v>44386</v>
      </c>
      <c r="E1400">
        <v>1</v>
      </c>
      <c r="F1400" t="s">
        <v>644</v>
      </c>
      <c r="G1400" t="str">
        <f>"12-I10-02"</f>
        <v>12-I10-02</v>
      </c>
      <c r="H1400">
        <v>0.57379999999999998</v>
      </c>
      <c r="J1400" t="s">
        <v>24</v>
      </c>
      <c r="K1400" t="str">
        <f t="shared" si="72"/>
        <v>3F1</v>
      </c>
      <c r="L1400" t="s">
        <v>15</v>
      </c>
    </row>
    <row r="1401" spans="1:12" x14ac:dyDescent="0.25">
      <c r="A1401" t="str">
        <f>"2001210420"</f>
        <v>2001210420</v>
      </c>
      <c r="B1401" t="str">
        <f t="shared" si="73"/>
        <v>89301000</v>
      </c>
      <c r="C1401" s="1">
        <v>44408</v>
      </c>
      <c r="D1401" s="1">
        <v>44410</v>
      </c>
      <c r="E1401">
        <v>1</v>
      </c>
      <c r="F1401" t="s">
        <v>724</v>
      </c>
      <c r="G1401" t="str">
        <f>"06-K10-03"</f>
        <v>06-K10-03</v>
      </c>
      <c r="H1401">
        <v>0.43880000000000002</v>
      </c>
      <c r="J1401" t="s">
        <v>14</v>
      </c>
      <c r="K1401" t="str">
        <f t="shared" si="72"/>
        <v>3F1</v>
      </c>
      <c r="L1401" t="s">
        <v>15</v>
      </c>
    </row>
    <row r="1402" spans="1:12" x14ac:dyDescent="0.25">
      <c r="A1402" t="str">
        <f>"2001220287"</f>
        <v>2001220287</v>
      </c>
      <c r="B1402" t="str">
        <f t="shared" si="73"/>
        <v>89301000</v>
      </c>
      <c r="C1402" s="1">
        <v>44242</v>
      </c>
      <c r="D1402" s="1">
        <v>44264</v>
      </c>
      <c r="E1402">
        <v>1</v>
      </c>
      <c r="F1402" t="s">
        <v>1170</v>
      </c>
      <c r="G1402" t="str">
        <f>"11-I10-03"</f>
        <v>11-I10-03</v>
      </c>
      <c r="H1402">
        <v>3.4380999999999999</v>
      </c>
      <c r="I1402" t="s">
        <v>1173</v>
      </c>
      <c r="J1402" t="s">
        <v>17</v>
      </c>
      <c r="K1402" t="str">
        <f t="shared" si="72"/>
        <v>3F1</v>
      </c>
      <c r="L1402" t="s">
        <v>15</v>
      </c>
    </row>
    <row r="1403" spans="1:12" x14ac:dyDescent="0.25">
      <c r="A1403" t="str">
        <f>"2001220287"</f>
        <v>2001220287</v>
      </c>
      <c r="B1403" t="str">
        <f t="shared" si="73"/>
        <v>89301000</v>
      </c>
      <c r="C1403" s="1">
        <v>44473</v>
      </c>
      <c r="D1403" s="1">
        <v>44485</v>
      </c>
      <c r="E1403">
        <v>1</v>
      </c>
      <c r="F1403" t="s">
        <v>18</v>
      </c>
      <c r="G1403" t="str">
        <f>"11-I10-03"</f>
        <v>11-I10-03</v>
      </c>
      <c r="H1403">
        <v>2.3313999999999999</v>
      </c>
      <c r="I1403" t="s">
        <v>1174</v>
      </c>
      <c r="J1403" t="s">
        <v>17</v>
      </c>
      <c r="K1403" t="str">
        <f t="shared" si="72"/>
        <v>3F1</v>
      </c>
      <c r="L1403" t="s">
        <v>15</v>
      </c>
    </row>
    <row r="1404" spans="1:12" x14ac:dyDescent="0.25">
      <c r="A1404" t="str">
        <f>"2001220287"</f>
        <v>2001220287</v>
      </c>
      <c r="B1404" t="str">
        <f t="shared" si="73"/>
        <v>89301000</v>
      </c>
      <c r="C1404" s="1">
        <v>44200</v>
      </c>
      <c r="D1404" s="1">
        <v>44207</v>
      </c>
      <c r="E1404">
        <v>1</v>
      </c>
      <c r="F1404" t="s">
        <v>448</v>
      </c>
      <c r="G1404" t="str">
        <f>"11-K01-02"</f>
        <v>11-K01-02</v>
      </c>
      <c r="H1404">
        <v>0.82289999999999996</v>
      </c>
      <c r="I1404" t="s">
        <v>1175</v>
      </c>
      <c r="J1404" t="s">
        <v>14</v>
      </c>
      <c r="K1404" t="str">
        <f t="shared" si="72"/>
        <v>3F1</v>
      </c>
      <c r="L1404" t="s">
        <v>15</v>
      </c>
    </row>
    <row r="1405" spans="1:12" x14ac:dyDescent="0.25">
      <c r="A1405" t="str">
        <f>"2001220287"</f>
        <v>2001220287</v>
      </c>
      <c r="B1405" t="str">
        <f t="shared" si="73"/>
        <v>89301000</v>
      </c>
      <c r="C1405" s="1">
        <v>44353</v>
      </c>
      <c r="D1405" s="1">
        <v>44355</v>
      </c>
      <c r="E1405">
        <v>1</v>
      </c>
      <c r="F1405" t="s">
        <v>751</v>
      </c>
      <c r="G1405" t="str">
        <f>"11-K11-00"</f>
        <v>11-K11-00</v>
      </c>
      <c r="H1405">
        <v>0.52710000000000001</v>
      </c>
      <c r="J1405" t="s">
        <v>14</v>
      </c>
      <c r="K1405" t="str">
        <f t="shared" ref="K1405:K1439" si="74">"3F1"</f>
        <v>3F1</v>
      </c>
      <c r="L1405" t="s">
        <v>15</v>
      </c>
    </row>
    <row r="1406" spans="1:12" x14ac:dyDescent="0.25">
      <c r="A1406" t="str">
        <f>"2001250449"</f>
        <v>2001250449</v>
      </c>
      <c r="B1406" t="str">
        <f t="shared" si="73"/>
        <v>89301000</v>
      </c>
      <c r="C1406" s="1">
        <v>44485</v>
      </c>
      <c r="D1406" s="1">
        <v>44487</v>
      </c>
      <c r="E1406">
        <v>1</v>
      </c>
      <c r="F1406" t="s">
        <v>546</v>
      </c>
      <c r="G1406" t="str">
        <f>"03-K02-03"</f>
        <v>03-K02-03</v>
      </c>
      <c r="H1406">
        <v>0.33960000000000001</v>
      </c>
      <c r="I1406" t="s">
        <v>552</v>
      </c>
      <c r="J1406" t="s">
        <v>14</v>
      </c>
      <c r="K1406" t="str">
        <f t="shared" si="74"/>
        <v>3F1</v>
      </c>
      <c r="L1406" t="s">
        <v>15</v>
      </c>
    </row>
    <row r="1407" spans="1:12" x14ac:dyDescent="0.25">
      <c r="A1407" t="str">
        <f>"2001251307"</f>
        <v>2001251307</v>
      </c>
      <c r="B1407" t="str">
        <f t="shared" si="73"/>
        <v>89301000</v>
      </c>
      <c r="C1407" s="1">
        <v>44477</v>
      </c>
      <c r="D1407" s="1">
        <v>44482</v>
      </c>
      <c r="E1407">
        <v>1</v>
      </c>
      <c r="F1407" t="s">
        <v>398</v>
      </c>
      <c r="G1407" t="str">
        <f>"06-I16-05"</f>
        <v>06-I16-05</v>
      </c>
      <c r="H1407">
        <v>0.64600000000000002</v>
      </c>
      <c r="I1407" t="s">
        <v>966</v>
      </c>
      <c r="J1407" t="s">
        <v>24</v>
      </c>
      <c r="K1407" t="str">
        <f t="shared" si="74"/>
        <v>3F1</v>
      </c>
      <c r="L1407" t="s">
        <v>15</v>
      </c>
    </row>
    <row r="1408" spans="1:12" x14ac:dyDescent="0.25">
      <c r="A1408" t="str">
        <f>"2001300708"</f>
        <v>2001300708</v>
      </c>
      <c r="B1408" t="str">
        <f t="shared" si="73"/>
        <v>89301000</v>
      </c>
      <c r="C1408" s="1">
        <v>44320</v>
      </c>
      <c r="D1408" s="1">
        <v>44322</v>
      </c>
      <c r="E1408">
        <v>1</v>
      </c>
      <c r="F1408" t="s">
        <v>646</v>
      </c>
      <c r="G1408" t="str">
        <f>"06-K17-02"</f>
        <v>06-K17-02</v>
      </c>
      <c r="H1408">
        <v>0.29680000000000001</v>
      </c>
      <c r="I1408" t="s">
        <v>1176</v>
      </c>
      <c r="J1408" t="s">
        <v>14</v>
      </c>
      <c r="K1408" t="str">
        <f t="shared" si="74"/>
        <v>3F1</v>
      </c>
      <c r="L1408" t="s">
        <v>15</v>
      </c>
    </row>
    <row r="1409" spans="1:12" x14ac:dyDescent="0.25">
      <c r="A1409" t="str">
        <f>"2002050644"</f>
        <v>2002050644</v>
      </c>
      <c r="B1409" t="str">
        <f t="shared" si="73"/>
        <v>89301000</v>
      </c>
      <c r="C1409" s="1">
        <v>44326</v>
      </c>
      <c r="D1409" s="1">
        <v>44328</v>
      </c>
      <c r="E1409">
        <v>1</v>
      </c>
      <c r="F1409" t="s">
        <v>1177</v>
      </c>
      <c r="G1409" t="str">
        <f>"12-I10-02"</f>
        <v>12-I10-02</v>
      </c>
      <c r="H1409">
        <v>0.57379999999999998</v>
      </c>
      <c r="J1409" t="s">
        <v>24</v>
      </c>
      <c r="K1409" t="str">
        <f t="shared" si="74"/>
        <v>3F1</v>
      </c>
      <c r="L1409" t="s">
        <v>15</v>
      </c>
    </row>
    <row r="1410" spans="1:12" x14ac:dyDescent="0.25">
      <c r="A1410" t="str">
        <f>"2002190190"</f>
        <v>2002190190</v>
      </c>
      <c r="B1410" t="str">
        <f t="shared" si="73"/>
        <v>89301000</v>
      </c>
      <c r="C1410" s="1">
        <v>44293</v>
      </c>
      <c r="D1410" s="1">
        <v>44295</v>
      </c>
      <c r="E1410">
        <v>1</v>
      </c>
      <c r="F1410" t="s">
        <v>151</v>
      </c>
      <c r="G1410" t="str">
        <f>"06-I16-05"</f>
        <v>06-I16-05</v>
      </c>
      <c r="H1410">
        <v>0.46139999999999998</v>
      </c>
      <c r="J1410" t="s">
        <v>24</v>
      </c>
      <c r="K1410" t="str">
        <f t="shared" si="74"/>
        <v>3F1</v>
      </c>
      <c r="L1410" t="s">
        <v>15</v>
      </c>
    </row>
    <row r="1411" spans="1:12" x14ac:dyDescent="0.25">
      <c r="A1411" t="str">
        <f>"2002210815"</f>
        <v>2002210815</v>
      </c>
      <c r="B1411" t="str">
        <f t="shared" si="73"/>
        <v>89301000</v>
      </c>
      <c r="C1411" s="1">
        <v>44349</v>
      </c>
      <c r="D1411" s="1">
        <v>44351</v>
      </c>
      <c r="E1411">
        <v>1</v>
      </c>
      <c r="F1411" t="s">
        <v>1178</v>
      </c>
      <c r="G1411" t="str">
        <f>"22-I05-04"</f>
        <v>22-I05-04</v>
      </c>
      <c r="H1411">
        <v>0.42070000000000002</v>
      </c>
      <c r="I1411" t="s">
        <v>1179</v>
      </c>
      <c r="J1411" t="s">
        <v>14</v>
      </c>
      <c r="K1411" t="str">
        <f t="shared" si="74"/>
        <v>3F1</v>
      </c>
      <c r="L1411" t="s">
        <v>15</v>
      </c>
    </row>
    <row r="1412" spans="1:12" x14ac:dyDescent="0.25">
      <c r="A1412" t="str">
        <f>"2002231165"</f>
        <v>2002231165</v>
      </c>
      <c r="B1412" t="str">
        <f t="shared" si="73"/>
        <v>89301000</v>
      </c>
      <c r="C1412" s="1">
        <v>44256</v>
      </c>
      <c r="D1412" s="1">
        <v>44267</v>
      </c>
      <c r="E1412">
        <v>1</v>
      </c>
      <c r="F1412" t="s">
        <v>751</v>
      </c>
      <c r="G1412" t="str">
        <f>"11-I10-03"</f>
        <v>11-I10-03</v>
      </c>
      <c r="H1412">
        <v>2.3313999999999999</v>
      </c>
      <c r="J1412" t="s">
        <v>17</v>
      </c>
      <c r="K1412" t="str">
        <f t="shared" si="74"/>
        <v>3F1</v>
      </c>
      <c r="L1412" t="s">
        <v>15</v>
      </c>
    </row>
    <row r="1413" spans="1:12" x14ac:dyDescent="0.25">
      <c r="A1413" t="str">
        <f>"2003010394"</f>
        <v>2003010394</v>
      </c>
      <c r="B1413" t="str">
        <f t="shared" si="73"/>
        <v>89301000</v>
      </c>
      <c r="C1413" s="1">
        <v>44468</v>
      </c>
      <c r="D1413" s="1">
        <v>44470</v>
      </c>
      <c r="E1413">
        <v>1</v>
      </c>
      <c r="F1413" t="s">
        <v>398</v>
      </c>
      <c r="G1413" t="str">
        <f>"06-I16-05"</f>
        <v>06-I16-05</v>
      </c>
      <c r="H1413">
        <v>0.46139999999999998</v>
      </c>
      <c r="J1413" t="s">
        <v>24</v>
      </c>
      <c r="K1413" t="str">
        <f t="shared" si="74"/>
        <v>3F1</v>
      </c>
      <c r="L1413" t="s">
        <v>15</v>
      </c>
    </row>
    <row r="1414" spans="1:12" x14ac:dyDescent="0.25">
      <c r="A1414" t="str">
        <f>"2003010394"</f>
        <v>2003010394</v>
      </c>
      <c r="B1414" t="str">
        <f t="shared" si="73"/>
        <v>89301000</v>
      </c>
      <c r="C1414" s="1">
        <v>44342</v>
      </c>
      <c r="D1414" s="1">
        <v>44342</v>
      </c>
      <c r="E1414">
        <v>1</v>
      </c>
      <c r="F1414" t="s">
        <v>151</v>
      </c>
      <c r="G1414" t="str">
        <f>"23-K01-00"</f>
        <v>23-K01-00</v>
      </c>
      <c r="H1414">
        <v>0.13139999999999999</v>
      </c>
      <c r="I1414" t="s">
        <v>643</v>
      </c>
      <c r="J1414" t="s">
        <v>14</v>
      </c>
      <c r="K1414" t="str">
        <f t="shared" si="74"/>
        <v>3F1</v>
      </c>
      <c r="L1414" t="s">
        <v>15</v>
      </c>
    </row>
    <row r="1415" spans="1:12" x14ac:dyDescent="0.25">
      <c r="A1415" t="str">
        <f>"2003031976"</f>
        <v>2003031976</v>
      </c>
      <c r="B1415" t="str">
        <f t="shared" si="73"/>
        <v>89301000</v>
      </c>
      <c r="C1415" s="1">
        <v>44396</v>
      </c>
      <c r="D1415" s="1">
        <v>44399</v>
      </c>
      <c r="E1415">
        <v>1</v>
      </c>
      <c r="F1415" t="s">
        <v>644</v>
      </c>
      <c r="G1415" t="str">
        <f>"12-I10-02"</f>
        <v>12-I10-02</v>
      </c>
      <c r="H1415">
        <v>0.57379999999999998</v>
      </c>
      <c r="I1415" t="s">
        <v>1180</v>
      </c>
      <c r="J1415" t="s">
        <v>24</v>
      </c>
      <c r="K1415" t="str">
        <f t="shared" si="74"/>
        <v>3F1</v>
      </c>
      <c r="L1415" t="s">
        <v>15</v>
      </c>
    </row>
    <row r="1416" spans="1:12" x14ac:dyDescent="0.25">
      <c r="A1416" t="str">
        <f>"2003060796"</f>
        <v>2003060796</v>
      </c>
      <c r="B1416" t="str">
        <f t="shared" si="73"/>
        <v>89301000</v>
      </c>
      <c r="C1416" s="1">
        <v>44546</v>
      </c>
      <c r="D1416" s="1">
        <v>44553</v>
      </c>
      <c r="E1416">
        <v>1</v>
      </c>
      <c r="F1416" t="s">
        <v>388</v>
      </c>
      <c r="G1416" t="str">
        <f>"08-C01-05"</f>
        <v>08-C01-05</v>
      </c>
      <c r="H1416">
        <v>1.1969000000000001</v>
      </c>
      <c r="I1416" t="s">
        <v>1181</v>
      </c>
      <c r="J1416" t="s">
        <v>14</v>
      </c>
      <c r="K1416" t="str">
        <f t="shared" si="74"/>
        <v>3F1</v>
      </c>
      <c r="L1416" t="s">
        <v>15</v>
      </c>
    </row>
    <row r="1417" spans="1:12" x14ac:dyDescent="0.25">
      <c r="A1417" t="str">
        <f>"2004101297"</f>
        <v>2004101297</v>
      </c>
      <c r="B1417" t="str">
        <f t="shared" si="73"/>
        <v>89301000</v>
      </c>
      <c r="C1417" s="1">
        <v>44543</v>
      </c>
      <c r="D1417" s="1">
        <v>44545</v>
      </c>
      <c r="E1417">
        <v>1</v>
      </c>
      <c r="F1417" t="s">
        <v>1116</v>
      </c>
      <c r="G1417" t="str">
        <f>"06-I16-05"</f>
        <v>06-I16-05</v>
      </c>
      <c r="H1417">
        <v>0.46139999999999998</v>
      </c>
      <c r="I1417" t="s">
        <v>168</v>
      </c>
      <c r="J1417" t="s">
        <v>24</v>
      </c>
      <c r="K1417" t="str">
        <f t="shared" si="74"/>
        <v>3F1</v>
      </c>
      <c r="L1417" t="s">
        <v>15</v>
      </c>
    </row>
    <row r="1418" spans="1:12" x14ac:dyDescent="0.25">
      <c r="A1418" t="str">
        <f>"2004230008"</f>
        <v>2004230008</v>
      </c>
      <c r="B1418" t="str">
        <f t="shared" si="73"/>
        <v>89301000</v>
      </c>
      <c r="C1418" s="1">
        <v>44431</v>
      </c>
      <c r="D1418" s="1">
        <v>44450</v>
      </c>
      <c r="E1418">
        <v>1</v>
      </c>
      <c r="F1418" t="s">
        <v>1170</v>
      </c>
      <c r="G1418" t="str">
        <f>"11-I10-03"</f>
        <v>11-I10-03</v>
      </c>
      <c r="H1418">
        <v>2.831</v>
      </c>
      <c r="I1418" t="s">
        <v>1182</v>
      </c>
      <c r="J1418" t="s">
        <v>17</v>
      </c>
      <c r="K1418" t="str">
        <f t="shared" si="74"/>
        <v>3F1</v>
      </c>
      <c r="L1418" t="s">
        <v>15</v>
      </c>
    </row>
    <row r="1419" spans="1:12" x14ac:dyDescent="0.25">
      <c r="A1419" t="str">
        <f>"2004270411"</f>
        <v>2004270411</v>
      </c>
      <c r="B1419" t="str">
        <f t="shared" si="73"/>
        <v>89301000</v>
      </c>
      <c r="C1419" s="1">
        <v>44420</v>
      </c>
      <c r="D1419" s="1">
        <v>44423</v>
      </c>
      <c r="E1419">
        <v>1</v>
      </c>
      <c r="F1419" t="s">
        <v>724</v>
      </c>
      <c r="G1419" t="str">
        <f>"06-K10-03"</f>
        <v>06-K10-03</v>
      </c>
      <c r="H1419">
        <v>0.43880000000000002</v>
      </c>
      <c r="I1419" t="s">
        <v>168</v>
      </c>
      <c r="J1419" t="s">
        <v>14</v>
      </c>
      <c r="K1419" t="str">
        <f t="shared" si="74"/>
        <v>3F1</v>
      </c>
      <c r="L1419" t="s">
        <v>15</v>
      </c>
    </row>
    <row r="1420" spans="1:12" x14ac:dyDescent="0.25">
      <c r="A1420" t="str">
        <f>"2004291157"</f>
        <v>2004291157</v>
      </c>
      <c r="B1420" t="str">
        <f t="shared" si="73"/>
        <v>89301000</v>
      </c>
      <c r="C1420" s="1">
        <v>44433</v>
      </c>
      <c r="D1420" s="1">
        <v>44435</v>
      </c>
      <c r="E1420">
        <v>1</v>
      </c>
      <c r="F1420" t="s">
        <v>644</v>
      </c>
      <c r="G1420" t="str">
        <f>"12-I10-02"</f>
        <v>12-I10-02</v>
      </c>
      <c r="H1420">
        <v>0.57379999999999998</v>
      </c>
      <c r="J1420" t="s">
        <v>24</v>
      </c>
      <c r="K1420" t="str">
        <f t="shared" si="74"/>
        <v>3F1</v>
      </c>
      <c r="L1420" t="s">
        <v>15</v>
      </c>
    </row>
    <row r="1421" spans="1:12" x14ac:dyDescent="0.25">
      <c r="A1421" t="str">
        <f>"2005050586"</f>
        <v>2005050586</v>
      </c>
      <c r="B1421" t="str">
        <f t="shared" si="73"/>
        <v>89301000</v>
      </c>
      <c r="C1421" s="1">
        <v>44289</v>
      </c>
      <c r="D1421" s="1">
        <v>44291</v>
      </c>
      <c r="E1421">
        <v>1</v>
      </c>
      <c r="F1421" t="s">
        <v>1183</v>
      </c>
      <c r="G1421" t="str">
        <f>"08-K14-01"</f>
        <v>08-K14-01</v>
      </c>
      <c r="H1421">
        <v>0.63</v>
      </c>
      <c r="I1421" t="s">
        <v>1184</v>
      </c>
      <c r="J1421" t="s">
        <v>14</v>
      </c>
      <c r="K1421" t="str">
        <f t="shared" si="74"/>
        <v>3F1</v>
      </c>
      <c r="L1421" t="s">
        <v>15</v>
      </c>
    </row>
    <row r="1422" spans="1:12" x14ac:dyDescent="0.25">
      <c r="A1422" t="str">
        <f>"2005120557"</f>
        <v>2005120557</v>
      </c>
      <c r="B1422" t="str">
        <f t="shared" si="73"/>
        <v>89301000</v>
      </c>
      <c r="C1422" s="1">
        <v>44341</v>
      </c>
      <c r="D1422" s="1">
        <v>44343</v>
      </c>
      <c r="E1422">
        <v>1</v>
      </c>
      <c r="F1422" t="s">
        <v>646</v>
      </c>
      <c r="G1422" t="str">
        <f>"06-M01-05"</f>
        <v>06-M01-05</v>
      </c>
      <c r="H1422">
        <v>0.41710000000000003</v>
      </c>
      <c r="I1422" t="s">
        <v>1185</v>
      </c>
      <c r="J1422" t="s">
        <v>14</v>
      </c>
      <c r="K1422" t="str">
        <f t="shared" si="74"/>
        <v>3F1</v>
      </c>
      <c r="L1422" t="s">
        <v>15</v>
      </c>
    </row>
    <row r="1423" spans="1:12" x14ac:dyDescent="0.25">
      <c r="A1423" t="str">
        <f>"2005170409"</f>
        <v>2005170409</v>
      </c>
      <c r="B1423" t="str">
        <f t="shared" si="73"/>
        <v>89301000</v>
      </c>
      <c r="C1423" s="1">
        <v>44307</v>
      </c>
      <c r="D1423" s="1">
        <v>44310</v>
      </c>
      <c r="E1423">
        <v>1</v>
      </c>
      <c r="F1423" t="s">
        <v>151</v>
      </c>
      <c r="G1423" t="str">
        <f>"06-I16-05"</f>
        <v>06-I16-05</v>
      </c>
      <c r="H1423">
        <v>0.46139999999999998</v>
      </c>
      <c r="J1423" t="s">
        <v>24</v>
      </c>
      <c r="K1423" t="str">
        <f t="shared" si="74"/>
        <v>3F1</v>
      </c>
      <c r="L1423" t="s">
        <v>15</v>
      </c>
    </row>
    <row r="1424" spans="1:12" x14ac:dyDescent="0.25">
      <c r="A1424" t="str">
        <f>"2005220921"</f>
        <v>2005220921</v>
      </c>
      <c r="B1424" t="str">
        <f t="shared" si="73"/>
        <v>89301000</v>
      </c>
      <c r="C1424" s="1">
        <v>44373</v>
      </c>
      <c r="D1424" s="1">
        <v>44375</v>
      </c>
      <c r="E1424">
        <v>1</v>
      </c>
      <c r="F1424" t="s">
        <v>731</v>
      </c>
      <c r="G1424" t="str">
        <f>"06-K02-03"</f>
        <v>06-K02-03</v>
      </c>
      <c r="H1424">
        <v>0.47960000000000003</v>
      </c>
      <c r="J1424" t="s">
        <v>14</v>
      </c>
      <c r="K1424" t="str">
        <f t="shared" si="74"/>
        <v>3F1</v>
      </c>
      <c r="L1424" t="s">
        <v>15</v>
      </c>
    </row>
    <row r="1425" spans="1:12" x14ac:dyDescent="0.25">
      <c r="A1425" t="str">
        <f>"2005230612"</f>
        <v>2005230612</v>
      </c>
      <c r="B1425" t="str">
        <f t="shared" si="73"/>
        <v>89301000</v>
      </c>
      <c r="C1425" s="1">
        <v>44454</v>
      </c>
      <c r="D1425" s="1">
        <v>44458</v>
      </c>
      <c r="E1425">
        <v>1</v>
      </c>
      <c r="F1425" t="s">
        <v>985</v>
      </c>
      <c r="G1425" t="str">
        <f>"04-K02-04"</f>
        <v>04-K02-04</v>
      </c>
      <c r="H1425">
        <v>0.82469999999999999</v>
      </c>
      <c r="I1425" t="s">
        <v>552</v>
      </c>
      <c r="J1425" t="s">
        <v>14</v>
      </c>
      <c r="K1425" t="str">
        <f t="shared" si="74"/>
        <v>3F1</v>
      </c>
      <c r="L1425" t="s">
        <v>15</v>
      </c>
    </row>
    <row r="1426" spans="1:12" x14ac:dyDescent="0.25">
      <c r="A1426" t="str">
        <f>"2005281113"</f>
        <v>2005281113</v>
      </c>
      <c r="B1426" t="str">
        <f t="shared" si="73"/>
        <v>89301000</v>
      </c>
      <c r="C1426" s="1">
        <v>44368</v>
      </c>
      <c r="D1426" s="1">
        <v>44378</v>
      </c>
      <c r="E1426">
        <v>1</v>
      </c>
      <c r="F1426" t="s">
        <v>377</v>
      </c>
      <c r="G1426" t="str">
        <f>"01-I06-02"</f>
        <v>01-I06-02</v>
      </c>
      <c r="H1426">
        <v>5.1687000000000003</v>
      </c>
      <c r="I1426" t="s">
        <v>1186</v>
      </c>
      <c r="J1426" t="s">
        <v>17</v>
      </c>
      <c r="K1426" t="str">
        <f t="shared" si="74"/>
        <v>3F1</v>
      </c>
      <c r="L1426" t="s">
        <v>15</v>
      </c>
    </row>
    <row r="1427" spans="1:12" x14ac:dyDescent="0.25">
      <c r="A1427" t="str">
        <f>"2005310329"</f>
        <v>2005310329</v>
      </c>
      <c r="B1427" t="str">
        <f t="shared" si="73"/>
        <v>89301000</v>
      </c>
      <c r="C1427" s="1">
        <v>44490</v>
      </c>
      <c r="D1427" s="1">
        <v>44491</v>
      </c>
      <c r="E1427">
        <v>1</v>
      </c>
      <c r="F1427" t="s">
        <v>151</v>
      </c>
      <c r="G1427" t="str">
        <f>"06-I16-05"</f>
        <v>06-I16-05</v>
      </c>
      <c r="H1427">
        <v>0.46139999999999998</v>
      </c>
      <c r="J1427" t="s">
        <v>24</v>
      </c>
      <c r="K1427" t="str">
        <f t="shared" si="74"/>
        <v>3F1</v>
      </c>
      <c r="L1427" t="s">
        <v>15</v>
      </c>
    </row>
    <row r="1428" spans="1:12" x14ac:dyDescent="0.25">
      <c r="A1428" t="str">
        <f>"2005310329"</f>
        <v>2005310329</v>
      </c>
      <c r="B1428" t="str">
        <f t="shared" si="73"/>
        <v>89301000</v>
      </c>
      <c r="C1428" s="1">
        <v>44481</v>
      </c>
      <c r="D1428" s="1">
        <v>44481</v>
      </c>
      <c r="E1428">
        <v>1</v>
      </c>
      <c r="F1428" t="s">
        <v>1187</v>
      </c>
      <c r="G1428" t="str">
        <f>"06-K09-02"</f>
        <v>06-K09-02</v>
      </c>
      <c r="H1428">
        <v>0.17979999999999999</v>
      </c>
      <c r="I1428" t="s">
        <v>966</v>
      </c>
      <c r="J1428" t="s">
        <v>14</v>
      </c>
      <c r="K1428" t="str">
        <f t="shared" si="74"/>
        <v>3F1</v>
      </c>
      <c r="L1428" t="s">
        <v>15</v>
      </c>
    </row>
    <row r="1429" spans="1:12" x14ac:dyDescent="0.25">
      <c r="A1429" t="str">
        <f>"2006110337"</f>
        <v>2006110337</v>
      </c>
      <c r="B1429" t="str">
        <f t="shared" si="73"/>
        <v>89301000</v>
      </c>
      <c r="C1429" s="1">
        <v>44304</v>
      </c>
      <c r="D1429" s="1">
        <v>44305</v>
      </c>
      <c r="E1429">
        <v>1</v>
      </c>
      <c r="F1429" t="s">
        <v>605</v>
      </c>
      <c r="G1429" t="str">
        <f>"09-K12-00"</f>
        <v>09-K12-00</v>
      </c>
      <c r="H1429">
        <v>0.24349999999999999</v>
      </c>
      <c r="I1429" t="s">
        <v>736</v>
      </c>
      <c r="J1429" t="s">
        <v>14</v>
      </c>
      <c r="K1429" t="str">
        <f t="shared" si="74"/>
        <v>3F1</v>
      </c>
      <c r="L1429" t="s">
        <v>15</v>
      </c>
    </row>
    <row r="1430" spans="1:12" x14ac:dyDescent="0.25">
      <c r="A1430" t="str">
        <f>"2006120611"</f>
        <v>2006120611</v>
      </c>
      <c r="B1430" t="str">
        <f t="shared" si="73"/>
        <v>89301000</v>
      </c>
      <c r="C1430" s="1">
        <v>44337</v>
      </c>
      <c r="D1430" s="1">
        <v>44338</v>
      </c>
      <c r="E1430">
        <v>1</v>
      </c>
      <c r="F1430" t="s">
        <v>1188</v>
      </c>
      <c r="G1430" t="str">
        <f>"09-I13-03"</f>
        <v>09-I13-03</v>
      </c>
      <c r="H1430">
        <v>0.77380000000000004</v>
      </c>
      <c r="I1430" t="s">
        <v>1189</v>
      </c>
      <c r="J1430" t="s">
        <v>14</v>
      </c>
      <c r="K1430" t="str">
        <f t="shared" si="74"/>
        <v>3F1</v>
      </c>
      <c r="L1430" t="s">
        <v>15</v>
      </c>
    </row>
    <row r="1431" spans="1:12" x14ac:dyDescent="0.25">
      <c r="A1431" t="str">
        <f>"2006180198"</f>
        <v>2006180198</v>
      </c>
      <c r="B1431" t="str">
        <f t="shared" si="73"/>
        <v>89301000</v>
      </c>
      <c r="C1431" s="1">
        <v>44304</v>
      </c>
      <c r="D1431" s="1">
        <v>44306</v>
      </c>
      <c r="E1431">
        <v>1</v>
      </c>
      <c r="F1431" t="s">
        <v>151</v>
      </c>
      <c r="G1431" t="str">
        <f>"06-I16-05"</f>
        <v>06-I16-05</v>
      </c>
      <c r="H1431">
        <v>0.46139999999999998</v>
      </c>
      <c r="I1431" t="s">
        <v>168</v>
      </c>
      <c r="J1431" t="s">
        <v>24</v>
      </c>
      <c r="K1431" t="str">
        <f t="shared" si="74"/>
        <v>3F1</v>
      </c>
      <c r="L1431" t="s">
        <v>15</v>
      </c>
    </row>
    <row r="1432" spans="1:12" x14ac:dyDescent="0.25">
      <c r="A1432" t="str">
        <f>"2006180198"</f>
        <v>2006180198</v>
      </c>
      <c r="B1432" t="str">
        <f t="shared" si="73"/>
        <v>89301000</v>
      </c>
      <c r="C1432" s="1">
        <v>44291</v>
      </c>
      <c r="D1432" s="1">
        <v>44292</v>
      </c>
      <c r="E1432">
        <v>1</v>
      </c>
      <c r="F1432" t="s">
        <v>151</v>
      </c>
      <c r="G1432" t="str">
        <f>"06-K09-02"</f>
        <v>06-K09-02</v>
      </c>
      <c r="H1432">
        <v>0.35549999999999998</v>
      </c>
      <c r="I1432" t="s">
        <v>168</v>
      </c>
      <c r="J1432" t="s">
        <v>14</v>
      </c>
      <c r="K1432" t="str">
        <f t="shared" si="74"/>
        <v>3F1</v>
      </c>
      <c r="L1432" t="s">
        <v>15</v>
      </c>
    </row>
    <row r="1433" spans="1:12" x14ac:dyDescent="0.25">
      <c r="A1433" t="str">
        <f>"2006190593"</f>
        <v>2006190593</v>
      </c>
      <c r="B1433" t="str">
        <f t="shared" si="73"/>
        <v>89301000</v>
      </c>
      <c r="C1433" s="1">
        <v>44326</v>
      </c>
      <c r="D1433" s="1">
        <v>44327</v>
      </c>
      <c r="E1433">
        <v>1</v>
      </c>
      <c r="F1433" t="s">
        <v>1190</v>
      </c>
      <c r="G1433" t="str">
        <f>"06-K17-02"</f>
        <v>06-K17-02</v>
      </c>
      <c r="H1433">
        <v>0.29680000000000001</v>
      </c>
      <c r="I1433" t="s">
        <v>1191</v>
      </c>
      <c r="J1433" t="s">
        <v>14</v>
      </c>
      <c r="K1433" t="str">
        <f t="shared" si="74"/>
        <v>3F1</v>
      </c>
      <c r="L1433" t="s">
        <v>15</v>
      </c>
    </row>
    <row r="1434" spans="1:12" x14ac:dyDescent="0.25">
      <c r="A1434" t="str">
        <f>"2006300681"</f>
        <v>2006300681</v>
      </c>
      <c r="B1434" t="str">
        <f t="shared" si="73"/>
        <v>89301000</v>
      </c>
      <c r="C1434" s="1">
        <v>44543</v>
      </c>
      <c r="D1434" s="1">
        <v>44547</v>
      </c>
      <c r="E1434">
        <v>1</v>
      </c>
      <c r="F1434" t="s">
        <v>134</v>
      </c>
      <c r="G1434" t="str">
        <f>"16-I04-01"</f>
        <v>16-I04-01</v>
      </c>
      <c r="H1434">
        <v>1.0085999999999999</v>
      </c>
      <c r="I1434" t="s">
        <v>1192</v>
      </c>
      <c r="J1434" t="s">
        <v>17</v>
      </c>
      <c r="K1434" t="str">
        <f t="shared" si="74"/>
        <v>3F1</v>
      </c>
      <c r="L1434" t="s">
        <v>15</v>
      </c>
    </row>
    <row r="1435" spans="1:12" x14ac:dyDescent="0.25">
      <c r="A1435" t="str">
        <f>"2006300681"</f>
        <v>2006300681</v>
      </c>
      <c r="B1435" t="str">
        <f t="shared" si="73"/>
        <v>89301000</v>
      </c>
      <c r="C1435" s="1">
        <v>44525</v>
      </c>
      <c r="D1435" s="1">
        <v>44536</v>
      </c>
      <c r="E1435">
        <v>1</v>
      </c>
      <c r="F1435" t="s">
        <v>1193</v>
      </c>
      <c r="G1435" t="str">
        <f>"16-I04-01"</f>
        <v>16-I04-01</v>
      </c>
      <c r="H1435">
        <v>1.1088</v>
      </c>
      <c r="I1435" t="s">
        <v>1194</v>
      </c>
      <c r="J1435" t="s">
        <v>17</v>
      </c>
      <c r="K1435" t="str">
        <f t="shared" si="74"/>
        <v>3F1</v>
      </c>
      <c r="L1435" t="s">
        <v>15</v>
      </c>
    </row>
    <row r="1436" spans="1:12" x14ac:dyDescent="0.25">
      <c r="A1436" t="str">
        <f>"2007150310"</f>
        <v>2007150310</v>
      </c>
      <c r="B1436" t="str">
        <f t="shared" si="73"/>
        <v>89301000</v>
      </c>
      <c r="C1436" s="1">
        <v>44211</v>
      </c>
      <c r="D1436" s="1">
        <v>44214</v>
      </c>
      <c r="E1436">
        <v>1</v>
      </c>
      <c r="F1436" t="s">
        <v>96</v>
      </c>
      <c r="G1436" t="str">
        <f>"11-K01-03"</f>
        <v>11-K01-03</v>
      </c>
      <c r="H1436">
        <v>0.59489999999999998</v>
      </c>
      <c r="I1436" t="s">
        <v>797</v>
      </c>
      <c r="J1436" t="s">
        <v>14</v>
      </c>
      <c r="K1436" t="str">
        <f t="shared" si="74"/>
        <v>3F1</v>
      </c>
      <c r="L1436" t="s">
        <v>15</v>
      </c>
    </row>
    <row r="1437" spans="1:12" x14ac:dyDescent="0.25">
      <c r="A1437" t="str">
        <f>"2007161233"</f>
        <v>2007161233</v>
      </c>
      <c r="B1437" t="str">
        <f t="shared" si="73"/>
        <v>89301000</v>
      </c>
      <c r="C1437" s="1">
        <v>44291</v>
      </c>
      <c r="D1437" s="1">
        <v>44305</v>
      </c>
      <c r="E1437">
        <v>1</v>
      </c>
      <c r="F1437" t="s">
        <v>1170</v>
      </c>
      <c r="G1437" t="str">
        <f>"11-I10-03"</f>
        <v>11-I10-03</v>
      </c>
      <c r="H1437">
        <v>2.3313999999999999</v>
      </c>
      <c r="J1437" t="s">
        <v>17</v>
      </c>
      <c r="K1437" t="str">
        <f t="shared" si="74"/>
        <v>3F1</v>
      </c>
      <c r="L1437" t="s">
        <v>15</v>
      </c>
    </row>
    <row r="1438" spans="1:12" x14ac:dyDescent="0.25">
      <c r="A1438" t="str">
        <f>"2007210194"</f>
        <v>2007210194</v>
      </c>
      <c r="B1438" t="str">
        <f t="shared" si="73"/>
        <v>89301000</v>
      </c>
      <c r="C1438" s="1">
        <v>44316</v>
      </c>
      <c r="D1438" s="1">
        <v>44317</v>
      </c>
      <c r="E1438">
        <v>1</v>
      </c>
      <c r="F1438" t="s">
        <v>1195</v>
      </c>
      <c r="G1438" t="str">
        <f>"09-K12-00"</f>
        <v>09-K12-00</v>
      </c>
      <c r="H1438">
        <v>0.24349999999999999</v>
      </c>
      <c r="I1438" t="s">
        <v>615</v>
      </c>
      <c r="J1438" t="s">
        <v>14</v>
      </c>
      <c r="K1438" t="str">
        <f t="shared" si="74"/>
        <v>3F1</v>
      </c>
      <c r="L1438" t="s">
        <v>15</v>
      </c>
    </row>
    <row r="1439" spans="1:12" x14ac:dyDescent="0.25">
      <c r="A1439" t="str">
        <f>"2007220875"</f>
        <v>2007220875</v>
      </c>
      <c r="B1439" t="str">
        <f t="shared" si="73"/>
        <v>89301000</v>
      </c>
      <c r="C1439" s="1">
        <v>44255</v>
      </c>
      <c r="D1439" s="1">
        <v>44258</v>
      </c>
      <c r="E1439">
        <v>1</v>
      </c>
      <c r="F1439" t="s">
        <v>1196</v>
      </c>
      <c r="G1439" t="str">
        <f>"18-K02-05"</f>
        <v>18-K02-05</v>
      </c>
      <c r="H1439">
        <v>0.49220000000000003</v>
      </c>
      <c r="I1439" t="s">
        <v>168</v>
      </c>
      <c r="J1439" t="s">
        <v>14</v>
      </c>
      <c r="K1439" t="str">
        <f t="shared" si="74"/>
        <v>3F1</v>
      </c>
      <c r="L1439" t="s">
        <v>15</v>
      </c>
    </row>
    <row r="1440" spans="1:12" x14ac:dyDescent="0.25">
      <c r="A1440" t="str">
        <f>"2007240928"</f>
        <v>2007240928</v>
      </c>
      <c r="B1440" t="str">
        <f t="shared" si="73"/>
        <v>89301000</v>
      </c>
      <c r="C1440" s="1">
        <v>44429</v>
      </c>
      <c r="D1440" s="1">
        <v>44430</v>
      </c>
      <c r="E1440">
        <v>6</v>
      </c>
      <c r="F1440" t="s">
        <v>1197</v>
      </c>
      <c r="G1440" t="str">
        <f>"21-K05-04"</f>
        <v>21-K05-04</v>
      </c>
      <c r="H1440">
        <v>0.2424</v>
      </c>
      <c r="I1440" t="s">
        <v>1047</v>
      </c>
      <c r="J1440" t="s">
        <v>14</v>
      </c>
      <c r="K1440" t="str">
        <f>"3T1"</f>
        <v>3T1</v>
      </c>
      <c r="L1440" t="s">
        <v>15</v>
      </c>
    </row>
    <row r="1441" spans="1:12" x14ac:dyDescent="0.25">
      <c r="A1441" t="str">
        <f>"2007300647"</f>
        <v>2007300647</v>
      </c>
      <c r="B1441" t="str">
        <f t="shared" si="73"/>
        <v>89301000</v>
      </c>
      <c r="C1441" s="1">
        <v>44218</v>
      </c>
      <c r="D1441" s="1">
        <v>44218</v>
      </c>
      <c r="E1441">
        <v>1</v>
      </c>
      <c r="F1441" t="s">
        <v>1198</v>
      </c>
      <c r="G1441" t="str">
        <f>"05-K01-03"</f>
        <v>05-K01-03</v>
      </c>
      <c r="H1441">
        <v>0.3352</v>
      </c>
      <c r="I1441" t="s">
        <v>168</v>
      </c>
      <c r="J1441" t="s">
        <v>14</v>
      </c>
      <c r="K1441" t="str">
        <f t="shared" ref="K1441:K1446" si="75">"3F1"</f>
        <v>3F1</v>
      </c>
      <c r="L1441" t="s">
        <v>15</v>
      </c>
    </row>
    <row r="1442" spans="1:12" x14ac:dyDescent="0.25">
      <c r="A1442" t="str">
        <f>"2007300790"</f>
        <v>2007300790</v>
      </c>
      <c r="B1442" t="str">
        <f t="shared" si="73"/>
        <v>89301000</v>
      </c>
      <c r="C1442" s="1">
        <v>44338</v>
      </c>
      <c r="D1442" s="1">
        <v>44342</v>
      </c>
      <c r="E1442">
        <v>1</v>
      </c>
      <c r="F1442" t="s">
        <v>96</v>
      </c>
      <c r="G1442" t="str">
        <f>"11-K01-03"</f>
        <v>11-K01-03</v>
      </c>
      <c r="H1442">
        <v>0.59489999999999998</v>
      </c>
      <c r="I1442" t="s">
        <v>797</v>
      </c>
      <c r="J1442" t="s">
        <v>14</v>
      </c>
      <c r="K1442" t="str">
        <f t="shared" si="75"/>
        <v>3F1</v>
      </c>
      <c r="L1442" t="s">
        <v>15</v>
      </c>
    </row>
    <row r="1443" spans="1:12" x14ac:dyDescent="0.25">
      <c r="A1443" t="str">
        <f>"2007300790"</f>
        <v>2007300790</v>
      </c>
      <c r="B1443" t="str">
        <f t="shared" si="73"/>
        <v>89301000</v>
      </c>
      <c r="C1443" s="1">
        <v>44438</v>
      </c>
      <c r="D1443" s="1">
        <v>44441</v>
      </c>
      <c r="E1443">
        <v>1</v>
      </c>
      <c r="F1443" t="s">
        <v>1199</v>
      </c>
      <c r="G1443" t="str">
        <f>"18-K03-02"</f>
        <v>18-K03-02</v>
      </c>
      <c r="H1443">
        <v>0.66180000000000005</v>
      </c>
      <c r="I1443" t="s">
        <v>139</v>
      </c>
      <c r="J1443" t="s">
        <v>14</v>
      </c>
      <c r="K1443" t="str">
        <f t="shared" si="75"/>
        <v>3F1</v>
      </c>
      <c r="L1443" t="s">
        <v>15</v>
      </c>
    </row>
    <row r="1444" spans="1:12" x14ac:dyDescent="0.25">
      <c r="A1444" t="str">
        <f>"2008020278"</f>
        <v>2008020278</v>
      </c>
      <c r="B1444" t="str">
        <f t="shared" si="73"/>
        <v>89301000</v>
      </c>
      <c r="C1444" s="1">
        <v>44503</v>
      </c>
      <c r="D1444" s="1">
        <v>44507</v>
      </c>
      <c r="E1444">
        <v>1</v>
      </c>
      <c r="F1444" t="s">
        <v>1200</v>
      </c>
      <c r="G1444" t="str">
        <f>"12-K01-03"</f>
        <v>12-K01-03</v>
      </c>
      <c r="H1444">
        <v>0.31069999999999998</v>
      </c>
      <c r="I1444" t="s">
        <v>168</v>
      </c>
      <c r="J1444" t="s">
        <v>14</v>
      </c>
      <c r="K1444" t="str">
        <f t="shared" si="75"/>
        <v>3F1</v>
      </c>
      <c r="L1444" t="s">
        <v>15</v>
      </c>
    </row>
    <row r="1445" spans="1:12" x14ac:dyDescent="0.25">
      <c r="A1445" t="str">
        <f>"2008170439"</f>
        <v>2008170439</v>
      </c>
      <c r="B1445" t="str">
        <f t="shared" si="73"/>
        <v>89301000</v>
      </c>
      <c r="C1445" s="1">
        <v>44300</v>
      </c>
      <c r="D1445" s="1">
        <v>44313</v>
      </c>
      <c r="E1445">
        <v>1</v>
      </c>
      <c r="F1445" t="s">
        <v>1170</v>
      </c>
      <c r="G1445" t="str">
        <f>"11-I10-03"</f>
        <v>11-I10-03</v>
      </c>
      <c r="H1445">
        <v>2.3313999999999999</v>
      </c>
      <c r="J1445" t="s">
        <v>17</v>
      </c>
      <c r="K1445" t="str">
        <f t="shared" si="75"/>
        <v>3F1</v>
      </c>
      <c r="L1445" t="s">
        <v>15</v>
      </c>
    </row>
    <row r="1446" spans="1:12" x14ac:dyDescent="0.25">
      <c r="A1446" t="str">
        <f>"2008230895"</f>
        <v>2008230895</v>
      </c>
      <c r="B1446" t="str">
        <f t="shared" si="73"/>
        <v>89301000</v>
      </c>
      <c r="C1446" s="1">
        <v>44543</v>
      </c>
      <c r="D1446" s="1">
        <v>44545</v>
      </c>
      <c r="E1446">
        <v>1</v>
      </c>
      <c r="F1446" t="s">
        <v>1177</v>
      </c>
      <c r="G1446" t="str">
        <f>"12-I10-02"</f>
        <v>12-I10-02</v>
      </c>
      <c r="H1446">
        <v>0.57379999999999998</v>
      </c>
      <c r="I1446" t="s">
        <v>168</v>
      </c>
      <c r="J1446" t="s">
        <v>24</v>
      </c>
      <c r="K1446" t="str">
        <f t="shared" si="75"/>
        <v>3F1</v>
      </c>
      <c r="L1446" t="s">
        <v>15</v>
      </c>
    </row>
    <row r="1447" spans="1:12" x14ac:dyDescent="0.25">
      <c r="A1447" t="str">
        <f>"2008230895"</f>
        <v>2008230895</v>
      </c>
      <c r="B1447" t="str">
        <f t="shared" si="73"/>
        <v>89301000</v>
      </c>
      <c r="C1447" s="1">
        <v>44452</v>
      </c>
      <c r="D1447" s="1">
        <v>44457</v>
      </c>
      <c r="E1447">
        <v>6</v>
      </c>
      <c r="F1447" t="s">
        <v>962</v>
      </c>
      <c r="G1447" t="str">
        <f>"04-K08-04"</f>
        <v>04-K08-04</v>
      </c>
      <c r="H1447">
        <v>0.92730000000000001</v>
      </c>
      <c r="I1447" t="s">
        <v>1201</v>
      </c>
      <c r="J1447" t="s">
        <v>14</v>
      </c>
      <c r="K1447" t="str">
        <f>"3T1"</f>
        <v>3T1</v>
      </c>
      <c r="L1447" t="s">
        <v>15</v>
      </c>
    </row>
    <row r="1448" spans="1:12" x14ac:dyDescent="0.25">
      <c r="A1448" t="str">
        <f>"2008240069"</f>
        <v>2008240069</v>
      </c>
      <c r="B1448" t="str">
        <f t="shared" si="73"/>
        <v>89301000</v>
      </c>
      <c r="C1448" s="1">
        <v>44231</v>
      </c>
      <c r="D1448" s="1">
        <v>44232</v>
      </c>
      <c r="E1448">
        <v>1</v>
      </c>
      <c r="F1448" t="s">
        <v>287</v>
      </c>
      <c r="G1448" t="str">
        <f>"01-K16-06"</f>
        <v>01-K16-06</v>
      </c>
      <c r="H1448">
        <v>0.26469999999999999</v>
      </c>
      <c r="I1448" t="s">
        <v>30</v>
      </c>
      <c r="J1448" t="s">
        <v>14</v>
      </c>
      <c r="K1448" t="str">
        <f t="shared" ref="K1448:K1461" si="76">"3F1"</f>
        <v>3F1</v>
      </c>
      <c r="L1448" t="s">
        <v>15</v>
      </c>
    </row>
    <row r="1449" spans="1:12" x14ac:dyDescent="0.25">
      <c r="A1449" t="str">
        <f>"2008250662"</f>
        <v>2008250662</v>
      </c>
      <c r="B1449" t="str">
        <f t="shared" si="73"/>
        <v>89301000</v>
      </c>
      <c r="C1449" s="1">
        <v>44347</v>
      </c>
      <c r="D1449" s="1">
        <v>44351</v>
      </c>
      <c r="E1449">
        <v>1</v>
      </c>
      <c r="F1449" t="s">
        <v>994</v>
      </c>
      <c r="G1449" t="str">
        <f>"01-I07-03"</f>
        <v>01-I07-03</v>
      </c>
      <c r="H1449">
        <v>3.2458</v>
      </c>
      <c r="I1449" t="s">
        <v>1202</v>
      </c>
      <c r="J1449" t="s">
        <v>17</v>
      </c>
      <c r="K1449" t="str">
        <f t="shared" si="76"/>
        <v>3F1</v>
      </c>
      <c r="L1449" t="s">
        <v>15</v>
      </c>
    </row>
    <row r="1450" spans="1:12" x14ac:dyDescent="0.25">
      <c r="A1450" t="str">
        <f>"2008250662"</f>
        <v>2008250662</v>
      </c>
      <c r="B1450" t="str">
        <f t="shared" si="73"/>
        <v>89301000</v>
      </c>
      <c r="C1450" s="1">
        <v>44319</v>
      </c>
      <c r="D1450" s="1">
        <v>44341</v>
      </c>
      <c r="E1450">
        <v>5</v>
      </c>
      <c r="F1450" t="s">
        <v>375</v>
      </c>
      <c r="G1450" t="str">
        <f>"01-I06-02"</f>
        <v>01-I06-02</v>
      </c>
      <c r="H1450">
        <v>5.1687000000000003</v>
      </c>
      <c r="I1450" t="s">
        <v>1203</v>
      </c>
      <c r="J1450" t="s">
        <v>17</v>
      </c>
      <c r="K1450" t="str">
        <f t="shared" si="76"/>
        <v>3F1</v>
      </c>
      <c r="L1450" t="s">
        <v>15</v>
      </c>
    </row>
    <row r="1451" spans="1:12" x14ac:dyDescent="0.25">
      <c r="A1451" t="str">
        <f>"2008250662"</f>
        <v>2008250662</v>
      </c>
      <c r="B1451" t="str">
        <f t="shared" si="73"/>
        <v>89301000</v>
      </c>
      <c r="C1451" s="1">
        <v>44359</v>
      </c>
      <c r="D1451" s="1">
        <v>44361</v>
      </c>
      <c r="E1451">
        <v>1</v>
      </c>
      <c r="F1451" t="s">
        <v>1204</v>
      </c>
      <c r="G1451" t="str">
        <f>"09-K01-04"</f>
        <v>09-K01-04</v>
      </c>
      <c r="H1451">
        <v>0.57820000000000005</v>
      </c>
      <c r="J1451" t="s">
        <v>14</v>
      </c>
      <c r="K1451" t="str">
        <f t="shared" si="76"/>
        <v>3F1</v>
      </c>
      <c r="L1451" t="s">
        <v>15</v>
      </c>
    </row>
    <row r="1452" spans="1:12" x14ac:dyDescent="0.25">
      <c r="A1452" t="str">
        <f>"2008290372"</f>
        <v>2008290372</v>
      </c>
      <c r="B1452" t="str">
        <f t="shared" si="73"/>
        <v>89301000</v>
      </c>
      <c r="C1452" s="1">
        <v>44378</v>
      </c>
      <c r="D1452" s="1">
        <v>44380</v>
      </c>
      <c r="E1452">
        <v>1</v>
      </c>
      <c r="F1452" t="s">
        <v>724</v>
      </c>
      <c r="G1452" t="str">
        <f>"06-K10-03"</f>
        <v>06-K10-03</v>
      </c>
      <c r="H1452">
        <v>0.43880000000000002</v>
      </c>
      <c r="J1452" t="s">
        <v>14</v>
      </c>
      <c r="K1452" t="str">
        <f t="shared" si="76"/>
        <v>3F1</v>
      </c>
      <c r="L1452" t="s">
        <v>15</v>
      </c>
    </row>
    <row r="1453" spans="1:12" x14ac:dyDescent="0.25">
      <c r="A1453" t="str">
        <f>"2009040187"</f>
        <v>2009040187</v>
      </c>
      <c r="B1453" t="str">
        <f t="shared" si="73"/>
        <v>89301000</v>
      </c>
      <c r="C1453" s="1">
        <v>44444</v>
      </c>
      <c r="D1453" s="1">
        <v>44445</v>
      </c>
      <c r="E1453">
        <v>1</v>
      </c>
      <c r="F1453" t="s">
        <v>780</v>
      </c>
      <c r="G1453" t="str">
        <f>"01-K16-05"</f>
        <v>01-K16-05</v>
      </c>
      <c r="H1453">
        <v>0.57979999999999998</v>
      </c>
      <c r="I1453" t="s">
        <v>1205</v>
      </c>
      <c r="J1453" t="s">
        <v>14</v>
      </c>
      <c r="K1453" t="str">
        <f t="shared" si="76"/>
        <v>3F1</v>
      </c>
      <c r="L1453" t="s">
        <v>15</v>
      </c>
    </row>
    <row r="1454" spans="1:12" x14ac:dyDescent="0.25">
      <c r="A1454" t="str">
        <f>"2009040627"</f>
        <v>2009040627</v>
      </c>
      <c r="B1454" t="str">
        <f t="shared" si="73"/>
        <v>89301000</v>
      </c>
      <c r="C1454" s="1">
        <v>44362</v>
      </c>
      <c r="D1454" s="1">
        <v>44365</v>
      </c>
      <c r="E1454">
        <v>1</v>
      </c>
      <c r="F1454" t="s">
        <v>96</v>
      </c>
      <c r="G1454" t="str">
        <f>"11-K01-03"</f>
        <v>11-K01-03</v>
      </c>
      <c r="H1454">
        <v>0.59489999999999998</v>
      </c>
      <c r="I1454" t="s">
        <v>356</v>
      </c>
      <c r="J1454" t="s">
        <v>14</v>
      </c>
      <c r="K1454" t="str">
        <f t="shared" si="76"/>
        <v>3F1</v>
      </c>
      <c r="L1454" t="s">
        <v>15</v>
      </c>
    </row>
    <row r="1455" spans="1:12" x14ac:dyDescent="0.25">
      <c r="A1455" t="str">
        <f>"2009051407"</f>
        <v>2009051407</v>
      </c>
      <c r="B1455" t="str">
        <f t="shared" si="73"/>
        <v>89301000</v>
      </c>
      <c r="C1455" s="1">
        <v>44551</v>
      </c>
      <c r="D1455" s="1">
        <v>44552</v>
      </c>
      <c r="E1455">
        <v>1</v>
      </c>
      <c r="F1455" t="s">
        <v>646</v>
      </c>
      <c r="G1455" t="str">
        <f>"06-K17-02"</f>
        <v>06-K17-02</v>
      </c>
      <c r="H1455">
        <v>0.29680000000000001</v>
      </c>
      <c r="I1455" t="s">
        <v>1206</v>
      </c>
      <c r="J1455" t="s">
        <v>14</v>
      </c>
      <c r="K1455" t="str">
        <f t="shared" si="76"/>
        <v>3F1</v>
      </c>
      <c r="L1455" t="s">
        <v>15</v>
      </c>
    </row>
    <row r="1456" spans="1:12" x14ac:dyDescent="0.25">
      <c r="A1456" t="str">
        <f>"2009080227"</f>
        <v>2009080227</v>
      </c>
      <c r="B1456" t="str">
        <f t="shared" si="73"/>
        <v>89301000</v>
      </c>
      <c r="C1456" s="1">
        <v>44395</v>
      </c>
      <c r="D1456" s="1">
        <v>44397</v>
      </c>
      <c r="E1456">
        <v>1</v>
      </c>
      <c r="F1456" t="s">
        <v>817</v>
      </c>
      <c r="G1456" t="str">
        <f>"06-K02-04"</f>
        <v>06-K02-04</v>
      </c>
      <c r="H1456">
        <v>0.3634</v>
      </c>
      <c r="I1456" t="s">
        <v>354</v>
      </c>
      <c r="J1456" t="s">
        <v>14</v>
      </c>
      <c r="K1456" t="str">
        <f t="shared" si="76"/>
        <v>3F1</v>
      </c>
      <c r="L1456" t="s">
        <v>15</v>
      </c>
    </row>
    <row r="1457" spans="1:12" x14ac:dyDescent="0.25">
      <c r="A1457" t="str">
        <f>"2010090709"</f>
        <v>2010090709</v>
      </c>
      <c r="B1457" t="str">
        <f t="shared" si="73"/>
        <v>89301000</v>
      </c>
      <c r="C1457" s="1">
        <v>44486</v>
      </c>
      <c r="D1457" s="1">
        <v>44488</v>
      </c>
      <c r="E1457">
        <v>1</v>
      </c>
      <c r="F1457" t="s">
        <v>1116</v>
      </c>
      <c r="G1457" t="str">
        <f>"06-I16-05"</f>
        <v>06-I16-05</v>
      </c>
      <c r="H1457">
        <v>0.46139999999999998</v>
      </c>
      <c r="I1457" t="s">
        <v>644</v>
      </c>
      <c r="J1457" t="s">
        <v>24</v>
      </c>
      <c r="K1457" t="str">
        <f t="shared" si="76"/>
        <v>3F1</v>
      </c>
      <c r="L1457" t="s">
        <v>15</v>
      </c>
    </row>
    <row r="1458" spans="1:12" x14ac:dyDescent="0.25">
      <c r="A1458" t="str">
        <f>"2010120629"</f>
        <v>2010120629</v>
      </c>
      <c r="B1458" t="str">
        <f t="shared" si="73"/>
        <v>89301000</v>
      </c>
      <c r="C1458" s="1">
        <v>44442</v>
      </c>
      <c r="D1458" s="1">
        <v>44445</v>
      </c>
      <c r="E1458">
        <v>1</v>
      </c>
      <c r="F1458" t="s">
        <v>957</v>
      </c>
      <c r="G1458" t="str">
        <f>"06-K02-04"</f>
        <v>06-K02-04</v>
      </c>
      <c r="H1458">
        <v>0.3634</v>
      </c>
      <c r="I1458" t="s">
        <v>168</v>
      </c>
      <c r="J1458" t="s">
        <v>14</v>
      </c>
      <c r="K1458" t="str">
        <f t="shared" si="76"/>
        <v>3F1</v>
      </c>
      <c r="L1458" t="s">
        <v>15</v>
      </c>
    </row>
    <row r="1459" spans="1:12" x14ac:dyDescent="0.25">
      <c r="A1459" t="str">
        <f>"2010140077"</f>
        <v>2010140077</v>
      </c>
      <c r="B1459" t="str">
        <f t="shared" si="73"/>
        <v>89301000</v>
      </c>
      <c r="C1459" s="1">
        <v>44252</v>
      </c>
      <c r="D1459" s="1">
        <v>44257</v>
      </c>
      <c r="E1459">
        <v>1</v>
      </c>
      <c r="F1459" t="s">
        <v>1207</v>
      </c>
      <c r="G1459" t="str">
        <f>"11-I17-03"</f>
        <v>11-I17-03</v>
      </c>
      <c r="H1459">
        <v>0.50609999999999999</v>
      </c>
      <c r="I1459" t="s">
        <v>1061</v>
      </c>
      <c r="J1459" t="s">
        <v>14</v>
      </c>
      <c r="K1459" t="str">
        <f t="shared" si="76"/>
        <v>3F1</v>
      </c>
      <c r="L1459" t="s">
        <v>15</v>
      </c>
    </row>
    <row r="1460" spans="1:12" x14ac:dyDescent="0.25">
      <c r="A1460" t="str">
        <f>"2010161494"</f>
        <v>2010161494</v>
      </c>
      <c r="B1460" t="str">
        <f t="shared" ref="B1460:B1522" si="77">"89301000"</f>
        <v>89301000</v>
      </c>
      <c r="C1460" s="1">
        <v>44494</v>
      </c>
      <c r="D1460" s="1">
        <v>44496</v>
      </c>
      <c r="E1460">
        <v>1</v>
      </c>
      <c r="F1460" t="s">
        <v>1177</v>
      </c>
      <c r="G1460" t="str">
        <f>"12-I10-02"</f>
        <v>12-I10-02</v>
      </c>
      <c r="H1460">
        <v>0.57379999999999998</v>
      </c>
      <c r="J1460" t="s">
        <v>24</v>
      </c>
      <c r="K1460" t="str">
        <f t="shared" si="76"/>
        <v>3F1</v>
      </c>
      <c r="L1460" t="s">
        <v>15</v>
      </c>
    </row>
    <row r="1461" spans="1:12" x14ac:dyDescent="0.25">
      <c r="A1461" t="str">
        <f>"2010170316"</f>
        <v>2010170316</v>
      </c>
      <c r="B1461" t="str">
        <f t="shared" si="77"/>
        <v>89301000</v>
      </c>
      <c r="C1461" s="1">
        <v>44469</v>
      </c>
      <c r="D1461" s="1">
        <v>44477</v>
      </c>
      <c r="E1461">
        <v>1</v>
      </c>
      <c r="F1461" t="s">
        <v>217</v>
      </c>
      <c r="G1461" t="str">
        <f>"04-K02-04"</f>
        <v>04-K02-04</v>
      </c>
      <c r="H1461">
        <v>0.82469999999999999</v>
      </c>
      <c r="I1461" t="s">
        <v>1020</v>
      </c>
      <c r="J1461" t="s">
        <v>14</v>
      </c>
      <c r="K1461" t="str">
        <f t="shared" si="76"/>
        <v>3F1</v>
      </c>
      <c r="L1461" t="s">
        <v>15</v>
      </c>
    </row>
    <row r="1462" spans="1:12" x14ac:dyDescent="0.25">
      <c r="A1462" t="str">
        <f>"2010170316"</f>
        <v>2010170316</v>
      </c>
      <c r="B1462" t="str">
        <f t="shared" si="77"/>
        <v>89301000</v>
      </c>
      <c r="C1462" s="1">
        <v>44482</v>
      </c>
      <c r="D1462" s="1">
        <v>44484</v>
      </c>
      <c r="E1462">
        <v>5</v>
      </c>
      <c r="F1462" t="s">
        <v>924</v>
      </c>
      <c r="G1462" t="str">
        <f>"06-K02-02"</f>
        <v>06-K02-02</v>
      </c>
      <c r="H1462">
        <v>0.79910000000000003</v>
      </c>
      <c r="I1462" t="s">
        <v>1209</v>
      </c>
      <c r="J1462" t="s">
        <v>14</v>
      </c>
      <c r="K1462" t="str">
        <f>"3T1"</f>
        <v>3T1</v>
      </c>
      <c r="L1462" t="s">
        <v>15</v>
      </c>
    </row>
    <row r="1463" spans="1:12" x14ac:dyDescent="0.25">
      <c r="A1463" t="str">
        <f>"2010170316"</f>
        <v>2010170316</v>
      </c>
      <c r="B1463" t="str">
        <f t="shared" si="77"/>
        <v>89301000</v>
      </c>
      <c r="C1463" s="1">
        <v>44546</v>
      </c>
      <c r="D1463" s="1">
        <v>44547</v>
      </c>
      <c r="E1463">
        <v>1</v>
      </c>
      <c r="F1463" t="s">
        <v>1014</v>
      </c>
      <c r="G1463" t="str">
        <f>"04-K12-00"</f>
        <v>04-K12-00</v>
      </c>
      <c r="H1463">
        <v>0.67300000000000004</v>
      </c>
      <c r="I1463" t="s">
        <v>841</v>
      </c>
      <c r="J1463" t="s">
        <v>14</v>
      </c>
      <c r="K1463" t="str">
        <f>"3F1"</f>
        <v>3F1</v>
      </c>
      <c r="L1463" t="s">
        <v>15</v>
      </c>
    </row>
    <row r="1464" spans="1:12" x14ac:dyDescent="0.25">
      <c r="A1464" t="str">
        <f>"2010180392"</f>
        <v>2010180392</v>
      </c>
      <c r="B1464" t="str">
        <f t="shared" si="77"/>
        <v>89301000</v>
      </c>
      <c r="C1464" s="1">
        <v>44397</v>
      </c>
      <c r="D1464" s="1">
        <v>44399</v>
      </c>
      <c r="E1464">
        <v>1</v>
      </c>
      <c r="F1464" t="s">
        <v>46</v>
      </c>
      <c r="G1464" t="str">
        <f>"06-K02-03"</f>
        <v>06-K02-03</v>
      </c>
      <c r="H1464">
        <v>0.47960000000000003</v>
      </c>
      <c r="I1464" t="s">
        <v>354</v>
      </c>
      <c r="J1464" t="s">
        <v>14</v>
      </c>
      <c r="K1464" t="str">
        <f>"3F1"</f>
        <v>3F1</v>
      </c>
      <c r="L1464" t="s">
        <v>15</v>
      </c>
    </row>
    <row r="1465" spans="1:12" x14ac:dyDescent="0.25">
      <c r="A1465" t="str">
        <f>"2010190006"</f>
        <v>2010190006</v>
      </c>
      <c r="B1465" t="str">
        <f t="shared" si="77"/>
        <v>89301000</v>
      </c>
      <c r="C1465" s="1">
        <v>44505</v>
      </c>
      <c r="D1465" s="1">
        <v>44509</v>
      </c>
      <c r="E1465">
        <v>1</v>
      </c>
      <c r="F1465" t="s">
        <v>841</v>
      </c>
      <c r="G1465" t="str">
        <f>"04-K03-03"</f>
        <v>04-K03-03</v>
      </c>
      <c r="H1465">
        <v>0.53180000000000005</v>
      </c>
      <c r="I1465" t="s">
        <v>168</v>
      </c>
      <c r="J1465" t="s">
        <v>14</v>
      </c>
      <c r="K1465" t="str">
        <f>"3F1"</f>
        <v>3F1</v>
      </c>
      <c r="L1465" t="s">
        <v>15</v>
      </c>
    </row>
    <row r="1466" spans="1:12" x14ac:dyDescent="0.25">
      <c r="A1466" t="str">
        <f>"2010220410"</f>
        <v>2010220410</v>
      </c>
      <c r="B1466" t="str">
        <f t="shared" si="77"/>
        <v>89301000</v>
      </c>
      <c r="C1466" s="1">
        <v>44126</v>
      </c>
      <c r="D1466" s="1">
        <v>44215</v>
      </c>
      <c r="E1466">
        <v>1</v>
      </c>
      <c r="F1466" t="s">
        <v>1210</v>
      </c>
      <c r="G1466" t="str">
        <f>"15-M01-01"</f>
        <v>15-M01-01</v>
      </c>
      <c r="H1466">
        <v>31.817299999999999</v>
      </c>
      <c r="I1466" t="s">
        <v>1211</v>
      </c>
      <c r="J1466" t="s">
        <v>1212</v>
      </c>
      <c r="K1466" t="str">
        <f>"3F4"</f>
        <v>3F4</v>
      </c>
      <c r="L1466" t="s">
        <v>15</v>
      </c>
    </row>
    <row r="1467" spans="1:12" x14ac:dyDescent="0.25">
      <c r="A1467" t="str">
        <f>"2010240232"</f>
        <v>2010240232</v>
      </c>
      <c r="B1467" t="str">
        <f t="shared" si="77"/>
        <v>89301000</v>
      </c>
      <c r="C1467" s="1">
        <v>44293</v>
      </c>
      <c r="D1467" s="1">
        <v>44295</v>
      </c>
      <c r="E1467">
        <v>1</v>
      </c>
      <c r="F1467" t="s">
        <v>617</v>
      </c>
      <c r="G1467" t="str">
        <f>"06-K02-04"</f>
        <v>06-K02-04</v>
      </c>
      <c r="H1467">
        <v>0.3634</v>
      </c>
      <c r="I1467" t="s">
        <v>168</v>
      </c>
      <c r="J1467" t="s">
        <v>14</v>
      </c>
      <c r="K1467" t="str">
        <f>"3F1"</f>
        <v>3F1</v>
      </c>
      <c r="L1467" t="s">
        <v>15</v>
      </c>
    </row>
    <row r="1468" spans="1:12" x14ac:dyDescent="0.25">
      <c r="A1468" t="str">
        <f>"2010250418"</f>
        <v>2010250418</v>
      </c>
      <c r="B1468" t="str">
        <f t="shared" si="77"/>
        <v>89301000</v>
      </c>
      <c r="C1468" s="1">
        <v>44195</v>
      </c>
      <c r="D1468" s="1">
        <v>44198</v>
      </c>
      <c r="E1468">
        <v>1</v>
      </c>
      <c r="F1468" t="s">
        <v>1096</v>
      </c>
      <c r="G1468" t="str">
        <f>"04-K02-04"</f>
        <v>04-K02-04</v>
      </c>
      <c r="H1468">
        <v>0.82469999999999999</v>
      </c>
      <c r="I1468" t="s">
        <v>168</v>
      </c>
      <c r="J1468" t="s">
        <v>14</v>
      </c>
      <c r="K1468" t="str">
        <f>"3F1"</f>
        <v>3F1</v>
      </c>
      <c r="L1468" t="s">
        <v>15</v>
      </c>
    </row>
    <row r="1469" spans="1:12" x14ac:dyDescent="0.25">
      <c r="A1469" t="str">
        <f>"2011060260"</f>
        <v>2011060260</v>
      </c>
      <c r="B1469" t="str">
        <f t="shared" si="77"/>
        <v>89301000</v>
      </c>
      <c r="C1469" s="1">
        <v>44405</v>
      </c>
      <c r="D1469" s="1">
        <v>44406</v>
      </c>
      <c r="E1469">
        <v>1</v>
      </c>
      <c r="F1469" t="s">
        <v>646</v>
      </c>
      <c r="G1469" t="str">
        <f>"06-K17-02"</f>
        <v>06-K17-02</v>
      </c>
      <c r="H1469">
        <v>0.29680000000000001</v>
      </c>
      <c r="I1469" t="s">
        <v>647</v>
      </c>
      <c r="J1469" t="s">
        <v>14</v>
      </c>
      <c r="K1469" t="str">
        <f>"3F1"</f>
        <v>3F1</v>
      </c>
      <c r="L1469" t="s">
        <v>15</v>
      </c>
    </row>
    <row r="1470" spans="1:12" x14ac:dyDescent="0.25">
      <c r="A1470" t="str">
        <f>"2011061866"</f>
        <v>2011061866</v>
      </c>
      <c r="B1470" t="str">
        <f t="shared" si="77"/>
        <v>89301000</v>
      </c>
      <c r="C1470" s="1">
        <v>44141</v>
      </c>
      <c r="D1470" s="1">
        <v>44209</v>
      </c>
      <c r="E1470">
        <v>1</v>
      </c>
      <c r="F1470" t="s">
        <v>1210</v>
      </c>
      <c r="G1470" t="str">
        <f>"15-M01-05"</f>
        <v>15-M01-05</v>
      </c>
      <c r="H1470">
        <v>16.0642</v>
      </c>
      <c r="I1470" t="s">
        <v>1213</v>
      </c>
      <c r="J1470" t="s">
        <v>1212</v>
      </c>
      <c r="K1470" t="str">
        <f>"3F4"</f>
        <v>3F4</v>
      </c>
      <c r="L1470" t="s">
        <v>15</v>
      </c>
    </row>
    <row r="1471" spans="1:12" x14ac:dyDescent="0.25">
      <c r="A1471" t="str">
        <f>"2011080324"</f>
        <v>2011080324</v>
      </c>
      <c r="B1471" t="str">
        <f t="shared" si="77"/>
        <v>89301000</v>
      </c>
      <c r="C1471" s="1">
        <v>44470</v>
      </c>
      <c r="D1471" s="1">
        <v>44471</v>
      </c>
      <c r="E1471">
        <v>1</v>
      </c>
      <c r="F1471" t="s">
        <v>1214</v>
      </c>
      <c r="G1471" t="str">
        <f>"22-K01-00"</f>
        <v>22-K01-00</v>
      </c>
      <c r="H1471">
        <v>0.2848</v>
      </c>
      <c r="I1471" t="s">
        <v>1215</v>
      </c>
      <c r="J1471" t="s">
        <v>14</v>
      </c>
      <c r="K1471" t="str">
        <f>"3F1"</f>
        <v>3F1</v>
      </c>
      <c r="L1471" t="s">
        <v>15</v>
      </c>
    </row>
    <row r="1472" spans="1:12" x14ac:dyDescent="0.25">
      <c r="A1472" t="str">
        <f>"2011120540"</f>
        <v>2011120540</v>
      </c>
      <c r="B1472" t="str">
        <f t="shared" si="77"/>
        <v>89301000</v>
      </c>
      <c r="C1472" s="1">
        <v>44200</v>
      </c>
      <c r="D1472" s="1">
        <v>44205</v>
      </c>
      <c r="E1472">
        <v>1</v>
      </c>
      <c r="F1472" t="s">
        <v>151</v>
      </c>
      <c r="G1472" t="str">
        <f>"06-I16-05"</f>
        <v>06-I16-05</v>
      </c>
      <c r="H1472">
        <v>0.64600000000000002</v>
      </c>
      <c r="I1472" t="s">
        <v>168</v>
      </c>
      <c r="J1472" t="s">
        <v>24</v>
      </c>
      <c r="K1472" t="str">
        <f>"3F1"</f>
        <v>3F1</v>
      </c>
      <c r="L1472" t="s">
        <v>15</v>
      </c>
    </row>
    <row r="1473" spans="1:12" x14ac:dyDescent="0.25">
      <c r="A1473" t="str">
        <f>"2011150834"</f>
        <v>2011150834</v>
      </c>
      <c r="B1473" t="str">
        <f t="shared" si="77"/>
        <v>89301000</v>
      </c>
      <c r="C1473" s="1">
        <v>44461</v>
      </c>
      <c r="D1473" s="1">
        <v>44463</v>
      </c>
      <c r="E1473">
        <v>1</v>
      </c>
      <c r="F1473" t="s">
        <v>841</v>
      </c>
      <c r="G1473" t="str">
        <f>"04-K03-03"</f>
        <v>04-K03-03</v>
      </c>
      <c r="H1473">
        <v>0.53180000000000005</v>
      </c>
      <c r="I1473" t="s">
        <v>1216</v>
      </c>
      <c r="J1473" t="s">
        <v>14</v>
      </c>
      <c r="K1473" t="str">
        <f>"3F1"</f>
        <v>3F1</v>
      </c>
      <c r="L1473" t="s">
        <v>15</v>
      </c>
    </row>
    <row r="1474" spans="1:12" x14ac:dyDescent="0.25">
      <c r="A1474" t="str">
        <f>"2011230243"</f>
        <v>2011230243</v>
      </c>
      <c r="B1474" t="str">
        <f t="shared" si="77"/>
        <v>89301000</v>
      </c>
      <c r="C1474" s="1">
        <v>44221</v>
      </c>
      <c r="D1474" s="1">
        <v>44230</v>
      </c>
      <c r="E1474">
        <v>1</v>
      </c>
      <c r="F1474" t="s">
        <v>18</v>
      </c>
      <c r="G1474" t="str">
        <f>"11-I10-03"</f>
        <v>11-I10-03</v>
      </c>
      <c r="H1474">
        <v>2.3313999999999999</v>
      </c>
      <c r="J1474" t="s">
        <v>17</v>
      </c>
      <c r="K1474" t="str">
        <f>"3F1"</f>
        <v>3F1</v>
      </c>
      <c r="L1474" t="s">
        <v>286</v>
      </c>
    </row>
    <row r="1475" spans="1:12" x14ac:dyDescent="0.25">
      <c r="A1475" t="str">
        <f>"2012030592"</f>
        <v>2012030592</v>
      </c>
      <c r="B1475" t="str">
        <f t="shared" si="77"/>
        <v>89301000</v>
      </c>
      <c r="C1475" s="1">
        <v>44501</v>
      </c>
      <c r="D1475" s="1">
        <v>44503</v>
      </c>
      <c r="E1475">
        <v>6</v>
      </c>
      <c r="F1475" t="s">
        <v>617</v>
      </c>
      <c r="G1475" t="str">
        <f>"06-K02-04"</f>
        <v>06-K02-04</v>
      </c>
      <c r="H1475">
        <v>0.3634</v>
      </c>
      <c r="I1475" t="s">
        <v>1217</v>
      </c>
      <c r="J1475" t="s">
        <v>14</v>
      </c>
      <c r="K1475" t="str">
        <f>"3T1"</f>
        <v>3T1</v>
      </c>
      <c r="L1475" t="s">
        <v>15</v>
      </c>
    </row>
    <row r="1476" spans="1:12" x14ac:dyDescent="0.25">
      <c r="A1476" t="str">
        <f>"2012030592"</f>
        <v>2012030592</v>
      </c>
      <c r="B1476" t="str">
        <f t="shared" si="77"/>
        <v>89301000</v>
      </c>
      <c r="C1476" s="1">
        <v>44413</v>
      </c>
      <c r="D1476" s="1">
        <v>44417</v>
      </c>
      <c r="E1476">
        <v>1</v>
      </c>
      <c r="F1476" t="s">
        <v>96</v>
      </c>
      <c r="G1476" t="str">
        <f>"11-K01-02"</f>
        <v>11-K01-02</v>
      </c>
      <c r="H1476">
        <v>0.82289999999999996</v>
      </c>
      <c r="I1476" t="s">
        <v>1218</v>
      </c>
      <c r="J1476" t="s">
        <v>14</v>
      </c>
      <c r="K1476" t="str">
        <f>"3F1"</f>
        <v>3F1</v>
      </c>
      <c r="L1476" t="s">
        <v>15</v>
      </c>
    </row>
    <row r="1477" spans="1:12" x14ac:dyDescent="0.25">
      <c r="A1477" t="str">
        <f>"2012030592"</f>
        <v>2012030592</v>
      </c>
      <c r="B1477" t="str">
        <f t="shared" si="77"/>
        <v>89301000</v>
      </c>
      <c r="C1477" s="1">
        <v>44319</v>
      </c>
      <c r="D1477" s="1">
        <v>44321</v>
      </c>
      <c r="E1477">
        <v>1</v>
      </c>
      <c r="F1477" t="s">
        <v>1152</v>
      </c>
      <c r="G1477" t="str">
        <f>"18-K02-04"</f>
        <v>18-K02-04</v>
      </c>
      <c r="H1477">
        <v>0.83260000000000001</v>
      </c>
      <c r="I1477" t="s">
        <v>1219</v>
      </c>
      <c r="J1477" t="s">
        <v>14</v>
      </c>
      <c r="K1477" t="str">
        <f>"3F1"</f>
        <v>3F1</v>
      </c>
      <c r="L1477" t="s">
        <v>15</v>
      </c>
    </row>
    <row r="1478" spans="1:12" x14ac:dyDescent="0.25">
      <c r="A1478" t="str">
        <f>"2012060336"</f>
        <v>2012060336</v>
      </c>
      <c r="B1478" t="str">
        <f t="shared" si="77"/>
        <v>89301000</v>
      </c>
      <c r="C1478" s="1">
        <v>44462</v>
      </c>
      <c r="D1478" s="1">
        <v>44468</v>
      </c>
      <c r="E1478">
        <v>1</v>
      </c>
      <c r="F1478" t="s">
        <v>982</v>
      </c>
      <c r="G1478" t="str">
        <f>"04-K02-04"</f>
        <v>04-K02-04</v>
      </c>
      <c r="H1478">
        <v>0.82469999999999999</v>
      </c>
      <c r="I1478" t="s">
        <v>530</v>
      </c>
      <c r="J1478" t="s">
        <v>14</v>
      </c>
      <c r="K1478" t="str">
        <f>"3F1"</f>
        <v>3F1</v>
      </c>
      <c r="L1478" t="s">
        <v>15</v>
      </c>
    </row>
    <row r="1479" spans="1:12" x14ac:dyDescent="0.25">
      <c r="A1479" t="str">
        <f>"2012130615"</f>
        <v>2012130615</v>
      </c>
      <c r="B1479" t="str">
        <f t="shared" si="77"/>
        <v>89301000</v>
      </c>
      <c r="C1479" s="1">
        <v>44389</v>
      </c>
      <c r="D1479" s="1">
        <v>44403</v>
      </c>
      <c r="E1479">
        <v>1</v>
      </c>
      <c r="F1479" t="s">
        <v>1170</v>
      </c>
      <c r="G1479" t="str">
        <f>"11-I10-03"</f>
        <v>11-I10-03</v>
      </c>
      <c r="H1479">
        <v>2.3313999999999999</v>
      </c>
      <c r="J1479" t="s">
        <v>17</v>
      </c>
      <c r="K1479" t="str">
        <f>"3F1"</f>
        <v>3F1</v>
      </c>
      <c r="L1479" t="s">
        <v>15</v>
      </c>
    </row>
    <row r="1480" spans="1:12" x14ac:dyDescent="0.25">
      <c r="A1480" t="str">
        <f>"2012170446"</f>
        <v>2012170446</v>
      </c>
      <c r="B1480" t="str">
        <f t="shared" si="77"/>
        <v>89301000</v>
      </c>
      <c r="C1480" s="1">
        <v>44433</v>
      </c>
      <c r="D1480" s="1">
        <v>44448</v>
      </c>
      <c r="E1480">
        <v>1</v>
      </c>
      <c r="F1480" t="s">
        <v>1170</v>
      </c>
      <c r="G1480" t="str">
        <f>"11-I10-03"</f>
        <v>11-I10-03</v>
      </c>
      <c r="H1480">
        <v>2.3313999999999999</v>
      </c>
      <c r="I1480" t="s">
        <v>18</v>
      </c>
      <c r="J1480" t="s">
        <v>17</v>
      </c>
      <c r="K1480" t="str">
        <f>"3F1"</f>
        <v>3F1</v>
      </c>
      <c r="L1480" t="s">
        <v>15</v>
      </c>
    </row>
    <row r="1481" spans="1:12" x14ac:dyDescent="0.25">
      <c r="A1481" t="str">
        <f>"2012190279"</f>
        <v>2012190279</v>
      </c>
      <c r="B1481" t="str">
        <f t="shared" si="77"/>
        <v>89301000</v>
      </c>
      <c r="C1481" s="1">
        <v>44207</v>
      </c>
      <c r="D1481" s="1">
        <v>44210</v>
      </c>
      <c r="E1481">
        <v>1</v>
      </c>
      <c r="F1481" t="s">
        <v>1220</v>
      </c>
      <c r="G1481" t="str">
        <f>"15-K07-02"</f>
        <v>15-K07-02</v>
      </c>
      <c r="H1481">
        <v>1.0072000000000001</v>
      </c>
      <c r="J1481" t="s">
        <v>59</v>
      </c>
      <c r="K1481" t="str">
        <f>"3F4"</f>
        <v>3F4</v>
      </c>
      <c r="L1481" t="s">
        <v>15</v>
      </c>
    </row>
    <row r="1482" spans="1:12" x14ac:dyDescent="0.25">
      <c r="A1482" t="str">
        <f>"2012200322"</f>
        <v>2012200322</v>
      </c>
      <c r="B1482" t="str">
        <f t="shared" si="77"/>
        <v>89301000</v>
      </c>
      <c r="C1482" s="1">
        <v>44185</v>
      </c>
      <c r="D1482" s="1">
        <v>44223</v>
      </c>
      <c r="E1482">
        <v>1</v>
      </c>
      <c r="F1482" t="s">
        <v>1221</v>
      </c>
      <c r="G1482" t="str">
        <f>"15-M01-13"</f>
        <v>15-M01-13</v>
      </c>
      <c r="H1482">
        <v>4.1230000000000002</v>
      </c>
      <c r="I1482" t="s">
        <v>1222</v>
      </c>
      <c r="J1482" t="s">
        <v>1212</v>
      </c>
      <c r="K1482" t="str">
        <f>"3F4"</f>
        <v>3F4</v>
      </c>
      <c r="L1482" t="s">
        <v>15</v>
      </c>
    </row>
    <row r="1483" spans="1:12" x14ac:dyDescent="0.25">
      <c r="A1483" t="str">
        <f>"2012221728"</f>
        <v>2012221728</v>
      </c>
      <c r="B1483" t="str">
        <f t="shared" si="77"/>
        <v>89301000</v>
      </c>
      <c r="C1483" s="1">
        <v>44356</v>
      </c>
      <c r="D1483" s="1">
        <v>44362</v>
      </c>
      <c r="E1483">
        <v>1</v>
      </c>
      <c r="F1483" t="s">
        <v>562</v>
      </c>
      <c r="G1483" t="str">
        <f>"01-K03-07"</f>
        <v>01-K03-07</v>
      </c>
      <c r="H1483">
        <v>0.60250000000000004</v>
      </c>
      <c r="I1483" t="s">
        <v>1223</v>
      </c>
      <c r="J1483" t="s">
        <v>14</v>
      </c>
      <c r="K1483" t="str">
        <f>"3F1"</f>
        <v>3F1</v>
      </c>
      <c r="L1483" t="s">
        <v>15</v>
      </c>
    </row>
    <row r="1484" spans="1:12" x14ac:dyDescent="0.25">
      <c r="A1484" t="str">
        <f>"2012221728"</f>
        <v>2012221728</v>
      </c>
      <c r="B1484" t="str">
        <f t="shared" si="77"/>
        <v>89301000</v>
      </c>
      <c r="C1484" s="1">
        <v>44187</v>
      </c>
      <c r="D1484" s="1">
        <v>44218</v>
      </c>
      <c r="E1484">
        <v>1</v>
      </c>
      <c r="F1484" t="s">
        <v>1221</v>
      </c>
      <c r="G1484" t="str">
        <f>"15-M01-12"</f>
        <v>15-M01-12</v>
      </c>
      <c r="H1484">
        <v>4.8940999999999999</v>
      </c>
      <c r="I1484" t="s">
        <v>1224</v>
      </c>
      <c r="J1484" t="s">
        <v>1212</v>
      </c>
      <c r="K1484" t="str">
        <f>"3F4"</f>
        <v>3F4</v>
      </c>
      <c r="L1484" t="s">
        <v>15</v>
      </c>
    </row>
    <row r="1485" spans="1:12" x14ac:dyDescent="0.25">
      <c r="A1485" t="str">
        <f>"2012221728"</f>
        <v>2012221728</v>
      </c>
      <c r="B1485" t="str">
        <f t="shared" si="77"/>
        <v>89301000</v>
      </c>
      <c r="C1485" s="1">
        <v>44320</v>
      </c>
      <c r="D1485" s="1">
        <v>44337</v>
      </c>
      <c r="E1485">
        <v>1</v>
      </c>
      <c r="F1485" t="s">
        <v>1225</v>
      </c>
      <c r="G1485" t="str">
        <f>"01-K16-02"</f>
        <v>01-K16-02</v>
      </c>
      <c r="H1485">
        <v>1.3270999999999999</v>
      </c>
      <c r="I1485" t="s">
        <v>1226</v>
      </c>
      <c r="J1485" t="s">
        <v>14</v>
      </c>
      <c r="K1485" t="str">
        <f>"3F1"</f>
        <v>3F1</v>
      </c>
      <c r="L1485" t="s">
        <v>15</v>
      </c>
    </row>
    <row r="1486" spans="1:12" x14ac:dyDescent="0.25">
      <c r="A1486" t="str">
        <f>"2012221728"</f>
        <v>2012221728</v>
      </c>
      <c r="B1486" t="str">
        <f t="shared" si="77"/>
        <v>89301000</v>
      </c>
      <c r="C1486" s="1">
        <v>44252</v>
      </c>
      <c r="D1486" s="1">
        <v>44252</v>
      </c>
      <c r="E1486">
        <v>1</v>
      </c>
      <c r="F1486" t="s">
        <v>1227</v>
      </c>
      <c r="G1486" t="str">
        <f>"16-K02-03"</f>
        <v>16-K02-03</v>
      </c>
      <c r="H1486">
        <v>0.3165</v>
      </c>
      <c r="J1486" t="s">
        <v>14</v>
      </c>
      <c r="K1486" t="str">
        <f>"3F4"</f>
        <v>3F4</v>
      </c>
      <c r="L1486" t="s">
        <v>15</v>
      </c>
    </row>
    <row r="1487" spans="1:12" x14ac:dyDescent="0.25">
      <c r="A1487" t="str">
        <f>"2012270876"</f>
        <v>2012270876</v>
      </c>
      <c r="B1487" t="str">
        <f t="shared" si="77"/>
        <v>89301000</v>
      </c>
      <c r="C1487" s="1">
        <v>44285</v>
      </c>
      <c r="D1487" s="1">
        <v>44289</v>
      </c>
      <c r="E1487">
        <v>1</v>
      </c>
      <c r="F1487" t="s">
        <v>151</v>
      </c>
      <c r="G1487" t="str">
        <f>"06-I16-05"</f>
        <v>06-I16-05</v>
      </c>
      <c r="H1487">
        <v>0.55369999999999997</v>
      </c>
      <c r="I1487" t="s">
        <v>1228</v>
      </c>
      <c r="J1487" t="s">
        <v>24</v>
      </c>
      <c r="K1487" t="str">
        <f>"3F1"</f>
        <v>3F1</v>
      </c>
      <c r="L1487" t="s">
        <v>15</v>
      </c>
    </row>
    <row r="1488" spans="1:12" x14ac:dyDescent="0.25">
      <c r="A1488" t="str">
        <f>"2012280457"</f>
        <v>2012280457</v>
      </c>
      <c r="B1488" t="str">
        <f t="shared" si="77"/>
        <v>89301000</v>
      </c>
      <c r="C1488" s="1">
        <v>44193</v>
      </c>
      <c r="D1488" s="1">
        <v>44201</v>
      </c>
      <c r="E1488">
        <v>1</v>
      </c>
      <c r="F1488" t="s">
        <v>1221</v>
      </c>
      <c r="G1488" t="str">
        <f>"15-K05-02"</f>
        <v>15-K05-02</v>
      </c>
      <c r="H1488">
        <v>1.2017</v>
      </c>
      <c r="I1488" t="s">
        <v>1229</v>
      </c>
      <c r="J1488" t="s">
        <v>1212</v>
      </c>
      <c r="K1488" t="str">
        <f>"3F4"</f>
        <v>3F4</v>
      </c>
      <c r="L1488" t="s">
        <v>15</v>
      </c>
    </row>
    <row r="1489" spans="1:12" x14ac:dyDescent="0.25">
      <c r="A1489" t="str">
        <f>"2051100480"</f>
        <v>2051100480</v>
      </c>
      <c r="B1489" t="str">
        <f t="shared" si="77"/>
        <v>89301000</v>
      </c>
      <c r="C1489" s="1">
        <v>44425</v>
      </c>
      <c r="D1489" s="1">
        <v>44428</v>
      </c>
      <c r="E1489">
        <v>1</v>
      </c>
      <c r="F1489" t="s">
        <v>617</v>
      </c>
      <c r="G1489" t="str">
        <f>"06-K02-04"</f>
        <v>06-K02-04</v>
      </c>
      <c r="H1489">
        <v>0.3634</v>
      </c>
      <c r="I1489" t="s">
        <v>168</v>
      </c>
      <c r="J1489" t="s">
        <v>14</v>
      </c>
      <c r="K1489" t="str">
        <f t="shared" ref="K1489:K1501" si="78">"3F1"</f>
        <v>3F1</v>
      </c>
      <c r="L1489" t="s">
        <v>15</v>
      </c>
    </row>
    <row r="1490" spans="1:12" x14ac:dyDescent="0.25">
      <c r="A1490" t="str">
        <f>"2051140498"</f>
        <v>2051140498</v>
      </c>
      <c r="B1490" t="str">
        <f t="shared" si="77"/>
        <v>89301000</v>
      </c>
      <c r="C1490" s="1">
        <v>44503</v>
      </c>
      <c r="D1490" s="1">
        <v>44505</v>
      </c>
      <c r="E1490">
        <v>1</v>
      </c>
      <c r="F1490" t="s">
        <v>720</v>
      </c>
      <c r="G1490" t="str">
        <f>"06-K02-04"</f>
        <v>06-K02-04</v>
      </c>
      <c r="H1490">
        <v>0.3634</v>
      </c>
      <c r="I1490" t="s">
        <v>552</v>
      </c>
      <c r="J1490" t="s">
        <v>14</v>
      </c>
      <c r="K1490" t="str">
        <f t="shared" si="78"/>
        <v>3F1</v>
      </c>
      <c r="L1490" t="s">
        <v>15</v>
      </c>
    </row>
    <row r="1491" spans="1:12" x14ac:dyDescent="0.25">
      <c r="A1491" t="str">
        <f>"2051260200"</f>
        <v>2051260200</v>
      </c>
      <c r="B1491" t="str">
        <f t="shared" si="77"/>
        <v>89301000</v>
      </c>
      <c r="C1491" s="1">
        <v>44370</v>
      </c>
      <c r="D1491" s="1">
        <v>44371</v>
      </c>
      <c r="E1491">
        <v>1</v>
      </c>
      <c r="F1491" t="s">
        <v>646</v>
      </c>
      <c r="G1491" t="str">
        <f>"06-M01-05"</f>
        <v>06-M01-05</v>
      </c>
      <c r="H1491">
        <v>0.4395</v>
      </c>
      <c r="I1491" t="s">
        <v>647</v>
      </c>
      <c r="J1491" t="s">
        <v>14</v>
      </c>
      <c r="K1491" t="str">
        <f t="shared" si="78"/>
        <v>3F1</v>
      </c>
      <c r="L1491" t="s">
        <v>15</v>
      </c>
    </row>
    <row r="1492" spans="1:12" x14ac:dyDescent="0.25">
      <c r="A1492" t="str">
        <f>"2051270661"</f>
        <v>2051270661</v>
      </c>
      <c r="B1492" t="str">
        <f t="shared" si="77"/>
        <v>89301000</v>
      </c>
      <c r="C1492" s="1">
        <v>44243</v>
      </c>
      <c r="D1492" s="1">
        <v>44247</v>
      </c>
      <c r="E1492">
        <v>1</v>
      </c>
      <c r="F1492" t="s">
        <v>980</v>
      </c>
      <c r="G1492" t="str">
        <f>"03-K02-02"</f>
        <v>03-K02-02</v>
      </c>
      <c r="H1492">
        <v>0.56889999999999996</v>
      </c>
      <c r="I1492" t="s">
        <v>274</v>
      </c>
      <c r="J1492" t="s">
        <v>14</v>
      </c>
      <c r="K1492" t="str">
        <f t="shared" si="78"/>
        <v>3F1</v>
      </c>
      <c r="L1492" t="s">
        <v>15</v>
      </c>
    </row>
    <row r="1493" spans="1:12" x14ac:dyDescent="0.25">
      <c r="A1493" t="str">
        <f>"2052070207"</f>
        <v>2052070207</v>
      </c>
      <c r="B1493" t="str">
        <f t="shared" si="77"/>
        <v>89301000</v>
      </c>
      <c r="C1493" s="1">
        <v>44448</v>
      </c>
      <c r="D1493" s="1">
        <v>44455</v>
      </c>
      <c r="E1493">
        <v>1</v>
      </c>
      <c r="F1493" t="s">
        <v>724</v>
      </c>
      <c r="G1493" t="str">
        <f>"06-I07-02"</f>
        <v>06-I07-02</v>
      </c>
      <c r="H1493">
        <v>4.4950000000000001</v>
      </c>
      <c r="I1493" t="s">
        <v>1230</v>
      </c>
      <c r="J1493" t="s">
        <v>17</v>
      </c>
      <c r="K1493" t="str">
        <f t="shared" si="78"/>
        <v>3F1</v>
      </c>
      <c r="L1493" t="s">
        <v>15</v>
      </c>
    </row>
    <row r="1494" spans="1:12" x14ac:dyDescent="0.25">
      <c r="A1494" t="str">
        <f>"2052070207"</f>
        <v>2052070207</v>
      </c>
      <c r="B1494" t="str">
        <f t="shared" si="77"/>
        <v>89301000</v>
      </c>
      <c r="C1494" s="1">
        <v>44209</v>
      </c>
      <c r="D1494" s="1">
        <v>44211</v>
      </c>
      <c r="E1494">
        <v>1</v>
      </c>
      <c r="F1494" t="s">
        <v>724</v>
      </c>
      <c r="G1494" t="str">
        <f>"06-K10-03"</f>
        <v>06-K10-03</v>
      </c>
      <c r="H1494">
        <v>0.43880000000000002</v>
      </c>
      <c r="I1494" t="s">
        <v>1140</v>
      </c>
      <c r="J1494" t="s">
        <v>14</v>
      </c>
      <c r="K1494" t="str">
        <f t="shared" si="78"/>
        <v>3F1</v>
      </c>
      <c r="L1494" t="s">
        <v>15</v>
      </c>
    </row>
    <row r="1495" spans="1:12" x14ac:dyDescent="0.25">
      <c r="A1495" t="str">
        <f>"2052110566"</f>
        <v>2052110566</v>
      </c>
      <c r="B1495" t="str">
        <f t="shared" si="77"/>
        <v>89301000</v>
      </c>
      <c r="C1495" s="1">
        <v>44558</v>
      </c>
      <c r="D1495" s="1">
        <v>44558</v>
      </c>
      <c r="E1495">
        <v>1</v>
      </c>
      <c r="F1495" t="s">
        <v>796</v>
      </c>
      <c r="G1495" t="str">
        <f>"09-K01-04"</f>
        <v>09-K01-04</v>
      </c>
      <c r="H1495">
        <v>0.29649999999999999</v>
      </c>
      <c r="I1495" t="s">
        <v>168</v>
      </c>
      <c r="J1495" t="s">
        <v>14</v>
      </c>
      <c r="K1495" t="str">
        <f t="shared" si="78"/>
        <v>3F1</v>
      </c>
      <c r="L1495" t="s">
        <v>15</v>
      </c>
    </row>
    <row r="1496" spans="1:12" x14ac:dyDescent="0.25">
      <c r="A1496" t="str">
        <f>"2052160088"</f>
        <v>2052160088</v>
      </c>
      <c r="B1496" t="str">
        <f t="shared" si="77"/>
        <v>89301000</v>
      </c>
      <c r="C1496" s="1">
        <v>44555</v>
      </c>
      <c r="D1496" s="1">
        <v>44556</v>
      </c>
      <c r="E1496">
        <v>1</v>
      </c>
      <c r="F1496" t="s">
        <v>1231</v>
      </c>
      <c r="G1496" t="str">
        <f>"23-K04-02"</f>
        <v>23-K04-02</v>
      </c>
      <c r="H1496">
        <v>0.38690000000000002</v>
      </c>
      <c r="J1496" t="s">
        <v>14</v>
      </c>
      <c r="K1496" t="str">
        <f t="shared" si="78"/>
        <v>3F1</v>
      </c>
      <c r="L1496" t="s">
        <v>15</v>
      </c>
    </row>
    <row r="1497" spans="1:12" x14ac:dyDescent="0.25">
      <c r="A1497" t="str">
        <f>"2053010311"</f>
        <v>2053010311</v>
      </c>
      <c r="B1497" t="str">
        <f t="shared" si="77"/>
        <v>89301000</v>
      </c>
      <c r="C1497" s="1">
        <v>44483</v>
      </c>
      <c r="D1497" s="1">
        <v>44484</v>
      </c>
      <c r="E1497">
        <v>1</v>
      </c>
      <c r="F1497" t="s">
        <v>287</v>
      </c>
      <c r="G1497" t="str">
        <f>"01-K16-06"</f>
        <v>01-K16-06</v>
      </c>
      <c r="H1497">
        <v>0.26469999999999999</v>
      </c>
      <c r="I1497" t="s">
        <v>736</v>
      </c>
      <c r="J1497" t="s">
        <v>14</v>
      </c>
      <c r="K1497" t="str">
        <f t="shared" si="78"/>
        <v>3F1</v>
      </c>
      <c r="L1497" t="s">
        <v>15</v>
      </c>
    </row>
    <row r="1498" spans="1:12" x14ac:dyDescent="0.25">
      <c r="A1498" t="str">
        <f>"2053020519"</f>
        <v>2053020519</v>
      </c>
      <c r="B1498" t="str">
        <f t="shared" si="77"/>
        <v>89301000</v>
      </c>
      <c r="C1498" s="1">
        <v>44547</v>
      </c>
      <c r="D1498" s="1">
        <v>44549</v>
      </c>
      <c r="E1498">
        <v>1</v>
      </c>
      <c r="F1498" t="s">
        <v>957</v>
      </c>
      <c r="G1498" t="str">
        <f>"06-K02-04"</f>
        <v>06-K02-04</v>
      </c>
      <c r="H1498">
        <v>0.3634</v>
      </c>
      <c r="I1498" t="s">
        <v>168</v>
      </c>
      <c r="J1498" t="s">
        <v>14</v>
      </c>
      <c r="K1498" t="str">
        <f t="shared" si="78"/>
        <v>3F1</v>
      </c>
      <c r="L1498" t="s">
        <v>15</v>
      </c>
    </row>
    <row r="1499" spans="1:12" x14ac:dyDescent="0.25">
      <c r="A1499" t="str">
        <f>"2053160241"</f>
        <v>2053160241</v>
      </c>
      <c r="B1499" t="str">
        <f t="shared" si="77"/>
        <v>89301000</v>
      </c>
      <c r="C1499" s="1">
        <v>44424</v>
      </c>
      <c r="D1499" s="1">
        <v>44435</v>
      </c>
      <c r="E1499">
        <v>1</v>
      </c>
      <c r="F1499" t="s">
        <v>751</v>
      </c>
      <c r="G1499" t="str">
        <f>"11-I10-03"</f>
        <v>11-I10-03</v>
      </c>
      <c r="H1499">
        <v>2.3313999999999999</v>
      </c>
      <c r="J1499" t="s">
        <v>17</v>
      </c>
      <c r="K1499" t="str">
        <f t="shared" si="78"/>
        <v>3F1</v>
      </c>
      <c r="L1499" t="s">
        <v>15</v>
      </c>
    </row>
    <row r="1500" spans="1:12" x14ac:dyDescent="0.25">
      <c r="A1500" t="str">
        <f>"2053201623"</f>
        <v>2053201623</v>
      </c>
      <c r="B1500" t="str">
        <f t="shared" si="77"/>
        <v>89301000</v>
      </c>
      <c r="C1500" s="1">
        <v>44225</v>
      </c>
      <c r="D1500" s="1">
        <v>44231</v>
      </c>
      <c r="E1500">
        <v>1</v>
      </c>
      <c r="F1500" t="s">
        <v>96</v>
      </c>
      <c r="G1500" t="str">
        <f>"11-K01-03"</f>
        <v>11-K01-03</v>
      </c>
      <c r="H1500">
        <v>0.59489999999999998</v>
      </c>
      <c r="I1500" t="s">
        <v>1073</v>
      </c>
      <c r="J1500" t="s">
        <v>14</v>
      </c>
      <c r="K1500" t="str">
        <f t="shared" si="78"/>
        <v>3F1</v>
      </c>
      <c r="L1500" t="s">
        <v>15</v>
      </c>
    </row>
    <row r="1501" spans="1:12" x14ac:dyDescent="0.25">
      <c r="A1501" t="str">
        <f>"2053210555"</f>
        <v>2053210555</v>
      </c>
      <c r="B1501" t="str">
        <f t="shared" si="77"/>
        <v>89301000</v>
      </c>
      <c r="C1501" s="1">
        <v>44502</v>
      </c>
      <c r="D1501" s="1">
        <v>44504</v>
      </c>
      <c r="E1501">
        <v>1</v>
      </c>
      <c r="F1501" t="s">
        <v>950</v>
      </c>
      <c r="G1501" t="str">
        <f>"04-K03-03"</f>
        <v>04-K03-03</v>
      </c>
      <c r="H1501">
        <v>0.53180000000000005</v>
      </c>
      <c r="I1501" t="s">
        <v>168</v>
      </c>
      <c r="J1501" t="s">
        <v>14</v>
      </c>
      <c r="K1501" t="str">
        <f t="shared" si="78"/>
        <v>3F1</v>
      </c>
      <c r="L1501" t="s">
        <v>15</v>
      </c>
    </row>
    <row r="1502" spans="1:12" x14ac:dyDescent="0.25">
      <c r="A1502" t="str">
        <f>"2053230047"</f>
        <v>2053230047</v>
      </c>
      <c r="B1502" t="str">
        <f t="shared" si="77"/>
        <v>89301000</v>
      </c>
      <c r="C1502" s="1">
        <v>44225</v>
      </c>
      <c r="D1502" s="1">
        <v>44231</v>
      </c>
      <c r="E1502">
        <v>7</v>
      </c>
      <c r="F1502" t="s">
        <v>290</v>
      </c>
      <c r="G1502" t="str">
        <f>"00-M01-04"</f>
        <v>00-M01-04</v>
      </c>
      <c r="H1502">
        <v>6.85</v>
      </c>
      <c r="I1502" t="s">
        <v>1232</v>
      </c>
      <c r="J1502" t="s">
        <v>14</v>
      </c>
      <c r="K1502" t="str">
        <f>"3T1"</f>
        <v>3T1</v>
      </c>
      <c r="L1502" t="s">
        <v>15</v>
      </c>
    </row>
    <row r="1503" spans="1:12" x14ac:dyDescent="0.25">
      <c r="A1503" t="str">
        <f>"2054030484"</f>
        <v>2054030484</v>
      </c>
      <c r="B1503" t="str">
        <f t="shared" si="77"/>
        <v>89301000</v>
      </c>
      <c r="C1503" s="1">
        <v>44306</v>
      </c>
      <c r="D1503" s="1">
        <v>44308</v>
      </c>
      <c r="E1503">
        <v>1</v>
      </c>
      <c r="F1503" t="s">
        <v>1039</v>
      </c>
      <c r="G1503" t="str">
        <f>"16-K03-02"</f>
        <v>16-K03-02</v>
      </c>
      <c r="H1503">
        <v>0.92249999999999999</v>
      </c>
      <c r="I1503" t="s">
        <v>1233</v>
      </c>
      <c r="J1503" t="s">
        <v>14</v>
      </c>
      <c r="K1503" t="str">
        <f>"3F1"</f>
        <v>3F1</v>
      </c>
      <c r="L1503" t="s">
        <v>15</v>
      </c>
    </row>
    <row r="1504" spans="1:12" x14ac:dyDescent="0.25">
      <c r="A1504" t="str">
        <f>"2054161604"</f>
        <v>2054161604</v>
      </c>
      <c r="B1504" t="str">
        <f t="shared" si="77"/>
        <v>89301000</v>
      </c>
      <c r="C1504" s="1">
        <v>44199</v>
      </c>
      <c r="D1504" s="1">
        <v>44202</v>
      </c>
      <c r="E1504">
        <v>5</v>
      </c>
      <c r="F1504" t="s">
        <v>627</v>
      </c>
      <c r="G1504" t="str">
        <f>"04-M01-06"</f>
        <v>04-M01-06</v>
      </c>
      <c r="H1504">
        <v>3.5308999999999999</v>
      </c>
      <c r="I1504" t="s">
        <v>1234</v>
      </c>
      <c r="J1504" t="s">
        <v>14</v>
      </c>
      <c r="K1504" t="str">
        <f>"3T1"</f>
        <v>3T1</v>
      </c>
      <c r="L1504" t="s">
        <v>15</v>
      </c>
    </row>
    <row r="1505" spans="1:12" x14ac:dyDescent="0.25">
      <c r="A1505" t="str">
        <f>"2054170679"</f>
        <v>2054170679</v>
      </c>
      <c r="B1505" t="str">
        <f t="shared" si="77"/>
        <v>89301000</v>
      </c>
      <c r="C1505" s="1">
        <v>44511</v>
      </c>
      <c r="D1505" s="1">
        <v>44513</v>
      </c>
      <c r="E1505">
        <v>1</v>
      </c>
      <c r="F1505" t="s">
        <v>448</v>
      </c>
      <c r="G1505" t="str">
        <f>"11-K01-03"</f>
        <v>11-K01-03</v>
      </c>
      <c r="H1505">
        <v>0.59489999999999998</v>
      </c>
      <c r="I1505" t="s">
        <v>552</v>
      </c>
      <c r="J1505" t="s">
        <v>14</v>
      </c>
      <c r="K1505" t="str">
        <f t="shared" ref="K1505:K1536" si="79">"3F1"</f>
        <v>3F1</v>
      </c>
      <c r="L1505" t="s">
        <v>15</v>
      </c>
    </row>
    <row r="1506" spans="1:12" x14ac:dyDescent="0.25">
      <c r="A1506" t="str">
        <f>"2054170679"</f>
        <v>2054170679</v>
      </c>
      <c r="B1506" t="str">
        <f t="shared" si="77"/>
        <v>89301000</v>
      </c>
      <c r="C1506" s="1">
        <v>44471</v>
      </c>
      <c r="D1506" s="1">
        <v>44473</v>
      </c>
      <c r="E1506">
        <v>1</v>
      </c>
      <c r="F1506" t="s">
        <v>96</v>
      </c>
      <c r="G1506" t="str">
        <f>"11-K01-03"</f>
        <v>11-K01-03</v>
      </c>
      <c r="H1506">
        <v>0.59489999999999998</v>
      </c>
      <c r="I1506" t="s">
        <v>168</v>
      </c>
      <c r="J1506" t="s">
        <v>14</v>
      </c>
      <c r="K1506" t="str">
        <f t="shared" si="79"/>
        <v>3F1</v>
      </c>
      <c r="L1506" t="s">
        <v>15</v>
      </c>
    </row>
    <row r="1507" spans="1:12" x14ac:dyDescent="0.25">
      <c r="A1507" t="str">
        <f>"2054270009"</f>
        <v>2054270009</v>
      </c>
      <c r="B1507" t="str">
        <f t="shared" si="77"/>
        <v>89301000</v>
      </c>
      <c r="C1507" s="1">
        <v>44502</v>
      </c>
      <c r="D1507" s="1">
        <v>44504</v>
      </c>
      <c r="E1507">
        <v>1</v>
      </c>
      <c r="F1507" t="s">
        <v>1235</v>
      </c>
      <c r="G1507" t="str">
        <f>"01-I14-02"</f>
        <v>01-I14-02</v>
      </c>
      <c r="H1507">
        <v>1.1561999999999999</v>
      </c>
      <c r="J1507" t="s">
        <v>14</v>
      </c>
      <c r="K1507" t="str">
        <f t="shared" si="79"/>
        <v>3F1</v>
      </c>
      <c r="L1507" t="s">
        <v>15</v>
      </c>
    </row>
    <row r="1508" spans="1:12" x14ac:dyDescent="0.25">
      <c r="A1508" t="str">
        <f>"2054290645"</f>
        <v>2054290645</v>
      </c>
      <c r="B1508" t="str">
        <f t="shared" si="77"/>
        <v>89301000</v>
      </c>
      <c r="C1508" s="1">
        <v>44395</v>
      </c>
      <c r="D1508" s="1">
        <v>44398</v>
      </c>
      <c r="E1508">
        <v>1</v>
      </c>
      <c r="F1508" t="s">
        <v>1236</v>
      </c>
      <c r="G1508" t="str">
        <f>"03-K01-01"</f>
        <v>03-K01-01</v>
      </c>
      <c r="H1508">
        <v>0.66990000000000005</v>
      </c>
      <c r="I1508" t="s">
        <v>1237</v>
      </c>
      <c r="J1508" t="s">
        <v>14</v>
      </c>
      <c r="K1508" t="str">
        <f t="shared" si="79"/>
        <v>3F1</v>
      </c>
      <c r="L1508" t="s">
        <v>15</v>
      </c>
    </row>
    <row r="1509" spans="1:12" x14ac:dyDescent="0.25">
      <c r="A1509" t="str">
        <f>"2055040471"</f>
        <v>2055040471</v>
      </c>
      <c r="B1509" t="str">
        <f t="shared" si="77"/>
        <v>89301000</v>
      </c>
      <c r="C1509" s="1">
        <v>44424</v>
      </c>
      <c r="D1509" s="1">
        <v>44427</v>
      </c>
      <c r="E1509">
        <v>1</v>
      </c>
      <c r="F1509" t="s">
        <v>731</v>
      </c>
      <c r="G1509" t="str">
        <f>"06-K02-03"</f>
        <v>06-K02-03</v>
      </c>
      <c r="H1509">
        <v>0.47960000000000003</v>
      </c>
      <c r="J1509" t="s">
        <v>14</v>
      </c>
      <c r="K1509" t="str">
        <f t="shared" si="79"/>
        <v>3F1</v>
      </c>
      <c r="L1509" t="s">
        <v>15</v>
      </c>
    </row>
    <row r="1510" spans="1:12" x14ac:dyDescent="0.25">
      <c r="A1510" t="str">
        <f>"2055071788"</f>
        <v>2055071788</v>
      </c>
      <c r="B1510" t="str">
        <f t="shared" si="77"/>
        <v>89301000</v>
      </c>
      <c r="C1510" s="1">
        <v>44391</v>
      </c>
      <c r="D1510" s="1">
        <v>44393</v>
      </c>
      <c r="E1510">
        <v>1</v>
      </c>
      <c r="F1510" t="s">
        <v>841</v>
      </c>
      <c r="G1510" t="str">
        <f>"04-K03-03"</f>
        <v>04-K03-03</v>
      </c>
      <c r="H1510">
        <v>0.53180000000000005</v>
      </c>
      <c r="I1510" t="s">
        <v>168</v>
      </c>
      <c r="J1510" t="s">
        <v>14</v>
      </c>
      <c r="K1510" t="str">
        <f t="shared" si="79"/>
        <v>3F1</v>
      </c>
      <c r="L1510" t="s">
        <v>15</v>
      </c>
    </row>
    <row r="1511" spans="1:12" x14ac:dyDescent="0.25">
      <c r="A1511" t="str">
        <f>"2055160360"</f>
        <v>2055160360</v>
      </c>
      <c r="B1511" t="str">
        <f t="shared" si="77"/>
        <v>89301000</v>
      </c>
      <c r="C1511" s="1">
        <v>44477</v>
      </c>
      <c r="D1511" s="1">
        <v>44481</v>
      </c>
      <c r="E1511">
        <v>1</v>
      </c>
      <c r="F1511" t="s">
        <v>950</v>
      </c>
      <c r="G1511" t="str">
        <f>"04-K03-03"</f>
        <v>04-K03-03</v>
      </c>
      <c r="H1511">
        <v>0.53180000000000005</v>
      </c>
      <c r="I1511" t="s">
        <v>168</v>
      </c>
      <c r="J1511" t="s">
        <v>14</v>
      </c>
      <c r="K1511" t="str">
        <f t="shared" si="79"/>
        <v>3F1</v>
      </c>
      <c r="L1511" t="s">
        <v>15</v>
      </c>
    </row>
    <row r="1512" spans="1:12" x14ac:dyDescent="0.25">
      <c r="A1512" t="str">
        <f>"2055221553"</f>
        <v>2055221553</v>
      </c>
      <c r="B1512" t="str">
        <f t="shared" si="77"/>
        <v>89301000</v>
      </c>
      <c r="C1512" s="1">
        <v>44278</v>
      </c>
      <c r="D1512" s="1">
        <v>44284</v>
      </c>
      <c r="E1512">
        <v>1</v>
      </c>
      <c r="F1512" t="s">
        <v>1238</v>
      </c>
      <c r="G1512" t="str">
        <f>"08-I21-02"</f>
        <v>08-I21-02</v>
      </c>
      <c r="H1512">
        <v>1.3371999999999999</v>
      </c>
      <c r="J1512" t="s">
        <v>17</v>
      </c>
      <c r="K1512" t="str">
        <f t="shared" si="79"/>
        <v>3F1</v>
      </c>
      <c r="L1512" t="s">
        <v>15</v>
      </c>
    </row>
    <row r="1513" spans="1:12" x14ac:dyDescent="0.25">
      <c r="A1513" t="str">
        <f>"2055221553"</f>
        <v>2055221553</v>
      </c>
      <c r="B1513" t="str">
        <f t="shared" si="77"/>
        <v>89301000</v>
      </c>
      <c r="C1513" s="1">
        <v>44341</v>
      </c>
      <c r="D1513" s="1">
        <v>44347</v>
      </c>
      <c r="E1513">
        <v>1</v>
      </c>
      <c r="F1513" t="s">
        <v>1159</v>
      </c>
      <c r="G1513" t="str">
        <f>"08-I21-01"</f>
        <v>08-I21-01</v>
      </c>
      <c r="H1513">
        <v>2.4729999999999999</v>
      </c>
      <c r="I1513" t="s">
        <v>699</v>
      </c>
      <c r="J1513" t="s">
        <v>17</v>
      </c>
      <c r="K1513" t="str">
        <f t="shared" si="79"/>
        <v>3F1</v>
      </c>
      <c r="L1513" t="s">
        <v>15</v>
      </c>
    </row>
    <row r="1514" spans="1:12" x14ac:dyDescent="0.25">
      <c r="A1514" t="str">
        <f>"2055221553"</f>
        <v>2055221553</v>
      </c>
      <c r="B1514" t="str">
        <f t="shared" si="77"/>
        <v>89301000</v>
      </c>
      <c r="C1514" s="1">
        <v>44243</v>
      </c>
      <c r="D1514" s="1">
        <v>44244</v>
      </c>
      <c r="E1514">
        <v>1</v>
      </c>
      <c r="F1514" t="s">
        <v>885</v>
      </c>
      <c r="G1514" t="str">
        <f>"99-K01-00"</f>
        <v>99-K01-00</v>
      </c>
      <c r="H1514">
        <v>0.11459999999999999</v>
      </c>
      <c r="I1514" t="s">
        <v>1159</v>
      </c>
      <c r="J1514" t="s">
        <v>14</v>
      </c>
      <c r="K1514" t="str">
        <f t="shared" si="79"/>
        <v>3F1</v>
      </c>
      <c r="L1514" t="s">
        <v>15</v>
      </c>
    </row>
    <row r="1515" spans="1:12" x14ac:dyDescent="0.25">
      <c r="A1515" t="str">
        <f>"2056151207"</f>
        <v>2056151207</v>
      </c>
      <c r="B1515" t="str">
        <f t="shared" si="77"/>
        <v>89301000</v>
      </c>
      <c r="C1515" s="1">
        <v>44478</v>
      </c>
      <c r="D1515" s="1">
        <v>44482</v>
      </c>
      <c r="E1515">
        <v>1</v>
      </c>
      <c r="F1515" t="s">
        <v>724</v>
      </c>
      <c r="G1515" t="str">
        <f>"88-I06-00"</f>
        <v>88-I06-00</v>
      </c>
      <c r="H1515">
        <v>0.11459999999999999</v>
      </c>
      <c r="J1515" t="s">
        <v>14</v>
      </c>
      <c r="K1515" t="str">
        <f t="shared" si="79"/>
        <v>3F1</v>
      </c>
      <c r="L1515" t="s">
        <v>15</v>
      </c>
    </row>
    <row r="1516" spans="1:12" x14ac:dyDescent="0.25">
      <c r="A1516" t="str">
        <f>"2056260338"</f>
        <v>2056260338</v>
      </c>
      <c r="B1516" t="str">
        <f t="shared" si="77"/>
        <v>89301000</v>
      </c>
      <c r="C1516" s="1">
        <v>44198</v>
      </c>
      <c r="D1516" s="1">
        <v>44203</v>
      </c>
      <c r="E1516">
        <v>1</v>
      </c>
      <c r="F1516" t="s">
        <v>96</v>
      </c>
      <c r="G1516" t="str">
        <f>"11-K01-03"</f>
        <v>11-K01-03</v>
      </c>
      <c r="H1516">
        <v>0.59489999999999998</v>
      </c>
      <c r="I1516" t="s">
        <v>797</v>
      </c>
      <c r="J1516" t="s">
        <v>14</v>
      </c>
      <c r="K1516" t="str">
        <f t="shared" si="79"/>
        <v>3F1</v>
      </c>
      <c r="L1516" t="s">
        <v>15</v>
      </c>
    </row>
    <row r="1517" spans="1:12" x14ac:dyDescent="0.25">
      <c r="A1517" t="str">
        <f>"2056270381"</f>
        <v>2056270381</v>
      </c>
      <c r="B1517" t="str">
        <f t="shared" si="77"/>
        <v>89301000</v>
      </c>
      <c r="C1517" s="1">
        <v>44504</v>
      </c>
      <c r="D1517" s="1">
        <v>44508</v>
      </c>
      <c r="E1517">
        <v>1</v>
      </c>
      <c r="F1517" t="s">
        <v>924</v>
      </c>
      <c r="G1517" t="str">
        <f>"06-K02-04"</f>
        <v>06-K02-04</v>
      </c>
      <c r="H1517">
        <v>0.3634</v>
      </c>
      <c r="I1517" t="s">
        <v>893</v>
      </c>
      <c r="J1517" t="s">
        <v>14</v>
      </c>
      <c r="K1517" t="str">
        <f t="shared" si="79"/>
        <v>3F1</v>
      </c>
      <c r="L1517" t="s">
        <v>15</v>
      </c>
    </row>
    <row r="1518" spans="1:12" x14ac:dyDescent="0.25">
      <c r="A1518" t="str">
        <f>"2057091124"</f>
        <v>2057091124</v>
      </c>
      <c r="B1518" t="str">
        <f t="shared" si="77"/>
        <v>89301000</v>
      </c>
      <c r="C1518" s="1">
        <v>44377</v>
      </c>
      <c r="D1518" s="1">
        <v>44390</v>
      </c>
      <c r="E1518">
        <v>1</v>
      </c>
      <c r="F1518" t="s">
        <v>751</v>
      </c>
      <c r="G1518" t="str">
        <f>"11-I10-03"</f>
        <v>11-I10-03</v>
      </c>
      <c r="H1518">
        <v>2.3313999999999999</v>
      </c>
      <c r="J1518" t="s">
        <v>17</v>
      </c>
      <c r="K1518" t="str">
        <f t="shared" si="79"/>
        <v>3F1</v>
      </c>
      <c r="L1518" t="s">
        <v>15</v>
      </c>
    </row>
    <row r="1519" spans="1:12" x14ac:dyDescent="0.25">
      <c r="A1519" t="str">
        <f>"2057091124"</f>
        <v>2057091124</v>
      </c>
      <c r="B1519" t="str">
        <f t="shared" si="77"/>
        <v>89301000</v>
      </c>
      <c r="C1519" s="1">
        <v>44265</v>
      </c>
      <c r="D1519" s="1">
        <v>44270</v>
      </c>
      <c r="E1519">
        <v>1</v>
      </c>
      <c r="F1519" t="s">
        <v>966</v>
      </c>
      <c r="G1519" t="str">
        <f>"03-K02-03"</f>
        <v>03-K02-03</v>
      </c>
      <c r="H1519">
        <v>0.33960000000000001</v>
      </c>
      <c r="I1519" t="s">
        <v>168</v>
      </c>
      <c r="J1519" t="s">
        <v>14</v>
      </c>
      <c r="K1519" t="str">
        <f t="shared" si="79"/>
        <v>3F1</v>
      </c>
      <c r="L1519" t="s">
        <v>15</v>
      </c>
    </row>
    <row r="1520" spans="1:12" x14ac:dyDescent="0.25">
      <c r="A1520" t="str">
        <f>"2057091124"</f>
        <v>2057091124</v>
      </c>
      <c r="B1520" t="str">
        <f t="shared" si="77"/>
        <v>89301000</v>
      </c>
      <c r="C1520" s="1">
        <v>44226</v>
      </c>
      <c r="D1520" s="1">
        <v>44231</v>
      </c>
      <c r="E1520">
        <v>1</v>
      </c>
      <c r="F1520" t="s">
        <v>96</v>
      </c>
      <c r="G1520" t="str">
        <f>"11-K01-03"</f>
        <v>11-K01-03</v>
      </c>
      <c r="H1520">
        <v>0.59489999999999998</v>
      </c>
      <c r="I1520" t="s">
        <v>1239</v>
      </c>
      <c r="J1520" t="s">
        <v>14</v>
      </c>
      <c r="K1520" t="str">
        <f t="shared" si="79"/>
        <v>3F1</v>
      </c>
      <c r="L1520" t="s">
        <v>15</v>
      </c>
    </row>
    <row r="1521" spans="1:12" x14ac:dyDescent="0.25">
      <c r="A1521" t="str">
        <f>"2058030711"</f>
        <v>2058030711</v>
      </c>
      <c r="B1521" t="str">
        <f t="shared" si="77"/>
        <v>89301000</v>
      </c>
      <c r="C1521" s="1">
        <v>44198</v>
      </c>
      <c r="D1521" s="1">
        <v>44202</v>
      </c>
      <c r="E1521">
        <v>1</v>
      </c>
      <c r="F1521" t="s">
        <v>1240</v>
      </c>
      <c r="G1521" t="str">
        <f>"11-K01-03"</f>
        <v>11-K01-03</v>
      </c>
      <c r="H1521">
        <v>0.59489999999999998</v>
      </c>
      <c r="I1521" t="s">
        <v>797</v>
      </c>
      <c r="J1521" t="s">
        <v>14</v>
      </c>
      <c r="K1521" t="str">
        <f t="shared" si="79"/>
        <v>3F1</v>
      </c>
      <c r="L1521" t="s">
        <v>15</v>
      </c>
    </row>
    <row r="1522" spans="1:12" x14ac:dyDescent="0.25">
      <c r="A1522" t="str">
        <f>"2058191762"</f>
        <v>2058191762</v>
      </c>
      <c r="B1522" t="str">
        <f t="shared" si="77"/>
        <v>89301000</v>
      </c>
      <c r="C1522" s="1">
        <v>44292</v>
      </c>
      <c r="D1522" s="1">
        <v>44301</v>
      </c>
      <c r="E1522">
        <v>1</v>
      </c>
      <c r="F1522" t="s">
        <v>40</v>
      </c>
      <c r="G1522" t="str">
        <f>"06-K03-02"</f>
        <v>06-K03-02</v>
      </c>
      <c r="H1522">
        <v>0.9657</v>
      </c>
      <c r="I1522" t="s">
        <v>1241</v>
      </c>
      <c r="J1522" t="s">
        <v>14</v>
      </c>
      <c r="K1522" t="str">
        <f t="shared" si="79"/>
        <v>3F1</v>
      </c>
      <c r="L1522" t="s">
        <v>15</v>
      </c>
    </row>
    <row r="1523" spans="1:12" x14ac:dyDescent="0.25">
      <c r="A1523" t="str">
        <f>"2058220131"</f>
        <v>2058220131</v>
      </c>
      <c r="B1523" t="str">
        <f t="shared" ref="B1523:B1585" si="80">"89301000"</f>
        <v>89301000</v>
      </c>
      <c r="C1523" s="1">
        <v>44432</v>
      </c>
      <c r="D1523" s="1">
        <v>44435</v>
      </c>
      <c r="E1523">
        <v>1</v>
      </c>
      <c r="F1523" t="s">
        <v>1101</v>
      </c>
      <c r="G1523" t="str">
        <f>"21-K05-04"</f>
        <v>21-K05-04</v>
      </c>
      <c r="H1523">
        <v>0.2424</v>
      </c>
      <c r="I1523" t="s">
        <v>1102</v>
      </c>
      <c r="J1523" t="s">
        <v>14</v>
      </c>
      <c r="K1523" t="str">
        <f t="shared" si="79"/>
        <v>3F1</v>
      </c>
      <c r="L1523" t="s">
        <v>15</v>
      </c>
    </row>
    <row r="1524" spans="1:12" x14ac:dyDescent="0.25">
      <c r="A1524" t="str">
        <f>"2058220340"</f>
        <v>2058220340</v>
      </c>
      <c r="B1524" t="str">
        <f t="shared" si="80"/>
        <v>89301000</v>
      </c>
      <c r="C1524" s="1">
        <v>44508</v>
      </c>
      <c r="D1524" s="1">
        <v>44509</v>
      </c>
      <c r="E1524">
        <v>1</v>
      </c>
      <c r="F1524" t="s">
        <v>354</v>
      </c>
      <c r="G1524" t="str">
        <f>"10-K14-05"</f>
        <v>10-K14-05</v>
      </c>
      <c r="H1524">
        <v>0.34639999999999999</v>
      </c>
      <c r="I1524" t="s">
        <v>355</v>
      </c>
      <c r="J1524" t="s">
        <v>14</v>
      </c>
      <c r="K1524" t="str">
        <f t="shared" si="79"/>
        <v>3F1</v>
      </c>
      <c r="L1524" t="s">
        <v>15</v>
      </c>
    </row>
    <row r="1525" spans="1:12" x14ac:dyDescent="0.25">
      <c r="A1525" t="str">
        <f>"2058260292"</f>
        <v>2058260292</v>
      </c>
      <c r="B1525" t="str">
        <f t="shared" si="80"/>
        <v>89301000</v>
      </c>
      <c r="C1525" s="1">
        <v>44452</v>
      </c>
      <c r="D1525" s="1">
        <v>44453</v>
      </c>
      <c r="E1525">
        <v>1</v>
      </c>
      <c r="F1525" t="s">
        <v>1195</v>
      </c>
      <c r="G1525" t="str">
        <f>"09-K12-00"</f>
        <v>09-K12-00</v>
      </c>
      <c r="H1525">
        <v>0.24349999999999999</v>
      </c>
      <c r="I1525" t="s">
        <v>1242</v>
      </c>
      <c r="J1525" t="s">
        <v>14</v>
      </c>
      <c r="K1525" t="str">
        <f t="shared" si="79"/>
        <v>3F1</v>
      </c>
      <c r="L1525" t="s">
        <v>15</v>
      </c>
    </row>
    <row r="1526" spans="1:12" x14ac:dyDescent="0.25">
      <c r="A1526" t="str">
        <f>"2058300266"</f>
        <v>2058300266</v>
      </c>
      <c r="B1526" t="str">
        <f t="shared" si="80"/>
        <v>89301000</v>
      </c>
      <c r="C1526" s="1">
        <v>44484</v>
      </c>
      <c r="D1526" s="1">
        <v>44489</v>
      </c>
      <c r="E1526">
        <v>1</v>
      </c>
      <c r="F1526" t="s">
        <v>1028</v>
      </c>
      <c r="G1526" t="str">
        <f>"04-K02-04"</f>
        <v>04-K02-04</v>
      </c>
      <c r="H1526">
        <v>0.82469999999999999</v>
      </c>
      <c r="I1526" t="s">
        <v>1243</v>
      </c>
      <c r="J1526" t="s">
        <v>14</v>
      </c>
      <c r="K1526" t="str">
        <f t="shared" si="79"/>
        <v>3F1</v>
      </c>
      <c r="L1526" t="s">
        <v>15</v>
      </c>
    </row>
    <row r="1527" spans="1:12" x14ac:dyDescent="0.25">
      <c r="A1527" t="str">
        <f>"2058310276"</f>
        <v>2058310276</v>
      </c>
      <c r="B1527" t="str">
        <f t="shared" si="80"/>
        <v>89301000</v>
      </c>
      <c r="C1527" s="1">
        <v>44378</v>
      </c>
      <c r="D1527" s="1">
        <v>44378</v>
      </c>
      <c r="E1527">
        <v>1</v>
      </c>
      <c r="F1527" t="s">
        <v>1244</v>
      </c>
      <c r="G1527" t="str">
        <f>"23-K04-02"</f>
        <v>23-K04-02</v>
      </c>
      <c r="H1527">
        <v>0.19620000000000001</v>
      </c>
      <c r="J1527" t="s">
        <v>14</v>
      </c>
      <c r="K1527" t="str">
        <f t="shared" si="79"/>
        <v>3F1</v>
      </c>
      <c r="L1527" t="s">
        <v>15</v>
      </c>
    </row>
    <row r="1528" spans="1:12" x14ac:dyDescent="0.25">
      <c r="A1528" t="str">
        <f>"2059030226"</f>
        <v>2059030226</v>
      </c>
      <c r="B1528" t="str">
        <f t="shared" si="80"/>
        <v>89301000</v>
      </c>
      <c r="C1528" s="1">
        <v>44427</v>
      </c>
      <c r="D1528" s="1">
        <v>44429</v>
      </c>
      <c r="E1528">
        <v>1</v>
      </c>
      <c r="F1528" t="s">
        <v>751</v>
      </c>
      <c r="G1528" t="str">
        <f>"11-K11-00"</f>
        <v>11-K11-00</v>
      </c>
      <c r="H1528">
        <v>0.52710000000000001</v>
      </c>
      <c r="J1528" t="s">
        <v>14</v>
      </c>
      <c r="K1528" t="str">
        <f t="shared" si="79"/>
        <v>3F1</v>
      </c>
      <c r="L1528" t="s">
        <v>15</v>
      </c>
    </row>
    <row r="1529" spans="1:12" x14ac:dyDescent="0.25">
      <c r="A1529" t="str">
        <f>"2059030226"</f>
        <v>2059030226</v>
      </c>
      <c r="B1529" t="str">
        <f t="shared" si="80"/>
        <v>89301000</v>
      </c>
      <c r="C1529" s="1">
        <v>44482</v>
      </c>
      <c r="D1529" s="1">
        <v>44494</v>
      </c>
      <c r="E1529">
        <v>1</v>
      </c>
      <c r="F1529" t="s">
        <v>751</v>
      </c>
      <c r="G1529" t="str">
        <f>"11-I10-03"</f>
        <v>11-I10-03</v>
      </c>
      <c r="H1529">
        <v>2.3313999999999999</v>
      </c>
      <c r="J1529" t="s">
        <v>17</v>
      </c>
      <c r="K1529" t="str">
        <f t="shared" si="79"/>
        <v>3F1</v>
      </c>
      <c r="L1529" t="s">
        <v>15</v>
      </c>
    </row>
    <row r="1530" spans="1:12" x14ac:dyDescent="0.25">
      <c r="A1530" t="str">
        <f>"2059120052"</f>
        <v>2059120052</v>
      </c>
      <c r="B1530" t="str">
        <f t="shared" si="80"/>
        <v>89301000</v>
      </c>
      <c r="C1530" s="1">
        <v>44281</v>
      </c>
      <c r="D1530" s="1">
        <v>44286</v>
      </c>
      <c r="E1530">
        <v>1</v>
      </c>
      <c r="F1530" t="s">
        <v>631</v>
      </c>
      <c r="G1530" t="str">
        <f>"06-I18-04"</f>
        <v>06-I18-04</v>
      </c>
      <c r="H1530">
        <v>1.1514</v>
      </c>
      <c r="I1530" t="s">
        <v>1245</v>
      </c>
      <c r="J1530" t="s">
        <v>24</v>
      </c>
      <c r="K1530" t="str">
        <f t="shared" si="79"/>
        <v>3F1</v>
      </c>
      <c r="L1530" t="s">
        <v>15</v>
      </c>
    </row>
    <row r="1531" spans="1:12" x14ac:dyDescent="0.25">
      <c r="A1531" t="str">
        <f>"2059160862"</f>
        <v>2059160862</v>
      </c>
      <c r="B1531" t="str">
        <f t="shared" si="80"/>
        <v>89301000</v>
      </c>
      <c r="C1531" s="1">
        <v>44329</v>
      </c>
      <c r="D1531" s="1">
        <v>44330</v>
      </c>
      <c r="E1531">
        <v>1</v>
      </c>
      <c r="F1531" t="s">
        <v>605</v>
      </c>
      <c r="G1531" t="str">
        <f>"09-K12-00"</f>
        <v>09-K12-00</v>
      </c>
      <c r="H1531">
        <v>0.24349999999999999</v>
      </c>
      <c r="I1531" t="s">
        <v>1246</v>
      </c>
      <c r="J1531" t="s">
        <v>14</v>
      </c>
      <c r="K1531" t="str">
        <f t="shared" si="79"/>
        <v>3F1</v>
      </c>
      <c r="L1531" t="s">
        <v>15</v>
      </c>
    </row>
    <row r="1532" spans="1:12" x14ac:dyDescent="0.25">
      <c r="A1532" t="str">
        <f>"2059190309"</f>
        <v>2059190309</v>
      </c>
      <c r="B1532" t="str">
        <f t="shared" si="80"/>
        <v>89301000</v>
      </c>
      <c r="C1532" s="1">
        <v>44511</v>
      </c>
      <c r="D1532" s="1">
        <v>44517</v>
      </c>
      <c r="E1532">
        <v>1</v>
      </c>
      <c r="F1532" t="s">
        <v>96</v>
      </c>
      <c r="G1532" t="str">
        <f>"11-K01-03"</f>
        <v>11-K01-03</v>
      </c>
      <c r="H1532">
        <v>0.59489999999999998</v>
      </c>
      <c r="I1532" t="s">
        <v>1247</v>
      </c>
      <c r="J1532" t="s">
        <v>14</v>
      </c>
      <c r="K1532" t="str">
        <f t="shared" si="79"/>
        <v>3F1</v>
      </c>
      <c r="L1532" t="s">
        <v>15</v>
      </c>
    </row>
    <row r="1533" spans="1:12" x14ac:dyDescent="0.25">
      <c r="A1533" t="str">
        <f>"2059220746"</f>
        <v>2059220746</v>
      </c>
      <c r="B1533" t="str">
        <f t="shared" si="80"/>
        <v>89301000</v>
      </c>
      <c r="C1533" s="1">
        <v>44544</v>
      </c>
      <c r="D1533" s="1">
        <v>44545</v>
      </c>
      <c r="E1533">
        <v>1</v>
      </c>
      <c r="F1533" t="s">
        <v>1248</v>
      </c>
      <c r="G1533" t="str">
        <f>"01-K16-05"</f>
        <v>01-K16-05</v>
      </c>
      <c r="H1533">
        <v>0.57979999999999998</v>
      </c>
      <c r="I1533" t="s">
        <v>295</v>
      </c>
      <c r="J1533" t="s">
        <v>14</v>
      </c>
      <c r="K1533" t="str">
        <f t="shared" si="79"/>
        <v>3F1</v>
      </c>
      <c r="L1533" t="s">
        <v>15</v>
      </c>
    </row>
    <row r="1534" spans="1:12" x14ac:dyDescent="0.25">
      <c r="A1534" t="str">
        <f>"2059270356"</f>
        <v>2059270356</v>
      </c>
      <c r="B1534" t="str">
        <f t="shared" si="80"/>
        <v>89301000</v>
      </c>
      <c r="C1534" s="1">
        <v>44378</v>
      </c>
      <c r="D1534" s="1">
        <v>44382</v>
      </c>
      <c r="E1534">
        <v>1</v>
      </c>
      <c r="F1534" t="s">
        <v>96</v>
      </c>
      <c r="G1534" t="str">
        <f>"11-K01-03"</f>
        <v>11-K01-03</v>
      </c>
      <c r="H1534">
        <v>0.59489999999999998</v>
      </c>
      <c r="I1534" t="s">
        <v>1073</v>
      </c>
      <c r="J1534" t="s">
        <v>14</v>
      </c>
      <c r="K1534" t="str">
        <f t="shared" si="79"/>
        <v>3F1</v>
      </c>
      <c r="L1534" t="s">
        <v>15</v>
      </c>
    </row>
    <row r="1535" spans="1:12" x14ac:dyDescent="0.25">
      <c r="A1535" t="str">
        <f>"2060050421"</f>
        <v>2060050421</v>
      </c>
      <c r="B1535" t="str">
        <f t="shared" si="80"/>
        <v>89301000</v>
      </c>
      <c r="C1535" s="1">
        <v>44418</v>
      </c>
      <c r="D1535" s="1">
        <v>44421</v>
      </c>
      <c r="E1535">
        <v>1</v>
      </c>
      <c r="F1535" t="s">
        <v>1249</v>
      </c>
      <c r="G1535" t="str">
        <f>"03-K01-01"</f>
        <v>03-K01-01</v>
      </c>
      <c r="H1535">
        <v>0.66990000000000005</v>
      </c>
      <c r="J1535" t="s">
        <v>14</v>
      </c>
      <c r="K1535" t="str">
        <f t="shared" si="79"/>
        <v>3F1</v>
      </c>
      <c r="L1535" t="s">
        <v>15</v>
      </c>
    </row>
    <row r="1536" spans="1:12" x14ac:dyDescent="0.25">
      <c r="A1536" t="str">
        <f>"2060160586"</f>
        <v>2060160586</v>
      </c>
      <c r="B1536" t="str">
        <f t="shared" si="80"/>
        <v>89301000</v>
      </c>
      <c r="C1536" s="1">
        <v>44501</v>
      </c>
      <c r="D1536" s="1">
        <v>44502</v>
      </c>
      <c r="E1536">
        <v>1</v>
      </c>
      <c r="F1536" t="s">
        <v>966</v>
      </c>
      <c r="G1536" t="str">
        <f>"03-K02-03"</f>
        <v>03-K02-03</v>
      </c>
      <c r="H1536">
        <v>0.33960000000000001</v>
      </c>
      <c r="I1536" t="s">
        <v>530</v>
      </c>
      <c r="J1536" t="s">
        <v>14</v>
      </c>
      <c r="K1536" t="str">
        <f t="shared" si="79"/>
        <v>3F1</v>
      </c>
      <c r="L1536" t="s">
        <v>15</v>
      </c>
    </row>
    <row r="1537" spans="1:12" x14ac:dyDescent="0.25">
      <c r="A1537" t="str">
        <f>"2060160608"</f>
        <v>2060160608</v>
      </c>
      <c r="B1537" t="str">
        <f t="shared" si="80"/>
        <v>89301000</v>
      </c>
      <c r="C1537" s="1">
        <v>44292</v>
      </c>
      <c r="D1537" s="1">
        <v>44298</v>
      </c>
      <c r="E1537">
        <v>1</v>
      </c>
      <c r="F1537" t="s">
        <v>859</v>
      </c>
      <c r="G1537" t="str">
        <f>"10-K10-00"</f>
        <v>10-K10-00</v>
      </c>
      <c r="H1537">
        <v>0.54749999999999999</v>
      </c>
      <c r="J1537" t="s">
        <v>14</v>
      </c>
      <c r="K1537" t="str">
        <f t="shared" ref="K1537:K1554" si="81">"3F1"</f>
        <v>3F1</v>
      </c>
      <c r="L1537" t="s">
        <v>15</v>
      </c>
    </row>
    <row r="1538" spans="1:12" x14ac:dyDescent="0.25">
      <c r="A1538" t="str">
        <f>"2060170310"</f>
        <v>2060170310</v>
      </c>
      <c r="B1538" t="str">
        <f t="shared" si="80"/>
        <v>89301000</v>
      </c>
      <c r="C1538" s="1">
        <v>44482</v>
      </c>
      <c r="D1538" s="1">
        <v>44490</v>
      </c>
      <c r="E1538">
        <v>1</v>
      </c>
      <c r="F1538" t="s">
        <v>924</v>
      </c>
      <c r="G1538" t="str">
        <f>"06-K02-02"</f>
        <v>06-K02-02</v>
      </c>
      <c r="H1538">
        <v>0.79910000000000003</v>
      </c>
      <c r="I1538" t="s">
        <v>1250</v>
      </c>
      <c r="J1538" t="s">
        <v>14</v>
      </c>
      <c r="K1538" t="str">
        <f t="shared" si="81"/>
        <v>3F1</v>
      </c>
      <c r="L1538" t="s">
        <v>15</v>
      </c>
    </row>
    <row r="1539" spans="1:12" x14ac:dyDescent="0.25">
      <c r="A1539" t="str">
        <f>"2060170310"</f>
        <v>2060170310</v>
      </c>
      <c r="B1539" t="str">
        <f t="shared" si="80"/>
        <v>89301000</v>
      </c>
      <c r="C1539" s="1">
        <v>44470</v>
      </c>
      <c r="D1539" s="1">
        <v>44477</v>
      </c>
      <c r="E1539">
        <v>6</v>
      </c>
      <c r="F1539" t="s">
        <v>217</v>
      </c>
      <c r="G1539" t="str">
        <f>"04-K02-04"</f>
        <v>04-K02-04</v>
      </c>
      <c r="H1539">
        <v>0.82469999999999999</v>
      </c>
      <c r="I1539" t="s">
        <v>274</v>
      </c>
      <c r="J1539" t="s">
        <v>14</v>
      </c>
      <c r="K1539" t="str">
        <f t="shared" si="81"/>
        <v>3F1</v>
      </c>
      <c r="L1539" t="s">
        <v>15</v>
      </c>
    </row>
    <row r="1540" spans="1:12" x14ac:dyDescent="0.25">
      <c r="A1540" t="str">
        <f>"2060201847"</f>
        <v>2060201847</v>
      </c>
      <c r="B1540" t="str">
        <f t="shared" si="80"/>
        <v>89301000</v>
      </c>
      <c r="C1540" s="1">
        <v>44232</v>
      </c>
      <c r="D1540" s="1">
        <v>44245</v>
      </c>
      <c r="E1540">
        <v>1</v>
      </c>
      <c r="F1540" t="s">
        <v>96</v>
      </c>
      <c r="G1540" t="str">
        <f>"11-K01-03"</f>
        <v>11-K01-03</v>
      </c>
      <c r="H1540">
        <v>0.71919999999999995</v>
      </c>
      <c r="I1540" t="s">
        <v>1208</v>
      </c>
      <c r="J1540" t="s">
        <v>14</v>
      </c>
      <c r="K1540" t="str">
        <f t="shared" si="81"/>
        <v>3F1</v>
      </c>
      <c r="L1540" t="s">
        <v>15</v>
      </c>
    </row>
    <row r="1541" spans="1:12" x14ac:dyDescent="0.25">
      <c r="A1541" t="str">
        <f>"2060201847"</f>
        <v>2060201847</v>
      </c>
      <c r="B1541" t="str">
        <f t="shared" si="80"/>
        <v>89301000</v>
      </c>
      <c r="C1541" s="1">
        <v>44280</v>
      </c>
      <c r="D1541" s="1">
        <v>44283</v>
      </c>
      <c r="E1541">
        <v>1</v>
      </c>
      <c r="F1541" t="s">
        <v>751</v>
      </c>
      <c r="G1541" t="str">
        <f>"11-K11-00"</f>
        <v>11-K11-00</v>
      </c>
      <c r="H1541">
        <v>0.52710000000000001</v>
      </c>
      <c r="I1541" t="s">
        <v>1251</v>
      </c>
      <c r="J1541" t="s">
        <v>14</v>
      </c>
      <c r="K1541" t="str">
        <f t="shared" si="81"/>
        <v>3F1</v>
      </c>
      <c r="L1541" t="s">
        <v>15</v>
      </c>
    </row>
    <row r="1542" spans="1:12" x14ac:dyDescent="0.25">
      <c r="A1542" t="str">
        <f>"2060240061"</f>
        <v>2060240061</v>
      </c>
      <c r="B1542" t="str">
        <f t="shared" si="80"/>
        <v>89301000</v>
      </c>
      <c r="C1542" s="1">
        <v>44312</v>
      </c>
      <c r="D1542" s="1">
        <v>44316</v>
      </c>
      <c r="E1542">
        <v>1</v>
      </c>
      <c r="F1542" t="s">
        <v>134</v>
      </c>
      <c r="G1542" t="str">
        <f>"16-K01-01"</f>
        <v>16-K01-01</v>
      </c>
      <c r="H1542">
        <v>0.86160000000000003</v>
      </c>
      <c r="I1542" t="s">
        <v>1252</v>
      </c>
      <c r="J1542" t="s">
        <v>14</v>
      </c>
      <c r="K1542" t="str">
        <f t="shared" si="81"/>
        <v>3F1</v>
      </c>
      <c r="L1542" t="s">
        <v>15</v>
      </c>
    </row>
    <row r="1543" spans="1:12" x14ac:dyDescent="0.25">
      <c r="A1543" t="str">
        <f>"2060240226"</f>
        <v>2060240226</v>
      </c>
      <c r="B1543" t="str">
        <f t="shared" si="80"/>
        <v>89301000</v>
      </c>
      <c r="C1543" s="1">
        <v>44510</v>
      </c>
      <c r="D1543" s="1">
        <v>44519</v>
      </c>
      <c r="E1543">
        <v>1</v>
      </c>
      <c r="F1543" t="s">
        <v>18</v>
      </c>
      <c r="G1543" t="str">
        <f>"11-I10-03"</f>
        <v>11-I10-03</v>
      </c>
      <c r="H1543">
        <v>2.3313999999999999</v>
      </c>
      <c r="J1543" t="s">
        <v>17</v>
      </c>
      <c r="K1543" t="str">
        <f t="shared" si="81"/>
        <v>3F1</v>
      </c>
      <c r="L1543" t="s">
        <v>15</v>
      </c>
    </row>
    <row r="1544" spans="1:12" x14ac:dyDescent="0.25">
      <c r="A1544" t="str">
        <f>"2061140246"</f>
        <v>2061140246</v>
      </c>
      <c r="B1544" t="str">
        <f t="shared" si="80"/>
        <v>89301000</v>
      </c>
      <c r="C1544" s="1">
        <v>44375</v>
      </c>
      <c r="D1544" s="1">
        <v>44386</v>
      </c>
      <c r="E1544">
        <v>1</v>
      </c>
      <c r="F1544" t="s">
        <v>18</v>
      </c>
      <c r="G1544" t="str">
        <f>"11-I06-01"</f>
        <v>11-I06-01</v>
      </c>
      <c r="H1544">
        <v>2.6524000000000001</v>
      </c>
      <c r="I1544" t="s">
        <v>1253</v>
      </c>
      <c r="J1544" t="s">
        <v>17</v>
      </c>
      <c r="K1544" t="str">
        <f t="shared" si="81"/>
        <v>3F1</v>
      </c>
      <c r="L1544" t="s">
        <v>15</v>
      </c>
    </row>
    <row r="1545" spans="1:12" x14ac:dyDescent="0.25">
      <c r="A1545" t="str">
        <f>"2061190560"</f>
        <v>2061190560</v>
      </c>
      <c r="B1545" t="str">
        <f t="shared" si="80"/>
        <v>89301000</v>
      </c>
      <c r="C1545" s="1">
        <v>44559</v>
      </c>
      <c r="D1545" s="1">
        <v>44560</v>
      </c>
      <c r="E1545">
        <v>1</v>
      </c>
      <c r="F1545" t="s">
        <v>819</v>
      </c>
      <c r="G1545" t="str">
        <f>"04-M02-04"</f>
        <v>04-M02-04</v>
      </c>
      <c r="H1545">
        <v>0.7238</v>
      </c>
      <c r="I1545" t="s">
        <v>820</v>
      </c>
      <c r="J1545" t="s">
        <v>14</v>
      </c>
      <c r="K1545" t="str">
        <f t="shared" si="81"/>
        <v>3F1</v>
      </c>
      <c r="L1545" t="s">
        <v>15</v>
      </c>
    </row>
    <row r="1546" spans="1:12" x14ac:dyDescent="0.25">
      <c r="A1546" t="str">
        <f>"2061230413"</f>
        <v>2061230413</v>
      </c>
      <c r="B1546" t="str">
        <f t="shared" si="80"/>
        <v>89301000</v>
      </c>
      <c r="C1546" s="1">
        <v>44421</v>
      </c>
      <c r="D1546" s="1">
        <v>44426</v>
      </c>
      <c r="E1546">
        <v>1</v>
      </c>
      <c r="F1546" t="s">
        <v>1152</v>
      </c>
      <c r="G1546" t="str">
        <f>"18-K02-05"</f>
        <v>18-K02-05</v>
      </c>
      <c r="H1546">
        <v>0.49220000000000003</v>
      </c>
      <c r="I1546" t="s">
        <v>354</v>
      </c>
      <c r="J1546" t="s">
        <v>14</v>
      </c>
      <c r="K1546" t="str">
        <f t="shared" si="81"/>
        <v>3F1</v>
      </c>
      <c r="L1546" t="s">
        <v>15</v>
      </c>
    </row>
    <row r="1547" spans="1:12" x14ac:dyDescent="0.25">
      <c r="A1547" t="str">
        <f>"2061250532"</f>
        <v>2061250532</v>
      </c>
      <c r="B1547" t="str">
        <f t="shared" si="80"/>
        <v>89301000</v>
      </c>
      <c r="C1547" s="1">
        <v>44447</v>
      </c>
      <c r="D1547" s="1">
        <v>44461</v>
      </c>
      <c r="E1547">
        <v>1</v>
      </c>
      <c r="F1547" t="s">
        <v>18</v>
      </c>
      <c r="G1547" t="str">
        <f>"11-I10-03"</f>
        <v>11-I10-03</v>
      </c>
      <c r="H1547">
        <v>2.3313999999999999</v>
      </c>
      <c r="I1547" t="s">
        <v>1170</v>
      </c>
      <c r="J1547" t="s">
        <v>17</v>
      </c>
      <c r="K1547" t="str">
        <f t="shared" si="81"/>
        <v>3F1</v>
      </c>
      <c r="L1547" t="s">
        <v>15</v>
      </c>
    </row>
    <row r="1548" spans="1:12" x14ac:dyDescent="0.25">
      <c r="A1548" t="str">
        <f>"2061250532"</f>
        <v>2061250532</v>
      </c>
      <c r="B1548" t="str">
        <f t="shared" si="80"/>
        <v>89301000</v>
      </c>
      <c r="C1548" s="1">
        <v>44529</v>
      </c>
      <c r="D1548" s="1">
        <v>44540</v>
      </c>
      <c r="E1548">
        <v>1</v>
      </c>
      <c r="F1548" t="s">
        <v>1170</v>
      </c>
      <c r="G1548" t="str">
        <f>"11-I10-03"</f>
        <v>11-I10-03</v>
      </c>
      <c r="H1548">
        <v>2.3313999999999999</v>
      </c>
      <c r="I1548" t="s">
        <v>18</v>
      </c>
      <c r="J1548" t="s">
        <v>17</v>
      </c>
      <c r="K1548" t="str">
        <f t="shared" si="81"/>
        <v>3F1</v>
      </c>
      <c r="L1548" t="s">
        <v>15</v>
      </c>
    </row>
    <row r="1549" spans="1:12" x14ac:dyDescent="0.25">
      <c r="A1549" t="str">
        <f>"2061270211"</f>
        <v>2061270211</v>
      </c>
      <c r="B1549" t="str">
        <f t="shared" si="80"/>
        <v>89301000</v>
      </c>
      <c r="C1549" s="1">
        <v>44498</v>
      </c>
      <c r="D1549" s="1">
        <v>44500</v>
      </c>
      <c r="E1549">
        <v>6</v>
      </c>
      <c r="F1549" t="s">
        <v>924</v>
      </c>
      <c r="G1549" t="str">
        <f>"06-K02-04"</f>
        <v>06-K02-04</v>
      </c>
      <c r="H1549">
        <v>0.3634</v>
      </c>
      <c r="I1549" t="s">
        <v>552</v>
      </c>
      <c r="J1549" t="s">
        <v>14</v>
      </c>
      <c r="K1549" t="str">
        <f t="shared" si="81"/>
        <v>3F1</v>
      </c>
      <c r="L1549" t="s">
        <v>15</v>
      </c>
    </row>
    <row r="1550" spans="1:12" x14ac:dyDescent="0.25">
      <c r="A1550" t="str">
        <f>"2061280034"</f>
        <v>2061280034</v>
      </c>
      <c r="B1550" t="str">
        <f t="shared" si="80"/>
        <v>89301000</v>
      </c>
      <c r="C1550" s="1">
        <v>44531</v>
      </c>
      <c r="D1550" s="1">
        <v>44540</v>
      </c>
      <c r="E1550">
        <v>1</v>
      </c>
      <c r="F1550" t="s">
        <v>994</v>
      </c>
      <c r="G1550" t="str">
        <f>"01-K05-02"</f>
        <v>01-K05-02</v>
      </c>
      <c r="H1550">
        <v>0.52649999999999997</v>
      </c>
      <c r="I1550" t="s">
        <v>1254</v>
      </c>
      <c r="J1550" t="s">
        <v>14</v>
      </c>
      <c r="K1550" t="str">
        <f t="shared" si="81"/>
        <v>3F1</v>
      </c>
      <c r="L1550" t="s">
        <v>15</v>
      </c>
    </row>
    <row r="1551" spans="1:12" x14ac:dyDescent="0.25">
      <c r="A1551" t="str">
        <f>"2061300296"</f>
        <v>2061300296</v>
      </c>
      <c r="B1551" t="str">
        <f t="shared" si="80"/>
        <v>89301000</v>
      </c>
      <c r="C1551" s="1">
        <v>44395</v>
      </c>
      <c r="D1551" s="1">
        <v>44396</v>
      </c>
      <c r="E1551">
        <v>1</v>
      </c>
      <c r="F1551" t="s">
        <v>605</v>
      </c>
      <c r="G1551" t="str">
        <f>"09-K12-00"</f>
        <v>09-K12-00</v>
      </c>
      <c r="H1551">
        <v>0.24349999999999999</v>
      </c>
      <c r="I1551" t="s">
        <v>1255</v>
      </c>
      <c r="J1551" t="s">
        <v>14</v>
      </c>
      <c r="K1551" t="str">
        <f t="shared" si="81"/>
        <v>3F1</v>
      </c>
      <c r="L1551" t="s">
        <v>15</v>
      </c>
    </row>
    <row r="1552" spans="1:12" x14ac:dyDescent="0.25">
      <c r="A1552" t="str">
        <f>"2062120060"</f>
        <v>2062120060</v>
      </c>
      <c r="B1552" t="str">
        <f t="shared" si="80"/>
        <v>89301000</v>
      </c>
      <c r="C1552" s="1">
        <v>44373</v>
      </c>
      <c r="D1552" s="1">
        <v>44377</v>
      </c>
      <c r="E1552">
        <v>5</v>
      </c>
      <c r="F1552" t="s">
        <v>1256</v>
      </c>
      <c r="G1552" t="str">
        <f>"01-K03-07"</f>
        <v>01-K03-07</v>
      </c>
      <c r="H1552">
        <v>0.60250000000000004</v>
      </c>
      <c r="J1552" t="s">
        <v>14</v>
      </c>
      <c r="K1552" t="str">
        <f t="shared" si="81"/>
        <v>3F1</v>
      </c>
      <c r="L1552" t="s">
        <v>15</v>
      </c>
    </row>
    <row r="1553" spans="1:12" x14ac:dyDescent="0.25">
      <c r="A1553" t="str">
        <f>"2062150354"</f>
        <v>2062150354</v>
      </c>
      <c r="B1553" t="str">
        <f t="shared" si="80"/>
        <v>89301000</v>
      </c>
      <c r="C1553" s="1">
        <v>44551</v>
      </c>
      <c r="D1553" s="1">
        <v>44553</v>
      </c>
      <c r="E1553">
        <v>1</v>
      </c>
      <c r="F1553" t="s">
        <v>724</v>
      </c>
      <c r="G1553" t="str">
        <f>"06-K10-03"</f>
        <v>06-K10-03</v>
      </c>
      <c r="H1553">
        <v>0.43880000000000002</v>
      </c>
      <c r="I1553" t="s">
        <v>1257</v>
      </c>
      <c r="J1553" t="s">
        <v>14</v>
      </c>
      <c r="K1553" t="str">
        <f t="shared" si="81"/>
        <v>3F1</v>
      </c>
      <c r="L1553" t="s">
        <v>15</v>
      </c>
    </row>
    <row r="1554" spans="1:12" x14ac:dyDescent="0.25">
      <c r="A1554" t="str">
        <f>"2062150882"</f>
        <v>2062150882</v>
      </c>
      <c r="B1554" t="str">
        <f t="shared" si="80"/>
        <v>89301000</v>
      </c>
      <c r="C1554" s="1">
        <v>44213</v>
      </c>
      <c r="D1554" s="1">
        <v>44214</v>
      </c>
      <c r="E1554">
        <v>1</v>
      </c>
      <c r="F1554" t="s">
        <v>1231</v>
      </c>
      <c r="G1554" t="str">
        <f>"23-K04-02"</f>
        <v>23-K04-02</v>
      </c>
      <c r="H1554">
        <v>0.38690000000000002</v>
      </c>
      <c r="I1554" t="s">
        <v>168</v>
      </c>
      <c r="J1554" t="s">
        <v>14</v>
      </c>
      <c r="K1554" t="str">
        <f t="shared" si="81"/>
        <v>3F1</v>
      </c>
      <c r="L1554" t="s">
        <v>15</v>
      </c>
    </row>
    <row r="1555" spans="1:12" x14ac:dyDescent="0.25">
      <c r="A1555" t="str">
        <f>"2062270298"</f>
        <v>2062270298</v>
      </c>
      <c r="B1555" t="str">
        <f t="shared" si="80"/>
        <v>89301000</v>
      </c>
      <c r="C1555" s="1">
        <v>44192</v>
      </c>
      <c r="D1555" s="1">
        <v>44198</v>
      </c>
      <c r="E1555">
        <v>1</v>
      </c>
      <c r="F1555" t="s">
        <v>1221</v>
      </c>
      <c r="G1555" t="str">
        <f>"15-K05-02"</f>
        <v>15-K05-02</v>
      </c>
      <c r="H1555">
        <v>1.2017</v>
      </c>
      <c r="I1555" t="s">
        <v>1258</v>
      </c>
      <c r="J1555" t="s">
        <v>1212</v>
      </c>
      <c r="K1555" t="str">
        <f>"3F4"</f>
        <v>3F4</v>
      </c>
      <c r="L1555" t="s">
        <v>15</v>
      </c>
    </row>
    <row r="1556" spans="1:12" x14ac:dyDescent="0.25">
      <c r="A1556" t="str">
        <f>"2062270727"</f>
        <v>2062270727</v>
      </c>
      <c r="B1556" t="str">
        <f t="shared" si="80"/>
        <v>89301000</v>
      </c>
      <c r="C1556" s="1">
        <v>44192</v>
      </c>
      <c r="D1556" s="1">
        <v>44209</v>
      </c>
      <c r="E1556">
        <v>1</v>
      </c>
      <c r="F1556" t="s">
        <v>1259</v>
      </c>
      <c r="G1556" t="str">
        <f>"15-M01-11"</f>
        <v>15-M01-11</v>
      </c>
      <c r="H1556">
        <v>4.7668999999999997</v>
      </c>
      <c r="I1556" t="s">
        <v>1260</v>
      </c>
      <c r="J1556" t="s">
        <v>1212</v>
      </c>
      <c r="K1556" t="str">
        <f>"3F4"</f>
        <v>3F4</v>
      </c>
      <c r="L1556" t="s">
        <v>15</v>
      </c>
    </row>
    <row r="1557" spans="1:12" x14ac:dyDescent="0.25">
      <c r="A1557" t="str">
        <f>"2062290637"</f>
        <v>2062290637</v>
      </c>
      <c r="B1557" t="str">
        <f t="shared" si="80"/>
        <v>89301000</v>
      </c>
      <c r="C1557" s="1">
        <v>44194</v>
      </c>
      <c r="D1557" s="1">
        <v>44197</v>
      </c>
      <c r="E1557">
        <v>1</v>
      </c>
      <c r="F1557" t="s">
        <v>1261</v>
      </c>
      <c r="G1557" t="str">
        <f>"15-K06-04"</f>
        <v>15-K06-04</v>
      </c>
      <c r="H1557">
        <v>0.27479999999999999</v>
      </c>
      <c r="J1557" t="s">
        <v>59</v>
      </c>
      <c r="K1557" t="str">
        <f>"3F4"</f>
        <v>3F4</v>
      </c>
      <c r="L1557" t="s">
        <v>15</v>
      </c>
    </row>
    <row r="1558" spans="1:12" x14ac:dyDescent="0.25">
      <c r="A1558" t="str">
        <f>"2062310481"</f>
        <v>2062310481</v>
      </c>
      <c r="B1558" t="str">
        <f t="shared" si="80"/>
        <v>89301000</v>
      </c>
      <c r="C1558" s="1">
        <v>44459</v>
      </c>
      <c r="D1558" s="1">
        <v>44462</v>
      </c>
      <c r="E1558">
        <v>1</v>
      </c>
      <c r="F1558" t="s">
        <v>1262</v>
      </c>
      <c r="G1558" t="str">
        <f>"23-K03-02"</f>
        <v>23-K03-02</v>
      </c>
      <c r="H1558">
        <v>0.35449999999999998</v>
      </c>
      <c r="J1558" t="s">
        <v>14</v>
      </c>
      <c r="K1558" t="str">
        <f>"3F4"</f>
        <v>3F4</v>
      </c>
      <c r="L1558" t="s">
        <v>15</v>
      </c>
    </row>
    <row r="1559" spans="1:12" x14ac:dyDescent="0.25">
      <c r="A1559" t="str">
        <f>"2062310745"</f>
        <v>2062310745</v>
      </c>
      <c r="B1559" t="str">
        <f t="shared" si="80"/>
        <v>89301000</v>
      </c>
      <c r="C1559" s="1">
        <v>44196</v>
      </c>
      <c r="D1559" s="1">
        <v>44198</v>
      </c>
      <c r="E1559">
        <v>1</v>
      </c>
      <c r="F1559" t="s">
        <v>1261</v>
      </c>
      <c r="G1559" t="str">
        <f>"15-K06-04"</f>
        <v>15-K06-04</v>
      </c>
      <c r="H1559">
        <v>0.27479999999999999</v>
      </c>
      <c r="J1559" t="s">
        <v>59</v>
      </c>
      <c r="K1559" t="str">
        <f>"3F4"</f>
        <v>3F4</v>
      </c>
      <c r="L1559" t="s">
        <v>15</v>
      </c>
    </row>
    <row r="1560" spans="1:12" x14ac:dyDescent="0.25">
      <c r="A1560" t="str">
        <f>"2101060060"</f>
        <v>2101060060</v>
      </c>
      <c r="B1560" t="str">
        <f t="shared" si="80"/>
        <v>89301000</v>
      </c>
      <c r="C1560" s="1">
        <v>44475</v>
      </c>
      <c r="D1560" s="1">
        <v>44477</v>
      </c>
      <c r="E1560">
        <v>1</v>
      </c>
      <c r="F1560" t="s">
        <v>1003</v>
      </c>
      <c r="G1560" t="str">
        <f>"01-K18-04"</f>
        <v>01-K18-04</v>
      </c>
      <c r="H1560">
        <v>0.49890000000000001</v>
      </c>
      <c r="I1560" t="s">
        <v>1091</v>
      </c>
      <c r="J1560" t="s">
        <v>14</v>
      </c>
      <c r="K1560" t="str">
        <f>"3F1"</f>
        <v>3F1</v>
      </c>
      <c r="L1560" t="s">
        <v>15</v>
      </c>
    </row>
    <row r="1561" spans="1:12" x14ac:dyDescent="0.25">
      <c r="A1561" t="str">
        <f>"2101060060"</f>
        <v>2101060060</v>
      </c>
      <c r="B1561" t="str">
        <f t="shared" si="80"/>
        <v>89301000</v>
      </c>
      <c r="C1561" s="1">
        <v>44202</v>
      </c>
      <c r="D1561" s="1">
        <v>44208</v>
      </c>
      <c r="E1561">
        <v>1</v>
      </c>
      <c r="F1561" t="s">
        <v>1261</v>
      </c>
      <c r="G1561" t="str">
        <f>"15-K06-01"</f>
        <v>15-K06-01</v>
      </c>
      <c r="H1561">
        <v>1.1248</v>
      </c>
      <c r="I1561" t="s">
        <v>1263</v>
      </c>
      <c r="J1561" t="s">
        <v>59</v>
      </c>
      <c r="K1561" t="str">
        <f>"3F4"</f>
        <v>3F4</v>
      </c>
      <c r="L1561" t="s">
        <v>15</v>
      </c>
    </row>
    <row r="1562" spans="1:12" x14ac:dyDescent="0.25">
      <c r="A1562" t="str">
        <f>"2101060533"</f>
        <v>2101060533</v>
      </c>
      <c r="B1562" t="str">
        <f t="shared" si="80"/>
        <v>89301000</v>
      </c>
      <c r="C1562" s="1">
        <v>44202</v>
      </c>
      <c r="D1562" s="1">
        <v>44205</v>
      </c>
      <c r="E1562">
        <v>1</v>
      </c>
      <c r="F1562" t="s">
        <v>1261</v>
      </c>
      <c r="G1562" t="str">
        <f>"15-K06-04"</f>
        <v>15-K06-04</v>
      </c>
      <c r="H1562">
        <v>0.27479999999999999</v>
      </c>
      <c r="J1562" t="s">
        <v>59</v>
      </c>
      <c r="K1562" t="str">
        <f>"3F4"</f>
        <v>3F4</v>
      </c>
      <c r="L1562" t="s">
        <v>15</v>
      </c>
    </row>
    <row r="1563" spans="1:12" x14ac:dyDescent="0.25">
      <c r="A1563" t="str">
        <f>"2101070653"</f>
        <v>2101070653</v>
      </c>
      <c r="B1563" t="str">
        <f t="shared" si="80"/>
        <v>89301000</v>
      </c>
      <c r="C1563" s="1">
        <v>44203</v>
      </c>
      <c r="D1563" s="1">
        <v>44207</v>
      </c>
      <c r="E1563">
        <v>1</v>
      </c>
      <c r="F1563" t="s">
        <v>1261</v>
      </c>
      <c r="G1563" t="str">
        <f>"15-K06-04"</f>
        <v>15-K06-04</v>
      </c>
      <c r="H1563">
        <v>0.27479999999999999</v>
      </c>
      <c r="J1563" t="s">
        <v>59</v>
      </c>
      <c r="K1563" t="str">
        <f>"3F4"</f>
        <v>3F4</v>
      </c>
      <c r="L1563" t="s">
        <v>15</v>
      </c>
    </row>
    <row r="1564" spans="1:12" x14ac:dyDescent="0.25">
      <c r="A1564" t="str">
        <f>"2101070664"</f>
        <v>2101070664</v>
      </c>
      <c r="B1564" t="str">
        <f t="shared" si="80"/>
        <v>89301000</v>
      </c>
      <c r="C1564" s="1">
        <v>44251</v>
      </c>
      <c r="D1564" s="1">
        <v>44257</v>
      </c>
      <c r="E1564">
        <v>1</v>
      </c>
      <c r="F1564" t="s">
        <v>96</v>
      </c>
      <c r="G1564" t="str">
        <f>"11-K01-03"</f>
        <v>11-K01-03</v>
      </c>
      <c r="H1564">
        <v>0.59489999999999998</v>
      </c>
      <c r="I1564" t="s">
        <v>1073</v>
      </c>
      <c r="J1564" t="s">
        <v>14</v>
      </c>
      <c r="K1564" t="str">
        <f>"3F1"</f>
        <v>3F1</v>
      </c>
      <c r="L1564" t="s">
        <v>15</v>
      </c>
    </row>
    <row r="1565" spans="1:12" x14ac:dyDescent="0.25">
      <c r="A1565" t="str">
        <f>"2101070664"</f>
        <v>2101070664</v>
      </c>
      <c r="B1565" t="str">
        <f t="shared" si="80"/>
        <v>89301000</v>
      </c>
      <c r="C1565" s="1">
        <v>44203</v>
      </c>
      <c r="D1565" s="1">
        <v>44206</v>
      </c>
      <c r="E1565">
        <v>1</v>
      </c>
      <c r="F1565" t="s">
        <v>1261</v>
      </c>
      <c r="G1565" t="str">
        <f>"15-K06-04"</f>
        <v>15-K06-04</v>
      </c>
      <c r="H1565">
        <v>0.27479999999999999</v>
      </c>
      <c r="J1565" t="s">
        <v>59</v>
      </c>
      <c r="K1565" t="str">
        <f>"3F4"</f>
        <v>3F4</v>
      </c>
      <c r="L1565" t="s">
        <v>15</v>
      </c>
    </row>
    <row r="1566" spans="1:12" x14ac:dyDescent="0.25">
      <c r="A1566" t="str">
        <f>"2101080091"</f>
        <v>2101080091</v>
      </c>
      <c r="B1566" t="str">
        <f t="shared" si="80"/>
        <v>89301000</v>
      </c>
      <c r="C1566" s="1">
        <v>44204</v>
      </c>
      <c r="D1566" s="1">
        <v>44207</v>
      </c>
      <c r="E1566">
        <v>1</v>
      </c>
      <c r="F1566" t="s">
        <v>1261</v>
      </c>
      <c r="G1566" t="str">
        <f>"15-K06-04"</f>
        <v>15-K06-04</v>
      </c>
      <c r="H1566">
        <v>0.27479999999999999</v>
      </c>
      <c r="I1566" t="s">
        <v>1264</v>
      </c>
      <c r="J1566" t="s">
        <v>59</v>
      </c>
      <c r="K1566" t="str">
        <f>"3F4"</f>
        <v>3F4</v>
      </c>
      <c r="L1566" t="s">
        <v>15</v>
      </c>
    </row>
    <row r="1567" spans="1:12" x14ac:dyDescent="0.25">
      <c r="A1567" t="str">
        <f>"2101080641"</f>
        <v>2101080641</v>
      </c>
      <c r="B1567" t="str">
        <f t="shared" si="80"/>
        <v>89301000</v>
      </c>
      <c r="C1567" s="1">
        <v>44204</v>
      </c>
      <c r="D1567" s="1">
        <v>44207</v>
      </c>
      <c r="E1567">
        <v>1</v>
      </c>
      <c r="F1567" t="s">
        <v>1261</v>
      </c>
      <c r="G1567" t="str">
        <f>"15-K06-04"</f>
        <v>15-K06-04</v>
      </c>
      <c r="H1567">
        <v>0.27479999999999999</v>
      </c>
      <c r="J1567" t="s">
        <v>59</v>
      </c>
      <c r="K1567" t="str">
        <f>"3F4"</f>
        <v>3F4</v>
      </c>
      <c r="L1567" t="s">
        <v>15</v>
      </c>
    </row>
    <row r="1568" spans="1:12" x14ac:dyDescent="0.25">
      <c r="A1568" t="str">
        <f>"2101090288"</f>
        <v>2101090288</v>
      </c>
      <c r="B1568" t="str">
        <f t="shared" si="80"/>
        <v>89301000</v>
      </c>
      <c r="C1568" s="1">
        <v>44205</v>
      </c>
      <c r="D1568" s="1">
        <v>44207</v>
      </c>
      <c r="E1568">
        <v>1</v>
      </c>
      <c r="F1568" t="s">
        <v>1261</v>
      </c>
      <c r="G1568" t="str">
        <f>"15-K06-04"</f>
        <v>15-K06-04</v>
      </c>
      <c r="H1568">
        <v>0.27479999999999999</v>
      </c>
      <c r="J1568" t="s">
        <v>59</v>
      </c>
      <c r="K1568" t="str">
        <f>"3F4"</f>
        <v>3F4</v>
      </c>
      <c r="L1568" t="s">
        <v>15</v>
      </c>
    </row>
    <row r="1569" spans="1:12" x14ac:dyDescent="0.25">
      <c r="A1569" t="str">
        <f>"2101100342"</f>
        <v>2101100342</v>
      </c>
      <c r="B1569" t="str">
        <f t="shared" si="80"/>
        <v>89301000</v>
      </c>
      <c r="C1569" s="1">
        <v>44206</v>
      </c>
      <c r="D1569" s="1">
        <v>44208</v>
      </c>
      <c r="E1569">
        <v>1</v>
      </c>
      <c r="F1569" t="s">
        <v>1261</v>
      </c>
      <c r="G1569" t="str">
        <f>"15-K06-04"</f>
        <v>15-K06-04</v>
      </c>
      <c r="H1569">
        <v>0.27479999999999999</v>
      </c>
      <c r="J1569" t="s">
        <v>59</v>
      </c>
      <c r="K1569" t="str">
        <f>"3F4"</f>
        <v>3F4</v>
      </c>
      <c r="L1569" t="s">
        <v>15</v>
      </c>
    </row>
    <row r="1570" spans="1:12" x14ac:dyDescent="0.25">
      <c r="A1570" t="str">
        <f>"2101100342"</f>
        <v>2101100342</v>
      </c>
      <c r="B1570" t="str">
        <f t="shared" si="80"/>
        <v>89301000</v>
      </c>
      <c r="C1570" s="1">
        <v>44281</v>
      </c>
      <c r="D1570" s="1">
        <v>44285</v>
      </c>
      <c r="E1570">
        <v>1</v>
      </c>
      <c r="F1570" t="s">
        <v>96</v>
      </c>
      <c r="G1570" t="str">
        <f>"11-K01-03"</f>
        <v>11-K01-03</v>
      </c>
      <c r="H1570">
        <v>0.59489999999999998</v>
      </c>
      <c r="I1570" t="s">
        <v>1073</v>
      </c>
      <c r="J1570" t="s">
        <v>14</v>
      </c>
      <c r="K1570" t="str">
        <f>"3F1"</f>
        <v>3F1</v>
      </c>
      <c r="L1570" t="s">
        <v>15</v>
      </c>
    </row>
    <row r="1571" spans="1:12" x14ac:dyDescent="0.25">
      <c r="A1571" t="str">
        <f>"2101100375"</f>
        <v>2101100375</v>
      </c>
      <c r="B1571" t="str">
        <f t="shared" si="80"/>
        <v>89301000</v>
      </c>
      <c r="C1571" s="1">
        <v>44206</v>
      </c>
      <c r="D1571" s="1">
        <v>44226</v>
      </c>
      <c r="E1571">
        <v>1</v>
      </c>
      <c r="F1571" t="s">
        <v>1261</v>
      </c>
      <c r="G1571" t="str">
        <f>"15-M01-10"</f>
        <v>15-M01-10</v>
      </c>
      <c r="H1571">
        <v>6.5004999999999997</v>
      </c>
      <c r="I1571" t="s">
        <v>1265</v>
      </c>
      <c r="J1571" t="s">
        <v>1212</v>
      </c>
      <c r="K1571" t="str">
        <f>"3F4"</f>
        <v>3F4</v>
      </c>
      <c r="L1571" t="s">
        <v>15</v>
      </c>
    </row>
    <row r="1572" spans="1:12" x14ac:dyDescent="0.25">
      <c r="A1572" t="str">
        <f>"2101110671"</f>
        <v>2101110671</v>
      </c>
      <c r="B1572" t="str">
        <f t="shared" si="80"/>
        <v>89301000</v>
      </c>
      <c r="C1572" s="1">
        <v>44207</v>
      </c>
      <c r="D1572" s="1">
        <v>44210</v>
      </c>
      <c r="E1572">
        <v>1</v>
      </c>
      <c r="F1572" t="s">
        <v>1261</v>
      </c>
      <c r="G1572" t="str">
        <f>"15-K06-04"</f>
        <v>15-K06-04</v>
      </c>
      <c r="H1572">
        <v>0.27479999999999999</v>
      </c>
      <c r="I1572" t="s">
        <v>1266</v>
      </c>
      <c r="J1572" t="s">
        <v>59</v>
      </c>
      <c r="K1572" t="str">
        <f>"3F4"</f>
        <v>3F4</v>
      </c>
      <c r="L1572" t="s">
        <v>15</v>
      </c>
    </row>
    <row r="1573" spans="1:12" x14ac:dyDescent="0.25">
      <c r="A1573" t="str">
        <f>"2101110715"</f>
        <v>2101110715</v>
      </c>
      <c r="B1573" t="str">
        <f t="shared" si="80"/>
        <v>89301000</v>
      </c>
      <c r="C1573" s="1">
        <v>44207</v>
      </c>
      <c r="D1573" s="1">
        <v>44210</v>
      </c>
      <c r="E1573">
        <v>1</v>
      </c>
      <c r="F1573" t="s">
        <v>1261</v>
      </c>
      <c r="G1573" t="str">
        <f>"15-K06-04"</f>
        <v>15-K06-04</v>
      </c>
      <c r="H1573">
        <v>0.27479999999999999</v>
      </c>
      <c r="J1573" t="s">
        <v>59</v>
      </c>
      <c r="K1573" t="str">
        <f>"3F4"</f>
        <v>3F4</v>
      </c>
      <c r="L1573" t="s">
        <v>15</v>
      </c>
    </row>
    <row r="1574" spans="1:12" x14ac:dyDescent="0.25">
      <c r="A1574" t="str">
        <f>"2101111276"</f>
        <v>2101111276</v>
      </c>
      <c r="B1574" t="str">
        <f t="shared" si="80"/>
        <v>89301000</v>
      </c>
      <c r="C1574" s="1">
        <v>44207</v>
      </c>
      <c r="D1574" s="1">
        <v>44207</v>
      </c>
      <c r="E1574">
        <v>8</v>
      </c>
      <c r="F1574" t="s">
        <v>1210</v>
      </c>
      <c r="G1574" t="str">
        <f>"15-K07-01"</f>
        <v>15-K07-01</v>
      </c>
      <c r="H1574">
        <v>0.50870000000000004</v>
      </c>
      <c r="I1574" t="s">
        <v>1267</v>
      </c>
      <c r="J1574" t="s">
        <v>59</v>
      </c>
      <c r="K1574" t="str">
        <f>"3T4"</f>
        <v>3T4</v>
      </c>
      <c r="L1574" t="s">
        <v>15</v>
      </c>
    </row>
    <row r="1575" spans="1:12" x14ac:dyDescent="0.25">
      <c r="A1575" t="str">
        <f>"2101120120"</f>
        <v>2101120120</v>
      </c>
      <c r="B1575" t="str">
        <f t="shared" si="80"/>
        <v>89301000</v>
      </c>
      <c r="C1575" s="1">
        <v>44208</v>
      </c>
      <c r="D1575" s="1">
        <v>44212</v>
      </c>
      <c r="E1575">
        <v>1</v>
      </c>
      <c r="F1575" t="s">
        <v>1261</v>
      </c>
      <c r="G1575" t="str">
        <f>"15-K06-04"</f>
        <v>15-K06-04</v>
      </c>
      <c r="H1575">
        <v>0.27479999999999999</v>
      </c>
      <c r="J1575" t="s">
        <v>59</v>
      </c>
      <c r="K1575" t="str">
        <f t="shared" ref="K1575:K1583" si="82">"3F4"</f>
        <v>3F4</v>
      </c>
      <c r="L1575" t="s">
        <v>15</v>
      </c>
    </row>
    <row r="1576" spans="1:12" x14ac:dyDescent="0.25">
      <c r="A1576" t="str">
        <f>"2101130075"</f>
        <v>2101130075</v>
      </c>
      <c r="B1576" t="str">
        <f t="shared" si="80"/>
        <v>89301000</v>
      </c>
      <c r="C1576" s="1">
        <v>44209</v>
      </c>
      <c r="D1576" s="1">
        <v>44211</v>
      </c>
      <c r="E1576">
        <v>1</v>
      </c>
      <c r="F1576" t="s">
        <v>1261</v>
      </c>
      <c r="G1576" t="str">
        <f>"15-K06-04"</f>
        <v>15-K06-04</v>
      </c>
      <c r="H1576">
        <v>0.27479999999999999</v>
      </c>
      <c r="J1576" t="s">
        <v>59</v>
      </c>
      <c r="K1576" t="str">
        <f t="shared" si="82"/>
        <v>3F4</v>
      </c>
      <c r="L1576" t="s">
        <v>15</v>
      </c>
    </row>
    <row r="1577" spans="1:12" x14ac:dyDescent="0.25">
      <c r="A1577" t="str">
        <f>"2101130625"</f>
        <v>2101130625</v>
      </c>
      <c r="B1577" t="str">
        <f t="shared" si="80"/>
        <v>89301000</v>
      </c>
      <c r="C1577" s="1">
        <v>44209</v>
      </c>
      <c r="D1577" s="1">
        <v>44212</v>
      </c>
      <c r="E1577">
        <v>1</v>
      </c>
      <c r="F1577" t="s">
        <v>1261</v>
      </c>
      <c r="G1577" t="str">
        <f>"15-K06-04"</f>
        <v>15-K06-04</v>
      </c>
      <c r="H1577">
        <v>0.27479999999999999</v>
      </c>
      <c r="J1577" t="s">
        <v>59</v>
      </c>
      <c r="K1577" t="str">
        <f t="shared" si="82"/>
        <v>3F4</v>
      </c>
      <c r="L1577" t="s">
        <v>15</v>
      </c>
    </row>
    <row r="1578" spans="1:12" x14ac:dyDescent="0.25">
      <c r="A1578" t="str">
        <f>"2101130647"</f>
        <v>2101130647</v>
      </c>
      <c r="B1578" t="str">
        <f t="shared" si="80"/>
        <v>89301000</v>
      </c>
      <c r="C1578" s="1">
        <v>44209</v>
      </c>
      <c r="D1578" s="1">
        <v>44212</v>
      </c>
      <c r="E1578">
        <v>1</v>
      </c>
      <c r="F1578" t="s">
        <v>1261</v>
      </c>
      <c r="G1578" t="str">
        <f>"15-K06-04"</f>
        <v>15-K06-04</v>
      </c>
      <c r="H1578">
        <v>0.27479999999999999</v>
      </c>
      <c r="J1578" t="s">
        <v>59</v>
      </c>
      <c r="K1578" t="str">
        <f t="shared" si="82"/>
        <v>3F4</v>
      </c>
      <c r="L1578" t="s">
        <v>15</v>
      </c>
    </row>
    <row r="1579" spans="1:12" x14ac:dyDescent="0.25">
      <c r="A1579" t="str">
        <f>"2101150524"</f>
        <v>2101150524</v>
      </c>
      <c r="B1579" t="str">
        <f t="shared" si="80"/>
        <v>89301000</v>
      </c>
      <c r="C1579" s="1">
        <v>44211</v>
      </c>
      <c r="D1579" s="1">
        <v>44214</v>
      </c>
      <c r="E1579">
        <v>1</v>
      </c>
      <c r="F1579" t="s">
        <v>1221</v>
      </c>
      <c r="G1579" t="str">
        <f>"15-K07-02"</f>
        <v>15-K07-02</v>
      </c>
      <c r="H1579">
        <v>1.0072000000000001</v>
      </c>
      <c r="I1579" t="s">
        <v>1268</v>
      </c>
      <c r="J1579" t="s">
        <v>59</v>
      </c>
      <c r="K1579" t="str">
        <f t="shared" si="82"/>
        <v>3F4</v>
      </c>
      <c r="L1579" t="s">
        <v>15</v>
      </c>
    </row>
    <row r="1580" spans="1:12" x14ac:dyDescent="0.25">
      <c r="A1580" t="str">
        <f>"2101150535"</f>
        <v>2101150535</v>
      </c>
      <c r="B1580" t="str">
        <f t="shared" si="80"/>
        <v>89301000</v>
      </c>
      <c r="C1580" s="1">
        <v>44211</v>
      </c>
      <c r="D1580" s="1">
        <v>44218</v>
      </c>
      <c r="E1580">
        <v>1</v>
      </c>
      <c r="F1580" t="s">
        <v>1261</v>
      </c>
      <c r="G1580" t="str">
        <f>"15-K06-04"</f>
        <v>15-K06-04</v>
      </c>
      <c r="H1580">
        <v>0.34079999999999999</v>
      </c>
      <c r="J1580" t="s">
        <v>59</v>
      </c>
      <c r="K1580" t="str">
        <f t="shared" si="82"/>
        <v>3F4</v>
      </c>
      <c r="L1580" t="s">
        <v>15</v>
      </c>
    </row>
    <row r="1581" spans="1:12" x14ac:dyDescent="0.25">
      <c r="A1581" t="str">
        <f>"2101150568"</f>
        <v>2101150568</v>
      </c>
      <c r="B1581" t="str">
        <f t="shared" si="80"/>
        <v>89301000</v>
      </c>
      <c r="C1581" s="1">
        <v>44211</v>
      </c>
      <c r="D1581" s="1">
        <v>44213</v>
      </c>
      <c r="E1581">
        <v>1</v>
      </c>
      <c r="F1581" t="s">
        <v>1261</v>
      </c>
      <c r="G1581" t="str">
        <f>"15-K06-04"</f>
        <v>15-K06-04</v>
      </c>
      <c r="H1581">
        <v>0.27479999999999999</v>
      </c>
      <c r="J1581" t="s">
        <v>59</v>
      </c>
      <c r="K1581" t="str">
        <f t="shared" si="82"/>
        <v>3F4</v>
      </c>
      <c r="L1581" t="s">
        <v>15</v>
      </c>
    </row>
    <row r="1582" spans="1:12" x14ac:dyDescent="0.25">
      <c r="A1582" t="str">
        <f>"2101150601"</f>
        <v>2101150601</v>
      </c>
      <c r="B1582" t="str">
        <f t="shared" si="80"/>
        <v>89301000</v>
      </c>
      <c r="C1582" s="1">
        <v>44211</v>
      </c>
      <c r="D1582" s="1">
        <v>44212</v>
      </c>
      <c r="E1582">
        <v>1</v>
      </c>
      <c r="F1582" t="s">
        <v>1261</v>
      </c>
      <c r="G1582" t="str">
        <f>"15-K06-04"</f>
        <v>15-K06-04</v>
      </c>
      <c r="H1582">
        <v>0.27479999999999999</v>
      </c>
      <c r="J1582" t="s">
        <v>59</v>
      </c>
      <c r="K1582" t="str">
        <f t="shared" si="82"/>
        <v>3F4</v>
      </c>
      <c r="L1582" t="s">
        <v>15</v>
      </c>
    </row>
    <row r="1583" spans="1:12" x14ac:dyDescent="0.25">
      <c r="A1583" t="str">
        <f>"2101160193"</f>
        <v>2101160193</v>
      </c>
      <c r="B1583" t="str">
        <f t="shared" si="80"/>
        <v>89301000</v>
      </c>
      <c r="C1583" s="1">
        <v>44212</v>
      </c>
      <c r="D1583" s="1">
        <v>44215</v>
      </c>
      <c r="E1583">
        <v>1</v>
      </c>
      <c r="F1583" t="s">
        <v>1269</v>
      </c>
      <c r="G1583" t="str">
        <f>"15-K07-03"</f>
        <v>15-K07-03</v>
      </c>
      <c r="H1583">
        <v>0.53959999999999997</v>
      </c>
      <c r="I1583" t="s">
        <v>1261</v>
      </c>
      <c r="J1583" t="s">
        <v>59</v>
      </c>
      <c r="K1583" t="str">
        <f t="shared" si="82"/>
        <v>3F4</v>
      </c>
      <c r="L1583" t="s">
        <v>15</v>
      </c>
    </row>
    <row r="1584" spans="1:12" x14ac:dyDescent="0.25">
      <c r="A1584" t="str">
        <f>"2101160204"</f>
        <v>2101160204</v>
      </c>
      <c r="B1584" t="str">
        <f t="shared" si="80"/>
        <v>89301000</v>
      </c>
      <c r="C1584" s="1">
        <v>44314</v>
      </c>
      <c r="D1584" s="1">
        <v>44315</v>
      </c>
      <c r="E1584">
        <v>1</v>
      </c>
      <c r="F1584" t="s">
        <v>605</v>
      </c>
      <c r="G1584" t="str">
        <f>"09-K12-00"</f>
        <v>09-K12-00</v>
      </c>
      <c r="H1584">
        <v>0.24349999999999999</v>
      </c>
      <c r="I1584" t="s">
        <v>1270</v>
      </c>
      <c r="J1584" t="s">
        <v>14</v>
      </c>
      <c r="K1584" t="str">
        <f>"3F1"</f>
        <v>3F1</v>
      </c>
      <c r="L1584" t="s">
        <v>15</v>
      </c>
    </row>
    <row r="1585" spans="1:12" x14ac:dyDescent="0.25">
      <c r="A1585" t="str">
        <f>"2101160204"</f>
        <v>2101160204</v>
      </c>
      <c r="B1585" t="str">
        <f t="shared" si="80"/>
        <v>89301000</v>
      </c>
      <c r="C1585" s="1">
        <v>44212</v>
      </c>
      <c r="D1585" s="1">
        <v>44215</v>
      </c>
      <c r="E1585">
        <v>1</v>
      </c>
      <c r="F1585" t="s">
        <v>1261</v>
      </c>
      <c r="G1585" t="str">
        <f>"15-K06-04"</f>
        <v>15-K06-04</v>
      </c>
      <c r="H1585">
        <v>0.27479999999999999</v>
      </c>
      <c r="J1585" t="s">
        <v>59</v>
      </c>
      <c r="K1585" t="str">
        <f>"3F4"</f>
        <v>3F4</v>
      </c>
      <c r="L1585" t="s">
        <v>15</v>
      </c>
    </row>
    <row r="1586" spans="1:12" x14ac:dyDescent="0.25">
      <c r="A1586" t="str">
        <f>"2101160204"</f>
        <v>2101160204</v>
      </c>
      <c r="B1586" t="str">
        <f t="shared" ref="B1586:B1649" si="83">"89301000"</f>
        <v>89301000</v>
      </c>
      <c r="C1586" s="1">
        <v>44361</v>
      </c>
      <c r="D1586" s="1">
        <v>44375</v>
      </c>
      <c r="E1586">
        <v>1</v>
      </c>
      <c r="F1586" t="s">
        <v>1271</v>
      </c>
      <c r="G1586" t="str">
        <f>"11-K14-01"</f>
        <v>11-K14-01</v>
      </c>
      <c r="H1586">
        <v>1.1149</v>
      </c>
      <c r="I1586" t="s">
        <v>1272</v>
      </c>
      <c r="J1586" t="s">
        <v>14</v>
      </c>
      <c r="K1586" t="str">
        <f>"3F1"</f>
        <v>3F1</v>
      </c>
      <c r="L1586" t="s">
        <v>15</v>
      </c>
    </row>
    <row r="1587" spans="1:12" x14ac:dyDescent="0.25">
      <c r="A1587" t="str">
        <f>"2101160292"</f>
        <v>2101160292</v>
      </c>
      <c r="B1587" t="str">
        <f t="shared" si="83"/>
        <v>89301000</v>
      </c>
      <c r="C1587" s="1">
        <v>44231</v>
      </c>
      <c r="D1587" s="1">
        <v>44245</v>
      </c>
      <c r="E1587">
        <v>6</v>
      </c>
      <c r="F1587" t="s">
        <v>1273</v>
      </c>
      <c r="G1587" t="str">
        <f>"15-K07-01"</f>
        <v>15-K07-01</v>
      </c>
      <c r="H1587">
        <v>1.5082</v>
      </c>
      <c r="I1587" t="s">
        <v>1274</v>
      </c>
      <c r="J1587" t="s">
        <v>59</v>
      </c>
      <c r="K1587" t="str">
        <f>"3T1"</f>
        <v>3T1</v>
      </c>
      <c r="L1587" t="s">
        <v>15</v>
      </c>
    </row>
    <row r="1588" spans="1:12" x14ac:dyDescent="0.25">
      <c r="A1588" t="str">
        <f>"2101160864"</f>
        <v>2101160864</v>
      </c>
      <c r="B1588" t="str">
        <f t="shared" si="83"/>
        <v>89301000</v>
      </c>
      <c r="C1588" s="1">
        <v>44386</v>
      </c>
      <c r="D1588" s="1">
        <v>44392</v>
      </c>
      <c r="E1588">
        <v>1</v>
      </c>
      <c r="F1588" t="s">
        <v>1275</v>
      </c>
      <c r="G1588" t="str">
        <f>"06-I21-03"</f>
        <v>06-I21-03</v>
      </c>
      <c r="H1588">
        <v>0.47820000000000001</v>
      </c>
      <c r="J1588" t="s">
        <v>17</v>
      </c>
      <c r="K1588" t="str">
        <f>"3F1"</f>
        <v>3F1</v>
      </c>
      <c r="L1588" t="s">
        <v>15</v>
      </c>
    </row>
    <row r="1589" spans="1:12" x14ac:dyDescent="0.25">
      <c r="A1589" t="str">
        <f>"2101200618"</f>
        <v>2101200618</v>
      </c>
      <c r="B1589" t="str">
        <f t="shared" si="83"/>
        <v>89301000</v>
      </c>
      <c r="C1589" s="1">
        <v>44216</v>
      </c>
      <c r="D1589" s="1">
        <v>44220</v>
      </c>
      <c r="E1589">
        <v>1</v>
      </c>
      <c r="F1589" t="s">
        <v>1261</v>
      </c>
      <c r="G1589" t="str">
        <f>"15-K06-04"</f>
        <v>15-K06-04</v>
      </c>
      <c r="H1589">
        <v>0.27479999999999999</v>
      </c>
      <c r="J1589" t="s">
        <v>59</v>
      </c>
      <c r="K1589" t="str">
        <f>"3F4"</f>
        <v>3F4</v>
      </c>
      <c r="L1589" t="s">
        <v>15</v>
      </c>
    </row>
    <row r="1590" spans="1:12" x14ac:dyDescent="0.25">
      <c r="A1590" t="str">
        <f>"2101200629"</f>
        <v>2101200629</v>
      </c>
      <c r="B1590" t="str">
        <f t="shared" si="83"/>
        <v>89301000</v>
      </c>
      <c r="C1590" s="1">
        <v>44216</v>
      </c>
      <c r="D1590" s="1">
        <v>44220</v>
      </c>
      <c r="E1590">
        <v>1</v>
      </c>
      <c r="F1590" t="s">
        <v>1261</v>
      </c>
      <c r="G1590" t="str">
        <f>"15-K06-04"</f>
        <v>15-K06-04</v>
      </c>
      <c r="H1590">
        <v>0.27479999999999999</v>
      </c>
      <c r="I1590" t="s">
        <v>1276</v>
      </c>
      <c r="J1590" t="s">
        <v>59</v>
      </c>
      <c r="K1590" t="str">
        <f>"3F4"</f>
        <v>3F4</v>
      </c>
      <c r="L1590" t="s">
        <v>15</v>
      </c>
    </row>
    <row r="1591" spans="1:12" x14ac:dyDescent="0.25">
      <c r="A1591" t="str">
        <f>"2101200629"</f>
        <v>2101200629</v>
      </c>
      <c r="B1591" t="str">
        <f t="shared" si="83"/>
        <v>89301000</v>
      </c>
      <c r="C1591" s="1">
        <v>44248</v>
      </c>
      <c r="D1591" s="1">
        <v>44258</v>
      </c>
      <c r="E1591">
        <v>1</v>
      </c>
      <c r="F1591" t="s">
        <v>1277</v>
      </c>
      <c r="G1591" t="str">
        <f>"18-K01-03"</f>
        <v>18-K01-03</v>
      </c>
      <c r="H1591">
        <v>1.8284</v>
      </c>
      <c r="I1591" t="s">
        <v>552</v>
      </c>
      <c r="J1591" t="s">
        <v>14</v>
      </c>
      <c r="K1591" t="str">
        <f>"3F1"</f>
        <v>3F1</v>
      </c>
      <c r="L1591" t="s">
        <v>15</v>
      </c>
    </row>
    <row r="1592" spans="1:12" x14ac:dyDescent="0.25">
      <c r="A1592" t="str">
        <f>"2101200651"</f>
        <v>2101200651</v>
      </c>
      <c r="B1592" t="str">
        <f t="shared" si="83"/>
        <v>89301000</v>
      </c>
      <c r="C1592" s="1">
        <v>44216</v>
      </c>
      <c r="D1592" s="1">
        <v>44219</v>
      </c>
      <c r="E1592">
        <v>1</v>
      </c>
      <c r="F1592" t="s">
        <v>1261</v>
      </c>
      <c r="G1592" t="str">
        <f>"15-K06-04"</f>
        <v>15-K06-04</v>
      </c>
      <c r="H1592">
        <v>0.27479999999999999</v>
      </c>
      <c r="I1592" t="s">
        <v>1278</v>
      </c>
      <c r="J1592" t="s">
        <v>59</v>
      </c>
      <c r="K1592" t="str">
        <f>"3F4"</f>
        <v>3F4</v>
      </c>
      <c r="L1592" t="s">
        <v>15</v>
      </c>
    </row>
    <row r="1593" spans="1:12" x14ac:dyDescent="0.25">
      <c r="A1593" t="str">
        <f>"2101210089"</f>
        <v>2101210089</v>
      </c>
      <c r="B1593" t="str">
        <f t="shared" si="83"/>
        <v>89301000</v>
      </c>
      <c r="C1593" s="1">
        <v>44217</v>
      </c>
      <c r="D1593" s="1">
        <v>44221</v>
      </c>
      <c r="E1593">
        <v>1</v>
      </c>
      <c r="F1593" t="s">
        <v>1261</v>
      </c>
      <c r="G1593" t="str">
        <f>"15-K06-04"</f>
        <v>15-K06-04</v>
      </c>
      <c r="H1593">
        <v>0.27479999999999999</v>
      </c>
      <c r="J1593" t="s">
        <v>59</v>
      </c>
      <c r="K1593" t="str">
        <f>"3F4"</f>
        <v>3F4</v>
      </c>
      <c r="L1593" t="s">
        <v>15</v>
      </c>
    </row>
    <row r="1594" spans="1:12" x14ac:dyDescent="0.25">
      <c r="A1594" t="str">
        <f>"2101210705"</f>
        <v>2101210705</v>
      </c>
      <c r="B1594" t="str">
        <f t="shared" si="83"/>
        <v>89301000</v>
      </c>
      <c r="C1594" s="1">
        <v>44217</v>
      </c>
      <c r="D1594" s="1">
        <v>44222</v>
      </c>
      <c r="E1594">
        <v>1</v>
      </c>
      <c r="F1594" t="s">
        <v>1261</v>
      </c>
      <c r="G1594" t="str">
        <f>"15-K06-04"</f>
        <v>15-K06-04</v>
      </c>
      <c r="H1594">
        <v>0.27479999999999999</v>
      </c>
      <c r="I1594" t="s">
        <v>1264</v>
      </c>
      <c r="J1594" t="s">
        <v>59</v>
      </c>
      <c r="K1594" t="str">
        <f>"3F4"</f>
        <v>3F4</v>
      </c>
      <c r="L1594" t="s">
        <v>15</v>
      </c>
    </row>
    <row r="1595" spans="1:12" x14ac:dyDescent="0.25">
      <c r="A1595" t="str">
        <f>"2101210738"</f>
        <v>2101210738</v>
      </c>
      <c r="B1595" t="str">
        <f t="shared" si="83"/>
        <v>89301000</v>
      </c>
      <c r="C1595" s="1">
        <v>44217</v>
      </c>
      <c r="D1595" s="1">
        <v>44220</v>
      </c>
      <c r="E1595">
        <v>1</v>
      </c>
      <c r="F1595" t="s">
        <v>1261</v>
      </c>
      <c r="G1595" t="str">
        <f>"15-K06-04"</f>
        <v>15-K06-04</v>
      </c>
      <c r="H1595">
        <v>0.27479999999999999</v>
      </c>
      <c r="I1595" t="s">
        <v>1279</v>
      </c>
      <c r="J1595" t="s">
        <v>59</v>
      </c>
      <c r="K1595" t="str">
        <f>"3F4"</f>
        <v>3F4</v>
      </c>
      <c r="L1595" t="s">
        <v>15</v>
      </c>
    </row>
    <row r="1596" spans="1:12" x14ac:dyDescent="0.25">
      <c r="A1596" t="str">
        <f>"2101220176"</f>
        <v>2101220176</v>
      </c>
      <c r="B1596" t="str">
        <f t="shared" si="83"/>
        <v>89301000</v>
      </c>
      <c r="C1596" s="1">
        <v>44522</v>
      </c>
      <c r="D1596" s="1">
        <v>44526</v>
      </c>
      <c r="E1596">
        <v>1</v>
      </c>
      <c r="F1596" t="s">
        <v>1280</v>
      </c>
      <c r="G1596" t="str">
        <f>"04-K02-04"</f>
        <v>04-K02-04</v>
      </c>
      <c r="H1596">
        <v>0.82469999999999999</v>
      </c>
      <c r="I1596" t="s">
        <v>1281</v>
      </c>
      <c r="J1596" t="s">
        <v>14</v>
      </c>
      <c r="K1596" t="str">
        <f>"3F1"</f>
        <v>3F1</v>
      </c>
      <c r="L1596" t="s">
        <v>15</v>
      </c>
    </row>
    <row r="1597" spans="1:12" x14ac:dyDescent="0.25">
      <c r="A1597" t="str">
        <f>"2101230318"</f>
        <v>2101230318</v>
      </c>
      <c r="B1597" t="str">
        <f t="shared" si="83"/>
        <v>89301000</v>
      </c>
      <c r="C1597" s="1">
        <v>44219</v>
      </c>
      <c r="D1597" s="1">
        <v>44221</v>
      </c>
      <c r="E1597">
        <v>1</v>
      </c>
      <c r="F1597" t="s">
        <v>1261</v>
      </c>
      <c r="G1597" t="str">
        <f>"15-K06-04"</f>
        <v>15-K06-04</v>
      </c>
      <c r="H1597">
        <v>0.27479999999999999</v>
      </c>
      <c r="I1597" t="s">
        <v>1266</v>
      </c>
      <c r="J1597" t="s">
        <v>59</v>
      </c>
      <c r="K1597" t="str">
        <f t="shared" ref="K1597:K1612" si="84">"3F4"</f>
        <v>3F4</v>
      </c>
      <c r="L1597" t="s">
        <v>15</v>
      </c>
    </row>
    <row r="1598" spans="1:12" x14ac:dyDescent="0.25">
      <c r="A1598" t="str">
        <f>"2101240328"</f>
        <v>2101240328</v>
      </c>
      <c r="B1598" t="str">
        <f t="shared" si="83"/>
        <v>89301000</v>
      </c>
      <c r="C1598" s="1">
        <v>44220</v>
      </c>
      <c r="D1598" s="1">
        <v>44223</v>
      </c>
      <c r="E1598">
        <v>1</v>
      </c>
      <c r="F1598" t="s">
        <v>1261</v>
      </c>
      <c r="G1598" t="str">
        <f>"15-K06-04"</f>
        <v>15-K06-04</v>
      </c>
      <c r="H1598">
        <v>0.27479999999999999</v>
      </c>
      <c r="J1598" t="s">
        <v>59</v>
      </c>
      <c r="K1598" t="str">
        <f t="shared" si="84"/>
        <v>3F4</v>
      </c>
      <c r="L1598" t="s">
        <v>15</v>
      </c>
    </row>
    <row r="1599" spans="1:12" x14ac:dyDescent="0.25">
      <c r="A1599" t="str">
        <f>"2101240823"</f>
        <v>2101240823</v>
      </c>
      <c r="B1599" t="str">
        <f t="shared" si="83"/>
        <v>89301000</v>
      </c>
      <c r="C1599" s="1">
        <v>44220</v>
      </c>
      <c r="D1599" s="1">
        <v>44239</v>
      </c>
      <c r="E1599">
        <v>1</v>
      </c>
      <c r="F1599" t="s">
        <v>1282</v>
      </c>
      <c r="G1599" t="str">
        <f>"15-M01-11"</f>
        <v>15-M01-11</v>
      </c>
      <c r="H1599">
        <v>4.9877000000000002</v>
      </c>
      <c r="I1599" t="s">
        <v>1283</v>
      </c>
      <c r="J1599" t="s">
        <v>1212</v>
      </c>
      <c r="K1599" t="str">
        <f t="shared" si="84"/>
        <v>3F4</v>
      </c>
      <c r="L1599" t="s">
        <v>15</v>
      </c>
    </row>
    <row r="1600" spans="1:12" x14ac:dyDescent="0.25">
      <c r="A1600" t="str">
        <f>"2101260040"</f>
        <v>2101260040</v>
      </c>
      <c r="B1600" t="str">
        <f t="shared" si="83"/>
        <v>89301000</v>
      </c>
      <c r="C1600" s="1">
        <v>44222</v>
      </c>
      <c r="D1600" s="1">
        <v>44225</v>
      </c>
      <c r="E1600">
        <v>1</v>
      </c>
      <c r="F1600" t="s">
        <v>1269</v>
      </c>
      <c r="G1600" t="str">
        <f>"15-K07-03"</f>
        <v>15-K07-03</v>
      </c>
      <c r="H1600">
        <v>0.53959999999999997</v>
      </c>
      <c r="I1600" t="s">
        <v>1284</v>
      </c>
      <c r="J1600" t="s">
        <v>59</v>
      </c>
      <c r="K1600" t="str">
        <f t="shared" si="84"/>
        <v>3F4</v>
      </c>
      <c r="L1600" t="s">
        <v>15</v>
      </c>
    </row>
    <row r="1601" spans="1:12" x14ac:dyDescent="0.25">
      <c r="A1601" t="str">
        <f>"2101260568"</f>
        <v>2101260568</v>
      </c>
      <c r="B1601" t="str">
        <f t="shared" si="83"/>
        <v>89301000</v>
      </c>
      <c r="C1601" s="1">
        <v>44222</v>
      </c>
      <c r="D1601" s="1">
        <v>44222</v>
      </c>
      <c r="E1601">
        <v>1</v>
      </c>
      <c r="F1601" t="s">
        <v>1261</v>
      </c>
      <c r="G1601" t="str">
        <f>"15-K06-04"</f>
        <v>15-K06-04</v>
      </c>
      <c r="H1601">
        <v>0.13739999999999999</v>
      </c>
      <c r="J1601" t="s">
        <v>59</v>
      </c>
      <c r="K1601" t="str">
        <f t="shared" si="84"/>
        <v>3F4</v>
      </c>
      <c r="L1601" t="s">
        <v>15</v>
      </c>
    </row>
    <row r="1602" spans="1:12" x14ac:dyDescent="0.25">
      <c r="A1602" t="str">
        <f>"2101260579"</f>
        <v>2101260579</v>
      </c>
      <c r="B1602" t="str">
        <f t="shared" si="83"/>
        <v>89301000</v>
      </c>
      <c r="C1602" s="1">
        <v>44222</v>
      </c>
      <c r="D1602" s="1">
        <v>44225</v>
      </c>
      <c r="E1602">
        <v>1</v>
      </c>
      <c r="F1602" t="s">
        <v>1261</v>
      </c>
      <c r="G1602" t="str">
        <f>"15-K06-04"</f>
        <v>15-K06-04</v>
      </c>
      <c r="H1602">
        <v>0.27479999999999999</v>
      </c>
      <c r="J1602" t="s">
        <v>59</v>
      </c>
      <c r="K1602" t="str">
        <f t="shared" si="84"/>
        <v>3F4</v>
      </c>
      <c r="L1602" t="s">
        <v>15</v>
      </c>
    </row>
    <row r="1603" spans="1:12" x14ac:dyDescent="0.25">
      <c r="A1603" t="str">
        <f>"2101280599"</f>
        <v>2101280599</v>
      </c>
      <c r="B1603" t="str">
        <f t="shared" si="83"/>
        <v>89301000</v>
      </c>
      <c r="C1603" s="1">
        <v>44224</v>
      </c>
      <c r="D1603" s="1">
        <v>44246</v>
      </c>
      <c r="E1603">
        <v>2</v>
      </c>
      <c r="F1603" t="s">
        <v>1261</v>
      </c>
      <c r="G1603" t="str">
        <f>"15-K05-03"</f>
        <v>15-K05-03</v>
      </c>
      <c r="H1603">
        <v>1.0448</v>
      </c>
      <c r="I1603" t="s">
        <v>1210</v>
      </c>
      <c r="J1603" t="s">
        <v>1212</v>
      </c>
      <c r="K1603" t="str">
        <f t="shared" si="84"/>
        <v>3F4</v>
      </c>
      <c r="L1603" t="s">
        <v>15</v>
      </c>
    </row>
    <row r="1604" spans="1:12" x14ac:dyDescent="0.25">
      <c r="A1604" t="str">
        <f>"2101290125"</f>
        <v>2101290125</v>
      </c>
      <c r="B1604" t="str">
        <f t="shared" si="83"/>
        <v>89301000</v>
      </c>
      <c r="C1604" s="1">
        <v>44225</v>
      </c>
      <c r="D1604" s="1">
        <v>44236</v>
      </c>
      <c r="E1604">
        <v>1</v>
      </c>
      <c r="F1604" t="s">
        <v>1261</v>
      </c>
      <c r="G1604" t="str">
        <f>"15-M01-13"</f>
        <v>15-M01-13</v>
      </c>
      <c r="H1604">
        <v>2.5091999999999999</v>
      </c>
      <c r="I1604" t="s">
        <v>1285</v>
      </c>
      <c r="J1604" t="s">
        <v>1212</v>
      </c>
      <c r="K1604" t="str">
        <f t="shared" si="84"/>
        <v>3F4</v>
      </c>
      <c r="L1604" t="s">
        <v>15</v>
      </c>
    </row>
    <row r="1605" spans="1:12" x14ac:dyDescent="0.25">
      <c r="A1605" t="str">
        <f>"2101290631"</f>
        <v>2101290631</v>
      </c>
      <c r="B1605" t="str">
        <f t="shared" si="83"/>
        <v>89301000</v>
      </c>
      <c r="C1605" s="1">
        <v>44225</v>
      </c>
      <c r="D1605" s="1">
        <v>44225</v>
      </c>
      <c r="E1605">
        <v>1</v>
      </c>
      <c r="F1605" t="s">
        <v>1261</v>
      </c>
      <c r="G1605" t="str">
        <f>"15-K06-04"</f>
        <v>15-K06-04</v>
      </c>
      <c r="H1605">
        <v>0.13739999999999999</v>
      </c>
      <c r="I1605" t="s">
        <v>1286</v>
      </c>
      <c r="J1605" t="s">
        <v>59</v>
      </c>
      <c r="K1605" t="str">
        <f t="shared" si="84"/>
        <v>3F4</v>
      </c>
      <c r="L1605" t="s">
        <v>15</v>
      </c>
    </row>
    <row r="1606" spans="1:12" x14ac:dyDescent="0.25">
      <c r="A1606" t="str">
        <f>"2101310398"</f>
        <v>2101310398</v>
      </c>
      <c r="B1606" t="str">
        <f t="shared" si="83"/>
        <v>89301000</v>
      </c>
      <c r="C1606" s="1">
        <v>44227</v>
      </c>
      <c r="D1606" s="1">
        <v>44230</v>
      </c>
      <c r="E1606">
        <v>1</v>
      </c>
      <c r="F1606" t="s">
        <v>1261</v>
      </c>
      <c r="G1606" t="str">
        <f>"15-K06-04"</f>
        <v>15-K06-04</v>
      </c>
      <c r="H1606">
        <v>0.27479999999999999</v>
      </c>
      <c r="J1606" t="s">
        <v>59</v>
      </c>
      <c r="K1606" t="str">
        <f t="shared" si="84"/>
        <v>3F4</v>
      </c>
      <c r="L1606" t="s">
        <v>15</v>
      </c>
    </row>
    <row r="1607" spans="1:12" x14ac:dyDescent="0.25">
      <c r="A1607" t="str">
        <f>"2102010735"</f>
        <v>2102010735</v>
      </c>
      <c r="B1607" t="str">
        <f t="shared" si="83"/>
        <v>89301000</v>
      </c>
      <c r="C1607" s="1">
        <v>44228</v>
      </c>
      <c r="D1607" s="1">
        <v>44246</v>
      </c>
      <c r="E1607">
        <v>1</v>
      </c>
      <c r="F1607" t="s">
        <v>1261</v>
      </c>
      <c r="G1607" t="str">
        <f>"15-K04-01"</f>
        <v>15-K04-01</v>
      </c>
      <c r="H1607">
        <v>3.3435000000000001</v>
      </c>
      <c r="I1607" t="s">
        <v>1287</v>
      </c>
      <c r="J1607" t="s">
        <v>1212</v>
      </c>
      <c r="K1607" t="str">
        <f t="shared" si="84"/>
        <v>3F4</v>
      </c>
      <c r="L1607" t="s">
        <v>15</v>
      </c>
    </row>
    <row r="1608" spans="1:12" x14ac:dyDescent="0.25">
      <c r="A1608" t="str">
        <f>"2102011197"</f>
        <v>2102011197</v>
      </c>
      <c r="B1608" t="str">
        <f t="shared" si="83"/>
        <v>89301000</v>
      </c>
      <c r="C1608" s="1">
        <v>44228</v>
      </c>
      <c r="D1608" s="1">
        <v>44236</v>
      </c>
      <c r="E1608">
        <v>1</v>
      </c>
      <c r="F1608" t="s">
        <v>1288</v>
      </c>
      <c r="G1608" t="str">
        <f>"15-M01-12"</f>
        <v>15-M01-12</v>
      </c>
      <c r="H1608">
        <v>4.4104999999999999</v>
      </c>
      <c r="I1608" t="s">
        <v>1289</v>
      </c>
      <c r="J1608" t="s">
        <v>1212</v>
      </c>
      <c r="K1608" t="str">
        <f t="shared" si="84"/>
        <v>3F4</v>
      </c>
      <c r="L1608" t="s">
        <v>15</v>
      </c>
    </row>
    <row r="1609" spans="1:12" x14ac:dyDescent="0.25">
      <c r="A1609" t="str">
        <f>"2102011219"</f>
        <v>2102011219</v>
      </c>
      <c r="B1609" t="str">
        <f t="shared" si="83"/>
        <v>89301000</v>
      </c>
      <c r="C1609" s="1">
        <v>44228</v>
      </c>
      <c r="D1609" s="1">
        <v>44236</v>
      </c>
      <c r="E1609">
        <v>1</v>
      </c>
      <c r="F1609" t="s">
        <v>1210</v>
      </c>
      <c r="G1609" t="str">
        <f>"15-K04-01"</f>
        <v>15-K04-01</v>
      </c>
      <c r="H1609">
        <v>3.3435000000000001</v>
      </c>
      <c r="I1609" t="s">
        <v>1290</v>
      </c>
      <c r="J1609" t="s">
        <v>1212</v>
      </c>
      <c r="K1609" t="str">
        <f t="shared" si="84"/>
        <v>3F4</v>
      </c>
      <c r="L1609" t="s">
        <v>15</v>
      </c>
    </row>
    <row r="1610" spans="1:12" x14ac:dyDescent="0.25">
      <c r="A1610" t="str">
        <f>"2102020657"</f>
        <v>2102020657</v>
      </c>
      <c r="B1610" t="str">
        <f t="shared" si="83"/>
        <v>89301000</v>
      </c>
      <c r="C1610" s="1">
        <v>44229</v>
      </c>
      <c r="D1610" s="1">
        <v>44233</v>
      </c>
      <c r="E1610">
        <v>1</v>
      </c>
      <c r="F1610" t="s">
        <v>1276</v>
      </c>
      <c r="G1610" t="str">
        <f>"15-K07-03"</f>
        <v>15-K07-03</v>
      </c>
      <c r="H1610">
        <v>0.53959999999999997</v>
      </c>
      <c r="J1610" t="s">
        <v>59</v>
      </c>
      <c r="K1610" t="str">
        <f t="shared" si="84"/>
        <v>3F4</v>
      </c>
      <c r="L1610" t="s">
        <v>15</v>
      </c>
    </row>
    <row r="1611" spans="1:12" x14ac:dyDescent="0.25">
      <c r="A1611" t="str">
        <f>"2102020668"</f>
        <v>2102020668</v>
      </c>
      <c r="B1611" t="str">
        <f t="shared" si="83"/>
        <v>89301000</v>
      </c>
      <c r="C1611" s="1">
        <v>44229</v>
      </c>
      <c r="D1611" s="1">
        <v>44232</v>
      </c>
      <c r="E1611">
        <v>1</v>
      </c>
      <c r="F1611" t="s">
        <v>1261</v>
      </c>
      <c r="G1611" t="str">
        <f>"15-K06-04"</f>
        <v>15-K06-04</v>
      </c>
      <c r="H1611">
        <v>0.27479999999999999</v>
      </c>
      <c r="I1611" t="s">
        <v>1291</v>
      </c>
      <c r="J1611" t="s">
        <v>59</v>
      </c>
      <c r="K1611" t="str">
        <f t="shared" si="84"/>
        <v>3F4</v>
      </c>
      <c r="L1611" t="s">
        <v>15</v>
      </c>
    </row>
    <row r="1612" spans="1:12" x14ac:dyDescent="0.25">
      <c r="A1612" t="str">
        <f>"2102020679"</f>
        <v>2102020679</v>
      </c>
      <c r="B1612" t="str">
        <f t="shared" si="83"/>
        <v>89301000</v>
      </c>
      <c r="C1612" s="1">
        <v>44229</v>
      </c>
      <c r="D1612" s="1">
        <v>44231</v>
      </c>
      <c r="E1612">
        <v>1</v>
      </c>
      <c r="F1612" t="s">
        <v>1261</v>
      </c>
      <c r="G1612" t="str">
        <f>"15-K06-04"</f>
        <v>15-K06-04</v>
      </c>
      <c r="H1612">
        <v>0.27479999999999999</v>
      </c>
      <c r="J1612" t="s">
        <v>59</v>
      </c>
      <c r="K1612" t="str">
        <f t="shared" si="84"/>
        <v>3F4</v>
      </c>
      <c r="L1612" t="s">
        <v>15</v>
      </c>
    </row>
    <row r="1613" spans="1:12" x14ac:dyDescent="0.25">
      <c r="A1613" t="str">
        <f>"2102020679"</f>
        <v>2102020679</v>
      </c>
      <c r="B1613" t="str">
        <f t="shared" si="83"/>
        <v>89301000</v>
      </c>
      <c r="C1613" s="1">
        <v>44317</v>
      </c>
      <c r="D1613" s="1">
        <v>44319</v>
      </c>
      <c r="E1613">
        <v>1</v>
      </c>
      <c r="F1613" t="s">
        <v>92</v>
      </c>
      <c r="G1613" t="str">
        <f>"05-K15-02"</f>
        <v>05-K15-02</v>
      </c>
      <c r="H1613">
        <v>0.47510000000000002</v>
      </c>
      <c r="I1613" t="s">
        <v>168</v>
      </c>
      <c r="J1613" t="s">
        <v>14</v>
      </c>
      <c r="K1613" t="str">
        <f>"3F1"</f>
        <v>3F1</v>
      </c>
      <c r="L1613" t="s">
        <v>15</v>
      </c>
    </row>
    <row r="1614" spans="1:12" x14ac:dyDescent="0.25">
      <c r="A1614" t="str">
        <f>"2102030535"</f>
        <v>2102030535</v>
      </c>
      <c r="B1614" t="str">
        <f t="shared" si="83"/>
        <v>89301000</v>
      </c>
      <c r="C1614" s="1">
        <v>44230</v>
      </c>
      <c r="D1614" s="1">
        <v>44233</v>
      </c>
      <c r="E1614">
        <v>1</v>
      </c>
      <c r="F1614" t="s">
        <v>1261</v>
      </c>
      <c r="G1614" t="str">
        <f>"15-K06-04"</f>
        <v>15-K06-04</v>
      </c>
      <c r="H1614">
        <v>0.27479999999999999</v>
      </c>
      <c r="J1614" t="s">
        <v>59</v>
      </c>
      <c r="K1614" t="str">
        <f t="shared" ref="K1614:K1622" si="85">"3F4"</f>
        <v>3F4</v>
      </c>
      <c r="L1614" t="s">
        <v>15</v>
      </c>
    </row>
    <row r="1615" spans="1:12" x14ac:dyDescent="0.25">
      <c r="A1615" t="str">
        <f>"2102030612"</f>
        <v>2102030612</v>
      </c>
      <c r="B1615" t="str">
        <f t="shared" si="83"/>
        <v>89301000</v>
      </c>
      <c r="C1615" s="1">
        <v>44230</v>
      </c>
      <c r="D1615" s="1">
        <v>44235</v>
      </c>
      <c r="E1615">
        <v>1</v>
      </c>
      <c r="F1615" t="s">
        <v>1261</v>
      </c>
      <c r="G1615" t="str">
        <f>"15-K06-04"</f>
        <v>15-K06-04</v>
      </c>
      <c r="H1615">
        <v>0.27479999999999999</v>
      </c>
      <c r="I1615" t="s">
        <v>1292</v>
      </c>
      <c r="J1615" t="s">
        <v>59</v>
      </c>
      <c r="K1615" t="str">
        <f t="shared" si="85"/>
        <v>3F4</v>
      </c>
      <c r="L1615" t="s">
        <v>15</v>
      </c>
    </row>
    <row r="1616" spans="1:12" x14ac:dyDescent="0.25">
      <c r="A1616" t="str">
        <f>"2102050698"</f>
        <v>2102050698</v>
      </c>
      <c r="B1616" t="str">
        <f t="shared" si="83"/>
        <v>89301000</v>
      </c>
      <c r="C1616" s="1">
        <v>44232</v>
      </c>
      <c r="D1616" s="1">
        <v>44234</v>
      </c>
      <c r="E1616">
        <v>1</v>
      </c>
      <c r="F1616" t="s">
        <v>1261</v>
      </c>
      <c r="G1616" t="str">
        <f>"15-K06-04"</f>
        <v>15-K06-04</v>
      </c>
      <c r="H1616">
        <v>0.27479999999999999</v>
      </c>
      <c r="J1616" t="s">
        <v>59</v>
      </c>
      <c r="K1616" t="str">
        <f t="shared" si="85"/>
        <v>3F4</v>
      </c>
      <c r="L1616" t="s">
        <v>15</v>
      </c>
    </row>
    <row r="1617" spans="1:12" x14ac:dyDescent="0.25">
      <c r="A1617" t="str">
        <f>"2102050709"</f>
        <v>2102050709</v>
      </c>
      <c r="B1617" t="str">
        <f t="shared" si="83"/>
        <v>89301000</v>
      </c>
      <c r="C1617" s="1">
        <v>44232</v>
      </c>
      <c r="D1617" s="1">
        <v>44250</v>
      </c>
      <c r="E1617">
        <v>1</v>
      </c>
      <c r="F1617" t="s">
        <v>1261</v>
      </c>
      <c r="G1617" t="str">
        <f>"15-M01-11"</f>
        <v>15-M01-11</v>
      </c>
      <c r="H1617">
        <v>4.7668999999999997</v>
      </c>
      <c r="I1617" t="s">
        <v>1293</v>
      </c>
      <c r="J1617" t="s">
        <v>1212</v>
      </c>
      <c r="K1617" t="str">
        <f t="shared" si="85"/>
        <v>3F4</v>
      </c>
      <c r="L1617" t="s">
        <v>15</v>
      </c>
    </row>
    <row r="1618" spans="1:12" x14ac:dyDescent="0.25">
      <c r="A1618" t="str">
        <f>"2102060433"</f>
        <v>2102060433</v>
      </c>
      <c r="B1618" t="str">
        <f t="shared" si="83"/>
        <v>89301000</v>
      </c>
      <c r="C1618" s="1">
        <v>44233</v>
      </c>
      <c r="D1618" s="1">
        <v>44236</v>
      </c>
      <c r="E1618">
        <v>1</v>
      </c>
      <c r="F1618" t="s">
        <v>1261</v>
      </c>
      <c r="G1618" t="str">
        <f>"15-K06-04"</f>
        <v>15-K06-04</v>
      </c>
      <c r="H1618">
        <v>0.27479999999999999</v>
      </c>
      <c r="J1618" t="s">
        <v>59</v>
      </c>
      <c r="K1618" t="str">
        <f t="shared" si="85"/>
        <v>3F4</v>
      </c>
      <c r="L1618" t="s">
        <v>15</v>
      </c>
    </row>
    <row r="1619" spans="1:12" x14ac:dyDescent="0.25">
      <c r="A1619" t="str">
        <f>"2102070234"</f>
        <v>2102070234</v>
      </c>
      <c r="B1619" t="str">
        <f t="shared" si="83"/>
        <v>89301000</v>
      </c>
      <c r="C1619" s="1">
        <v>44234</v>
      </c>
      <c r="D1619" s="1">
        <v>44241</v>
      </c>
      <c r="E1619">
        <v>1</v>
      </c>
      <c r="F1619" t="s">
        <v>1261</v>
      </c>
      <c r="G1619" t="str">
        <f>"15-K06-01"</f>
        <v>15-K06-01</v>
      </c>
      <c r="H1619">
        <v>1.1248</v>
      </c>
      <c r="I1619" t="s">
        <v>1294</v>
      </c>
      <c r="J1619" t="s">
        <v>59</v>
      </c>
      <c r="K1619" t="str">
        <f t="shared" si="85"/>
        <v>3F4</v>
      </c>
      <c r="L1619" t="s">
        <v>15</v>
      </c>
    </row>
    <row r="1620" spans="1:12" x14ac:dyDescent="0.25">
      <c r="A1620" t="str">
        <f>"2102070256"</f>
        <v>2102070256</v>
      </c>
      <c r="B1620" t="str">
        <f t="shared" si="83"/>
        <v>89301000</v>
      </c>
      <c r="C1620" s="1">
        <v>44234</v>
      </c>
      <c r="D1620" s="1">
        <v>44237</v>
      </c>
      <c r="E1620">
        <v>1</v>
      </c>
      <c r="F1620" t="s">
        <v>1261</v>
      </c>
      <c r="G1620" t="str">
        <f>"15-K06-04"</f>
        <v>15-K06-04</v>
      </c>
      <c r="H1620">
        <v>0.27479999999999999</v>
      </c>
      <c r="J1620" t="s">
        <v>59</v>
      </c>
      <c r="K1620" t="str">
        <f t="shared" si="85"/>
        <v>3F4</v>
      </c>
      <c r="L1620" t="s">
        <v>15</v>
      </c>
    </row>
    <row r="1621" spans="1:12" x14ac:dyDescent="0.25">
      <c r="A1621" t="str">
        <f>"2102080530"</f>
        <v>2102080530</v>
      </c>
      <c r="B1621" t="str">
        <f t="shared" si="83"/>
        <v>89301000</v>
      </c>
      <c r="C1621" s="1">
        <v>44235</v>
      </c>
      <c r="D1621" s="1">
        <v>44237</v>
      </c>
      <c r="E1621">
        <v>1</v>
      </c>
      <c r="F1621" t="s">
        <v>1261</v>
      </c>
      <c r="G1621" t="str">
        <f>"15-K06-04"</f>
        <v>15-K06-04</v>
      </c>
      <c r="H1621">
        <v>0.27479999999999999</v>
      </c>
      <c r="J1621" t="s">
        <v>59</v>
      </c>
      <c r="K1621" t="str">
        <f t="shared" si="85"/>
        <v>3F4</v>
      </c>
      <c r="L1621" t="s">
        <v>15</v>
      </c>
    </row>
    <row r="1622" spans="1:12" x14ac:dyDescent="0.25">
      <c r="A1622" t="str">
        <f>"2102090595"</f>
        <v>2102090595</v>
      </c>
      <c r="B1622" t="str">
        <f t="shared" si="83"/>
        <v>89301000</v>
      </c>
      <c r="C1622" s="1">
        <v>44236</v>
      </c>
      <c r="D1622" s="1">
        <v>44295</v>
      </c>
      <c r="E1622">
        <v>1</v>
      </c>
      <c r="F1622" t="s">
        <v>1295</v>
      </c>
      <c r="G1622" t="str">
        <f>"15-M01-05"</f>
        <v>15-M01-05</v>
      </c>
      <c r="H1622">
        <v>16.0642</v>
      </c>
      <c r="I1622" t="s">
        <v>1296</v>
      </c>
      <c r="J1622" t="s">
        <v>1212</v>
      </c>
      <c r="K1622" t="str">
        <f t="shared" si="85"/>
        <v>3F4</v>
      </c>
      <c r="L1622" t="s">
        <v>15</v>
      </c>
    </row>
    <row r="1623" spans="1:12" x14ac:dyDescent="0.25">
      <c r="A1623" t="str">
        <f>"2102110417"</f>
        <v>2102110417</v>
      </c>
      <c r="B1623" t="str">
        <f t="shared" si="83"/>
        <v>89301000</v>
      </c>
      <c r="C1623" s="1">
        <v>44409</v>
      </c>
      <c r="D1623" s="1">
        <v>44413</v>
      </c>
      <c r="E1623">
        <v>1</v>
      </c>
      <c r="F1623" t="s">
        <v>1297</v>
      </c>
      <c r="G1623" t="str">
        <f>"06-K11-00"</f>
        <v>06-K11-00</v>
      </c>
      <c r="H1623">
        <v>0.34810000000000002</v>
      </c>
      <c r="I1623" t="s">
        <v>1298</v>
      </c>
      <c r="J1623" t="s">
        <v>14</v>
      </c>
      <c r="K1623" t="str">
        <f>"3F1"</f>
        <v>3F1</v>
      </c>
      <c r="L1623" t="s">
        <v>15</v>
      </c>
    </row>
    <row r="1624" spans="1:12" x14ac:dyDescent="0.25">
      <c r="A1624" t="str">
        <f>"2102111220"</f>
        <v>2102111220</v>
      </c>
      <c r="B1624" t="str">
        <f t="shared" si="83"/>
        <v>89301000</v>
      </c>
      <c r="C1624" s="1">
        <v>44238</v>
      </c>
      <c r="D1624" s="1">
        <v>44241</v>
      </c>
      <c r="E1624">
        <v>1</v>
      </c>
      <c r="F1624" t="s">
        <v>1261</v>
      </c>
      <c r="G1624" t="str">
        <f>"15-K06-04"</f>
        <v>15-K06-04</v>
      </c>
      <c r="H1624">
        <v>0.27479999999999999</v>
      </c>
      <c r="J1624" t="s">
        <v>59</v>
      </c>
      <c r="K1624" t="str">
        <f>"3F4"</f>
        <v>3F4</v>
      </c>
      <c r="L1624" t="s">
        <v>15</v>
      </c>
    </row>
    <row r="1625" spans="1:12" x14ac:dyDescent="0.25">
      <c r="A1625" t="str">
        <f>"2102111242"</f>
        <v>2102111242</v>
      </c>
      <c r="B1625" t="str">
        <f t="shared" si="83"/>
        <v>89301000</v>
      </c>
      <c r="C1625" s="1">
        <v>44266</v>
      </c>
      <c r="D1625" s="1">
        <v>44272</v>
      </c>
      <c r="E1625">
        <v>1</v>
      </c>
      <c r="F1625" t="s">
        <v>1299</v>
      </c>
      <c r="G1625" t="str">
        <f>"15-K07-03"</f>
        <v>15-K07-03</v>
      </c>
      <c r="H1625">
        <v>0.53959999999999997</v>
      </c>
      <c r="I1625" t="s">
        <v>1300</v>
      </c>
      <c r="J1625" t="s">
        <v>59</v>
      </c>
      <c r="K1625" t="str">
        <f>"3F1"</f>
        <v>3F1</v>
      </c>
      <c r="L1625" t="s">
        <v>15</v>
      </c>
    </row>
    <row r="1626" spans="1:12" x14ac:dyDescent="0.25">
      <c r="A1626" t="str">
        <f>"2102111242"</f>
        <v>2102111242</v>
      </c>
      <c r="B1626" t="str">
        <f t="shared" si="83"/>
        <v>89301000</v>
      </c>
      <c r="C1626" s="1">
        <v>44238</v>
      </c>
      <c r="D1626" s="1">
        <v>44240</v>
      </c>
      <c r="E1626">
        <v>1</v>
      </c>
      <c r="F1626" t="s">
        <v>1261</v>
      </c>
      <c r="G1626" t="str">
        <f>"15-K06-04"</f>
        <v>15-K06-04</v>
      </c>
      <c r="H1626">
        <v>0.27479999999999999</v>
      </c>
      <c r="J1626" t="s">
        <v>59</v>
      </c>
      <c r="K1626" t="str">
        <f t="shared" ref="K1626:K1633" si="86">"3F4"</f>
        <v>3F4</v>
      </c>
      <c r="L1626" t="s">
        <v>15</v>
      </c>
    </row>
    <row r="1627" spans="1:12" x14ac:dyDescent="0.25">
      <c r="A1627" t="str">
        <f>"2102120570"</f>
        <v>2102120570</v>
      </c>
      <c r="B1627" t="str">
        <f t="shared" si="83"/>
        <v>89301000</v>
      </c>
      <c r="C1627" s="1">
        <v>44239</v>
      </c>
      <c r="D1627" s="1">
        <v>44243</v>
      </c>
      <c r="E1627">
        <v>1</v>
      </c>
      <c r="F1627" t="s">
        <v>1261</v>
      </c>
      <c r="G1627" t="str">
        <f>"15-K05-02"</f>
        <v>15-K05-02</v>
      </c>
      <c r="H1627">
        <v>1.2017</v>
      </c>
      <c r="I1627" t="s">
        <v>1301</v>
      </c>
      <c r="J1627" t="s">
        <v>1212</v>
      </c>
      <c r="K1627" t="str">
        <f t="shared" si="86"/>
        <v>3F4</v>
      </c>
      <c r="L1627" t="s">
        <v>15</v>
      </c>
    </row>
    <row r="1628" spans="1:12" x14ac:dyDescent="0.25">
      <c r="A1628" t="str">
        <f>"2102130239"</f>
        <v>2102130239</v>
      </c>
      <c r="B1628" t="str">
        <f t="shared" si="83"/>
        <v>89301000</v>
      </c>
      <c r="C1628" s="1">
        <v>44240</v>
      </c>
      <c r="D1628" s="1">
        <v>44241</v>
      </c>
      <c r="E1628">
        <v>1</v>
      </c>
      <c r="F1628" t="s">
        <v>1261</v>
      </c>
      <c r="G1628" t="str">
        <f>"15-K06-04"</f>
        <v>15-K06-04</v>
      </c>
      <c r="H1628">
        <v>0.27479999999999999</v>
      </c>
      <c r="J1628" t="s">
        <v>59</v>
      </c>
      <c r="K1628" t="str">
        <f t="shared" si="86"/>
        <v>3F4</v>
      </c>
      <c r="L1628" t="s">
        <v>15</v>
      </c>
    </row>
    <row r="1629" spans="1:12" x14ac:dyDescent="0.25">
      <c r="A1629" t="str">
        <f>"2102130283"</f>
        <v>2102130283</v>
      </c>
      <c r="B1629" t="str">
        <f t="shared" si="83"/>
        <v>89301000</v>
      </c>
      <c r="C1629" s="1">
        <v>44240</v>
      </c>
      <c r="D1629" s="1">
        <v>44242</v>
      </c>
      <c r="E1629">
        <v>1</v>
      </c>
      <c r="F1629" t="s">
        <v>1261</v>
      </c>
      <c r="G1629" t="str">
        <f>"15-K06-04"</f>
        <v>15-K06-04</v>
      </c>
      <c r="H1629">
        <v>0.27479999999999999</v>
      </c>
      <c r="I1629" t="s">
        <v>1302</v>
      </c>
      <c r="J1629" t="s">
        <v>59</v>
      </c>
      <c r="K1629" t="str">
        <f t="shared" si="86"/>
        <v>3F4</v>
      </c>
      <c r="L1629" t="s">
        <v>15</v>
      </c>
    </row>
    <row r="1630" spans="1:12" x14ac:dyDescent="0.25">
      <c r="A1630" t="str">
        <f>"2102140227"</f>
        <v>2102140227</v>
      </c>
      <c r="B1630" t="str">
        <f t="shared" si="83"/>
        <v>89301000</v>
      </c>
      <c r="C1630" s="1">
        <v>44241</v>
      </c>
      <c r="D1630" s="1">
        <v>44255</v>
      </c>
      <c r="E1630">
        <v>1</v>
      </c>
      <c r="F1630" t="s">
        <v>1261</v>
      </c>
      <c r="G1630" t="str">
        <f>"15-K04-02"</f>
        <v>15-K04-02</v>
      </c>
      <c r="H1630">
        <v>2.2848999999999999</v>
      </c>
      <c r="I1630" t="s">
        <v>1301</v>
      </c>
      <c r="J1630" t="s">
        <v>1212</v>
      </c>
      <c r="K1630" t="str">
        <f t="shared" si="86"/>
        <v>3F4</v>
      </c>
      <c r="L1630" t="s">
        <v>15</v>
      </c>
    </row>
    <row r="1631" spans="1:12" x14ac:dyDescent="0.25">
      <c r="A1631" t="str">
        <f>"2102150479"</f>
        <v>2102150479</v>
      </c>
      <c r="B1631" t="str">
        <f t="shared" si="83"/>
        <v>89301000</v>
      </c>
      <c r="C1631" s="1">
        <v>44242</v>
      </c>
      <c r="D1631" s="1">
        <v>44244</v>
      </c>
      <c r="E1631">
        <v>1</v>
      </c>
      <c r="F1631" t="s">
        <v>1261</v>
      </c>
      <c r="G1631" t="str">
        <f>"15-K06-04"</f>
        <v>15-K06-04</v>
      </c>
      <c r="H1631">
        <v>0.27479999999999999</v>
      </c>
      <c r="J1631" t="s">
        <v>59</v>
      </c>
      <c r="K1631" t="str">
        <f t="shared" si="86"/>
        <v>3F4</v>
      </c>
      <c r="L1631" t="s">
        <v>15</v>
      </c>
    </row>
    <row r="1632" spans="1:12" x14ac:dyDescent="0.25">
      <c r="A1632" t="str">
        <f>"2102160632"</f>
        <v>2102160632</v>
      </c>
      <c r="B1632" t="str">
        <f t="shared" si="83"/>
        <v>89301000</v>
      </c>
      <c r="C1632" s="1">
        <v>44243</v>
      </c>
      <c r="D1632" s="1">
        <v>44246</v>
      </c>
      <c r="E1632">
        <v>1</v>
      </c>
      <c r="F1632" t="s">
        <v>1261</v>
      </c>
      <c r="G1632" t="str">
        <f>"15-K06-04"</f>
        <v>15-K06-04</v>
      </c>
      <c r="H1632">
        <v>0.27479999999999999</v>
      </c>
      <c r="J1632" t="s">
        <v>59</v>
      </c>
      <c r="K1632" t="str">
        <f t="shared" si="86"/>
        <v>3F4</v>
      </c>
      <c r="L1632" t="s">
        <v>15</v>
      </c>
    </row>
    <row r="1633" spans="1:12" x14ac:dyDescent="0.25">
      <c r="A1633" t="str">
        <f>"2102160665"</f>
        <v>2102160665</v>
      </c>
      <c r="B1633" t="str">
        <f t="shared" si="83"/>
        <v>89301000</v>
      </c>
      <c r="C1633" s="1">
        <v>44243</v>
      </c>
      <c r="D1633" s="1">
        <v>44246</v>
      </c>
      <c r="E1633">
        <v>1</v>
      </c>
      <c r="F1633" t="s">
        <v>1261</v>
      </c>
      <c r="G1633" t="str">
        <f>"15-K06-04"</f>
        <v>15-K06-04</v>
      </c>
      <c r="H1633">
        <v>0.27479999999999999</v>
      </c>
      <c r="J1633" t="s">
        <v>59</v>
      </c>
      <c r="K1633" t="str">
        <f t="shared" si="86"/>
        <v>3F4</v>
      </c>
      <c r="L1633" t="s">
        <v>15</v>
      </c>
    </row>
    <row r="1634" spans="1:12" x14ac:dyDescent="0.25">
      <c r="A1634" t="str">
        <f>"2102160665"</f>
        <v>2102160665</v>
      </c>
      <c r="B1634" t="str">
        <f t="shared" si="83"/>
        <v>89301000</v>
      </c>
      <c r="C1634" s="1">
        <v>44284</v>
      </c>
      <c r="D1634" s="1">
        <v>44292</v>
      </c>
      <c r="E1634">
        <v>6</v>
      </c>
      <c r="F1634" t="s">
        <v>1008</v>
      </c>
      <c r="G1634" t="str">
        <f>"18-K01-03"</f>
        <v>18-K01-03</v>
      </c>
      <c r="H1634">
        <v>1.8284</v>
      </c>
      <c r="I1634" t="s">
        <v>1303</v>
      </c>
      <c r="J1634" t="s">
        <v>14</v>
      </c>
      <c r="K1634" t="str">
        <f>"3T1"</f>
        <v>3T1</v>
      </c>
      <c r="L1634" t="s">
        <v>15</v>
      </c>
    </row>
    <row r="1635" spans="1:12" x14ac:dyDescent="0.25">
      <c r="A1635" t="str">
        <f>"2102170774"</f>
        <v>2102170774</v>
      </c>
      <c r="B1635" t="str">
        <f t="shared" si="83"/>
        <v>89301000</v>
      </c>
      <c r="C1635" s="1">
        <v>44244</v>
      </c>
      <c r="D1635" s="1">
        <v>44246</v>
      </c>
      <c r="E1635">
        <v>1</v>
      </c>
      <c r="F1635" t="s">
        <v>1261</v>
      </c>
      <c r="G1635" t="str">
        <f t="shared" ref="G1635:G1643" si="87">"15-K06-04"</f>
        <v>15-K06-04</v>
      </c>
      <c r="H1635">
        <v>0.27479999999999999</v>
      </c>
      <c r="J1635" t="s">
        <v>59</v>
      </c>
      <c r="K1635" t="str">
        <f t="shared" ref="K1635:K1643" si="88">"3F4"</f>
        <v>3F4</v>
      </c>
      <c r="L1635" t="s">
        <v>15</v>
      </c>
    </row>
    <row r="1636" spans="1:12" x14ac:dyDescent="0.25">
      <c r="A1636" t="str">
        <f>"2102170785"</f>
        <v>2102170785</v>
      </c>
      <c r="B1636" t="str">
        <f t="shared" si="83"/>
        <v>89301000</v>
      </c>
      <c r="C1636" s="1">
        <v>44244</v>
      </c>
      <c r="D1636" s="1">
        <v>44247</v>
      </c>
      <c r="E1636">
        <v>1</v>
      </c>
      <c r="F1636" t="s">
        <v>1261</v>
      </c>
      <c r="G1636" t="str">
        <f t="shared" si="87"/>
        <v>15-K06-04</v>
      </c>
      <c r="H1636">
        <v>0.27479999999999999</v>
      </c>
      <c r="J1636" t="s">
        <v>59</v>
      </c>
      <c r="K1636" t="str">
        <f t="shared" si="88"/>
        <v>3F4</v>
      </c>
      <c r="L1636" t="s">
        <v>15</v>
      </c>
    </row>
    <row r="1637" spans="1:12" x14ac:dyDescent="0.25">
      <c r="A1637" t="str">
        <f>"2102200419"</f>
        <v>2102200419</v>
      </c>
      <c r="B1637" t="str">
        <f t="shared" si="83"/>
        <v>89301000</v>
      </c>
      <c r="C1637" s="1">
        <v>44247</v>
      </c>
      <c r="D1637" s="1">
        <v>44249</v>
      </c>
      <c r="E1637">
        <v>1</v>
      </c>
      <c r="F1637" t="s">
        <v>1261</v>
      </c>
      <c r="G1637" t="str">
        <f t="shared" si="87"/>
        <v>15-K06-04</v>
      </c>
      <c r="H1637">
        <v>0.27479999999999999</v>
      </c>
      <c r="J1637" t="s">
        <v>59</v>
      </c>
      <c r="K1637" t="str">
        <f t="shared" si="88"/>
        <v>3F4</v>
      </c>
      <c r="L1637" t="s">
        <v>15</v>
      </c>
    </row>
    <row r="1638" spans="1:12" x14ac:dyDescent="0.25">
      <c r="A1638" t="str">
        <f>"2102220615"</f>
        <v>2102220615</v>
      </c>
      <c r="B1638" t="str">
        <f t="shared" si="83"/>
        <v>89301000</v>
      </c>
      <c r="C1638" s="1">
        <v>44249</v>
      </c>
      <c r="D1638" s="1">
        <v>44252</v>
      </c>
      <c r="E1638">
        <v>1</v>
      </c>
      <c r="F1638" t="s">
        <v>1261</v>
      </c>
      <c r="G1638" t="str">
        <f t="shared" si="87"/>
        <v>15-K06-04</v>
      </c>
      <c r="H1638">
        <v>0.27479999999999999</v>
      </c>
      <c r="I1638" t="s">
        <v>390</v>
      </c>
      <c r="J1638" t="s">
        <v>59</v>
      </c>
      <c r="K1638" t="str">
        <f t="shared" si="88"/>
        <v>3F4</v>
      </c>
      <c r="L1638" t="s">
        <v>15</v>
      </c>
    </row>
    <row r="1639" spans="1:12" x14ac:dyDescent="0.25">
      <c r="A1639" t="str">
        <f>"2102220637"</f>
        <v>2102220637</v>
      </c>
      <c r="B1639" t="str">
        <f t="shared" si="83"/>
        <v>89301000</v>
      </c>
      <c r="C1639" s="1">
        <v>44249</v>
      </c>
      <c r="D1639" s="1">
        <v>44252</v>
      </c>
      <c r="E1639">
        <v>1</v>
      </c>
      <c r="F1639" t="s">
        <v>1261</v>
      </c>
      <c r="G1639" t="str">
        <f t="shared" si="87"/>
        <v>15-K06-04</v>
      </c>
      <c r="H1639">
        <v>0.27479999999999999</v>
      </c>
      <c r="J1639" t="s">
        <v>59</v>
      </c>
      <c r="K1639" t="str">
        <f t="shared" si="88"/>
        <v>3F4</v>
      </c>
      <c r="L1639" t="s">
        <v>15</v>
      </c>
    </row>
    <row r="1640" spans="1:12" x14ac:dyDescent="0.25">
      <c r="A1640" t="str">
        <f>"2102230856"</f>
        <v>2102230856</v>
      </c>
      <c r="B1640" t="str">
        <f t="shared" si="83"/>
        <v>89301000</v>
      </c>
      <c r="C1640" s="1">
        <v>44250</v>
      </c>
      <c r="D1640" s="1">
        <v>44254</v>
      </c>
      <c r="E1640">
        <v>1</v>
      </c>
      <c r="F1640" t="s">
        <v>1261</v>
      </c>
      <c r="G1640" t="str">
        <f t="shared" si="87"/>
        <v>15-K06-04</v>
      </c>
      <c r="H1640">
        <v>0.27479999999999999</v>
      </c>
      <c r="I1640" t="s">
        <v>1278</v>
      </c>
      <c r="J1640" t="s">
        <v>59</v>
      </c>
      <c r="K1640" t="str">
        <f t="shared" si="88"/>
        <v>3F4</v>
      </c>
      <c r="L1640" t="s">
        <v>15</v>
      </c>
    </row>
    <row r="1641" spans="1:12" x14ac:dyDescent="0.25">
      <c r="A1641" t="str">
        <f>"2102230889"</f>
        <v>2102230889</v>
      </c>
      <c r="B1641" t="str">
        <f t="shared" si="83"/>
        <v>89301000</v>
      </c>
      <c r="C1641" s="1">
        <v>44250</v>
      </c>
      <c r="D1641" s="1">
        <v>44253</v>
      </c>
      <c r="E1641">
        <v>1</v>
      </c>
      <c r="F1641" t="s">
        <v>1261</v>
      </c>
      <c r="G1641" t="str">
        <f t="shared" si="87"/>
        <v>15-K06-04</v>
      </c>
      <c r="H1641">
        <v>0.27479999999999999</v>
      </c>
      <c r="J1641" t="s">
        <v>59</v>
      </c>
      <c r="K1641" t="str">
        <f t="shared" si="88"/>
        <v>3F4</v>
      </c>
      <c r="L1641" t="s">
        <v>15</v>
      </c>
    </row>
    <row r="1642" spans="1:12" x14ac:dyDescent="0.25">
      <c r="A1642" t="str">
        <f>"2102240437"</f>
        <v>2102240437</v>
      </c>
      <c r="B1642" t="str">
        <f t="shared" si="83"/>
        <v>89301000</v>
      </c>
      <c r="C1642" s="1">
        <v>44251</v>
      </c>
      <c r="D1642" s="1">
        <v>44253</v>
      </c>
      <c r="E1642">
        <v>1</v>
      </c>
      <c r="F1642" t="s">
        <v>1261</v>
      </c>
      <c r="G1642" t="str">
        <f t="shared" si="87"/>
        <v>15-K06-04</v>
      </c>
      <c r="H1642">
        <v>0.27479999999999999</v>
      </c>
      <c r="J1642" t="s">
        <v>59</v>
      </c>
      <c r="K1642" t="str">
        <f t="shared" si="88"/>
        <v>3F4</v>
      </c>
      <c r="L1642" t="s">
        <v>15</v>
      </c>
    </row>
    <row r="1643" spans="1:12" x14ac:dyDescent="0.25">
      <c r="A1643" t="str">
        <f>"2102250821"</f>
        <v>2102250821</v>
      </c>
      <c r="B1643" t="str">
        <f t="shared" si="83"/>
        <v>89301000</v>
      </c>
      <c r="C1643" s="1">
        <v>44252</v>
      </c>
      <c r="D1643" s="1">
        <v>44255</v>
      </c>
      <c r="E1643">
        <v>1</v>
      </c>
      <c r="F1643" t="s">
        <v>1261</v>
      </c>
      <c r="G1643" t="str">
        <f t="shared" si="87"/>
        <v>15-K06-04</v>
      </c>
      <c r="H1643">
        <v>0.27479999999999999</v>
      </c>
      <c r="I1643" t="s">
        <v>1304</v>
      </c>
      <c r="J1643" t="s">
        <v>59</v>
      </c>
      <c r="K1643" t="str">
        <f t="shared" si="88"/>
        <v>3F4</v>
      </c>
      <c r="L1643" t="s">
        <v>15</v>
      </c>
    </row>
    <row r="1644" spans="1:12" x14ac:dyDescent="0.25">
      <c r="A1644" t="str">
        <f>"2102260655"</f>
        <v>2102260655</v>
      </c>
      <c r="B1644" t="str">
        <f t="shared" si="83"/>
        <v>89301000</v>
      </c>
      <c r="C1644" s="1">
        <v>44382</v>
      </c>
      <c r="D1644" s="1">
        <v>44384</v>
      </c>
      <c r="E1644">
        <v>1</v>
      </c>
      <c r="F1644" t="s">
        <v>894</v>
      </c>
      <c r="G1644" t="str">
        <f>"04-K03-03"</f>
        <v>04-K03-03</v>
      </c>
      <c r="H1644">
        <v>0.53180000000000005</v>
      </c>
      <c r="J1644" t="s">
        <v>14</v>
      </c>
      <c r="K1644" t="str">
        <f>"3F1"</f>
        <v>3F1</v>
      </c>
      <c r="L1644" t="s">
        <v>15</v>
      </c>
    </row>
    <row r="1645" spans="1:12" x14ac:dyDescent="0.25">
      <c r="A1645" t="str">
        <f>"2102260655"</f>
        <v>2102260655</v>
      </c>
      <c r="B1645" t="str">
        <f t="shared" si="83"/>
        <v>89301000</v>
      </c>
      <c r="C1645" s="1">
        <v>44253</v>
      </c>
      <c r="D1645" s="1">
        <v>44256</v>
      </c>
      <c r="E1645">
        <v>1</v>
      </c>
      <c r="F1645" t="s">
        <v>1261</v>
      </c>
      <c r="G1645" t="str">
        <f>"15-K06-04"</f>
        <v>15-K06-04</v>
      </c>
      <c r="H1645">
        <v>0.27479999999999999</v>
      </c>
      <c r="J1645" t="s">
        <v>59</v>
      </c>
      <c r="K1645" t="str">
        <f t="shared" ref="K1645:K1658" si="89">"3F4"</f>
        <v>3F4</v>
      </c>
      <c r="L1645" t="s">
        <v>15</v>
      </c>
    </row>
    <row r="1646" spans="1:12" x14ac:dyDescent="0.25">
      <c r="A1646" t="str">
        <f>"2102260666"</f>
        <v>2102260666</v>
      </c>
      <c r="B1646" t="str">
        <f t="shared" si="83"/>
        <v>89301000</v>
      </c>
      <c r="C1646" s="1">
        <v>44253</v>
      </c>
      <c r="D1646" s="1">
        <v>44256</v>
      </c>
      <c r="E1646">
        <v>1</v>
      </c>
      <c r="F1646" t="s">
        <v>1261</v>
      </c>
      <c r="G1646" t="str">
        <f>"15-K06-04"</f>
        <v>15-K06-04</v>
      </c>
      <c r="H1646">
        <v>0.27479999999999999</v>
      </c>
      <c r="J1646" t="s">
        <v>59</v>
      </c>
      <c r="K1646" t="str">
        <f t="shared" si="89"/>
        <v>3F4</v>
      </c>
      <c r="L1646" t="s">
        <v>15</v>
      </c>
    </row>
    <row r="1647" spans="1:12" x14ac:dyDescent="0.25">
      <c r="A1647" t="str">
        <f>"2102260688"</f>
        <v>2102260688</v>
      </c>
      <c r="B1647" t="str">
        <f t="shared" si="83"/>
        <v>89301000</v>
      </c>
      <c r="C1647" s="1">
        <v>44253</v>
      </c>
      <c r="D1647" s="1">
        <v>44255</v>
      </c>
      <c r="E1647">
        <v>1</v>
      </c>
      <c r="F1647" t="s">
        <v>1261</v>
      </c>
      <c r="G1647" t="str">
        <f>"15-K06-04"</f>
        <v>15-K06-04</v>
      </c>
      <c r="H1647">
        <v>0.27479999999999999</v>
      </c>
      <c r="I1647" t="s">
        <v>1305</v>
      </c>
      <c r="J1647" t="s">
        <v>59</v>
      </c>
      <c r="K1647" t="str">
        <f t="shared" si="89"/>
        <v>3F4</v>
      </c>
      <c r="L1647" t="s">
        <v>15</v>
      </c>
    </row>
    <row r="1648" spans="1:12" x14ac:dyDescent="0.25">
      <c r="A1648" t="str">
        <f>"2102270379"</f>
        <v>2102270379</v>
      </c>
      <c r="B1648" t="str">
        <f t="shared" si="83"/>
        <v>89301000</v>
      </c>
      <c r="C1648" s="1">
        <v>44254</v>
      </c>
      <c r="D1648" s="1">
        <v>44255</v>
      </c>
      <c r="E1648">
        <v>1</v>
      </c>
      <c r="F1648" t="s">
        <v>1261</v>
      </c>
      <c r="G1648" t="str">
        <f>"15-K06-04"</f>
        <v>15-K06-04</v>
      </c>
      <c r="H1648">
        <v>0.27479999999999999</v>
      </c>
      <c r="I1648" t="s">
        <v>1306</v>
      </c>
      <c r="J1648" t="s">
        <v>59</v>
      </c>
      <c r="K1648" t="str">
        <f t="shared" si="89"/>
        <v>3F4</v>
      </c>
      <c r="L1648" t="s">
        <v>15</v>
      </c>
    </row>
    <row r="1649" spans="1:12" x14ac:dyDescent="0.25">
      <c r="A1649" t="str">
        <f>"2102270401"</f>
        <v>2102270401</v>
      </c>
      <c r="B1649" t="str">
        <f t="shared" si="83"/>
        <v>89301000</v>
      </c>
      <c r="C1649" s="1">
        <v>44254</v>
      </c>
      <c r="D1649" s="1">
        <v>44265</v>
      </c>
      <c r="E1649">
        <v>1</v>
      </c>
      <c r="F1649" t="s">
        <v>1261</v>
      </c>
      <c r="G1649" t="str">
        <f>"15-K06-01"</f>
        <v>15-K06-01</v>
      </c>
      <c r="H1649">
        <v>1.1248</v>
      </c>
      <c r="I1649" t="s">
        <v>1307</v>
      </c>
      <c r="J1649" t="s">
        <v>59</v>
      </c>
      <c r="K1649" t="str">
        <f t="shared" si="89"/>
        <v>3F4</v>
      </c>
      <c r="L1649" t="s">
        <v>15</v>
      </c>
    </row>
    <row r="1650" spans="1:12" x14ac:dyDescent="0.25">
      <c r="A1650" t="str">
        <f>"2102270412"</f>
        <v>2102270412</v>
      </c>
      <c r="B1650" t="str">
        <f t="shared" ref="B1650:B1713" si="90">"89301000"</f>
        <v>89301000</v>
      </c>
      <c r="C1650" s="1">
        <v>44254</v>
      </c>
      <c r="D1650" s="1">
        <v>44257</v>
      </c>
      <c r="E1650">
        <v>1</v>
      </c>
      <c r="F1650" t="s">
        <v>1261</v>
      </c>
      <c r="G1650" t="str">
        <f>"15-K06-04"</f>
        <v>15-K06-04</v>
      </c>
      <c r="H1650">
        <v>0.27479999999999999</v>
      </c>
      <c r="I1650" t="s">
        <v>1067</v>
      </c>
      <c r="J1650" t="s">
        <v>59</v>
      </c>
      <c r="K1650" t="str">
        <f t="shared" si="89"/>
        <v>3F4</v>
      </c>
      <c r="L1650" t="s">
        <v>15</v>
      </c>
    </row>
    <row r="1651" spans="1:12" x14ac:dyDescent="0.25">
      <c r="A1651" t="str">
        <f>"2103010448"</f>
        <v>2103010448</v>
      </c>
      <c r="B1651" t="str">
        <f t="shared" si="90"/>
        <v>89301000</v>
      </c>
      <c r="C1651" s="1">
        <v>44256</v>
      </c>
      <c r="D1651" s="1">
        <v>44259</v>
      </c>
      <c r="E1651">
        <v>1</v>
      </c>
      <c r="F1651" t="s">
        <v>1261</v>
      </c>
      <c r="G1651" t="str">
        <f>"15-K06-04"</f>
        <v>15-K06-04</v>
      </c>
      <c r="H1651">
        <v>0.27479999999999999</v>
      </c>
      <c r="J1651" t="s">
        <v>59</v>
      </c>
      <c r="K1651" t="str">
        <f t="shared" si="89"/>
        <v>3F4</v>
      </c>
      <c r="L1651" t="s">
        <v>15</v>
      </c>
    </row>
    <row r="1652" spans="1:12" x14ac:dyDescent="0.25">
      <c r="A1652" t="str">
        <f>"2103010470"</f>
        <v>2103010470</v>
      </c>
      <c r="B1652" t="str">
        <f t="shared" si="90"/>
        <v>89301000</v>
      </c>
      <c r="C1652" s="1">
        <v>44256</v>
      </c>
      <c r="D1652" s="1">
        <v>44258</v>
      </c>
      <c r="E1652">
        <v>1</v>
      </c>
      <c r="F1652" t="s">
        <v>1261</v>
      </c>
      <c r="G1652" t="str">
        <f>"15-K06-04"</f>
        <v>15-K06-04</v>
      </c>
      <c r="H1652">
        <v>0.27479999999999999</v>
      </c>
      <c r="I1652" t="s">
        <v>390</v>
      </c>
      <c r="J1652" t="s">
        <v>59</v>
      </c>
      <c r="K1652" t="str">
        <f t="shared" si="89"/>
        <v>3F4</v>
      </c>
      <c r="L1652" t="s">
        <v>15</v>
      </c>
    </row>
    <row r="1653" spans="1:12" x14ac:dyDescent="0.25">
      <c r="A1653" t="str">
        <f>"2103020535"</f>
        <v>2103020535</v>
      </c>
      <c r="B1653" t="str">
        <f t="shared" si="90"/>
        <v>89301000</v>
      </c>
      <c r="C1653" s="1">
        <v>44257</v>
      </c>
      <c r="D1653" s="1">
        <v>44260</v>
      </c>
      <c r="E1653">
        <v>1</v>
      </c>
      <c r="F1653" t="s">
        <v>1261</v>
      </c>
      <c r="G1653" t="str">
        <f>"15-K06-04"</f>
        <v>15-K06-04</v>
      </c>
      <c r="H1653">
        <v>0.27479999999999999</v>
      </c>
      <c r="J1653" t="s">
        <v>59</v>
      </c>
      <c r="K1653" t="str">
        <f t="shared" si="89"/>
        <v>3F4</v>
      </c>
      <c r="L1653" t="s">
        <v>15</v>
      </c>
    </row>
    <row r="1654" spans="1:12" x14ac:dyDescent="0.25">
      <c r="A1654" t="str">
        <f>"2103020568"</f>
        <v>2103020568</v>
      </c>
      <c r="B1654" t="str">
        <f t="shared" si="90"/>
        <v>89301000</v>
      </c>
      <c r="C1654" s="1">
        <v>44257</v>
      </c>
      <c r="D1654" s="1">
        <v>44260</v>
      </c>
      <c r="E1654">
        <v>1</v>
      </c>
      <c r="F1654" t="s">
        <v>1261</v>
      </c>
      <c r="G1654" t="str">
        <f>"15-K06-04"</f>
        <v>15-K06-04</v>
      </c>
      <c r="H1654">
        <v>0.27479999999999999</v>
      </c>
      <c r="I1654" t="s">
        <v>1264</v>
      </c>
      <c r="J1654" t="s">
        <v>59</v>
      </c>
      <c r="K1654" t="str">
        <f t="shared" si="89"/>
        <v>3F4</v>
      </c>
      <c r="L1654" t="s">
        <v>15</v>
      </c>
    </row>
    <row r="1655" spans="1:12" x14ac:dyDescent="0.25">
      <c r="A1655" t="str">
        <f>"2103020568"</f>
        <v>2103020568</v>
      </c>
      <c r="B1655" t="str">
        <f t="shared" si="90"/>
        <v>89301000</v>
      </c>
      <c r="C1655" s="1">
        <v>44263</v>
      </c>
      <c r="D1655" s="1">
        <v>44265</v>
      </c>
      <c r="E1655">
        <v>1</v>
      </c>
      <c r="F1655" t="s">
        <v>1276</v>
      </c>
      <c r="G1655" t="str">
        <f>"15-K07-03"</f>
        <v>15-K07-03</v>
      </c>
      <c r="H1655">
        <v>0.53959999999999997</v>
      </c>
      <c r="I1655" t="s">
        <v>1308</v>
      </c>
      <c r="J1655" t="s">
        <v>59</v>
      </c>
      <c r="K1655" t="str">
        <f t="shared" si="89"/>
        <v>3F4</v>
      </c>
      <c r="L1655" t="s">
        <v>15</v>
      </c>
    </row>
    <row r="1656" spans="1:12" x14ac:dyDescent="0.25">
      <c r="A1656" t="str">
        <f>"2103030809"</f>
        <v>2103030809</v>
      </c>
      <c r="B1656" t="str">
        <f t="shared" si="90"/>
        <v>89301000</v>
      </c>
      <c r="C1656" s="1">
        <v>44258</v>
      </c>
      <c r="D1656" s="1">
        <v>44261</v>
      </c>
      <c r="E1656">
        <v>1</v>
      </c>
      <c r="F1656" t="s">
        <v>1261</v>
      </c>
      <c r="G1656" t="str">
        <f>"15-K06-04"</f>
        <v>15-K06-04</v>
      </c>
      <c r="H1656">
        <v>0.27479999999999999</v>
      </c>
      <c r="I1656" t="s">
        <v>1309</v>
      </c>
      <c r="J1656" t="s">
        <v>59</v>
      </c>
      <c r="K1656" t="str">
        <f t="shared" si="89"/>
        <v>3F4</v>
      </c>
      <c r="L1656" t="s">
        <v>15</v>
      </c>
    </row>
    <row r="1657" spans="1:12" x14ac:dyDescent="0.25">
      <c r="A1657" t="str">
        <f>"2103040115"</f>
        <v>2103040115</v>
      </c>
      <c r="B1657" t="str">
        <f t="shared" si="90"/>
        <v>89301000</v>
      </c>
      <c r="C1657" s="1">
        <v>44259</v>
      </c>
      <c r="D1657" s="1">
        <v>44263</v>
      </c>
      <c r="E1657">
        <v>1</v>
      </c>
      <c r="F1657" t="s">
        <v>1261</v>
      </c>
      <c r="G1657" t="str">
        <f>"15-K06-04"</f>
        <v>15-K06-04</v>
      </c>
      <c r="H1657">
        <v>0.27479999999999999</v>
      </c>
      <c r="I1657" t="s">
        <v>1221</v>
      </c>
      <c r="J1657" t="s">
        <v>59</v>
      </c>
      <c r="K1657" t="str">
        <f t="shared" si="89"/>
        <v>3F4</v>
      </c>
      <c r="L1657" t="s">
        <v>15</v>
      </c>
    </row>
    <row r="1658" spans="1:12" x14ac:dyDescent="0.25">
      <c r="A1658" t="str">
        <f>"2103040852"</f>
        <v>2103040852</v>
      </c>
      <c r="B1658" t="str">
        <f t="shared" si="90"/>
        <v>89301000</v>
      </c>
      <c r="C1658" s="1">
        <v>44259</v>
      </c>
      <c r="D1658" s="1">
        <v>44264</v>
      </c>
      <c r="E1658">
        <v>1</v>
      </c>
      <c r="F1658" t="s">
        <v>1261</v>
      </c>
      <c r="G1658" t="str">
        <f>"15-K06-02"</f>
        <v>15-K06-02</v>
      </c>
      <c r="H1658">
        <v>0.59770000000000001</v>
      </c>
      <c r="I1658" t="s">
        <v>1301</v>
      </c>
      <c r="J1658" t="s">
        <v>59</v>
      </c>
      <c r="K1658" t="str">
        <f t="shared" si="89"/>
        <v>3F4</v>
      </c>
      <c r="L1658" t="s">
        <v>15</v>
      </c>
    </row>
    <row r="1659" spans="1:12" x14ac:dyDescent="0.25">
      <c r="A1659" t="str">
        <f>"2103040885"</f>
        <v>2103040885</v>
      </c>
      <c r="B1659" t="str">
        <f t="shared" si="90"/>
        <v>89301000</v>
      </c>
      <c r="C1659" s="1">
        <v>44527</v>
      </c>
      <c r="D1659" s="1">
        <v>44529</v>
      </c>
      <c r="E1659">
        <v>1</v>
      </c>
      <c r="F1659" t="s">
        <v>1310</v>
      </c>
      <c r="G1659" t="str">
        <f>"04-K03-03"</f>
        <v>04-K03-03</v>
      </c>
      <c r="H1659">
        <v>0.53180000000000005</v>
      </c>
      <c r="I1659" t="s">
        <v>168</v>
      </c>
      <c r="J1659" t="s">
        <v>14</v>
      </c>
      <c r="K1659" t="str">
        <f>"3F1"</f>
        <v>3F1</v>
      </c>
      <c r="L1659" t="s">
        <v>15</v>
      </c>
    </row>
    <row r="1660" spans="1:12" x14ac:dyDescent="0.25">
      <c r="A1660" t="str">
        <f>"2103040885"</f>
        <v>2103040885</v>
      </c>
      <c r="B1660" t="str">
        <f t="shared" si="90"/>
        <v>89301000</v>
      </c>
      <c r="C1660" s="1">
        <v>44259</v>
      </c>
      <c r="D1660" s="1">
        <v>44262</v>
      </c>
      <c r="E1660">
        <v>1</v>
      </c>
      <c r="F1660" t="s">
        <v>1261</v>
      </c>
      <c r="G1660" t="str">
        <f>"15-K06-04"</f>
        <v>15-K06-04</v>
      </c>
      <c r="H1660">
        <v>0.27479999999999999</v>
      </c>
      <c r="J1660" t="s">
        <v>59</v>
      </c>
      <c r="K1660" t="str">
        <f>"3F4"</f>
        <v>3F4</v>
      </c>
      <c r="L1660" t="s">
        <v>15</v>
      </c>
    </row>
    <row r="1661" spans="1:12" x14ac:dyDescent="0.25">
      <c r="A1661" t="str">
        <f>"2103050620"</f>
        <v>2103050620</v>
      </c>
      <c r="B1661" t="str">
        <f t="shared" si="90"/>
        <v>89301000</v>
      </c>
      <c r="C1661" s="1">
        <v>44500</v>
      </c>
      <c r="D1661" s="1">
        <v>44502</v>
      </c>
      <c r="E1661">
        <v>1</v>
      </c>
      <c r="F1661" t="s">
        <v>1311</v>
      </c>
      <c r="G1661" t="str">
        <f>"08-I25-02"</f>
        <v>08-I25-02</v>
      </c>
      <c r="H1661">
        <v>0.5746</v>
      </c>
      <c r="J1661" t="s">
        <v>14</v>
      </c>
      <c r="K1661" t="str">
        <f>"3F1"</f>
        <v>3F1</v>
      </c>
      <c r="L1661" t="s">
        <v>15</v>
      </c>
    </row>
    <row r="1662" spans="1:12" x14ac:dyDescent="0.25">
      <c r="A1662" t="str">
        <f>"2103050620"</f>
        <v>2103050620</v>
      </c>
      <c r="B1662" t="str">
        <f t="shared" si="90"/>
        <v>89301000</v>
      </c>
      <c r="C1662" s="1">
        <v>44260</v>
      </c>
      <c r="D1662" s="1">
        <v>44264</v>
      </c>
      <c r="E1662">
        <v>1</v>
      </c>
      <c r="F1662" t="s">
        <v>1312</v>
      </c>
      <c r="G1662" t="str">
        <f>"15-K05-03"</f>
        <v>15-K05-03</v>
      </c>
      <c r="H1662">
        <v>0.62380000000000002</v>
      </c>
      <c r="I1662" t="s">
        <v>1313</v>
      </c>
      <c r="J1662" t="s">
        <v>1212</v>
      </c>
      <c r="K1662" t="str">
        <f>"3F4"</f>
        <v>3F4</v>
      </c>
      <c r="L1662" t="s">
        <v>15</v>
      </c>
    </row>
    <row r="1663" spans="1:12" x14ac:dyDescent="0.25">
      <c r="A1663" t="str">
        <f>"2103050620"</f>
        <v>2103050620</v>
      </c>
      <c r="B1663" t="str">
        <f t="shared" si="90"/>
        <v>89301000</v>
      </c>
      <c r="C1663" s="1">
        <v>44526</v>
      </c>
      <c r="D1663" s="1">
        <v>44531</v>
      </c>
      <c r="E1663">
        <v>1</v>
      </c>
      <c r="F1663" t="s">
        <v>1311</v>
      </c>
      <c r="G1663" t="str">
        <f>"08-K06-02"</f>
        <v>08-K06-02</v>
      </c>
      <c r="H1663">
        <v>0.23069999999999999</v>
      </c>
      <c r="I1663" t="s">
        <v>1091</v>
      </c>
      <c r="J1663" t="s">
        <v>14</v>
      </c>
      <c r="K1663" t="str">
        <f>"3F1"</f>
        <v>3F1</v>
      </c>
      <c r="L1663" t="s">
        <v>15</v>
      </c>
    </row>
    <row r="1664" spans="1:12" x14ac:dyDescent="0.25">
      <c r="A1664" t="str">
        <f>"2103050631"</f>
        <v>2103050631</v>
      </c>
      <c r="B1664" t="str">
        <f t="shared" si="90"/>
        <v>89301000</v>
      </c>
      <c r="C1664" s="1">
        <v>44260</v>
      </c>
      <c r="D1664" s="1">
        <v>44290</v>
      </c>
      <c r="E1664">
        <v>1</v>
      </c>
      <c r="F1664" t="s">
        <v>1221</v>
      </c>
      <c r="G1664" t="str">
        <f>"15-M01-12"</f>
        <v>15-M01-12</v>
      </c>
      <c r="H1664">
        <v>4.8940999999999999</v>
      </c>
      <c r="I1664" t="s">
        <v>1314</v>
      </c>
      <c r="J1664" t="s">
        <v>1212</v>
      </c>
      <c r="K1664" t="str">
        <f>"3F4"</f>
        <v>3F4</v>
      </c>
      <c r="L1664" t="s">
        <v>15</v>
      </c>
    </row>
    <row r="1665" spans="1:12" x14ac:dyDescent="0.25">
      <c r="A1665" t="str">
        <f>"2103050631"</f>
        <v>2103050631</v>
      </c>
      <c r="B1665" t="str">
        <f t="shared" si="90"/>
        <v>89301000</v>
      </c>
      <c r="C1665" s="1">
        <v>44331</v>
      </c>
      <c r="D1665" s="1">
        <v>44332</v>
      </c>
      <c r="E1665">
        <v>1</v>
      </c>
      <c r="F1665" t="s">
        <v>1315</v>
      </c>
      <c r="G1665" t="str">
        <f>"02-K09-00"</f>
        <v>02-K09-00</v>
      </c>
      <c r="H1665">
        <v>0.40720000000000001</v>
      </c>
      <c r="I1665" t="s">
        <v>1316</v>
      </c>
      <c r="J1665" t="s">
        <v>14</v>
      </c>
      <c r="K1665" t="str">
        <f>"3F1"</f>
        <v>3F1</v>
      </c>
      <c r="L1665" t="s">
        <v>15</v>
      </c>
    </row>
    <row r="1666" spans="1:12" x14ac:dyDescent="0.25">
      <c r="A1666" t="str">
        <f>"2103050642"</f>
        <v>2103050642</v>
      </c>
      <c r="B1666" t="str">
        <f t="shared" si="90"/>
        <v>89301000</v>
      </c>
      <c r="C1666" s="1">
        <v>44260</v>
      </c>
      <c r="D1666" s="1">
        <v>44291</v>
      </c>
      <c r="E1666">
        <v>1</v>
      </c>
      <c r="F1666" t="s">
        <v>1221</v>
      </c>
      <c r="G1666" t="str">
        <f>"15-M01-10"</f>
        <v>15-M01-10</v>
      </c>
      <c r="H1666">
        <v>6.5004999999999997</v>
      </c>
      <c r="I1666" t="s">
        <v>1317</v>
      </c>
      <c r="J1666" t="s">
        <v>1212</v>
      </c>
      <c r="K1666" t="str">
        <f t="shared" ref="K1666:K1676" si="91">"3F4"</f>
        <v>3F4</v>
      </c>
      <c r="L1666" t="s">
        <v>15</v>
      </c>
    </row>
    <row r="1667" spans="1:12" x14ac:dyDescent="0.25">
      <c r="A1667" t="str">
        <f>"2103060377"</f>
        <v>2103060377</v>
      </c>
      <c r="B1667" t="str">
        <f t="shared" si="90"/>
        <v>89301000</v>
      </c>
      <c r="C1667" s="1">
        <v>44261</v>
      </c>
      <c r="D1667" s="1">
        <v>44286</v>
      </c>
      <c r="E1667">
        <v>1</v>
      </c>
      <c r="F1667" t="s">
        <v>1221</v>
      </c>
      <c r="G1667" t="str">
        <f>"15-K04-01"</f>
        <v>15-K04-01</v>
      </c>
      <c r="H1667">
        <v>3.3435000000000001</v>
      </c>
      <c r="I1667" t="s">
        <v>1318</v>
      </c>
      <c r="J1667" t="s">
        <v>1212</v>
      </c>
      <c r="K1667" t="str">
        <f t="shared" si="91"/>
        <v>3F4</v>
      </c>
      <c r="L1667" t="s">
        <v>15</v>
      </c>
    </row>
    <row r="1668" spans="1:12" x14ac:dyDescent="0.25">
      <c r="A1668" t="str">
        <f>"2103060388"</f>
        <v>2103060388</v>
      </c>
      <c r="B1668" t="str">
        <f t="shared" si="90"/>
        <v>89301000</v>
      </c>
      <c r="C1668" s="1">
        <v>44261</v>
      </c>
      <c r="D1668" s="1">
        <v>44264</v>
      </c>
      <c r="E1668">
        <v>1</v>
      </c>
      <c r="F1668" t="s">
        <v>1261</v>
      </c>
      <c r="G1668" t="str">
        <f>"15-K06-04"</f>
        <v>15-K06-04</v>
      </c>
      <c r="H1668">
        <v>0.27479999999999999</v>
      </c>
      <c r="J1668" t="s">
        <v>59</v>
      </c>
      <c r="K1668" t="str">
        <f t="shared" si="91"/>
        <v>3F4</v>
      </c>
      <c r="L1668" t="s">
        <v>15</v>
      </c>
    </row>
    <row r="1669" spans="1:12" x14ac:dyDescent="0.25">
      <c r="A1669" t="str">
        <f>"2103060410"</f>
        <v>2103060410</v>
      </c>
      <c r="B1669" t="str">
        <f t="shared" si="90"/>
        <v>89301000</v>
      </c>
      <c r="C1669" s="1">
        <v>44261</v>
      </c>
      <c r="D1669" s="1">
        <v>44262</v>
      </c>
      <c r="E1669">
        <v>1</v>
      </c>
      <c r="F1669" t="s">
        <v>1261</v>
      </c>
      <c r="G1669" t="str">
        <f>"15-K05-03"</f>
        <v>15-K05-03</v>
      </c>
      <c r="H1669">
        <v>0.41589999999999999</v>
      </c>
      <c r="J1669" t="s">
        <v>1212</v>
      </c>
      <c r="K1669" t="str">
        <f t="shared" si="91"/>
        <v>3F4</v>
      </c>
      <c r="L1669" t="s">
        <v>15</v>
      </c>
    </row>
    <row r="1670" spans="1:12" x14ac:dyDescent="0.25">
      <c r="A1670" t="str">
        <f>"2103070431"</f>
        <v>2103070431</v>
      </c>
      <c r="B1670" t="str">
        <f t="shared" si="90"/>
        <v>89301000</v>
      </c>
      <c r="C1670" s="1">
        <v>44271</v>
      </c>
      <c r="D1670" s="1">
        <v>44272</v>
      </c>
      <c r="E1670">
        <v>1</v>
      </c>
      <c r="F1670" t="s">
        <v>1276</v>
      </c>
      <c r="G1670" t="str">
        <f>"15-K07-03"</f>
        <v>15-K07-03</v>
      </c>
      <c r="H1670">
        <v>0.53959999999999997</v>
      </c>
      <c r="J1670" t="s">
        <v>59</v>
      </c>
      <c r="K1670" t="str">
        <f t="shared" si="91"/>
        <v>3F4</v>
      </c>
      <c r="L1670" t="s">
        <v>15</v>
      </c>
    </row>
    <row r="1671" spans="1:12" x14ac:dyDescent="0.25">
      <c r="A1671" t="str">
        <f>"2103070431"</f>
        <v>2103070431</v>
      </c>
      <c r="B1671" t="str">
        <f t="shared" si="90"/>
        <v>89301000</v>
      </c>
      <c r="C1671" s="1">
        <v>44262</v>
      </c>
      <c r="D1671" s="1">
        <v>44265</v>
      </c>
      <c r="E1671">
        <v>1</v>
      </c>
      <c r="F1671" t="s">
        <v>1261</v>
      </c>
      <c r="G1671" t="str">
        <f>"15-K06-04"</f>
        <v>15-K06-04</v>
      </c>
      <c r="H1671">
        <v>0.27479999999999999</v>
      </c>
      <c r="J1671" t="s">
        <v>59</v>
      </c>
      <c r="K1671" t="str">
        <f t="shared" si="91"/>
        <v>3F4</v>
      </c>
      <c r="L1671" t="s">
        <v>15</v>
      </c>
    </row>
    <row r="1672" spans="1:12" x14ac:dyDescent="0.25">
      <c r="A1672" t="str">
        <f>"2103080705"</f>
        <v>2103080705</v>
      </c>
      <c r="B1672" t="str">
        <f t="shared" si="90"/>
        <v>89301000</v>
      </c>
      <c r="C1672" s="1">
        <v>44263</v>
      </c>
      <c r="D1672" s="1">
        <v>44266</v>
      </c>
      <c r="E1672">
        <v>1</v>
      </c>
      <c r="F1672" t="s">
        <v>1261</v>
      </c>
      <c r="G1672" t="str">
        <f>"15-K06-04"</f>
        <v>15-K06-04</v>
      </c>
      <c r="H1672">
        <v>0.27479999999999999</v>
      </c>
      <c r="J1672" t="s">
        <v>59</v>
      </c>
      <c r="K1672" t="str">
        <f t="shared" si="91"/>
        <v>3F4</v>
      </c>
      <c r="L1672" t="s">
        <v>15</v>
      </c>
    </row>
    <row r="1673" spans="1:12" x14ac:dyDescent="0.25">
      <c r="A1673" t="str">
        <f>"2103080716"</f>
        <v>2103080716</v>
      </c>
      <c r="B1673" t="str">
        <f t="shared" si="90"/>
        <v>89301000</v>
      </c>
      <c r="C1673" s="1">
        <v>44263</v>
      </c>
      <c r="D1673" s="1">
        <v>44266</v>
      </c>
      <c r="E1673">
        <v>1</v>
      </c>
      <c r="F1673" t="s">
        <v>1261</v>
      </c>
      <c r="G1673" t="str">
        <f>"15-K06-04"</f>
        <v>15-K06-04</v>
      </c>
      <c r="H1673">
        <v>0.27479999999999999</v>
      </c>
      <c r="J1673" t="s">
        <v>59</v>
      </c>
      <c r="K1673" t="str">
        <f t="shared" si="91"/>
        <v>3F4</v>
      </c>
      <c r="L1673" t="s">
        <v>15</v>
      </c>
    </row>
    <row r="1674" spans="1:12" x14ac:dyDescent="0.25">
      <c r="A1674" t="str">
        <f>"2103090605"</f>
        <v>2103090605</v>
      </c>
      <c r="B1674" t="str">
        <f t="shared" si="90"/>
        <v>89301000</v>
      </c>
      <c r="C1674" s="1">
        <v>44264</v>
      </c>
      <c r="D1674" s="1">
        <v>44267</v>
      </c>
      <c r="E1674">
        <v>1</v>
      </c>
      <c r="F1674" t="s">
        <v>1261</v>
      </c>
      <c r="G1674" t="str">
        <f>"15-K06-04"</f>
        <v>15-K06-04</v>
      </c>
      <c r="H1674">
        <v>0.27479999999999999</v>
      </c>
      <c r="I1674" t="s">
        <v>1319</v>
      </c>
      <c r="J1674" t="s">
        <v>59</v>
      </c>
      <c r="K1674" t="str">
        <f t="shared" si="91"/>
        <v>3F4</v>
      </c>
      <c r="L1674" t="s">
        <v>15</v>
      </c>
    </row>
    <row r="1675" spans="1:12" x14ac:dyDescent="0.25">
      <c r="A1675" t="str">
        <f>"2103090638"</f>
        <v>2103090638</v>
      </c>
      <c r="B1675" t="str">
        <f t="shared" si="90"/>
        <v>89301000</v>
      </c>
      <c r="C1675" s="1">
        <v>44264</v>
      </c>
      <c r="D1675" s="1">
        <v>44267</v>
      </c>
      <c r="E1675">
        <v>1</v>
      </c>
      <c r="F1675" t="s">
        <v>1261</v>
      </c>
      <c r="G1675" t="str">
        <f>"15-K06-04"</f>
        <v>15-K06-04</v>
      </c>
      <c r="H1675">
        <v>0.27479999999999999</v>
      </c>
      <c r="I1675" t="s">
        <v>1264</v>
      </c>
      <c r="J1675" t="s">
        <v>59</v>
      </c>
      <c r="K1675" t="str">
        <f t="shared" si="91"/>
        <v>3F4</v>
      </c>
      <c r="L1675" t="s">
        <v>15</v>
      </c>
    </row>
    <row r="1676" spans="1:12" x14ac:dyDescent="0.25">
      <c r="A1676" t="str">
        <f>"2103100582"</f>
        <v>2103100582</v>
      </c>
      <c r="B1676" t="str">
        <f t="shared" si="90"/>
        <v>89301000</v>
      </c>
      <c r="C1676" s="1">
        <v>44265</v>
      </c>
      <c r="D1676" s="1">
        <v>44274</v>
      </c>
      <c r="E1676">
        <v>1</v>
      </c>
      <c r="F1676" t="s">
        <v>1261</v>
      </c>
      <c r="G1676" t="str">
        <f>"15-K06-02"</f>
        <v>15-K06-02</v>
      </c>
      <c r="H1676">
        <v>0.59770000000000001</v>
      </c>
      <c r="I1676" t="s">
        <v>1320</v>
      </c>
      <c r="J1676" t="s">
        <v>59</v>
      </c>
      <c r="K1676" t="str">
        <f t="shared" si="91"/>
        <v>3F4</v>
      </c>
      <c r="L1676" t="s">
        <v>15</v>
      </c>
    </row>
    <row r="1677" spans="1:12" x14ac:dyDescent="0.25">
      <c r="A1677" t="str">
        <f>"2103101198"</f>
        <v>2103101198</v>
      </c>
      <c r="B1677" t="str">
        <f t="shared" si="90"/>
        <v>89301000</v>
      </c>
      <c r="C1677" s="1">
        <v>44512</v>
      </c>
      <c r="D1677" s="1">
        <v>44515</v>
      </c>
      <c r="E1677">
        <v>1</v>
      </c>
      <c r="F1677" t="s">
        <v>1321</v>
      </c>
      <c r="G1677" t="str">
        <f>"09-K01-04"</f>
        <v>09-K01-04</v>
      </c>
      <c r="H1677">
        <v>0.57820000000000005</v>
      </c>
      <c r="I1677" t="s">
        <v>510</v>
      </c>
      <c r="J1677" t="s">
        <v>14</v>
      </c>
      <c r="K1677" t="str">
        <f>"3F1"</f>
        <v>3F1</v>
      </c>
      <c r="L1677" t="s">
        <v>15</v>
      </c>
    </row>
    <row r="1678" spans="1:12" x14ac:dyDescent="0.25">
      <c r="A1678" t="str">
        <f>"2103101198"</f>
        <v>2103101198</v>
      </c>
      <c r="B1678" t="str">
        <f t="shared" si="90"/>
        <v>89301000</v>
      </c>
      <c r="C1678" s="1">
        <v>44336</v>
      </c>
      <c r="D1678" s="1">
        <v>44338</v>
      </c>
      <c r="E1678">
        <v>1</v>
      </c>
      <c r="F1678" t="s">
        <v>151</v>
      </c>
      <c r="G1678" t="str">
        <f>"06-I16-05"</f>
        <v>06-I16-05</v>
      </c>
      <c r="H1678">
        <v>0.46139999999999998</v>
      </c>
      <c r="I1678" t="s">
        <v>390</v>
      </c>
      <c r="J1678" t="s">
        <v>24</v>
      </c>
      <c r="K1678" t="str">
        <f>"3F1"</f>
        <v>3F1</v>
      </c>
      <c r="L1678" t="s">
        <v>15</v>
      </c>
    </row>
    <row r="1679" spans="1:12" x14ac:dyDescent="0.25">
      <c r="A1679" t="str">
        <f>"2103110581"</f>
        <v>2103110581</v>
      </c>
      <c r="B1679" t="str">
        <f t="shared" si="90"/>
        <v>89301000</v>
      </c>
      <c r="C1679" s="1">
        <v>44484</v>
      </c>
      <c r="D1679" s="1">
        <v>44491</v>
      </c>
      <c r="E1679">
        <v>1</v>
      </c>
      <c r="F1679" t="s">
        <v>950</v>
      </c>
      <c r="G1679" t="str">
        <f>"04-K03-03"</f>
        <v>04-K03-03</v>
      </c>
      <c r="H1679">
        <v>0.53180000000000005</v>
      </c>
      <c r="I1679" t="s">
        <v>168</v>
      </c>
      <c r="J1679" t="s">
        <v>14</v>
      </c>
      <c r="K1679" t="str">
        <f>"3F1"</f>
        <v>3F1</v>
      </c>
      <c r="L1679" t="s">
        <v>15</v>
      </c>
    </row>
    <row r="1680" spans="1:12" x14ac:dyDescent="0.25">
      <c r="A1680" t="str">
        <f>"2103110581"</f>
        <v>2103110581</v>
      </c>
      <c r="B1680" t="str">
        <f t="shared" si="90"/>
        <v>89301000</v>
      </c>
      <c r="C1680" s="1">
        <v>44266</v>
      </c>
      <c r="D1680" s="1">
        <v>44292</v>
      </c>
      <c r="E1680">
        <v>1</v>
      </c>
      <c r="F1680" t="s">
        <v>1261</v>
      </c>
      <c r="G1680" t="str">
        <f>"15-M01-13"</f>
        <v>15-M01-13</v>
      </c>
      <c r="H1680">
        <v>2.9813999999999998</v>
      </c>
      <c r="I1680" t="s">
        <v>1322</v>
      </c>
      <c r="J1680" t="s">
        <v>1212</v>
      </c>
      <c r="K1680" t="str">
        <f t="shared" ref="K1680:K1692" si="92">"3F4"</f>
        <v>3F4</v>
      </c>
      <c r="L1680" t="s">
        <v>15</v>
      </c>
    </row>
    <row r="1681" spans="1:12" x14ac:dyDescent="0.25">
      <c r="A1681" t="str">
        <f>"2103120470"</f>
        <v>2103120470</v>
      </c>
      <c r="B1681" t="str">
        <f t="shared" si="90"/>
        <v>89301000</v>
      </c>
      <c r="C1681" s="1">
        <v>44267</v>
      </c>
      <c r="D1681" s="1">
        <v>44270</v>
      </c>
      <c r="E1681">
        <v>1</v>
      </c>
      <c r="F1681" t="s">
        <v>1261</v>
      </c>
      <c r="G1681" t="str">
        <f>"15-K06-04"</f>
        <v>15-K06-04</v>
      </c>
      <c r="H1681">
        <v>0.27479999999999999</v>
      </c>
      <c r="J1681" t="s">
        <v>59</v>
      </c>
      <c r="K1681" t="str">
        <f t="shared" si="92"/>
        <v>3F4</v>
      </c>
      <c r="L1681" t="s">
        <v>15</v>
      </c>
    </row>
    <row r="1682" spans="1:12" x14ac:dyDescent="0.25">
      <c r="A1682" t="str">
        <f>"2103120481"</f>
        <v>2103120481</v>
      </c>
      <c r="B1682" t="str">
        <f t="shared" si="90"/>
        <v>89301000</v>
      </c>
      <c r="C1682" s="1">
        <v>44267</v>
      </c>
      <c r="D1682" s="1">
        <v>44272</v>
      </c>
      <c r="E1682">
        <v>1</v>
      </c>
      <c r="F1682" t="s">
        <v>1261</v>
      </c>
      <c r="G1682" t="str">
        <f>"15-K06-04"</f>
        <v>15-K06-04</v>
      </c>
      <c r="H1682">
        <v>0.27479999999999999</v>
      </c>
      <c r="J1682" t="s">
        <v>59</v>
      </c>
      <c r="K1682" t="str">
        <f t="shared" si="92"/>
        <v>3F4</v>
      </c>
      <c r="L1682" t="s">
        <v>15</v>
      </c>
    </row>
    <row r="1683" spans="1:12" x14ac:dyDescent="0.25">
      <c r="A1683" t="str">
        <f>"2103120492"</f>
        <v>2103120492</v>
      </c>
      <c r="B1683" t="str">
        <f t="shared" si="90"/>
        <v>89301000</v>
      </c>
      <c r="C1683" s="1">
        <v>44267</v>
      </c>
      <c r="D1683" s="1">
        <v>44271</v>
      </c>
      <c r="E1683">
        <v>1</v>
      </c>
      <c r="F1683" t="s">
        <v>1261</v>
      </c>
      <c r="G1683" t="str">
        <f>"15-K06-02"</f>
        <v>15-K06-02</v>
      </c>
      <c r="H1683">
        <v>0.59770000000000001</v>
      </c>
      <c r="I1683" t="s">
        <v>1323</v>
      </c>
      <c r="J1683" t="s">
        <v>59</v>
      </c>
      <c r="K1683" t="str">
        <f t="shared" si="92"/>
        <v>3F4</v>
      </c>
      <c r="L1683" t="s">
        <v>15</v>
      </c>
    </row>
    <row r="1684" spans="1:12" x14ac:dyDescent="0.25">
      <c r="A1684" t="str">
        <f>"2103130260"</f>
        <v>2103130260</v>
      </c>
      <c r="B1684" t="str">
        <f t="shared" si="90"/>
        <v>89301000</v>
      </c>
      <c r="C1684" s="1">
        <v>44268</v>
      </c>
      <c r="D1684" s="1">
        <v>44273</v>
      </c>
      <c r="E1684">
        <v>1</v>
      </c>
      <c r="F1684" t="s">
        <v>1221</v>
      </c>
      <c r="G1684" t="str">
        <f>"15-K05-01"</f>
        <v>15-K05-01</v>
      </c>
      <c r="H1684">
        <v>2.1966000000000001</v>
      </c>
      <c r="I1684" t="s">
        <v>1324</v>
      </c>
      <c r="J1684" t="s">
        <v>1212</v>
      </c>
      <c r="K1684" t="str">
        <f t="shared" si="92"/>
        <v>3F4</v>
      </c>
      <c r="L1684" t="s">
        <v>15</v>
      </c>
    </row>
    <row r="1685" spans="1:12" x14ac:dyDescent="0.25">
      <c r="A1685" t="str">
        <f>"2103160576"</f>
        <v>2103160576</v>
      </c>
      <c r="B1685" t="str">
        <f t="shared" si="90"/>
        <v>89301000</v>
      </c>
      <c r="C1685" s="1">
        <v>44271</v>
      </c>
      <c r="D1685" s="1">
        <v>44280</v>
      </c>
      <c r="E1685">
        <v>1</v>
      </c>
      <c r="F1685" t="s">
        <v>1261</v>
      </c>
      <c r="G1685" t="str">
        <f>"15-K06-01"</f>
        <v>15-K06-01</v>
      </c>
      <c r="H1685">
        <v>1.1248</v>
      </c>
      <c r="I1685" t="s">
        <v>1325</v>
      </c>
      <c r="J1685" t="s">
        <v>59</v>
      </c>
      <c r="K1685" t="str">
        <f t="shared" si="92"/>
        <v>3F4</v>
      </c>
      <c r="L1685" t="s">
        <v>15</v>
      </c>
    </row>
    <row r="1686" spans="1:12" x14ac:dyDescent="0.25">
      <c r="A1686" t="str">
        <f>"2103180651"</f>
        <v>2103180651</v>
      </c>
      <c r="B1686" t="str">
        <f t="shared" si="90"/>
        <v>89301000</v>
      </c>
      <c r="C1686" s="1">
        <v>44273</v>
      </c>
      <c r="D1686" s="1">
        <v>44276</v>
      </c>
      <c r="E1686">
        <v>1</v>
      </c>
      <c r="F1686" t="s">
        <v>1261</v>
      </c>
      <c r="G1686" t="str">
        <f>"15-K06-04"</f>
        <v>15-K06-04</v>
      </c>
      <c r="H1686">
        <v>0.27479999999999999</v>
      </c>
      <c r="J1686" t="s">
        <v>59</v>
      </c>
      <c r="K1686" t="str">
        <f t="shared" si="92"/>
        <v>3F4</v>
      </c>
      <c r="L1686" t="s">
        <v>15</v>
      </c>
    </row>
    <row r="1687" spans="1:12" x14ac:dyDescent="0.25">
      <c r="A1687" t="str">
        <f>"2103190078"</f>
        <v>2103190078</v>
      </c>
      <c r="B1687" t="str">
        <f t="shared" si="90"/>
        <v>89301000</v>
      </c>
      <c r="C1687" s="1">
        <v>44274</v>
      </c>
      <c r="D1687" s="1">
        <v>44280</v>
      </c>
      <c r="E1687">
        <v>1</v>
      </c>
      <c r="F1687" t="s">
        <v>1221</v>
      </c>
      <c r="G1687" t="str">
        <f>"15-K05-02"</f>
        <v>15-K05-02</v>
      </c>
      <c r="H1687">
        <v>1.2017</v>
      </c>
      <c r="I1687" t="s">
        <v>1258</v>
      </c>
      <c r="J1687" t="s">
        <v>1212</v>
      </c>
      <c r="K1687" t="str">
        <f t="shared" si="92"/>
        <v>3F4</v>
      </c>
      <c r="L1687" t="s">
        <v>15</v>
      </c>
    </row>
    <row r="1688" spans="1:12" x14ac:dyDescent="0.25">
      <c r="A1688" t="str">
        <f>"2103190672"</f>
        <v>2103190672</v>
      </c>
      <c r="B1688" t="str">
        <f t="shared" si="90"/>
        <v>89301000</v>
      </c>
      <c r="C1688" s="1">
        <v>44274</v>
      </c>
      <c r="D1688" s="1">
        <v>44275</v>
      </c>
      <c r="E1688">
        <v>1</v>
      </c>
      <c r="F1688" t="s">
        <v>1261</v>
      </c>
      <c r="G1688" t="str">
        <f>"15-K06-04"</f>
        <v>15-K06-04</v>
      </c>
      <c r="H1688">
        <v>0.27479999999999999</v>
      </c>
      <c r="I1688" t="s">
        <v>1305</v>
      </c>
      <c r="J1688" t="s">
        <v>59</v>
      </c>
      <c r="K1688" t="str">
        <f t="shared" si="92"/>
        <v>3F4</v>
      </c>
      <c r="L1688" t="s">
        <v>15</v>
      </c>
    </row>
    <row r="1689" spans="1:12" x14ac:dyDescent="0.25">
      <c r="A1689" t="str">
        <f>"2103200363"</f>
        <v>2103200363</v>
      </c>
      <c r="B1689" t="str">
        <f t="shared" si="90"/>
        <v>89301000</v>
      </c>
      <c r="C1689" s="1">
        <v>44275</v>
      </c>
      <c r="D1689" s="1">
        <v>44278</v>
      </c>
      <c r="E1689">
        <v>1</v>
      </c>
      <c r="F1689" t="s">
        <v>1261</v>
      </c>
      <c r="G1689" t="str">
        <f>"15-K06-04"</f>
        <v>15-K06-04</v>
      </c>
      <c r="H1689">
        <v>0.27479999999999999</v>
      </c>
      <c r="J1689" t="s">
        <v>59</v>
      </c>
      <c r="K1689" t="str">
        <f t="shared" si="92"/>
        <v>3F4</v>
      </c>
      <c r="L1689" t="s">
        <v>15</v>
      </c>
    </row>
    <row r="1690" spans="1:12" x14ac:dyDescent="0.25">
      <c r="A1690" t="str">
        <f>"2103220020"</f>
        <v>2103220020</v>
      </c>
      <c r="B1690" t="str">
        <f t="shared" si="90"/>
        <v>89301000</v>
      </c>
      <c r="C1690" s="1">
        <v>44277</v>
      </c>
      <c r="D1690" s="1">
        <v>44280</v>
      </c>
      <c r="E1690">
        <v>1</v>
      </c>
      <c r="F1690" t="s">
        <v>1261</v>
      </c>
      <c r="G1690" t="str">
        <f>"15-K06-04"</f>
        <v>15-K06-04</v>
      </c>
      <c r="H1690">
        <v>0.27479999999999999</v>
      </c>
      <c r="J1690" t="s">
        <v>59</v>
      </c>
      <c r="K1690" t="str">
        <f t="shared" si="92"/>
        <v>3F4</v>
      </c>
      <c r="L1690" t="s">
        <v>15</v>
      </c>
    </row>
    <row r="1691" spans="1:12" x14ac:dyDescent="0.25">
      <c r="A1691" t="str">
        <f>"2103220493"</f>
        <v>2103220493</v>
      </c>
      <c r="B1691" t="str">
        <f t="shared" si="90"/>
        <v>89301000</v>
      </c>
      <c r="C1691" s="1">
        <v>44277</v>
      </c>
      <c r="D1691" s="1">
        <v>44281</v>
      </c>
      <c r="E1691">
        <v>1</v>
      </c>
      <c r="F1691" t="s">
        <v>1261</v>
      </c>
      <c r="G1691" t="str">
        <f>"15-K06-04"</f>
        <v>15-K06-04</v>
      </c>
      <c r="H1691">
        <v>0.27479999999999999</v>
      </c>
      <c r="I1691" t="s">
        <v>1279</v>
      </c>
      <c r="J1691" t="s">
        <v>59</v>
      </c>
      <c r="K1691" t="str">
        <f t="shared" si="92"/>
        <v>3F4</v>
      </c>
      <c r="L1691" t="s">
        <v>15</v>
      </c>
    </row>
    <row r="1692" spans="1:12" x14ac:dyDescent="0.25">
      <c r="A1692" t="str">
        <f>"2103230041"</f>
        <v>2103230041</v>
      </c>
      <c r="B1692" t="str">
        <f t="shared" si="90"/>
        <v>89301000</v>
      </c>
      <c r="C1692" s="1">
        <v>44278</v>
      </c>
      <c r="D1692" s="1">
        <v>44279</v>
      </c>
      <c r="E1692">
        <v>1</v>
      </c>
      <c r="F1692" t="s">
        <v>1261</v>
      </c>
      <c r="G1692" t="str">
        <f>"15-K06-04"</f>
        <v>15-K06-04</v>
      </c>
      <c r="H1692">
        <v>0.27479999999999999</v>
      </c>
      <c r="J1692" t="s">
        <v>59</v>
      </c>
      <c r="K1692" t="str">
        <f t="shared" si="92"/>
        <v>3F4</v>
      </c>
      <c r="L1692" t="s">
        <v>15</v>
      </c>
    </row>
    <row r="1693" spans="1:12" x14ac:dyDescent="0.25">
      <c r="A1693" t="str">
        <f>"2103231240"</f>
        <v>2103231240</v>
      </c>
      <c r="B1693" t="str">
        <f t="shared" si="90"/>
        <v>89301000</v>
      </c>
      <c r="C1693" s="1">
        <v>44484</v>
      </c>
      <c r="D1693" s="1">
        <v>44489</v>
      </c>
      <c r="E1693">
        <v>1</v>
      </c>
      <c r="F1693" t="s">
        <v>1201</v>
      </c>
      <c r="G1693" t="str">
        <f>"04-K03-03"</f>
        <v>04-K03-03</v>
      </c>
      <c r="H1693">
        <v>0.53180000000000005</v>
      </c>
      <c r="I1693" t="s">
        <v>168</v>
      </c>
      <c r="J1693" t="s">
        <v>14</v>
      </c>
      <c r="K1693" t="str">
        <f>"3F1"</f>
        <v>3F1</v>
      </c>
      <c r="L1693" t="s">
        <v>15</v>
      </c>
    </row>
    <row r="1694" spans="1:12" x14ac:dyDescent="0.25">
      <c r="A1694" t="str">
        <f>"2103240513"</f>
        <v>2103240513</v>
      </c>
      <c r="B1694" t="str">
        <f t="shared" si="90"/>
        <v>89301000</v>
      </c>
      <c r="C1694" s="1">
        <v>44279</v>
      </c>
      <c r="D1694" s="1">
        <v>44281</v>
      </c>
      <c r="E1694">
        <v>1</v>
      </c>
      <c r="F1694" t="s">
        <v>1261</v>
      </c>
      <c r="G1694" t="str">
        <f>"15-K06-04"</f>
        <v>15-K06-04</v>
      </c>
      <c r="H1694">
        <v>0.27479999999999999</v>
      </c>
      <c r="J1694" t="s">
        <v>59</v>
      </c>
      <c r="K1694" t="str">
        <f t="shared" ref="K1694:K1699" si="93">"3F4"</f>
        <v>3F4</v>
      </c>
      <c r="L1694" t="s">
        <v>15</v>
      </c>
    </row>
    <row r="1695" spans="1:12" x14ac:dyDescent="0.25">
      <c r="A1695" t="str">
        <f>"2103250468"</f>
        <v>2103250468</v>
      </c>
      <c r="B1695" t="str">
        <f t="shared" si="90"/>
        <v>89301000</v>
      </c>
      <c r="C1695" s="1">
        <v>44280</v>
      </c>
      <c r="D1695" s="1">
        <v>44283</v>
      </c>
      <c r="E1695">
        <v>1</v>
      </c>
      <c r="F1695" t="s">
        <v>1261</v>
      </c>
      <c r="G1695" t="str">
        <f>"15-K06-04"</f>
        <v>15-K06-04</v>
      </c>
      <c r="H1695">
        <v>0.27479999999999999</v>
      </c>
      <c r="I1695" t="s">
        <v>1326</v>
      </c>
      <c r="J1695" t="s">
        <v>59</v>
      </c>
      <c r="K1695" t="str">
        <f t="shared" si="93"/>
        <v>3F4</v>
      </c>
      <c r="L1695" t="s">
        <v>15</v>
      </c>
    </row>
    <row r="1696" spans="1:12" x14ac:dyDescent="0.25">
      <c r="A1696" t="str">
        <f>"2103250479"</f>
        <v>2103250479</v>
      </c>
      <c r="B1696" t="str">
        <f t="shared" si="90"/>
        <v>89301000</v>
      </c>
      <c r="C1696" s="1">
        <v>44280</v>
      </c>
      <c r="D1696" s="1">
        <v>44283</v>
      </c>
      <c r="E1696">
        <v>1</v>
      </c>
      <c r="F1696" t="s">
        <v>1221</v>
      </c>
      <c r="G1696" t="str">
        <f>"15-K07-02"</f>
        <v>15-K07-02</v>
      </c>
      <c r="H1696">
        <v>1.0072000000000001</v>
      </c>
      <c r="I1696" t="s">
        <v>1327</v>
      </c>
      <c r="J1696" t="s">
        <v>59</v>
      </c>
      <c r="K1696" t="str">
        <f t="shared" si="93"/>
        <v>3F4</v>
      </c>
      <c r="L1696" t="s">
        <v>15</v>
      </c>
    </row>
    <row r="1697" spans="1:12" x14ac:dyDescent="0.25">
      <c r="A1697" t="str">
        <f>"2103260632"</f>
        <v>2103260632</v>
      </c>
      <c r="B1697" t="str">
        <f t="shared" si="90"/>
        <v>89301000</v>
      </c>
      <c r="C1697" s="1">
        <v>44281</v>
      </c>
      <c r="D1697" s="1">
        <v>44284</v>
      </c>
      <c r="E1697">
        <v>1</v>
      </c>
      <c r="F1697" t="s">
        <v>1261</v>
      </c>
      <c r="G1697" t="str">
        <f>"15-K05-03"</f>
        <v>15-K05-03</v>
      </c>
      <c r="H1697">
        <v>0.62380000000000002</v>
      </c>
      <c r="I1697" t="s">
        <v>1328</v>
      </c>
      <c r="J1697" t="s">
        <v>1212</v>
      </c>
      <c r="K1697" t="str">
        <f t="shared" si="93"/>
        <v>3F4</v>
      </c>
      <c r="L1697" t="s">
        <v>15</v>
      </c>
    </row>
    <row r="1698" spans="1:12" x14ac:dyDescent="0.25">
      <c r="A1698" t="str">
        <f>"2103260643"</f>
        <v>2103260643</v>
      </c>
      <c r="B1698" t="str">
        <f t="shared" si="90"/>
        <v>89301000</v>
      </c>
      <c r="C1698" s="1">
        <v>44281</v>
      </c>
      <c r="D1698" s="1">
        <v>44284</v>
      </c>
      <c r="E1698">
        <v>1</v>
      </c>
      <c r="F1698" t="s">
        <v>1261</v>
      </c>
      <c r="G1698" t="str">
        <f>"15-K06-04"</f>
        <v>15-K06-04</v>
      </c>
      <c r="H1698">
        <v>0.27479999999999999</v>
      </c>
      <c r="J1698" t="s">
        <v>59</v>
      </c>
      <c r="K1698" t="str">
        <f t="shared" si="93"/>
        <v>3F4</v>
      </c>
      <c r="L1698" t="s">
        <v>15</v>
      </c>
    </row>
    <row r="1699" spans="1:12" x14ac:dyDescent="0.25">
      <c r="A1699" t="str">
        <f>"2103270378"</f>
        <v>2103270378</v>
      </c>
      <c r="B1699" t="str">
        <f t="shared" si="90"/>
        <v>89301000</v>
      </c>
      <c r="C1699" s="1">
        <v>44282</v>
      </c>
      <c r="D1699" s="1">
        <v>44282</v>
      </c>
      <c r="E1699">
        <v>1</v>
      </c>
      <c r="F1699" t="s">
        <v>1261</v>
      </c>
      <c r="G1699" t="str">
        <f>"15-K06-04"</f>
        <v>15-K06-04</v>
      </c>
      <c r="H1699">
        <v>0.13739999999999999</v>
      </c>
      <c r="J1699" t="s">
        <v>59</v>
      </c>
      <c r="K1699" t="str">
        <f t="shared" si="93"/>
        <v>3F4</v>
      </c>
      <c r="L1699" t="s">
        <v>15</v>
      </c>
    </row>
    <row r="1700" spans="1:12" x14ac:dyDescent="0.25">
      <c r="A1700" t="str">
        <f>"2103280003"</f>
        <v>2103280003</v>
      </c>
      <c r="B1700" t="str">
        <f t="shared" si="90"/>
        <v>89301000</v>
      </c>
      <c r="C1700" s="1">
        <v>44314</v>
      </c>
      <c r="D1700" s="1">
        <v>44322</v>
      </c>
      <c r="E1700">
        <v>5</v>
      </c>
      <c r="F1700" t="s">
        <v>1329</v>
      </c>
      <c r="G1700" t="str">
        <f>"00-M01-03"</f>
        <v>00-M01-03</v>
      </c>
      <c r="H1700">
        <v>9.1252999999999993</v>
      </c>
      <c r="I1700" t="s">
        <v>1330</v>
      </c>
      <c r="J1700" t="s">
        <v>14</v>
      </c>
      <c r="K1700" t="str">
        <f>"3T1"</f>
        <v>3T1</v>
      </c>
      <c r="L1700" t="s">
        <v>15</v>
      </c>
    </row>
    <row r="1701" spans="1:12" x14ac:dyDescent="0.25">
      <c r="A1701" t="str">
        <f>"2103280476"</f>
        <v>2103280476</v>
      </c>
      <c r="B1701" t="str">
        <f t="shared" si="90"/>
        <v>89301000</v>
      </c>
      <c r="C1701" s="1">
        <v>44283</v>
      </c>
      <c r="D1701" s="1">
        <v>44286</v>
      </c>
      <c r="E1701">
        <v>1</v>
      </c>
      <c r="F1701" t="s">
        <v>1261</v>
      </c>
      <c r="G1701" t="str">
        <f>"15-K06-04"</f>
        <v>15-K06-04</v>
      </c>
      <c r="H1701">
        <v>0.27479999999999999</v>
      </c>
      <c r="J1701" t="s">
        <v>59</v>
      </c>
      <c r="K1701" t="str">
        <f>"3F4"</f>
        <v>3F4</v>
      </c>
      <c r="L1701" t="s">
        <v>15</v>
      </c>
    </row>
    <row r="1702" spans="1:12" x14ac:dyDescent="0.25">
      <c r="A1702" t="str">
        <f>"2103290794"</f>
        <v>2103290794</v>
      </c>
      <c r="B1702" t="str">
        <f t="shared" si="90"/>
        <v>89301000</v>
      </c>
      <c r="C1702" s="1">
        <v>44284</v>
      </c>
      <c r="D1702" s="1">
        <v>44288</v>
      </c>
      <c r="E1702">
        <v>1</v>
      </c>
      <c r="F1702" t="s">
        <v>1261</v>
      </c>
      <c r="G1702" t="str">
        <f>"15-K06-04"</f>
        <v>15-K06-04</v>
      </c>
      <c r="H1702">
        <v>0.27479999999999999</v>
      </c>
      <c r="J1702" t="s">
        <v>59</v>
      </c>
      <c r="K1702" t="str">
        <f>"3F4"</f>
        <v>3F4</v>
      </c>
      <c r="L1702" t="s">
        <v>15</v>
      </c>
    </row>
    <row r="1703" spans="1:12" x14ac:dyDescent="0.25">
      <c r="A1703" t="str">
        <f>"2103291465"</f>
        <v>2103291465</v>
      </c>
      <c r="B1703" t="str">
        <f t="shared" si="90"/>
        <v>89301000</v>
      </c>
      <c r="C1703" s="1">
        <v>44292</v>
      </c>
      <c r="D1703" s="1">
        <v>44295</v>
      </c>
      <c r="E1703">
        <v>1</v>
      </c>
      <c r="F1703" t="s">
        <v>1269</v>
      </c>
      <c r="G1703" t="str">
        <f>"15-K07-02"</f>
        <v>15-K07-02</v>
      </c>
      <c r="H1703">
        <v>1.0072000000000001</v>
      </c>
      <c r="I1703" t="s">
        <v>1331</v>
      </c>
      <c r="J1703" t="s">
        <v>59</v>
      </c>
      <c r="K1703" t="str">
        <f>"3F4"</f>
        <v>3F4</v>
      </c>
      <c r="L1703" t="s">
        <v>15</v>
      </c>
    </row>
    <row r="1704" spans="1:12" x14ac:dyDescent="0.25">
      <c r="A1704" t="str">
        <f>"2103291465"</f>
        <v>2103291465</v>
      </c>
      <c r="B1704" t="str">
        <f t="shared" si="90"/>
        <v>89301000</v>
      </c>
      <c r="C1704" s="1">
        <v>44286</v>
      </c>
      <c r="D1704" s="1">
        <v>44286</v>
      </c>
      <c r="E1704">
        <v>5</v>
      </c>
      <c r="F1704" t="s">
        <v>1332</v>
      </c>
      <c r="G1704" t="str">
        <f>"15-K01-00"</f>
        <v>15-K01-00</v>
      </c>
      <c r="H1704">
        <v>0.1769</v>
      </c>
      <c r="J1704" t="s">
        <v>14</v>
      </c>
      <c r="K1704" t="str">
        <f>"3T4"</f>
        <v>3T4</v>
      </c>
      <c r="L1704" t="s">
        <v>15</v>
      </c>
    </row>
    <row r="1705" spans="1:12" x14ac:dyDescent="0.25">
      <c r="A1705" t="str">
        <f>"2103300573"</f>
        <v>2103300573</v>
      </c>
      <c r="B1705" t="str">
        <f t="shared" si="90"/>
        <v>89301000</v>
      </c>
      <c r="C1705" s="1">
        <v>44285</v>
      </c>
      <c r="D1705" s="1">
        <v>44288</v>
      </c>
      <c r="E1705">
        <v>1</v>
      </c>
      <c r="F1705" t="s">
        <v>1261</v>
      </c>
      <c r="G1705" t="str">
        <f>"15-K06-04"</f>
        <v>15-K06-04</v>
      </c>
      <c r="H1705">
        <v>0.27479999999999999</v>
      </c>
      <c r="J1705" t="s">
        <v>59</v>
      </c>
      <c r="K1705" t="str">
        <f t="shared" ref="K1705:K1713" si="94">"3F4"</f>
        <v>3F4</v>
      </c>
      <c r="L1705" t="s">
        <v>15</v>
      </c>
    </row>
    <row r="1706" spans="1:12" x14ac:dyDescent="0.25">
      <c r="A1706" t="str">
        <f>"2103300595"</f>
        <v>2103300595</v>
      </c>
      <c r="B1706" t="str">
        <f t="shared" si="90"/>
        <v>89301000</v>
      </c>
      <c r="C1706" s="1">
        <v>44285</v>
      </c>
      <c r="D1706" s="1">
        <v>44288</v>
      </c>
      <c r="E1706">
        <v>1</v>
      </c>
      <c r="F1706" t="s">
        <v>1261</v>
      </c>
      <c r="G1706" t="str">
        <f>"15-K06-04"</f>
        <v>15-K06-04</v>
      </c>
      <c r="H1706">
        <v>0.27479999999999999</v>
      </c>
      <c r="J1706" t="s">
        <v>59</v>
      </c>
      <c r="K1706" t="str">
        <f t="shared" si="94"/>
        <v>3F4</v>
      </c>
      <c r="L1706" t="s">
        <v>15</v>
      </c>
    </row>
    <row r="1707" spans="1:12" x14ac:dyDescent="0.25">
      <c r="A1707" t="str">
        <f>"2104010106"</f>
        <v>2104010106</v>
      </c>
      <c r="B1707" t="str">
        <f t="shared" si="90"/>
        <v>89301000</v>
      </c>
      <c r="C1707" s="1">
        <v>44287</v>
      </c>
      <c r="D1707" s="1">
        <v>44289</v>
      </c>
      <c r="E1707">
        <v>1</v>
      </c>
      <c r="F1707" t="s">
        <v>1261</v>
      </c>
      <c r="G1707" t="str">
        <f>"15-K06-04"</f>
        <v>15-K06-04</v>
      </c>
      <c r="H1707">
        <v>0.27479999999999999</v>
      </c>
      <c r="J1707" t="s">
        <v>59</v>
      </c>
      <c r="K1707" t="str">
        <f t="shared" si="94"/>
        <v>3F4</v>
      </c>
      <c r="L1707" t="s">
        <v>15</v>
      </c>
    </row>
    <row r="1708" spans="1:12" x14ac:dyDescent="0.25">
      <c r="A1708" t="str">
        <f>"2104011008"</f>
        <v>2104011008</v>
      </c>
      <c r="B1708" t="str">
        <f t="shared" si="90"/>
        <v>89301000</v>
      </c>
      <c r="C1708" s="1">
        <v>44287</v>
      </c>
      <c r="D1708" s="1">
        <v>44291</v>
      </c>
      <c r="E1708">
        <v>1</v>
      </c>
      <c r="F1708" t="s">
        <v>1261</v>
      </c>
      <c r="G1708" t="str">
        <f>"15-K06-04"</f>
        <v>15-K06-04</v>
      </c>
      <c r="H1708">
        <v>0.27479999999999999</v>
      </c>
      <c r="J1708" t="s">
        <v>59</v>
      </c>
      <c r="K1708" t="str">
        <f t="shared" si="94"/>
        <v>3F4</v>
      </c>
      <c r="L1708" t="s">
        <v>15</v>
      </c>
    </row>
    <row r="1709" spans="1:12" x14ac:dyDescent="0.25">
      <c r="A1709" t="str">
        <f>"2104011107"</f>
        <v>2104011107</v>
      </c>
      <c r="B1709" t="str">
        <f t="shared" si="90"/>
        <v>89301000</v>
      </c>
      <c r="C1709" s="1">
        <v>44287</v>
      </c>
      <c r="D1709" s="1">
        <v>44290</v>
      </c>
      <c r="E1709">
        <v>1</v>
      </c>
      <c r="F1709" t="s">
        <v>1261</v>
      </c>
      <c r="G1709" t="str">
        <f>"15-K06-04"</f>
        <v>15-K06-04</v>
      </c>
      <c r="H1709">
        <v>0.27479999999999999</v>
      </c>
      <c r="J1709" t="s">
        <v>59</v>
      </c>
      <c r="K1709" t="str">
        <f t="shared" si="94"/>
        <v>3F4</v>
      </c>
      <c r="L1709" t="s">
        <v>15</v>
      </c>
    </row>
    <row r="1710" spans="1:12" x14ac:dyDescent="0.25">
      <c r="A1710" t="str">
        <f>"2104020435"</f>
        <v>2104020435</v>
      </c>
      <c r="B1710" t="str">
        <f t="shared" si="90"/>
        <v>89301000</v>
      </c>
      <c r="C1710" s="1">
        <v>44288</v>
      </c>
      <c r="D1710" s="1">
        <v>44295</v>
      </c>
      <c r="E1710">
        <v>1</v>
      </c>
      <c r="F1710" t="s">
        <v>1261</v>
      </c>
      <c r="G1710" t="str">
        <f>"15-K06-01"</f>
        <v>15-K06-01</v>
      </c>
      <c r="H1710">
        <v>1.1248</v>
      </c>
      <c r="I1710" t="s">
        <v>1288</v>
      </c>
      <c r="J1710" t="s">
        <v>59</v>
      </c>
      <c r="K1710" t="str">
        <f t="shared" si="94"/>
        <v>3F4</v>
      </c>
      <c r="L1710" t="s">
        <v>15</v>
      </c>
    </row>
    <row r="1711" spans="1:12" x14ac:dyDescent="0.25">
      <c r="A1711" t="str">
        <f>"2104020479"</f>
        <v>2104020479</v>
      </c>
      <c r="B1711" t="str">
        <f t="shared" si="90"/>
        <v>89301000</v>
      </c>
      <c r="C1711" s="1">
        <v>44288</v>
      </c>
      <c r="D1711" s="1">
        <v>44293</v>
      </c>
      <c r="E1711">
        <v>1</v>
      </c>
      <c r="F1711" t="s">
        <v>1261</v>
      </c>
      <c r="G1711" t="str">
        <f>"15-K06-04"</f>
        <v>15-K06-04</v>
      </c>
      <c r="H1711">
        <v>0.27479999999999999</v>
      </c>
      <c r="J1711" t="s">
        <v>59</v>
      </c>
      <c r="K1711" t="str">
        <f t="shared" si="94"/>
        <v>3F4</v>
      </c>
      <c r="L1711" t="s">
        <v>15</v>
      </c>
    </row>
    <row r="1712" spans="1:12" x14ac:dyDescent="0.25">
      <c r="A1712" t="str">
        <f>"2104020512"</f>
        <v>2104020512</v>
      </c>
      <c r="B1712" t="str">
        <f t="shared" si="90"/>
        <v>89301000</v>
      </c>
      <c r="C1712" s="1">
        <v>44288</v>
      </c>
      <c r="D1712" s="1">
        <v>44291</v>
      </c>
      <c r="E1712">
        <v>1</v>
      </c>
      <c r="F1712" t="s">
        <v>1261</v>
      </c>
      <c r="G1712" t="str">
        <f>"15-K06-04"</f>
        <v>15-K06-04</v>
      </c>
      <c r="H1712">
        <v>0.27479999999999999</v>
      </c>
      <c r="J1712" t="s">
        <v>59</v>
      </c>
      <c r="K1712" t="str">
        <f t="shared" si="94"/>
        <v>3F4</v>
      </c>
      <c r="L1712" t="s">
        <v>15</v>
      </c>
    </row>
    <row r="1713" spans="1:12" x14ac:dyDescent="0.25">
      <c r="A1713" t="str">
        <f>"2104030379"</f>
        <v>2104030379</v>
      </c>
      <c r="B1713" t="str">
        <f t="shared" si="90"/>
        <v>89301000</v>
      </c>
      <c r="C1713" s="1">
        <v>44289</v>
      </c>
      <c r="D1713" s="1">
        <v>44292</v>
      </c>
      <c r="E1713">
        <v>1</v>
      </c>
      <c r="F1713" t="s">
        <v>1261</v>
      </c>
      <c r="G1713" t="str">
        <f>"15-K06-04"</f>
        <v>15-K06-04</v>
      </c>
      <c r="H1713">
        <v>0.27479999999999999</v>
      </c>
      <c r="I1713" t="s">
        <v>1333</v>
      </c>
      <c r="J1713" t="s">
        <v>59</v>
      </c>
      <c r="K1713" t="str">
        <f t="shared" si="94"/>
        <v>3F4</v>
      </c>
      <c r="L1713" t="s">
        <v>15</v>
      </c>
    </row>
    <row r="1714" spans="1:12" x14ac:dyDescent="0.25">
      <c r="A1714" t="str">
        <f>"2104051235"</f>
        <v>2104051235</v>
      </c>
      <c r="B1714" t="str">
        <f t="shared" ref="B1714:B1777" si="95">"89301000"</f>
        <v>89301000</v>
      </c>
      <c r="C1714" s="1">
        <v>44339</v>
      </c>
      <c r="D1714" s="1">
        <v>44340</v>
      </c>
      <c r="E1714">
        <v>1</v>
      </c>
      <c r="F1714" t="s">
        <v>1334</v>
      </c>
      <c r="G1714" t="str">
        <f>"21-K03-00"</f>
        <v>21-K03-00</v>
      </c>
      <c r="H1714">
        <v>0.18310000000000001</v>
      </c>
      <c r="J1714" t="s">
        <v>14</v>
      </c>
      <c r="K1714" t="str">
        <f>"3F1"</f>
        <v>3F1</v>
      </c>
      <c r="L1714" t="s">
        <v>15</v>
      </c>
    </row>
    <row r="1715" spans="1:12" x14ac:dyDescent="0.25">
      <c r="A1715" t="str">
        <f>"2104061619"</f>
        <v>2104061619</v>
      </c>
      <c r="B1715" t="str">
        <f t="shared" si="95"/>
        <v>89301000</v>
      </c>
      <c r="C1715" s="1">
        <v>44292</v>
      </c>
      <c r="D1715" s="1">
        <v>44299</v>
      </c>
      <c r="E1715">
        <v>1</v>
      </c>
      <c r="F1715" t="s">
        <v>1261</v>
      </c>
      <c r="G1715" t="str">
        <f>"15-K06-02"</f>
        <v>15-K06-02</v>
      </c>
      <c r="H1715">
        <v>0.59770000000000001</v>
      </c>
      <c r="I1715" t="s">
        <v>1335</v>
      </c>
      <c r="J1715" t="s">
        <v>59</v>
      </c>
      <c r="K1715" t="str">
        <f>"3F4"</f>
        <v>3F4</v>
      </c>
      <c r="L1715" t="s">
        <v>15</v>
      </c>
    </row>
    <row r="1716" spans="1:12" x14ac:dyDescent="0.25">
      <c r="A1716" t="str">
        <f>"2104071343"</f>
        <v>2104071343</v>
      </c>
      <c r="B1716" t="str">
        <f t="shared" si="95"/>
        <v>89301000</v>
      </c>
      <c r="C1716" s="1">
        <v>44293</v>
      </c>
      <c r="D1716" s="1">
        <v>44296</v>
      </c>
      <c r="E1716">
        <v>1</v>
      </c>
      <c r="F1716" t="s">
        <v>1261</v>
      </c>
      <c r="G1716" t="str">
        <f>"15-K06-04"</f>
        <v>15-K06-04</v>
      </c>
      <c r="H1716">
        <v>0.27479999999999999</v>
      </c>
      <c r="J1716" t="s">
        <v>59</v>
      </c>
      <c r="K1716" t="str">
        <f>"3F4"</f>
        <v>3F4</v>
      </c>
      <c r="L1716" t="s">
        <v>15</v>
      </c>
    </row>
    <row r="1717" spans="1:12" x14ac:dyDescent="0.25">
      <c r="A1717" t="str">
        <f>"2104071365"</f>
        <v>2104071365</v>
      </c>
      <c r="B1717" t="str">
        <f t="shared" si="95"/>
        <v>89301000</v>
      </c>
      <c r="C1717" s="1">
        <v>44293</v>
      </c>
      <c r="D1717" s="1">
        <v>44296</v>
      </c>
      <c r="E1717">
        <v>1</v>
      </c>
      <c r="F1717" t="s">
        <v>1261</v>
      </c>
      <c r="G1717" t="str">
        <f>"15-K06-04"</f>
        <v>15-K06-04</v>
      </c>
      <c r="H1717">
        <v>0.27479999999999999</v>
      </c>
      <c r="J1717" t="s">
        <v>59</v>
      </c>
      <c r="K1717" t="str">
        <f>"3F4"</f>
        <v>3F4</v>
      </c>
      <c r="L1717" t="s">
        <v>15</v>
      </c>
    </row>
    <row r="1718" spans="1:12" x14ac:dyDescent="0.25">
      <c r="A1718" t="str">
        <f>"2104080352"</f>
        <v>2104080352</v>
      </c>
      <c r="B1718" t="str">
        <f t="shared" si="95"/>
        <v>89301000</v>
      </c>
      <c r="C1718" s="1">
        <v>44484</v>
      </c>
      <c r="D1718" s="1">
        <v>44487</v>
      </c>
      <c r="E1718">
        <v>1</v>
      </c>
      <c r="F1718" t="s">
        <v>950</v>
      </c>
      <c r="G1718" t="str">
        <f>"04-K03-03"</f>
        <v>04-K03-03</v>
      </c>
      <c r="H1718">
        <v>0.53180000000000005</v>
      </c>
      <c r="I1718" t="s">
        <v>1336</v>
      </c>
      <c r="J1718" t="s">
        <v>14</v>
      </c>
      <c r="K1718" t="str">
        <f>"3F1"</f>
        <v>3F1</v>
      </c>
      <c r="L1718" t="s">
        <v>15</v>
      </c>
    </row>
    <row r="1719" spans="1:12" x14ac:dyDescent="0.25">
      <c r="A1719" t="str">
        <f>"2104080616"</f>
        <v>2104080616</v>
      </c>
      <c r="B1719" t="str">
        <f t="shared" si="95"/>
        <v>89301000</v>
      </c>
      <c r="C1719" s="1">
        <v>44294</v>
      </c>
      <c r="D1719" s="1">
        <v>44298</v>
      </c>
      <c r="E1719">
        <v>1</v>
      </c>
      <c r="F1719" t="s">
        <v>1261</v>
      </c>
      <c r="G1719" t="str">
        <f>"15-K06-02"</f>
        <v>15-K06-02</v>
      </c>
      <c r="H1719">
        <v>0.59770000000000001</v>
      </c>
      <c r="I1719" t="s">
        <v>1337</v>
      </c>
      <c r="J1719" t="s">
        <v>59</v>
      </c>
      <c r="K1719" t="str">
        <f>"3F4"</f>
        <v>3F4</v>
      </c>
      <c r="L1719" t="s">
        <v>15</v>
      </c>
    </row>
    <row r="1720" spans="1:12" x14ac:dyDescent="0.25">
      <c r="A1720" t="str">
        <f>"2104090615"</f>
        <v>2104090615</v>
      </c>
      <c r="B1720" t="str">
        <f t="shared" si="95"/>
        <v>89301000</v>
      </c>
      <c r="C1720" s="1">
        <v>44295</v>
      </c>
      <c r="D1720" s="1">
        <v>44298</v>
      </c>
      <c r="E1720">
        <v>1</v>
      </c>
      <c r="F1720" t="s">
        <v>1261</v>
      </c>
      <c r="G1720" t="str">
        <f>"15-K06-04"</f>
        <v>15-K06-04</v>
      </c>
      <c r="H1720">
        <v>0.27479999999999999</v>
      </c>
      <c r="J1720" t="s">
        <v>59</v>
      </c>
      <c r="K1720" t="str">
        <f>"3F4"</f>
        <v>3F4</v>
      </c>
      <c r="L1720" t="s">
        <v>15</v>
      </c>
    </row>
    <row r="1721" spans="1:12" x14ac:dyDescent="0.25">
      <c r="A1721" t="str">
        <f>"2104090615"</f>
        <v>2104090615</v>
      </c>
      <c r="B1721" t="str">
        <f t="shared" si="95"/>
        <v>89301000</v>
      </c>
      <c r="C1721" s="1">
        <v>44399</v>
      </c>
      <c r="D1721" s="1">
        <v>44404</v>
      </c>
      <c r="E1721">
        <v>6</v>
      </c>
      <c r="F1721" t="s">
        <v>617</v>
      </c>
      <c r="G1721" t="str">
        <f>"06-K02-04"</f>
        <v>06-K02-04</v>
      </c>
      <c r="H1721">
        <v>0.3634</v>
      </c>
      <c r="I1721" t="s">
        <v>354</v>
      </c>
      <c r="J1721" t="s">
        <v>14</v>
      </c>
      <c r="K1721" t="str">
        <f>"3T1"</f>
        <v>3T1</v>
      </c>
      <c r="L1721" t="s">
        <v>15</v>
      </c>
    </row>
    <row r="1722" spans="1:12" x14ac:dyDescent="0.25">
      <c r="A1722" t="str">
        <f>"2104090626"</f>
        <v>2104090626</v>
      </c>
      <c r="B1722" t="str">
        <f t="shared" si="95"/>
        <v>89301000</v>
      </c>
      <c r="C1722" s="1">
        <v>44295</v>
      </c>
      <c r="D1722" s="1">
        <v>44299</v>
      </c>
      <c r="E1722">
        <v>1</v>
      </c>
      <c r="F1722" t="s">
        <v>1261</v>
      </c>
      <c r="G1722" t="str">
        <f>"15-K06-04"</f>
        <v>15-K06-04</v>
      </c>
      <c r="H1722">
        <v>0.27479999999999999</v>
      </c>
      <c r="J1722" t="s">
        <v>59</v>
      </c>
      <c r="K1722" t="str">
        <f>"3F4"</f>
        <v>3F4</v>
      </c>
      <c r="L1722" t="s">
        <v>15</v>
      </c>
    </row>
    <row r="1723" spans="1:12" x14ac:dyDescent="0.25">
      <c r="A1723" t="str">
        <f>"2104110437"</f>
        <v>2104110437</v>
      </c>
      <c r="B1723" t="str">
        <f t="shared" si="95"/>
        <v>89301000</v>
      </c>
      <c r="C1723" s="1">
        <v>44322</v>
      </c>
      <c r="D1723" s="1">
        <v>44323</v>
      </c>
      <c r="E1723">
        <v>1</v>
      </c>
      <c r="F1723" t="s">
        <v>1309</v>
      </c>
      <c r="G1723" t="str">
        <f>"15-K07-03"</f>
        <v>15-K07-03</v>
      </c>
      <c r="H1723">
        <v>0.53959999999999997</v>
      </c>
      <c r="J1723" t="s">
        <v>59</v>
      </c>
      <c r="K1723" t="str">
        <f>"3F1"</f>
        <v>3F1</v>
      </c>
      <c r="L1723" t="s">
        <v>15</v>
      </c>
    </row>
    <row r="1724" spans="1:12" x14ac:dyDescent="0.25">
      <c r="A1724" t="str">
        <f>"2104110481"</f>
        <v>2104110481</v>
      </c>
      <c r="B1724" t="str">
        <f t="shared" si="95"/>
        <v>89301000</v>
      </c>
      <c r="C1724" s="1">
        <v>44297</v>
      </c>
      <c r="D1724" s="1">
        <v>44299</v>
      </c>
      <c r="E1724">
        <v>1</v>
      </c>
      <c r="F1724" t="s">
        <v>1261</v>
      </c>
      <c r="G1724" t="str">
        <f>"15-K06-04"</f>
        <v>15-K06-04</v>
      </c>
      <c r="H1724">
        <v>0.27479999999999999</v>
      </c>
      <c r="I1724" t="s">
        <v>1279</v>
      </c>
      <c r="J1724" t="s">
        <v>59</v>
      </c>
      <c r="K1724" t="str">
        <f t="shared" ref="K1724:K1731" si="96">"3F4"</f>
        <v>3F4</v>
      </c>
      <c r="L1724" t="s">
        <v>15</v>
      </c>
    </row>
    <row r="1725" spans="1:12" x14ac:dyDescent="0.25">
      <c r="A1725" t="str">
        <f>"2104120073"</f>
        <v>2104120073</v>
      </c>
      <c r="B1725" t="str">
        <f t="shared" si="95"/>
        <v>89301000</v>
      </c>
      <c r="C1725" s="1">
        <v>44298</v>
      </c>
      <c r="D1725" s="1">
        <v>44305</v>
      </c>
      <c r="E1725">
        <v>1</v>
      </c>
      <c r="F1725" t="s">
        <v>1338</v>
      </c>
      <c r="G1725" t="str">
        <f>"15-K05-03"</f>
        <v>15-K05-03</v>
      </c>
      <c r="H1725">
        <v>0.62380000000000002</v>
      </c>
      <c r="J1725" t="s">
        <v>1212</v>
      </c>
      <c r="K1725" t="str">
        <f t="shared" si="96"/>
        <v>3F4</v>
      </c>
      <c r="L1725" t="s">
        <v>15</v>
      </c>
    </row>
    <row r="1726" spans="1:12" x14ac:dyDescent="0.25">
      <c r="A1726" t="str">
        <f>"2104120513"</f>
        <v>2104120513</v>
      </c>
      <c r="B1726" t="str">
        <f t="shared" si="95"/>
        <v>89301000</v>
      </c>
      <c r="C1726" s="1">
        <v>44298</v>
      </c>
      <c r="D1726" s="1">
        <v>44300</v>
      </c>
      <c r="E1726">
        <v>1</v>
      </c>
      <c r="F1726" t="s">
        <v>1261</v>
      </c>
      <c r="G1726" t="str">
        <f t="shared" ref="G1726:G1731" si="97">"15-K06-04"</f>
        <v>15-K06-04</v>
      </c>
      <c r="H1726">
        <v>0.27479999999999999</v>
      </c>
      <c r="J1726" t="s">
        <v>59</v>
      </c>
      <c r="K1726" t="str">
        <f t="shared" si="96"/>
        <v>3F4</v>
      </c>
      <c r="L1726" t="s">
        <v>15</v>
      </c>
    </row>
    <row r="1727" spans="1:12" x14ac:dyDescent="0.25">
      <c r="A1727" t="str">
        <f>"2104120524"</f>
        <v>2104120524</v>
      </c>
      <c r="B1727" t="str">
        <f t="shared" si="95"/>
        <v>89301000</v>
      </c>
      <c r="C1727" s="1">
        <v>44298</v>
      </c>
      <c r="D1727" s="1">
        <v>44302</v>
      </c>
      <c r="E1727">
        <v>1</v>
      </c>
      <c r="F1727" t="s">
        <v>1261</v>
      </c>
      <c r="G1727" t="str">
        <f t="shared" si="97"/>
        <v>15-K06-04</v>
      </c>
      <c r="H1727">
        <v>0.27479999999999999</v>
      </c>
      <c r="J1727" t="s">
        <v>59</v>
      </c>
      <c r="K1727" t="str">
        <f t="shared" si="96"/>
        <v>3F4</v>
      </c>
      <c r="L1727" t="s">
        <v>15</v>
      </c>
    </row>
    <row r="1728" spans="1:12" x14ac:dyDescent="0.25">
      <c r="A1728" t="str">
        <f>"2104120535"</f>
        <v>2104120535</v>
      </c>
      <c r="B1728" t="str">
        <f t="shared" si="95"/>
        <v>89301000</v>
      </c>
      <c r="C1728" s="1">
        <v>44298</v>
      </c>
      <c r="D1728" s="1">
        <v>44301</v>
      </c>
      <c r="E1728">
        <v>1</v>
      </c>
      <c r="F1728" t="s">
        <v>1261</v>
      </c>
      <c r="G1728" t="str">
        <f t="shared" si="97"/>
        <v>15-K06-04</v>
      </c>
      <c r="H1728">
        <v>0.27479999999999999</v>
      </c>
      <c r="I1728" t="s">
        <v>1279</v>
      </c>
      <c r="J1728" t="s">
        <v>59</v>
      </c>
      <c r="K1728" t="str">
        <f t="shared" si="96"/>
        <v>3F4</v>
      </c>
      <c r="L1728" t="s">
        <v>15</v>
      </c>
    </row>
    <row r="1729" spans="1:12" x14ac:dyDescent="0.25">
      <c r="A1729" t="str">
        <f>"2104120546"</f>
        <v>2104120546</v>
      </c>
      <c r="B1729" t="str">
        <f t="shared" si="95"/>
        <v>89301000</v>
      </c>
      <c r="C1729" s="1">
        <v>44298</v>
      </c>
      <c r="D1729" s="1">
        <v>44300</v>
      </c>
      <c r="E1729">
        <v>1</v>
      </c>
      <c r="F1729" t="s">
        <v>1261</v>
      </c>
      <c r="G1729" t="str">
        <f t="shared" si="97"/>
        <v>15-K06-04</v>
      </c>
      <c r="H1729">
        <v>0.27479999999999999</v>
      </c>
      <c r="J1729" t="s">
        <v>59</v>
      </c>
      <c r="K1729" t="str">
        <f t="shared" si="96"/>
        <v>3F4</v>
      </c>
      <c r="L1729" t="s">
        <v>15</v>
      </c>
    </row>
    <row r="1730" spans="1:12" x14ac:dyDescent="0.25">
      <c r="A1730" t="str">
        <f>"2104120557"</f>
        <v>2104120557</v>
      </c>
      <c r="B1730" t="str">
        <f t="shared" si="95"/>
        <v>89301000</v>
      </c>
      <c r="C1730" s="1">
        <v>44298</v>
      </c>
      <c r="D1730" s="1">
        <v>44301</v>
      </c>
      <c r="E1730">
        <v>1</v>
      </c>
      <c r="F1730" t="s">
        <v>1261</v>
      </c>
      <c r="G1730" t="str">
        <f t="shared" si="97"/>
        <v>15-K06-04</v>
      </c>
      <c r="H1730">
        <v>0.27479999999999999</v>
      </c>
      <c r="J1730" t="s">
        <v>59</v>
      </c>
      <c r="K1730" t="str">
        <f t="shared" si="96"/>
        <v>3F4</v>
      </c>
      <c r="L1730" t="s">
        <v>15</v>
      </c>
    </row>
    <row r="1731" spans="1:12" x14ac:dyDescent="0.25">
      <c r="A1731" t="str">
        <f>"2104120568"</f>
        <v>2104120568</v>
      </c>
      <c r="B1731" t="str">
        <f t="shared" si="95"/>
        <v>89301000</v>
      </c>
      <c r="C1731" s="1">
        <v>44298</v>
      </c>
      <c r="D1731" s="1">
        <v>44303</v>
      </c>
      <c r="E1731">
        <v>1</v>
      </c>
      <c r="F1731" t="s">
        <v>1261</v>
      </c>
      <c r="G1731" t="str">
        <f t="shared" si="97"/>
        <v>15-K06-04</v>
      </c>
      <c r="H1731">
        <v>0.27479999999999999</v>
      </c>
      <c r="I1731" t="s">
        <v>1276</v>
      </c>
      <c r="J1731" t="s">
        <v>59</v>
      </c>
      <c r="K1731" t="str">
        <f t="shared" si="96"/>
        <v>3F4</v>
      </c>
      <c r="L1731" t="s">
        <v>15</v>
      </c>
    </row>
    <row r="1732" spans="1:12" x14ac:dyDescent="0.25">
      <c r="A1732" t="str">
        <f>"2104121734"</f>
        <v>2104121734</v>
      </c>
      <c r="B1732" t="str">
        <f t="shared" si="95"/>
        <v>89301000</v>
      </c>
      <c r="C1732" s="1">
        <v>44403</v>
      </c>
      <c r="D1732" s="1">
        <v>44405</v>
      </c>
      <c r="E1732">
        <v>1</v>
      </c>
      <c r="F1732" t="s">
        <v>966</v>
      </c>
      <c r="G1732" t="str">
        <f>"03-K02-03"</f>
        <v>03-K02-03</v>
      </c>
      <c r="H1732">
        <v>0.33960000000000001</v>
      </c>
      <c r="I1732" t="s">
        <v>168</v>
      </c>
      <c r="J1732" t="s">
        <v>14</v>
      </c>
      <c r="K1732" t="str">
        <f>"3F1"</f>
        <v>3F1</v>
      </c>
      <c r="L1732" t="s">
        <v>15</v>
      </c>
    </row>
    <row r="1733" spans="1:12" x14ac:dyDescent="0.25">
      <c r="A1733" t="str">
        <f>"2104130116"</f>
        <v>2104130116</v>
      </c>
      <c r="B1733" t="str">
        <f t="shared" si="95"/>
        <v>89301000</v>
      </c>
      <c r="C1733" s="1">
        <v>44299</v>
      </c>
      <c r="D1733" s="1">
        <v>44302</v>
      </c>
      <c r="E1733">
        <v>1</v>
      </c>
      <c r="F1733" t="s">
        <v>1261</v>
      </c>
      <c r="G1733" t="str">
        <f>"15-K06-04"</f>
        <v>15-K06-04</v>
      </c>
      <c r="H1733">
        <v>0.27479999999999999</v>
      </c>
      <c r="J1733" t="s">
        <v>59</v>
      </c>
      <c r="K1733" t="str">
        <f>"3F4"</f>
        <v>3F4</v>
      </c>
      <c r="L1733" t="s">
        <v>15</v>
      </c>
    </row>
    <row r="1734" spans="1:12" x14ac:dyDescent="0.25">
      <c r="A1734" t="str">
        <f>"2104130468"</f>
        <v>2104130468</v>
      </c>
      <c r="B1734" t="str">
        <f t="shared" si="95"/>
        <v>89301000</v>
      </c>
      <c r="C1734" s="1">
        <v>44299</v>
      </c>
      <c r="D1734" s="1">
        <v>44365</v>
      </c>
      <c r="E1734">
        <v>1</v>
      </c>
      <c r="F1734" t="s">
        <v>1295</v>
      </c>
      <c r="G1734" t="str">
        <f>"15-M01-05"</f>
        <v>15-M01-05</v>
      </c>
      <c r="H1734">
        <v>16.0642</v>
      </c>
      <c r="I1734" t="s">
        <v>1339</v>
      </c>
      <c r="J1734" t="s">
        <v>1212</v>
      </c>
      <c r="K1734" t="str">
        <f>"3F4"</f>
        <v>3F4</v>
      </c>
      <c r="L1734" t="s">
        <v>15</v>
      </c>
    </row>
    <row r="1735" spans="1:12" x14ac:dyDescent="0.25">
      <c r="A1735" t="str">
        <f>"2104130468"</f>
        <v>2104130468</v>
      </c>
      <c r="B1735" t="str">
        <f t="shared" si="95"/>
        <v>89301000</v>
      </c>
      <c r="C1735" s="1">
        <v>44382</v>
      </c>
      <c r="D1735" s="1">
        <v>44386</v>
      </c>
      <c r="E1735">
        <v>1</v>
      </c>
      <c r="F1735" t="s">
        <v>151</v>
      </c>
      <c r="G1735" t="str">
        <f>"06-I16-05"</f>
        <v>06-I16-05</v>
      </c>
      <c r="H1735">
        <v>0.55369999999999997</v>
      </c>
      <c r="I1735" t="s">
        <v>1340</v>
      </c>
      <c r="J1735" t="s">
        <v>24</v>
      </c>
      <c r="K1735" t="str">
        <f>"3F1"</f>
        <v>3F1</v>
      </c>
      <c r="L1735" t="s">
        <v>15</v>
      </c>
    </row>
    <row r="1736" spans="1:12" x14ac:dyDescent="0.25">
      <c r="A1736" t="str">
        <f>"2104130468"</f>
        <v>2104130468</v>
      </c>
      <c r="B1736" t="str">
        <f t="shared" si="95"/>
        <v>89301000</v>
      </c>
      <c r="C1736" s="1">
        <v>44505</v>
      </c>
      <c r="D1736" s="1">
        <v>44509</v>
      </c>
      <c r="E1736">
        <v>6</v>
      </c>
      <c r="F1736" t="s">
        <v>1310</v>
      </c>
      <c r="G1736" t="str">
        <f>"04-K03-03"</f>
        <v>04-K03-03</v>
      </c>
      <c r="H1736">
        <v>0.53180000000000005</v>
      </c>
      <c r="I1736" t="s">
        <v>168</v>
      </c>
      <c r="J1736" t="s">
        <v>14</v>
      </c>
      <c r="K1736" t="str">
        <f>"3T1"</f>
        <v>3T1</v>
      </c>
      <c r="L1736" t="s">
        <v>15</v>
      </c>
    </row>
    <row r="1737" spans="1:12" x14ac:dyDescent="0.25">
      <c r="A1737" t="str">
        <f>"2104140489"</f>
        <v>2104140489</v>
      </c>
      <c r="B1737" t="str">
        <f t="shared" si="95"/>
        <v>89301000</v>
      </c>
      <c r="C1737" s="1">
        <v>44300</v>
      </c>
      <c r="D1737" s="1">
        <v>44303</v>
      </c>
      <c r="E1737">
        <v>1</v>
      </c>
      <c r="F1737" t="s">
        <v>1261</v>
      </c>
      <c r="G1737" t="str">
        <f t="shared" ref="G1737:G1742" si="98">"15-K06-04"</f>
        <v>15-K06-04</v>
      </c>
      <c r="H1737">
        <v>0.27479999999999999</v>
      </c>
      <c r="J1737" t="s">
        <v>59</v>
      </c>
      <c r="K1737" t="str">
        <f t="shared" ref="K1737:K1742" si="99">"3F4"</f>
        <v>3F4</v>
      </c>
      <c r="L1737" t="s">
        <v>15</v>
      </c>
    </row>
    <row r="1738" spans="1:12" x14ac:dyDescent="0.25">
      <c r="A1738" t="str">
        <f>"2104150708"</f>
        <v>2104150708</v>
      </c>
      <c r="B1738" t="str">
        <f t="shared" si="95"/>
        <v>89301000</v>
      </c>
      <c r="C1738" s="1">
        <v>44301</v>
      </c>
      <c r="D1738" s="1">
        <v>44304</v>
      </c>
      <c r="E1738">
        <v>1</v>
      </c>
      <c r="F1738" t="s">
        <v>1261</v>
      </c>
      <c r="G1738" t="str">
        <f t="shared" si="98"/>
        <v>15-K06-04</v>
      </c>
      <c r="H1738">
        <v>0.27479999999999999</v>
      </c>
      <c r="J1738" t="s">
        <v>59</v>
      </c>
      <c r="K1738" t="str">
        <f t="shared" si="99"/>
        <v>3F4</v>
      </c>
      <c r="L1738" t="s">
        <v>15</v>
      </c>
    </row>
    <row r="1739" spans="1:12" x14ac:dyDescent="0.25">
      <c r="A1739" t="str">
        <f>"2104150730"</f>
        <v>2104150730</v>
      </c>
      <c r="B1739" t="str">
        <f t="shared" si="95"/>
        <v>89301000</v>
      </c>
      <c r="C1739" s="1">
        <v>44301</v>
      </c>
      <c r="D1739" s="1">
        <v>44303</v>
      </c>
      <c r="E1739">
        <v>1</v>
      </c>
      <c r="F1739" t="s">
        <v>1261</v>
      </c>
      <c r="G1739" t="str">
        <f t="shared" si="98"/>
        <v>15-K06-04</v>
      </c>
      <c r="H1739">
        <v>0.27479999999999999</v>
      </c>
      <c r="J1739" t="s">
        <v>59</v>
      </c>
      <c r="K1739" t="str">
        <f t="shared" si="99"/>
        <v>3F4</v>
      </c>
      <c r="L1739" t="s">
        <v>15</v>
      </c>
    </row>
    <row r="1740" spans="1:12" x14ac:dyDescent="0.25">
      <c r="A1740" t="str">
        <f>"2104160641"</f>
        <v>2104160641</v>
      </c>
      <c r="B1740" t="str">
        <f t="shared" si="95"/>
        <v>89301000</v>
      </c>
      <c r="C1740" s="1">
        <v>44302</v>
      </c>
      <c r="D1740" s="1">
        <v>44305</v>
      </c>
      <c r="E1740">
        <v>1</v>
      </c>
      <c r="F1740" t="s">
        <v>1261</v>
      </c>
      <c r="G1740" t="str">
        <f t="shared" si="98"/>
        <v>15-K06-04</v>
      </c>
      <c r="H1740">
        <v>0.27479999999999999</v>
      </c>
      <c r="J1740" t="s">
        <v>59</v>
      </c>
      <c r="K1740" t="str">
        <f t="shared" si="99"/>
        <v>3F4</v>
      </c>
      <c r="L1740" t="s">
        <v>15</v>
      </c>
    </row>
    <row r="1741" spans="1:12" x14ac:dyDescent="0.25">
      <c r="A1741" t="str">
        <f>"2104160663"</f>
        <v>2104160663</v>
      </c>
      <c r="B1741" t="str">
        <f t="shared" si="95"/>
        <v>89301000</v>
      </c>
      <c r="C1741" s="1">
        <v>44302</v>
      </c>
      <c r="D1741" s="1">
        <v>44305</v>
      </c>
      <c r="E1741">
        <v>1</v>
      </c>
      <c r="F1741" t="s">
        <v>1261</v>
      </c>
      <c r="G1741" t="str">
        <f t="shared" si="98"/>
        <v>15-K06-04</v>
      </c>
      <c r="H1741">
        <v>0.27479999999999999</v>
      </c>
      <c r="I1741" t="s">
        <v>1341</v>
      </c>
      <c r="J1741" t="s">
        <v>59</v>
      </c>
      <c r="K1741" t="str">
        <f t="shared" si="99"/>
        <v>3F4</v>
      </c>
      <c r="L1741" t="s">
        <v>15</v>
      </c>
    </row>
    <row r="1742" spans="1:12" x14ac:dyDescent="0.25">
      <c r="A1742" t="str">
        <f>"2104160685"</f>
        <v>2104160685</v>
      </c>
      <c r="B1742" t="str">
        <f t="shared" si="95"/>
        <v>89301000</v>
      </c>
      <c r="C1742" s="1">
        <v>44302</v>
      </c>
      <c r="D1742" s="1">
        <v>44306</v>
      </c>
      <c r="E1742">
        <v>1</v>
      </c>
      <c r="F1742" t="s">
        <v>1261</v>
      </c>
      <c r="G1742" t="str">
        <f t="shared" si="98"/>
        <v>15-K06-04</v>
      </c>
      <c r="H1742">
        <v>0.27479999999999999</v>
      </c>
      <c r="J1742" t="s">
        <v>59</v>
      </c>
      <c r="K1742" t="str">
        <f t="shared" si="99"/>
        <v>3F4</v>
      </c>
      <c r="L1742" t="s">
        <v>15</v>
      </c>
    </row>
    <row r="1743" spans="1:12" x14ac:dyDescent="0.25">
      <c r="A1743" t="str">
        <f>"2104160960"</f>
        <v>2104160960</v>
      </c>
      <c r="B1743" t="str">
        <f t="shared" si="95"/>
        <v>89301000</v>
      </c>
      <c r="C1743" s="1">
        <v>44348</v>
      </c>
      <c r="D1743" s="1">
        <v>44351</v>
      </c>
      <c r="E1743">
        <v>1</v>
      </c>
      <c r="F1743" t="s">
        <v>1342</v>
      </c>
      <c r="G1743" t="str">
        <f>"01-K16-02"</f>
        <v>01-K16-02</v>
      </c>
      <c r="H1743">
        <v>1.0797000000000001</v>
      </c>
      <c r="I1743" t="s">
        <v>381</v>
      </c>
      <c r="J1743" t="s">
        <v>14</v>
      </c>
      <c r="K1743" t="str">
        <f>"3F1"</f>
        <v>3F1</v>
      </c>
      <c r="L1743" t="s">
        <v>15</v>
      </c>
    </row>
    <row r="1744" spans="1:12" x14ac:dyDescent="0.25">
      <c r="A1744" t="str">
        <f>"2104170420"</f>
        <v>2104170420</v>
      </c>
      <c r="B1744" t="str">
        <f t="shared" si="95"/>
        <v>89301000</v>
      </c>
      <c r="C1744" s="1">
        <v>44303</v>
      </c>
      <c r="D1744" s="1">
        <v>44305</v>
      </c>
      <c r="E1744">
        <v>1</v>
      </c>
      <c r="F1744" t="s">
        <v>1261</v>
      </c>
      <c r="G1744" t="str">
        <f>"15-K06-04"</f>
        <v>15-K06-04</v>
      </c>
      <c r="H1744">
        <v>0.27479999999999999</v>
      </c>
      <c r="J1744" t="s">
        <v>59</v>
      </c>
      <c r="K1744" t="str">
        <f>"3F4"</f>
        <v>3F4</v>
      </c>
      <c r="L1744" t="s">
        <v>15</v>
      </c>
    </row>
    <row r="1745" spans="1:12" x14ac:dyDescent="0.25">
      <c r="A1745" t="str">
        <f>"2104180595"</f>
        <v>2104180595</v>
      </c>
      <c r="B1745" t="str">
        <f t="shared" si="95"/>
        <v>89301000</v>
      </c>
      <c r="C1745" s="1">
        <v>44492</v>
      </c>
      <c r="D1745" s="1">
        <v>44495</v>
      </c>
      <c r="E1745">
        <v>1</v>
      </c>
      <c r="F1745" t="s">
        <v>841</v>
      </c>
      <c r="G1745" t="str">
        <f>"04-K03-03"</f>
        <v>04-K03-03</v>
      </c>
      <c r="H1745">
        <v>0.53180000000000005</v>
      </c>
      <c r="I1745" t="s">
        <v>168</v>
      </c>
      <c r="J1745" t="s">
        <v>14</v>
      </c>
      <c r="K1745" t="str">
        <f>"3F1"</f>
        <v>3F1</v>
      </c>
      <c r="L1745" t="s">
        <v>15</v>
      </c>
    </row>
    <row r="1746" spans="1:12" x14ac:dyDescent="0.25">
      <c r="A1746" t="str">
        <f>"2104190495"</f>
        <v>2104190495</v>
      </c>
      <c r="B1746" t="str">
        <f t="shared" si="95"/>
        <v>89301000</v>
      </c>
      <c r="C1746" s="1">
        <v>44305</v>
      </c>
      <c r="D1746" s="1">
        <v>44308</v>
      </c>
      <c r="E1746">
        <v>1</v>
      </c>
      <c r="F1746" t="s">
        <v>1261</v>
      </c>
      <c r="G1746" t="str">
        <f>"15-K06-04"</f>
        <v>15-K06-04</v>
      </c>
      <c r="H1746">
        <v>0.27479999999999999</v>
      </c>
      <c r="J1746" t="s">
        <v>59</v>
      </c>
      <c r="K1746" t="str">
        <f>"3F4"</f>
        <v>3F4</v>
      </c>
      <c r="L1746" t="s">
        <v>15</v>
      </c>
    </row>
    <row r="1747" spans="1:12" x14ac:dyDescent="0.25">
      <c r="A1747" t="str">
        <f>"2104190506"</f>
        <v>2104190506</v>
      </c>
      <c r="B1747" t="str">
        <f t="shared" si="95"/>
        <v>89301000</v>
      </c>
      <c r="C1747" s="1">
        <v>44305</v>
      </c>
      <c r="D1747" s="1">
        <v>44308</v>
      </c>
      <c r="E1747">
        <v>1</v>
      </c>
      <c r="F1747" t="s">
        <v>1261</v>
      </c>
      <c r="G1747" t="str">
        <f>"15-K06-04"</f>
        <v>15-K06-04</v>
      </c>
      <c r="H1747">
        <v>0.27479999999999999</v>
      </c>
      <c r="I1747" t="s">
        <v>1264</v>
      </c>
      <c r="J1747" t="s">
        <v>59</v>
      </c>
      <c r="K1747" t="str">
        <f>"3F4"</f>
        <v>3F4</v>
      </c>
      <c r="L1747" t="s">
        <v>15</v>
      </c>
    </row>
    <row r="1748" spans="1:12" x14ac:dyDescent="0.25">
      <c r="A1748" t="str">
        <f>"2104190506"</f>
        <v>2104190506</v>
      </c>
      <c r="B1748" t="str">
        <f t="shared" si="95"/>
        <v>89301000</v>
      </c>
      <c r="C1748" s="1">
        <v>44360</v>
      </c>
      <c r="D1748" s="1">
        <v>44362</v>
      </c>
      <c r="E1748">
        <v>1</v>
      </c>
      <c r="F1748" t="s">
        <v>778</v>
      </c>
      <c r="G1748" t="str">
        <f>"06-K22-03"</f>
        <v>06-K22-03</v>
      </c>
      <c r="H1748">
        <v>0.3165</v>
      </c>
      <c r="J1748" t="s">
        <v>14</v>
      </c>
      <c r="K1748" t="str">
        <f>"3F1"</f>
        <v>3F1</v>
      </c>
      <c r="L1748" t="s">
        <v>15</v>
      </c>
    </row>
    <row r="1749" spans="1:12" x14ac:dyDescent="0.25">
      <c r="A1749" t="str">
        <f>"2104200725"</f>
        <v>2104200725</v>
      </c>
      <c r="B1749" t="str">
        <f t="shared" si="95"/>
        <v>89301000</v>
      </c>
      <c r="C1749" s="1">
        <v>44306</v>
      </c>
      <c r="D1749" s="1">
        <v>44309</v>
      </c>
      <c r="E1749">
        <v>1</v>
      </c>
      <c r="F1749" t="s">
        <v>1261</v>
      </c>
      <c r="G1749" t="str">
        <f>"15-K06-04"</f>
        <v>15-K06-04</v>
      </c>
      <c r="H1749">
        <v>0.27479999999999999</v>
      </c>
      <c r="J1749" t="s">
        <v>59</v>
      </c>
      <c r="K1749" t="str">
        <f>"3F4"</f>
        <v>3F4</v>
      </c>
      <c r="L1749" t="s">
        <v>15</v>
      </c>
    </row>
    <row r="1750" spans="1:12" x14ac:dyDescent="0.25">
      <c r="A1750" t="str">
        <f>"2104200857"</f>
        <v>2104200857</v>
      </c>
      <c r="B1750" t="str">
        <f t="shared" si="95"/>
        <v>89301000</v>
      </c>
      <c r="C1750" s="1">
        <v>44306</v>
      </c>
      <c r="D1750" s="1">
        <v>44310</v>
      </c>
      <c r="E1750">
        <v>1</v>
      </c>
      <c r="F1750" t="s">
        <v>1261</v>
      </c>
      <c r="G1750" t="str">
        <f>"15-K06-04"</f>
        <v>15-K06-04</v>
      </c>
      <c r="H1750">
        <v>0.27479999999999999</v>
      </c>
      <c r="I1750" t="s">
        <v>1343</v>
      </c>
      <c r="J1750" t="s">
        <v>59</v>
      </c>
      <c r="K1750" t="str">
        <f>"3F4"</f>
        <v>3F4</v>
      </c>
      <c r="L1750" t="s">
        <v>15</v>
      </c>
    </row>
    <row r="1751" spans="1:12" x14ac:dyDescent="0.25">
      <c r="A1751" t="str">
        <f>"2104200868"</f>
        <v>2104200868</v>
      </c>
      <c r="B1751" t="str">
        <f t="shared" si="95"/>
        <v>89301000</v>
      </c>
      <c r="C1751" s="1">
        <v>44306</v>
      </c>
      <c r="D1751" s="1">
        <v>44307</v>
      </c>
      <c r="E1751">
        <v>1</v>
      </c>
      <c r="F1751" t="s">
        <v>1261</v>
      </c>
      <c r="G1751" t="str">
        <f>"15-K06-04"</f>
        <v>15-K06-04</v>
      </c>
      <c r="H1751">
        <v>0.27479999999999999</v>
      </c>
      <c r="J1751" t="s">
        <v>59</v>
      </c>
      <c r="K1751" t="str">
        <f>"3F4"</f>
        <v>3F4</v>
      </c>
      <c r="L1751" t="s">
        <v>15</v>
      </c>
    </row>
    <row r="1752" spans="1:12" x14ac:dyDescent="0.25">
      <c r="A1752" t="str">
        <f>"2104210119"</f>
        <v>2104210119</v>
      </c>
      <c r="B1752" t="str">
        <f t="shared" si="95"/>
        <v>89301000</v>
      </c>
      <c r="C1752" s="1">
        <v>44307</v>
      </c>
      <c r="D1752" s="1">
        <v>44311</v>
      </c>
      <c r="E1752">
        <v>1</v>
      </c>
      <c r="F1752" t="s">
        <v>1261</v>
      </c>
      <c r="G1752" t="str">
        <f>"15-K06-04"</f>
        <v>15-K06-04</v>
      </c>
      <c r="H1752">
        <v>0.27479999999999999</v>
      </c>
      <c r="I1752" t="s">
        <v>1344</v>
      </c>
      <c r="J1752" t="s">
        <v>59</v>
      </c>
      <c r="K1752" t="str">
        <f>"3F4"</f>
        <v>3F4</v>
      </c>
      <c r="L1752" t="s">
        <v>15</v>
      </c>
    </row>
    <row r="1753" spans="1:12" x14ac:dyDescent="0.25">
      <c r="A1753" t="str">
        <f>"2104210680"</f>
        <v>2104210680</v>
      </c>
      <c r="B1753" t="str">
        <f t="shared" si="95"/>
        <v>89301000</v>
      </c>
      <c r="C1753" s="1">
        <v>44307</v>
      </c>
      <c r="D1753" s="1">
        <v>44308</v>
      </c>
      <c r="E1753">
        <v>1</v>
      </c>
      <c r="F1753" t="s">
        <v>1261</v>
      </c>
      <c r="G1753" t="str">
        <f>"15-K06-04"</f>
        <v>15-K06-04</v>
      </c>
      <c r="H1753">
        <v>0.27479999999999999</v>
      </c>
      <c r="J1753" t="s">
        <v>59</v>
      </c>
      <c r="K1753" t="str">
        <f>"3F4"</f>
        <v>3F4</v>
      </c>
      <c r="L1753" t="s">
        <v>15</v>
      </c>
    </row>
    <row r="1754" spans="1:12" x14ac:dyDescent="0.25">
      <c r="A1754" t="str">
        <f>"2104210691"</f>
        <v>2104210691</v>
      </c>
      <c r="B1754" t="str">
        <f t="shared" si="95"/>
        <v>89301000</v>
      </c>
      <c r="C1754" s="1">
        <v>44494</v>
      </c>
      <c r="D1754" s="1">
        <v>44501</v>
      </c>
      <c r="E1754">
        <v>1</v>
      </c>
      <c r="F1754" t="s">
        <v>982</v>
      </c>
      <c r="G1754" t="str">
        <f>"04-K02-04"</f>
        <v>04-K02-04</v>
      </c>
      <c r="H1754">
        <v>0.82469999999999999</v>
      </c>
      <c r="I1754" t="s">
        <v>168</v>
      </c>
      <c r="J1754" t="s">
        <v>14</v>
      </c>
      <c r="K1754" t="str">
        <f>"3F1"</f>
        <v>3F1</v>
      </c>
      <c r="L1754" t="s">
        <v>15</v>
      </c>
    </row>
    <row r="1755" spans="1:12" x14ac:dyDescent="0.25">
      <c r="A1755" t="str">
        <f>"2104210691"</f>
        <v>2104210691</v>
      </c>
      <c r="B1755" t="str">
        <f t="shared" si="95"/>
        <v>89301000</v>
      </c>
      <c r="C1755" s="1">
        <v>44393</v>
      </c>
      <c r="D1755" s="1">
        <v>44397</v>
      </c>
      <c r="E1755">
        <v>1</v>
      </c>
      <c r="F1755" t="s">
        <v>46</v>
      </c>
      <c r="G1755" t="str">
        <f>"06-K02-03"</f>
        <v>06-K02-03</v>
      </c>
      <c r="H1755">
        <v>0.47960000000000003</v>
      </c>
      <c r="I1755" t="s">
        <v>354</v>
      </c>
      <c r="J1755" t="s">
        <v>14</v>
      </c>
      <c r="K1755" t="str">
        <f>"3F1"</f>
        <v>3F1</v>
      </c>
      <c r="L1755" t="s">
        <v>15</v>
      </c>
    </row>
    <row r="1756" spans="1:12" x14ac:dyDescent="0.25">
      <c r="A1756" t="str">
        <f>"2104210691"</f>
        <v>2104210691</v>
      </c>
      <c r="B1756" t="str">
        <f t="shared" si="95"/>
        <v>89301000</v>
      </c>
      <c r="C1756" s="1">
        <v>44307</v>
      </c>
      <c r="D1756" s="1">
        <v>44309</v>
      </c>
      <c r="E1756">
        <v>1</v>
      </c>
      <c r="F1756" t="s">
        <v>1261</v>
      </c>
      <c r="G1756" t="str">
        <f>"15-K06-04"</f>
        <v>15-K06-04</v>
      </c>
      <c r="H1756">
        <v>0.27479999999999999</v>
      </c>
      <c r="I1756" t="s">
        <v>1345</v>
      </c>
      <c r="J1756" t="s">
        <v>59</v>
      </c>
      <c r="K1756" t="str">
        <f>"3F4"</f>
        <v>3F4</v>
      </c>
      <c r="L1756" t="s">
        <v>15</v>
      </c>
    </row>
    <row r="1757" spans="1:12" x14ac:dyDescent="0.25">
      <c r="A1757" t="str">
        <f>"2104210713"</f>
        <v>2104210713</v>
      </c>
      <c r="B1757" t="str">
        <f t="shared" si="95"/>
        <v>89301000</v>
      </c>
      <c r="C1757" s="1">
        <v>44307</v>
      </c>
      <c r="D1757" s="1">
        <v>44310</v>
      </c>
      <c r="E1757">
        <v>1</v>
      </c>
      <c r="F1757" t="s">
        <v>1261</v>
      </c>
      <c r="G1757" t="str">
        <f>"15-K06-04"</f>
        <v>15-K06-04</v>
      </c>
      <c r="H1757">
        <v>0.27479999999999999</v>
      </c>
      <c r="I1757" t="s">
        <v>1304</v>
      </c>
      <c r="J1757" t="s">
        <v>59</v>
      </c>
      <c r="K1757" t="str">
        <f>"3F4"</f>
        <v>3F4</v>
      </c>
      <c r="L1757" t="s">
        <v>15</v>
      </c>
    </row>
    <row r="1758" spans="1:12" x14ac:dyDescent="0.25">
      <c r="A1758" t="str">
        <f>"2104220646"</f>
        <v>2104220646</v>
      </c>
      <c r="B1758" t="str">
        <f t="shared" si="95"/>
        <v>89301000</v>
      </c>
      <c r="C1758" s="1">
        <v>44308</v>
      </c>
      <c r="D1758" s="1">
        <v>44311</v>
      </c>
      <c r="E1758">
        <v>1</v>
      </c>
      <c r="F1758" t="s">
        <v>1261</v>
      </c>
      <c r="G1758" t="str">
        <f>"15-K06-04"</f>
        <v>15-K06-04</v>
      </c>
      <c r="H1758">
        <v>0.27479999999999999</v>
      </c>
      <c r="I1758" t="s">
        <v>1346</v>
      </c>
      <c r="J1758" t="s">
        <v>59</v>
      </c>
      <c r="K1758" t="str">
        <f>"3F4"</f>
        <v>3F4</v>
      </c>
      <c r="L1758" t="s">
        <v>15</v>
      </c>
    </row>
    <row r="1759" spans="1:12" x14ac:dyDescent="0.25">
      <c r="A1759" t="str">
        <f>"2104220646"</f>
        <v>2104220646</v>
      </c>
      <c r="B1759" t="str">
        <f t="shared" si="95"/>
        <v>89301000</v>
      </c>
      <c r="C1759" s="1">
        <v>44507</v>
      </c>
      <c r="D1759" s="1">
        <v>44512</v>
      </c>
      <c r="E1759">
        <v>1</v>
      </c>
      <c r="F1759" t="s">
        <v>985</v>
      </c>
      <c r="G1759" t="str">
        <f>"04-K02-04"</f>
        <v>04-K02-04</v>
      </c>
      <c r="H1759">
        <v>0.82469999999999999</v>
      </c>
      <c r="I1759" t="s">
        <v>1347</v>
      </c>
      <c r="J1759" t="s">
        <v>14</v>
      </c>
      <c r="K1759" t="str">
        <f>"3F1"</f>
        <v>3F1</v>
      </c>
      <c r="L1759" t="s">
        <v>15</v>
      </c>
    </row>
    <row r="1760" spans="1:12" x14ac:dyDescent="0.25">
      <c r="A1760" t="str">
        <f>"2104230084"</f>
        <v>2104230084</v>
      </c>
      <c r="B1760" t="str">
        <f t="shared" si="95"/>
        <v>89301000</v>
      </c>
      <c r="C1760" s="1">
        <v>44309</v>
      </c>
      <c r="D1760" s="1">
        <v>44324</v>
      </c>
      <c r="E1760">
        <v>1</v>
      </c>
      <c r="F1760" t="s">
        <v>1221</v>
      </c>
      <c r="G1760" t="str">
        <f>"15-M01-12"</f>
        <v>15-M01-12</v>
      </c>
      <c r="H1760">
        <v>4.8940999999999999</v>
      </c>
      <c r="I1760" t="s">
        <v>1348</v>
      </c>
      <c r="J1760" t="s">
        <v>1212</v>
      </c>
      <c r="K1760" t="str">
        <f t="shared" ref="K1760:K1772" si="100">"3F4"</f>
        <v>3F4</v>
      </c>
      <c r="L1760" t="s">
        <v>15</v>
      </c>
    </row>
    <row r="1761" spans="1:12" x14ac:dyDescent="0.25">
      <c r="A1761" t="str">
        <f>"2104240303"</f>
        <v>2104240303</v>
      </c>
      <c r="B1761" t="str">
        <f t="shared" si="95"/>
        <v>89301000</v>
      </c>
      <c r="C1761" s="1">
        <v>44310</v>
      </c>
      <c r="D1761" s="1">
        <v>44336</v>
      </c>
      <c r="E1761">
        <v>1</v>
      </c>
      <c r="F1761" t="s">
        <v>1221</v>
      </c>
      <c r="G1761" t="str">
        <f>"15-K04-01"</f>
        <v>15-K04-01</v>
      </c>
      <c r="H1761">
        <v>3.3435000000000001</v>
      </c>
      <c r="I1761" t="s">
        <v>1349</v>
      </c>
      <c r="J1761" t="s">
        <v>1212</v>
      </c>
      <c r="K1761" t="str">
        <f t="shared" si="100"/>
        <v>3F4</v>
      </c>
      <c r="L1761" t="s">
        <v>15</v>
      </c>
    </row>
    <row r="1762" spans="1:12" x14ac:dyDescent="0.25">
      <c r="A1762" t="str">
        <f>"2104240325"</f>
        <v>2104240325</v>
      </c>
      <c r="B1762" t="str">
        <f t="shared" si="95"/>
        <v>89301000</v>
      </c>
      <c r="C1762" s="1">
        <v>44310</v>
      </c>
      <c r="D1762" s="1">
        <v>44341</v>
      </c>
      <c r="E1762">
        <v>1</v>
      </c>
      <c r="F1762" t="s">
        <v>1338</v>
      </c>
      <c r="G1762" t="str">
        <f>"15-K04-01"</f>
        <v>15-K04-01</v>
      </c>
      <c r="H1762">
        <v>3.3788999999999998</v>
      </c>
      <c r="I1762" t="s">
        <v>1350</v>
      </c>
      <c r="J1762" t="s">
        <v>1212</v>
      </c>
      <c r="K1762" t="str">
        <f t="shared" si="100"/>
        <v>3F4</v>
      </c>
      <c r="L1762" t="s">
        <v>15</v>
      </c>
    </row>
    <row r="1763" spans="1:12" x14ac:dyDescent="0.25">
      <c r="A1763" t="str">
        <f>"2104240336"</f>
        <v>2104240336</v>
      </c>
      <c r="B1763" t="str">
        <f t="shared" si="95"/>
        <v>89301000</v>
      </c>
      <c r="C1763" s="1">
        <v>44310</v>
      </c>
      <c r="D1763" s="1">
        <v>44316</v>
      </c>
      <c r="E1763">
        <v>1</v>
      </c>
      <c r="F1763" t="s">
        <v>1261</v>
      </c>
      <c r="G1763" t="str">
        <f>"15-K06-02"</f>
        <v>15-K06-02</v>
      </c>
      <c r="H1763">
        <v>0.59770000000000001</v>
      </c>
      <c r="I1763" t="s">
        <v>1351</v>
      </c>
      <c r="J1763" t="s">
        <v>59</v>
      </c>
      <c r="K1763" t="str">
        <f t="shared" si="100"/>
        <v>3F4</v>
      </c>
      <c r="L1763" t="s">
        <v>15</v>
      </c>
    </row>
    <row r="1764" spans="1:12" x14ac:dyDescent="0.25">
      <c r="A1764" t="str">
        <f>"2104240336"</f>
        <v>2104240336</v>
      </c>
      <c r="B1764" t="str">
        <f t="shared" si="95"/>
        <v>89301000</v>
      </c>
      <c r="C1764" s="1">
        <v>44319</v>
      </c>
      <c r="D1764" s="1">
        <v>44321</v>
      </c>
      <c r="E1764">
        <v>1</v>
      </c>
      <c r="F1764" t="s">
        <v>1258</v>
      </c>
      <c r="G1764" t="str">
        <f>"15-K07-02"</f>
        <v>15-K07-02</v>
      </c>
      <c r="H1764">
        <v>1.0072000000000001</v>
      </c>
      <c r="I1764" t="s">
        <v>1221</v>
      </c>
      <c r="J1764" t="s">
        <v>59</v>
      </c>
      <c r="K1764" t="str">
        <f t="shared" si="100"/>
        <v>3F4</v>
      </c>
      <c r="L1764" t="s">
        <v>15</v>
      </c>
    </row>
    <row r="1765" spans="1:12" x14ac:dyDescent="0.25">
      <c r="A1765" t="str">
        <f>"2104260576"</f>
        <v>2104260576</v>
      </c>
      <c r="B1765" t="str">
        <f t="shared" si="95"/>
        <v>89301000</v>
      </c>
      <c r="C1765" s="1">
        <v>44312</v>
      </c>
      <c r="D1765" s="1">
        <v>44314</v>
      </c>
      <c r="E1765">
        <v>1</v>
      </c>
      <c r="F1765" t="s">
        <v>1261</v>
      </c>
      <c r="G1765" t="str">
        <f>"15-K06-04"</f>
        <v>15-K06-04</v>
      </c>
      <c r="H1765">
        <v>0.27479999999999999</v>
      </c>
      <c r="I1765" t="s">
        <v>1305</v>
      </c>
      <c r="J1765" t="s">
        <v>59</v>
      </c>
      <c r="K1765" t="str">
        <f t="shared" si="100"/>
        <v>3F4</v>
      </c>
      <c r="L1765" t="s">
        <v>15</v>
      </c>
    </row>
    <row r="1766" spans="1:12" x14ac:dyDescent="0.25">
      <c r="A1766" t="str">
        <f>"2104260598"</f>
        <v>2104260598</v>
      </c>
      <c r="B1766" t="str">
        <f t="shared" si="95"/>
        <v>89301000</v>
      </c>
      <c r="C1766" s="1">
        <v>44312</v>
      </c>
      <c r="D1766" s="1">
        <v>44329</v>
      </c>
      <c r="E1766">
        <v>1</v>
      </c>
      <c r="F1766" t="s">
        <v>1221</v>
      </c>
      <c r="G1766" t="str">
        <f>"15-K05-02"</f>
        <v>15-K05-02</v>
      </c>
      <c r="H1766">
        <v>1.2017</v>
      </c>
      <c r="I1766" t="s">
        <v>1352</v>
      </c>
      <c r="J1766" t="s">
        <v>1212</v>
      </c>
      <c r="K1766" t="str">
        <f t="shared" si="100"/>
        <v>3F4</v>
      </c>
      <c r="L1766" t="s">
        <v>15</v>
      </c>
    </row>
    <row r="1767" spans="1:12" x14ac:dyDescent="0.25">
      <c r="A1767" t="str">
        <f>"2104270630"</f>
        <v>2104270630</v>
      </c>
      <c r="B1767" t="str">
        <f t="shared" si="95"/>
        <v>89301000</v>
      </c>
      <c r="C1767" s="1">
        <v>44313</v>
      </c>
      <c r="D1767" s="1">
        <v>44316</v>
      </c>
      <c r="E1767">
        <v>1</v>
      </c>
      <c r="F1767" t="s">
        <v>1261</v>
      </c>
      <c r="G1767" t="str">
        <f t="shared" ref="G1767:G1772" si="101">"15-K06-04"</f>
        <v>15-K06-04</v>
      </c>
      <c r="H1767">
        <v>0.27479999999999999</v>
      </c>
      <c r="I1767" t="s">
        <v>1353</v>
      </c>
      <c r="J1767" t="s">
        <v>59</v>
      </c>
      <c r="K1767" t="str">
        <f t="shared" si="100"/>
        <v>3F4</v>
      </c>
      <c r="L1767" t="s">
        <v>15</v>
      </c>
    </row>
    <row r="1768" spans="1:12" x14ac:dyDescent="0.25">
      <c r="A1768" t="str">
        <f>"2104280046"</f>
        <v>2104280046</v>
      </c>
      <c r="B1768" t="str">
        <f t="shared" si="95"/>
        <v>89301000</v>
      </c>
      <c r="C1768" s="1">
        <v>44314</v>
      </c>
      <c r="D1768" s="1">
        <v>44317</v>
      </c>
      <c r="E1768">
        <v>1</v>
      </c>
      <c r="F1768" t="s">
        <v>1261</v>
      </c>
      <c r="G1768" t="str">
        <f t="shared" si="101"/>
        <v>15-K06-04</v>
      </c>
      <c r="H1768">
        <v>0.27479999999999999</v>
      </c>
      <c r="J1768" t="s">
        <v>59</v>
      </c>
      <c r="K1768" t="str">
        <f t="shared" si="100"/>
        <v>3F4</v>
      </c>
      <c r="L1768" t="s">
        <v>15</v>
      </c>
    </row>
    <row r="1769" spans="1:12" x14ac:dyDescent="0.25">
      <c r="A1769" t="str">
        <f>"2104280585"</f>
        <v>2104280585</v>
      </c>
      <c r="B1769" t="str">
        <f t="shared" si="95"/>
        <v>89301000</v>
      </c>
      <c r="C1769" s="1">
        <v>44314</v>
      </c>
      <c r="D1769" s="1">
        <v>44317</v>
      </c>
      <c r="E1769">
        <v>1</v>
      </c>
      <c r="F1769" t="s">
        <v>1261</v>
      </c>
      <c r="G1769" t="str">
        <f t="shared" si="101"/>
        <v>15-K06-04</v>
      </c>
      <c r="H1769">
        <v>0.27479999999999999</v>
      </c>
      <c r="J1769" t="s">
        <v>59</v>
      </c>
      <c r="K1769" t="str">
        <f t="shared" si="100"/>
        <v>3F4</v>
      </c>
      <c r="L1769" t="s">
        <v>15</v>
      </c>
    </row>
    <row r="1770" spans="1:12" x14ac:dyDescent="0.25">
      <c r="A1770" t="str">
        <f>"2104290089"</f>
        <v>2104290089</v>
      </c>
      <c r="B1770" t="str">
        <f t="shared" si="95"/>
        <v>89301000</v>
      </c>
      <c r="C1770" s="1">
        <v>44315</v>
      </c>
      <c r="D1770" s="1">
        <v>44319</v>
      </c>
      <c r="E1770">
        <v>1</v>
      </c>
      <c r="F1770" t="s">
        <v>1261</v>
      </c>
      <c r="G1770" t="str">
        <f t="shared" si="101"/>
        <v>15-K06-04</v>
      </c>
      <c r="H1770">
        <v>0.27479999999999999</v>
      </c>
      <c r="J1770" t="s">
        <v>59</v>
      </c>
      <c r="K1770" t="str">
        <f t="shared" si="100"/>
        <v>3F4</v>
      </c>
      <c r="L1770" t="s">
        <v>15</v>
      </c>
    </row>
    <row r="1771" spans="1:12" x14ac:dyDescent="0.25">
      <c r="A1771" t="str">
        <f>"2104290496"</f>
        <v>2104290496</v>
      </c>
      <c r="B1771" t="str">
        <f t="shared" si="95"/>
        <v>89301000</v>
      </c>
      <c r="C1771" s="1">
        <v>44315</v>
      </c>
      <c r="D1771" s="1">
        <v>44318</v>
      </c>
      <c r="E1771">
        <v>1</v>
      </c>
      <c r="F1771" t="s">
        <v>1261</v>
      </c>
      <c r="G1771" t="str">
        <f t="shared" si="101"/>
        <v>15-K06-04</v>
      </c>
      <c r="H1771">
        <v>0.27479999999999999</v>
      </c>
      <c r="J1771" t="s">
        <v>59</v>
      </c>
      <c r="K1771" t="str">
        <f t="shared" si="100"/>
        <v>3F4</v>
      </c>
      <c r="L1771" t="s">
        <v>15</v>
      </c>
    </row>
    <row r="1772" spans="1:12" x14ac:dyDescent="0.25">
      <c r="A1772" t="str">
        <f>"2104290507"</f>
        <v>2104290507</v>
      </c>
      <c r="B1772" t="str">
        <f t="shared" si="95"/>
        <v>89301000</v>
      </c>
      <c r="C1772" s="1">
        <v>44315</v>
      </c>
      <c r="D1772" s="1">
        <v>44318</v>
      </c>
      <c r="E1772">
        <v>1</v>
      </c>
      <c r="F1772" t="s">
        <v>1261</v>
      </c>
      <c r="G1772" t="str">
        <f t="shared" si="101"/>
        <v>15-K06-04</v>
      </c>
      <c r="H1772">
        <v>0.27479999999999999</v>
      </c>
      <c r="I1772" t="s">
        <v>1221</v>
      </c>
      <c r="J1772" t="s">
        <v>59</v>
      </c>
      <c r="K1772" t="str">
        <f t="shared" si="100"/>
        <v>3F4</v>
      </c>
      <c r="L1772" t="s">
        <v>15</v>
      </c>
    </row>
    <row r="1773" spans="1:12" x14ac:dyDescent="0.25">
      <c r="A1773" t="str">
        <f>"2104300693"</f>
        <v>2104300693</v>
      </c>
      <c r="B1773" t="str">
        <f t="shared" si="95"/>
        <v>89301000</v>
      </c>
      <c r="C1773" s="1">
        <v>44316</v>
      </c>
      <c r="D1773" s="1">
        <v>44318</v>
      </c>
      <c r="E1773">
        <v>5</v>
      </c>
      <c r="F1773" t="s">
        <v>1282</v>
      </c>
      <c r="G1773" t="str">
        <f>"15-M01-13"</f>
        <v>15-M01-13</v>
      </c>
      <c r="H1773">
        <v>1.8848</v>
      </c>
      <c r="I1773" t="s">
        <v>1354</v>
      </c>
      <c r="J1773" t="s">
        <v>1212</v>
      </c>
      <c r="K1773" t="str">
        <f>"3T4"</f>
        <v>3T4</v>
      </c>
      <c r="L1773" t="s">
        <v>15</v>
      </c>
    </row>
    <row r="1774" spans="1:12" x14ac:dyDescent="0.25">
      <c r="A1774" t="str">
        <f>"2104300880"</f>
        <v>2104300880</v>
      </c>
      <c r="B1774" t="str">
        <f t="shared" si="95"/>
        <v>89301000</v>
      </c>
      <c r="C1774" s="1">
        <v>44316</v>
      </c>
      <c r="D1774" s="1">
        <v>44319</v>
      </c>
      <c r="E1774">
        <v>1</v>
      </c>
      <c r="F1774" t="s">
        <v>1261</v>
      </c>
      <c r="G1774" t="str">
        <f>"15-K06-04"</f>
        <v>15-K06-04</v>
      </c>
      <c r="H1774">
        <v>0.27479999999999999</v>
      </c>
      <c r="J1774" t="s">
        <v>59</v>
      </c>
      <c r="K1774" t="str">
        <f>"3F4"</f>
        <v>3F4</v>
      </c>
      <c r="L1774" t="s">
        <v>15</v>
      </c>
    </row>
    <row r="1775" spans="1:12" x14ac:dyDescent="0.25">
      <c r="A1775" t="str">
        <f>"2105010226"</f>
        <v>2105010226</v>
      </c>
      <c r="B1775" t="str">
        <f t="shared" si="95"/>
        <v>89301000</v>
      </c>
      <c r="C1775" s="1">
        <v>44469</v>
      </c>
      <c r="D1775" s="1">
        <v>44474</v>
      </c>
      <c r="E1775">
        <v>1</v>
      </c>
      <c r="F1775" t="s">
        <v>985</v>
      </c>
      <c r="G1775" t="str">
        <f>"04-K02-04"</f>
        <v>04-K02-04</v>
      </c>
      <c r="H1775">
        <v>0.82469999999999999</v>
      </c>
      <c r="I1775" t="s">
        <v>168</v>
      </c>
      <c r="J1775" t="s">
        <v>14</v>
      </c>
      <c r="K1775" t="str">
        <f>"3F1"</f>
        <v>3F1</v>
      </c>
      <c r="L1775" t="s">
        <v>15</v>
      </c>
    </row>
    <row r="1776" spans="1:12" x14ac:dyDescent="0.25">
      <c r="A1776" t="str">
        <f>"2105010281"</f>
        <v>2105010281</v>
      </c>
      <c r="B1776" t="str">
        <f t="shared" si="95"/>
        <v>89301000</v>
      </c>
      <c r="C1776" s="1">
        <v>44317</v>
      </c>
      <c r="D1776" s="1">
        <v>44320</v>
      </c>
      <c r="E1776">
        <v>1</v>
      </c>
      <c r="F1776" t="s">
        <v>1261</v>
      </c>
      <c r="G1776" t="str">
        <f>"15-K06-04"</f>
        <v>15-K06-04</v>
      </c>
      <c r="H1776">
        <v>0.27479999999999999</v>
      </c>
      <c r="J1776" t="s">
        <v>59</v>
      </c>
      <c r="K1776" t="str">
        <f>"3F4"</f>
        <v>3F4</v>
      </c>
      <c r="L1776" t="s">
        <v>15</v>
      </c>
    </row>
    <row r="1777" spans="1:12" x14ac:dyDescent="0.25">
      <c r="A1777" t="str">
        <f>"2105030114"</f>
        <v>2105030114</v>
      </c>
      <c r="B1777" t="str">
        <f t="shared" si="95"/>
        <v>89301000</v>
      </c>
      <c r="C1777" s="1">
        <v>44319</v>
      </c>
      <c r="D1777" s="1">
        <v>44332</v>
      </c>
      <c r="E1777">
        <v>1</v>
      </c>
      <c r="F1777" t="s">
        <v>1221</v>
      </c>
      <c r="G1777" t="str">
        <f>"15-M01-13"</f>
        <v>15-M01-13</v>
      </c>
      <c r="H1777">
        <v>2.5091999999999999</v>
      </c>
      <c r="I1777" t="s">
        <v>1355</v>
      </c>
      <c r="J1777" t="s">
        <v>1212</v>
      </c>
      <c r="K1777" t="str">
        <f>"3F4"</f>
        <v>3F4</v>
      </c>
      <c r="L1777" t="s">
        <v>15</v>
      </c>
    </row>
    <row r="1778" spans="1:12" x14ac:dyDescent="0.25">
      <c r="A1778" t="str">
        <f>"2105030631"</f>
        <v>2105030631</v>
      </c>
      <c r="B1778" t="str">
        <f t="shared" ref="B1778:B1841" si="102">"89301000"</f>
        <v>89301000</v>
      </c>
      <c r="C1778" s="1">
        <v>44319</v>
      </c>
      <c r="D1778" s="1">
        <v>44326</v>
      </c>
      <c r="E1778">
        <v>1</v>
      </c>
      <c r="F1778" t="s">
        <v>1261</v>
      </c>
      <c r="G1778" t="str">
        <f>"15-K06-04"</f>
        <v>15-K06-04</v>
      </c>
      <c r="H1778">
        <v>0.34079999999999999</v>
      </c>
      <c r="I1778" t="s">
        <v>1356</v>
      </c>
      <c r="J1778" t="s">
        <v>59</v>
      </c>
      <c r="K1778" t="str">
        <f>"3F4"</f>
        <v>3F4</v>
      </c>
      <c r="L1778" t="s">
        <v>15</v>
      </c>
    </row>
    <row r="1779" spans="1:12" x14ac:dyDescent="0.25">
      <c r="A1779" t="str">
        <f>"2105030642"</f>
        <v>2105030642</v>
      </c>
      <c r="B1779" t="str">
        <f t="shared" si="102"/>
        <v>89301000</v>
      </c>
      <c r="C1779" s="1">
        <v>44319</v>
      </c>
      <c r="D1779" s="1">
        <v>44323</v>
      </c>
      <c r="E1779">
        <v>1</v>
      </c>
      <c r="F1779" t="s">
        <v>1261</v>
      </c>
      <c r="G1779" t="str">
        <f>"15-K06-04"</f>
        <v>15-K06-04</v>
      </c>
      <c r="H1779">
        <v>0.27479999999999999</v>
      </c>
      <c r="J1779" t="s">
        <v>59</v>
      </c>
      <c r="K1779" t="str">
        <f>"3F4"</f>
        <v>3F4</v>
      </c>
      <c r="L1779" t="s">
        <v>15</v>
      </c>
    </row>
    <row r="1780" spans="1:12" x14ac:dyDescent="0.25">
      <c r="A1780" t="str">
        <f>"2105040234"</f>
        <v>2105040234</v>
      </c>
      <c r="B1780" t="str">
        <f t="shared" si="102"/>
        <v>89301000</v>
      </c>
      <c r="C1780" s="1">
        <v>44468</v>
      </c>
      <c r="D1780" s="1">
        <v>44481</v>
      </c>
      <c r="E1780">
        <v>1</v>
      </c>
      <c r="F1780" t="s">
        <v>18</v>
      </c>
      <c r="G1780" t="str">
        <f>"11-I10-03"</f>
        <v>11-I10-03</v>
      </c>
      <c r="H1780">
        <v>2.3313999999999999</v>
      </c>
      <c r="I1780" t="s">
        <v>751</v>
      </c>
      <c r="J1780" t="s">
        <v>17</v>
      </c>
      <c r="K1780" t="str">
        <f>"3F1"</f>
        <v>3F1</v>
      </c>
      <c r="L1780" t="s">
        <v>15</v>
      </c>
    </row>
    <row r="1781" spans="1:12" x14ac:dyDescent="0.25">
      <c r="A1781" t="str">
        <f>"2105040234"</f>
        <v>2105040234</v>
      </c>
      <c r="B1781" t="str">
        <f t="shared" si="102"/>
        <v>89301000</v>
      </c>
      <c r="C1781" s="1">
        <v>44445</v>
      </c>
      <c r="D1781" s="1">
        <v>44452</v>
      </c>
      <c r="E1781">
        <v>1</v>
      </c>
      <c r="F1781" t="s">
        <v>448</v>
      </c>
      <c r="G1781" t="str">
        <f>"11-K01-03"</f>
        <v>11-K01-03</v>
      </c>
      <c r="H1781">
        <v>0.59489999999999998</v>
      </c>
      <c r="I1781" t="s">
        <v>1357</v>
      </c>
      <c r="J1781" t="s">
        <v>14</v>
      </c>
      <c r="K1781" t="str">
        <f>"3F1"</f>
        <v>3F1</v>
      </c>
      <c r="L1781" t="s">
        <v>15</v>
      </c>
    </row>
    <row r="1782" spans="1:12" x14ac:dyDescent="0.25">
      <c r="A1782" t="str">
        <f>"2105040707"</f>
        <v>2105040707</v>
      </c>
      <c r="B1782" t="str">
        <f t="shared" si="102"/>
        <v>89301000</v>
      </c>
      <c r="C1782" s="1">
        <v>44320</v>
      </c>
      <c r="D1782" s="1">
        <v>44325</v>
      </c>
      <c r="E1782">
        <v>1</v>
      </c>
      <c r="F1782" t="s">
        <v>1261</v>
      </c>
      <c r="G1782" t="str">
        <f>"15-K06-04"</f>
        <v>15-K06-04</v>
      </c>
      <c r="H1782">
        <v>0.27479999999999999</v>
      </c>
      <c r="I1782" t="s">
        <v>1264</v>
      </c>
      <c r="J1782" t="s">
        <v>59</v>
      </c>
      <c r="K1782" t="str">
        <f t="shared" ref="K1782:K1787" si="103">"3F4"</f>
        <v>3F4</v>
      </c>
      <c r="L1782" t="s">
        <v>15</v>
      </c>
    </row>
    <row r="1783" spans="1:12" x14ac:dyDescent="0.25">
      <c r="A1783" t="str">
        <f>"2105050805"</f>
        <v>2105050805</v>
      </c>
      <c r="B1783" t="str">
        <f t="shared" si="102"/>
        <v>89301000</v>
      </c>
      <c r="C1783" s="1">
        <v>44321</v>
      </c>
      <c r="D1783" s="1">
        <v>44333</v>
      </c>
      <c r="E1783">
        <v>1</v>
      </c>
      <c r="F1783" t="s">
        <v>1221</v>
      </c>
      <c r="G1783" t="str">
        <f>"15-M01-13"</f>
        <v>15-M01-13</v>
      </c>
      <c r="H1783">
        <v>2.5091999999999999</v>
      </c>
      <c r="I1783" t="s">
        <v>1358</v>
      </c>
      <c r="J1783" t="s">
        <v>1212</v>
      </c>
      <c r="K1783" t="str">
        <f t="shared" si="103"/>
        <v>3F4</v>
      </c>
      <c r="L1783" t="s">
        <v>15</v>
      </c>
    </row>
    <row r="1784" spans="1:12" x14ac:dyDescent="0.25">
      <c r="A1784" t="str">
        <f>"2105050816"</f>
        <v>2105050816</v>
      </c>
      <c r="B1784" t="str">
        <f t="shared" si="102"/>
        <v>89301000</v>
      </c>
      <c r="C1784" s="1">
        <v>44321</v>
      </c>
      <c r="D1784" s="1">
        <v>44333</v>
      </c>
      <c r="E1784">
        <v>1</v>
      </c>
      <c r="F1784" t="s">
        <v>1221</v>
      </c>
      <c r="G1784" t="str">
        <f>"15-M01-13"</f>
        <v>15-M01-13</v>
      </c>
      <c r="H1784">
        <v>2.5091999999999999</v>
      </c>
      <c r="I1784" t="s">
        <v>1359</v>
      </c>
      <c r="J1784" t="s">
        <v>1212</v>
      </c>
      <c r="K1784" t="str">
        <f t="shared" si="103"/>
        <v>3F4</v>
      </c>
      <c r="L1784" t="s">
        <v>15</v>
      </c>
    </row>
    <row r="1785" spans="1:12" x14ac:dyDescent="0.25">
      <c r="A1785" t="str">
        <f>"2105050827"</f>
        <v>2105050827</v>
      </c>
      <c r="B1785" t="str">
        <f t="shared" si="102"/>
        <v>89301000</v>
      </c>
      <c r="C1785" s="1">
        <v>44321</v>
      </c>
      <c r="D1785" s="1">
        <v>44323</v>
      </c>
      <c r="E1785">
        <v>1</v>
      </c>
      <c r="F1785" t="s">
        <v>1261</v>
      </c>
      <c r="G1785" t="str">
        <f>"15-K06-04"</f>
        <v>15-K06-04</v>
      </c>
      <c r="H1785">
        <v>0.27479999999999999</v>
      </c>
      <c r="I1785" t="s">
        <v>1278</v>
      </c>
      <c r="J1785" t="s">
        <v>59</v>
      </c>
      <c r="K1785" t="str">
        <f t="shared" si="103"/>
        <v>3F4</v>
      </c>
      <c r="L1785" t="s">
        <v>15</v>
      </c>
    </row>
    <row r="1786" spans="1:12" x14ac:dyDescent="0.25">
      <c r="A1786" t="str">
        <f>"2105050838"</f>
        <v>2105050838</v>
      </c>
      <c r="B1786" t="str">
        <f t="shared" si="102"/>
        <v>89301000</v>
      </c>
      <c r="C1786" s="1">
        <v>44321</v>
      </c>
      <c r="D1786" s="1">
        <v>44325</v>
      </c>
      <c r="E1786">
        <v>1</v>
      </c>
      <c r="F1786" t="s">
        <v>1261</v>
      </c>
      <c r="G1786" t="str">
        <f>"15-K06-02"</f>
        <v>15-K06-02</v>
      </c>
      <c r="H1786">
        <v>0.59770000000000001</v>
      </c>
      <c r="I1786" t="s">
        <v>1354</v>
      </c>
      <c r="J1786" t="s">
        <v>59</v>
      </c>
      <c r="K1786" t="str">
        <f t="shared" si="103"/>
        <v>3F4</v>
      </c>
      <c r="L1786" t="s">
        <v>15</v>
      </c>
    </row>
    <row r="1787" spans="1:12" x14ac:dyDescent="0.25">
      <c r="A1787" t="str">
        <f>"2105050860"</f>
        <v>2105050860</v>
      </c>
      <c r="B1787" t="str">
        <f t="shared" si="102"/>
        <v>89301000</v>
      </c>
      <c r="C1787" s="1">
        <v>44321</v>
      </c>
      <c r="D1787" s="1">
        <v>44322</v>
      </c>
      <c r="E1787">
        <v>1</v>
      </c>
      <c r="F1787" t="s">
        <v>1261</v>
      </c>
      <c r="G1787" t="str">
        <f>"15-K06-04"</f>
        <v>15-K06-04</v>
      </c>
      <c r="H1787">
        <v>0.27479999999999999</v>
      </c>
      <c r="J1787" t="s">
        <v>59</v>
      </c>
      <c r="K1787" t="str">
        <f t="shared" si="103"/>
        <v>3F4</v>
      </c>
      <c r="L1787" t="s">
        <v>15</v>
      </c>
    </row>
    <row r="1788" spans="1:12" x14ac:dyDescent="0.25">
      <c r="A1788" t="str">
        <f>"2105050860"</f>
        <v>2105050860</v>
      </c>
      <c r="B1788" t="str">
        <f t="shared" si="102"/>
        <v>89301000</v>
      </c>
      <c r="C1788" s="1">
        <v>44496</v>
      </c>
      <c r="D1788" s="1">
        <v>44508</v>
      </c>
      <c r="E1788">
        <v>1</v>
      </c>
      <c r="F1788" t="s">
        <v>1360</v>
      </c>
      <c r="G1788" t="str">
        <f>"02-K02-02"</f>
        <v>02-K02-02</v>
      </c>
      <c r="H1788">
        <v>0.96550000000000002</v>
      </c>
      <c r="I1788" t="s">
        <v>1361</v>
      </c>
      <c r="J1788" t="s">
        <v>14</v>
      </c>
      <c r="K1788" t="str">
        <f>"3F1"</f>
        <v>3F1</v>
      </c>
      <c r="L1788" t="s">
        <v>15</v>
      </c>
    </row>
    <row r="1789" spans="1:12" x14ac:dyDescent="0.25">
      <c r="A1789" t="str">
        <f>"2105060540"</f>
        <v>2105060540</v>
      </c>
      <c r="B1789" t="str">
        <f t="shared" si="102"/>
        <v>89301000</v>
      </c>
      <c r="C1789" s="1">
        <v>44322</v>
      </c>
      <c r="D1789" s="1">
        <v>44324</v>
      </c>
      <c r="E1789">
        <v>1</v>
      </c>
      <c r="F1789" t="s">
        <v>1261</v>
      </c>
      <c r="G1789" t="str">
        <f>"15-K06-04"</f>
        <v>15-K06-04</v>
      </c>
      <c r="H1789">
        <v>0.27479999999999999</v>
      </c>
      <c r="J1789" t="s">
        <v>59</v>
      </c>
      <c r="K1789" t="str">
        <f t="shared" ref="K1789:K1797" si="104">"3F4"</f>
        <v>3F4</v>
      </c>
      <c r="L1789" t="s">
        <v>15</v>
      </c>
    </row>
    <row r="1790" spans="1:12" x14ac:dyDescent="0.25">
      <c r="A1790" t="str">
        <f>"2105060562"</f>
        <v>2105060562</v>
      </c>
      <c r="B1790" t="str">
        <f t="shared" si="102"/>
        <v>89301000</v>
      </c>
      <c r="C1790" s="1">
        <v>44322</v>
      </c>
      <c r="D1790" s="1">
        <v>44334</v>
      </c>
      <c r="E1790">
        <v>1</v>
      </c>
      <c r="F1790" t="s">
        <v>1282</v>
      </c>
      <c r="G1790" t="str">
        <f>"15-K07-01"</f>
        <v>15-K07-01</v>
      </c>
      <c r="H1790">
        <v>1.5082</v>
      </c>
      <c r="I1790" t="s">
        <v>1362</v>
      </c>
      <c r="J1790" t="s">
        <v>59</v>
      </c>
      <c r="K1790" t="str">
        <f t="shared" si="104"/>
        <v>3F4</v>
      </c>
      <c r="L1790" t="s">
        <v>15</v>
      </c>
    </row>
    <row r="1791" spans="1:12" x14ac:dyDescent="0.25">
      <c r="A1791" t="str">
        <f>"2105060628"</f>
        <v>2105060628</v>
      </c>
      <c r="B1791" t="str">
        <f t="shared" si="102"/>
        <v>89301000</v>
      </c>
      <c r="C1791" s="1">
        <v>44322</v>
      </c>
      <c r="D1791" s="1">
        <v>44326</v>
      </c>
      <c r="E1791">
        <v>1</v>
      </c>
      <c r="F1791" t="s">
        <v>1261</v>
      </c>
      <c r="G1791" t="str">
        <f t="shared" ref="G1791:G1797" si="105">"15-K06-04"</f>
        <v>15-K06-04</v>
      </c>
      <c r="H1791">
        <v>0.27479999999999999</v>
      </c>
      <c r="J1791" t="s">
        <v>59</v>
      </c>
      <c r="K1791" t="str">
        <f t="shared" si="104"/>
        <v>3F4</v>
      </c>
      <c r="L1791" t="s">
        <v>15</v>
      </c>
    </row>
    <row r="1792" spans="1:12" x14ac:dyDescent="0.25">
      <c r="A1792" t="str">
        <f>"2105060639"</f>
        <v>2105060639</v>
      </c>
      <c r="B1792" t="str">
        <f t="shared" si="102"/>
        <v>89301000</v>
      </c>
      <c r="C1792" s="1">
        <v>44322</v>
      </c>
      <c r="D1792" s="1">
        <v>44325</v>
      </c>
      <c r="E1792">
        <v>1</v>
      </c>
      <c r="F1792" t="s">
        <v>1261</v>
      </c>
      <c r="G1792" t="str">
        <f t="shared" si="105"/>
        <v>15-K06-04</v>
      </c>
      <c r="H1792">
        <v>0.27479999999999999</v>
      </c>
      <c r="J1792" t="s">
        <v>59</v>
      </c>
      <c r="K1792" t="str">
        <f t="shared" si="104"/>
        <v>3F4</v>
      </c>
      <c r="L1792" t="s">
        <v>15</v>
      </c>
    </row>
    <row r="1793" spans="1:12" x14ac:dyDescent="0.25">
      <c r="A1793" t="str">
        <f>"2105070737"</f>
        <v>2105070737</v>
      </c>
      <c r="B1793" t="str">
        <f t="shared" si="102"/>
        <v>89301000</v>
      </c>
      <c r="C1793" s="1">
        <v>44323</v>
      </c>
      <c r="D1793" s="1">
        <v>44327</v>
      </c>
      <c r="E1793">
        <v>1</v>
      </c>
      <c r="F1793" t="s">
        <v>1261</v>
      </c>
      <c r="G1793" t="str">
        <f t="shared" si="105"/>
        <v>15-K06-04</v>
      </c>
      <c r="H1793">
        <v>0.27479999999999999</v>
      </c>
      <c r="J1793" t="s">
        <v>59</v>
      </c>
      <c r="K1793" t="str">
        <f t="shared" si="104"/>
        <v>3F4</v>
      </c>
      <c r="L1793" t="s">
        <v>15</v>
      </c>
    </row>
    <row r="1794" spans="1:12" x14ac:dyDescent="0.25">
      <c r="A1794" t="str">
        <f>"2105070748"</f>
        <v>2105070748</v>
      </c>
      <c r="B1794" t="str">
        <f t="shared" si="102"/>
        <v>89301000</v>
      </c>
      <c r="C1794" s="1">
        <v>44323</v>
      </c>
      <c r="D1794" s="1">
        <v>44326</v>
      </c>
      <c r="E1794">
        <v>1</v>
      </c>
      <c r="F1794" t="s">
        <v>1261</v>
      </c>
      <c r="G1794" t="str">
        <f t="shared" si="105"/>
        <v>15-K06-04</v>
      </c>
      <c r="H1794">
        <v>0.27479999999999999</v>
      </c>
      <c r="I1794" t="s">
        <v>1363</v>
      </c>
      <c r="J1794" t="s">
        <v>59</v>
      </c>
      <c r="K1794" t="str">
        <f t="shared" si="104"/>
        <v>3F4</v>
      </c>
      <c r="L1794" t="s">
        <v>15</v>
      </c>
    </row>
    <row r="1795" spans="1:12" x14ac:dyDescent="0.25">
      <c r="A1795" t="str">
        <f>"2105080406"</f>
        <v>2105080406</v>
      </c>
      <c r="B1795" t="str">
        <f t="shared" si="102"/>
        <v>89301000</v>
      </c>
      <c r="C1795" s="1">
        <v>44324</v>
      </c>
      <c r="D1795" s="1">
        <v>44328</v>
      </c>
      <c r="E1795">
        <v>1</v>
      </c>
      <c r="F1795" t="s">
        <v>1261</v>
      </c>
      <c r="G1795" t="str">
        <f t="shared" si="105"/>
        <v>15-K06-04</v>
      </c>
      <c r="H1795">
        <v>0.27479999999999999</v>
      </c>
      <c r="J1795" t="s">
        <v>59</v>
      </c>
      <c r="K1795" t="str">
        <f t="shared" si="104"/>
        <v>3F4</v>
      </c>
      <c r="L1795" t="s">
        <v>15</v>
      </c>
    </row>
    <row r="1796" spans="1:12" x14ac:dyDescent="0.25">
      <c r="A1796" t="str">
        <f>"2105100448"</f>
        <v>2105100448</v>
      </c>
      <c r="B1796" t="str">
        <f t="shared" si="102"/>
        <v>89301000</v>
      </c>
      <c r="C1796" s="1">
        <v>44326</v>
      </c>
      <c r="D1796" s="1">
        <v>44328</v>
      </c>
      <c r="E1796">
        <v>1</v>
      </c>
      <c r="F1796" t="s">
        <v>1261</v>
      </c>
      <c r="G1796" t="str">
        <f t="shared" si="105"/>
        <v>15-K06-04</v>
      </c>
      <c r="H1796">
        <v>0.27479999999999999</v>
      </c>
      <c r="J1796" t="s">
        <v>59</v>
      </c>
      <c r="K1796" t="str">
        <f t="shared" si="104"/>
        <v>3F4</v>
      </c>
      <c r="L1796" t="s">
        <v>15</v>
      </c>
    </row>
    <row r="1797" spans="1:12" x14ac:dyDescent="0.25">
      <c r="A1797" t="str">
        <f>"2105100503"</f>
        <v>2105100503</v>
      </c>
      <c r="B1797" t="str">
        <f t="shared" si="102"/>
        <v>89301000</v>
      </c>
      <c r="C1797" s="1">
        <v>44326</v>
      </c>
      <c r="D1797" s="1">
        <v>44329</v>
      </c>
      <c r="E1797">
        <v>1</v>
      </c>
      <c r="F1797" t="s">
        <v>1261</v>
      </c>
      <c r="G1797" t="str">
        <f t="shared" si="105"/>
        <v>15-K06-04</v>
      </c>
      <c r="H1797">
        <v>0.27479999999999999</v>
      </c>
      <c r="J1797" t="s">
        <v>59</v>
      </c>
      <c r="K1797" t="str">
        <f t="shared" si="104"/>
        <v>3F4</v>
      </c>
      <c r="L1797" t="s">
        <v>15</v>
      </c>
    </row>
    <row r="1798" spans="1:12" x14ac:dyDescent="0.25">
      <c r="A1798" t="str">
        <f>"2105120435"</f>
        <v>2105120435</v>
      </c>
      <c r="B1798" t="str">
        <f t="shared" si="102"/>
        <v>89301000</v>
      </c>
      <c r="C1798" s="1">
        <v>44535</v>
      </c>
      <c r="D1798" s="1">
        <v>44544</v>
      </c>
      <c r="E1798">
        <v>1</v>
      </c>
      <c r="F1798" t="s">
        <v>96</v>
      </c>
      <c r="G1798" t="str">
        <f>"11-K01-03"</f>
        <v>11-K01-03</v>
      </c>
      <c r="H1798">
        <v>0.59489999999999998</v>
      </c>
      <c r="I1798" t="s">
        <v>1364</v>
      </c>
      <c r="J1798" t="s">
        <v>14</v>
      </c>
      <c r="K1798" t="str">
        <f>"3F1"</f>
        <v>3F1</v>
      </c>
      <c r="L1798" t="s">
        <v>15</v>
      </c>
    </row>
    <row r="1799" spans="1:12" x14ac:dyDescent="0.25">
      <c r="A1799" t="str">
        <f>"2105120435"</f>
        <v>2105120435</v>
      </c>
      <c r="B1799" t="str">
        <f t="shared" si="102"/>
        <v>89301000</v>
      </c>
      <c r="C1799" s="1">
        <v>44522</v>
      </c>
      <c r="D1799" s="1">
        <v>44526</v>
      </c>
      <c r="E1799">
        <v>1</v>
      </c>
      <c r="F1799" t="s">
        <v>96</v>
      </c>
      <c r="G1799" t="str">
        <f>"11-K01-03"</f>
        <v>11-K01-03</v>
      </c>
      <c r="H1799">
        <v>0.59489999999999998</v>
      </c>
      <c r="I1799" t="s">
        <v>1365</v>
      </c>
      <c r="J1799" t="s">
        <v>14</v>
      </c>
      <c r="K1799" t="str">
        <f>"3F1"</f>
        <v>3F1</v>
      </c>
      <c r="L1799" t="s">
        <v>15</v>
      </c>
    </row>
    <row r="1800" spans="1:12" x14ac:dyDescent="0.25">
      <c r="A1800" t="str">
        <f>"2105120787"</f>
        <v>2105120787</v>
      </c>
      <c r="B1800" t="str">
        <f t="shared" si="102"/>
        <v>89301000</v>
      </c>
      <c r="C1800" s="1">
        <v>44328</v>
      </c>
      <c r="D1800" s="1">
        <v>44369</v>
      </c>
      <c r="E1800">
        <v>1</v>
      </c>
      <c r="F1800" t="s">
        <v>1210</v>
      </c>
      <c r="G1800" t="str">
        <f>"15-K03-01"</f>
        <v>15-K03-01</v>
      </c>
      <c r="H1800">
        <v>4.4282000000000004</v>
      </c>
      <c r="I1800" t="s">
        <v>1366</v>
      </c>
      <c r="J1800" t="s">
        <v>1212</v>
      </c>
      <c r="K1800" t="str">
        <f t="shared" ref="K1800:K1815" si="106">"3F4"</f>
        <v>3F4</v>
      </c>
      <c r="L1800" t="s">
        <v>15</v>
      </c>
    </row>
    <row r="1801" spans="1:12" x14ac:dyDescent="0.25">
      <c r="A1801" t="str">
        <f>"2105130049"</f>
        <v>2105130049</v>
      </c>
      <c r="B1801" t="str">
        <f t="shared" si="102"/>
        <v>89301000</v>
      </c>
      <c r="C1801" s="1">
        <v>44329</v>
      </c>
      <c r="D1801" s="1">
        <v>44330</v>
      </c>
      <c r="E1801">
        <v>1</v>
      </c>
      <c r="F1801" t="s">
        <v>1261</v>
      </c>
      <c r="G1801" t="str">
        <f>"15-K06-04"</f>
        <v>15-K06-04</v>
      </c>
      <c r="H1801">
        <v>0.27479999999999999</v>
      </c>
      <c r="J1801" t="s">
        <v>59</v>
      </c>
      <c r="K1801" t="str">
        <f t="shared" si="106"/>
        <v>3F4</v>
      </c>
      <c r="L1801" t="s">
        <v>15</v>
      </c>
    </row>
    <row r="1802" spans="1:12" x14ac:dyDescent="0.25">
      <c r="A1802" t="str">
        <f>"2105130621"</f>
        <v>2105130621</v>
      </c>
      <c r="B1802" t="str">
        <f t="shared" si="102"/>
        <v>89301000</v>
      </c>
      <c r="C1802" s="1">
        <v>44329</v>
      </c>
      <c r="D1802" s="1">
        <v>44332</v>
      </c>
      <c r="E1802">
        <v>1</v>
      </c>
      <c r="F1802" t="s">
        <v>1261</v>
      </c>
      <c r="G1802" t="str">
        <f>"15-K06-04"</f>
        <v>15-K06-04</v>
      </c>
      <c r="H1802">
        <v>0.27479999999999999</v>
      </c>
      <c r="J1802" t="s">
        <v>59</v>
      </c>
      <c r="K1802" t="str">
        <f t="shared" si="106"/>
        <v>3F4</v>
      </c>
      <c r="L1802" t="s">
        <v>15</v>
      </c>
    </row>
    <row r="1803" spans="1:12" x14ac:dyDescent="0.25">
      <c r="A1803" t="str">
        <f>"2105130665"</f>
        <v>2105130665</v>
      </c>
      <c r="B1803" t="str">
        <f t="shared" si="102"/>
        <v>89301000</v>
      </c>
      <c r="C1803" s="1">
        <v>44329</v>
      </c>
      <c r="D1803" s="1">
        <v>44332</v>
      </c>
      <c r="E1803">
        <v>1</v>
      </c>
      <c r="F1803" t="s">
        <v>1261</v>
      </c>
      <c r="G1803" t="str">
        <f>"15-K06-04"</f>
        <v>15-K06-04</v>
      </c>
      <c r="H1803">
        <v>0.27479999999999999</v>
      </c>
      <c r="I1803" t="s">
        <v>1367</v>
      </c>
      <c r="J1803" t="s">
        <v>59</v>
      </c>
      <c r="K1803" t="str">
        <f t="shared" si="106"/>
        <v>3F4</v>
      </c>
      <c r="L1803" t="s">
        <v>15</v>
      </c>
    </row>
    <row r="1804" spans="1:12" x14ac:dyDescent="0.25">
      <c r="A1804" t="str">
        <f>"2105140631"</f>
        <v>2105140631</v>
      </c>
      <c r="B1804" t="str">
        <f t="shared" si="102"/>
        <v>89301000</v>
      </c>
      <c r="C1804" s="1">
        <v>44330</v>
      </c>
      <c r="D1804" s="1">
        <v>44332</v>
      </c>
      <c r="E1804">
        <v>1</v>
      </c>
      <c r="F1804" t="s">
        <v>1261</v>
      </c>
      <c r="G1804" t="str">
        <f>"15-K06-04"</f>
        <v>15-K06-04</v>
      </c>
      <c r="H1804">
        <v>0.27479999999999999</v>
      </c>
      <c r="I1804" t="s">
        <v>1304</v>
      </c>
      <c r="J1804" t="s">
        <v>59</v>
      </c>
      <c r="K1804" t="str">
        <f t="shared" si="106"/>
        <v>3F4</v>
      </c>
      <c r="L1804" t="s">
        <v>15</v>
      </c>
    </row>
    <row r="1805" spans="1:12" x14ac:dyDescent="0.25">
      <c r="A1805" t="str">
        <f>"2105140653"</f>
        <v>2105140653</v>
      </c>
      <c r="B1805" t="str">
        <f t="shared" si="102"/>
        <v>89301000</v>
      </c>
      <c r="C1805" s="1">
        <v>44330</v>
      </c>
      <c r="D1805" s="1">
        <v>44332</v>
      </c>
      <c r="E1805">
        <v>1</v>
      </c>
      <c r="F1805" t="s">
        <v>1261</v>
      </c>
      <c r="G1805" t="str">
        <f>"15-K06-04"</f>
        <v>15-K06-04</v>
      </c>
      <c r="H1805">
        <v>0.27479999999999999</v>
      </c>
      <c r="I1805" t="s">
        <v>1304</v>
      </c>
      <c r="J1805" t="s">
        <v>59</v>
      </c>
      <c r="K1805" t="str">
        <f t="shared" si="106"/>
        <v>3F4</v>
      </c>
      <c r="L1805" t="s">
        <v>15</v>
      </c>
    </row>
    <row r="1806" spans="1:12" x14ac:dyDescent="0.25">
      <c r="A1806" t="str">
        <f>"2105140675"</f>
        <v>2105140675</v>
      </c>
      <c r="B1806" t="str">
        <f t="shared" si="102"/>
        <v>89301000</v>
      </c>
      <c r="C1806" s="1">
        <v>44330</v>
      </c>
      <c r="D1806" s="1">
        <v>44335</v>
      </c>
      <c r="E1806">
        <v>1</v>
      </c>
      <c r="F1806" t="s">
        <v>1261</v>
      </c>
      <c r="G1806" t="str">
        <f>"15-K06-02"</f>
        <v>15-K06-02</v>
      </c>
      <c r="H1806">
        <v>0.59770000000000001</v>
      </c>
      <c r="I1806" t="s">
        <v>1354</v>
      </c>
      <c r="J1806" t="s">
        <v>59</v>
      </c>
      <c r="K1806" t="str">
        <f t="shared" si="106"/>
        <v>3F4</v>
      </c>
      <c r="L1806" t="s">
        <v>15</v>
      </c>
    </row>
    <row r="1807" spans="1:12" x14ac:dyDescent="0.25">
      <c r="A1807" t="str">
        <f>"2105160343"</f>
        <v>2105160343</v>
      </c>
      <c r="B1807" t="str">
        <f t="shared" si="102"/>
        <v>89301000</v>
      </c>
      <c r="C1807" s="1">
        <v>44332</v>
      </c>
      <c r="D1807" s="1">
        <v>44335</v>
      </c>
      <c r="E1807">
        <v>1</v>
      </c>
      <c r="F1807" t="s">
        <v>1261</v>
      </c>
      <c r="G1807" t="str">
        <f t="shared" ref="G1807:G1812" si="107">"15-K06-04"</f>
        <v>15-K06-04</v>
      </c>
      <c r="H1807">
        <v>0.27479999999999999</v>
      </c>
      <c r="J1807" t="s">
        <v>59</v>
      </c>
      <c r="K1807" t="str">
        <f t="shared" si="106"/>
        <v>3F4</v>
      </c>
      <c r="L1807" t="s">
        <v>15</v>
      </c>
    </row>
    <row r="1808" spans="1:12" x14ac:dyDescent="0.25">
      <c r="A1808" t="str">
        <f>"2105160354"</f>
        <v>2105160354</v>
      </c>
      <c r="B1808" t="str">
        <f t="shared" si="102"/>
        <v>89301000</v>
      </c>
      <c r="C1808" s="1">
        <v>44332</v>
      </c>
      <c r="D1808" s="1">
        <v>44334</v>
      </c>
      <c r="E1808">
        <v>1</v>
      </c>
      <c r="F1808" t="s">
        <v>1261</v>
      </c>
      <c r="G1808" t="str">
        <f t="shared" si="107"/>
        <v>15-K06-04</v>
      </c>
      <c r="H1808">
        <v>0.27479999999999999</v>
      </c>
      <c r="J1808" t="s">
        <v>59</v>
      </c>
      <c r="K1808" t="str">
        <f t="shared" si="106"/>
        <v>3F4</v>
      </c>
      <c r="L1808" t="s">
        <v>15</v>
      </c>
    </row>
    <row r="1809" spans="1:12" x14ac:dyDescent="0.25">
      <c r="A1809" t="str">
        <f>"2105170067"</f>
        <v>2105170067</v>
      </c>
      <c r="B1809" t="str">
        <f t="shared" si="102"/>
        <v>89301000</v>
      </c>
      <c r="C1809" s="1">
        <v>44333</v>
      </c>
      <c r="D1809" s="1">
        <v>44335</v>
      </c>
      <c r="E1809">
        <v>1</v>
      </c>
      <c r="F1809" t="s">
        <v>1261</v>
      </c>
      <c r="G1809" t="str">
        <f t="shared" si="107"/>
        <v>15-K06-04</v>
      </c>
      <c r="H1809">
        <v>0.27479999999999999</v>
      </c>
      <c r="J1809" t="s">
        <v>59</v>
      </c>
      <c r="K1809" t="str">
        <f t="shared" si="106"/>
        <v>3F4</v>
      </c>
      <c r="L1809" t="s">
        <v>15</v>
      </c>
    </row>
    <row r="1810" spans="1:12" x14ac:dyDescent="0.25">
      <c r="A1810" t="str">
        <f>"2105170606"</f>
        <v>2105170606</v>
      </c>
      <c r="B1810" t="str">
        <f t="shared" si="102"/>
        <v>89301000</v>
      </c>
      <c r="C1810" s="1">
        <v>44333</v>
      </c>
      <c r="D1810" s="1">
        <v>44335</v>
      </c>
      <c r="E1810">
        <v>1</v>
      </c>
      <c r="F1810" t="s">
        <v>1261</v>
      </c>
      <c r="G1810" t="str">
        <f t="shared" si="107"/>
        <v>15-K06-04</v>
      </c>
      <c r="H1810">
        <v>0.27479999999999999</v>
      </c>
      <c r="J1810" t="s">
        <v>59</v>
      </c>
      <c r="K1810" t="str">
        <f t="shared" si="106"/>
        <v>3F4</v>
      </c>
      <c r="L1810" t="s">
        <v>15</v>
      </c>
    </row>
    <row r="1811" spans="1:12" x14ac:dyDescent="0.25">
      <c r="A1811" t="str">
        <f>"2105170617"</f>
        <v>2105170617</v>
      </c>
      <c r="B1811" t="str">
        <f t="shared" si="102"/>
        <v>89301000</v>
      </c>
      <c r="C1811" s="1">
        <v>44333</v>
      </c>
      <c r="D1811" s="1">
        <v>44336</v>
      </c>
      <c r="E1811">
        <v>1</v>
      </c>
      <c r="F1811" t="s">
        <v>1261</v>
      </c>
      <c r="G1811" t="str">
        <f t="shared" si="107"/>
        <v>15-K06-04</v>
      </c>
      <c r="H1811">
        <v>0.27479999999999999</v>
      </c>
      <c r="J1811" t="s">
        <v>59</v>
      </c>
      <c r="K1811" t="str">
        <f t="shared" si="106"/>
        <v>3F4</v>
      </c>
      <c r="L1811" t="s">
        <v>15</v>
      </c>
    </row>
    <row r="1812" spans="1:12" x14ac:dyDescent="0.25">
      <c r="A1812" t="str">
        <f>"2105170639"</f>
        <v>2105170639</v>
      </c>
      <c r="B1812" t="str">
        <f t="shared" si="102"/>
        <v>89301000</v>
      </c>
      <c r="C1812" s="1">
        <v>44333</v>
      </c>
      <c r="D1812" s="1">
        <v>44335</v>
      </c>
      <c r="E1812">
        <v>1</v>
      </c>
      <c r="F1812" t="s">
        <v>1261</v>
      </c>
      <c r="G1812" t="str">
        <f t="shared" si="107"/>
        <v>15-K06-04</v>
      </c>
      <c r="H1812">
        <v>0.27479999999999999</v>
      </c>
      <c r="J1812" t="s">
        <v>59</v>
      </c>
      <c r="K1812" t="str">
        <f t="shared" si="106"/>
        <v>3F4</v>
      </c>
      <c r="L1812" t="s">
        <v>15</v>
      </c>
    </row>
    <row r="1813" spans="1:12" x14ac:dyDescent="0.25">
      <c r="A1813" t="str">
        <f>"2105170969"</f>
        <v>2105170969</v>
      </c>
      <c r="B1813" t="str">
        <f t="shared" si="102"/>
        <v>89301000</v>
      </c>
      <c r="C1813" s="1">
        <v>44333</v>
      </c>
      <c r="D1813" s="1">
        <v>44358</v>
      </c>
      <c r="E1813">
        <v>1</v>
      </c>
      <c r="F1813" t="s">
        <v>1288</v>
      </c>
      <c r="G1813" t="str">
        <f>"15-M01-11"</f>
        <v>15-M01-11</v>
      </c>
      <c r="H1813">
        <v>4.7668999999999997</v>
      </c>
      <c r="I1813" t="s">
        <v>1368</v>
      </c>
      <c r="J1813" t="s">
        <v>1212</v>
      </c>
      <c r="K1813" t="str">
        <f t="shared" si="106"/>
        <v>3F4</v>
      </c>
      <c r="L1813" t="s">
        <v>15</v>
      </c>
    </row>
    <row r="1814" spans="1:12" x14ac:dyDescent="0.25">
      <c r="A1814" t="str">
        <f>"2105190582"</f>
        <v>2105190582</v>
      </c>
      <c r="B1814" t="str">
        <f t="shared" si="102"/>
        <v>89301000</v>
      </c>
      <c r="C1814" s="1">
        <v>44335</v>
      </c>
      <c r="D1814" s="1">
        <v>44337</v>
      </c>
      <c r="E1814">
        <v>1</v>
      </c>
      <c r="F1814" t="s">
        <v>1261</v>
      </c>
      <c r="G1814" t="str">
        <f>"15-K06-04"</f>
        <v>15-K06-04</v>
      </c>
      <c r="H1814">
        <v>0.27479999999999999</v>
      </c>
      <c r="J1814" t="s">
        <v>59</v>
      </c>
      <c r="K1814" t="str">
        <f t="shared" si="106"/>
        <v>3F4</v>
      </c>
      <c r="L1814" t="s">
        <v>15</v>
      </c>
    </row>
    <row r="1815" spans="1:12" x14ac:dyDescent="0.25">
      <c r="A1815" t="str">
        <f>"2105210591"</f>
        <v>2105210591</v>
      </c>
      <c r="B1815" t="str">
        <f t="shared" si="102"/>
        <v>89301000</v>
      </c>
      <c r="C1815" s="1">
        <v>44337</v>
      </c>
      <c r="D1815" s="1">
        <v>44340</v>
      </c>
      <c r="E1815">
        <v>1</v>
      </c>
      <c r="F1815" t="s">
        <v>1261</v>
      </c>
      <c r="G1815" t="str">
        <f>"15-K06-04"</f>
        <v>15-K06-04</v>
      </c>
      <c r="H1815">
        <v>0.27479999999999999</v>
      </c>
      <c r="I1815" t="s">
        <v>1369</v>
      </c>
      <c r="J1815" t="s">
        <v>59</v>
      </c>
      <c r="K1815" t="str">
        <f t="shared" si="106"/>
        <v>3F4</v>
      </c>
      <c r="L1815" t="s">
        <v>15</v>
      </c>
    </row>
    <row r="1816" spans="1:12" x14ac:dyDescent="0.25">
      <c r="A1816" t="str">
        <f>"2105230248"</f>
        <v>2105230248</v>
      </c>
      <c r="B1816" t="str">
        <f t="shared" si="102"/>
        <v>89301000</v>
      </c>
      <c r="C1816" s="1">
        <v>44432</v>
      </c>
      <c r="D1816" s="1">
        <v>44433</v>
      </c>
      <c r="E1816">
        <v>1</v>
      </c>
      <c r="F1816" t="s">
        <v>732</v>
      </c>
      <c r="G1816" t="str">
        <f>"08-I26-02"</f>
        <v>08-I26-02</v>
      </c>
      <c r="H1816">
        <v>0.83399999999999996</v>
      </c>
      <c r="J1816" t="s">
        <v>14</v>
      </c>
      <c r="K1816" t="str">
        <f>"3F1"</f>
        <v>3F1</v>
      </c>
      <c r="L1816" t="s">
        <v>15</v>
      </c>
    </row>
    <row r="1817" spans="1:12" x14ac:dyDescent="0.25">
      <c r="A1817" t="str">
        <f>"2105240445"</f>
        <v>2105240445</v>
      </c>
      <c r="B1817" t="str">
        <f t="shared" si="102"/>
        <v>89301000</v>
      </c>
      <c r="C1817" s="1">
        <v>44340</v>
      </c>
      <c r="D1817" s="1">
        <v>44344</v>
      </c>
      <c r="E1817">
        <v>1</v>
      </c>
      <c r="F1817" t="s">
        <v>1261</v>
      </c>
      <c r="G1817" t="str">
        <f t="shared" ref="G1817:G1822" si="108">"15-K06-04"</f>
        <v>15-K06-04</v>
      </c>
      <c r="H1817">
        <v>0.27479999999999999</v>
      </c>
      <c r="J1817" t="s">
        <v>59</v>
      </c>
      <c r="K1817" t="str">
        <f t="shared" ref="K1817:K1832" si="109">"3F4"</f>
        <v>3F4</v>
      </c>
      <c r="L1817" t="s">
        <v>15</v>
      </c>
    </row>
    <row r="1818" spans="1:12" x14ac:dyDescent="0.25">
      <c r="A1818" t="str">
        <f>"2105260795"</f>
        <v>2105260795</v>
      </c>
      <c r="B1818" t="str">
        <f t="shared" si="102"/>
        <v>89301000</v>
      </c>
      <c r="C1818" s="1">
        <v>44342</v>
      </c>
      <c r="D1818" s="1">
        <v>44345</v>
      </c>
      <c r="E1818">
        <v>1</v>
      </c>
      <c r="F1818" t="s">
        <v>1261</v>
      </c>
      <c r="G1818" t="str">
        <f t="shared" si="108"/>
        <v>15-K06-04</v>
      </c>
      <c r="H1818">
        <v>0.27479999999999999</v>
      </c>
      <c r="J1818" t="s">
        <v>59</v>
      </c>
      <c r="K1818" t="str">
        <f t="shared" si="109"/>
        <v>3F4</v>
      </c>
      <c r="L1818" t="s">
        <v>15</v>
      </c>
    </row>
    <row r="1819" spans="1:12" x14ac:dyDescent="0.25">
      <c r="A1819" t="str">
        <f>"2105270596"</f>
        <v>2105270596</v>
      </c>
      <c r="B1819" t="str">
        <f t="shared" si="102"/>
        <v>89301000</v>
      </c>
      <c r="C1819" s="1">
        <v>44343</v>
      </c>
      <c r="D1819" s="1">
        <v>44346</v>
      </c>
      <c r="E1819">
        <v>1</v>
      </c>
      <c r="F1819" t="s">
        <v>1261</v>
      </c>
      <c r="G1819" t="str">
        <f t="shared" si="108"/>
        <v>15-K06-04</v>
      </c>
      <c r="H1819">
        <v>0.27479999999999999</v>
      </c>
      <c r="J1819" t="s">
        <v>59</v>
      </c>
      <c r="K1819" t="str">
        <f t="shared" si="109"/>
        <v>3F4</v>
      </c>
      <c r="L1819" t="s">
        <v>15</v>
      </c>
    </row>
    <row r="1820" spans="1:12" x14ac:dyDescent="0.25">
      <c r="A1820" t="str">
        <f>"2105270618"</f>
        <v>2105270618</v>
      </c>
      <c r="B1820" t="str">
        <f t="shared" si="102"/>
        <v>89301000</v>
      </c>
      <c r="C1820" s="1">
        <v>44343</v>
      </c>
      <c r="D1820" s="1">
        <v>44346</v>
      </c>
      <c r="E1820">
        <v>1</v>
      </c>
      <c r="F1820" t="s">
        <v>1261</v>
      </c>
      <c r="G1820" t="str">
        <f t="shared" si="108"/>
        <v>15-K06-04</v>
      </c>
      <c r="H1820">
        <v>0.27479999999999999</v>
      </c>
      <c r="J1820" t="s">
        <v>59</v>
      </c>
      <c r="K1820" t="str">
        <f t="shared" si="109"/>
        <v>3F4</v>
      </c>
      <c r="L1820" t="s">
        <v>15</v>
      </c>
    </row>
    <row r="1821" spans="1:12" x14ac:dyDescent="0.25">
      <c r="A1821" t="str">
        <f>"2105280672"</f>
        <v>2105280672</v>
      </c>
      <c r="B1821" t="str">
        <f t="shared" si="102"/>
        <v>89301000</v>
      </c>
      <c r="C1821" s="1">
        <v>44344</v>
      </c>
      <c r="D1821" s="1">
        <v>44346</v>
      </c>
      <c r="E1821">
        <v>1</v>
      </c>
      <c r="F1821" t="s">
        <v>1261</v>
      </c>
      <c r="G1821" t="str">
        <f t="shared" si="108"/>
        <v>15-K06-04</v>
      </c>
      <c r="H1821">
        <v>0.27479999999999999</v>
      </c>
      <c r="J1821" t="s">
        <v>59</v>
      </c>
      <c r="K1821" t="str">
        <f t="shared" si="109"/>
        <v>3F4</v>
      </c>
      <c r="L1821" t="s">
        <v>15</v>
      </c>
    </row>
    <row r="1822" spans="1:12" x14ac:dyDescent="0.25">
      <c r="A1822" t="str">
        <f>"2105280683"</f>
        <v>2105280683</v>
      </c>
      <c r="B1822" t="str">
        <f t="shared" si="102"/>
        <v>89301000</v>
      </c>
      <c r="C1822" s="1">
        <v>44344</v>
      </c>
      <c r="D1822" s="1">
        <v>44347</v>
      </c>
      <c r="E1822">
        <v>1</v>
      </c>
      <c r="F1822" t="s">
        <v>1261</v>
      </c>
      <c r="G1822" t="str">
        <f t="shared" si="108"/>
        <v>15-K06-04</v>
      </c>
      <c r="H1822">
        <v>0.27479999999999999</v>
      </c>
      <c r="I1822" t="s">
        <v>1304</v>
      </c>
      <c r="J1822" t="s">
        <v>59</v>
      </c>
      <c r="K1822" t="str">
        <f t="shared" si="109"/>
        <v>3F4</v>
      </c>
      <c r="L1822" t="s">
        <v>15</v>
      </c>
    </row>
    <row r="1823" spans="1:12" x14ac:dyDescent="0.25">
      <c r="A1823" t="str">
        <f>"2105290506"</f>
        <v>2105290506</v>
      </c>
      <c r="B1823" t="str">
        <f t="shared" si="102"/>
        <v>89301000</v>
      </c>
      <c r="C1823" s="1">
        <v>44345</v>
      </c>
      <c r="D1823" s="1">
        <v>44350</v>
      </c>
      <c r="E1823">
        <v>1</v>
      </c>
      <c r="F1823" t="s">
        <v>1221</v>
      </c>
      <c r="G1823" t="str">
        <f>"15-K05-01"</f>
        <v>15-K05-01</v>
      </c>
      <c r="H1823">
        <v>2.1966000000000001</v>
      </c>
      <c r="I1823" t="s">
        <v>1324</v>
      </c>
      <c r="J1823" t="s">
        <v>1212</v>
      </c>
      <c r="K1823" t="str">
        <f t="shared" si="109"/>
        <v>3F4</v>
      </c>
      <c r="L1823" t="s">
        <v>15</v>
      </c>
    </row>
    <row r="1824" spans="1:12" x14ac:dyDescent="0.25">
      <c r="A1824" t="str">
        <f>"2105290528"</f>
        <v>2105290528</v>
      </c>
      <c r="B1824" t="str">
        <f t="shared" si="102"/>
        <v>89301000</v>
      </c>
      <c r="C1824" s="1">
        <v>44345</v>
      </c>
      <c r="D1824" s="1">
        <v>44349</v>
      </c>
      <c r="E1824">
        <v>1</v>
      </c>
      <c r="F1824" t="s">
        <v>1261</v>
      </c>
      <c r="G1824" t="str">
        <f>"15-K06-04"</f>
        <v>15-K06-04</v>
      </c>
      <c r="H1824">
        <v>0.27479999999999999</v>
      </c>
      <c r="J1824" t="s">
        <v>59</v>
      </c>
      <c r="K1824" t="str">
        <f t="shared" si="109"/>
        <v>3F4</v>
      </c>
      <c r="L1824" t="s">
        <v>15</v>
      </c>
    </row>
    <row r="1825" spans="1:12" x14ac:dyDescent="0.25">
      <c r="A1825" t="str">
        <f>"2105300450"</f>
        <v>2105300450</v>
      </c>
      <c r="B1825" t="str">
        <f t="shared" si="102"/>
        <v>89301000</v>
      </c>
      <c r="C1825" s="1">
        <v>44346</v>
      </c>
      <c r="D1825" s="1">
        <v>44356</v>
      </c>
      <c r="E1825">
        <v>1</v>
      </c>
      <c r="F1825" t="s">
        <v>1221</v>
      </c>
      <c r="G1825" t="str">
        <f>"15-K04-02"</f>
        <v>15-K04-02</v>
      </c>
      <c r="H1825">
        <v>2.2848999999999999</v>
      </c>
      <c r="I1825" t="s">
        <v>1370</v>
      </c>
      <c r="J1825" t="s">
        <v>1212</v>
      </c>
      <c r="K1825" t="str">
        <f t="shared" si="109"/>
        <v>3F4</v>
      </c>
      <c r="L1825" t="s">
        <v>15</v>
      </c>
    </row>
    <row r="1826" spans="1:12" x14ac:dyDescent="0.25">
      <c r="A1826" t="str">
        <f>"2105310108"</f>
        <v>2105310108</v>
      </c>
      <c r="B1826" t="str">
        <f t="shared" si="102"/>
        <v>89301000</v>
      </c>
      <c r="C1826" s="1">
        <v>44347</v>
      </c>
      <c r="D1826" s="1">
        <v>44350</v>
      </c>
      <c r="E1826">
        <v>1</v>
      </c>
      <c r="F1826" t="s">
        <v>1261</v>
      </c>
      <c r="G1826" t="str">
        <f t="shared" ref="G1826:G1831" si="110">"15-K06-04"</f>
        <v>15-K06-04</v>
      </c>
      <c r="H1826">
        <v>0.27479999999999999</v>
      </c>
      <c r="J1826" t="s">
        <v>59</v>
      </c>
      <c r="K1826" t="str">
        <f t="shared" si="109"/>
        <v>3F4</v>
      </c>
      <c r="L1826" t="s">
        <v>15</v>
      </c>
    </row>
    <row r="1827" spans="1:12" x14ac:dyDescent="0.25">
      <c r="A1827" t="str">
        <f>"2106010049"</f>
        <v>2106010049</v>
      </c>
      <c r="B1827" t="str">
        <f t="shared" si="102"/>
        <v>89301000</v>
      </c>
      <c r="C1827" s="1">
        <v>44348</v>
      </c>
      <c r="D1827" s="1">
        <v>44351</v>
      </c>
      <c r="E1827">
        <v>1</v>
      </c>
      <c r="F1827" t="s">
        <v>1261</v>
      </c>
      <c r="G1827" t="str">
        <f t="shared" si="110"/>
        <v>15-K06-04</v>
      </c>
      <c r="H1827">
        <v>0.27479999999999999</v>
      </c>
      <c r="J1827" t="s">
        <v>59</v>
      </c>
      <c r="K1827" t="str">
        <f t="shared" si="109"/>
        <v>3F4</v>
      </c>
      <c r="L1827" t="s">
        <v>15</v>
      </c>
    </row>
    <row r="1828" spans="1:12" x14ac:dyDescent="0.25">
      <c r="A1828" t="str">
        <f>"2106010753"</f>
        <v>2106010753</v>
      </c>
      <c r="B1828" t="str">
        <f t="shared" si="102"/>
        <v>89301000</v>
      </c>
      <c r="C1828" s="1">
        <v>44348</v>
      </c>
      <c r="D1828" s="1">
        <v>44351</v>
      </c>
      <c r="E1828">
        <v>1</v>
      </c>
      <c r="F1828" t="s">
        <v>1261</v>
      </c>
      <c r="G1828" t="str">
        <f t="shared" si="110"/>
        <v>15-K06-04</v>
      </c>
      <c r="H1828">
        <v>0.27479999999999999</v>
      </c>
      <c r="J1828" t="s">
        <v>59</v>
      </c>
      <c r="K1828" t="str">
        <f t="shared" si="109"/>
        <v>3F4</v>
      </c>
      <c r="L1828" t="s">
        <v>15</v>
      </c>
    </row>
    <row r="1829" spans="1:12" x14ac:dyDescent="0.25">
      <c r="A1829" t="str">
        <f>"2106020653"</f>
        <v>2106020653</v>
      </c>
      <c r="B1829" t="str">
        <f t="shared" si="102"/>
        <v>89301000</v>
      </c>
      <c r="C1829" s="1">
        <v>44349</v>
      </c>
      <c r="D1829" s="1">
        <v>44352</v>
      </c>
      <c r="E1829">
        <v>1</v>
      </c>
      <c r="F1829" t="s">
        <v>1261</v>
      </c>
      <c r="G1829" t="str">
        <f t="shared" si="110"/>
        <v>15-K06-04</v>
      </c>
      <c r="H1829">
        <v>0.27479999999999999</v>
      </c>
      <c r="J1829" t="s">
        <v>59</v>
      </c>
      <c r="K1829" t="str">
        <f t="shared" si="109"/>
        <v>3F4</v>
      </c>
      <c r="L1829" t="s">
        <v>15</v>
      </c>
    </row>
    <row r="1830" spans="1:12" x14ac:dyDescent="0.25">
      <c r="A1830" t="str">
        <f>"2106030740"</f>
        <v>2106030740</v>
      </c>
      <c r="B1830" t="str">
        <f t="shared" si="102"/>
        <v>89301000</v>
      </c>
      <c r="C1830" s="1">
        <v>44350</v>
      </c>
      <c r="D1830" s="1">
        <v>44353</v>
      </c>
      <c r="E1830">
        <v>1</v>
      </c>
      <c r="F1830" t="s">
        <v>1261</v>
      </c>
      <c r="G1830" t="str">
        <f t="shared" si="110"/>
        <v>15-K06-04</v>
      </c>
      <c r="H1830">
        <v>0.27479999999999999</v>
      </c>
      <c r="J1830" t="s">
        <v>59</v>
      </c>
      <c r="K1830" t="str">
        <f t="shared" si="109"/>
        <v>3F4</v>
      </c>
      <c r="L1830" t="s">
        <v>15</v>
      </c>
    </row>
    <row r="1831" spans="1:12" x14ac:dyDescent="0.25">
      <c r="A1831" t="str">
        <f>"2106030784"</f>
        <v>2106030784</v>
      </c>
      <c r="B1831" t="str">
        <f t="shared" si="102"/>
        <v>89301000</v>
      </c>
      <c r="C1831" s="1">
        <v>44350</v>
      </c>
      <c r="D1831" s="1">
        <v>44354</v>
      </c>
      <c r="E1831">
        <v>1</v>
      </c>
      <c r="F1831" t="s">
        <v>1261</v>
      </c>
      <c r="G1831" t="str">
        <f t="shared" si="110"/>
        <v>15-K06-04</v>
      </c>
      <c r="H1831">
        <v>0.27479999999999999</v>
      </c>
      <c r="J1831" t="s">
        <v>59</v>
      </c>
      <c r="K1831" t="str">
        <f t="shared" si="109"/>
        <v>3F4</v>
      </c>
      <c r="L1831" t="s">
        <v>15</v>
      </c>
    </row>
    <row r="1832" spans="1:12" x14ac:dyDescent="0.25">
      <c r="A1832" t="str">
        <f>"2106050397"</f>
        <v>2106050397</v>
      </c>
      <c r="B1832" t="str">
        <f t="shared" si="102"/>
        <v>89301000</v>
      </c>
      <c r="C1832" s="1">
        <v>44352</v>
      </c>
      <c r="D1832" s="1">
        <v>44378</v>
      </c>
      <c r="E1832">
        <v>1</v>
      </c>
      <c r="F1832" t="s">
        <v>1261</v>
      </c>
      <c r="G1832" t="str">
        <f>"15-M01-09"</f>
        <v>15-M01-09</v>
      </c>
      <c r="H1832">
        <v>8.6981000000000002</v>
      </c>
      <c r="I1832" t="s">
        <v>1371</v>
      </c>
      <c r="J1832" t="s">
        <v>1212</v>
      </c>
      <c r="K1832" t="str">
        <f t="shared" si="109"/>
        <v>3F4</v>
      </c>
      <c r="L1832" t="s">
        <v>15</v>
      </c>
    </row>
    <row r="1833" spans="1:12" x14ac:dyDescent="0.25">
      <c r="A1833" t="str">
        <f>"2106050397"</f>
        <v>2106050397</v>
      </c>
      <c r="B1833" t="str">
        <f t="shared" si="102"/>
        <v>89301000</v>
      </c>
      <c r="C1833" s="1">
        <v>44473</v>
      </c>
      <c r="D1833" s="1">
        <v>44480</v>
      </c>
      <c r="E1833">
        <v>1</v>
      </c>
      <c r="F1833" t="s">
        <v>96</v>
      </c>
      <c r="G1833" t="str">
        <f>"11-K01-03"</f>
        <v>11-K01-03</v>
      </c>
      <c r="H1833">
        <v>0.59489999999999998</v>
      </c>
      <c r="I1833" t="s">
        <v>1372</v>
      </c>
      <c r="J1833" t="s">
        <v>14</v>
      </c>
      <c r="K1833" t="str">
        <f>"3F1"</f>
        <v>3F1</v>
      </c>
      <c r="L1833" t="s">
        <v>15</v>
      </c>
    </row>
    <row r="1834" spans="1:12" x14ac:dyDescent="0.25">
      <c r="A1834" t="str">
        <f>"2106060935"</f>
        <v>2106060935</v>
      </c>
      <c r="B1834" t="str">
        <f t="shared" si="102"/>
        <v>89301000</v>
      </c>
      <c r="C1834" s="1">
        <v>44353</v>
      </c>
      <c r="D1834" s="1">
        <v>44389</v>
      </c>
      <c r="E1834">
        <v>1</v>
      </c>
      <c r="F1834" t="s">
        <v>1373</v>
      </c>
      <c r="G1834" t="str">
        <f>"15-K03-01"</f>
        <v>15-K03-01</v>
      </c>
      <c r="H1834">
        <v>4.4282000000000004</v>
      </c>
      <c r="I1834" t="s">
        <v>1348</v>
      </c>
      <c r="J1834" t="s">
        <v>1212</v>
      </c>
      <c r="K1834" t="str">
        <f t="shared" ref="K1834:K1840" si="111">"3F4"</f>
        <v>3F4</v>
      </c>
      <c r="L1834" t="s">
        <v>15</v>
      </c>
    </row>
    <row r="1835" spans="1:12" x14ac:dyDescent="0.25">
      <c r="A1835" t="str">
        <f>"2106070912"</f>
        <v>2106070912</v>
      </c>
      <c r="B1835" t="str">
        <f t="shared" si="102"/>
        <v>89301000</v>
      </c>
      <c r="C1835" s="1">
        <v>44354</v>
      </c>
      <c r="D1835" s="1">
        <v>44368</v>
      </c>
      <c r="E1835">
        <v>1</v>
      </c>
      <c r="F1835" t="s">
        <v>1338</v>
      </c>
      <c r="G1835" t="str">
        <f>"15-K04-02"</f>
        <v>15-K04-02</v>
      </c>
      <c r="H1835">
        <v>2.2848999999999999</v>
      </c>
      <c r="I1835" t="s">
        <v>1374</v>
      </c>
      <c r="J1835" t="s">
        <v>1212</v>
      </c>
      <c r="K1835" t="str">
        <f t="shared" si="111"/>
        <v>3F4</v>
      </c>
      <c r="L1835" t="s">
        <v>15</v>
      </c>
    </row>
    <row r="1836" spans="1:12" x14ac:dyDescent="0.25">
      <c r="A1836" t="str">
        <f>"2106070923"</f>
        <v>2106070923</v>
      </c>
      <c r="B1836" t="str">
        <f t="shared" si="102"/>
        <v>89301000</v>
      </c>
      <c r="C1836" s="1">
        <v>44354</v>
      </c>
      <c r="D1836" s="1">
        <v>44368</v>
      </c>
      <c r="E1836">
        <v>1</v>
      </c>
      <c r="F1836" t="s">
        <v>1338</v>
      </c>
      <c r="G1836" t="str">
        <f>"15-K04-01"</f>
        <v>15-K04-01</v>
      </c>
      <c r="H1836">
        <v>3.3435000000000001</v>
      </c>
      <c r="I1836" t="s">
        <v>1375</v>
      </c>
      <c r="J1836" t="s">
        <v>1212</v>
      </c>
      <c r="K1836" t="str">
        <f t="shared" si="111"/>
        <v>3F4</v>
      </c>
      <c r="L1836" t="s">
        <v>15</v>
      </c>
    </row>
    <row r="1837" spans="1:12" x14ac:dyDescent="0.25">
      <c r="A1837" t="str">
        <f>"2106070956"</f>
        <v>2106070956</v>
      </c>
      <c r="B1837" t="str">
        <f t="shared" si="102"/>
        <v>89301000</v>
      </c>
      <c r="C1837" s="1">
        <v>44354</v>
      </c>
      <c r="D1837" s="1">
        <v>44358</v>
      </c>
      <c r="E1837">
        <v>1</v>
      </c>
      <c r="F1837" t="s">
        <v>1261</v>
      </c>
      <c r="G1837" t="str">
        <f>"15-K06-04"</f>
        <v>15-K06-04</v>
      </c>
      <c r="H1837">
        <v>0.27479999999999999</v>
      </c>
      <c r="J1837" t="s">
        <v>59</v>
      </c>
      <c r="K1837" t="str">
        <f t="shared" si="111"/>
        <v>3F4</v>
      </c>
      <c r="L1837" t="s">
        <v>15</v>
      </c>
    </row>
    <row r="1838" spans="1:12" x14ac:dyDescent="0.25">
      <c r="A1838" t="str">
        <f>"2106080636"</f>
        <v>2106080636</v>
      </c>
      <c r="B1838" t="str">
        <f t="shared" si="102"/>
        <v>89301000</v>
      </c>
      <c r="C1838" s="1">
        <v>44355</v>
      </c>
      <c r="D1838" s="1">
        <v>44358</v>
      </c>
      <c r="E1838">
        <v>1</v>
      </c>
      <c r="F1838" t="s">
        <v>1261</v>
      </c>
      <c r="G1838" t="str">
        <f>"15-K06-04"</f>
        <v>15-K06-04</v>
      </c>
      <c r="H1838">
        <v>0.27479999999999999</v>
      </c>
      <c r="J1838" t="s">
        <v>59</v>
      </c>
      <c r="K1838" t="str">
        <f t="shared" si="111"/>
        <v>3F4</v>
      </c>
      <c r="L1838" t="s">
        <v>15</v>
      </c>
    </row>
    <row r="1839" spans="1:12" x14ac:dyDescent="0.25">
      <c r="A1839" t="str">
        <f>"2106080658"</f>
        <v>2106080658</v>
      </c>
      <c r="B1839" t="str">
        <f t="shared" si="102"/>
        <v>89301000</v>
      </c>
      <c r="C1839" s="1">
        <v>44355</v>
      </c>
      <c r="D1839" s="1">
        <v>44358</v>
      </c>
      <c r="E1839">
        <v>1</v>
      </c>
      <c r="F1839" t="s">
        <v>1261</v>
      </c>
      <c r="G1839" t="str">
        <f>"15-K06-04"</f>
        <v>15-K06-04</v>
      </c>
      <c r="H1839">
        <v>0.27479999999999999</v>
      </c>
      <c r="J1839" t="s">
        <v>59</v>
      </c>
      <c r="K1839" t="str">
        <f t="shared" si="111"/>
        <v>3F4</v>
      </c>
      <c r="L1839" t="s">
        <v>15</v>
      </c>
    </row>
    <row r="1840" spans="1:12" x14ac:dyDescent="0.25">
      <c r="A1840" t="str">
        <f>"2106080680"</f>
        <v>2106080680</v>
      </c>
      <c r="B1840" t="str">
        <f t="shared" si="102"/>
        <v>89301000</v>
      </c>
      <c r="C1840" s="1">
        <v>44355</v>
      </c>
      <c r="D1840" s="1">
        <v>44358</v>
      </c>
      <c r="E1840">
        <v>1</v>
      </c>
      <c r="F1840" t="s">
        <v>1261</v>
      </c>
      <c r="G1840" t="str">
        <f>"15-K06-04"</f>
        <v>15-K06-04</v>
      </c>
      <c r="H1840">
        <v>0.27479999999999999</v>
      </c>
      <c r="J1840" t="s">
        <v>59</v>
      </c>
      <c r="K1840" t="str">
        <f t="shared" si="111"/>
        <v>3F4</v>
      </c>
      <c r="L1840" t="s">
        <v>15</v>
      </c>
    </row>
    <row r="1841" spans="1:12" x14ac:dyDescent="0.25">
      <c r="A1841" t="str">
        <f>"2106081329"</f>
        <v>2106081329</v>
      </c>
      <c r="B1841" t="str">
        <f t="shared" si="102"/>
        <v>89301000</v>
      </c>
      <c r="C1841" s="1">
        <v>44355</v>
      </c>
      <c r="D1841" s="1">
        <v>44357</v>
      </c>
      <c r="E1841">
        <v>5</v>
      </c>
      <c r="F1841" t="s">
        <v>1221</v>
      </c>
      <c r="G1841" t="str">
        <f>"15-K04-02"</f>
        <v>15-K04-02</v>
      </c>
      <c r="H1841">
        <v>1.1428</v>
      </c>
      <c r="I1841" t="s">
        <v>1376</v>
      </c>
      <c r="J1841" t="s">
        <v>1212</v>
      </c>
      <c r="K1841" t="str">
        <f>"3T4"</f>
        <v>3T4</v>
      </c>
      <c r="L1841" t="s">
        <v>15</v>
      </c>
    </row>
    <row r="1842" spans="1:12" x14ac:dyDescent="0.25">
      <c r="A1842" t="str">
        <f>"2106090723"</f>
        <v>2106090723</v>
      </c>
      <c r="B1842" t="str">
        <f t="shared" ref="B1842:B1905" si="112">"89301000"</f>
        <v>89301000</v>
      </c>
      <c r="C1842" s="1">
        <v>44482</v>
      </c>
      <c r="D1842" s="1">
        <v>44483</v>
      </c>
      <c r="E1842">
        <v>1</v>
      </c>
      <c r="F1842" t="s">
        <v>841</v>
      </c>
      <c r="G1842" t="str">
        <f>"04-K03-03"</f>
        <v>04-K03-03</v>
      </c>
      <c r="H1842">
        <v>0.53180000000000005</v>
      </c>
      <c r="I1842" t="s">
        <v>552</v>
      </c>
      <c r="J1842" t="s">
        <v>14</v>
      </c>
      <c r="K1842" t="str">
        <f>"3F1"</f>
        <v>3F1</v>
      </c>
      <c r="L1842" t="s">
        <v>15</v>
      </c>
    </row>
    <row r="1843" spans="1:12" x14ac:dyDescent="0.25">
      <c r="A1843" t="str">
        <f>"2106090723"</f>
        <v>2106090723</v>
      </c>
      <c r="B1843" t="str">
        <f t="shared" si="112"/>
        <v>89301000</v>
      </c>
      <c r="C1843" s="1">
        <v>44356</v>
      </c>
      <c r="D1843" s="1">
        <v>44359</v>
      </c>
      <c r="E1843">
        <v>1</v>
      </c>
      <c r="F1843" t="s">
        <v>1261</v>
      </c>
      <c r="G1843" t="str">
        <f>"15-K06-04"</f>
        <v>15-K06-04</v>
      </c>
      <c r="H1843">
        <v>0.27479999999999999</v>
      </c>
      <c r="J1843" t="s">
        <v>59</v>
      </c>
      <c r="K1843" t="str">
        <f>"3F4"</f>
        <v>3F4</v>
      </c>
      <c r="L1843" t="s">
        <v>15</v>
      </c>
    </row>
    <row r="1844" spans="1:12" x14ac:dyDescent="0.25">
      <c r="A1844" t="str">
        <f>"2106090734"</f>
        <v>2106090734</v>
      </c>
      <c r="B1844" t="str">
        <f t="shared" si="112"/>
        <v>89301000</v>
      </c>
      <c r="C1844" s="1">
        <v>44356</v>
      </c>
      <c r="D1844" s="1">
        <v>44360</v>
      </c>
      <c r="E1844">
        <v>1</v>
      </c>
      <c r="F1844" t="s">
        <v>1261</v>
      </c>
      <c r="G1844" t="str">
        <f>"15-K06-04"</f>
        <v>15-K06-04</v>
      </c>
      <c r="H1844">
        <v>0.27479999999999999</v>
      </c>
      <c r="J1844" t="s">
        <v>59</v>
      </c>
      <c r="K1844" t="str">
        <f>"3F4"</f>
        <v>3F4</v>
      </c>
      <c r="L1844" t="s">
        <v>15</v>
      </c>
    </row>
    <row r="1845" spans="1:12" x14ac:dyDescent="0.25">
      <c r="A1845" t="str">
        <f>"2106100931"</f>
        <v>2106100931</v>
      </c>
      <c r="B1845" t="str">
        <f t="shared" si="112"/>
        <v>89301000</v>
      </c>
      <c r="C1845" s="1">
        <v>44357</v>
      </c>
      <c r="D1845" s="1">
        <v>44360</v>
      </c>
      <c r="E1845">
        <v>1</v>
      </c>
      <c r="F1845" t="s">
        <v>1261</v>
      </c>
      <c r="G1845" t="str">
        <f>"15-K06-04"</f>
        <v>15-K06-04</v>
      </c>
      <c r="H1845">
        <v>0.27479999999999999</v>
      </c>
      <c r="I1845" t="s">
        <v>1279</v>
      </c>
      <c r="J1845" t="s">
        <v>59</v>
      </c>
      <c r="K1845" t="str">
        <f>"3F4"</f>
        <v>3F4</v>
      </c>
      <c r="L1845" t="s">
        <v>15</v>
      </c>
    </row>
    <row r="1846" spans="1:12" x14ac:dyDescent="0.25">
      <c r="A1846" t="str">
        <f>"2106100931"</f>
        <v>2106100931</v>
      </c>
      <c r="B1846" t="str">
        <f t="shared" si="112"/>
        <v>89301000</v>
      </c>
      <c r="C1846" s="1">
        <v>44478</v>
      </c>
      <c r="D1846" s="1">
        <v>44480</v>
      </c>
      <c r="E1846">
        <v>1</v>
      </c>
      <c r="F1846" t="s">
        <v>841</v>
      </c>
      <c r="G1846" t="str">
        <f>"04-K03-03"</f>
        <v>04-K03-03</v>
      </c>
      <c r="H1846">
        <v>0.53180000000000005</v>
      </c>
      <c r="I1846" t="s">
        <v>168</v>
      </c>
      <c r="J1846" t="s">
        <v>14</v>
      </c>
      <c r="K1846" t="str">
        <f>"3F1"</f>
        <v>3F1</v>
      </c>
      <c r="L1846" t="s">
        <v>15</v>
      </c>
    </row>
    <row r="1847" spans="1:12" x14ac:dyDescent="0.25">
      <c r="A1847" t="str">
        <f>"2106110743"</f>
        <v>2106110743</v>
      </c>
      <c r="B1847" t="str">
        <f t="shared" si="112"/>
        <v>89301000</v>
      </c>
      <c r="C1847" s="1">
        <v>44358</v>
      </c>
      <c r="D1847" s="1">
        <v>44361</v>
      </c>
      <c r="E1847">
        <v>1</v>
      </c>
      <c r="F1847" t="s">
        <v>1338</v>
      </c>
      <c r="G1847" t="str">
        <f t="shared" ref="G1847:G1861" si="113">"15-K06-04"</f>
        <v>15-K06-04</v>
      </c>
      <c r="H1847">
        <v>0.27479999999999999</v>
      </c>
      <c r="I1847" t="s">
        <v>1377</v>
      </c>
      <c r="J1847" t="s">
        <v>59</v>
      </c>
      <c r="K1847" t="str">
        <f t="shared" ref="K1847:K1861" si="114">"3F4"</f>
        <v>3F4</v>
      </c>
      <c r="L1847" t="s">
        <v>15</v>
      </c>
    </row>
    <row r="1848" spans="1:12" x14ac:dyDescent="0.25">
      <c r="A1848" t="str">
        <f>"2106110754"</f>
        <v>2106110754</v>
      </c>
      <c r="B1848" t="str">
        <f t="shared" si="112"/>
        <v>89301000</v>
      </c>
      <c r="C1848" s="1">
        <v>44358</v>
      </c>
      <c r="D1848" s="1">
        <v>44361</v>
      </c>
      <c r="E1848">
        <v>1</v>
      </c>
      <c r="F1848" t="s">
        <v>1261</v>
      </c>
      <c r="G1848" t="str">
        <f t="shared" si="113"/>
        <v>15-K06-04</v>
      </c>
      <c r="H1848">
        <v>0.27479999999999999</v>
      </c>
      <c r="J1848" t="s">
        <v>59</v>
      </c>
      <c r="K1848" t="str">
        <f t="shared" si="114"/>
        <v>3F4</v>
      </c>
      <c r="L1848" t="s">
        <v>15</v>
      </c>
    </row>
    <row r="1849" spans="1:12" x14ac:dyDescent="0.25">
      <c r="A1849" t="str">
        <f>"2106110809"</f>
        <v>2106110809</v>
      </c>
      <c r="B1849" t="str">
        <f t="shared" si="112"/>
        <v>89301000</v>
      </c>
      <c r="C1849" s="1">
        <v>44358</v>
      </c>
      <c r="D1849" s="1">
        <v>44361</v>
      </c>
      <c r="E1849">
        <v>1</v>
      </c>
      <c r="F1849" t="s">
        <v>1261</v>
      </c>
      <c r="G1849" t="str">
        <f t="shared" si="113"/>
        <v>15-K06-04</v>
      </c>
      <c r="H1849">
        <v>0.27479999999999999</v>
      </c>
      <c r="J1849" t="s">
        <v>59</v>
      </c>
      <c r="K1849" t="str">
        <f t="shared" si="114"/>
        <v>3F4</v>
      </c>
      <c r="L1849" t="s">
        <v>15</v>
      </c>
    </row>
    <row r="1850" spans="1:12" x14ac:dyDescent="0.25">
      <c r="A1850" t="str">
        <f>"2106110875"</f>
        <v>2106110875</v>
      </c>
      <c r="B1850" t="str">
        <f t="shared" si="112"/>
        <v>89301000</v>
      </c>
      <c r="C1850" s="1">
        <v>44358</v>
      </c>
      <c r="D1850" s="1">
        <v>44361</v>
      </c>
      <c r="E1850">
        <v>1</v>
      </c>
      <c r="F1850" t="s">
        <v>1261</v>
      </c>
      <c r="G1850" t="str">
        <f t="shared" si="113"/>
        <v>15-K06-04</v>
      </c>
      <c r="H1850">
        <v>0.27479999999999999</v>
      </c>
      <c r="J1850" t="s">
        <v>59</v>
      </c>
      <c r="K1850" t="str">
        <f t="shared" si="114"/>
        <v>3F4</v>
      </c>
      <c r="L1850" t="s">
        <v>15</v>
      </c>
    </row>
    <row r="1851" spans="1:12" x14ac:dyDescent="0.25">
      <c r="A1851" t="str">
        <f>"2106110886"</f>
        <v>2106110886</v>
      </c>
      <c r="B1851" t="str">
        <f t="shared" si="112"/>
        <v>89301000</v>
      </c>
      <c r="C1851" s="1">
        <v>44358</v>
      </c>
      <c r="D1851" s="1">
        <v>44361</v>
      </c>
      <c r="E1851">
        <v>1</v>
      </c>
      <c r="F1851" t="s">
        <v>1261</v>
      </c>
      <c r="G1851" t="str">
        <f t="shared" si="113"/>
        <v>15-K06-04</v>
      </c>
      <c r="H1851">
        <v>0.27479999999999999</v>
      </c>
      <c r="J1851" t="s">
        <v>59</v>
      </c>
      <c r="K1851" t="str">
        <f t="shared" si="114"/>
        <v>3F4</v>
      </c>
      <c r="L1851" t="s">
        <v>15</v>
      </c>
    </row>
    <row r="1852" spans="1:12" x14ac:dyDescent="0.25">
      <c r="A1852" t="str">
        <f>"2106130235"</f>
        <v>2106130235</v>
      </c>
      <c r="B1852" t="str">
        <f t="shared" si="112"/>
        <v>89301000</v>
      </c>
      <c r="C1852" s="1">
        <v>44360</v>
      </c>
      <c r="D1852" s="1">
        <v>44363</v>
      </c>
      <c r="E1852">
        <v>1</v>
      </c>
      <c r="F1852" t="s">
        <v>1261</v>
      </c>
      <c r="G1852" t="str">
        <f t="shared" si="113"/>
        <v>15-K06-04</v>
      </c>
      <c r="H1852">
        <v>0.27479999999999999</v>
      </c>
      <c r="J1852" t="s">
        <v>59</v>
      </c>
      <c r="K1852" t="str">
        <f t="shared" si="114"/>
        <v>3F4</v>
      </c>
      <c r="L1852" t="s">
        <v>15</v>
      </c>
    </row>
    <row r="1853" spans="1:12" x14ac:dyDescent="0.25">
      <c r="A1853" t="str">
        <f>"2106130246"</f>
        <v>2106130246</v>
      </c>
      <c r="B1853" t="str">
        <f t="shared" si="112"/>
        <v>89301000</v>
      </c>
      <c r="C1853" s="1">
        <v>44360</v>
      </c>
      <c r="D1853" s="1">
        <v>44363</v>
      </c>
      <c r="E1853">
        <v>1</v>
      </c>
      <c r="F1853" t="s">
        <v>1261</v>
      </c>
      <c r="G1853" t="str">
        <f t="shared" si="113"/>
        <v>15-K06-04</v>
      </c>
      <c r="H1853">
        <v>0.27479999999999999</v>
      </c>
      <c r="J1853" t="s">
        <v>59</v>
      </c>
      <c r="K1853" t="str">
        <f t="shared" si="114"/>
        <v>3F4</v>
      </c>
      <c r="L1853" t="s">
        <v>15</v>
      </c>
    </row>
    <row r="1854" spans="1:12" x14ac:dyDescent="0.25">
      <c r="A1854" t="str">
        <f>"2106140399"</f>
        <v>2106140399</v>
      </c>
      <c r="B1854" t="str">
        <f t="shared" si="112"/>
        <v>89301000</v>
      </c>
      <c r="C1854" s="1">
        <v>44361</v>
      </c>
      <c r="D1854" s="1">
        <v>44365</v>
      </c>
      <c r="E1854">
        <v>1</v>
      </c>
      <c r="F1854" t="s">
        <v>1261</v>
      </c>
      <c r="G1854" t="str">
        <f t="shared" si="113"/>
        <v>15-K06-04</v>
      </c>
      <c r="H1854">
        <v>0.27479999999999999</v>
      </c>
      <c r="J1854" t="s">
        <v>59</v>
      </c>
      <c r="K1854" t="str">
        <f t="shared" si="114"/>
        <v>3F4</v>
      </c>
      <c r="L1854" t="s">
        <v>15</v>
      </c>
    </row>
    <row r="1855" spans="1:12" x14ac:dyDescent="0.25">
      <c r="A1855" t="str">
        <f>"2106150805"</f>
        <v>2106150805</v>
      </c>
      <c r="B1855" t="str">
        <f t="shared" si="112"/>
        <v>89301000</v>
      </c>
      <c r="C1855" s="1">
        <v>44362</v>
      </c>
      <c r="D1855" s="1">
        <v>44365</v>
      </c>
      <c r="E1855">
        <v>1</v>
      </c>
      <c r="F1855" t="s">
        <v>1261</v>
      </c>
      <c r="G1855" t="str">
        <f t="shared" si="113"/>
        <v>15-K06-04</v>
      </c>
      <c r="H1855">
        <v>0.27479999999999999</v>
      </c>
      <c r="J1855" t="s">
        <v>59</v>
      </c>
      <c r="K1855" t="str">
        <f t="shared" si="114"/>
        <v>3F4</v>
      </c>
      <c r="L1855" t="s">
        <v>15</v>
      </c>
    </row>
    <row r="1856" spans="1:12" x14ac:dyDescent="0.25">
      <c r="A1856" t="str">
        <f>"2106150827"</f>
        <v>2106150827</v>
      </c>
      <c r="B1856" t="str">
        <f t="shared" si="112"/>
        <v>89301000</v>
      </c>
      <c r="C1856" s="1">
        <v>44362</v>
      </c>
      <c r="D1856" s="1">
        <v>44365</v>
      </c>
      <c r="E1856">
        <v>1</v>
      </c>
      <c r="F1856" t="s">
        <v>1261</v>
      </c>
      <c r="G1856" t="str">
        <f t="shared" si="113"/>
        <v>15-K06-04</v>
      </c>
      <c r="H1856">
        <v>0.27479999999999999</v>
      </c>
      <c r="I1856" t="s">
        <v>1279</v>
      </c>
      <c r="J1856" t="s">
        <v>59</v>
      </c>
      <c r="K1856" t="str">
        <f t="shared" si="114"/>
        <v>3F4</v>
      </c>
      <c r="L1856" t="s">
        <v>15</v>
      </c>
    </row>
    <row r="1857" spans="1:12" x14ac:dyDescent="0.25">
      <c r="A1857" t="str">
        <f>"2106170143"</f>
        <v>2106170143</v>
      </c>
      <c r="B1857" t="str">
        <f t="shared" si="112"/>
        <v>89301000</v>
      </c>
      <c r="C1857" s="1">
        <v>44364</v>
      </c>
      <c r="D1857" s="1">
        <v>44367</v>
      </c>
      <c r="E1857">
        <v>1</v>
      </c>
      <c r="F1857" t="s">
        <v>1261</v>
      </c>
      <c r="G1857" t="str">
        <f t="shared" si="113"/>
        <v>15-K06-04</v>
      </c>
      <c r="H1857">
        <v>0.27479999999999999</v>
      </c>
      <c r="J1857" t="s">
        <v>59</v>
      </c>
      <c r="K1857" t="str">
        <f t="shared" si="114"/>
        <v>3F4</v>
      </c>
      <c r="L1857" t="s">
        <v>15</v>
      </c>
    </row>
    <row r="1858" spans="1:12" x14ac:dyDescent="0.25">
      <c r="A1858" t="str">
        <f>"2106170154"</f>
        <v>2106170154</v>
      </c>
      <c r="B1858" t="str">
        <f t="shared" si="112"/>
        <v>89301000</v>
      </c>
      <c r="C1858" s="1">
        <v>44364</v>
      </c>
      <c r="D1858" s="1">
        <v>44364</v>
      </c>
      <c r="E1858">
        <v>1</v>
      </c>
      <c r="F1858" t="s">
        <v>1261</v>
      </c>
      <c r="G1858" t="str">
        <f t="shared" si="113"/>
        <v>15-K06-04</v>
      </c>
      <c r="H1858">
        <v>0.13739999999999999</v>
      </c>
      <c r="J1858" t="s">
        <v>59</v>
      </c>
      <c r="K1858" t="str">
        <f t="shared" si="114"/>
        <v>3F4</v>
      </c>
      <c r="L1858" t="s">
        <v>15</v>
      </c>
    </row>
    <row r="1859" spans="1:12" x14ac:dyDescent="0.25">
      <c r="A1859" t="str">
        <f>"2106210040"</f>
        <v>2106210040</v>
      </c>
      <c r="B1859" t="str">
        <f t="shared" si="112"/>
        <v>89301000</v>
      </c>
      <c r="C1859" s="1">
        <v>44368</v>
      </c>
      <c r="D1859" s="1">
        <v>44377</v>
      </c>
      <c r="E1859">
        <v>1</v>
      </c>
      <c r="F1859" t="s">
        <v>1261</v>
      </c>
      <c r="G1859" t="str">
        <f t="shared" si="113"/>
        <v>15-K06-04</v>
      </c>
      <c r="H1859">
        <v>0.40670000000000001</v>
      </c>
      <c r="J1859" t="s">
        <v>59</v>
      </c>
      <c r="K1859" t="str">
        <f t="shared" si="114"/>
        <v>3F4</v>
      </c>
      <c r="L1859" t="s">
        <v>15</v>
      </c>
    </row>
    <row r="1860" spans="1:12" x14ac:dyDescent="0.25">
      <c r="A1860" t="str">
        <f>"2106210062"</f>
        <v>2106210062</v>
      </c>
      <c r="B1860" t="str">
        <f t="shared" si="112"/>
        <v>89301000</v>
      </c>
      <c r="C1860" s="1">
        <v>44368</v>
      </c>
      <c r="D1860" s="1">
        <v>44370</v>
      </c>
      <c r="E1860">
        <v>1</v>
      </c>
      <c r="F1860" t="s">
        <v>1261</v>
      </c>
      <c r="G1860" t="str">
        <f t="shared" si="113"/>
        <v>15-K06-04</v>
      </c>
      <c r="H1860">
        <v>0.27479999999999999</v>
      </c>
      <c r="J1860" t="s">
        <v>59</v>
      </c>
      <c r="K1860" t="str">
        <f t="shared" si="114"/>
        <v>3F4</v>
      </c>
      <c r="L1860" t="s">
        <v>15</v>
      </c>
    </row>
    <row r="1861" spans="1:12" x14ac:dyDescent="0.25">
      <c r="A1861" t="str">
        <f>"2106210634"</f>
        <v>2106210634</v>
      </c>
      <c r="B1861" t="str">
        <f t="shared" si="112"/>
        <v>89301000</v>
      </c>
      <c r="C1861" s="1">
        <v>44368</v>
      </c>
      <c r="D1861" s="1">
        <v>44371</v>
      </c>
      <c r="E1861">
        <v>1</v>
      </c>
      <c r="F1861" t="s">
        <v>1261</v>
      </c>
      <c r="G1861" t="str">
        <f t="shared" si="113"/>
        <v>15-K06-04</v>
      </c>
      <c r="H1861">
        <v>0.27479999999999999</v>
      </c>
      <c r="J1861" t="s">
        <v>59</v>
      </c>
      <c r="K1861" t="str">
        <f t="shared" si="114"/>
        <v>3F4</v>
      </c>
      <c r="L1861" t="s">
        <v>15</v>
      </c>
    </row>
    <row r="1862" spans="1:12" x14ac:dyDescent="0.25">
      <c r="A1862" t="str">
        <f>"2106211107"</f>
        <v>2106211107</v>
      </c>
      <c r="B1862" t="str">
        <f t="shared" si="112"/>
        <v>89301000</v>
      </c>
      <c r="C1862" s="1">
        <v>44437</v>
      </c>
      <c r="D1862" s="1">
        <v>44439</v>
      </c>
      <c r="E1862">
        <v>1</v>
      </c>
      <c r="F1862" t="s">
        <v>1378</v>
      </c>
      <c r="G1862" t="str">
        <f>"06-K20-03"</f>
        <v>06-K20-03</v>
      </c>
      <c r="H1862">
        <v>0.44230000000000003</v>
      </c>
      <c r="I1862" t="s">
        <v>168</v>
      </c>
      <c r="J1862" t="s">
        <v>14</v>
      </c>
      <c r="K1862" t="str">
        <f>"3F1"</f>
        <v>3F1</v>
      </c>
      <c r="L1862" t="s">
        <v>15</v>
      </c>
    </row>
    <row r="1863" spans="1:12" x14ac:dyDescent="0.25">
      <c r="A1863" t="str">
        <f>"2106220787"</f>
        <v>2106220787</v>
      </c>
      <c r="B1863" t="str">
        <f t="shared" si="112"/>
        <v>89301000</v>
      </c>
      <c r="C1863" s="1">
        <v>44369</v>
      </c>
      <c r="D1863" s="1">
        <v>44372</v>
      </c>
      <c r="E1863">
        <v>1</v>
      </c>
      <c r="F1863" t="s">
        <v>1261</v>
      </c>
      <c r="G1863" t="str">
        <f>"15-K06-04"</f>
        <v>15-K06-04</v>
      </c>
      <c r="H1863">
        <v>0.27479999999999999</v>
      </c>
      <c r="I1863" t="s">
        <v>1264</v>
      </c>
      <c r="J1863" t="s">
        <v>59</v>
      </c>
      <c r="K1863" t="str">
        <f>"3F4"</f>
        <v>3F4</v>
      </c>
      <c r="L1863" t="s">
        <v>15</v>
      </c>
    </row>
    <row r="1864" spans="1:12" x14ac:dyDescent="0.25">
      <c r="A1864" t="str">
        <f>"2106220798"</f>
        <v>2106220798</v>
      </c>
      <c r="B1864" t="str">
        <f t="shared" si="112"/>
        <v>89301000</v>
      </c>
      <c r="C1864" s="1">
        <v>44369</v>
      </c>
      <c r="D1864" s="1">
        <v>44372</v>
      </c>
      <c r="E1864">
        <v>1</v>
      </c>
      <c r="F1864" t="s">
        <v>1261</v>
      </c>
      <c r="G1864" t="str">
        <f>"15-K06-04"</f>
        <v>15-K06-04</v>
      </c>
      <c r="H1864">
        <v>0.27479999999999999</v>
      </c>
      <c r="J1864" t="s">
        <v>59</v>
      </c>
      <c r="K1864" t="str">
        <f>"3F4"</f>
        <v>3F4</v>
      </c>
      <c r="L1864" t="s">
        <v>15</v>
      </c>
    </row>
    <row r="1865" spans="1:12" x14ac:dyDescent="0.25">
      <c r="A1865" t="str">
        <f>"2106220809"</f>
        <v>2106220809</v>
      </c>
      <c r="B1865" t="str">
        <f t="shared" si="112"/>
        <v>89301000</v>
      </c>
      <c r="C1865" s="1">
        <v>44369</v>
      </c>
      <c r="D1865" s="1">
        <v>44374</v>
      </c>
      <c r="E1865">
        <v>1</v>
      </c>
      <c r="F1865" t="s">
        <v>1379</v>
      </c>
      <c r="G1865" t="str">
        <f>"15-K05-03"</f>
        <v>15-K05-03</v>
      </c>
      <c r="H1865">
        <v>0.62380000000000002</v>
      </c>
      <c r="I1865" t="s">
        <v>1261</v>
      </c>
      <c r="J1865" t="s">
        <v>1212</v>
      </c>
      <c r="K1865" t="str">
        <f>"3F4"</f>
        <v>3F4</v>
      </c>
      <c r="L1865" t="s">
        <v>15</v>
      </c>
    </row>
    <row r="1866" spans="1:12" x14ac:dyDescent="0.25">
      <c r="A1866" t="str">
        <f>"2106221359"</f>
        <v>2106221359</v>
      </c>
      <c r="B1866" t="str">
        <f t="shared" si="112"/>
        <v>89301000</v>
      </c>
      <c r="C1866" s="1">
        <v>44501</v>
      </c>
      <c r="D1866" s="1">
        <v>44505</v>
      </c>
      <c r="E1866">
        <v>1</v>
      </c>
      <c r="F1866" t="s">
        <v>950</v>
      </c>
      <c r="G1866" t="str">
        <f>"04-K03-03"</f>
        <v>04-K03-03</v>
      </c>
      <c r="H1866">
        <v>0.53180000000000005</v>
      </c>
      <c r="I1866" t="s">
        <v>168</v>
      </c>
      <c r="J1866" t="s">
        <v>14</v>
      </c>
      <c r="K1866" t="str">
        <f>"3F1"</f>
        <v>3F1</v>
      </c>
      <c r="L1866" t="s">
        <v>15</v>
      </c>
    </row>
    <row r="1867" spans="1:12" x14ac:dyDescent="0.25">
      <c r="A1867" t="str">
        <f>"2106221359"</f>
        <v>2106221359</v>
      </c>
      <c r="B1867" t="str">
        <f t="shared" si="112"/>
        <v>89301000</v>
      </c>
      <c r="C1867" s="1">
        <v>44475</v>
      </c>
      <c r="D1867" s="1">
        <v>44477</v>
      </c>
      <c r="E1867">
        <v>1</v>
      </c>
      <c r="F1867" t="s">
        <v>1380</v>
      </c>
      <c r="G1867" t="str">
        <f>"03-K12-01"</f>
        <v>03-K12-01</v>
      </c>
      <c r="H1867">
        <v>0.376</v>
      </c>
      <c r="I1867" t="s">
        <v>1381</v>
      </c>
      <c r="J1867" t="s">
        <v>14</v>
      </c>
      <c r="K1867" t="str">
        <f>"3F1"</f>
        <v>3F1</v>
      </c>
      <c r="L1867" t="s">
        <v>15</v>
      </c>
    </row>
    <row r="1868" spans="1:12" x14ac:dyDescent="0.25">
      <c r="A1868" t="str">
        <f>"2106240785"</f>
        <v>2106240785</v>
      </c>
      <c r="B1868" t="str">
        <f t="shared" si="112"/>
        <v>89301000</v>
      </c>
      <c r="C1868" s="1">
        <v>44371</v>
      </c>
      <c r="D1868" s="1">
        <v>44374</v>
      </c>
      <c r="E1868">
        <v>1</v>
      </c>
      <c r="F1868" t="s">
        <v>1261</v>
      </c>
      <c r="G1868" t="str">
        <f>"15-K06-04"</f>
        <v>15-K06-04</v>
      </c>
      <c r="H1868">
        <v>0.27479999999999999</v>
      </c>
      <c r="J1868" t="s">
        <v>59</v>
      </c>
      <c r="K1868" t="str">
        <f>"3F4"</f>
        <v>3F4</v>
      </c>
      <c r="L1868" t="s">
        <v>15</v>
      </c>
    </row>
    <row r="1869" spans="1:12" x14ac:dyDescent="0.25">
      <c r="A1869" t="str">
        <f>"2106240807"</f>
        <v>2106240807</v>
      </c>
      <c r="B1869" t="str">
        <f t="shared" si="112"/>
        <v>89301000</v>
      </c>
      <c r="C1869" s="1">
        <v>44371</v>
      </c>
      <c r="D1869" s="1">
        <v>44374</v>
      </c>
      <c r="E1869">
        <v>1</v>
      </c>
      <c r="F1869" t="s">
        <v>1261</v>
      </c>
      <c r="G1869" t="str">
        <f>"15-K06-04"</f>
        <v>15-K06-04</v>
      </c>
      <c r="H1869">
        <v>0.27479999999999999</v>
      </c>
      <c r="J1869" t="s">
        <v>59</v>
      </c>
      <c r="K1869" t="str">
        <f>"3F4"</f>
        <v>3F4</v>
      </c>
      <c r="L1869" t="s">
        <v>15</v>
      </c>
    </row>
    <row r="1870" spans="1:12" x14ac:dyDescent="0.25">
      <c r="A1870" t="str">
        <f>"2106240807"</f>
        <v>2106240807</v>
      </c>
      <c r="B1870" t="str">
        <f t="shared" si="112"/>
        <v>89301000</v>
      </c>
      <c r="C1870" s="1">
        <v>44429</v>
      </c>
      <c r="D1870" s="1">
        <v>44432</v>
      </c>
      <c r="E1870">
        <v>1</v>
      </c>
      <c r="F1870" t="s">
        <v>819</v>
      </c>
      <c r="G1870" t="str">
        <f>"04-K13-01"</f>
        <v>04-K13-01</v>
      </c>
      <c r="H1870">
        <v>0.64270000000000005</v>
      </c>
      <c r="I1870" t="s">
        <v>1382</v>
      </c>
      <c r="J1870" t="s">
        <v>14</v>
      </c>
      <c r="K1870" t="str">
        <f>"3F1"</f>
        <v>3F1</v>
      </c>
      <c r="L1870" t="s">
        <v>15</v>
      </c>
    </row>
    <row r="1871" spans="1:12" x14ac:dyDescent="0.25">
      <c r="A1871" t="str">
        <f>"2106250883"</f>
        <v>2106250883</v>
      </c>
      <c r="B1871" t="str">
        <f t="shared" si="112"/>
        <v>89301000</v>
      </c>
      <c r="C1871" s="1">
        <v>44372</v>
      </c>
      <c r="D1871" s="1">
        <v>44375</v>
      </c>
      <c r="E1871">
        <v>1</v>
      </c>
      <c r="F1871" t="s">
        <v>1261</v>
      </c>
      <c r="G1871" t="str">
        <f>"15-K06-04"</f>
        <v>15-K06-04</v>
      </c>
      <c r="H1871">
        <v>0.27479999999999999</v>
      </c>
      <c r="J1871" t="s">
        <v>59</v>
      </c>
      <c r="K1871" t="str">
        <f>"3F4"</f>
        <v>3F4</v>
      </c>
      <c r="L1871" t="s">
        <v>15</v>
      </c>
    </row>
    <row r="1872" spans="1:12" x14ac:dyDescent="0.25">
      <c r="A1872" t="str">
        <f>"2106250894"</f>
        <v>2106250894</v>
      </c>
      <c r="B1872" t="str">
        <f t="shared" si="112"/>
        <v>89301000</v>
      </c>
      <c r="C1872" s="1">
        <v>44372</v>
      </c>
      <c r="D1872" s="1">
        <v>44375</v>
      </c>
      <c r="E1872">
        <v>1</v>
      </c>
      <c r="F1872" t="s">
        <v>1261</v>
      </c>
      <c r="G1872" t="str">
        <f>"15-K06-04"</f>
        <v>15-K06-04</v>
      </c>
      <c r="H1872">
        <v>0.27479999999999999</v>
      </c>
      <c r="J1872" t="s">
        <v>59</v>
      </c>
      <c r="K1872" t="str">
        <f>"3F4"</f>
        <v>3F4</v>
      </c>
      <c r="L1872" t="s">
        <v>15</v>
      </c>
    </row>
    <row r="1873" spans="1:12" x14ac:dyDescent="0.25">
      <c r="A1873" t="str">
        <f>"2106250905"</f>
        <v>2106250905</v>
      </c>
      <c r="B1873" t="str">
        <f t="shared" si="112"/>
        <v>89301000</v>
      </c>
      <c r="C1873" s="1">
        <v>44372</v>
      </c>
      <c r="D1873" s="1">
        <v>44376</v>
      </c>
      <c r="E1873">
        <v>1</v>
      </c>
      <c r="F1873" t="s">
        <v>1261</v>
      </c>
      <c r="G1873" t="str">
        <f>"15-K06-04"</f>
        <v>15-K06-04</v>
      </c>
      <c r="H1873">
        <v>0.27479999999999999</v>
      </c>
      <c r="I1873" t="s">
        <v>1383</v>
      </c>
      <c r="J1873" t="s">
        <v>59</v>
      </c>
      <c r="K1873" t="str">
        <f>"3F4"</f>
        <v>3F4</v>
      </c>
      <c r="L1873" t="s">
        <v>15</v>
      </c>
    </row>
    <row r="1874" spans="1:12" x14ac:dyDescent="0.25">
      <c r="A1874" t="str">
        <f>"2106260431"</f>
        <v>2106260431</v>
      </c>
      <c r="B1874" t="str">
        <f t="shared" si="112"/>
        <v>89301000</v>
      </c>
      <c r="C1874" s="1">
        <v>44373</v>
      </c>
      <c r="D1874" s="1">
        <v>44376</v>
      </c>
      <c r="E1874">
        <v>1</v>
      </c>
      <c r="F1874" t="s">
        <v>1261</v>
      </c>
      <c r="G1874" t="str">
        <f>"15-K06-04"</f>
        <v>15-K06-04</v>
      </c>
      <c r="H1874">
        <v>0.27479999999999999</v>
      </c>
      <c r="J1874" t="s">
        <v>59</v>
      </c>
      <c r="K1874" t="str">
        <f>"3F4"</f>
        <v>3F4</v>
      </c>
      <c r="L1874" t="s">
        <v>15</v>
      </c>
    </row>
    <row r="1875" spans="1:12" x14ac:dyDescent="0.25">
      <c r="A1875" t="str">
        <f>"2106300515"</f>
        <v>2106300515</v>
      </c>
      <c r="B1875" t="str">
        <f t="shared" si="112"/>
        <v>89301000</v>
      </c>
      <c r="C1875" s="1">
        <v>44464</v>
      </c>
      <c r="D1875" s="1">
        <v>44477</v>
      </c>
      <c r="E1875">
        <v>6</v>
      </c>
      <c r="F1875" t="s">
        <v>1008</v>
      </c>
      <c r="G1875" t="str">
        <f>"18-K01-02"</f>
        <v>18-K01-02</v>
      </c>
      <c r="H1875">
        <v>2.6107999999999998</v>
      </c>
      <c r="I1875" t="s">
        <v>1384</v>
      </c>
      <c r="J1875" t="s">
        <v>14</v>
      </c>
      <c r="K1875" t="str">
        <f>"3T1"</f>
        <v>3T1</v>
      </c>
      <c r="L1875" t="s">
        <v>15</v>
      </c>
    </row>
    <row r="1876" spans="1:12" x14ac:dyDescent="0.25">
      <c r="A1876" t="str">
        <f>"2106300515"</f>
        <v>2106300515</v>
      </c>
      <c r="B1876" t="str">
        <f t="shared" si="112"/>
        <v>89301000</v>
      </c>
      <c r="C1876" s="1">
        <v>44509</v>
      </c>
      <c r="D1876" s="1">
        <v>44511</v>
      </c>
      <c r="E1876">
        <v>1</v>
      </c>
      <c r="F1876" t="s">
        <v>18</v>
      </c>
      <c r="G1876" t="str">
        <f>"11-K11-00"</f>
        <v>11-K11-00</v>
      </c>
      <c r="H1876">
        <v>0.52710000000000001</v>
      </c>
      <c r="I1876" t="s">
        <v>174</v>
      </c>
      <c r="J1876" t="s">
        <v>14</v>
      </c>
      <c r="K1876" t="str">
        <f>"3F1"</f>
        <v>3F1</v>
      </c>
      <c r="L1876" t="s">
        <v>15</v>
      </c>
    </row>
    <row r="1877" spans="1:12" x14ac:dyDescent="0.25">
      <c r="A1877" t="str">
        <f>"2106300746"</f>
        <v>2106300746</v>
      </c>
      <c r="B1877" t="str">
        <f t="shared" si="112"/>
        <v>89301000</v>
      </c>
      <c r="C1877" s="1">
        <v>44377</v>
      </c>
      <c r="D1877" s="1">
        <v>44380</v>
      </c>
      <c r="E1877">
        <v>1</v>
      </c>
      <c r="F1877" t="s">
        <v>1261</v>
      </c>
      <c r="G1877" t="str">
        <f>"15-K06-04"</f>
        <v>15-K06-04</v>
      </c>
      <c r="H1877">
        <v>0.27479999999999999</v>
      </c>
      <c r="J1877" t="s">
        <v>59</v>
      </c>
      <c r="K1877" t="str">
        <f>"3F4"</f>
        <v>3F4</v>
      </c>
      <c r="L1877" t="s">
        <v>15</v>
      </c>
    </row>
    <row r="1878" spans="1:12" x14ac:dyDescent="0.25">
      <c r="A1878" t="str">
        <f>"2107010576"</f>
        <v>2107010576</v>
      </c>
      <c r="B1878" t="str">
        <f t="shared" si="112"/>
        <v>89301000</v>
      </c>
      <c r="C1878" s="1">
        <v>44378</v>
      </c>
      <c r="D1878" s="1">
        <v>44381</v>
      </c>
      <c r="E1878">
        <v>1</v>
      </c>
      <c r="F1878" t="s">
        <v>1261</v>
      </c>
      <c r="G1878" t="str">
        <f>"15-K06-02"</f>
        <v>15-K06-02</v>
      </c>
      <c r="H1878">
        <v>0.59770000000000001</v>
      </c>
      <c r="I1878" t="s">
        <v>1385</v>
      </c>
      <c r="J1878" t="s">
        <v>59</v>
      </c>
      <c r="K1878" t="str">
        <f>"3F4"</f>
        <v>3F4</v>
      </c>
      <c r="L1878" t="s">
        <v>15</v>
      </c>
    </row>
    <row r="1879" spans="1:12" x14ac:dyDescent="0.25">
      <c r="A1879" t="str">
        <f>"2107010587"</f>
        <v>2107010587</v>
      </c>
      <c r="B1879" t="str">
        <f t="shared" si="112"/>
        <v>89301000</v>
      </c>
      <c r="C1879" s="1">
        <v>44378</v>
      </c>
      <c r="D1879" s="1">
        <v>44389</v>
      </c>
      <c r="E1879">
        <v>1</v>
      </c>
      <c r="F1879" t="s">
        <v>18</v>
      </c>
      <c r="G1879" t="str">
        <f>"15-K07-03"</f>
        <v>15-K07-03</v>
      </c>
      <c r="H1879">
        <v>0.66890000000000005</v>
      </c>
      <c r="I1879" t="s">
        <v>1386</v>
      </c>
      <c r="J1879" t="s">
        <v>59</v>
      </c>
      <c r="K1879" t="str">
        <f>"3F4"</f>
        <v>3F4</v>
      </c>
      <c r="L1879" t="s">
        <v>15</v>
      </c>
    </row>
    <row r="1880" spans="1:12" x14ac:dyDescent="0.25">
      <c r="A1880" t="str">
        <f>"2107010587"</f>
        <v>2107010587</v>
      </c>
      <c r="B1880" t="str">
        <f t="shared" si="112"/>
        <v>89301000</v>
      </c>
      <c r="C1880" s="1">
        <v>44511</v>
      </c>
      <c r="D1880" s="1">
        <v>44516</v>
      </c>
      <c r="E1880">
        <v>1</v>
      </c>
      <c r="F1880" t="s">
        <v>1207</v>
      </c>
      <c r="G1880" t="str">
        <f>"11-I17-03"</f>
        <v>11-I17-03</v>
      </c>
      <c r="H1880">
        <v>0.50609999999999999</v>
      </c>
      <c r="J1880" t="s">
        <v>14</v>
      </c>
      <c r="K1880" t="str">
        <f>"3F1"</f>
        <v>3F1</v>
      </c>
      <c r="L1880" t="s">
        <v>15</v>
      </c>
    </row>
    <row r="1881" spans="1:12" x14ac:dyDescent="0.25">
      <c r="A1881" t="str">
        <f>"2107010587"</f>
        <v>2107010587</v>
      </c>
      <c r="B1881" t="str">
        <f t="shared" si="112"/>
        <v>89301000</v>
      </c>
      <c r="C1881" s="1">
        <v>44456</v>
      </c>
      <c r="D1881" s="1">
        <v>44461</v>
      </c>
      <c r="E1881">
        <v>1</v>
      </c>
      <c r="F1881" t="s">
        <v>448</v>
      </c>
      <c r="G1881" t="str">
        <f>"11-K01-03"</f>
        <v>11-K01-03</v>
      </c>
      <c r="H1881">
        <v>0.59489999999999998</v>
      </c>
      <c r="I1881" t="s">
        <v>1207</v>
      </c>
      <c r="J1881" t="s">
        <v>14</v>
      </c>
      <c r="K1881" t="str">
        <f>"3F1"</f>
        <v>3F1</v>
      </c>
      <c r="L1881" t="s">
        <v>15</v>
      </c>
    </row>
    <row r="1882" spans="1:12" x14ac:dyDescent="0.25">
      <c r="A1882" t="str">
        <f>"2107010587"</f>
        <v>2107010587</v>
      </c>
      <c r="B1882" t="str">
        <f t="shared" si="112"/>
        <v>89301000</v>
      </c>
      <c r="C1882" s="1">
        <v>44432</v>
      </c>
      <c r="D1882" s="1">
        <v>44435</v>
      </c>
      <c r="E1882">
        <v>1</v>
      </c>
      <c r="F1882" t="s">
        <v>1207</v>
      </c>
      <c r="G1882" t="str">
        <f>"11-K11-00"</f>
        <v>11-K11-00</v>
      </c>
      <c r="H1882">
        <v>0.52710000000000001</v>
      </c>
      <c r="J1882" t="s">
        <v>14</v>
      </c>
      <c r="K1882" t="str">
        <f>"3F1"</f>
        <v>3F1</v>
      </c>
      <c r="L1882" t="s">
        <v>15</v>
      </c>
    </row>
    <row r="1883" spans="1:12" x14ac:dyDescent="0.25">
      <c r="A1883" t="str">
        <f>"2107010598"</f>
        <v>2107010598</v>
      </c>
      <c r="B1883" t="str">
        <f t="shared" si="112"/>
        <v>89301000</v>
      </c>
      <c r="C1883" s="1">
        <v>44378</v>
      </c>
      <c r="D1883" s="1">
        <v>44382</v>
      </c>
      <c r="E1883">
        <v>1</v>
      </c>
      <c r="F1883" t="s">
        <v>1261</v>
      </c>
      <c r="G1883" t="str">
        <f>"15-K06-04"</f>
        <v>15-K06-04</v>
      </c>
      <c r="H1883">
        <v>0.27479999999999999</v>
      </c>
      <c r="I1883" t="s">
        <v>1279</v>
      </c>
      <c r="J1883" t="s">
        <v>59</v>
      </c>
      <c r="K1883" t="str">
        <f>"3F4"</f>
        <v>3F4</v>
      </c>
      <c r="L1883" t="s">
        <v>15</v>
      </c>
    </row>
    <row r="1884" spans="1:12" x14ac:dyDescent="0.25">
      <c r="A1884" t="str">
        <f>"2107010598"</f>
        <v>2107010598</v>
      </c>
      <c r="B1884" t="str">
        <f t="shared" si="112"/>
        <v>89301000</v>
      </c>
      <c r="C1884" s="1">
        <v>44438</v>
      </c>
      <c r="D1884" s="1">
        <v>44449</v>
      </c>
      <c r="E1884">
        <v>1</v>
      </c>
      <c r="F1884" t="s">
        <v>18</v>
      </c>
      <c r="G1884" t="str">
        <f>"11-I10-03"</f>
        <v>11-I10-03</v>
      </c>
      <c r="H1884">
        <v>2.3313999999999999</v>
      </c>
      <c r="J1884" t="s">
        <v>17</v>
      </c>
      <c r="K1884" t="str">
        <f>"3F1"</f>
        <v>3F1</v>
      </c>
      <c r="L1884" t="s">
        <v>15</v>
      </c>
    </row>
    <row r="1885" spans="1:12" x14ac:dyDescent="0.25">
      <c r="A1885" t="str">
        <f>"2107010620"</f>
        <v>2107010620</v>
      </c>
      <c r="B1885" t="str">
        <f t="shared" si="112"/>
        <v>89301000</v>
      </c>
      <c r="C1885" s="1">
        <v>44378</v>
      </c>
      <c r="D1885" s="1">
        <v>44382</v>
      </c>
      <c r="E1885">
        <v>1</v>
      </c>
      <c r="F1885" t="s">
        <v>1261</v>
      </c>
      <c r="G1885" t="str">
        <f>"15-K06-02"</f>
        <v>15-K06-02</v>
      </c>
      <c r="H1885">
        <v>0.59770000000000001</v>
      </c>
      <c r="I1885" t="s">
        <v>1337</v>
      </c>
      <c r="J1885" t="s">
        <v>59</v>
      </c>
      <c r="K1885" t="str">
        <f t="shared" ref="K1885:K1891" si="115">"3F4"</f>
        <v>3F4</v>
      </c>
      <c r="L1885" t="s">
        <v>15</v>
      </c>
    </row>
    <row r="1886" spans="1:12" x14ac:dyDescent="0.25">
      <c r="A1886" t="str">
        <f>"2107010631"</f>
        <v>2107010631</v>
      </c>
      <c r="B1886" t="str">
        <f t="shared" si="112"/>
        <v>89301000</v>
      </c>
      <c r="C1886" s="1">
        <v>44378</v>
      </c>
      <c r="D1886" s="1">
        <v>44383</v>
      </c>
      <c r="E1886">
        <v>1</v>
      </c>
      <c r="F1886" t="s">
        <v>1261</v>
      </c>
      <c r="G1886" t="str">
        <f>"15-K06-04"</f>
        <v>15-K06-04</v>
      </c>
      <c r="H1886">
        <v>0.27479999999999999</v>
      </c>
      <c r="I1886" t="s">
        <v>1369</v>
      </c>
      <c r="J1886" t="s">
        <v>59</v>
      </c>
      <c r="K1886" t="str">
        <f t="shared" si="115"/>
        <v>3F4</v>
      </c>
      <c r="L1886" t="s">
        <v>15</v>
      </c>
    </row>
    <row r="1887" spans="1:12" x14ac:dyDescent="0.25">
      <c r="A1887" t="str">
        <f>"2107020102"</f>
        <v>2107020102</v>
      </c>
      <c r="B1887" t="str">
        <f t="shared" si="112"/>
        <v>89301000</v>
      </c>
      <c r="C1887" s="1">
        <v>44379</v>
      </c>
      <c r="D1887" s="1">
        <v>44382</v>
      </c>
      <c r="E1887">
        <v>1</v>
      </c>
      <c r="F1887" t="s">
        <v>1261</v>
      </c>
      <c r="G1887" t="str">
        <f>"15-K06-04"</f>
        <v>15-K06-04</v>
      </c>
      <c r="H1887">
        <v>0.27479999999999999</v>
      </c>
      <c r="J1887" t="s">
        <v>59</v>
      </c>
      <c r="K1887" t="str">
        <f t="shared" si="115"/>
        <v>3F4</v>
      </c>
      <c r="L1887" t="s">
        <v>15</v>
      </c>
    </row>
    <row r="1888" spans="1:12" x14ac:dyDescent="0.25">
      <c r="A1888" t="str">
        <f>"2107020806"</f>
        <v>2107020806</v>
      </c>
      <c r="B1888" t="str">
        <f t="shared" si="112"/>
        <v>89301000</v>
      </c>
      <c r="C1888" s="1">
        <v>44379</v>
      </c>
      <c r="D1888" s="1">
        <v>44382</v>
      </c>
      <c r="E1888">
        <v>1</v>
      </c>
      <c r="F1888" t="s">
        <v>1261</v>
      </c>
      <c r="G1888" t="str">
        <f>"15-K06-04"</f>
        <v>15-K06-04</v>
      </c>
      <c r="H1888">
        <v>0.27479999999999999</v>
      </c>
      <c r="I1888" t="s">
        <v>1304</v>
      </c>
      <c r="J1888" t="s">
        <v>59</v>
      </c>
      <c r="K1888" t="str">
        <f t="shared" si="115"/>
        <v>3F4</v>
      </c>
      <c r="L1888" t="s">
        <v>15</v>
      </c>
    </row>
    <row r="1889" spans="1:12" x14ac:dyDescent="0.25">
      <c r="A1889" t="str">
        <f>"2107020817"</f>
        <v>2107020817</v>
      </c>
      <c r="B1889" t="str">
        <f t="shared" si="112"/>
        <v>89301000</v>
      </c>
      <c r="C1889" s="1">
        <v>44379</v>
      </c>
      <c r="D1889" s="1">
        <v>44382</v>
      </c>
      <c r="E1889">
        <v>1</v>
      </c>
      <c r="F1889" t="s">
        <v>1261</v>
      </c>
      <c r="G1889" t="str">
        <f>"15-K06-04"</f>
        <v>15-K06-04</v>
      </c>
      <c r="H1889">
        <v>0.27479999999999999</v>
      </c>
      <c r="J1889" t="s">
        <v>59</v>
      </c>
      <c r="K1889" t="str">
        <f t="shared" si="115"/>
        <v>3F4</v>
      </c>
      <c r="L1889" t="s">
        <v>15</v>
      </c>
    </row>
    <row r="1890" spans="1:12" x14ac:dyDescent="0.25">
      <c r="A1890" t="str">
        <f>"2107020828"</f>
        <v>2107020828</v>
      </c>
      <c r="B1890" t="str">
        <f t="shared" si="112"/>
        <v>89301000</v>
      </c>
      <c r="C1890" s="1">
        <v>44379</v>
      </c>
      <c r="D1890" s="1">
        <v>44387</v>
      </c>
      <c r="E1890">
        <v>1</v>
      </c>
      <c r="F1890" t="s">
        <v>1261</v>
      </c>
      <c r="G1890" t="str">
        <f>"15-K06-01"</f>
        <v>15-K06-01</v>
      </c>
      <c r="H1890">
        <v>1.1248</v>
      </c>
      <c r="I1890" t="s">
        <v>1387</v>
      </c>
      <c r="J1890" t="s">
        <v>59</v>
      </c>
      <c r="K1890" t="str">
        <f t="shared" si="115"/>
        <v>3F4</v>
      </c>
      <c r="L1890" t="s">
        <v>15</v>
      </c>
    </row>
    <row r="1891" spans="1:12" x14ac:dyDescent="0.25">
      <c r="A1891" t="str">
        <f>"2107030442"</f>
        <v>2107030442</v>
      </c>
      <c r="B1891" t="str">
        <f t="shared" si="112"/>
        <v>89301000</v>
      </c>
      <c r="C1891" s="1">
        <v>44380</v>
      </c>
      <c r="D1891" s="1">
        <v>44382</v>
      </c>
      <c r="E1891">
        <v>1</v>
      </c>
      <c r="F1891" t="s">
        <v>1261</v>
      </c>
      <c r="G1891" t="str">
        <f>"15-K06-04"</f>
        <v>15-K06-04</v>
      </c>
      <c r="H1891">
        <v>0.27479999999999999</v>
      </c>
      <c r="I1891" t="s">
        <v>1304</v>
      </c>
      <c r="J1891" t="s">
        <v>59</v>
      </c>
      <c r="K1891" t="str">
        <f t="shared" si="115"/>
        <v>3F4</v>
      </c>
      <c r="L1891" t="s">
        <v>15</v>
      </c>
    </row>
    <row r="1892" spans="1:12" x14ac:dyDescent="0.25">
      <c r="A1892" t="str">
        <f>"2107030442"</f>
        <v>2107030442</v>
      </c>
      <c r="B1892" t="str">
        <f t="shared" si="112"/>
        <v>89301000</v>
      </c>
      <c r="C1892" s="1">
        <v>44559</v>
      </c>
      <c r="D1892" s="1">
        <v>44561</v>
      </c>
      <c r="E1892">
        <v>1</v>
      </c>
      <c r="F1892" t="s">
        <v>1201</v>
      </c>
      <c r="G1892" t="str">
        <f>"04-K03-03"</f>
        <v>04-K03-03</v>
      </c>
      <c r="H1892">
        <v>0.53180000000000005</v>
      </c>
      <c r="I1892" t="s">
        <v>530</v>
      </c>
      <c r="J1892" t="s">
        <v>14</v>
      </c>
      <c r="K1892" t="str">
        <f>"3F1"</f>
        <v>3F1</v>
      </c>
      <c r="L1892" t="s">
        <v>15</v>
      </c>
    </row>
    <row r="1893" spans="1:12" x14ac:dyDescent="0.25">
      <c r="A1893" t="str">
        <f>"2107030464"</f>
        <v>2107030464</v>
      </c>
      <c r="B1893" t="str">
        <f t="shared" si="112"/>
        <v>89301000</v>
      </c>
      <c r="C1893" s="1">
        <v>44380</v>
      </c>
      <c r="D1893" s="1">
        <v>44383</v>
      </c>
      <c r="E1893">
        <v>1</v>
      </c>
      <c r="F1893" t="s">
        <v>1261</v>
      </c>
      <c r="G1893" t="str">
        <f t="shared" ref="G1893:G1902" si="116">"15-K06-04"</f>
        <v>15-K06-04</v>
      </c>
      <c r="H1893">
        <v>0.27479999999999999</v>
      </c>
      <c r="J1893" t="s">
        <v>59</v>
      </c>
      <c r="K1893" t="str">
        <f t="shared" ref="K1893:K1903" si="117">"3F4"</f>
        <v>3F4</v>
      </c>
      <c r="L1893" t="s">
        <v>15</v>
      </c>
    </row>
    <row r="1894" spans="1:12" x14ac:dyDescent="0.25">
      <c r="A1894" t="str">
        <f>"2107040518"</f>
        <v>2107040518</v>
      </c>
      <c r="B1894" t="str">
        <f t="shared" si="112"/>
        <v>89301000</v>
      </c>
      <c r="C1894" s="1">
        <v>44381</v>
      </c>
      <c r="D1894" s="1">
        <v>44384</v>
      </c>
      <c r="E1894">
        <v>1</v>
      </c>
      <c r="F1894" t="s">
        <v>1261</v>
      </c>
      <c r="G1894" t="str">
        <f t="shared" si="116"/>
        <v>15-K06-04</v>
      </c>
      <c r="H1894">
        <v>0.27479999999999999</v>
      </c>
      <c r="I1894" t="s">
        <v>1278</v>
      </c>
      <c r="J1894" t="s">
        <v>59</v>
      </c>
      <c r="K1894" t="str">
        <f t="shared" si="117"/>
        <v>3F4</v>
      </c>
      <c r="L1894" t="s">
        <v>15</v>
      </c>
    </row>
    <row r="1895" spans="1:12" x14ac:dyDescent="0.25">
      <c r="A1895" t="str">
        <f>"2107040529"</f>
        <v>2107040529</v>
      </c>
      <c r="B1895" t="str">
        <f t="shared" si="112"/>
        <v>89301000</v>
      </c>
      <c r="C1895" s="1">
        <v>44381</v>
      </c>
      <c r="D1895" s="1">
        <v>44382</v>
      </c>
      <c r="E1895">
        <v>1</v>
      </c>
      <c r="F1895" t="s">
        <v>1261</v>
      </c>
      <c r="G1895" t="str">
        <f t="shared" si="116"/>
        <v>15-K06-04</v>
      </c>
      <c r="H1895">
        <v>0.27479999999999999</v>
      </c>
      <c r="I1895" t="s">
        <v>1388</v>
      </c>
      <c r="J1895" t="s">
        <v>59</v>
      </c>
      <c r="K1895" t="str">
        <f t="shared" si="117"/>
        <v>3F4</v>
      </c>
      <c r="L1895" t="s">
        <v>15</v>
      </c>
    </row>
    <row r="1896" spans="1:12" x14ac:dyDescent="0.25">
      <c r="A1896" t="str">
        <f>"2107040540"</f>
        <v>2107040540</v>
      </c>
      <c r="B1896" t="str">
        <f t="shared" si="112"/>
        <v>89301000</v>
      </c>
      <c r="C1896" s="1">
        <v>44381</v>
      </c>
      <c r="D1896" s="1">
        <v>44384</v>
      </c>
      <c r="E1896">
        <v>1</v>
      </c>
      <c r="F1896" t="s">
        <v>1261</v>
      </c>
      <c r="G1896" t="str">
        <f t="shared" si="116"/>
        <v>15-K06-04</v>
      </c>
      <c r="H1896">
        <v>0.27479999999999999</v>
      </c>
      <c r="J1896" t="s">
        <v>59</v>
      </c>
      <c r="K1896" t="str">
        <f t="shared" si="117"/>
        <v>3F4</v>
      </c>
      <c r="L1896" t="s">
        <v>15</v>
      </c>
    </row>
    <row r="1897" spans="1:12" x14ac:dyDescent="0.25">
      <c r="A1897" t="str">
        <f>"2107060395"</f>
        <v>2107060395</v>
      </c>
      <c r="B1897" t="str">
        <f t="shared" si="112"/>
        <v>89301000</v>
      </c>
      <c r="C1897" s="1">
        <v>44383</v>
      </c>
      <c r="D1897" s="1">
        <v>44387</v>
      </c>
      <c r="E1897">
        <v>1</v>
      </c>
      <c r="F1897" t="s">
        <v>1261</v>
      </c>
      <c r="G1897" t="str">
        <f t="shared" si="116"/>
        <v>15-K06-04</v>
      </c>
      <c r="H1897">
        <v>0.27479999999999999</v>
      </c>
      <c r="J1897" t="s">
        <v>59</v>
      </c>
      <c r="K1897" t="str">
        <f t="shared" si="117"/>
        <v>3F4</v>
      </c>
      <c r="L1897" t="s">
        <v>15</v>
      </c>
    </row>
    <row r="1898" spans="1:12" x14ac:dyDescent="0.25">
      <c r="A1898" t="str">
        <f>"2107070075"</f>
        <v>2107070075</v>
      </c>
      <c r="B1898" t="str">
        <f t="shared" si="112"/>
        <v>89301000</v>
      </c>
      <c r="C1898" s="1">
        <v>44384</v>
      </c>
      <c r="D1898" s="1">
        <v>44386</v>
      </c>
      <c r="E1898">
        <v>1</v>
      </c>
      <c r="F1898" t="s">
        <v>1261</v>
      </c>
      <c r="G1898" t="str">
        <f t="shared" si="116"/>
        <v>15-K06-04</v>
      </c>
      <c r="H1898">
        <v>0.27479999999999999</v>
      </c>
      <c r="J1898" t="s">
        <v>59</v>
      </c>
      <c r="K1898" t="str">
        <f t="shared" si="117"/>
        <v>3F4</v>
      </c>
      <c r="L1898" t="s">
        <v>15</v>
      </c>
    </row>
    <row r="1899" spans="1:12" x14ac:dyDescent="0.25">
      <c r="A1899" t="str">
        <f>"2107080085"</f>
        <v>2107080085</v>
      </c>
      <c r="B1899" t="str">
        <f t="shared" si="112"/>
        <v>89301000</v>
      </c>
      <c r="C1899" s="1">
        <v>44385</v>
      </c>
      <c r="D1899" s="1">
        <v>44387</v>
      </c>
      <c r="E1899">
        <v>1</v>
      </c>
      <c r="F1899" t="s">
        <v>1261</v>
      </c>
      <c r="G1899" t="str">
        <f t="shared" si="116"/>
        <v>15-K06-04</v>
      </c>
      <c r="H1899">
        <v>0.27479999999999999</v>
      </c>
      <c r="J1899" t="s">
        <v>59</v>
      </c>
      <c r="K1899" t="str">
        <f t="shared" si="117"/>
        <v>3F4</v>
      </c>
      <c r="L1899" t="s">
        <v>15</v>
      </c>
    </row>
    <row r="1900" spans="1:12" x14ac:dyDescent="0.25">
      <c r="A1900" t="str">
        <f>"2107080118"</f>
        <v>2107080118</v>
      </c>
      <c r="B1900" t="str">
        <f t="shared" si="112"/>
        <v>89301000</v>
      </c>
      <c r="C1900" s="1">
        <v>44385</v>
      </c>
      <c r="D1900" s="1">
        <v>44388</v>
      </c>
      <c r="E1900">
        <v>1</v>
      </c>
      <c r="F1900" t="s">
        <v>1261</v>
      </c>
      <c r="G1900" t="str">
        <f t="shared" si="116"/>
        <v>15-K06-04</v>
      </c>
      <c r="H1900">
        <v>0.27479999999999999</v>
      </c>
      <c r="J1900" t="s">
        <v>59</v>
      </c>
      <c r="K1900" t="str">
        <f t="shared" si="117"/>
        <v>3F4</v>
      </c>
      <c r="L1900" t="s">
        <v>15</v>
      </c>
    </row>
    <row r="1901" spans="1:12" x14ac:dyDescent="0.25">
      <c r="A1901" t="str">
        <f>"2107090106"</f>
        <v>2107090106</v>
      </c>
      <c r="B1901" t="str">
        <f t="shared" si="112"/>
        <v>89301000</v>
      </c>
      <c r="C1901" s="1">
        <v>44386</v>
      </c>
      <c r="D1901" s="1">
        <v>44388</v>
      </c>
      <c r="E1901">
        <v>1</v>
      </c>
      <c r="F1901" t="s">
        <v>1261</v>
      </c>
      <c r="G1901" t="str">
        <f t="shared" si="116"/>
        <v>15-K06-04</v>
      </c>
      <c r="H1901">
        <v>0.27479999999999999</v>
      </c>
      <c r="J1901" t="s">
        <v>59</v>
      </c>
      <c r="K1901" t="str">
        <f t="shared" si="117"/>
        <v>3F4</v>
      </c>
      <c r="L1901" t="s">
        <v>15</v>
      </c>
    </row>
    <row r="1902" spans="1:12" x14ac:dyDescent="0.25">
      <c r="A1902" t="str">
        <f>"2107090645"</f>
        <v>2107090645</v>
      </c>
      <c r="B1902" t="str">
        <f t="shared" si="112"/>
        <v>89301000</v>
      </c>
      <c r="C1902" s="1">
        <v>44386</v>
      </c>
      <c r="D1902" s="1">
        <v>44389</v>
      </c>
      <c r="E1902">
        <v>1</v>
      </c>
      <c r="F1902" t="s">
        <v>1261</v>
      </c>
      <c r="G1902" t="str">
        <f t="shared" si="116"/>
        <v>15-K06-04</v>
      </c>
      <c r="H1902">
        <v>0.27479999999999999</v>
      </c>
      <c r="J1902" t="s">
        <v>59</v>
      </c>
      <c r="K1902" t="str">
        <f t="shared" si="117"/>
        <v>3F4</v>
      </c>
      <c r="L1902" t="s">
        <v>15</v>
      </c>
    </row>
    <row r="1903" spans="1:12" x14ac:dyDescent="0.25">
      <c r="A1903" t="str">
        <f>"2107090656"</f>
        <v>2107090656</v>
      </c>
      <c r="B1903" t="str">
        <f t="shared" si="112"/>
        <v>89301000</v>
      </c>
      <c r="C1903" s="1">
        <v>44386</v>
      </c>
      <c r="D1903" s="1">
        <v>44421</v>
      </c>
      <c r="E1903">
        <v>1</v>
      </c>
      <c r="F1903" t="s">
        <v>1210</v>
      </c>
      <c r="G1903" t="str">
        <f>"15-M01-12"</f>
        <v>15-M01-12</v>
      </c>
      <c r="H1903">
        <v>4.8940999999999999</v>
      </c>
      <c r="I1903" t="s">
        <v>1389</v>
      </c>
      <c r="J1903" t="s">
        <v>1212</v>
      </c>
      <c r="K1903" t="str">
        <f t="shared" si="117"/>
        <v>3F4</v>
      </c>
      <c r="L1903" t="s">
        <v>15</v>
      </c>
    </row>
    <row r="1904" spans="1:12" x14ac:dyDescent="0.25">
      <c r="A1904" t="str">
        <f>"2107092009"</f>
        <v>2107092009</v>
      </c>
      <c r="B1904" t="str">
        <f t="shared" si="112"/>
        <v>89301000</v>
      </c>
      <c r="C1904" s="1">
        <v>44470</v>
      </c>
      <c r="D1904" s="1">
        <v>44474</v>
      </c>
      <c r="E1904">
        <v>1</v>
      </c>
      <c r="F1904" t="s">
        <v>134</v>
      </c>
      <c r="G1904" t="str">
        <f>"16-K01-01"</f>
        <v>16-K01-01</v>
      </c>
      <c r="H1904">
        <v>0.86160000000000003</v>
      </c>
      <c r="I1904" t="s">
        <v>1390</v>
      </c>
      <c r="J1904" t="s">
        <v>14</v>
      </c>
      <c r="K1904" t="str">
        <f>"3F1"</f>
        <v>3F1</v>
      </c>
      <c r="L1904" t="s">
        <v>15</v>
      </c>
    </row>
    <row r="1905" spans="1:12" x14ac:dyDescent="0.25">
      <c r="A1905" t="str">
        <f>"2107100138"</f>
        <v>2107100138</v>
      </c>
      <c r="B1905" t="str">
        <f t="shared" si="112"/>
        <v>89301000</v>
      </c>
      <c r="C1905" s="1">
        <v>44475</v>
      </c>
      <c r="D1905" s="1">
        <v>44487</v>
      </c>
      <c r="E1905">
        <v>1</v>
      </c>
      <c r="F1905" t="s">
        <v>18</v>
      </c>
      <c r="G1905" t="str">
        <f>"11-I10-03"</f>
        <v>11-I10-03</v>
      </c>
      <c r="H1905">
        <v>2.3313999999999999</v>
      </c>
      <c r="J1905" t="s">
        <v>17</v>
      </c>
      <c r="K1905" t="str">
        <f>"3F1"</f>
        <v>3F1</v>
      </c>
      <c r="L1905" t="s">
        <v>15</v>
      </c>
    </row>
    <row r="1906" spans="1:12" x14ac:dyDescent="0.25">
      <c r="A1906" t="str">
        <f>"2107100336"</f>
        <v>2107100336</v>
      </c>
      <c r="B1906" t="str">
        <f t="shared" ref="B1906:B1969" si="118">"89301000"</f>
        <v>89301000</v>
      </c>
      <c r="C1906" s="1">
        <v>44387</v>
      </c>
      <c r="D1906" s="1">
        <v>44391</v>
      </c>
      <c r="E1906">
        <v>1</v>
      </c>
      <c r="F1906" t="s">
        <v>1261</v>
      </c>
      <c r="G1906" t="str">
        <f>"15-K06-02"</f>
        <v>15-K06-02</v>
      </c>
      <c r="H1906">
        <v>0.59770000000000001</v>
      </c>
      <c r="I1906" t="s">
        <v>1258</v>
      </c>
      <c r="J1906" t="s">
        <v>59</v>
      </c>
      <c r="K1906" t="str">
        <f t="shared" ref="K1906:K1919" si="119">"3F4"</f>
        <v>3F4</v>
      </c>
      <c r="L1906" t="s">
        <v>15</v>
      </c>
    </row>
    <row r="1907" spans="1:12" x14ac:dyDescent="0.25">
      <c r="A1907" t="str">
        <f>"2107120554"</f>
        <v>2107120554</v>
      </c>
      <c r="B1907" t="str">
        <f t="shared" si="118"/>
        <v>89301000</v>
      </c>
      <c r="C1907" s="1">
        <v>44389</v>
      </c>
      <c r="D1907" s="1">
        <v>44392</v>
      </c>
      <c r="E1907">
        <v>1</v>
      </c>
      <c r="F1907" t="s">
        <v>1261</v>
      </c>
      <c r="G1907" t="str">
        <f>"15-K06-04"</f>
        <v>15-K06-04</v>
      </c>
      <c r="H1907">
        <v>0.27479999999999999</v>
      </c>
      <c r="J1907" t="s">
        <v>59</v>
      </c>
      <c r="K1907" t="str">
        <f t="shared" si="119"/>
        <v>3F4</v>
      </c>
      <c r="L1907" t="s">
        <v>15</v>
      </c>
    </row>
    <row r="1908" spans="1:12" x14ac:dyDescent="0.25">
      <c r="A1908" t="str">
        <f>"2107120565"</f>
        <v>2107120565</v>
      </c>
      <c r="B1908" t="str">
        <f t="shared" si="118"/>
        <v>89301000</v>
      </c>
      <c r="C1908" s="1">
        <v>44389</v>
      </c>
      <c r="D1908" s="1">
        <v>44392</v>
      </c>
      <c r="E1908">
        <v>1</v>
      </c>
      <c r="F1908" t="s">
        <v>1261</v>
      </c>
      <c r="G1908" t="str">
        <f>"15-K06-04"</f>
        <v>15-K06-04</v>
      </c>
      <c r="H1908">
        <v>0.27479999999999999</v>
      </c>
      <c r="I1908" t="s">
        <v>1264</v>
      </c>
      <c r="J1908" t="s">
        <v>59</v>
      </c>
      <c r="K1908" t="str">
        <f t="shared" si="119"/>
        <v>3F4</v>
      </c>
      <c r="L1908" t="s">
        <v>15</v>
      </c>
    </row>
    <row r="1909" spans="1:12" x14ac:dyDescent="0.25">
      <c r="A1909" t="str">
        <f>"2107130058"</f>
        <v>2107130058</v>
      </c>
      <c r="B1909" t="str">
        <f t="shared" si="118"/>
        <v>89301000</v>
      </c>
      <c r="C1909" s="1">
        <v>44390</v>
      </c>
      <c r="D1909" s="1">
        <v>44392</v>
      </c>
      <c r="E1909">
        <v>1</v>
      </c>
      <c r="F1909" t="s">
        <v>1261</v>
      </c>
      <c r="G1909" t="str">
        <f>"15-K06-04"</f>
        <v>15-K06-04</v>
      </c>
      <c r="H1909">
        <v>0.27479999999999999</v>
      </c>
      <c r="J1909" t="s">
        <v>59</v>
      </c>
      <c r="K1909" t="str">
        <f t="shared" si="119"/>
        <v>3F4</v>
      </c>
      <c r="L1909" t="s">
        <v>15</v>
      </c>
    </row>
    <row r="1910" spans="1:12" x14ac:dyDescent="0.25">
      <c r="A1910" t="str">
        <f>"2107130476"</f>
        <v>2107130476</v>
      </c>
      <c r="B1910" t="str">
        <f t="shared" si="118"/>
        <v>89301000</v>
      </c>
      <c r="C1910" s="1">
        <v>44390</v>
      </c>
      <c r="D1910" s="1">
        <v>44393</v>
      </c>
      <c r="E1910">
        <v>1</v>
      </c>
      <c r="F1910" t="s">
        <v>1261</v>
      </c>
      <c r="G1910" t="str">
        <f>"15-K06-04"</f>
        <v>15-K06-04</v>
      </c>
      <c r="H1910">
        <v>0.27479999999999999</v>
      </c>
      <c r="I1910" t="s">
        <v>1391</v>
      </c>
      <c r="J1910" t="s">
        <v>59</v>
      </c>
      <c r="K1910" t="str">
        <f t="shared" si="119"/>
        <v>3F4</v>
      </c>
      <c r="L1910" t="s">
        <v>15</v>
      </c>
    </row>
    <row r="1911" spans="1:12" x14ac:dyDescent="0.25">
      <c r="A1911" t="str">
        <f>"2107140574"</f>
        <v>2107140574</v>
      </c>
      <c r="B1911" t="str">
        <f t="shared" si="118"/>
        <v>89301000</v>
      </c>
      <c r="C1911" s="1">
        <v>44391</v>
      </c>
      <c r="D1911" s="1">
        <v>44394</v>
      </c>
      <c r="E1911">
        <v>1</v>
      </c>
      <c r="F1911" t="s">
        <v>1261</v>
      </c>
      <c r="G1911" t="str">
        <f>"15-K06-04"</f>
        <v>15-K06-04</v>
      </c>
      <c r="H1911">
        <v>0.27479999999999999</v>
      </c>
      <c r="J1911" t="s">
        <v>59</v>
      </c>
      <c r="K1911" t="str">
        <f t="shared" si="119"/>
        <v>3F4</v>
      </c>
      <c r="L1911" t="s">
        <v>15</v>
      </c>
    </row>
    <row r="1912" spans="1:12" x14ac:dyDescent="0.25">
      <c r="A1912" t="str">
        <f>"2107150529"</f>
        <v>2107150529</v>
      </c>
      <c r="B1912" t="str">
        <f t="shared" si="118"/>
        <v>89301000</v>
      </c>
      <c r="C1912" s="1">
        <v>44392</v>
      </c>
      <c r="D1912" s="1">
        <v>44395</v>
      </c>
      <c r="E1912">
        <v>1</v>
      </c>
      <c r="F1912" t="s">
        <v>1221</v>
      </c>
      <c r="G1912" t="str">
        <f>"15-K05-03"</f>
        <v>15-K05-03</v>
      </c>
      <c r="H1912">
        <v>0.62380000000000002</v>
      </c>
      <c r="I1912" t="s">
        <v>1392</v>
      </c>
      <c r="J1912" t="s">
        <v>1212</v>
      </c>
      <c r="K1912" t="str">
        <f t="shared" si="119"/>
        <v>3F4</v>
      </c>
      <c r="L1912" t="s">
        <v>15</v>
      </c>
    </row>
    <row r="1913" spans="1:12" x14ac:dyDescent="0.25">
      <c r="A1913" t="str">
        <f>"2107150540"</f>
        <v>2107150540</v>
      </c>
      <c r="B1913" t="str">
        <f t="shared" si="118"/>
        <v>89301000</v>
      </c>
      <c r="C1913" s="1">
        <v>44392</v>
      </c>
      <c r="D1913" s="1">
        <v>44396</v>
      </c>
      <c r="E1913">
        <v>1</v>
      </c>
      <c r="F1913" t="s">
        <v>1261</v>
      </c>
      <c r="G1913" t="str">
        <f>"15-K06-04"</f>
        <v>15-K06-04</v>
      </c>
      <c r="H1913">
        <v>0.27479999999999999</v>
      </c>
      <c r="J1913" t="s">
        <v>59</v>
      </c>
      <c r="K1913" t="str">
        <f t="shared" si="119"/>
        <v>3F4</v>
      </c>
      <c r="L1913" t="s">
        <v>15</v>
      </c>
    </row>
    <row r="1914" spans="1:12" x14ac:dyDescent="0.25">
      <c r="A1914" t="str">
        <f>"2107150551"</f>
        <v>2107150551</v>
      </c>
      <c r="B1914" t="str">
        <f t="shared" si="118"/>
        <v>89301000</v>
      </c>
      <c r="C1914" s="1">
        <v>44392</v>
      </c>
      <c r="D1914" s="1">
        <v>44396</v>
      </c>
      <c r="E1914">
        <v>1</v>
      </c>
      <c r="F1914" t="s">
        <v>1261</v>
      </c>
      <c r="G1914" t="str">
        <f>"15-K06-04"</f>
        <v>15-K06-04</v>
      </c>
      <c r="H1914">
        <v>0.27479999999999999</v>
      </c>
      <c r="I1914" t="s">
        <v>1393</v>
      </c>
      <c r="J1914" t="s">
        <v>59</v>
      </c>
      <c r="K1914" t="str">
        <f t="shared" si="119"/>
        <v>3F4</v>
      </c>
      <c r="L1914" t="s">
        <v>15</v>
      </c>
    </row>
    <row r="1915" spans="1:12" x14ac:dyDescent="0.25">
      <c r="A1915" t="str">
        <f>"2107180185"</f>
        <v>2107180185</v>
      </c>
      <c r="B1915" t="str">
        <f t="shared" si="118"/>
        <v>89301000</v>
      </c>
      <c r="C1915" s="1">
        <v>44395</v>
      </c>
      <c r="D1915" s="1">
        <v>44399</v>
      </c>
      <c r="E1915">
        <v>1</v>
      </c>
      <c r="F1915" t="s">
        <v>1261</v>
      </c>
      <c r="G1915" t="str">
        <f>"15-K06-02"</f>
        <v>15-K06-02</v>
      </c>
      <c r="H1915">
        <v>0.59770000000000001</v>
      </c>
      <c r="I1915" t="s">
        <v>1337</v>
      </c>
      <c r="J1915" t="s">
        <v>59</v>
      </c>
      <c r="K1915" t="str">
        <f t="shared" si="119"/>
        <v>3F4</v>
      </c>
      <c r="L1915" t="s">
        <v>15</v>
      </c>
    </row>
    <row r="1916" spans="1:12" x14ac:dyDescent="0.25">
      <c r="A1916" t="str">
        <f>"2107190063"</f>
        <v>2107190063</v>
      </c>
      <c r="B1916" t="str">
        <f t="shared" si="118"/>
        <v>89301000</v>
      </c>
      <c r="C1916" s="1">
        <v>44396</v>
      </c>
      <c r="D1916" s="1">
        <v>44399</v>
      </c>
      <c r="E1916">
        <v>1</v>
      </c>
      <c r="F1916" t="s">
        <v>1312</v>
      </c>
      <c r="G1916" t="str">
        <f>"15-K07-03"</f>
        <v>15-K07-03</v>
      </c>
      <c r="H1916">
        <v>0.53959999999999997</v>
      </c>
      <c r="I1916" t="s">
        <v>1394</v>
      </c>
      <c r="J1916" t="s">
        <v>59</v>
      </c>
      <c r="K1916" t="str">
        <f t="shared" si="119"/>
        <v>3F4</v>
      </c>
      <c r="L1916" t="s">
        <v>15</v>
      </c>
    </row>
    <row r="1917" spans="1:12" x14ac:dyDescent="0.25">
      <c r="A1917" t="str">
        <f>"2107200502"</f>
        <v>2107200502</v>
      </c>
      <c r="B1917" t="str">
        <f t="shared" si="118"/>
        <v>89301000</v>
      </c>
      <c r="C1917" s="1">
        <v>44397</v>
      </c>
      <c r="D1917" s="1">
        <v>44401</v>
      </c>
      <c r="E1917">
        <v>1</v>
      </c>
      <c r="F1917" t="s">
        <v>1261</v>
      </c>
      <c r="G1917" t="str">
        <f>"15-K06-04"</f>
        <v>15-K06-04</v>
      </c>
      <c r="H1917">
        <v>0.27479999999999999</v>
      </c>
      <c r="I1917" t="s">
        <v>1304</v>
      </c>
      <c r="J1917" t="s">
        <v>59</v>
      </c>
      <c r="K1917" t="str">
        <f t="shared" si="119"/>
        <v>3F4</v>
      </c>
      <c r="L1917" t="s">
        <v>15</v>
      </c>
    </row>
    <row r="1918" spans="1:12" x14ac:dyDescent="0.25">
      <c r="A1918" t="str">
        <f>"2107200524"</f>
        <v>2107200524</v>
      </c>
      <c r="B1918" t="str">
        <f t="shared" si="118"/>
        <v>89301000</v>
      </c>
      <c r="C1918" s="1">
        <v>44397</v>
      </c>
      <c r="D1918" s="1">
        <v>44400</v>
      </c>
      <c r="E1918">
        <v>1</v>
      </c>
      <c r="F1918" t="s">
        <v>1261</v>
      </c>
      <c r="G1918" t="str">
        <f>"15-K06-04"</f>
        <v>15-K06-04</v>
      </c>
      <c r="H1918">
        <v>0.27479999999999999</v>
      </c>
      <c r="J1918" t="s">
        <v>59</v>
      </c>
      <c r="K1918" t="str">
        <f t="shared" si="119"/>
        <v>3F4</v>
      </c>
      <c r="L1918" t="s">
        <v>15</v>
      </c>
    </row>
    <row r="1919" spans="1:12" x14ac:dyDescent="0.25">
      <c r="A1919" t="str">
        <f>"2107210072"</f>
        <v>2107210072</v>
      </c>
      <c r="B1919" t="str">
        <f t="shared" si="118"/>
        <v>89301000</v>
      </c>
      <c r="C1919" s="1">
        <v>44398</v>
      </c>
      <c r="D1919" s="1">
        <v>44401</v>
      </c>
      <c r="E1919">
        <v>1</v>
      </c>
      <c r="F1919" t="s">
        <v>1261</v>
      </c>
      <c r="G1919" t="str">
        <f>"15-K06-04"</f>
        <v>15-K06-04</v>
      </c>
      <c r="H1919">
        <v>0.27479999999999999</v>
      </c>
      <c r="J1919" t="s">
        <v>59</v>
      </c>
      <c r="K1919" t="str">
        <f t="shared" si="119"/>
        <v>3F4</v>
      </c>
      <c r="L1919" t="s">
        <v>15</v>
      </c>
    </row>
    <row r="1920" spans="1:12" x14ac:dyDescent="0.25">
      <c r="A1920" t="str">
        <f>"2107210182"</f>
        <v>2107210182</v>
      </c>
      <c r="B1920" t="str">
        <f t="shared" si="118"/>
        <v>89301000</v>
      </c>
      <c r="C1920" s="1">
        <v>44482</v>
      </c>
      <c r="D1920" s="1">
        <v>44487</v>
      </c>
      <c r="E1920">
        <v>1</v>
      </c>
      <c r="F1920" t="s">
        <v>950</v>
      </c>
      <c r="G1920" t="str">
        <f>"04-K03-03"</f>
        <v>04-K03-03</v>
      </c>
      <c r="H1920">
        <v>0.53180000000000005</v>
      </c>
      <c r="I1920" t="s">
        <v>168</v>
      </c>
      <c r="J1920" t="s">
        <v>14</v>
      </c>
      <c r="K1920" t="str">
        <f>"3F1"</f>
        <v>3F1</v>
      </c>
      <c r="L1920" t="s">
        <v>15</v>
      </c>
    </row>
    <row r="1921" spans="1:12" x14ac:dyDescent="0.25">
      <c r="A1921" t="str">
        <f>"2107210666"</f>
        <v>2107210666</v>
      </c>
      <c r="B1921" t="str">
        <f t="shared" si="118"/>
        <v>89301000</v>
      </c>
      <c r="C1921" s="1">
        <v>44398</v>
      </c>
      <c r="D1921" s="1">
        <v>44402</v>
      </c>
      <c r="E1921">
        <v>1</v>
      </c>
      <c r="F1921" t="s">
        <v>1261</v>
      </c>
      <c r="G1921" t="str">
        <f>"15-K06-04"</f>
        <v>15-K06-04</v>
      </c>
      <c r="H1921">
        <v>0.27479999999999999</v>
      </c>
      <c r="J1921" t="s">
        <v>59</v>
      </c>
      <c r="K1921" t="str">
        <f>"3F4"</f>
        <v>3F4</v>
      </c>
      <c r="L1921" t="s">
        <v>15</v>
      </c>
    </row>
    <row r="1922" spans="1:12" x14ac:dyDescent="0.25">
      <c r="A1922" t="str">
        <f>"2107220610"</f>
        <v>2107220610</v>
      </c>
      <c r="B1922" t="str">
        <f t="shared" si="118"/>
        <v>89301000</v>
      </c>
      <c r="C1922" s="1">
        <v>44399</v>
      </c>
      <c r="D1922" s="1">
        <v>44402</v>
      </c>
      <c r="E1922">
        <v>1</v>
      </c>
      <c r="F1922" t="s">
        <v>1261</v>
      </c>
      <c r="G1922" t="str">
        <f>"15-K06-04"</f>
        <v>15-K06-04</v>
      </c>
      <c r="H1922">
        <v>0.27479999999999999</v>
      </c>
      <c r="I1922" t="s">
        <v>1278</v>
      </c>
      <c r="J1922" t="s">
        <v>59</v>
      </c>
      <c r="K1922" t="str">
        <f>"3F4"</f>
        <v>3F4</v>
      </c>
      <c r="L1922" t="s">
        <v>15</v>
      </c>
    </row>
    <row r="1923" spans="1:12" x14ac:dyDescent="0.25">
      <c r="A1923" t="str">
        <f>"2107220632"</f>
        <v>2107220632</v>
      </c>
      <c r="B1923" t="str">
        <f t="shared" si="118"/>
        <v>89301000</v>
      </c>
      <c r="C1923" s="1">
        <v>44399</v>
      </c>
      <c r="D1923" s="1">
        <v>44402</v>
      </c>
      <c r="E1923">
        <v>1</v>
      </c>
      <c r="F1923" t="s">
        <v>1261</v>
      </c>
      <c r="G1923" t="str">
        <f>"15-K06-04"</f>
        <v>15-K06-04</v>
      </c>
      <c r="H1923">
        <v>0.27479999999999999</v>
      </c>
      <c r="I1923" t="s">
        <v>1278</v>
      </c>
      <c r="J1923" t="s">
        <v>59</v>
      </c>
      <c r="K1923" t="str">
        <f>"3F4"</f>
        <v>3F4</v>
      </c>
      <c r="L1923" t="s">
        <v>15</v>
      </c>
    </row>
    <row r="1924" spans="1:12" x14ac:dyDescent="0.25">
      <c r="A1924" t="str">
        <f>"2107240311"</f>
        <v>2107240311</v>
      </c>
      <c r="B1924" t="str">
        <f t="shared" si="118"/>
        <v>89301000</v>
      </c>
      <c r="C1924" s="1">
        <v>44401</v>
      </c>
      <c r="D1924" s="1">
        <v>44403</v>
      </c>
      <c r="E1924">
        <v>1</v>
      </c>
      <c r="F1924" t="s">
        <v>1261</v>
      </c>
      <c r="G1924" t="str">
        <f>"15-K06-04"</f>
        <v>15-K06-04</v>
      </c>
      <c r="H1924">
        <v>0.27479999999999999</v>
      </c>
      <c r="I1924" t="s">
        <v>1395</v>
      </c>
      <c r="J1924" t="s">
        <v>59</v>
      </c>
      <c r="K1924" t="str">
        <f>"3F4"</f>
        <v>3F4</v>
      </c>
      <c r="L1924" t="s">
        <v>15</v>
      </c>
    </row>
    <row r="1925" spans="1:12" x14ac:dyDescent="0.25">
      <c r="A1925" t="str">
        <f>"2107240322"</f>
        <v>2107240322</v>
      </c>
      <c r="B1925" t="str">
        <f t="shared" si="118"/>
        <v>89301000</v>
      </c>
      <c r="C1925" s="1">
        <v>44401</v>
      </c>
      <c r="D1925" s="1">
        <v>44404</v>
      </c>
      <c r="E1925">
        <v>1</v>
      </c>
      <c r="F1925" t="s">
        <v>1261</v>
      </c>
      <c r="G1925" t="str">
        <f>"15-K06-04"</f>
        <v>15-K06-04</v>
      </c>
      <c r="H1925">
        <v>0.27479999999999999</v>
      </c>
      <c r="I1925" t="s">
        <v>1278</v>
      </c>
      <c r="J1925" t="s">
        <v>59</v>
      </c>
      <c r="K1925" t="str">
        <f>"3F4"</f>
        <v>3F4</v>
      </c>
      <c r="L1925" t="s">
        <v>15</v>
      </c>
    </row>
    <row r="1926" spans="1:12" x14ac:dyDescent="0.25">
      <c r="A1926" t="str">
        <f>"2107240432"</f>
        <v>2107240432</v>
      </c>
      <c r="B1926" t="str">
        <f t="shared" si="118"/>
        <v>89301000</v>
      </c>
      <c r="C1926" s="1">
        <v>44502</v>
      </c>
      <c r="D1926" s="1">
        <v>44506</v>
      </c>
      <c r="E1926">
        <v>1</v>
      </c>
      <c r="F1926" t="s">
        <v>1310</v>
      </c>
      <c r="G1926" t="str">
        <f>"04-K03-03"</f>
        <v>04-K03-03</v>
      </c>
      <c r="H1926">
        <v>0.53180000000000005</v>
      </c>
      <c r="I1926" t="s">
        <v>168</v>
      </c>
      <c r="J1926" t="s">
        <v>14</v>
      </c>
      <c r="K1926" t="str">
        <f>"3F1"</f>
        <v>3F1</v>
      </c>
      <c r="L1926" t="s">
        <v>15</v>
      </c>
    </row>
    <row r="1927" spans="1:12" x14ac:dyDescent="0.25">
      <c r="A1927" t="str">
        <f>"2107270121"</f>
        <v>2107270121</v>
      </c>
      <c r="B1927" t="str">
        <f t="shared" si="118"/>
        <v>89301000</v>
      </c>
      <c r="C1927" s="1">
        <v>44404</v>
      </c>
      <c r="D1927" s="1">
        <v>44406</v>
      </c>
      <c r="E1927">
        <v>1</v>
      </c>
      <c r="F1927" t="s">
        <v>1261</v>
      </c>
      <c r="G1927" t="str">
        <f>"15-K06-04"</f>
        <v>15-K06-04</v>
      </c>
      <c r="H1927">
        <v>0.27479999999999999</v>
      </c>
      <c r="J1927" t="s">
        <v>59</v>
      </c>
      <c r="K1927" t="str">
        <f t="shared" ref="K1927:K1936" si="120">"3F4"</f>
        <v>3F4</v>
      </c>
      <c r="L1927" t="s">
        <v>15</v>
      </c>
    </row>
    <row r="1928" spans="1:12" x14ac:dyDescent="0.25">
      <c r="A1928" t="str">
        <f>"2107270506"</f>
        <v>2107270506</v>
      </c>
      <c r="B1928" t="str">
        <f t="shared" si="118"/>
        <v>89301000</v>
      </c>
      <c r="C1928" s="1">
        <v>44404</v>
      </c>
      <c r="D1928" s="1">
        <v>44408</v>
      </c>
      <c r="E1928">
        <v>1</v>
      </c>
      <c r="F1928" t="s">
        <v>1261</v>
      </c>
      <c r="G1928" t="str">
        <f>"15-K06-04"</f>
        <v>15-K06-04</v>
      </c>
      <c r="H1928">
        <v>0.27479999999999999</v>
      </c>
      <c r="J1928" t="s">
        <v>59</v>
      </c>
      <c r="K1928" t="str">
        <f t="shared" si="120"/>
        <v>3F4</v>
      </c>
      <c r="L1928" t="s">
        <v>15</v>
      </c>
    </row>
    <row r="1929" spans="1:12" x14ac:dyDescent="0.25">
      <c r="A1929" t="str">
        <f>"2107290075"</f>
        <v>2107290075</v>
      </c>
      <c r="B1929" t="str">
        <f t="shared" si="118"/>
        <v>89301000</v>
      </c>
      <c r="C1929" s="1">
        <v>44406</v>
      </c>
      <c r="D1929" s="1">
        <v>44433</v>
      </c>
      <c r="E1929">
        <v>1</v>
      </c>
      <c r="F1929" t="s">
        <v>1221</v>
      </c>
      <c r="G1929" t="str">
        <f>"15-M01-11"</f>
        <v>15-M01-11</v>
      </c>
      <c r="H1929">
        <v>4.7668999999999997</v>
      </c>
      <c r="I1929" t="s">
        <v>1396</v>
      </c>
      <c r="J1929" t="s">
        <v>1212</v>
      </c>
      <c r="K1929" t="str">
        <f t="shared" si="120"/>
        <v>3F4</v>
      </c>
      <c r="L1929" t="s">
        <v>15</v>
      </c>
    </row>
    <row r="1930" spans="1:12" x14ac:dyDescent="0.25">
      <c r="A1930" t="str">
        <f>"2107300492"</f>
        <v>2107300492</v>
      </c>
      <c r="B1930" t="str">
        <f t="shared" si="118"/>
        <v>89301000</v>
      </c>
      <c r="C1930" s="1">
        <v>44407</v>
      </c>
      <c r="D1930" s="1">
        <v>44409</v>
      </c>
      <c r="E1930">
        <v>1</v>
      </c>
      <c r="F1930" t="s">
        <v>1261</v>
      </c>
      <c r="G1930" t="str">
        <f>"15-K06-04"</f>
        <v>15-K06-04</v>
      </c>
      <c r="H1930">
        <v>0.27479999999999999</v>
      </c>
      <c r="I1930" t="s">
        <v>1397</v>
      </c>
      <c r="J1930" t="s">
        <v>59</v>
      </c>
      <c r="K1930" t="str">
        <f t="shared" si="120"/>
        <v>3F4</v>
      </c>
      <c r="L1930" t="s">
        <v>15</v>
      </c>
    </row>
    <row r="1931" spans="1:12" x14ac:dyDescent="0.25">
      <c r="A1931" t="str">
        <f>"2107300525"</f>
        <v>2107300525</v>
      </c>
      <c r="B1931" t="str">
        <f t="shared" si="118"/>
        <v>89301000</v>
      </c>
      <c r="C1931" s="1">
        <v>44407</v>
      </c>
      <c r="D1931" s="1">
        <v>44411</v>
      </c>
      <c r="E1931">
        <v>1</v>
      </c>
      <c r="F1931" t="s">
        <v>1261</v>
      </c>
      <c r="G1931" t="str">
        <f>"15-K06-04"</f>
        <v>15-K06-04</v>
      </c>
      <c r="H1931">
        <v>0.27479999999999999</v>
      </c>
      <c r="I1931" t="s">
        <v>1346</v>
      </c>
      <c r="J1931" t="s">
        <v>59</v>
      </c>
      <c r="K1931" t="str">
        <f t="shared" si="120"/>
        <v>3F4</v>
      </c>
      <c r="L1931" t="s">
        <v>15</v>
      </c>
    </row>
    <row r="1932" spans="1:12" x14ac:dyDescent="0.25">
      <c r="A1932" t="str">
        <f>"2107300547"</f>
        <v>2107300547</v>
      </c>
      <c r="B1932" t="str">
        <f t="shared" si="118"/>
        <v>89301000</v>
      </c>
      <c r="C1932" s="1">
        <v>44407</v>
      </c>
      <c r="D1932" s="1">
        <v>44410</v>
      </c>
      <c r="E1932">
        <v>1</v>
      </c>
      <c r="F1932" t="s">
        <v>1261</v>
      </c>
      <c r="G1932" t="str">
        <f>"15-K06-04"</f>
        <v>15-K06-04</v>
      </c>
      <c r="H1932">
        <v>0.27479999999999999</v>
      </c>
      <c r="J1932" t="s">
        <v>59</v>
      </c>
      <c r="K1932" t="str">
        <f t="shared" si="120"/>
        <v>3F4</v>
      </c>
      <c r="L1932" t="s">
        <v>15</v>
      </c>
    </row>
    <row r="1933" spans="1:12" x14ac:dyDescent="0.25">
      <c r="A1933" t="str">
        <f>"2107310260"</f>
        <v>2107310260</v>
      </c>
      <c r="B1933" t="str">
        <f t="shared" si="118"/>
        <v>89301000</v>
      </c>
      <c r="C1933" s="1">
        <v>44408</v>
      </c>
      <c r="D1933" s="1">
        <v>44411</v>
      </c>
      <c r="E1933">
        <v>1</v>
      </c>
      <c r="F1933" t="s">
        <v>1261</v>
      </c>
      <c r="G1933" t="str">
        <f>"15-K06-04"</f>
        <v>15-K06-04</v>
      </c>
      <c r="H1933">
        <v>0.27479999999999999</v>
      </c>
      <c r="J1933" t="s">
        <v>59</v>
      </c>
      <c r="K1933" t="str">
        <f t="shared" si="120"/>
        <v>3F4</v>
      </c>
      <c r="L1933" t="s">
        <v>15</v>
      </c>
    </row>
    <row r="1934" spans="1:12" x14ac:dyDescent="0.25">
      <c r="A1934" t="str">
        <f>"2107310271"</f>
        <v>2107310271</v>
      </c>
      <c r="B1934" t="str">
        <f t="shared" si="118"/>
        <v>89301000</v>
      </c>
      <c r="C1934" s="1">
        <v>44408</v>
      </c>
      <c r="D1934" s="1">
        <v>44428</v>
      </c>
      <c r="E1934">
        <v>1</v>
      </c>
      <c r="F1934" t="s">
        <v>1210</v>
      </c>
      <c r="G1934" t="str">
        <f>"15-M01-11"</f>
        <v>15-M01-11</v>
      </c>
      <c r="H1934">
        <v>4.8699000000000003</v>
      </c>
      <c r="I1934" t="s">
        <v>1398</v>
      </c>
      <c r="J1934" t="s">
        <v>1212</v>
      </c>
      <c r="K1934" t="str">
        <f t="shared" si="120"/>
        <v>3F4</v>
      </c>
      <c r="L1934" t="s">
        <v>15</v>
      </c>
    </row>
    <row r="1935" spans="1:12" x14ac:dyDescent="0.25">
      <c r="A1935" t="str">
        <f>"2108010344"</f>
        <v>2108010344</v>
      </c>
      <c r="B1935" t="str">
        <f t="shared" si="118"/>
        <v>89301000</v>
      </c>
      <c r="C1935" s="1">
        <v>44409</v>
      </c>
      <c r="D1935" s="1">
        <v>44413</v>
      </c>
      <c r="E1935">
        <v>1</v>
      </c>
      <c r="F1935" t="s">
        <v>1261</v>
      </c>
      <c r="G1935" t="str">
        <f>"15-K06-04"</f>
        <v>15-K06-04</v>
      </c>
      <c r="H1935">
        <v>0.27479999999999999</v>
      </c>
      <c r="J1935" t="s">
        <v>59</v>
      </c>
      <c r="K1935" t="str">
        <f t="shared" si="120"/>
        <v>3F4</v>
      </c>
      <c r="L1935" t="s">
        <v>15</v>
      </c>
    </row>
    <row r="1936" spans="1:12" x14ac:dyDescent="0.25">
      <c r="A1936" t="str">
        <f>"2108030639"</f>
        <v>2108030639</v>
      </c>
      <c r="B1936" t="str">
        <f t="shared" si="118"/>
        <v>89301000</v>
      </c>
      <c r="C1936" s="1">
        <v>44411</v>
      </c>
      <c r="D1936" s="1">
        <v>44413</v>
      </c>
      <c r="E1936">
        <v>1</v>
      </c>
      <c r="F1936" t="s">
        <v>1261</v>
      </c>
      <c r="G1936" t="str">
        <f>"15-K06-04"</f>
        <v>15-K06-04</v>
      </c>
      <c r="H1936">
        <v>0.27479999999999999</v>
      </c>
      <c r="J1936" t="s">
        <v>59</v>
      </c>
      <c r="K1936" t="str">
        <f t="shared" si="120"/>
        <v>3F4</v>
      </c>
      <c r="L1936" t="s">
        <v>15</v>
      </c>
    </row>
    <row r="1937" spans="1:12" x14ac:dyDescent="0.25">
      <c r="A1937" t="str">
        <f>"2108040209"</f>
        <v>2108040209</v>
      </c>
      <c r="B1937" t="str">
        <f t="shared" si="118"/>
        <v>89301000</v>
      </c>
      <c r="C1937" s="1">
        <v>44488</v>
      </c>
      <c r="D1937" s="1">
        <v>44489</v>
      </c>
      <c r="E1937">
        <v>1</v>
      </c>
      <c r="F1937" t="s">
        <v>732</v>
      </c>
      <c r="G1937" t="str">
        <f>"08-I26-02"</f>
        <v>08-I26-02</v>
      </c>
      <c r="H1937">
        <v>0.83399999999999996</v>
      </c>
      <c r="J1937" t="s">
        <v>14</v>
      </c>
      <c r="K1937" t="str">
        <f>"3F1"</f>
        <v>3F1</v>
      </c>
      <c r="L1937" t="s">
        <v>15</v>
      </c>
    </row>
    <row r="1938" spans="1:12" x14ac:dyDescent="0.25">
      <c r="A1938" t="str">
        <f>"2108050670"</f>
        <v>2108050670</v>
      </c>
      <c r="B1938" t="str">
        <f t="shared" si="118"/>
        <v>89301000</v>
      </c>
      <c r="C1938" s="1">
        <v>44442</v>
      </c>
      <c r="D1938" s="1">
        <v>44444</v>
      </c>
      <c r="E1938">
        <v>1</v>
      </c>
      <c r="F1938" t="s">
        <v>1262</v>
      </c>
      <c r="G1938" t="str">
        <f>"23-K03-02"</f>
        <v>23-K03-02</v>
      </c>
      <c r="H1938">
        <v>0.35449999999999998</v>
      </c>
      <c r="J1938" t="s">
        <v>14</v>
      </c>
      <c r="K1938" t="str">
        <f t="shared" ref="K1938:K1944" si="121">"3F4"</f>
        <v>3F4</v>
      </c>
      <c r="L1938" t="s">
        <v>15</v>
      </c>
    </row>
    <row r="1939" spans="1:12" x14ac:dyDescent="0.25">
      <c r="A1939" t="str">
        <f>"2108050670"</f>
        <v>2108050670</v>
      </c>
      <c r="B1939" t="str">
        <f t="shared" si="118"/>
        <v>89301000</v>
      </c>
      <c r="C1939" s="1">
        <v>44413</v>
      </c>
      <c r="D1939" s="1">
        <v>44416</v>
      </c>
      <c r="E1939">
        <v>1</v>
      </c>
      <c r="F1939" t="s">
        <v>1261</v>
      </c>
      <c r="G1939" t="str">
        <f t="shared" ref="G1939:G1944" si="122">"15-K06-04"</f>
        <v>15-K06-04</v>
      </c>
      <c r="H1939">
        <v>0.27479999999999999</v>
      </c>
      <c r="J1939" t="s">
        <v>59</v>
      </c>
      <c r="K1939" t="str">
        <f t="shared" si="121"/>
        <v>3F4</v>
      </c>
      <c r="L1939" t="s">
        <v>15</v>
      </c>
    </row>
    <row r="1940" spans="1:12" x14ac:dyDescent="0.25">
      <c r="A1940" t="str">
        <f>"2108060790"</f>
        <v>2108060790</v>
      </c>
      <c r="B1940" t="str">
        <f t="shared" si="118"/>
        <v>89301000</v>
      </c>
      <c r="C1940" s="1">
        <v>44414</v>
      </c>
      <c r="D1940" s="1">
        <v>44417</v>
      </c>
      <c r="E1940">
        <v>1</v>
      </c>
      <c r="F1940" t="s">
        <v>1261</v>
      </c>
      <c r="G1940" t="str">
        <f t="shared" si="122"/>
        <v>15-K06-04</v>
      </c>
      <c r="H1940">
        <v>0.27479999999999999</v>
      </c>
      <c r="J1940" t="s">
        <v>59</v>
      </c>
      <c r="K1940" t="str">
        <f t="shared" si="121"/>
        <v>3F4</v>
      </c>
      <c r="L1940" t="s">
        <v>15</v>
      </c>
    </row>
    <row r="1941" spans="1:12" x14ac:dyDescent="0.25">
      <c r="A1941" t="str">
        <f>"2108060801"</f>
        <v>2108060801</v>
      </c>
      <c r="B1941" t="str">
        <f t="shared" si="118"/>
        <v>89301000</v>
      </c>
      <c r="C1941" s="1">
        <v>44414</v>
      </c>
      <c r="D1941" s="1">
        <v>44417</v>
      </c>
      <c r="E1941">
        <v>1</v>
      </c>
      <c r="F1941" t="s">
        <v>1261</v>
      </c>
      <c r="G1941" t="str">
        <f t="shared" si="122"/>
        <v>15-K06-04</v>
      </c>
      <c r="H1941">
        <v>0.27479999999999999</v>
      </c>
      <c r="J1941" t="s">
        <v>59</v>
      </c>
      <c r="K1941" t="str">
        <f t="shared" si="121"/>
        <v>3F4</v>
      </c>
      <c r="L1941" t="s">
        <v>15</v>
      </c>
    </row>
    <row r="1942" spans="1:12" x14ac:dyDescent="0.25">
      <c r="A1942" t="str">
        <f>"2108060823"</f>
        <v>2108060823</v>
      </c>
      <c r="B1942" t="str">
        <f t="shared" si="118"/>
        <v>89301000</v>
      </c>
      <c r="C1942" s="1">
        <v>44414</v>
      </c>
      <c r="D1942" s="1">
        <v>44416</v>
      </c>
      <c r="E1942">
        <v>1</v>
      </c>
      <c r="F1942" t="s">
        <v>1261</v>
      </c>
      <c r="G1942" t="str">
        <f t="shared" si="122"/>
        <v>15-K06-04</v>
      </c>
      <c r="H1942">
        <v>0.27479999999999999</v>
      </c>
      <c r="J1942" t="s">
        <v>59</v>
      </c>
      <c r="K1942" t="str">
        <f t="shared" si="121"/>
        <v>3F4</v>
      </c>
      <c r="L1942" t="s">
        <v>15</v>
      </c>
    </row>
    <row r="1943" spans="1:12" x14ac:dyDescent="0.25">
      <c r="A1943" t="str">
        <f>"2108060834"</f>
        <v>2108060834</v>
      </c>
      <c r="B1943" t="str">
        <f t="shared" si="118"/>
        <v>89301000</v>
      </c>
      <c r="C1943" s="1">
        <v>44414</v>
      </c>
      <c r="D1943" s="1">
        <v>44416</v>
      </c>
      <c r="E1943">
        <v>1</v>
      </c>
      <c r="F1943" t="s">
        <v>1261</v>
      </c>
      <c r="G1943" t="str">
        <f t="shared" si="122"/>
        <v>15-K06-04</v>
      </c>
      <c r="H1943">
        <v>0.27479999999999999</v>
      </c>
      <c r="I1943" t="s">
        <v>1308</v>
      </c>
      <c r="J1943" t="s">
        <v>59</v>
      </c>
      <c r="K1943" t="str">
        <f t="shared" si="121"/>
        <v>3F4</v>
      </c>
      <c r="L1943" t="s">
        <v>15</v>
      </c>
    </row>
    <row r="1944" spans="1:12" x14ac:dyDescent="0.25">
      <c r="A1944" t="str">
        <f>"2108070459"</f>
        <v>2108070459</v>
      </c>
      <c r="B1944" t="str">
        <f t="shared" si="118"/>
        <v>89301000</v>
      </c>
      <c r="C1944" s="1">
        <v>44415</v>
      </c>
      <c r="D1944" s="1">
        <v>44421</v>
      </c>
      <c r="E1944">
        <v>1</v>
      </c>
      <c r="F1944" t="s">
        <v>1338</v>
      </c>
      <c r="G1944" t="str">
        <f t="shared" si="122"/>
        <v>15-K06-04</v>
      </c>
      <c r="H1944">
        <v>0.30780000000000002</v>
      </c>
      <c r="I1944" t="s">
        <v>1221</v>
      </c>
      <c r="J1944" t="s">
        <v>59</v>
      </c>
      <c r="K1944" t="str">
        <f t="shared" si="121"/>
        <v>3F4</v>
      </c>
      <c r="L1944" t="s">
        <v>15</v>
      </c>
    </row>
    <row r="1945" spans="1:12" x14ac:dyDescent="0.25">
      <c r="A1945" t="str">
        <f>"2108080832"</f>
        <v>2108080832</v>
      </c>
      <c r="B1945" t="str">
        <f t="shared" si="118"/>
        <v>89301000</v>
      </c>
      <c r="C1945" s="1">
        <v>44416</v>
      </c>
      <c r="D1945" s="1">
        <v>44428</v>
      </c>
      <c r="E1945">
        <v>8</v>
      </c>
      <c r="F1945" t="s">
        <v>1210</v>
      </c>
      <c r="G1945" t="str">
        <f>"15-M01-07"</f>
        <v>15-M01-07</v>
      </c>
      <c r="H1945">
        <v>9.8536000000000001</v>
      </c>
      <c r="I1945" t="s">
        <v>1399</v>
      </c>
      <c r="J1945" t="s">
        <v>1212</v>
      </c>
      <c r="K1945" t="str">
        <f>"3T4"</f>
        <v>3T4</v>
      </c>
      <c r="L1945" t="s">
        <v>15</v>
      </c>
    </row>
    <row r="1946" spans="1:12" x14ac:dyDescent="0.25">
      <c r="A1946" t="str">
        <f>"2108090589"</f>
        <v>2108090589</v>
      </c>
      <c r="B1946" t="str">
        <f t="shared" si="118"/>
        <v>89301000</v>
      </c>
      <c r="C1946" s="1">
        <v>44417</v>
      </c>
      <c r="D1946" s="1">
        <v>44435</v>
      </c>
      <c r="E1946">
        <v>1</v>
      </c>
      <c r="F1946" t="s">
        <v>1221</v>
      </c>
      <c r="G1946" t="str">
        <f>"15-K04-02"</f>
        <v>15-K04-02</v>
      </c>
      <c r="H1946">
        <v>2.2848999999999999</v>
      </c>
      <c r="I1946" t="s">
        <v>1400</v>
      </c>
      <c r="J1946" t="s">
        <v>1212</v>
      </c>
      <c r="K1946" t="str">
        <f t="shared" ref="K1946:K1952" si="123">"3F4"</f>
        <v>3F4</v>
      </c>
      <c r="L1946" t="s">
        <v>15</v>
      </c>
    </row>
    <row r="1947" spans="1:12" x14ac:dyDescent="0.25">
      <c r="A1947" t="str">
        <f>"2108090600"</f>
        <v>2108090600</v>
      </c>
      <c r="B1947" t="str">
        <f t="shared" si="118"/>
        <v>89301000</v>
      </c>
      <c r="C1947" s="1">
        <v>44417</v>
      </c>
      <c r="D1947" s="1">
        <v>44421</v>
      </c>
      <c r="E1947">
        <v>1</v>
      </c>
      <c r="F1947" t="s">
        <v>1261</v>
      </c>
      <c r="G1947" t="str">
        <f>"15-K06-04"</f>
        <v>15-K06-04</v>
      </c>
      <c r="H1947">
        <v>0.27479999999999999</v>
      </c>
      <c r="I1947" t="s">
        <v>1401</v>
      </c>
      <c r="J1947" t="s">
        <v>59</v>
      </c>
      <c r="K1947" t="str">
        <f t="shared" si="123"/>
        <v>3F4</v>
      </c>
      <c r="L1947" t="s">
        <v>15</v>
      </c>
    </row>
    <row r="1948" spans="1:12" x14ac:dyDescent="0.25">
      <c r="A1948" t="str">
        <f>"2108090611"</f>
        <v>2108090611</v>
      </c>
      <c r="B1948" t="str">
        <f t="shared" si="118"/>
        <v>89301000</v>
      </c>
      <c r="C1948" s="1">
        <v>44417</v>
      </c>
      <c r="D1948" s="1">
        <v>44421</v>
      </c>
      <c r="E1948">
        <v>1</v>
      </c>
      <c r="F1948" t="s">
        <v>1261</v>
      </c>
      <c r="G1948" t="str">
        <f>"15-K06-04"</f>
        <v>15-K06-04</v>
      </c>
      <c r="H1948">
        <v>0.27479999999999999</v>
      </c>
      <c r="J1948" t="s">
        <v>59</v>
      </c>
      <c r="K1948" t="str">
        <f t="shared" si="123"/>
        <v>3F4</v>
      </c>
      <c r="L1948" t="s">
        <v>15</v>
      </c>
    </row>
    <row r="1949" spans="1:12" x14ac:dyDescent="0.25">
      <c r="A1949" t="str">
        <f>"2108100489"</f>
        <v>2108100489</v>
      </c>
      <c r="B1949" t="str">
        <f t="shared" si="118"/>
        <v>89301000</v>
      </c>
      <c r="C1949" s="1">
        <v>44418</v>
      </c>
      <c r="D1949" s="1">
        <v>44421</v>
      </c>
      <c r="E1949">
        <v>1</v>
      </c>
      <c r="F1949" t="s">
        <v>1261</v>
      </c>
      <c r="G1949" t="str">
        <f>"15-K06-04"</f>
        <v>15-K06-04</v>
      </c>
      <c r="H1949">
        <v>0.27479999999999999</v>
      </c>
      <c r="J1949" t="s">
        <v>59</v>
      </c>
      <c r="K1949" t="str">
        <f t="shared" si="123"/>
        <v>3F4</v>
      </c>
      <c r="L1949" t="s">
        <v>15</v>
      </c>
    </row>
    <row r="1950" spans="1:12" x14ac:dyDescent="0.25">
      <c r="A1950" t="str">
        <f>"2108100522"</f>
        <v>2108100522</v>
      </c>
      <c r="B1950" t="str">
        <f t="shared" si="118"/>
        <v>89301000</v>
      </c>
      <c r="C1950" s="1">
        <v>44418</v>
      </c>
      <c r="D1950" s="1">
        <v>44422</v>
      </c>
      <c r="E1950">
        <v>1</v>
      </c>
      <c r="F1950" t="s">
        <v>1338</v>
      </c>
      <c r="G1950" t="str">
        <f>"15-K05-03"</f>
        <v>15-K05-03</v>
      </c>
      <c r="H1950">
        <v>0.62380000000000002</v>
      </c>
      <c r="I1950" t="s">
        <v>1312</v>
      </c>
      <c r="J1950" t="s">
        <v>1212</v>
      </c>
      <c r="K1950" t="str">
        <f t="shared" si="123"/>
        <v>3F4</v>
      </c>
      <c r="L1950" t="s">
        <v>15</v>
      </c>
    </row>
    <row r="1951" spans="1:12" x14ac:dyDescent="0.25">
      <c r="A1951" t="str">
        <f>"2108100533"</f>
        <v>2108100533</v>
      </c>
      <c r="B1951" t="str">
        <f t="shared" si="118"/>
        <v>89301000</v>
      </c>
      <c r="C1951" s="1">
        <v>44418</v>
      </c>
      <c r="D1951" s="1">
        <v>44422</v>
      </c>
      <c r="E1951">
        <v>1</v>
      </c>
      <c r="F1951" t="s">
        <v>1338</v>
      </c>
      <c r="G1951" t="str">
        <f>"15-K05-03"</f>
        <v>15-K05-03</v>
      </c>
      <c r="H1951">
        <v>0.62380000000000002</v>
      </c>
      <c r="I1951" t="s">
        <v>1402</v>
      </c>
      <c r="J1951" t="s">
        <v>1212</v>
      </c>
      <c r="K1951" t="str">
        <f t="shared" si="123"/>
        <v>3F4</v>
      </c>
      <c r="L1951" t="s">
        <v>15</v>
      </c>
    </row>
    <row r="1952" spans="1:12" x14ac:dyDescent="0.25">
      <c r="A1952" t="str">
        <f>"2108100555"</f>
        <v>2108100555</v>
      </c>
      <c r="B1952" t="str">
        <f t="shared" si="118"/>
        <v>89301000</v>
      </c>
      <c r="C1952" s="1">
        <v>44418</v>
      </c>
      <c r="D1952" s="1">
        <v>44421</v>
      </c>
      <c r="E1952">
        <v>1</v>
      </c>
      <c r="F1952" t="s">
        <v>1261</v>
      </c>
      <c r="G1952" t="str">
        <f>"15-K06-04"</f>
        <v>15-K06-04</v>
      </c>
      <c r="H1952">
        <v>0.27479999999999999</v>
      </c>
      <c r="J1952" t="s">
        <v>59</v>
      </c>
      <c r="K1952" t="str">
        <f t="shared" si="123"/>
        <v>3F4</v>
      </c>
      <c r="L1952" t="s">
        <v>15</v>
      </c>
    </row>
    <row r="1953" spans="1:12" x14ac:dyDescent="0.25">
      <c r="A1953" t="str">
        <f>"2108110015"</f>
        <v>2108110015</v>
      </c>
      <c r="B1953" t="str">
        <f t="shared" si="118"/>
        <v>89301000</v>
      </c>
      <c r="C1953" s="1">
        <v>44428</v>
      </c>
      <c r="D1953" s="1">
        <v>44431</v>
      </c>
      <c r="E1953">
        <v>1</v>
      </c>
      <c r="F1953" t="s">
        <v>1335</v>
      </c>
      <c r="G1953" t="str">
        <f>"15-K07-02"</f>
        <v>15-K07-02</v>
      </c>
      <c r="H1953">
        <v>1.0072000000000001</v>
      </c>
      <c r="J1953" t="s">
        <v>59</v>
      </c>
      <c r="K1953" t="str">
        <f>"3F1"</f>
        <v>3F1</v>
      </c>
      <c r="L1953" t="s">
        <v>15</v>
      </c>
    </row>
    <row r="1954" spans="1:12" x14ac:dyDescent="0.25">
      <c r="A1954" t="str">
        <f>"2108110389"</f>
        <v>2108110389</v>
      </c>
      <c r="B1954" t="str">
        <f t="shared" si="118"/>
        <v>89301000</v>
      </c>
      <c r="C1954" s="1">
        <v>44419</v>
      </c>
      <c r="D1954" s="1">
        <v>44426</v>
      </c>
      <c r="E1954">
        <v>1</v>
      </c>
      <c r="F1954" t="s">
        <v>1288</v>
      </c>
      <c r="G1954" t="str">
        <f>"15-K07-01"</f>
        <v>15-K07-01</v>
      </c>
      <c r="H1954">
        <v>1.5082</v>
      </c>
      <c r="J1954" t="s">
        <v>59</v>
      </c>
      <c r="K1954" t="str">
        <f t="shared" ref="K1954:K1961" si="124">"3F4"</f>
        <v>3F4</v>
      </c>
      <c r="L1954" t="s">
        <v>15</v>
      </c>
    </row>
    <row r="1955" spans="1:12" x14ac:dyDescent="0.25">
      <c r="A1955" t="str">
        <f>"2108120773"</f>
        <v>2108120773</v>
      </c>
      <c r="B1955" t="str">
        <f t="shared" si="118"/>
        <v>89301000</v>
      </c>
      <c r="C1955" s="1">
        <v>44420</v>
      </c>
      <c r="D1955" s="1">
        <v>44423</v>
      </c>
      <c r="E1955">
        <v>1</v>
      </c>
      <c r="F1955" t="s">
        <v>1261</v>
      </c>
      <c r="G1955" t="str">
        <f>"15-K06-04"</f>
        <v>15-K06-04</v>
      </c>
      <c r="H1955">
        <v>0.27479999999999999</v>
      </c>
      <c r="J1955" t="s">
        <v>59</v>
      </c>
      <c r="K1955" t="str">
        <f t="shared" si="124"/>
        <v>3F4</v>
      </c>
      <c r="L1955" t="s">
        <v>15</v>
      </c>
    </row>
    <row r="1956" spans="1:12" x14ac:dyDescent="0.25">
      <c r="A1956" t="str">
        <f>"2108130464"</f>
        <v>2108130464</v>
      </c>
      <c r="B1956" t="str">
        <f t="shared" si="118"/>
        <v>89301000</v>
      </c>
      <c r="C1956" s="1">
        <v>44421</v>
      </c>
      <c r="D1956" s="1">
        <v>44425</v>
      </c>
      <c r="E1956">
        <v>1</v>
      </c>
      <c r="F1956" t="s">
        <v>1261</v>
      </c>
      <c r="G1956" t="str">
        <f>"15-K06-04"</f>
        <v>15-K06-04</v>
      </c>
      <c r="H1956">
        <v>0.27479999999999999</v>
      </c>
      <c r="J1956" t="s">
        <v>59</v>
      </c>
      <c r="K1956" t="str">
        <f t="shared" si="124"/>
        <v>3F4</v>
      </c>
      <c r="L1956" t="s">
        <v>15</v>
      </c>
    </row>
    <row r="1957" spans="1:12" x14ac:dyDescent="0.25">
      <c r="A1957" t="str">
        <f>"2108140408"</f>
        <v>2108140408</v>
      </c>
      <c r="B1957" t="str">
        <f t="shared" si="118"/>
        <v>89301000</v>
      </c>
      <c r="C1957" s="1">
        <v>44422</v>
      </c>
      <c r="D1957" s="1">
        <v>44425</v>
      </c>
      <c r="E1957">
        <v>1</v>
      </c>
      <c r="F1957" t="s">
        <v>1261</v>
      </c>
      <c r="G1957" t="str">
        <f>"15-K06-04"</f>
        <v>15-K06-04</v>
      </c>
      <c r="H1957">
        <v>0.27479999999999999</v>
      </c>
      <c r="J1957" t="s">
        <v>59</v>
      </c>
      <c r="K1957" t="str">
        <f t="shared" si="124"/>
        <v>3F4</v>
      </c>
      <c r="L1957" t="s">
        <v>15</v>
      </c>
    </row>
    <row r="1958" spans="1:12" x14ac:dyDescent="0.25">
      <c r="A1958" t="str">
        <f>"2108150308"</f>
        <v>2108150308</v>
      </c>
      <c r="B1958" t="str">
        <f t="shared" si="118"/>
        <v>89301000</v>
      </c>
      <c r="C1958" s="1">
        <v>44423</v>
      </c>
      <c r="D1958" s="1">
        <v>44442</v>
      </c>
      <c r="E1958">
        <v>1</v>
      </c>
      <c r="F1958" t="s">
        <v>1221</v>
      </c>
      <c r="G1958" t="str">
        <f>"15-K05-03"</f>
        <v>15-K05-03</v>
      </c>
      <c r="H1958">
        <v>0.90449999999999997</v>
      </c>
      <c r="I1958" t="s">
        <v>1403</v>
      </c>
      <c r="J1958" t="s">
        <v>1212</v>
      </c>
      <c r="K1958" t="str">
        <f t="shared" si="124"/>
        <v>3F4</v>
      </c>
      <c r="L1958" t="s">
        <v>15</v>
      </c>
    </row>
    <row r="1959" spans="1:12" x14ac:dyDescent="0.25">
      <c r="A1959" t="str">
        <f>"2108150319"</f>
        <v>2108150319</v>
      </c>
      <c r="B1959" t="str">
        <f t="shared" si="118"/>
        <v>89301000</v>
      </c>
      <c r="C1959" s="1">
        <v>44423</v>
      </c>
      <c r="D1959" s="1">
        <v>44442</v>
      </c>
      <c r="E1959">
        <v>1</v>
      </c>
      <c r="F1959" t="s">
        <v>1221</v>
      </c>
      <c r="G1959" t="str">
        <f>"15-K05-03"</f>
        <v>15-K05-03</v>
      </c>
      <c r="H1959">
        <v>0.90449999999999997</v>
      </c>
      <c r="I1959" t="s">
        <v>1338</v>
      </c>
      <c r="J1959" t="s">
        <v>1212</v>
      </c>
      <c r="K1959" t="str">
        <f t="shared" si="124"/>
        <v>3F4</v>
      </c>
      <c r="L1959" t="s">
        <v>15</v>
      </c>
    </row>
    <row r="1960" spans="1:12" x14ac:dyDescent="0.25">
      <c r="A1960" t="str">
        <f>"2108160670"</f>
        <v>2108160670</v>
      </c>
      <c r="B1960" t="str">
        <f t="shared" si="118"/>
        <v>89301000</v>
      </c>
      <c r="C1960" s="1">
        <v>44424</v>
      </c>
      <c r="D1960" s="1">
        <v>44426</v>
      </c>
      <c r="E1960">
        <v>1</v>
      </c>
      <c r="F1960" t="s">
        <v>1261</v>
      </c>
      <c r="G1960" t="str">
        <f>"15-K06-04"</f>
        <v>15-K06-04</v>
      </c>
      <c r="H1960">
        <v>0.27479999999999999</v>
      </c>
      <c r="J1960" t="s">
        <v>59</v>
      </c>
      <c r="K1960" t="str">
        <f t="shared" si="124"/>
        <v>3F4</v>
      </c>
      <c r="L1960" t="s">
        <v>15</v>
      </c>
    </row>
    <row r="1961" spans="1:12" x14ac:dyDescent="0.25">
      <c r="A1961" t="str">
        <f>"2108160758"</f>
        <v>2108160758</v>
      </c>
      <c r="B1961" t="str">
        <f t="shared" si="118"/>
        <v>89301000</v>
      </c>
      <c r="C1961" s="1">
        <v>44424</v>
      </c>
      <c r="D1961" s="1">
        <v>44427</v>
      </c>
      <c r="E1961">
        <v>1</v>
      </c>
      <c r="F1961" t="s">
        <v>1261</v>
      </c>
      <c r="G1961" t="str">
        <f>"15-K06-04"</f>
        <v>15-K06-04</v>
      </c>
      <c r="H1961">
        <v>0.27479999999999999</v>
      </c>
      <c r="I1961" t="s">
        <v>1278</v>
      </c>
      <c r="J1961" t="s">
        <v>59</v>
      </c>
      <c r="K1961" t="str">
        <f t="shared" si="124"/>
        <v>3F4</v>
      </c>
      <c r="L1961" t="s">
        <v>15</v>
      </c>
    </row>
    <row r="1962" spans="1:12" x14ac:dyDescent="0.25">
      <c r="A1962" t="str">
        <f>"2108161847"</f>
        <v>2108161847</v>
      </c>
      <c r="B1962" t="str">
        <f t="shared" si="118"/>
        <v>89301000</v>
      </c>
      <c r="C1962" s="1">
        <v>44508</v>
      </c>
      <c r="D1962" s="1">
        <v>44519</v>
      </c>
      <c r="E1962">
        <v>1</v>
      </c>
      <c r="F1962" t="s">
        <v>18</v>
      </c>
      <c r="G1962" t="str">
        <f>"11-I10-03"</f>
        <v>11-I10-03</v>
      </c>
      <c r="H1962">
        <v>2.3313999999999999</v>
      </c>
      <c r="J1962" t="s">
        <v>17</v>
      </c>
      <c r="K1962" t="str">
        <f>"3F1"</f>
        <v>3F1</v>
      </c>
      <c r="L1962" t="s">
        <v>15</v>
      </c>
    </row>
    <row r="1963" spans="1:12" x14ac:dyDescent="0.25">
      <c r="A1963" t="str">
        <f>"2108180580"</f>
        <v>2108180580</v>
      </c>
      <c r="B1963" t="str">
        <f t="shared" si="118"/>
        <v>89301000</v>
      </c>
      <c r="C1963" s="1">
        <v>44426</v>
      </c>
      <c r="D1963" s="1">
        <v>44429</v>
      </c>
      <c r="E1963">
        <v>1</v>
      </c>
      <c r="F1963" t="s">
        <v>1261</v>
      </c>
      <c r="G1963" t="str">
        <f>"15-K06-04"</f>
        <v>15-K06-04</v>
      </c>
      <c r="H1963">
        <v>0.27479999999999999</v>
      </c>
      <c r="I1963" t="s">
        <v>1404</v>
      </c>
      <c r="J1963" t="s">
        <v>59</v>
      </c>
      <c r="K1963" t="str">
        <f>"3F4"</f>
        <v>3F4</v>
      </c>
      <c r="L1963" t="s">
        <v>15</v>
      </c>
    </row>
    <row r="1964" spans="1:12" x14ac:dyDescent="0.25">
      <c r="A1964" t="str">
        <f>"2108190733"</f>
        <v>2108190733</v>
      </c>
      <c r="B1964" t="str">
        <f t="shared" si="118"/>
        <v>89301000</v>
      </c>
      <c r="C1964" s="1">
        <v>44427</v>
      </c>
      <c r="D1964" s="1">
        <v>44429</v>
      </c>
      <c r="E1964">
        <v>1</v>
      </c>
      <c r="F1964" t="s">
        <v>1261</v>
      </c>
      <c r="G1964" t="str">
        <f>"15-K06-04"</f>
        <v>15-K06-04</v>
      </c>
      <c r="H1964">
        <v>0.27479999999999999</v>
      </c>
      <c r="J1964" t="s">
        <v>59</v>
      </c>
      <c r="K1964" t="str">
        <f>"3F4"</f>
        <v>3F4</v>
      </c>
      <c r="L1964" t="s">
        <v>15</v>
      </c>
    </row>
    <row r="1965" spans="1:12" x14ac:dyDescent="0.25">
      <c r="A1965" t="str">
        <f>"2108200787"</f>
        <v>2108200787</v>
      </c>
      <c r="B1965" t="str">
        <f t="shared" si="118"/>
        <v>89301000</v>
      </c>
      <c r="C1965" s="1">
        <v>44428</v>
      </c>
      <c r="D1965" s="1">
        <v>44431</v>
      </c>
      <c r="E1965">
        <v>1</v>
      </c>
      <c r="F1965" t="s">
        <v>1261</v>
      </c>
      <c r="G1965" t="str">
        <f>"15-K06-04"</f>
        <v>15-K06-04</v>
      </c>
      <c r="H1965">
        <v>0.27479999999999999</v>
      </c>
      <c r="J1965" t="s">
        <v>59</v>
      </c>
      <c r="K1965" t="str">
        <f>"3F4"</f>
        <v>3F4</v>
      </c>
      <c r="L1965" t="s">
        <v>15</v>
      </c>
    </row>
    <row r="1966" spans="1:12" x14ac:dyDescent="0.25">
      <c r="A1966" t="str">
        <f>"2108210412"</f>
        <v>2108210412</v>
      </c>
      <c r="B1966" t="str">
        <f t="shared" si="118"/>
        <v>89301000</v>
      </c>
      <c r="C1966" s="1">
        <v>44429</v>
      </c>
      <c r="D1966" s="1">
        <v>44432</v>
      </c>
      <c r="E1966">
        <v>1</v>
      </c>
      <c r="F1966" t="s">
        <v>1261</v>
      </c>
      <c r="G1966" t="str">
        <f>"15-K06-04"</f>
        <v>15-K06-04</v>
      </c>
      <c r="H1966">
        <v>0.27479999999999999</v>
      </c>
      <c r="J1966" t="s">
        <v>59</v>
      </c>
      <c r="K1966" t="str">
        <f>"3F4"</f>
        <v>3F4</v>
      </c>
      <c r="L1966" t="s">
        <v>15</v>
      </c>
    </row>
    <row r="1967" spans="1:12" x14ac:dyDescent="0.25">
      <c r="A1967" t="str">
        <f>"2108210412"</f>
        <v>2108210412</v>
      </c>
      <c r="B1967" t="str">
        <f t="shared" si="118"/>
        <v>89301000</v>
      </c>
      <c r="C1967" s="1">
        <v>44490</v>
      </c>
      <c r="D1967" s="1">
        <v>44491</v>
      </c>
      <c r="E1967">
        <v>1</v>
      </c>
      <c r="F1967" t="s">
        <v>950</v>
      </c>
      <c r="G1967" t="str">
        <f>"04-K03-03"</f>
        <v>04-K03-03</v>
      </c>
      <c r="H1967">
        <v>0.53180000000000005</v>
      </c>
      <c r="I1967" t="s">
        <v>552</v>
      </c>
      <c r="J1967" t="s">
        <v>14</v>
      </c>
      <c r="K1967" t="str">
        <f>"3F1"</f>
        <v>3F1</v>
      </c>
      <c r="L1967" t="s">
        <v>15</v>
      </c>
    </row>
    <row r="1968" spans="1:12" x14ac:dyDescent="0.25">
      <c r="A1968" t="str">
        <f>"2108210456"</f>
        <v>2108210456</v>
      </c>
      <c r="B1968" t="str">
        <f t="shared" si="118"/>
        <v>89301000</v>
      </c>
      <c r="C1968" s="1">
        <v>44429</v>
      </c>
      <c r="D1968" s="1">
        <v>44432</v>
      </c>
      <c r="E1968">
        <v>1</v>
      </c>
      <c r="F1968" t="s">
        <v>1261</v>
      </c>
      <c r="G1968" t="str">
        <f>"15-K06-04"</f>
        <v>15-K06-04</v>
      </c>
      <c r="H1968">
        <v>0.27479999999999999</v>
      </c>
      <c r="J1968" t="s">
        <v>59</v>
      </c>
      <c r="K1968" t="str">
        <f>"3F4"</f>
        <v>3F4</v>
      </c>
      <c r="L1968" t="s">
        <v>15</v>
      </c>
    </row>
    <row r="1969" spans="1:12" x14ac:dyDescent="0.25">
      <c r="A1969" t="str">
        <f>"2108210478"</f>
        <v>2108210478</v>
      </c>
      <c r="B1969" t="str">
        <f t="shared" si="118"/>
        <v>89301000</v>
      </c>
      <c r="C1969" s="1">
        <v>44429</v>
      </c>
      <c r="D1969" s="1">
        <v>44434</v>
      </c>
      <c r="E1969">
        <v>1</v>
      </c>
      <c r="F1969" t="s">
        <v>1338</v>
      </c>
      <c r="G1969" t="str">
        <f>"15-K06-04"</f>
        <v>15-K06-04</v>
      </c>
      <c r="H1969">
        <v>0.27479999999999999</v>
      </c>
      <c r="J1969" t="s">
        <v>59</v>
      </c>
      <c r="K1969" t="str">
        <f>"3F4"</f>
        <v>3F4</v>
      </c>
      <c r="L1969" t="s">
        <v>15</v>
      </c>
    </row>
    <row r="1970" spans="1:12" x14ac:dyDescent="0.25">
      <c r="A1970" t="str">
        <f>"2108220136"</f>
        <v>2108220136</v>
      </c>
      <c r="B1970" t="str">
        <f t="shared" ref="B1970:B2032" si="125">"89301000"</f>
        <v>89301000</v>
      </c>
      <c r="C1970" s="1">
        <v>44481</v>
      </c>
      <c r="D1970" s="1">
        <v>44482</v>
      </c>
      <c r="E1970">
        <v>1</v>
      </c>
      <c r="F1970" t="s">
        <v>732</v>
      </c>
      <c r="G1970" t="str">
        <f>"08-I26-02"</f>
        <v>08-I26-02</v>
      </c>
      <c r="H1970">
        <v>0.83399999999999996</v>
      </c>
      <c r="J1970" t="s">
        <v>14</v>
      </c>
      <c r="K1970" t="str">
        <f>"3F1"</f>
        <v>3F1</v>
      </c>
      <c r="L1970" t="s">
        <v>15</v>
      </c>
    </row>
    <row r="1971" spans="1:12" x14ac:dyDescent="0.25">
      <c r="A1971" t="str">
        <f>"2108230487"</f>
        <v>2108230487</v>
      </c>
      <c r="B1971" t="str">
        <f t="shared" si="125"/>
        <v>89301000</v>
      </c>
      <c r="C1971" s="1">
        <v>44431</v>
      </c>
      <c r="D1971" s="1">
        <v>44434</v>
      </c>
      <c r="E1971">
        <v>1</v>
      </c>
      <c r="F1971" t="s">
        <v>1261</v>
      </c>
      <c r="G1971" t="str">
        <f>"15-K06-04"</f>
        <v>15-K06-04</v>
      </c>
      <c r="H1971">
        <v>0.27479999999999999</v>
      </c>
      <c r="J1971" t="s">
        <v>59</v>
      </c>
      <c r="K1971" t="str">
        <f t="shared" ref="K1971:K1987" si="126">"3F4"</f>
        <v>3F4</v>
      </c>
      <c r="L1971" t="s">
        <v>15</v>
      </c>
    </row>
    <row r="1972" spans="1:12" x14ac:dyDescent="0.25">
      <c r="A1972" t="str">
        <f>"2108250331"</f>
        <v>2108250331</v>
      </c>
      <c r="B1972" t="str">
        <f t="shared" si="125"/>
        <v>89301000</v>
      </c>
      <c r="C1972" s="1">
        <v>44433</v>
      </c>
      <c r="D1972" s="1">
        <v>44440</v>
      </c>
      <c r="E1972">
        <v>1</v>
      </c>
      <c r="F1972" t="s">
        <v>1261</v>
      </c>
      <c r="G1972" t="str">
        <f>"15-K06-01"</f>
        <v>15-K06-01</v>
      </c>
      <c r="H1972">
        <v>1.1248</v>
      </c>
      <c r="I1972" t="s">
        <v>1288</v>
      </c>
      <c r="J1972" t="s">
        <v>59</v>
      </c>
      <c r="K1972" t="str">
        <f t="shared" si="126"/>
        <v>3F4</v>
      </c>
      <c r="L1972" t="s">
        <v>15</v>
      </c>
    </row>
    <row r="1973" spans="1:12" x14ac:dyDescent="0.25">
      <c r="A1973" t="str">
        <f>"2108260561"</f>
        <v>2108260561</v>
      </c>
      <c r="B1973" t="str">
        <f t="shared" si="125"/>
        <v>89301000</v>
      </c>
      <c r="C1973" s="1">
        <v>44434</v>
      </c>
      <c r="D1973" s="1">
        <v>44437</v>
      </c>
      <c r="E1973">
        <v>1</v>
      </c>
      <c r="F1973" t="s">
        <v>1261</v>
      </c>
      <c r="G1973" t="str">
        <f>"15-K06-04"</f>
        <v>15-K06-04</v>
      </c>
      <c r="H1973">
        <v>0.27479999999999999</v>
      </c>
      <c r="I1973" t="s">
        <v>1367</v>
      </c>
      <c r="J1973" t="s">
        <v>59</v>
      </c>
      <c r="K1973" t="str">
        <f t="shared" si="126"/>
        <v>3F4</v>
      </c>
      <c r="L1973" t="s">
        <v>15</v>
      </c>
    </row>
    <row r="1974" spans="1:12" x14ac:dyDescent="0.25">
      <c r="A1974" t="str">
        <f>"2108260572"</f>
        <v>2108260572</v>
      </c>
      <c r="B1974" t="str">
        <f t="shared" si="125"/>
        <v>89301000</v>
      </c>
      <c r="C1974" s="1">
        <v>44434</v>
      </c>
      <c r="D1974" s="1">
        <v>44436</v>
      </c>
      <c r="E1974">
        <v>1</v>
      </c>
      <c r="F1974" t="s">
        <v>1261</v>
      </c>
      <c r="G1974" t="str">
        <f>"15-K06-04"</f>
        <v>15-K06-04</v>
      </c>
      <c r="H1974">
        <v>0.27479999999999999</v>
      </c>
      <c r="I1974" t="s">
        <v>1388</v>
      </c>
      <c r="J1974" t="s">
        <v>59</v>
      </c>
      <c r="K1974" t="str">
        <f t="shared" si="126"/>
        <v>3F4</v>
      </c>
      <c r="L1974" t="s">
        <v>15</v>
      </c>
    </row>
    <row r="1975" spans="1:12" x14ac:dyDescent="0.25">
      <c r="A1975" t="str">
        <f>"2108270516"</f>
        <v>2108270516</v>
      </c>
      <c r="B1975" t="str">
        <f t="shared" si="125"/>
        <v>89301000</v>
      </c>
      <c r="C1975" s="1">
        <v>44435</v>
      </c>
      <c r="D1975" s="1">
        <v>44438</v>
      </c>
      <c r="E1975">
        <v>1</v>
      </c>
      <c r="F1975" t="s">
        <v>1261</v>
      </c>
      <c r="G1975" t="str">
        <f>"15-K06-04"</f>
        <v>15-K06-04</v>
      </c>
      <c r="H1975">
        <v>0.27479999999999999</v>
      </c>
      <c r="J1975" t="s">
        <v>59</v>
      </c>
      <c r="K1975" t="str">
        <f t="shared" si="126"/>
        <v>3F4</v>
      </c>
      <c r="L1975" t="s">
        <v>15</v>
      </c>
    </row>
    <row r="1976" spans="1:12" x14ac:dyDescent="0.25">
      <c r="A1976" t="str">
        <f>"2108270538"</f>
        <v>2108270538</v>
      </c>
      <c r="B1976" t="str">
        <f t="shared" si="125"/>
        <v>89301000</v>
      </c>
      <c r="C1976" s="1">
        <v>44435</v>
      </c>
      <c r="D1976" s="1">
        <v>44438</v>
      </c>
      <c r="E1976">
        <v>1</v>
      </c>
      <c r="F1976" t="s">
        <v>1261</v>
      </c>
      <c r="G1976" t="str">
        <f>"15-K06-04"</f>
        <v>15-K06-04</v>
      </c>
      <c r="H1976">
        <v>0.27479999999999999</v>
      </c>
      <c r="J1976" t="s">
        <v>59</v>
      </c>
      <c r="K1976" t="str">
        <f t="shared" si="126"/>
        <v>3F4</v>
      </c>
      <c r="L1976" t="s">
        <v>15</v>
      </c>
    </row>
    <row r="1977" spans="1:12" x14ac:dyDescent="0.25">
      <c r="A1977" t="str">
        <f>"2108270560"</f>
        <v>2108270560</v>
      </c>
      <c r="B1977" t="str">
        <f t="shared" si="125"/>
        <v>89301000</v>
      </c>
      <c r="C1977" s="1">
        <v>44435</v>
      </c>
      <c r="D1977" s="1">
        <v>44438</v>
      </c>
      <c r="E1977">
        <v>1</v>
      </c>
      <c r="F1977" t="s">
        <v>1261</v>
      </c>
      <c r="G1977" t="str">
        <f>"15-K06-04"</f>
        <v>15-K06-04</v>
      </c>
      <c r="H1977">
        <v>0.27479999999999999</v>
      </c>
      <c r="I1977" t="s">
        <v>1405</v>
      </c>
      <c r="J1977" t="s">
        <v>59</v>
      </c>
      <c r="K1977" t="str">
        <f t="shared" si="126"/>
        <v>3F4</v>
      </c>
      <c r="L1977" t="s">
        <v>15</v>
      </c>
    </row>
    <row r="1978" spans="1:12" x14ac:dyDescent="0.25">
      <c r="A1978" t="str">
        <f>"2108270824"</f>
        <v>2108270824</v>
      </c>
      <c r="B1978" t="str">
        <f t="shared" si="125"/>
        <v>89301000</v>
      </c>
      <c r="C1978" s="1">
        <v>44446</v>
      </c>
      <c r="D1978" s="1">
        <v>44447</v>
      </c>
      <c r="E1978">
        <v>1</v>
      </c>
      <c r="F1978" t="s">
        <v>1264</v>
      </c>
      <c r="G1978" t="str">
        <f>"15-K07-03"</f>
        <v>15-K07-03</v>
      </c>
      <c r="H1978">
        <v>0.53959999999999997</v>
      </c>
      <c r="J1978" t="s">
        <v>59</v>
      </c>
      <c r="K1978" t="str">
        <f t="shared" si="126"/>
        <v>3F4</v>
      </c>
      <c r="L1978" t="s">
        <v>15</v>
      </c>
    </row>
    <row r="1979" spans="1:12" x14ac:dyDescent="0.25">
      <c r="A1979" t="str">
        <f>"2108280262"</f>
        <v>2108280262</v>
      </c>
      <c r="B1979" t="str">
        <f t="shared" si="125"/>
        <v>89301000</v>
      </c>
      <c r="C1979" s="1">
        <v>44436</v>
      </c>
      <c r="D1979" s="1">
        <v>44439</v>
      </c>
      <c r="E1979">
        <v>1</v>
      </c>
      <c r="F1979" t="s">
        <v>1261</v>
      </c>
      <c r="G1979" t="str">
        <f t="shared" ref="G1979:G1987" si="127">"15-K06-04"</f>
        <v>15-K06-04</v>
      </c>
      <c r="H1979">
        <v>0.27479999999999999</v>
      </c>
      <c r="J1979" t="s">
        <v>59</v>
      </c>
      <c r="K1979" t="str">
        <f t="shared" si="126"/>
        <v>3F4</v>
      </c>
      <c r="L1979" t="s">
        <v>15</v>
      </c>
    </row>
    <row r="1980" spans="1:12" x14ac:dyDescent="0.25">
      <c r="A1980" t="str">
        <f>"2108290272"</f>
        <v>2108290272</v>
      </c>
      <c r="B1980" t="str">
        <f t="shared" si="125"/>
        <v>89301000</v>
      </c>
      <c r="C1980" s="1">
        <v>44437</v>
      </c>
      <c r="D1980" s="1">
        <v>44441</v>
      </c>
      <c r="E1980">
        <v>1</v>
      </c>
      <c r="F1980" t="s">
        <v>1261</v>
      </c>
      <c r="G1980" t="str">
        <f t="shared" si="127"/>
        <v>15-K06-04</v>
      </c>
      <c r="H1980">
        <v>0.27479999999999999</v>
      </c>
      <c r="I1980" t="s">
        <v>1264</v>
      </c>
      <c r="J1980" t="s">
        <v>59</v>
      </c>
      <c r="K1980" t="str">
        <f t="shared" si="126"/>
        <v>3F4</v>
      </c>
      <c r="L1980" t="s">
        <v>15</v>
      </c>
    </row>
    <row r="1981" spans="1:12" x14ac:dyDescent="0.25">
      <c r="A1981" t="str">
        <f>"2108300062"</f>
        <v>2108300062</v>
      </c>
      <c r="B1981" t="str">
        <f t="shared" si="125"/>
        <v>89301000</v>
      </c>
      <c r="C1981" s="1">
        <v>44438</v>
      </c>
      <c r="D1981" s="1">
        <v>44441</v>
      </c>
      <c r="E1981">
        <v>1</v>
      </c>
      <c r="F1981" t="s">
        <v>1261</v>
      </c>
      <c r="G1981" t="str">
        <f t="shared" si="127"/>
        <v>15-K06-04</v>
      </c>
      <c r="H1981">
        <v>0.27479999999999999</v>
      </c>
      <c r="J1981" t="s">
        <v>59</v>
      </c>
      <c r="K1981" t="str">
        <f t="shared" si="126"/>
        <v>3F4</v>
      </c>
      <c r="L1981" t="s">
        <v>15</v>
      </c>
    </row>
    <row r="1982" spans="1:12" x14ac:dyDescent="0.25">
      <c r="A1982" t="str">
        <f>"2108300513"</f>
        <v>2108300513</v>
      </c>
      <c r="B1982" t="str">
        <f t="shared" si="125"/>
        <v>89301000</v>
      </c>
      <c r="C1982" s="1">
        <v>44438</v>
      </c>
      <c r="D1982" s="1">
        <v>44441</v>
      </c>
      <c r="E1982">
        <v>1</v>
      </c>
      <c r="F1982" t="s">
        <v>1261</v>
      </c>
      <c r="G1982" t="str">
        <f t="shared" si="127"/>
        <v>15-K06-04</v>
      </c>
      <c r="H1982">
        <v>0.27479999999999999</v>
      </c>
      <c r="J1982" t="s">
        <v>59</v>
      </c>
      <c r="K1982" t="str">
        <f t="shared" si="126"/>
        <v>3F4</v>
      </c>
      <c r="L1982" t="s">
        <v>15</v>
      </c>
    </row>
    <row r="1983" spans="1:12" x14ac:dyDescent="0.25">
      <c r="A1983" t="str">
        <f>"2108310435"</f>
        <v>2108310435</v>
      </c>
      <c r="B1983" t="str">
        <f t="shared" si="125"/>
        <v>89301000</v>
      </c>
      <c r="C1983" s="1">
        <v>44439</v>
      </c>
      <c r="D1983" s="1">
        <v>44441</v>
      </c>
      <c r="E1983">
        <v>1</v>
      </c>
      <c r="F1983" t="s">
        <v>1261</v>
      </c>
      <c r="G1983" t="str">
        <f t="shared" si="127"/>
        <v>15-K06-04</v>
      </c>
      <c r="H1983">
        <v>0.27479999999999999</v>
      </c>
      <c r="I1983" t="s">
        <v>1346</v>
      </c>
      <c r="J1983" t="s">
        <v>59</v>
      </c>
      <c r="K1983" t="str">
        <f t="shared" si="126"/>
        <v>3F4</v>
      </c>
      <c r="L1983" t="s">
        <v>15</v>
      </c>
    </row>
    <row r="1984" spans="1:12" x14ac:dyDescent="0.25">
      <c r="A1984" t="str">
        <f>"2109010651"</f>
        <v>2109010651</v>
      </c>
      <c r="B1984" t="str">
        <f t="shared" si="125"/>
        <v>89301000</v>
      </c>
      <c r="C1984" s="1">
        <v>44440</v>
      </c>
      <c r="D1984" s="1">
        <v>44443</v>
      </c>
      <c r="E1984">
        <v>1</v>
      </c>
      <c r="F1984" t="s">
        <v>1261</v>
      </c>
      <c r="G1984" t="str">
        <f t="shared" si="127"/>
        <v>15-K06-04</v>
      </c>
      <c r="H1984">
        <v>0.27479999999999999</v>
      </c>
      <c r="J1984" t="s">
        <v>59</v>
      </c>
      <c r="K1984" t="str">
        <f t="shared" si="126"/>
        <v>3F4</v>
      </c>
      <c r="L1984" t="s">
        <v>15</v>
      </c>
    </row>
    <row r="1985" spans="1:12" x14ac:dyDescent="0.25">
      <c r="A1985" t="str">
        <f>"2109010673"</f>
        <v>2109010673</v>
      </c>
      <c r="B1985" t="str">
        <f t="shared" si="125"/>
        <v>89301000</v>
      </c>
      <c r="C1985" s="1">
        <v>44440</v>
      </c>
      <c r="D1985" s="1">
        <v>44443</v>
      </c>
      <c r="E1985">
        <v>1</v>
      </c>
      <c r="F1985" t="s">
        <v>1261</v>
      </c>
      <c r="G1985" t="str">
        <f t="shared" si="127"/>
        <v>15-K06-04</v>
      </c>
      <c r="H1985">
        <v>0.27479999999999999</v>
      </c>
      <c r="J1985" t="s">
        <v>59</v>
      </c>
      <c r="K1985" t="str">
        <f t="shared" si="126"/>
        <v>3F4</v>
      </c>
      <c r="L1985" t="s">
        <v>15</v>
      </c>
    </row>
    <row r="1986" spans="1:12" x14ac:dyDescent="0.25">
      <c r="A1986" t="str">
        <f>"2109020078"</f>
        <v>2109020078</v>
      </c>
      <c r="B1986" t="str">
        <f t="shared" si="125"/>
        <v>89301000</v>
      </c>
      <c r="C1986" s="1">
        <v>44441</v>
      </c>
      <c r="D1986" s="1">
        <v>44443</v>
      </c>
      <c r="E1986">
        <v>1</v>
      </c>
      <c r="F1986" t="s">
        <v>1261</v>
      </c>
      <c r="G1986" t="str">
        <f t="shared" si="127"/>
        <v>15-K06-04</v>
      </c>
      <c r="H1986">
        <v>0.27479999999999999</v>
      </c>
      <c r="J1986" t="s">
        <v>59</v>
      </c>
      <c r="K1986" t="str">
        <f t="shared" si="126"/>
        <v>3F4</v>
      </c>
      <c r="L1986" t="s">
        <v>15</v>
      </c>
    </row>
    <row r="1987" spans="1:12" x14ac:dyDescent="0.25">
      <c r="A1987" t="str">
        <f>"2109020089"</f>
        <v>2109020089</v>
      </c>
      <c r="B1987" t="str">
        <f t="shared" si="125"/>
        <v>89301000</v>
      </c>
      <c r="C1987" s="1">
        <v>44441</v>
      </c>
      <c r="D1987" s="1">
        <v>44443</v>
      </c>
      <c r="E1987">
        <v>1</v>
      </c>
      <c r="F1987" t="s">
        <v>1261</v>
      </c>
      <c r="G1987" t="str">
        <f t="shared" si="127"/>
        <v>15-K06-04</v>
      </c>
      <c r="H1987">
        <v>0.27479999999999999</v>
      </c>
      <c r="J1987" t="s">
        <v>59</v>
      </c>
      <c r="K1987" t="str">
        <f t="shared" si="126"/>
        <v>3F4</v>
      </c>
      <c r="L1987" t="s">
        <v>15</v>
      </c>
    </row>
    <row r="1988" spans="1:12" x14ac:dyDescent="0.25">
      <c r="A1988" t="str">
        <f>"2109020089"</f>
        <v>2109020089</v>
      </c>
      <c r="B1988" t="str">
        <f t="shared" si="125"/>
        <v>89301000</v>
      </c>
      <c r="C1988" s="1">
        <v>44497</v>
      </c>
      <c r="D1988" s="1">
        <v>44498</v>
      </c>
      <c r="E1988">
        <v>1</v>
      </c>
      <c r="F1988" t="s">
        <v>1406</v>
      </c>
      <c r="G1988" t="str">
        <f>"21-K05-03"</f>
        <v>21-K05-03</v>
      </c>
      <c r="H1988">
        <v>0.46750000000000003</v>
      </c>
      <c r="I1988" t="s">
        <v>744</v>
      </c>
      <c r="J1988" t="s">
        <v>14</v>
      </c>
      <c r="K1988" t="str">
        <f>"3F1"</f>
        <v>3F1</v>
      </c>
      <c r="L1988" t="s">
        <v>15</v>
      </c>
    </row>
    <row r="1989" spans="1:12" x14ac:dyDescent="0.25">
      <c r="A1989" t="str">
        <f>"2109030605"</f>
        <v>2109030605</v>
      </c>
      <c r="B1989" t="str">
        <f t="shared" si="125"/>
        <v>89301000</v>
      </c>
      <c r="C1989" s="1">
        <v>44442</v>
      </c>
      <c r="D1989" s="1">
        <v>44446</v>
      </c>
      <c r="E1989">
        <v>1</v>
      </c>
      <c r="F1989" t="s">
        <v>1261</v>
      </c>
      <c r="G1989" t="str">
        <f>"15-K06-04"</f>
        <v>15-K06-04</v>
      </c>
      <c r="H1989">
        <v>0.27479999999999999</v>
      </c>
      <c r="J1989" t="s">
        <v>59</v>
      </c>
      <c r="K1989" t="str">
        <f>"3F4"</f>
        <v>3F4</v>
      </c>
      <c r="L1989" t="s">
        <v>15</v>
      </c>
    </row>
    <row r="1990" spans="1:12" x14ac:dyDescent="0.25">
      <c r="A1990" t="str">
        <f>"2109030605"</f>
        <v>2109030605</v>
      </c>
      <c r="B1990" t="str">
        <f t="shared" si="125"/>
        <v>89301000</v>
      </c>
      <c r="C1990" s="1">
        <v>44492</v>
      </c>
      <c r="D1990" s="1">
        <v>44496</v>
      </c>
      <c r="E1990">
        <v>1</v>
      </c>
      <c r="F1990" t="s">
        <v>950</v>
      </c>
      <c r="G1990" t="str">
        <f>"04-K03-03"</f>
        <v>04-K03-03</v>
      </c>
      <c r="H1990">
        <v>0.53180000000000005</v>
      </c>
      <c r="I1990" t="s">
        <v>168</v>
      </c>
      <c r="J1990" t="s">
        <v>14</v>
      </c>
      <c r="K1990" t="str">
        <f>"3F1"</f>
        <v>3F1</v>
      </c>
      <c r="L1990" t="s">
        <v>15</v>
      </c>
    </row>
    <row r="1991" spans="1:12" x14ac:dyDescent="0.25">
      <c r="A1991" t="str">
        <f>"2109050350"</f>
        <v>2109050350</v>
      </c>
      <c r="B1991" t="str">
        <f t="shared" si="125"/>
        <v>89301000</v>
      </c>
      <c r="C1991" s="1">
        <v>44444</v>
      </c>
      <c r="D1991" s="1">
        <v>44446</v>
      </c>
      <c r="E1991">
        <v>1</v>
      </c>
      <c r="F1991" t="s">
        <v>1261</v>
      </c>
      <c r="G1991" t="str">
        <f>"15-K06-04"</f>
        <v>15-K06-04</v>
      </c>
      <c r="H1991">
        <v>0.27479999999999999</v>
      </c>
      <c r="J1991" t="s">
        <v>59</v>
      </c>
      <c r="K1991" t="str">
        <f t="shared" ref="K1991:K2016" si="128">"3F4"</f>
        <v>3F4</v>
      </c>
      <c r="L1991" t="s">
        <v>15</v>
      </c>
    </row>
    <row r="1992" spans="1:12" x14ac:dyDescent="0.25">
      <c r="A1992" t="str">
        <f>"2109050394"</f>
        <v>2109050394</v>
      </c>
      <c r="B1992" t="str">
        <f t="shared" si="125"/>
        <v>89301000</v>
      </c>
      <c r="C1992" s="1">
        <v>44444</v>
      </c>
      <c r="D1992" s="1">
        <v>44449</v>
      </c>
      <c r="E1992">
        <v>1</v>
      </c>
      <c r="F1992" t="s">
        <v>1276</v>
      </c>
      <c r="G1992" t="str">
        <f>"15-K07-03"</f>
        <v>15-K07-03</v>
      </c>
      <c r="H1992">
        <v>0.53959999999999997</v>
      </c>
      <c r="J1992" t="s">
        <v>59</v>
      </c>
      <c r="K1992" t="str">
        <f t="shared" si="128"/>
        <v>3F4</v>
      </c>
      <c r="L1992" t="s">
        <v>15</v>
      </c>
    </row>
    <row r="1993" spans="1:12" x14ac:dyDescent="0.25">
      <c r="A1993" t="str">
        <f>"2109050405"</f>
        <v>2109050405</v>
      </c>
      <c r="B1993" t="str">
        <f t="shared" si="125"/>
        <v>89301000</v>
      </c>
      <c r="C1993" s="1">
        <v>44444</v>
      </c>
      <c r="D1993" s="1">
        <v>44447</v>
      </c>
      <c r="E1993">
        <v>1</v>
      </c>
      <c r="F1993" t="s">
        <v>1261</v>
      </c>
      <c r="G1993" t="str">
        <f>"15-K06-04"</f>
        <v>15-K06-04</v>
      </c>
      <c r="H1993">
        <v>0.27479999999999999</v>
      </c>
      <c r="I1993" t="s">
        <v>1279</v>
      </c>
      <c r="J1993" t="s">
        <v>59</v>
      </c>
      <c r="K1993" t="str">
        <f t="shared" si="128"/>
        <v>3F4</v>
      </c>
      <c r="L1993" t="s">
        <v>15</v>
      </c>
    </row>
    <row r="1994" spans="1:12" x14ac:dyDescent="0.25">
      <c r="A1994" t="str">
        <f>"2109070084"</f>
        <v>2109070084</v>
      </c>
      <c r="B1994" t="str">
        <f t="shared" si="125"/>
        <v>89301000</v>
      </c>
      <c r="C1994" s="1">
        <v>44446</v>
      </c>
      <c r="D1994" s="1">
        <v>44449</v>
      </c>
      <c r="E1994">
        <v>1</v>
      </c>
      <c r="F1994" t="s">
        <v>1261</v>
      </c>
      <c r="G1994" t="str">
        <f>"15-K06-04"</f>
        <v>15-K06-04</v>
      </c>
      <c r="H1994">
        <v>0.27479999999999999</v>
      </c>
      <c r="J1994" t="s">
        <v>59</v>
      </c>
      <c r="K1994" t="str">
        <f t="shared" si="128"/>
        <v>3F4</v>
      </c>
      <c r="L1994" t="s">
        <v>15</v>
      </c>
    </row>
    <row r="1995" spans="1:12" x14ac:dyDescent="0.25">
      <c r="A1995" t="str">
        <f>"2109080666"</f>
        <v>2109080666</v>
      </c>
      <c r="B1995" t="str">
        <f t="shared" si="125"/>
        <v>89301000</v>
      </c>
      <c r="C1995" s="1">
        <v>44447</v>
      </c>
      <c r="D1995" s="1">
        <v>44451</v>
      </c>
      <c r="E1995">
        <v>1</v>
      </c>
      <c r="F1995" t="s">
        <v>1261</v>
      </c>
      <c r="G1995" t="str">
        <f>"15-K06-04"</f>
        <v>15-K06-04</v>
      </c>
      <c r="H1995">
        <v>0.27479999999999999</v>
      </c>
      <c r="J1995" t="s">
        <v>59</v>
      </c>
      <c r="K1995" t="str">
        <f t="shared" si="128"/>
        <v>3F4</v>
      </c>
      <c r="L1995" t="s">
        <v>15</v>
      </c>
    </row>
    <row r="1996" spans="1:12" x14ac:dyDescent="0.25">
      <c r="A1996" t="str">
        <f>"2109080721"</f>
        <v>2109080721</v>
      </c>
      <c r="B1996" t="str">
        <f t="shared" si="125"/>
        <v>89301000</v>
      </c>
      <c r="C1996" s="1">
        <v>44447</v>
      </c>
      <c r="D1996" s="1">
        <v>44448</v>
      </c>
      <c r="E1996">
        <v>1</v>
      </c>
      <c r="F1996" t="s">
        <v>1261</v>
      </c>
      <c r="G1996" t="str">
        <f>"15-K06-04"</f>
        <v>15-K06-04</v>
      </c>
      <c r="H1996">
        <v>0.27479999999999999</v>
      </c>
      <c r="J1996" t="s">
        <v>59</v>
      </c>
      <c r="K1996" t="str">
        <f t="shared" si="128"/>
        <v>3F4</v>
      </c>
      <c r="L1996" t="s">
        <v>15</v>
      </c>
    </row>
    <row r="1997" spans="1:12" x14ac:dyDescent="0.25">
      <c r="A1997" t="str">
        <f>"2109080732"</f>
        <v>2109080732</v>
      </c>
      <c r="B1997" t="str">
        <f t="shared" si="125"/>
        <v>89301000</v>
      </c>
      <c r="C1997" s="1">
        <v>44447</v>
      </c>
      <c r="D1997" s="1">
        <v>44450</v>
      </c>
      <c r="E1997">
        <v>1</v>
      </c>
      <c r="F1997" t="s">
        <v>1261</v>
      </c>
      <c r="G1997" t="str">
        <f>"15-K06-04"</f>
        <v>15-K06-04</v>
      </c>
      <c r="H1997">
        <v>0.27479999999999999</v>
      </c>
      <c r="I1997" t="s">
        <v>1264</v>
      </c>
      <c r="J1997" t="s">
        <v>59</v>
      </c>
      <c r="K1997" t="str">
        <f t="shared" si="128"/>
        <v>3F4</v>
      </c>
      <c r="L1997" t="s">
        <v>15</v>
      </c>
    </row>
    <row r="1998" spans="1:12" x14ac:dyDescent="0.25">
      <c r="A1998" t="str">
        <f>"2109090830"</f>
        <v>2109090830</v>
      </c>
      <c r="B1998" t="str">
        <f t="shared" si="125"/>
        <v>89301000</v>
      </c>
      <c r="C1998" s="1">
        <v>44448</v>
      </c>
      <c r="D1998" s="1">
        <v>44451</v>
      </c>
      <c r="E1998">
        <v>1</v>
      </c>
      <c r="F1998" t="s">
        <v>1261</v>
      </c>
      <c r="G1998" t="str">
        <f>"15-K05-03"</f>
        <v>15-K05-03</v>
      </c>
      <c r="H1998">
        <v>0.62380000000000002</v>
      </c>
      <c r="I1998" t="s">
        <v>1379</v>
      </c>
      <c r="J1998" t="s">
        <v>1212</v>
      </c>
      <c r="K1998" t="str">
        <f t="shared" si="128"/>
        <v>3F4</v>
      </c>
      <c r="L1998" t="s">
        <v>15</v>
      </c>
    </row>
    <row r="1999" spans="1:12" x14ac:dyDescent="0.25">
      <c r="A1999" t="str">
        <f>"2109090863"</f>
        <v>2109090863</v>
      </c>
      <c r="B1999" t="str">
        <f t="shared" si="125"/>
        <v>89301000</v>
      </c>
      <c r="C1999" s="1">
        <v>44448</v>
      </c>
      <c r="D1999" s="1">
        <v>44451</v>
      </c>
      <c r="E1999">
        <v>1</v>
      </c>
      <c r="F1999" t="s">
        <v>1261</v>
      </c>
      <c r="G1999" t="str">
        <f>"15-K06-04"</f>
        <v>15-K06-04</v>
      </c>
      <c r="H1999">
        <v>0.27479999999999999</v>
      </c>
      <c r="J1999" t="s">
        <v>59</v>
      </c>
      <c r="K1999" t="str">
        <f t="shared" si="128"/>
        <v>3F4</v>
      </c>
      <c r="L1999" t="s">
        <v>15</v>
      </c>
    </row>
    <row r="2000" spans="1:12" x14ac:dyDescent="0.25">
      <c r="A2000" t="str">
        <f>"2109100906"</f>
        <v>2109100906</v>
      </c>
      <c r="B2000" t="str">
        <f t="shared" si="125"/>
        <v>89301000</v>
      </c>
      <c r="C2000" s="1">
        <v>44449</v>
      </c>
      <c r="D2000" s="1">
        <v>44452</v>
      </c>
      <c r="E2000">
        <v>1</v>
      </c>
      <c r="F2000" t="s">
        <v>1261</v>
      </c>
      <c r="G2000" t="str">
        <f>"15-K06-04"</f>
        <v>15-K06-04</v>
      </c>
      <c r="H2000">
        <v>0.27479999999999999</v>
      </c>
      <c r="J2000" t="s">
        <v>59</v>
      </c>
      <c r="K2000" t="str">
        <f t="shared" si="128"/>
        <v>3F4</v>
      </c>
      <c r="L2000" t="s">
        <v>15</v>
      </c>
    </row>
    <row r="2001" spans="1:12" x14ac:dyDescent="0.25">
      <c r="A2001" t="str">
        <f>"2109110553"</f>
        <v>2109110553</v>
      </c>
      <c r="B2001" t="str">
        <f t="shared" si="125"/>
        <v>89301000</v>
      </c>
      <c r="C2001" s="1">
        <v>44450</v>
      </c>
      <c r="D2001" s="1">
        <v>44453</v>
      </c>
      <c r="E2001">
        <v>1</v>
      </c>
      <c r="F2001" t="s">
        <v>1261</v>
      </c>
      <c r="G2001" t="str">
        <f>"15-K06-04"</f>
        <v>15-K06-04</v>
      </c>
      <c r="H2001">
        <v>0.27479999999999999</v>
      </c>
      <c r="J2001" t="s">
        <v>59</v>
      </c>
      <c r="K2001" t="str">
        <f t="shared" si="128"/>
        <v>3F4</v>
      </c>
      <c r="L2001" t="s">
        <v>15</v>
      </c>
    </row>
    <row r="2002" spans="1:12" x14ac:dyDescent="0.25">
      <c r="A2002" t="str">
        <f>"2109110564"</f>
        <v>2109110564</v>
      </c>
      <c r="B2002" t="str">
        <f t="shared" si="125"/>
        <v>89301000</v>
      </c>
      <c r="C2002" s="1">
        <v>44450</v>
      </c>
      <c r="D2002" s="1">
        <v>44452</v>
      </c>
      <c r="E2002">
        <v>1</v>
      </c>
      <c r="F2002" t="s">
        <v>1261</v>
      </c>
      <c r="G2002" t="str">
        <f>"15-K06-04"</f>
        <v>15-K06-04</v>
      </c>
      <c r="H2002">
        <v>0.27479999999999999</v>
      </c>
      <c r="J2002" t="s">
        <v>59</v>
      </c>
      <c r="K2002" t="str">
        <f t="shared" si="128"/>
        <v>3F4</v>
      </c>
      <c r="L2002" t="s">
        <v>15</v>
      </c>
    </row>
    <row r="2003" spans="1:12" x14ac:dyDescent="0.25">
      <c r="A2003" t="str">
        <f>"2109110575"</f>
        <v>2109110575</v>
      </c>
      <c r="B2003" t="str">
        <f t="shared" si="125"/>
        <v>89301000</v>
      </c>
      <c r="C2003" s="1">
        <v>44450</v>
      </c>
      <c r="D2003" s="1">
        <v>44454</v>
      </c>
      <c r="E2003">
        <v>1</v>
      </c>
      <c r="F2003" t="s">
        <v>1261</v>
      </c>
      <c r="G2003" t="str">
        <f>"15-K06-04"</f>
        <v>15-K06-04</v>
      </c>
      <c r="H2003">
        <v>0.27479999999999999</v>
      </c>
      <c r="J2003" t="s">
        <v>59</v>
      </c>
      <c r="K2003" t="str">
        <f t="shared" si="128"/>
        <v>3F4</v>
      </c>
      <c r="L2003" t="s">
        <v>15</v>
      </c>
    </row>
    <row r="2004" spans="1:12" x14ac:dyDescent="0.25">
      <c r="A2004" t="str">
        <f>"2109110586"</f>
        <v>2109110586</v>
      </c>
      <c r="B2004" t="str">
        <f t="shared" si="125"/>
        <v>89301000</v>
      </c>
      <c r="C2004" s="1">
        <v>44450</v>
      </c>
      <c r="D2004" s="1">
        <v>44454</v>
      </c>
      <c r="E2004">
        <v>1</v>
      </c>
      <c r="F2004" t="s">
        <v>1261</v>
      </c>
      <c r="G2004" t="str">
        <f>"15-K05-03"</f>
        <v>15-K05-03</v>
      </c>
      <c r="H2004">
        <v>0.62380000000000002</v>
      </c>
      <c r="J2004" t="s">
        <v>1212</v>
      </c>
      <c r="K2004" t="str">
        <f t="shared" si="128"/>
        <v>3F4</v>
      </c>
      <c r="L2004" t="s">
        <v>15</v>
      </c>
    </row>
    <row r="2005" spans="1:12" x14ac:dyDescent="0.25">
      <c r="A2005" t="str">
        <f>"2109110608"</f>
        <v>2109110608</v>
      </c>
      <c r="B2005" t="str">
        <f t="shared" si="125"/>
        <v>89301000</v>
      </c>
      <c r="C2005" s="1">
        <v>44450</v>
      </c>
      <c r="D2005" s="1">
        <v>44453</v>
      </c>
      <c r="E2005">
        <v>1</v>
      </c>
      <c r="F2005" t="s">
        <v>1261</v>
      </c>
      <c r="G2005" t="str">
        <f>"15-K06-04"</f>
        <v>15-K06-04</v>
      </c>
      <c r="H2005">
        <v>0.27479999999999999</v>
      </c>
      <c r="J2005" t="s">
        <v>59</v>
      </c>
      <c r="K2005" t="str">
        <f t="shared" si="128"/>
        <v>3F4</v>
      </c>
      <c r="L2005" t="s">
        <v>15</v>
      </c>
    </row>
    <row r="2006" spans="1:12" x14ac:dyDescent="0.25">
      <c r="A2006" t="str">
        <f>"2109130188"</f>
        <v>2109130188</v>
      </c>
      <c r="B2006" t="str">
        <f t="shared" si="125"/>
        <v>89301000</v>
      </c>
      <c r="C2006" s="1">
        <v>44452</v>
      </c>
      <c r="D2006" s="1">
        <v>44454</v>
      </c>
      <c r="E2006">
        <v>1</v>
      </c>
      <c r="F2006" t="s">
        <v>1261</v>
      </c>
      <c r="G2006" t="str">
        <f>"15-K06-04"</f>
        <v>15-K06-04</v>
      </c>
      <c r="H2006">
        <v>0.27479999999999999</v>
      </c>
      <c r="J2006" t="s">
        <v>59</v>
      </c>
      <c r="K2006" t="str">
        <f t="shared" si="128"/>
        <v>3F4</v>
      </c>
      <c r="L2006" t="s">
        <v>15</v>
      </c>
    </row>
    <row r="2007" spans="1:12" x14ac:dyDescent="0.25">
      <c r="A2007" t="str">
        <f>"2109130199"</f>
        <v>2109130199</v>
      </c>
      <c r="B2007" t="str">
        <f t="shared" si="125"/>
        <v>89301000</v>
      </c>
      <c r="C2007" s="1">
        <v>44452</v>
      </c>
      <c r="D2007" s="1">
        <v>44454</v>
      </c>
      <c r="E2007">
        <v>1</v>
      </c>
      <c r="F2007" t="s">
        <v>1261</v>
      </c>
      <c r="G2007" t="str">
        <f>"15-K06-04"</f>
        <v>15-K06-04</v>
      </c>
      <c r="H2007">
        <v>0.27479999999999999</v>
      </c>
      <c r="J2007" t="s">
        <v>59</v>
      </c>
      <c r="K2007" t="str">
        <f t="shared" si="128"/>
        <v>3F4</v>
      </c>
      <c r="L2007" t="s">
        <v>15</v>
      </c>
    </row>
    <row r="2008" spans="1:12" x14ac:dyDescent="0.25">
      <c r="A2008" t="str">
        <f>"2109130562"</f>
        <v>2109130562</v>
      </c>
      <c r="B2008" t="str">
        <f t="shared" si="125"/>
        <v>89301000</v>
      </c>
      <c r="C2008" s="1">
        <v>44452</v>
      </c>
      <c r="D2008" s="1">
        <v>44455</v>
      </c>
      <c r="E2008">
        <v>1</v>
      </c>
      <c r="F2008" t="s">
        <v>1261</v>
      </c>
      <c r="G2008" t="str">
        <f>"15-K06-04"</f>
        <v>15-K06-04</v>
      </c>
      <c r="H2008">
        <v>0.27479999999999999</v>
      </c>
      <c r="J2008" t="s">
        <v>59</v>
      </c>
      <c r="K2008" t="str">
        <f t="shared" si="128"/>
        <v>3F4</v>
      </c>
      <c r="L2008" t="s">
        <v>15</v>
      </c>
    </row>
    <row r="2009" spans="1:12" x14ac:dyDescent="0.25">
      <c r="A2009" t="str">
        <f>"2109130584"</f>
        <v>2109130584</v>
      </c>
      <c r="B2009" t="str">
        <f t="shared" si="125"/>
        <v>89301000</v>
      </c>
      <c r="C2009" s="1">
        <v>44452</v>
      </c>
      <c r="D2009" s="1">
        <v>44455</v>
      </c>
      <c r="E2009">
        <v>1</v>
      </c>
      <c r="F2009" t="s">
        <v>1261</v>
      </c>
      <c r="G2009" t="str">
        <f>"15-K06-04"</f>
        <v>15-K06-04</v>
      </c>
      <c r="H2009">
        <v>0.27479999999999999</v>
      </c>
      <c r="J2009" t="s">
        <v>59</v>
      </c>
      <c r="K2009" t="str">
        <f t="shared" si="128"/>
        <v>3F4</v>
      </c>
      <c r="L2009" t="s">
        <v>15</v>
      </c>
    </row>
    <row r="2010" spans="1:12" x14ac:dyDescent="0.25">
      <c r="A2010" t="str">
        <f>"2109150593"</f>
        <v>2109150593</v>
      </c>
      <c r="B2010" t="str">
        <f t="shared" si="125"/>
        <v>89301000</v>
      </c>
      <c r="C2010" s="1">
        <v>44454</v>
      </c>
      <c r="D2010" s="1">
        <v>44459</v>
      </c>
      <c r="E2010">
        <v>1</v>
      </c>
      <c r="F2010" t="s">
        <v>1261</v>
      </c>
      <c r="G2010" t="str">
        <f>"15-K06-02"</f>
        <v>15-K06-02</v>
      </c>
      <c r="H2010">
        <v>0.59770000000000001</v>
      </c>
      <c r="I2010" t="s">
        <v>1407</v>
      </c>
      <c r="J2010" t="s">
        <v>59</v>
      </c>
      <c r="K2010" t="str">
        <f t="shared" si="128"/>
        <v>3F4</v>
      </c>
      <c r="L2010" t="s">
        <v>15</v>
      </c>
    </row>
    <row r="2011" spans="1:12" x14ac:dyDescent="0.25">
      <c r="A2011" t="str">
        <f>"2109150648"</f>
        <v>2109150648</v>
      </c>
      <c r="B2011" t="str">
        <f t="shared" si="125"/>
        <v>89301000</v>
      </c>
      <c r="C2011" s="1">
        <v>44454</v>
      </c>
      <c r="D2011" s="1">
        <v>44462</v>
      </c>
      <c r="E2011">
        <v>1</v>
      </c>
      <c r="F2011" t="s">
        <v>1338</v>
      </c>
      <c r="G2011" t="str">
        <f>"15-M01-13"</f>
        <v>15-M01-13</v>
      </c>
      <c r="H2011">
        <v>2.5091999999999999</v>
      </c>
      <c r="I2011" t="s">
        <v>1408</v>
      </c>
      <c r="J2011" t="s">
        <v>1212</v>
      </c>
      <c r="K2011" t="str">
        <f t="shared" si="128"/>
        <v>3F4</v>
      </c>
      <c r="L2011" t="s">
        <v>15</v>
      </c>
    </row>
    <row r="2012" spans="1:12" x14ac:dyDescent="0.25">
      <c r="A2012" t="str">
        <f>"2109160119"</f>
        <v>2109160119</v>
      </c>
      <c r="B2012" t="str">
        <f t="shared" si="125"/>
        <v>89301000</v>
      </c>
      <c r="C2012" s="1">
        <v>44455</v>
      </c>
      <c r="D2012" s="1">
        <v>44457</v>
      </c>
      <c r="E2012">
        <v>1</v>
      </c>
      <c r="F2012" t="s">
        <v>1261</v>
      </c>
      <c r="G2012" t="str">
        <f>"15-K06-04"</f>
        <v>15-K06-04</v>
      </c>
      <c r="H2012">
        <v>0.27479999999999999</v>
      </c>
      <c r="J2012" t="s">
        <v>59</v>
      </c>
      <c r="K2012" t="str">
        <f t="shared" si="128"/>
        <v>3F4</v>
      </c>
      <c r="L2012" t="s">
        <v>15</v>
      </c>
    </row>
    <row r="2013" spans="1:12" x14ac:dyDescent="0.25">
      <c r="A2013" t="str">
        <f>"2109160768"</f>
        <v>2109160768</v>
      </c>
      <c r="B2013" t="str">
        <f t="shared" si="125"/>
        <v>89301000</v>
      </c>
      <c r="C2013" s="1">
        <v>44455</v>
      </c>
      <c r="D2013" s="1">
        <v>44458</v>
      </c>
      <c r="E2013">
        <v>1</v>
      </c>
      <c r="F2013" t="s">
        <v>1261</v>
      </c>
      <c r="G2013" t="str">
        <f>"15-K06-04"</f>
        <v>15-K06-04</v>
      </c>
      <c r="H2013">
        <v>0.27479999999999999</v>
      </c>
      <c r="J2013" t="s">
        <v>59</v>
      </c>
      <c r="K2013" t="str">
        <f t="shared" si="128"/>
        <v>3F4</v>
      </c>
      <c r="L2013" t="s">
        <v>15</v>
      </c>
    </row>
    <row r="2014" spans="1:12" x14ac:dyDescent="0.25">
      <c r="A2014" t="str">
        <f>"2109170943"</f>
        <v>2109170943</v>
      </c>
      <c r="B2014" t="str">
        <f t="shared" si="125"/>
        <v>89301000</v>
      </c>
      <c r="C2014" s="1">
        <v>44456</v>
      </c>
      <c r="D2014" s="1">
        <v>44461</v>
      </c>
      <c r="E2014">
        <v>1</v>
      </c>
      <c r="F2014" t="s">
        <v>1261</v>
      </c>
      <c r="G2014" t="str">
        <f>"15-K05-03"</f>
        <v>15-K05-03</v>
      </c>
      <c r="H2014">
        <v>0.62380000000000002</v>
      </c>
      <c r="I2014" t="s">
        <v>1221</v>
      </c>
      <c r="J2014" t="s">
        <v>1212</v>
      </c>
      <c r="K2014" t="str">
        <f t="shared" si="128"/>
        <v>3F4</v>
      </c>
      <c r="L2014" t="s">
        <v>15</v>
      </c>
    </row>
    <row r="2015" spans="1:12" x14ac:dyDescent="0.25">
      <c r="A2015" t="str">
        <f>"2109190336"</f>
        <v>2109190336</v>
      </c>
      <c r="B2015" t="str">
        <f t="shared" si="125"/>
        <v>89301000</v>
      </c>
      <c r="C2015" s="1">
        <v>44458</v>
      </c>
      <c r="D2015" s="1">
        <v>44461</v>
      </c>
      <c r="E2015">
        <v>1</v>
      </c>
      <c r="F2015" t="s">
        <v>1261</v>
      </c>
      <c r="G2015" t="str">
        <f>"15-K06-04"</f>
        <v>15-K06-04</v>
      </c>
      <c r="H2015">
        <v>0.27479999999999999</v>
      </c>
      <c r="J2015" t="s">
        <v>59</v>
      </c>
      <c r="K2015" t="str">
        <f t="shared" si="128"/>
        <v>3F4</v>
      </c>
      <c r="L2015" t="s">
        <v>15</v>
      </c>
    </row>
    <row r="2016" spans="1:12" x14ac:dyDescent="0.25">
      <c r="A2016" t="str">
        <f>"2109200687"</f>
        <v>2109200687</v>
      </c>
      <c r="B2016" t="str">
        <f t="shared" si="125"/>
        <v>89301000</v>
      </c>
      <c r="C2016" s="1">
        <v>44459</v>
      </c>
      <c r="D2016" s="1">
        <v>44462</v>
      </c>
      <c r="E2016">
        <v>1</v>
      </c>
      <c r="F2016" t="s">
        <v>1261</v>
      </c>
      <c r="G2016" t="str">
        <f>"15-K06-04"</f>
        <v>15-K06-04</v>
      </c>
      <c r="H2016">
        <v>0.27479999999999999</v>
      </c>
      <c r="J2016" t="s">
        <v>59</v>
      </c>
      <c r="K2016" t="str">
        <f t="shared" si="128"/>
        <v>3F4</v>
      </c>
      <c r="L2016" t="s">
        <v>15</v>
      </c>
    </row>
    <row r="2017" spans="1:12" x14ac:dyDescent="0.25">
      <c r="A2017" t="str">
        <f>"2109210862"</f>
        <v>2109210862</v>
      </c>
      <c r="B2017" t="str">
        <f t="shared" si="125"/>
        <v>89301000</v>
      </c>
      <c r="C2017" s="1">
        <v>44548</v>
      </c>
      <c r="D2017" s="1">
        <v>44554</v>
      </c>
      <c r="E2017">
        <v>1</v>
      </c>
      <c r="F2017" t="s">
        <v>982</v>
      </c>
      <c r="G2017" t="str">
        <f>"04-K02-04"</f>
        <v>04-K02-04</v>
      </c>
      <c r="H2017">
        <v>0.82469999999999999</v>
      </c>
      <c r="I2017" t="s">
        <v>1409</v>
      </c>
      <c r="J2017" t="s">
        <v>14</v>
      </c>
      <c r="K2017" t="str">
        <f>"3F1"</f>
        <v>3F1</v>
      </c>
      <c r="L2017" t="s">
        <v>15</v>
      </c>
    </row>
    <row r="2018" spans="1:12" x14ac:dyDescent="0.25">
      <c r="A2018" t="str">
        <f>"2109210862"</f>
        <v>2109210862</v>
      </c>
      <c r="B2018" t="str">
        <f t="shared" si="125"/>
        <v>89301000</v>
      </c>
      <c r="C2018" s="1">
        <v>44460</v>
      </c>
      <c r="D2018" s="1">
        <v>44463</v>
      </c>
      <c r="E2018">
        <v>1</v>
      </c>
      <c r="F2018" t="s">
        <v>1261</v>
      </c>
      <c r="G2018" t="str">
        <f>"15-K06-04"</f>
        <v>15-K06-04</v>
      </c>
      <c r="H2018">
        <v>0.27479999999999999</v>
      </c>
      <c r="I2018" t="s">
        <v>1221</v>
      </c>
      <c r="J2018" t="s">
        <v>59</v>
      </c>
      <c r="K2018" t="str">
        <f>"3F4"</f>
        <v>3F4</v>
      </c>
      <c r="L2018" t="s">
        <v>15</v>
      </c>
    </row>
    <row r="2019" spans="1:12" x14ac:dyDescent="0.25">
      <c r="A2019" t="str">
        <f>"2109220124"</f>
        <v>2109220124</v>
      </c>
      <c r="B2019" t="str">
        <f t="shared" si="125"/>
        <v>89301000</v>
      </c>
      <c r="C2019" s="1">
        <v>44461</v>
      </c>
      <c r="D2019" s="1">
        <v>44468</v>
      </c>
      <c r="E2019">
        <v>1</v>
      </c>
      <c r="F2019" t="s">
        <v>1262</v>
      </c>
      <c r="G2019" t="str">
        <f>"15-K07-03"</f>
        <v>15-K07-03</v>
      </c>
      <c r="H2019">
        <v>0.53959999999999997</v>
      </c>
      <c r="J2019" t="s">
        <v>59</v>
      </c>
      <c r="K2019" t="str">
        <f>"3F4"</f>
        <v>3F4</v>
      </c>
      <c r="L2019" t="s">
        <v>15</v>
      </c>
    </row>
    <row r="2020" spans="1:12" x14ac:dyDescent="0.25">
      <c r="A2020" t="str">
        <f>"2109220652"</f>
        <v>2109220652</v>
      </c>
      <c r="B2020" t="str">
        <f t="shared" si="125"/>
        <v>89301000</v>
      </c>
      <c r="C2020" s="1">
        <v>44461</v>
      </c>
      <c r="D2020" s="1">
        <v>44461</v>
      </c>
      <c r="E2020">
        <v>8</v>
      </c>
      <c r="F2020" t="s">
        <v>1373</v>
      </c>
      <c r="G2020" t="str">
        <f>"15-K02-01"</f>
        <v>15-K02-01</v>
      </c>
      <c r="H2020">
        <v>0.30159999999999998</v>
      </c>
      <c r="J2020" t="s">
        <v>14</v>
      </c>
      <c r="K2020" t="str">
        <f>"3T4"</f>
        <v>3T4</v>
      </c>
      <c r="L2020" t="s">
        <v>15</v>
      </c>
    </row>
    <row r="2021" spans="1:12" x14ac:dyDescent="0.25">
      <c r="A2021" t="str">
        <f>"2109220663"</f>
        <v>2109220663</v>
      </c>
      <c r="B2021" t="str">
        <f t="shared" si="125"/>
        <v>89301000</v>
      </c>
      <c r="C2021" s="1">
        <v>44461</v>
      </c>
      <c r="D2021" s="1">
        <v>44464</v>
      </c>
      <c r="E2021">
        <v>1</v>
      </c>
      <c r="F2021" t="s">
        <v>1261</v>
      </c>
      <c r="G2021" t="str">
        <f>"15-K06-04"</f>
        <v>15-K06-04</v>
      </c>
      <c r="H2021">
        <v>0.27479999999999999</v>
      </c>
      <c r="J2021" t="s">
        <v>59</v>
      </c>
      <c r="K2021" t="str">
        <f>"3F4"</f>
        <v>3F4</v>
      </c>
      <c r="L2021" t="s">
        <v>15</v>
      </c>
    </row>
    <row r="2022" spans="1:12" x14ac:dyDescent="0.25">
      <c r="A2022" t="str">
        <f>"2109230860"</f>
        <v>2109230860</v>
      </c>
      <c r="B2022" t="str">
        <f t="shared" si="125"/>
        <v>89301000</v>
      </c>
      <c r="C2022" s="1">
        <v>44462</v>
      </c>
      <c r="D2022" s="1">
        <v>44465</v>
      </c>
      <c r="E2022">
        <v>1</v>
      </c>
      <c r="F2022" t="s">
        <v>1261</v>
      </c>
      <c r="G2022" t="str">
        <f>"15-K06-04"</f>
        <v>15-K06-04</v>
      </c>
      <c r="H2022">
        <v>0.27479999999999999</v>
      </c>
      <c r="J2022" t="s">
        <v>59</v>
      </c>
      <c r="K2022" t="str">
        <f>"3F4"</f>
        <v>3F4</v>
      </c>
      <c r="L2022" t="s">
        <v>15</v>
      </c>
    </row>
    <row r="2023" spans="1:12" x14ac:dyDescent="0.25">
      <c r="A2023" t="str">
        <f>"2109230915"</f>
        <v>2109230915</v>
      </c>
      <c r="B2023" t="str">
        <f t="shared" si="125"/>
        <v>89301000</v>
      </c>
      <c r="C2023" s="1">
        <v>44462</v>
      </c>
      <c r="D2023" s="1">
        <v>44463</v>
      </c>
      <c r="E2023">
        <v>5</v>
      </c>
      <c r="F2023" t="s">
        <v>1261</v>
      </c>
      <c r="G2023" t="str">
        <f>"15-K01-00"</f>
        <v>15-K01-00</v>
      </c>
      <c r="H2023">
        <v>0.1769</v>
      </c>
      <c r="I2023" t="s">
        <v>1410</v>
      </c>
      <c r="J2023" t="s">
        <v>14</v>
      </c>
      <c r="K2023" t="str">
        <f>"3T4"</f>
        <v>3T4</v>
      </c>
      <c r="L2023" t="s">
        <v>15</v>
      </c>
    </row>
    <row r="2024" spans="1:12" x14ac:dyDescent="0.25">
      <c r="A2024" t="str">
        <f>"2109230915"</f>
        <v>2109230915</v>
      </c>
      <c r="B2024" t="str">
        <f t="shared" si="125"/>
        <v>89301000</v>
      </c>
      <c r="C2024" s="1">
        <v>44483</v>
      </c>
      <c r="D2024" s="1">
        <v>44509</v>
      </c>
      <c r="E2024">
        <v>5</v>
      </c>
      <c r="F2024" t="s">
        <v>1273</v>
      </c>
      <c r="G2024" t="str">
        <f>"15-M01-12"</f>
        <v>15-M01-12</v>
      </c>
      <c r="H2024">
        <v>4.8940999999999999</v>
      </c>
      <c r="I2024" t="s">
        <v>1411</v>
      </c>
      <c r="J2024" t="s">
        <v>1212</v>
      </c>
      <c r="K2024" t="str">
        <f>"3T4"</f>
        <v>3T4</v>
      </c>
      <c r="L2024" t="s">
        <v>15</v>
      </c>
    </row>
    <row r="2025" spans="1:12" x14ac:dyDescent="0.25">
      <c r="A2025" t="str">
        <f>"2109240716"</f>
        <v>2109240716</v>
      </c>
      <c r="B2025" t="str">
        <f t="shared" si="125"/>
        <v>89301000</v>
      </c>
      <c r="C2025" s="1">
        <v>44463</v>
      </c>
      <c r="D2025" s="1">
        <v>44466</v>
      </c>
      <c r="E2025">
        <v>1</v>
      </c>
      <c r="F2025" t="s">
        <v>1261</v>
      </c>
      <c r="G2025" t="str">
        <f t="shared" ref="G2025:G2033" si="129">"15-K06-04"</f>
        <v>15-K06-04</v>
      </c>
      <c r="H2025">
        <v>0.27479999999999999</v>
      </c>
      <c r="J2025" t="s">
        <v>59</v>
      </c>
      <c r="K2025" t="str">
        <f t="shared" ref="K2025:K2035" si="130">"3F4"</f>
        <v>3F4</v>
      </c>
      <c r="L2025" t="s">
        <v>15</v>
      </c>
    </row>
    <row r="2026" spans="1:12" x14ac:dyDescent="0.25">
      <c r="A2026" t="str">
        <f>"2109240727"</f>
        <v>2109240727</v>
      </c>
      <c r="B2026" t="str">
        <f t="shared" si="125"/>
        <v>89301000</v>
      </c>
      <c r="C2026" s="1">
        <v>44463</v>
      </c>
      <c r="D2026" s="1">
        <v>44466</v>
      </c>
      <c r="E2026">
        <v>1</v>
      </c>
      <c r="F2026" t="s">
        <v>1261</v>
      </c>
      <c r="G2026" t="str">
        <f t="shared" si="129"/>
        <v>15-K06-04</v>
      </c>
      <c r="H2026">
        <v>0.27479999999999999</v>
      </c>
      <c r="J2026" t="s">
        <v>59</v>
      </c>
      <c r="K2026" t="str">
        <f t="shared" si="130"/>
        <v>3F4</v>
      </c>
      <c r="L2026" t="s">
        <v>15</v>
      </c>
    </row>
    <row r="2027" spans="1:12" x14ac:dyDescent="0.25">
      <c r="A2027" t="str">
        <f>"2109250297"</f>
        <v>2109250297</v>
      </c>
      <c r="B2027" t="str">
        <f t="shared" si="125"/>
        <v>89301000</v>
      </c>
      <c r="C2027" s="1">
        <v>44464</v>
      </c>
      <c r="D2027" s="1">
        <v>44467</v>
      </c>
      <c r="E2027">
        <v>1</v>
      </c>
      <c r="F2027" t="s">
        <v>1261</v>
      </c>
      <c r="G2027" t="str">
        <f t="shared" si="129"/>
        <v>15-K06-04</v>
      </c>
      <c r="H2027">
        <v>0.27479999999999999</v>
      </c>
      <c r="J2027" t="s">
        <v>59</v>
      </c>
      <c r="K2027" t="str">
        <f t="shared" si="130"/>
        <v>3F4</v>
      </c>
      <c r="L2027" t="s">
        <v>15</v>
      </c>
    </row>
    <row r="2028" spans="1:12" x14ac:dyDescent="0.25">
      <c r="A2028" t="str">
        <f>"2109250319"</f>
        <v>2109250319</v>
      </c>
      <c r="B2028" t="str">
        <f t="shared" si="125"/>
        <v>89301000</v>
      </c>
      <c r="C2028" s="1">
        <v>44464</v>
      </c>
      <c r="D2028" s="1">
        <v>44467</v>
      </c>
      <c r="E2028">
        <v>1</v>
      </c>
      <c r="F2028" t="s">
        <v>1261</v>
      </c>
      <c r="G2028" t="str">
        <f t="shared" si="129"/>
        <v>15-K06-04</v>
      </c>
      <c r="H2028">
        <v>0.27479999999999999</v>
      </c>
      <c r="J2028" t="s">
        <v>59</v>
      </c>
      <c r="K2028" t="str">
        <f t="shared" si="130"/>
        <v>3F4</v>
      </c>
      <c r="L2028" t="s">
        <v>15</v>
      </c>
    </row>
    <row r="2029" spans="1:12" x14ac:dyDescent="0.25">
      <c r="A2029" t="str">
        <f>"2109260340"</f>
        <v>2109260340</v>
      </c>
      <c r="B2029" t="str">
        <f t="shared" si="125"/>
        <v>89301000</v>
      </c>
      <c r="C2029" s="1">
        <v>44465</v>
      </c>
      <c r="D2029" s="1">
        <v>44467</v>
      </c>
      <c r="E2029">
        <v>1</v>
      </c>
      <c r="F2029" t="s">
        <v>1261</v>
      </c>
      <c r="G2029" t="str">
        <f t="shared" si="129"/>
        <v>15-K06-04</v>
      </c>
      <c r="H2029">
        <v>0.27479999999999999</v>
      </c>
      <c r="J2029" t="s">
        <v>59</v>
      </c>
      <c r="K2029" t="str">
        <f t="shared" si="130"/>
        <v>3F4</v>
      </c>
      <c r="L2029" t="s">
        <v>15</v>
      </c>
    </row>
    <row r="2030" spans="1:12" x14ac:dyDescent="0.25">
      <c r="A2030" t="str">
        <f>"2109270086"</f>
        <v>2109270086</v>
      </c>
      <c r="B2030" t="str">
        <f t="shared" si="125"/>
        <v>89301000</v>
      </c>
      <c r="C2030" s="1">
        <v>44466</v>
      </c>
      <c r="D2030" s="1">
        <v>44469</v>
      </c>
      <c r="E2030">
        <v>1</v>
      </c>
      <c r="F2030" t="s">
        <v>1261</v>
      </c>
      <c r="G2030" t="str">
        <f t="shared" si="129"/>
        <v>15-K06-04</v>
      </c>
      <c r="H2030">
        <v>0.27479999999999999</v>
      </c>
      <c r="J2030" t="s">
        <v>59</v>
      </c>
      <c r="K2030" t="str">
        <f t="shared" si="130"/>
        <v>3F4</v>
      </c>
      <c r="L2030" t="s">
        <v>15</v>
      </c>
    </row>
    <row r="2031" spans="1:12" x14ac:dyDescent="0.25">
      <c r="A2031" t="str">
        <f>"2109270108"</f>
        <v>2109270108</v>
      </c>
      <c r="B2031" t="str">
        <f t="shared" si="125"/>
        <v>89301000</v>
      </c>
      <c r="C2031" s="1">
        <v>44466</v>
      </c>
      <c r="D2031" s="1">
        <v>44470</v>
      </c>
      <c r="E2031">
        <v>1</v>
      </c>
      <c r="F2031" t="s">
        <v>1261</v>
      </c>
      <c r="G2031" t="str">
        <f t="shared" si="129"/>
        <v>15-K06-04</v>
      </c>
      <c r="H2031">
        <v>0.27479999999999999</v>
      </c>
      <c r="J2031" t="s">
        <v>59</v>
      </c>
      <c r="K2031" t="str">
        <f t="shared" si="130"/>
        <v>3F4</v>
      </c>
      <c r="L2031" t="s">
        <v>15</v>
      </c>
    </row>
    <row r="2032" spans="1:12" x14ac:dyDescent="0.25">
      <c r="A2032" t="str">
        <f>"2109270625"</f>
        <v>2109270625</v>
      </c>
      <c r="B2032" t="str">
        <f t="shared" si="125"/>
        <v>89301000</v>
      </c>
      <c r="C2032" s="1">
        <v>44466</v>
      </c>
      <c r="D2032" s="1">
        <v>44471</v>
      </c>
      <c r="E2032">
        <v>1</v>
      </c>
      <c r="F2032" t="s">
        <v>1261</v>
      </c>
      <c r="G2032" t="str">
        <f t="shared" si="129"/>
        <v>15-K06-04</v>
      </c>
      <c r="H2032">
        <v>0.27479999999999999</v>
      </c>
      <c r="I2032" t="s">
        <v>1278</v>
      </c>
      <c r="J2032" t="s">
        <v>59</v>
      </c>
      <c r="K2032" t="str">
        <f t="shared" si="130"/>
        <v>3F4</v>
      </c>
      <c r="L2032" t="s">
        <v>15</v>
      </c>
    </row>
    <row r="2033" spans="1:12" x14ac:dyDescent="0.25">
      <c r="A2033" t="str">
        <f>"2109280525"</f>
        <v>2109280525</v>
      </c>
      <c r="B2033" t="str">
        <f t="shared" ref="B2033:B2096" si="131">"89301000"</f>
        <v>89301000</v>
      </c>
      <c r="C2033" s="1">
        <v>44467</v>
      </c>
      <c r="D2033" s="1">
        <v>44471</v>
      </c>
      <c r="E2033">
        <v>1</v>
      </c>
      <c r="F2033" t="s">
        <v>1261</v>
      </c>
      <c r="G2033" t="str">
        <f t="shared" si="129"/>
        <v>15-K06-04</v>
      </c>
      <c r="H2033">
        <v>0.27479999999999999</v>
      </c>
      <c r="I2033" t="s">
        <v>1412</v>
      </c>
      <c r="J2033" t="s">
        <v>59</v>
      </c>
      <c r="K2033" t="str">
        <f t="shared" si="130"/>
        <v>3F4</v>
      </c>
      <c r="L2033" t="s">
        <v>15</v>
      </c>
    </row>
    <row r="2034" spans="1:12" x14ac:dyDescent="0.25">
      <c r="A2034" t="str">
        <f>"2109290678"</f>
        <v>2109290678</v>
      </c>
      <c r="B2034" t="str">
        <f t="shared" si="131"/>
        <v>89301000</v>
      </c>
      <c r="C2034" s="1">
        <v>44468</v>
      </c>
      <c r="D2034" s="1">
        <v>44474</v>
      </c>
      <c r="E2034">
        <v>1</v>
      </c>
      <c r="F2034" t="s">
        <v>1261</v>
      </c>
      <c r="G2034" t="str">
        <f>"15-K06-02"</f>
        <v>15-K06-02</v>
      </c>
      <c r="H2034">
        <v>0.59770000000000001</v>
      </c>
      <c r="I2034" t="s">
        <v>1413</v>
      </c>
      <c r="J2034" t="s">
        <v>59</v>
      </c>
      <c r="K2034" t="str">
        <f t="shared" si="130"/>
        <v>3F4</v>
      </c>
      <c r="L2034" t="s">
        <v>15</v>
      </c>
    </row>
    <row r="2035" spans="1:12" x14ac:dyDescent="0.25">
      <c r="A2035" t="str">
        <f>"2109290700"</f>
        <v>2109290700</v>
      </c>
      <c r="B2035" t="str">
        <f t="shared" si="131"/>
        <v>89301000</v>
      </c>
      <c r="C2035" s="1">
        <v>44468</v>
      </c>
      <c r="D2035" s="1">
        <v>44472</v>
      </c>
      <c r="E2035">
        <v>1</v>
      </c>
      <c r="F2035" t="s">
        <v>1261</v>
      </c>
      <c r="G2035" t="str">
        <f>"15-K06-04"</f>
        <v>15-K06-04</v>
      </c>
      <c r="H2035">
        <v>0.27479999999999999</v>
      </c>
      <c r="I2035" t="s">
        <v>1383</v>
      </c>
      <c r="J2035" t="s">
        <v>59</v>
      </c>
      <c r="K2035" t="str">
        <f t="shared" si="130"/>
        <v>3F4</v>
      </c>
      <c r="L2035" t="s">
        <v>15</v>
      </c>
    </row>
    <row r="2036" spans="1:12" x14ac:dyDescent="0.25">
      <c r="A2036" t="str">
        <f>"2110010496"</f>
        <v>2110010496</v>
      </c>
      <c r="B2036" t="str">
        <f t="shared" si="131"/>
        <v>89301000</v>
      </c>
      <c r="C2036" s="1">
        <v>44491</v>
      </c>
      <c r="D2036" s="1">
        <v>44498</v>
      </c>
      <c r="E2036">
        <v>1</v>
      </c>
      <c r="F2036" t="s">
        <v>950</v>
      </c>
      <c r="G2036" t="str">
        <f>"15-K07-03"</f>
        <v>15-K07-03</v>
      </c>
      <c r="H2036">
        <v>0.53959999999999997</v>
      </c>
      <c r="I2036" t="s">
        <v>168</v>
      </c>
      <c r="J2036" t="s">
        <v>59</v>
      </c>
      <c r="K2036" t="str">
        <f>"3F1"</f>
        <v>3F1</v>
      </c>
      <c r="L2036" t="s">
        <v>15</v>
      </c>
    </row>
    <row r="2037" spans="1:12" x14ac:dyDescent="0.25">
      <c r="A2037" t="str">
        <f>"2110020363"</f>
        <v>2110020363</v>
      </c>
      <c r="B2037" t="str">
        <f t="shared" si="131"/>
        <v>89301000</v>
      </c>
      <c r="C2037" s="1">
        <v>44471</v>
      </c>
      <c r="D2037" s="1">
        <v>44474</v>
      </c>
      <c r="E2037">
        <v>1</v>
      </c>
      <c r="F2037" t="s">
        <v>1261</v>
      </c>
      <c r="G2037" t="str">
        <f t="shared" ref="G2037:G2047" si="132">"15-K06-04"</f>
        <v>15-K06-04</v>
      </c>
      <c r="H2037">
        <v>0.27479999999999999</v>
      </c>
      <c r="J2037" t="s">
        <v>59</v>
      </c>
      <c r="K2037" t="str">
        <f t="shared" ref="K2037:K2047" si="133">"3F4"</f>
        <v>3F4</v>
      </c>
      <c r="L2037" t="s">
        <v>15</v>
      </c>
    </row>
    <row r="2038" spans="1:12" x14ac:dyDescent="0.25">
      <c r="A2038" t="str">
        <f>"2110030384"</f>
        <v>2110030384</v>
      </c>
      <c r="B2038" t="str">
        <f t="shared" si="131"/>
        <v>89301000</v>
      </c>
      <c r="C2038" s="1">
        <v>44472</v>
      </c>
      <c r="D2038" s="1">
        <v>44477</v>
      </c>
      <c r="E2038">
        <v>1</v>
      </c>
      <c r="F2038" t="s">
        <v>1261</v>
      </c>
      <c r="G2038" t="str">
        <f t="shared" si="132"/>
        <v>15-K06-04</v>
      </c>
      <c r="H2038">
        <v>0.27479999999999999</v>
      </c>
      <c r="I2038" t="s">
        <v>1278</v>
      </c>
      <c r="J2038" t="s">
        <v>59</v>
      </c>
      <c r="K2038" t="str">
        <f t="shared" si="133"/>
        <v>3F4</v>
      </c>
      <c r="L2038" t="s">
        <v>15</v>
      </c>
    </row>
    <row r="2039" spans="1:12" x14ac:dyDescent="0.25">
      <c r="A2039" t="str">
        <f>"2110040427"</f>
        <v>2110040427</v>
      </c>
      <c r="B2039" t="str">
        <f t="shared" si="131"/>
        <v>89301000</v>
      </c>
      <c r="C2039" s="1">
        <v>44473</v>
      </c>
      <c r="D2039" s="1">
        <v>44476</v>
      </c>
      <c r="E2039">
        <v>1</v>
      </c>
      <c r="F2039" t="s">
        <v>1261</v>
      </c>
      <c r="G2039" t="str">
        <f t="shared" si="132"/>
        <v>15-K06-04</v>
      </c>
      <c r="H2039">
        <v>0.27479999999999999</v>
      </c>
      <c r="J2039" t="s">
        <v>59</v>
      </c>
      <c r="K2039" t="str">
        <f t="shared" si="133"/>
        <v>3F4</v>
      </c>
      <c r="L2039" t="s">
        <v>15</v>
      </c>
    </row>
    <row r="2040" spans="1:12" x14ac:dyDescent="0.25">
      <c r="A2040" t="str">
        <f>"2110060150"</f>
        <v>2110060150</v>
      </c>
      <c r="B2040" t="str">
        <f t="shared" si="131"/>
        <v>89301000</v>
      </c>
      <c r="C2040" s="1">
        <v>44475</v>
      </c>
      <c r="D2040" s="1">
        <v>44478</v>
      </c>
      <c r="E2040">
        <v>1</v>
      </c>
      <c r="F2040" t="s">
        <v>1261</v>
      </c>
      <c r="G2040" t="str">
        <f t="shared" si="132"/>
        <v>15-K06-04</v>
      </c>
      <c r="H2040">
        <v>0.27479999999999999</v>
      </c>
      <c r="J2040" t="s">
        <v>59</v>
      </c>
      <c r="K2040" t="str">
        <f t="shared" si="133"/>
        <v>3F4</v>
      </c>
      <c r="L2040" t="s">
        <v>15</v>
      </c>
    </row>
    <row r="2041" spans="1:12" x14ac:dyDescent="0.25">
      <c r="A2041" t="str">
        <f>"2110060535"</f>
        <v>2110060535</v>
      </c>
      <c r="B2041" t="str">
        <f t="shared" si="131"/>
        <v>89301000</v>
      </c>
      <c r="C2041" s="1">
        <v>44475</v>
      </c>
      <c r="D2041" s="1">
        <v>44479</v>
      </c>
      <c r="E2041">
        <v>1</v>
      </c>
      <c r="F2041" t="s">
        <v>1261</v>
      </c>
      <c r="G2041" t="str">
        <f t="shared" si="132"/>
        <v>15-K06-04</v>
      </c>
      <c r="H2041">
        <v>0.27479999999999999</v>
      </c>
      <c r="J2041" t="s">
        <v>59</v>
      </c>
      <c r="K2041" t="str">
        <f t="shared" si="133"/>
        <v>3F4</v>
      </c>
      <c r="L2041" t="s">
        <v>15</v>
      </c>
    </row>
    <row r="2042" spans="1:12" x14ac:dyDescent="0.25">
      <c r="A2042" t="str">
        <f>"2110060546"</f>
        <v>2110060546</v>
      </c>
      <c r="B2042" t="str">
        <f t="shared" si="131"/>
        <v>89301000</v>
      </c>
      <c r="C2042" s="1">
        <v>44475</v>
      </c>
      <c r="D2042" s="1">
        <v>44478</v>
      </c>
      <c r="E2042">
        <v>1</v>
      </c>
      <c r="F2042" t="s">
        <v>1261</v>
      </c>
      <c r="G2042" t="str">
        <f t="shared" si="132"/>
        <v>15-K06-04</v>
      </c>
      <c r="H2042">
        <v>0.27479999999999999</v>
      </c>
      <c r="J2042" t="s">
        <v>59</v>
      </c>
      <c r="K2042" t="str">
        <f t="shared" si="133"/>
        <v>3F4</v>
      </c>
      <c r="L2042" t="s">
        <v>15</v>
      </c>
    </row>
    <row r="2043" spans="1:12" x14ac:dyDescent="0.25">
      <c r="A2043" t="str">
        <f>"2110060557"</f>
        <v>2110060557</v>
      </c>
      <c r="B2043" t="str">
        <f t="shared" si="131"/>
        <v>89301000</v>
      </c>
      <c r="C2043" s="1">
        <v>44475</v>
      </c>
      <c r="D2043" s="1">
        <v>44478</v>
      </c>
      <c r="E2043">
        <v>1</v>
      </c>
      <c r="F2043" t="s">
        <v>1261</v>
      </c>
      <c r="G2043" t="str">
        <f t="shared" si="132"/>
        <v>15-K06-04</v>
      </c>
      <c r="H2043">
        <v>0.27479999999999999</v>
      </c>
      <c r="J2043" t="s">
        <v>59</v>
      </c>
      <c r="K2043" t="str">
        <f t="shared" si="133"/>
        <v>3F4</v>
      </c>
      <c r="L2043" t="s">
        <v>15</v>
      </c>
    </row>
    <row r="2044" spans="1:12" x14ac:dyDescent="0.25">
      <c r="A2044" t="str">
        <f>"2110070556"</f>
        <v>2110070556</v>
      </c>
      <c r="B2044" t="str">
        <f t="shared" si="131"/>
        <v>89301000</v>
      </c>
      <c r="C2044" s="1">
        <v>44476</v>
      </c>
      <c r="D2044" s="1">
        <v>44478</v>
      </c>
      <c r="E2044">
        <v>1</v>
      </c>
      <c r="F2044" t="s">
        <v>1261</v>
      </c>
      <c r="G2044" t="str">
        <f t="shared" si="132"/>
        <v>15-K06-04</v>
      </c>
      <c r="H2044">
        <v>0.27479999999999999</v>
      </c>
      <c r="J2044" t="s">
        <v>59</v>
      </c>
      <c r="K2044" t="str">
        <f t="shared" si="133"/>
        <v>3F4</v>
      </c>
      <c r="L2044" t="s">
        <v>15</v>
      </c>
    </row>
    <row r="2045" spans="1:12" x14ac:dyDescent="0.25">
      <c r="A2045" t="str">
        <f>"2110080698"</f>
        <v>2110080698</v>
      </c>
      <c r="B2045" t="str">
        <f t="shared" si="131"/>
        <v>89301000</v>
      </c>
      <c r="C2045" s="1">
        <v>44477</v>
      </c>
      <c r="D2045" s="1">
        <v>44480</v>
      </c>
      <c r="E2045">
        <v>1</v>
      </c>
      <c r="F2045" t="s">
        <v>1261</v>
      </c>
      <c r="G2045" t="str">
        <f t="shared" si="132"/>
        <v>15-K06-04</v>
      </c>
      <c r="H2045">
        <v>0.27479999999999999</v>
      </c>
      <c r="J2045" t="s">
        <v>59</v>
      </c>
      <c r="K2045" t="str">
        <f t="shared" si="133"/>
        <v>3F4</v>
      </c>
      <c r="L2045" t="s">
        <v>15</v>
      </c>
    </row>
    <row r="2046" spans="1:12" x14ac:dyDescent="0.25">
      <c r="A2046" t="str">
        <f>"2110110684"</f>
        <v>2110110684</v>
      </c>
      <c r="B2046" t="str">
        <f t="shared" si="131"/>
        <v>89301000</v>
      </c>
      <c r="C2046" s="1">
        <v>44480</v>
      </c>
      <c r="D2046" s="1">
        <v>44484</v>
      </c>
      <c r="E2046">
        <v>1</v>
      </c>
      <c r="F2046" t="s">
        <v>1261</v>
      </c>
      <c r="G2046" t="str">
        <f t="shared" si="132"/>
        <v>15-K06-04</v>
      </c>
      <c r="H2046">
        <v>0.27479999999999999</v>
      </c>
      <c r="I2046" t="s">
        <v>1414</v>
      </c>
      <c r="J2046" t="s">
        <v>59</v>
      </c>
      <c r="K2046" t="str">
        <f t="shared" si="133"/>
        <v>3F4</v>
      </c>
      <c r="L2046" t="s">
        <v>15</v>
      </c>
    </row>
    <row r="2047" spans="1:12" x14ac:dyDescent="0.25">
      <c r="A2047" t="str">
        <f>"2110110695"</f>
        <v>2110110695</v>
      </c>
      <c r="B2047" t="str">
        <f t="shared" si="131"/>
        <v>89301000</v>
      </c>
      <c r="C2047" s="1">
        <v>44480</v>
      </c>
      <c r="D2047" s="1">
        <v>44482</v>
      </c>
      <c r="E2047">
        <v>1</v>
      </c>
      <c r="F2047" t="s">
        <v>1261</v>
      </c>
      <c r="G2047" t="str">
        <f t="shared" si="132"/>
        <v>15-K06-04</v>
      </c>
      <c r="H2047">
        <v>0.27479999999999999</v>
      </c>
      <c r="J2047" t="s">
        <v>59</v>
      </c>
      <c r="K2047" t="str">
        <f t="shared" si="133"/>
        <v>3F4</v>
      </c>
      <c r="L2047" t="s">
        <v>15</v>
      </c>
    </row>
    <row r="2048" spans="1:12" x14ac:dyDescent="0.25">
      <c r="A2048" t="str">
        <f>"2110120463"</f>
        <v>2110120463</v>
      </c>
      <c r="B2048" t="str">
        <f t="shared" si="131"/>
        <v>89301000</v>
      </c>
      <c r="C2048" s="1">
        <v>44522</v>
      </c>
      <c r="D2048" s="1">
        <v>44529</v>
      </c>
      <c r="E2048">
        <v>1</v>
      </c>
      <c r="F2048" t="s">
        <v>1415</v>
      </c>
      <c r="G2048" t="str">
        <f>"88-I06-00"</f>
        <v>88-I06-00</v>
      </c>
      <c r="H2048">
        <v>0.11459999999999999</v>
      </c>
      <c r="J2048" t="s">
        <v>14</v>
      </c>
      <c r="K2048" t="str">
        <f>"3F1"</f>
        <v>3F1</v>
      </c>
      <c r="L2048" t="s">
        <v>15</v>
      </c>
    </row>
    <row r="2049" spans="1:12" x14ac:dyDescent="0.25">
      <c r="A2049" t="str">
        <f>"2110120463"</f>
        <v>2110120463</v>
      </c>
      <c r="B2049" t="str">
        <f t="shared" si="131"/>
        <v>89301000</v>
      </c>
      <c r="C2049" s="1">
        <v>44481</v>
      </c>
      <c r="D2049" s="1">
        <v>44484</v>
      </c>
      <c r="E2049">
        <v>1</v>
      </c>
      <c r="F2049" t="s">
        <v>1261</v>
      </c>
      <c r="G2049" t="str">
        <f t="shared" ref="G2049:G2054" si="134">"15-K06-04"</f>
        <v>15-K06-04</v>
      </c>
      <c r="H2049">
        <v>0.27479999999999999</v>
      </c>
      <c r="I2049" t="s">
        <v>1395</v>
      </c>
      <c r="J2049" t="s">
        <v>59</v>
      </c>
      <c r="K2049" t="str">
        <f t="shared" ref="K2049:K2070" si="135">"3F4"</f>
        <v>3F4</v>
      </c>
      <c r="L2049" t="s">
        <v>15</v>
      </c>
    </row>
    <row r="2050" spans="1:12" x14ac:dyDescent="0.25">
      <c r="A2050" t="str">
        <f>"2110120474"</f>
        <v>2110120474</v>
      </c>
      <c r="B2050" t="str">
        <f t="shared" si="131"/>
        <v>89301000</v>
      </c>
      <c r="C2050" s="1">
        <v>44481</v>
      </c>
      <c r="D2050" s="1">
        <v>44484</v>
      </c>
      <c r="E2050">
        <v>1</v>
      </c>
      <c r="F2050" t="s">
        <v>1261</v>
      </c>
      <c r="G2050" t="str">
        <f t="shared" si="134"/>
        <v>15-K06-04</v>
      </c>
      <c r="H2050">
        <v>0.27479999999999999</v>
      </c>
      <c r="J2050" t="s">
        <v>59</v>
      </c>
      <c r="K2050" t="str">
        <f t="shared" si="135"/>
        <v>3F4</v>
      </c>
      <c r="L2050" t="s">
        <v>15</v>
      </c>
    </row>
    <row r="2051" spans="1:12" x14ac:dyDescent="0.25">
      <c r="A2051" t="str">
        <f>"2110120485"</f>
        <v>2110120485</v>
      </c>
      <c r="B2051" t="str">
        <f t="shared" si="131"/>
        <v>89301000</v>
      </c>
      <c r="C2051" s="1">
        <v>44481</v>
      </c>
      <c r="D2051" s="1">
        <v>44484</v>
      </c>
      <c r="E2051">
        <v>1</v>
      </c>
      <c r="F2051" t="s">
        <v>1261</v>
      </c>
      <c r="G2051" t="str">
        <f t="shared" si="134"/>
        <v>15-K06-04</v>
      </c>
      <c r="H2051">
        <v>0.27479999999999999</v>
      </c>
      <c r="J2051" t="s">
        <v>59</v>
      </c>
      <c r="K2051" t="str">
        <f t="shared" si="135"/>
        <v>3F4</v>
      </c>
      <c r="L2051" t="s">
        <v>15</v>
      </c>
    </row>
    <row r="2052" spans="1:12" x14ac:dyDescent="0.25">
      <c r="A2052" t="str">
        <f>"2110120507"</f>
        <v>2110120507</v>
      </c>
      <c r="B2052" t="str">
        <f t="shared" si="131"/>
        <v>89301000</v>
      </c>
      <c r="C2052" s="1">
        <v>44481</v>
      </c>
      <c r="D2052" s="1">
        <v>44484</v>
      </c>
      <c r="E2052">
        <v>1</v>
      </c>
      <c r="F2052" t="s">
        <v>1261</v>
      </c>
      <c r="G2052" t="str">
        <f t="shared" si="134"/>
        <v>15-K06-04</v>
      </c>
      <c r="H2052">
        <v>0.27479999999999999</v>
      </c>
      <c r="J2052" t="s">
        <v>59</v>
      </c>
      <c r="K2052" t="str">
        <f t="shared" si="135"/>
        <v>3F4</v>
      </c>
      <c r="L2052" t="s">
        <v>15</v>
      </c>
    </row>
    <row r="2053" spans="1:12" x14ac:dyDescent="0.25">
      <c r="A2053" t="str">
        <f>"2110130110"</f>
        <v>2110130110</v>
      </c>
      <c r="B2053" t="str">
        <f t="shared" si="131"/>
        <v>89301000</v>
      </c>
      <c r="C2053" s="1">
        <v>44482</v>
      </c>
      <c r="D2053" s="1">
        <v>44484</v>
      </c>
      <c r="E2053">
        <v>1</v>
      </c>
      <c r="F2053" t="s">
        <v>1261</v>
      </c>
      <c r="G2053" t="str">
        <f t="shared" si="134"/>
        <v>15-K06-04</v>
      </c>
      <c r="H2053">
        <v>0.27479999999999999</v>
      </c>
      <c r="I2053" t="s">
        <v>390</v>
      </c>
      <c r="J2053" t="s">
        <v>59</v>
      </c>
      <c r="K2053" t="str">
        <f t="shared" si="135"/>
        <v>3F4</v>
      </c>
      <c r="L2053" t="s">
        <v>15</v>
      </c>
    </row>
    <row r="2054" spans="1:12" x14ac:dyDescent="0.25">
      <c r="A2054" t="str">
        <f>"2110130704"</f>
        <v>2110130704</v>
      </c>
      <c r="B2054" t="str">
        <f t="shared" si="131"/>
        <v>89301000</v>
      </c>
      <c r="C2054" s="1">
        <v>44482</v>
      </c>
      <c r="D2054" s="1">
        <v>44485</v>
      </c>
      <c r="E2054">
        <v>1</v>
      </c>
      <c r="F2054" t="s">
        <v>1261</v>
      </c>
      <c r="G2054" t="str">
        <f t="shared" si="134"/>
        <v>15-K06-04</v>
      </c>
      <c r="H2054">
        <v>0.27479999999999999</v>
      </c>
      <c r="J2054" t="s">
        <v>59</v>
      </c>
      <c r="K2054" t="str">
        <f t="shared" si="135"/>
        <v>3F4</v>
      </c>
      <c r="L2054" t="s">
        <v>15</v>
      </c>
    </row>
    <row r="2055" spans="1:12" x14ac:dyDescent="0.25">
      <c r="A2055" t="str">
        <f>"2110130748"</f>
        <v>2110130748</v>
      </c>
      <c r="B2055" t="str">
        <f t="shared" si="131"/>
        <v>89301000</v>
      </c>
      <c r="C2055" s="1">
        <v>44482</v>
      </c>
      <c r="D2055" s="1">
        <v>44487</v>
      </c>
      <c r="E2055">
        <v>1</v>
      </c>
      <c r="F2055" t="s">
        <v>1261</v>
      </c>
      <c r="G2055" t="str">
        <f>"15-K06-02"</f>
        <v>15-K06-02</v>
      </c>
      <c r="H2055">
        <v>0.59770000000000001</v>
      </c>
      <c r="I2055" t="s">
        <v>1354</v>
      </c>
      <c r="J2055" t="s">
        <v>59</v>
      </c>
      <c r="K2055" t="str">
        <f t="shared" si="135"/>
        <v>3F4</v>
      </c>
      <c r="L2055" t="s">
        <v>15</v>
      </c>
    </row>
    <row r="2056" spans="1:12" x14ac:dyDescent="0.25">
      <c r="A2056" t="str">
        <f>"2110140615"</f>
        <v>2110140615</v>
      </c>
      <c r="B2056" t="str">
        <f t="shared" si="131"/>
        <v>89301000</v>
      </c>
      <c r="C2056" s="1">
        <v>44483</v>
      </c>
      <c r="D2056" s="1">
        <v>44486</v>
      </c>
      <c r="E2056">
        <v>1</v>
      </c>
      <c r="F2056" t="s">
        <v>1261</v>
      </c>
      <c r="G2056" t="str">
        <f t="shared" ref="G2056:G2062" si="136">"15-K06-04"</f>
        <v>15-K06-04</v>
      </c>
      <c r="H2056">
        <v>0.27479999999999999</v>
      </c>
      <c r="J2056" t="s">
        <v>59</v>
      </c>
      <c r="K2056" t="str">
        <f t="shared" si="135"/>
        <v>3F4</v>
      </c>
      <c r="L2056" t="s">
        <v>15</v>
      </c>
    </row>
    <row r="2057" spans="1:12" x14ac:dyDescent="0.25">
      <c r="A2057" t="str">
        <f>"2110150075"</f>
        <v>2110150075</v>
      </c>
      <c r="B2057" t="str">
        <f t="shared" si="131"/>
        <v>89301000</v>
      </c>
      <c r="C2057" s="1">
        <v>44484</v>
      </c>
      <c r="D2057" s="1">
        <v>44486</v>
      </c>
      <c r="E2057">
        <v>1</v>
      </c>
      <c r="F2057" t="s">
        <v>1261</v>
      </c>
      <c r="G2057" t="str">
        <f t="shared" si="136"/>
        <v>15-K06-04</v>
      </c>
      <c r="H2057">
        <v>0.27479999999999999</v>
      </c>
      <c r="J2057" t="s">
        <v>59</v>
      </c>
      <c r="K2057" t="str">
        <f t="shared" si="135"/>
        <v>3F4</v>
      </c>
      <c r="L2057" t="s">
        <v>15</v>
      </c>
    </row>
    <row r="2058" spans="1:12" x14ac:dyDescent="0.25">
      <c r="A2058" t="str">
        <f>"2110150812"</f>
        <v>2110150812</v>
      </c>
      <c r="B2058" t="str">
        <f t="shared" si="131"/>
        <v>89301000</v>
      </c>
      <c r="C2058" s="1">
        <v>44484</v>
      </c>
      <c r="D2058" s="1">
        <v>44487</v>
      </c>
      <c r="E2058">
        <v>1</v>
      </c>
      <c r="F2058" t="s">
        <v>1338</v>
      </c>
      <c r="G2058" t="str">
        <f t="shared" si="136"/>
        <v>15-K06-04</v>
      </c>
      <c r="H2058">
        <v>0.27479999999999999</v>
      </c>
      <c r="I2058" t="s">
        <v>1416</v>
      </c>
      <c r="J2058" t="s">
        <v>59</v>
      </c>
      <c r="K2058" t="str">
        <f t="shared" si="135"/>
        <v>3F4</v>
      </c>
      <c r="L2058" t="s">
        <v>15</v>
      </c>
    </row>
    <row r="2059" spans="1:12" x14ac:dyDescent="0.25">
      <c r="A2059" t="str">
        <f>"2110150834"</f>
        <v>2110150834</v>
      </c>
      <c r="B2059" t="str">
        <f t="shared" si="131"/>
        <v>89301000</v>
      </c>
      <c r="C2059" s="1">
        <v>44484</v>
      </c>
      <c r="D2059" s="1">
        <v>44487</v>
      </c>
      <c r="E2059">
        <v>1</v>
      </c>
      <c r="F2059" t="s">
        <v>1338</v>
      </c>
      <c r="G2059" t="str">
        <f t="shared" si="136"/>
        <v>15-K06-04</v>
      </c>
      <c r="H2059">
        <v>0.27479999999999999</v>
      </c>
      <c r="I2059" t="s">
        <v>1417</v>
      </c>
      <c r="J2059" t="s">
        <v>59</v>
      </c>
      <c r="K2059" t="str">
        <f t="shared" si="135"/>
        <v>3F4</v>
      </c>
      <c r="L2059" t="s">
        <v>15</v>
      </c>
    </row>
    <row r="2060" spans="1:12" x14ac:dyDescent="0.25">
      <c r="A2060" t="str">
        <f>"2110150856"</f>
        <v>2110150856</v>
      </c>
      <c r="B2060" t="str">
        <f t="shared" si="131"/>
        <v>89301000</v>
      </c>
      <c r="C2060" s="1">
        <v>44484</v>
      </c>
      <c r="D2060" s="1">
        <v>44487</v>
      </c>
      <c r="E2060">
        <v>1</v>
      </c>
      <c r="F2060" t="s">
        <v>1261</v>
      </c>
      <c r="G2060" t="str">
        <f t="shared" si="136"/>
        <v>15-K06-04</v>
      </c>
      <c r="H2060">
        <v>0.27479999999999999</v>
      </c>
      <c r="I2060" t="s">
        <v>1286</v>
      </c>
      <c r="J2060" t="s">
        <v>59</v>
      </c>
      <c r="K2060" t="str">
        <f t="shared" si="135"/>
        <v>3F4</v>
      </c>
      <c r="L2060" t="s">
        <v>15</v>
      </c>
    </row>
    <row r="2061" spans="1:12" x14ac:dyDescent="0.25">
      <c r="A2061" t="str">
        <f>"2110150911"</f>
        <v>2110150911</v>
      </c>
      <c r="B2061" t="str">
        <f t="shared" si="131"/>
        <v>89301000</v>
      </c>
      <c r="C2061" s="1">
        <v>44484</v>
      </c>
      <c r="D2061" s="1">
        <v>44487</v>
      </c>
      <c r="E2061">
        <v>1</v>
      </c>
      <c r="F2061" t="s">
        <v>1261</v>
      </c>
      <c r="G2061" t="str">
        <f t="shared" si="136"/>
        <v>15-K06-04</v>
      </c>
      <c r="H2061">
        <v>0.27479999999999999</v>
      </c>
      <c r="I2061" t="s">
        <v>1418</v>
      </c>
      <c r="J2061" t="s">
        <v>59</v>
      </c>
      <c r="K2061" t="str">
        <f t="shared" si="135"/>
        <v>3F4</v>
      </c>
      <c r="L2061" t="s">
        <v>15</v>
      </c>
    </row>
    <row r="2062" spans="1:12" x14ac:dyDescent="0.25">
      <c r="A2062" t="str">
        <f>"2110150922"</f>
        <v>2110150922</v>
      </c>
      <c r="B2062" t="str">
        <f t="shared" si="131"/>
        <v>89301000</v>
      </c>
      <c r="C2062" s="1">
        <v>44484</v>
      </c>
      <c r="D2062" s="1">
        <v>44487</v>
      </c>
      <c r="E2062">
        <v>1</v>
      </c>
      <c r="F2062" t="s">
        <v>1261</v>
      </c>
      <c r="G2062" t="str">
        <f t="shared" si="136"/>
        <v>15-K06-04</v>
      </c>
      <c r="H2062">
        <v>0.27479999999999999</v>
      </c>
      <c r="I2062" t="s">
        <v>1279</v>
      </c>
      <c r="J2062" t="s">
        <v>59</v>
      </c>
      <c r="K2062" t="str">
        <f t="shared" si="135"/>
        <v>3F4</v>
      </c>
      <c r="L2062" t="s">
        <v>15</v>
      </c>
    </row>
    <row r="2063" spans="1:12" x14ac:dyDescent="0.25">
      <c r="A2063" t="str">
        <f>"2110160404"</f>
        <v>2110160404</v>
      </c>
      <c r="B2063" t="str">
        <f t="shared" si="131"/>
        <v>89301000</v>
      </c>
      <c r="C2063" s="1">
        <v>44485</v>
      </c>
      <c r="D2063" s="1">
        <v>44493</v>
      </c>
      <c r="E2063">
        <v>1</v>
      </c>
      <c r="F2063" t="s">
        <v>1319</v>
      </c>
      <c r="G2063" t="str">
        <f>"15-K07-03"</f>
        <v>15-K07-03</v>
      </c>
      <c r="H2063">
        <v>0.53959999999999997</v>
      </c>
      <c r="J2063" t="s">
        <v>59</v>
      </c>
      <c r="K2063" t="str">
        <f t="shared" si="135"/>
        <v>3F4</v>
      </c>
      <c r="L2063" t="s">
        <v>15</v>
      </c>
    </row>
    <row r="2064" spans="1:12" x14ac:dyDescent="0.25">
      <c r="A2064" t="str">
        <f>"2110160404"</f>
        <v>2110160404</v>
      </c>
      <c r="B2064" t="str">
        <f t="shared" si="131"/>
        <v>89301000</v>
      </c>
      <c r="C2064" s="1">
        <v>44497</v>
      </c>
      <c r="D2064" s="1">
        <v>44498</v>
      </c>
      <c r="E2064">
        <v>1</v>
      </c>
      <c r="F2064" t="s">
        <v>1319</v>
      </c>
      <c r="G2064" t="str">
        <f>"15-K07-03"</f>
        <v>15-K07-03</v>
      </c>
      <c r="H2064">
        <v>0.53959999999999997</v>
      </c>
      <c r="J2064" t="s">
        <v>59</v>
      </c>
      <c r="K2064" t="str">
        <f t="shared" si="135"/>
        <v>3F4</v>
      </c>
      <c r="L2064" t="s">
        <v>15</v>
      </c>
    </row>
    <row r="2065" spans="1:12" x14ac:dyDescent="0.25">
      <c r="A2065" t="str">
        <f>"2110180589"</f>
        <v>2110180589</v>
      </c>
      <c r="B2065" t="str">
        <f t="shared" si="131"/>
        <v>89301000</v>
      </c>
      <c r="C2065" s="1">
        <v>44487</v>
      </c>
      <c r="D2065" s="1">
        <v>44490</v>
      </c>
      <c r="E2065">
        <v>1</v>
      </c>
      <c r="F2065" t="s">
        <v>1261</v>
      </c>
      <c r="G2065" t="str">
        <f>"15-K06-04"</f>
        <v>15-K06-04</v>
      </c>
      <c r="H2065">
        <v>0.27479999999999999</v>
      </c>
      <c r="J2065" t="s">
        <v>59</v>
      </c>
      <c r="K2065" t="str">
        <f t="shared" si="135"/>
        <v>3F4</v>
      </c>
      <c r="L2065" t="s">
        <v>15</v>
      </c>
    </row>
    <row r="2066" spans="1:12" x14ac:dyDescent="0.25">
      <c r="A2066" t="str">
        <f>"2110180600"</f>
        <v>2110180600</v>
      </c>
      <c r="B2066" t="str">
        <f t="shared" si="131"/>
        <v>89301000</v>
      </c>
      <c r="C2066" s="1">
        <v>44487</v>
      </c>
      <c r="D2066" s="1">
        <v>44490</v>
      </c>
      <c r="E2066">
        <v>1</v>
      </c>
      <c r="F2066" t="s">
        <v>1261</v>
      </c>
      <c r="G2066" t="str">
        <f>"15-K06-04"</f>
        <v>15-K06-04</v>
      </c>
      <c r="H2066">
        <v>0.27479999999999999</v>
      </c>
      <c r="J2066" t="s">
        <v>59</v>
      </c>
      <c r="K2066" t="str">
        <f t="shared" si="135"/>
        <v>3F4</v>
      </c>
      <c r="L2066" t="s">
        <v>15</v>
      </c>
    </row>
    <row r="2067" spans="1:12" x14ac:dyDescent="0.25">
      <c r="A2067" t="str">
        <f>"2110180600"</f>
        <v>2110180600</v>
      </c>
      <c r="B2067" t="str">
        <f t="shared" si="131"/>
        <v>89301000</v>
      </c>
      <c r="C2067" s="1">
        <v>44553</v>
      </c>
      <c r="D2067" s="1">
        <v>44554</v>
      </c>
      <c r="E2067">
        <v>1</v>
      </c>
      <c r="F2067" t="s">
        <v>1262</v>
      </c>
      <c r="G2067" t="str">
        <f>"23-K03-02"</f>
        <v>23-K03-02</v>
      </c>
      <c r="H2067">
        <v>0.35449999999999998</v>
      </c>
      <c r="J2067" t="s">
        <v>14</v>
      </c>
      <c r="K2067" t="str">
        <f t="shared" si="135"/>
        <v>3F4</v>
      </c>
      <c r="L2067" t="s">
        <v>15</v>
      </c>
    </row>
    <row r="2068" spans="1:12" x14ac:dyDescent="0.25">
      <c r="A2068" t="str">
        <f>"2110190709"</f>
        <v>2110190709</v>
      </c>
      <c r="B2068" t="str">
        <f t="shared" si="131"/>
        <v>89301000</v>
      </c>
      <c r="C2068" s="1">
        <v>44488</v>
      </c>
      <c r="D2068" s="1">
        <v>44489</v>
      </c>
      <c r="E2068">
        <v>1</v>
      </c>
      <c r="F2068" t="s">
        <v>1261</v>
      </c>
      <c r="G2068" t="str">
        <f>"15-K06-04"</f>
        <v>15-K06-04</v>
      </c>
      <c r="H2068">
        <v>0.27479999999999999</v>
      </c>
      <c r="J2068" t="s">
        <v>59</v>
      </c>
      <c r="K2068" t="str">
        <f t="shared" si="135"/>
        <v>3F4</v>
      </c>
      <c r="L2068" t="s">
        <v>15</v>
      </c>
    </row>
    <row r="2069" spans="1:12" x14ac:dyDescent="0.25">
      <c r="A2069" t="str">
        <f>"2110210069"</f>
        <v>2110210069</v>
      </c>
      <c r="B2069" t="str">
        <f t="shared" si="131"/>
        <v>89301000</v>
      </c>
      <c r="C2069" s="1">
        <v>44490</v>
      </c>
      <c r="D2069" s="1">
        <v>44492</v>
      </c>
      <c r="E2069">
        <v>1</v>
      </c>
      <c r="F2069" t="s">
        <v>1261</v>
      </c>
      <c r="G2069" t="str">
        <f>"15-K06-04"</f>
        <v>15-K06-04</v>
      </c>
      <c r="H2069">
        <v>0.27479999999999999</v>
      </c>
      <c r="I2069" t="s">
        <v>1419</v>
      </c>
      <c r="J2069" t="s">
        <v>59</v>
      </c>
      <c r="K2069" t="str">
        <f t="shared" si="135"/>
        <v>3F4</v>
      </c>
      <c r="L2069" t="s">
        <v>15</v>
      </c>
    </row>
    <row r="2070" spans="1:12" x14ac:dyDescent="0.25">
      <c r="A2070" t="str">
        <f>"2110210696"</f>
        <v>2110210696</v>
      </c>
      <c r="B2070" t="str">
        <f t="shared" si="131"/>
        <v>89301000</v>
      </c>
      <c r="C2070" s="1">
        <v>44490</v>
      </c>
      <c r="D2070" s="1">
        <v>44494</v>
      </c>
      <c r="E2070">
        <v>1</v>
      </c>
      <c r="F2070" t="s">
        <v>1261</v>
      </c>
      <c r="G2070" t="str">
        <f>"15-K06-04"</f>
        <v>15-K06-04</v>
      </c>
      <c r="H2070">
        <v>0.27479999999999999</v>
      </c>
      <c r="J2070" t="s">
        <v>59</v>
      </c>
      <c r="K2070" t="str">
        <f t="shared" si="135"/>
        <v>3F4</v>
      </c>
      <c r="L2070" t="s">
        <v>15</v>
      </c>
    </row>
    <row r="2071" spans="1:12" x14ac:dyDescent="0.25">
      <c r="A2071" t="str">
        <f>"2110211730"</f>
        <v>2110211730</v>
      </c>
      <c r="B2071" t="str">
        <f t="shared" si="131"/>
        <v>89301000</v>
      </c>
      <c r="C2071" s="1">
        <v>44535</v>
      </c>
      <c r="D2071" s="1">
        <v>44538</v>
      </c>
      <c r="E2071">
        <v>1</v>
      </c>
      <c r="F2071" t="s">
        <v>1420</v>
      </c>
      <c r="G2071" t="str">
        <f>"03-K02-03"</f>
        <v>03-K02-03</v>
      </c>
      <c r="H2071">
        <v>0.33960000000000001</v>
      </c>
      <c r="I2071" t="s">
        <v>248</v>
      </c>
      <c r="J2071" t="s">
        <v>14</v>
      </c>
      <c r="K2071" t="str">
        <f>"3F1"</f>
        <v>3F1</v>
      </c>
      <c r="L2071" t="s">
        <v>15</v>
      </c>
    </row>
    <row r="2072" spans="1:12" x14ac:dyDescent="0.25">
      <c r="A2072" t="str">
        <f>"2110211730"</f>
        <v>2110211730</v>
      </c>
      <c r="B2072" t="str">
        <f t="shared" si="131"/>
        <v>89301000</v>
      </c>
      <c r="C2072" s="1">
        <v>44491</v>
      </c>
      <c r="D2072" s="1">
        <v>44506</v>
      </c>
      <c r="E2072">
        <v>1</v>
      </c>
      <c r="F2072" t="s">
        <v>1282</v>
      </c>
      <c r="G2072" t="str">
        <f>"15-M01-11"</f>
        <v>15-M01-11</v>
      </c>
      <c r="H2072">
        <v>4.7668999999999997</v>
      </c>
      <c r="I2072" t="s">
        <v>1421</v>
      </c>
      <c r="J2072" t="s">
        <v>1212</v>
      </c>
      <c r="K2072" t="str">
        <f t="shared" ref="K2072:K2081" si="137">"3F4"</f>
        <v>3F4</v>
      </c>
      <c r="L2072" t="s">
        <v>15</v>
      </c>
    </row>
    <row r="2073" spans="1:12" x14ac:dyDescent="0.25">
      <c r="A2073" t="str">
        <f>"2110220541"</f>
        <v>2110220541</v>
      </c>
      <c r="B2073" t="str">
        <f t="shared" si="131"/>
        <v>89301000</v>
      </c>
      <c r="C2073" s="1">
        <v>44491</v>
      </c>
      <c r="D2073" s="1">
        <v>44494</v>
      </c>
      <c r="E2073">
        <v>1</v>
      </c>
      <c r="F2073" t="s">
        <v>1221</v>
      </c>
      <c r="G2073" t="str">
        <f>"15-K07-03"</f>
        <v>15-K07-03</v>
      </c>
      <c r="H2073">
        <v>0.53959999999999997</v>
      </c>
      <c r="J2073" t="s">
        <v>59</v>
      </c>
      <c r="K2073" t="str">
        <f t="shared" si="137"/>
        <v>3F4</v>
      </c>
      <c r="L2073" t="s">
        <v>15</v>
      </c>
    </row>
    <row r="2074" spans="1:12" x14ac:dyDescent="0.25">
      <c r="A2074" t="str">
        <f>"2110240418"</f>
        <v>2110240418</v>
      </c>
      <c r="B2074" t="str">
        <f t="shared" si="131"/>
        <v>89301000</v>
      </c>
      <c r="C2074" s="1">
        <v>44493</v>
      </c>
      <c r="D2074" s="1">
        <v>44497</v>
      </c>
      <c r="E2074">
        <v>1</v>
      </c>
      <c r="F2074" t="s">
        <v>1261</v>
      </c>
      <c r="G2074" t="str">
        <f>"15-K06-04"</f>
        <v>15-K06-04</v>
      </c>
      <c r="H2074">
        <v>0.27479999999999999</v>
      </c>
      <c r="I2074" t="s">
        <v>1383</v>
      </c>
      <c r="J2074" t="s">
        <v>59</v>
      </c>
      <c r="K2074" t="str">
        <f t="shared" si="137"/>
        <v>3F4</v>
      </c>
      <c r="L2074" t="s">
        <v>15</v>
      </c>
    </row>
    <row r="2075" spans="1:12" x14ac:dyDescent="0.25">
      <c r="A2075" t="str">
        <f>"2110250692"</f>
        <v>2110250692</v>
      </c>
      <c r="B2075" t="str">
        <f t="shared" si="131"/>
        <v>89301000</v>
      </c>
      <c r="C2075" s="1">
        <v>44494</v>
      </c>
      <c r="D2075" s="1">
        <v>44498</v>
      </c>
      <c r="E2075">
        <v>1</v>
      </c>
      <c r="F2075" t="s">
        <v>1422</v>
      </c>
      <c r="G2075" t="str">
        <f>"15-K05-03"</f>
        <v>15-K05-03</v>
      </c>
      <c r="H2075">
        <v>0.62380000000000002</v>
      </c>
      <c r="J2075" t="s">
        <v>1212</v>
      </c>
      <c r="K2075" t="str">
        <f t="shared" si="137"/>
        <v>3F4</v>
      </c>
      <c r="L2075" t="s">
        <v>15</v>
      </c>
    </row>
    <row r="2076" spans="1:12" x14ac:dyDescent="0.25">
      <c r="A2076" t="str">
        <f>"2110250714"</f>
        <v>2110250714</v>
      </c>
      <c r="B2076" t="str">
        <f t="shared" si="131"/>
        <v>89301000</v>
      </c>
      <c r="C2076" s="1">
        <v>44494</v>
      </c>
      <c r="D2076" s="1">
        <v>44497</v>
      </c>
      <c r="E2076">
        <v>1</v>
      </c>
      <c r="F2076" t="s">
        <v>1261</v>
      </c>
      <c r="G2076" t="str">
        <f t="shared" ref="G2076:G2081" si="138">"15-K06-04"</f>
        <v>15-K06-04</v>
      </c>
      <c r="H2076">
        <v>0.27479999999999999</v>
      </c>
      <c r="J2076" t="s">
        <v>59</v>
      </c>
      <c r="K2076" t="str">
        <f t="shared" si="137"/>
        <v>3F4</v>
      </c>
      <c r="L2076" t="s">
        <v>15</v>
      </c>
    </row>
    <row r="2077" spans="1:12" x14ac:dyDescent="0.25">
      <c r="A2077" t="str">
        <f>"2110280348"</f>
        <v>2110280348</v>
      </c>
      <c r="B2077" t="str">
        <f t="shared" si="131"/>
        <v>89301000</v>
      </c>
      <c r="C2077" s="1">
        <v>44497</v>
      </c>
      <c r="D2077" s="1">
        <v>44500</v>
      </c>
      <c r="E2077">
        <v>1</v>
      </c>
      <c r="F2077" t="s">
        <v>1261</v>
      </c>
      <c r="G2077" t="str">
        <f t="shared" si="138"/>
        <v>15-K06-04</v>
      </c>
      <c r="H2077">
        <v>0.27479999999999999</v>
      </c>
      <c r="J2077" t="s">
        <v>59</v>
      </c>
      <c r="K2077" t="str">
        <f t="shared" si="137"/>
        <v>3F4</v>
      </c>
      <c r="L2077" t="s">
        <v>15</v>
      </c>
    </row>
    <row r="2078" spans="1:12" x14ac:dyDescent="0.25">
      <c r="A2078" t="str">
        <f>"2110280359"</f>
        <v>2110280359</v>
      </c>
      <c r="B2078" t="str">
        <f t="shared" si="131"/>
        <v>89301000</v>
      </c>
      <c r="C2078" s="1">
        <v>44497</v>
      </c>
      <c r="D2078" s="1">
        <v>44500</v>
      </c>
      <c r="E2078">
        <v>1</v>
      </c>
      <c r="F2078" t="s">
        <v>1261</v>
      </c>
      <c r="G2078" t="str">
        <f t="shared" si="138"/>
        <v>15-K06-04</v>
      </c>
      <c r="H2078">
        <v>0.27479999999999999</v>
      </c>
      <c r="I2078" t="s">
        <v>1269</v>
      </c>
      <c r="J2078" t="s">
        <v>59</v>
      </c>
      <c r="K2078" t="str">
        <f t="shared" si="137"/>
        <v>3F4</v>
      </c>
      <c r="L2078" t="s">
        <v>15</v>
      </c>
    </row>
    <row r="2079" spans="1:12" x14ac:dyDescent="0.25">
      <c r="A2079" t="str">
        <f>"2110290050"</f>
        <v>2110290050</v>
      </c>
      <c r="B2079" t="str">
        <f t="shared" si="131"/>
        <v>89301000</v>
      </c>
      <c r="C2079" s="1">
        <v>44498</v>
      </c>
      <c r="D2079" s="1">
        <v>44498</v>
      </c>
      <c r="E2079">
        <v>1</v>
      </c>
      <c r="F2079" t="s">
        <v>1261</v>
      </c>
      <c r="G2079" t="str">
        <f t="shared" si="138"/>
        <v>15-K06-04</v>
      </c>
      <c r="H2079">
        <v>0.13739999999999999</v>
      </c>
      <c r="J2079" t="s">
        <v>59</v>
      </c>
      <c r="K2079" t="str">
        <f t="shared" si="137"/>
        <v>3F4</v>
      </c>
      <c r="L2079" t="s">
        <v>15</v>
      </c>
    </row>
    <row r="2080" spans="1:12" x14ac:dyDescent="0.25">
      <c r="A2080" t="str">
        <f>"2110310334"</f>
        <v>2110310334</v>
      </c>
      <c r="B2080" t="str">
        <f t="shared" si="131"/>
        <v>89301000</v>
      </c>
      <c r="C2080" s="1">
        <v>44500</v>
      </c>
      <c r="D2080" s="1">
        <v>44502</v>
      </c>
      <c r="E2080">
        <v>1</v>
      </c>
      <c r="F2080" t="s">
        <v>1261</v>
      </c>
      <c r="G2080" t="str">
        <f t="shared" si="138"/>
        <v>15-K06-04</v>
      </c>
      <c r="H2080">
        <v>0.27479999999999999</v>
      </c>
      <c r="J2080" t="s">
        <v>59</v>
      </c>
      <c r="K2080" t="str">
        <f t="shared" si="137"/>
        <v>3F4</v>
      </c>
      <c r="L2080" t="s">
        <v>15</v>
      </c>
    </row>
    <row r="2081" spans="1:12" x14ac:dyDescent="0.25">
      <c r="A2081" t="str">
        <f>"2110310345"</f>
        <v>2110310345</v>
      </c>
      <c r="B2081" t="str">
        <f t="shared" si="131"/>
        <v>89301000</v>
      </c>
      <c r="C2081" s="1">
        <v>44500</v>
      </c>
      <c r="D2081" s="1">
        <v>44503</v>
      </c>
      <c r="E2081">
        <v>1</v>
      </c>
      <c r="F2081" t="s">
        <v>1261</v>
      </c>
      <c r="G2081" t="str">
        <f t="shared" si="138"/>
        <v>15-K06-04</v>
      </c>
      <c r="H2081">
        <v>0.27479999999999999</v>
      </c>
      <c r="J2081" t="s">
        <v>59</v>
      </c>
      <c r="K2081" t="str">
        <f t="shared" si="137"/>
        <v>3F4</v>
      </c>
      <c r="L2081" t="s">
        <v>15</v>
      </c>
    </row>
    <row r="2082" spans="1:12" x14ac:dyDescent="0.25">
      <c r="A2082" t="str">
        <f>"2111010099"</f>
        <v>2111010099</v>
      </c>
      <c r="B2082" t="str">
        <f t="shared" si="131"/>
        <v>89301000</v>
      </c>
      <c r="C2082" s="1">
        <v>44554</v>
      </c>
      <c r="D2082" s="1">
        <v>44554</v>
      </c>
      <c r="E2082">
        <v>1</v>
      </c>
      <c r="F2082" t="s">
        <v>1423</v>
      </c>
      <c r="G2082" t="str">
        <f>"23-K03-02"</f>
        <v>23-K03-02</v>
      </c>
      <c r="H2082">
        <v>0.1832</v>
      </c>
      <c r="I2082" t="s">
        <v>168</v>
      </c>
      <c r="J2082" t="s">
        <v>14</v>
      </c>
      <c r="K2082" t="str">
        <f>"3F1"</f>
        <v>3F1</v>
      </c>
      <c r="L2082" t="s">
        <v>15</v>
      </c>
    </row>
    <row r="2083" spans="1:12" x14ac:dyDescent="0.25">
      <c r="A2083" t="str">
        <f>"2111010594"</f>
        <v>2111010594</v>
      </c>
      <c r="B2083" t="str">
        <f t="shared" si="131"/>
        <v>89301000</v>
      </c>
      <c r="C2083" s="1">
        <v>44501</v>
      </c>
      <c r="D2083" s="1">
        <v>44504</v>
      </c>
      <c r="E2083">
        <v>1</v>
      </c>
      <c r="F2083" t="s">
        <v>1261</v>
      </c>
      <c r="G2083" t="str">
        <f>"15-K06-04"</f>
        <v>15-K06-04</v>
      </c>
      <c r="H2083">
        <v>0.27479999999999999</v>
      </c>
      <c r="J2083" t="s">
        <v>59</v>
      </c>
      <c r="K2083" t="str">
        <f t="shared" ref="K2083:K2114" si="139">"3F4"</f>
        <v>3F4</v>
      </c>
      <c r="L2083" t="s">
        <v>15</v>
      </c>
    </row>
    <row r="2084" spans="1:12" x14ac:dyDescent="0.25">
      <c r="A2084" t="str">
        <f>"2111020450"</f>
        <v>2111020450</v>
      </c>
      <c r="B2084" t="str">
        <f t="shared" si="131"/>
        <v>89301000</v>
      </c>
      <c r="C2084" s="1">
        <v>44502</v>
      </c>
      <c r="D2084" s="1">
        <v>44504</v>
      </c>
      <c r="E2084">
        <v>1</v>
      </c>
      <c r="F2084" t="s">
        <v>1261</v>
      </c>
      <c r="G2084" t="str">
        <f>"15-K06-04"</f>
        <v>15-K06-04</v>
      </c>
      <c r="H2084">
        <v>0.27479999999999999</v>
      </c>
      <c r="J2084" t="s">
        <v>59</v>
      </c>
      <c r="K2084" t="str">
        <f t="shared" si="139"/>
        <v>3F4</v>
      </c>
      <c r="L2084" t="s">
        <v>15</v>
      </c>
    </row>
    <row r="2085" spans="1:12" x14ac:dyDescent="0.25">
      <c r="A2085" t="str">
        <f>"2111030097"</f>
        <v>2111030097</v>
      </c>
      <c r="B2085" t="str">
        <f t="shared" si="131"/>
        <v>89301000</v>
      </c>
      <c r="C2085" s="1">
        <v>44503</v>
      </c>
      <c r="D2085" s="1">
        <v>44505</v>
      </c>
      <c r="E2085">
        <v>1</v>
      </c>
      <c r="F2085" t="s">
        <v>1261</v>
      </c>
      <c r="G2085" t="str">
        <f>"15-K06-04"</f>
        <v>15-K06-04</v>
      </c>
      <c r="H2085">
        <v>0.27479999999999999</v>
      </c>
      <c r="I2085" t="s">
        <v>1304</v>
      </c>
      <c r="J2085" t="s">
        <v>59</v>
      </c>
      <c r="K2085" t="str">
        <f t="shared" si="139"/>
        <v>3F4</v>
      </c>
      <c r="L2085" t="s">
        <v>15</v>
      </c>
    </row>
    <row r="2086" spans="1:12" x14ac:dyDescent="0.25">
      <c r="A2086" t="str">
        <f>"2111030603"</f>
        <v>2111030603</v>
      </c>
      <c r="B2086" t="str">
        <f t="shared" si="131"/>
        <v>89301000</v>
      </c>
      <c r="C2086" s="1">
        <v>44503</v>
      </c>
      <c r="D2086" s="1">
        <v>44507</v>
      </c>
      <c r="E2086">
        <v>1</v>
      </c>
      <c r="F2086" t="s">
        <v>1261</v>
      </c>
      <c r="G2086" t="str">
        <f>"15-K06-04"</f>
        <v>15-K06-04</v>
      </c>
      <c r="H2086">
        <v>0.27479999999999999</v>
      </c>
      <c r="J2086" t="s">
        <v>59</v>
      </c>
      <c r="K2086" t="str">
        <f t="shared" si="139"/>
        <v>3F4</v>
      </c>
      <c r="L2086" t="s">
        <v>15</v>
      </c>
    </row>
    <row r="2087" spans="1:12" x14ac:dyDescent="0.25">
      <c r="A2087" t="str">
        <f>"2111031758"</f>
        <v>2111031758</v>
      </c>
      <c r="B2087" t="str">
        <f t="shared" si="131"/>
        <v>89301000</v>
      </c>
      <c r="C2087" s="1">
        <v>44506</v>
      </c>
      <c r="D2087" s="1">
        <v>44508</v>
      </c>
      <c r="E2087">
        <v>1</v>
      </c>
      <c r="F2087" t="s">
        <v>1276</v>
      </c>
      <c r="G2087" t="str">
        <f>"15-K07-03"</f>
        <v>15-K07-03</v>
      </c>
      <c r="H2087">
        <v>0.53959999999999997</v>
      </c>
      <c r="J2087" t="s">
        <v>59</v>
      </c>
      <c r="K2087" t="str">
        <f t="shared" si="139"/>
        <v>3F4</v>
      </c>
      <c r="L2087" t="s">
        <v>15</v>
      </c>
    </row>
    <row r="2088" spans="1:12" x14ac:dyDescent="0.25">
      <c r="A2088" t="str">
        <f>"2111040701"</f>
        <v>2111040701</v>
      </c>
      <c r="B2088" t="str">
        <f t="shared" si="131"/>
        <v>89301000</v>
      </c>
      <c r="C2088" s="1">
        <v>44504</v>
      </c>
      <c r="D2088" s="1">
        <v>44507</v>
      </c>
      <c r="E2088">
        <v>1</v>
      </c>
      <c r="F2088" t="s">
        <v>1261</v>
      </c>
      <c r="G2088" t="str">
        <f t="shared" ref="G2088:G2094" si="140">"15-K06-04"</f>
        <v>15-K06-04</v>
      </c>
      <c r="H2088">
        <v>0.27479999999999999</v>
      </c>
      <c r="J2088" t="s">
        <v>59</v>
      </c>
      <c r="K2088" t="str">
        <f t="shared" si="139"/>
        <v>3F4</v>
      </c>
      <c r="L2088" t="s">
        <v>15</v>
      </c>
    </row>
    <row r="2089" spans="1:12" x14ac:dyDescent="0.25">
      <c r="A2089" t="str">
        <f>"2111040712"</f>
        <v>2111040712</v>
      </c>
      <c r="B2089" t="str">
        <f t="shared" si="131"/>
        <v>89301000</v>
      </c>
      <c r="C2089" s="1">
        <v>44504</v>
      </c>
      <c r="D2089" s="1">
        <v>44505</v>
      </c>
      <c r="E2089">
        <v>1</v>
      </c>
      <c r="F2089" t="s">
        <v>1261</v>
      </c>
      <c r="G2089" t="str">
        <f t="shared" si="140"/>
        <v>15-K06-04</v>
      </c>
      <c r="H2089">
        <v>0.27479999999999999</v>
      </c>
      <c r="J2089" t="s">
        <v>59</v>
      </c>
      <c r="K2089" t="str">
        <f t="shared" si="139"/>
        <v>3F4</v>
      </c>
      <c r="L2089" t="s">
        <v>15</v>
      </c>
    </row>
    <row r="2090" spans="1:12" x14ac:dyDescent="0.25">
      <c r="A2090" t="str">
        <f>"2111060413"</f>
        <v>2111060413</v>
      </c>
      <c r="B2090" t="str">
        <f t="shared" si="131"/>
        <v>89301000</v>
      </c>
      <c r="C2090" s="1">
        <v>44506</v>
      </c>
      <c r="D2090" s="1">
        <v>44509</v>
      </c>
      <c r="E2090">
        <v>1</v>
      </c>
      <c r="F2090" t="s">
        <v>1261</v>
      </c>
      <c r="G2090" t="str">
        <f t="shared" si="140"/>
        <v>15-K06-04</v>
      </c>
      <c r="H2090">
        <v>0.27479999999999999</v>
      </c>
      <c r="I2090" t="s">
        <v>1269</v>
      </c>
      <c r="J2090" t="s">
        <v>59</v>
      </c>
      <c r="K2090" t="str">
        <f t="shared" si="139"/>
        <v>3F4</v>
      </c>
      <c r="L2090" t="s">
        <v>15</v>
      </c>
    </row>
    <row r="2091" spans="1:12" x14ac:dyDescent="0.25">
      <c r="A2091" t="str">
        <f>"2111060435"</f>
        <v>2111060435</v>
      </c>
      <c r="B2091" t="str">
        <f t="shared" si="131"/>
        <v>89301000</v>
      </c>
      <c r="C2091" s="1">
        <v>44506</v>
      </c>
      <c r="D2091" s="1">
        <v>44509</v>
      </c>
      <c r="E2091">
        <v>1</v>
      </c>
      <c r="F2091" t="s">
        <v>1261</v>
      </c>
      <c r="G2091" t="str">
        <f t="shared" si="140"/>
        <v>15-K06-04</v>
      </c>
      <c r="H2091">
        <v>0.27479999999999999</v>
      </c>
      <c r="I2091" t="s">
        <v>1305</v>
      </c>
      <c r="J2091" t="s">
        <v>59</v>
      </c>
      <c r="K2091" t="str">
        <f t="shared" si="139"/>
        <v>3F4</v>
      </c>
      <c r="L2091" t="s">
        <v>15</v>
      </c>
    </row>
    <row r="2092" spans="1:12" x14ac:dyDescent="0.25">
      <c r="A2092" t="str">
        <f>"2111070346"</f>
        <v>2111070346</v>
      </c>
      <c r="B2092" t="str">
        <f t="shared" si="131"/>
        <v>89301000</v>
      </c>
      <c r="C2092" s="1">
        <v>44507</v>
      </c>
      <c r="D2092" s="1">
        <v>44510</v>
      </c>
      <c r="E2092">
        <v>1</v>
      </c>
      <c r="F2092" t="s">
        <v>1261</v>
      </c>
      <c r="G2092" t="str">
        <f t="shared" si="140"/>
        <v>15-K06-04</v>
      </c>
      <c r="H2092">
        <v>0.27479999999999999</v>
      </c>
      <c r="I2092" t="s">
        <v>1424</v>
      </c>
      <c r="J2092" t="s">
        <v>59</v>
      </c>
      <c r="K2092" t="str">
        <f t="shared" si="139"/>
        <v>3F4</v>
      </c>
      <c r="L2092" t="s">
        <v>15</v>
      </c>
    </row>
    <row r="2093" spans="1:12" x14ac:dyDescent="0.25">
      <c r="A2093" t="str">
        <f>"2111080521"</f>
        <v>2111080521</v>
      </c>
      <c r="B2093" t="str">
        <f t="shared" si="131"/>
        <v>89301000</v>
      </c>
      <c r="C2093" s="1">
        <v>44508</v>
      </c>
      <c r="D2093" s="1">
        <v>44511</v>
      </c>
      <c r="E2093">
        <v>1</v>
      </c>
      <c r="F2093" t="s">
        <v>1261</v>
      </c>
      <c r="G2093" t="str">
        <f t="shared" si="140"/>
        <v>15-K06-04</v>
      </c>
      <c r="H2093">
        <v>0.27479999999999999</v>
      </c>
      <c r="J2093" t="s">
        <v>59</v>
      </c>
      <c r="K2093" t="str">
        <f t="shared" si="139"/>
        <v>3F4</v>
      </c>
      <c r="L2093" t="s">
        <v>15</v>
      </c>
    </row>
    <row r="2094" spans="1:12" x14ac:dyDescent="0.25">
      <c r="A2094" t="str">
        <f>"2111080554"</f>
        <v>2111080554</v>
      </c>
      <c r="B2094" t="str">
        <f t="shared" si="131"/>
        <v>89301000</v>
      </c>
      <c r="C2094" s="1">
        <v>44508</v>
      </c>
      <c r="D2094" s="1">
        <v>44511</v>
      </c>
      <c r="E2094">
        <v>1</v>
      </c>
      <c r="F2094" t="s">
        <v>1261</v>
      </c>
      <c r="G2094" t="str">
        <f t="shared" si="140"/>
        <v>15-K06-04</v>
      </c>
      <c r="H2094">
        <v>0.27479999999999999</v>
      </c>
      <c r="J2094" t="s">
        <v>59</v>
      </c>
      <c r="K2094" t="str">
        <f t="shared" si="139"/>
        <v>3F4</v>
      </c>
      <c r="L2094" t="s">
        <v>15</v>
      </c>
    </row>
    <row r="2095" spans="1:12" x14ac:dyDescent="0.25">
      <c r="A2095" t="str">
        <f>"2111110100"</f>
        <v>2111110100</v>
      </c>
      <c r="B2095" t="str">
        <f t="shared" si="131"/>
        <v>89301000</v>
      </c>
      <c r="C2095" s="1">
        <v>44511</v>
      </c>
      <c r="D2095" s="1">
        <v>44514</v>
      </c>
      <c r="E2095">
        <v>1</v>
      </c>
      <c r="F2095" t="s">
        <v>1264</v>
      </c>
      <c r="G2095" t="str">
        <f>"15-K07-03"</f>
        <v>15-K07-03</v>
      </c>
      <c r="H2095">
        <v>0.53959999999999997</v>
      </c>
      <c r="I2095" t="s">
        <v>1261</v>
      </c>
      <c r="J2095" t="s">
        <v>59</v>
      </c>
      <c r="K2095" t="str">
        <f t="shared" si="139"/>
        <v>3F4</v>
      </c>
      <c r="L2095" t="s">
        <v>15</v>
      </c>
    </row>
    <row r="2096" spans="1:12" x14ac:dyDescent="0.25">
      <c r="A2096" t="str">
        <f>"2111110672"</f>
        <v>2111110672</v>
      </c>
      <c r="B2096" t="str">
        <f t="shared" si="131"/>
        <v>89301000</v>
      </c>
      <c r="C2096" s="1">
        <v>44511</v>
      </c>
      <c r="D2096" s="1">
        <v>44515</v>
      </c>
      <c r="E2096">
        <v>1</v>
      </c>
      <c r="F2096" t="s">
        <v>1261</v>
      </c>
      <c r="G2096" t="str">
        <f>"15-K06-04"</f>
        <v>15-K06-04</v>
      </c>
      <c r="H2096">
        <v>0.27479999999999999</v>
      </c>
      <c r="J2096" t="s">
        <v>59</v>
      </c>
      <c r="K2096" t="str">
        <f t="shared" si="139"/>
        <v>3F4</v>
      </c>
      <c r="L2096" t="s">
        <v>15</v>
      </c>
    </row>
    <row r="2097" spans="1:12" x14ac:dyDescent="0.25">
      <c r="A2097" t="str">
        <f>"2111110683"</f>
        <v>2111110683</v>
      </c>
      <c r="B2097" t="str">
        <f t="shared" ref="B2097:B2152" si="141">"89301000"</f>
        <v>89301000</v>
      </c>
      <c r="C2097" s="1">
        <v>44511</v>
      </c>
      <c r="D2097" s="1">
        <v>44531</v>
      </c>
      <c r="E2097">
        <v>1</v>
      </c>
      <c r="F2097" t="s">
        <v>1221</v>
      </c>
      <c r="G2097" t="str">
        <f>"15-K04-01"</f>
        <v>15-K04-01</v>
      </c>
      <c r="H2097">
        <v>3.3435000000000001</v>
      </c>
      <c r="I2097" t="s">
        <v>1425</v>
      </c>
      <c r="J2097" t="s">
        <v>1212</v>
      </c>
      <c r="K2097" t="str">
        <f t="shared" si="139"/>
        <v>3F4</v>
      </c>
      <c r="L2097" t="s">
        <v>15</v>
      </c>
    </row>
    <row r="2098" spans="1:12" x14ac:dyDescent="0.25">
      <c r="A2098" t="str">
        <f>"2111120781"</f>
        <v>2111120781</v>
      </c>
      <c r="B2098" t="str">
        <f t="shared" si="141"/>
        <v>89301000</v>
      </c>
      <c r="C2098" s="1">
        <v>44512</v>
      </c>
      <c r="D2098" s="1">
        <v>44514</v>
      </c>
      <c r="E2098">
        <v>1</v>
      </c>
      <c r="F2098" t="s">
        <v>1261</v>
      </c>
      <c r="G2098" t="str">
        <f>"15-K06-04"</f>
        <v>15-K06-04</v>
      </c>
      <c r="H2098">
        <v>0.27479999999999999</v>
      </c>
      <c r="J2098" t="s">
        <v>59</v>
      </c>
      <c r="K2098" t="str">
        <f t="shared" si="139"/>
        <v>3F4</v>
      </c>
      <c r="L2098" t="s">
        <v>15</v>
      </c>
    </row>
    <row r="2099" spans="1:12" x14ac:dyDescent="0.25">
      <c r="A2099" t="str">
        <f>"2111121364"</f>
        <v>2111121364</v>
      </c>
      <c r="B2099" t="str">
        <f t="shared" si="141"/>
        <v>89301000</v>
      </c>
      <c r="C2099" s="1">
        <v>44513</v>
      </c>
      <c r="D2099" s="1">
        <v>44526</v>
      </c>
      <c r="E2099">
        <v>1</v>
      </c>
      <c r="F2099" t="s">
        <v>1282</v>
      </c>
      <c r="G2099" t="str">
        <f>"15-M01-11"</f>
        <v>15-M01-11</v>
      </c>
      <c r="H2099">
        <v>4.7668999999999997</v>
      </c>
      <c r="I2099" t="s">
        <v>1426</v>
      </c>
      <c r="J2099" t="s">
        <v>1212</v>
      </c>
      <c r="K2099" t="str">
        <f t="shared" si="139"/>
        <v>3F4</v>
      </c>
      <c r="L2099" t="s">
        <v>15</v>
      </c>
    </row>
    <row r="2100" spans="1:12" x14ac:dyDescent="0.25">
      <c r="A2100" t="str">
        <f>"2111130406"</f>
        <v>2111130406</v>
      </c>
      <c r="B2100" t="str">
        <f t="shared" si="141"/>
        <v>89301000</v>
      </c>
      <c r="C2100" s="1">
        <v>44513</v>
      </c>
      <c r="D2100" s="1">
        <v>44514</v>
      </c>
      <c r="E2100">
        <v>1</v>
      </c>
      <c r="F2100" t="s">
        <v>1261</v>
      </c>
      <c r="G2100" t="str">
        <f t="shared" ref="G2100:G2105" si="142">"15-K06-04"</f>
        <v>15-K06-04</v>
      </c>
      <c r="H2100">
        <v>0.27479999999999999</v>
      </c>
      <c r="J2100" t="s">
        <v>59</v>
      </c>
      <c r="K2100" t="str">
        <f t="shared" si="139"/>
        <v>3F4</v>
      </c>
      <c r="L2100" t="s">
        <v>15</v>
      </c>
    </row>
    <row r="2101" spans="1:12" x14ac:dyDescent="0.25">
      <c r="A2101" t="str">
        <f>"2111130417"</f>
        <v>2111130417</v>
      </c>
      <c r="B2101" t="str">
        <f t="shared" si="141"/>
        <v>89301000</v>
      </c>
      <c r="C2101" s="1">
        <v>44513</v>
      </c>
      <c r="D2101" s="1">
        <v>44515</v>
      </c>
      <c r="E2101">
        <v>1</v>
      </c>
      <c r="F2101" t="s">
        <v>1261</v>
      </c>
      <c r="G2101" t="str">
        <f t="shared" si="142"/>
        <v>15-K06-04</v>
      </c>
      <c r="H2101">
        <v>0.27479999999999999</v>
      </c>
      <c r="J2101" t="s">
        <v>59</v>
      </c>
      <c r="K2101" t="str">
        <f t="shared" si="139"/>
        <v>3F4</v>
      </c>
      <c r="L2101" t="s">
        <v>15</v>
      </c>
    </row>
    <row r="2102" spans="1:12" x14ac:dyDescent="0.25">
      <c r="A2102" t="str">
        <f>"2111130428"</f>
        <v>2111130428</v>
      </c>
      <c r="B2102" t="str">
        <f t="shared" si="141"/>
        <v>89301000</v>
      </c>
      <c r="C2102" s="1">
        <v>44513</v>
      </c>
      <c r="D2102" s="1">
        <v>44517</v>
      </c>
      <c r="E2102">
        <v>1</v>
      </c>
      <c r="F2102" t="s">
        <v>1261</v>
      </c>
      <c r="G2102" t="str">
        <f t="shared" si="142"/>
        <v>15-K06-04</v>
      </c>
      <c r="H2102">
        <v>0.27479999999999999</v>
      </c>
      <c r="I2102" t="s">
        <v>1383</v>
      </c>
      <c r="J2102" t="s">
        <v>59</v>
      </c>
      <c r="K2102" t="str">
        <f t="shared" si="139"/>
        <v>3F4</v>
      </c>
      <c r="L2102" t="s">
        <v>15</v>
      </c>
    </row>
    <row r="2103" spans="1:12" x14ac:dyDescent="0.25">
      <c r="A2103" t="str">
        <f>"2111130439"</f>
        <v>2111130439</v>
      </c>
      <c r="B2103" t="str">
        <f t="shared" si="141"/>
        <v>89301000</v>
      </c>
      <c r="C2103" s="1">
        <v>44513</v>
      </c>
      <c r="D2103" s="1">
        <v>44516</v>
      </c>
      <c r="E2103">
        <v>1</v>
      </c>
      <c r="F2103" t="s">
        <v>1261</v>
      </c>
      <c r="G2103" t="str">
        <f t="shared" si="142"/>
        <v>15-K06-04</v>
      </c>
      <c r="H2103">
        <v>0.27479999999999999</v>
      </c>
      <c r="J2103" t="s">
        <v>59</v>
      </c>
      <c r="K2103" t="str">
        <f t="shared" si="139"/>
        <v>3F4</v>
      </c>
      <c r="L2103" t="s">
        <v>15</v>
      </c>
    </row>
    <row r="2104" spans="1:12" x14ac:dyDescent="0.25">
      <c r="A2104" t="str">
        <f>"2111140405"</f>
        <v>2111140405</v>
      </c>
      <c r="B2104" t="str">
        <f t="shared" si="141"/>
        <v>89301000</v>
      </c>
      <c r="C2104" s="1">
        <v>44514</v>
      </c>
      <c r="D2104" s="1">
        <v>44517</v>
      </c>
      <c r="E2104">
        <v>1</v>
      </c>
      <c r="F2104" t="s">
        <v>1261</v>
      </c>
      <c r="G2104" t="str">
        <f t="shared" si="142"/>
        <v>15-K06-04</v>
      </c>
      <c r="H2104">
        <v>0.27479999999999999</v>
      </c>
      <c r="J2104" t="s">
        <v>59</v>
      </c>
      <c r="K2104" t="str">
        <f t="shared" si="139"/>
        <v>3F4</v>
      </c>
      <c r="L2104" t="s">
        <v>15</v>
      </c>
    </row>
    <row r="2105" spans="1:12" x14ac:dyDescent="0.25">
      <c r="A2105" t="str">
        <f>"2111160667"</f>
        <v>2111160667</v>
      </c>
      <c r="B2105" t="str">
        <f t="shared" si="141"/>
        <v>89301000</v>
      </c>
      <c r="C2105" s="1">
        <v>44516</v>
      </c>
      <c r="D2105" s="1">
        <v>44519</v>
      </c>
      <c r="E2105">
        <v>1</v>
      </c>
      <c r="F2105" t="s">
        <v>1261</v>
      </c>
      <c r="G2105" t="str">
        <f t="shared" si="142"/>
        <v>15-K06-04</v>
      </c>
      <c r="H2105">
        <v>0.27479999999999999</v>
      </c>
      <c r="J2105" t="s">
        <v>59</v>
      </c>
      <c r="K2105" t="str">
        <f t="shared" si="139"/>
        <v>3F4</v>
      </c>
      <c r="L2105" t="s">
        <v>15</v>
      </c>
    </row>
    <row r="2106" spans="1:12" x14ac:dyDescent="0.25">
      <c r="A2106" t="str">
        <f>"2111160700"</f>
        <v>2111160700</v>
      </c>
      <c r="B2106" t="str">
        <f t="shared" si="141"/>
        <v>89301000</v>
      </c>
      <c r="C2106" s="1">
        <v>44516</v>
      </c>
      <c r="D2106" s="1">
        <v>44524</v>
      </c>
      <c r="E2106">
        <v>1</v>
      </c>
      <c r="F2106" t="s">
        <v>1373</v>
      </c>
      <c r="G2106" t="str">
        <f>"15-K05-02"</f>
        <v>15-K05-02</v>
      </c>
      <c r="H2106">
        <v>1.2017</v>
      </c>
      <c r="I2106" t="s">
        <v>1258</v>
      </c>
      <c r="J2106" t="s">
        <v>1212</v>
      </c>
      <c r="K2106" t="str">
        <f t="shared" si="139"/>
        <v>3F4</v>
      </c>
      <c r="L2106" t="s">
        <v>15</v>
      </c>
    </row>
    <row r="2107" spans="1:12" x14ac:dyDescent="0.25">
      <c r="A2107" t="str">
        <f>"2111200454"</f>
        <v>2111200454</v>
      </c>
      <c r="B2107" t="str">
        <f t="shared" si="141"/>
        <v>89301000</v>
      </c>
      <c r="C2107" s="1">
        <v>44520</v>
      </c>
      <c r="D2107" s="1">
        <v>44523</v>
      </c>
      <c r="E2107">
        <v>1</v>
      </c>
      <c r="F2107" t="s">
        <v>1261</v>
      </c>
      <c r="G2107" t="str">
        <f>"15-K06-04"</f>
        <v>15-K06-04</v>
      </c>
      <c r="H2107">
        <v>0.27479999999999999</v>
      </c>
      <c r="I2107" t="s">
        <v>1264</v>
      </c>
      <c r="J2107" t="s">
        <v>59</v>
      </c>
      <c r="K2107" t="str">
        <f t="shared" si="139"/>
        <v>3F4</v>
      </c>
      <c r="L2107" t="s">
        <v>15</v>
      </c>
    </row>
    <row r="2108" spans="1:12" x14ac:dyDescent="0.25">
      <c r="A2108" t="str">
        <f>"2111220815"</f>
        <v>2111220815</v>
      </c>
      <c r="B2108" t="str">
        <f t="shared" si="141"/>
        <v>89301000</v>
      </c>
      <c r="C2108" s="1">
        <v>44522</v>
      </c>
      <c r="D2108" s="1">
        <v>44527</v>
      </c>
      <c r="E2108">
        <v>1</v>
      </c>
      <c r="F2108" t="s">
        <v>1261</v>
      </c>
      <c r="G2108" t="str">
        <f>"15-K06-02"</f>
        <v>15-K06-02</v>
      </c>
      <c r="H2108">
        <v>0.59770000000000001</v>
      </c>
      <c r="I2108" t="s">
        <v>1337</v>
      </c>
      <c r="J2108" t="s">
        <v>59</v>
      </c>
      <c r="K2108" t="str">
        <f t="shared" si="139"/>
        <v>3F4</v>
      </c>
      <c r="L2108" t="s">
        <v>15</v>
      </c>
    </row>
    <row r="2109" spans="1:12" x14ac:dyDescent="0.25">
      <c r="A2109" t="str">
        <f>"2111240615"</f>
        <v>2111240615</v>
      </c>
      <c r="B2109" t="str">
        <f t="shared" si="141"/>
        <v>89301000</v>
      </c>
      <c r="C2109" s="1">
        <v>44524</v>
      </c>
      <c r="D2109" s="1">
        <v>44527</v>
      </c>
      <c r="E2109">
        <v>1</v>
      </c>
      <c r="F2109" t="s">
        <v>1261</v>
      </c>
      <c r="G2109" t="str">
        <f>"15-K06-04"</f>
        <v>15-K06-04</v>
      </c>
      <c r="H2109">
        <v>0.27479999999999999</v>
      </c>
      <c r="J2109" t="s">
        <v>59</v>
      </c>
      <c r="K2109" t="str">
        <f t="shared" si="139"/>
        <v>3F4</v>
      </c>
      <c r="L2109" t="s">
        <v>15</v>
      </c>
    </row>
    <row r="2110" spans="1:12" x14ac:dyDescent="0.25">
      <c r="A2110" t="str">
        <f>"2111240626"</f>
        <v>2111240626</v>
      </c>
      <c r="B2110" t="str">
        <f t="shared" si="141"/>
        <v>89301000</v>
      </c>
      <c r="C2110" s="1">
        <v>44524</v>
      </c>
      <c r="D2110" s="1">
        <v>44528</v>
      </c>
      <c r="E2110">
        <v>1</v>
      </c>
      <c r="F2110" t="s">
        <v>1261</v>
      </c>
      <c r="G2110" t="str">
        <f>"15-K06-04"</f>
        <v>15-K06-04</v>
      </c>
      <c r="H2110">
        <v>0.27479999999999999</v>
      </c>
      <c r="I2110" t="s">
        <v>1377</v>
      </c>
      <c r="J2110" t="s">
        <v>59</v>
      </c>
      <c r="K2110" t="str">
        <f t="shared" si="139"/>
        <v>3F4</v>
      </c>
      <c r="L2110" t="s">
        <v>15</v>
      </c>
    </row>
    <row r="2111" spans="1:12" x14ac:dyDescent="0.25">
      <c r="A2111" t="str">
        <f>"2111240648"</f>
        <v>2111240648</v>
      </c>
      <c r="B2111" t="str">
        <f t="shared" si="141"/>
        <v>89301000</v>
      </c>
      <c r="C2111" s="1">
        <v>44524</v>
      </c>
      <c r="D2111" s="1">
        <v>44527</v>
      </c>
      <c r="E2111">
        <v>1</v>
      </c>
      <c r="F2111" t="s">
        <v>1261</v>
      </c>
      <c r="G2111" t="str">
        <f>"15-K06-04"</f>
        <v>15-K06-04</v>
      </c>
      <c r="H2111">
        <v>0.27479999999999999</v>
      </c>
      <c r="J2111" t="s">
        <v>59</v>
      </c>
      <c r="K2111" t="str">
        <f t="shared" si="139"/>
        <v>3F4</v>
      </c>
      <c r="L2111" t="s">
        <v>15</v>
      </c>
    </row>
    <row r="2112" spans="1:12" x14ac:dyDescent="0.25">
      <c r="A2112" t="str">
        <f>"2111240670"</f>
        <v>2111240670</v>
      </c>
      <c r="B2112" t="str">
        <f t="shared" si="141"/>
        <v>89301000</v>
      </c>
      <c r="C2112" s="1">
        <v>44524</v>
      </c>
      <c r="D2112" s="1">
        <v>44534</v>
      </c>
      <c r="E2112">
        <v>1</v>
      </c>
      <c r="F2112" t="s">
        <v>1261</v>
      </c>
      <c r="G2112" t="str">
        <f>"15-K06-01"</f>
        <v>15-K06-01</v>
      </c>
      <c r="H2112">
        <v>1.1248</v>
      </c>
      <c r="I2112" t="s">
        <v>1427</v>
      </c>
      <c r="J2112" t="s">
        <v>59</v>
      </c>
      <c r="K2112" t="str">
        <f t="shared" si="139"/>
        <v>3F4</v>
      </c>
      <c r="L2112" t="s">
        <v>15</v>
      </c>
    </row>
    <row r="2113" spans="1:12" x14ac:dyDescent="0.25">
      <c r="A2113" t="str">
        <f>"2111250097"</f>
        <v>2111250097</v>
      </c>
      <c r="B2113" t="str">
        <f t="shared" si="141"/>
        <v>89301000</v>
      </c>
      <c r="C2113" s="1">
        <v>44525</v>
      </c>
      <c r="D2113" s="1">
        <v>44527</v>
      </c>
      <c r="E2113">
        <v>1</v>
      </c>
      <c r="F2113" t="s">
        <v>1261</v>
      </c>
      <c r="G2113" t="str">
        <f t="shared" ref="G2113:G2123" si="143">"15-K06-04"</f>
        <v>15-K06-04</v>
      </c>
      <c r="H2113">
        <v>0.27479999999999999</v>
      </c>
      <c r="J2113" t="s">
        <v>59</v>
      </c>
      <c r="K2113" t="str">
        <f t="shared" si="139"/>
        <v>3F4</v>
      </c>
      <c r="L2113" t="s">
        <v>15</v>
      </c>
    </row>
    <row r="2114" spans="1:12" x14ac:dyDescent="0.25">
      <c r="A2114" t="str">
        <f>"2111270447"</f>
        <v>2111270447</v>
      </c>
      <c r="B2114" t="str">
        <f t="shared" si="141"/>
        <v>89301000</v>
      </c>
      <c r="C2114" s="1">
        <v>44527</v>
      </c>
      <c r="D2114" s="1">
        <v>44530</v>
      </c>
      <c r="E2114">
        <v>1</v>
      </c>
      <c r="F2114" t="s">
        <v>1261</v>
      </c>
      <c r="G2114" t="str">
        <f t="shared" si="143"/>
        <v>15-K06-04</v>
      </c>
      <c r="H2114">
        <v>0.27479999999999999</v>
      </c>
      <c r="J2114" t="s">
        <v>59</v>
      </c>
      <c r="K2114" t="str">
        <f t="shared" si="139"/>
        <v>3F4</v>
      </c>
      <c r="L2114" t="s">
        <v>15</v>
      </c>
    </row>
    <row r="2115" spans="1:12" x14ac:dyDescent="0.25">
      <c r="A2115" t="str">
        <f>"2111280292"</f>
        <v>2111280292</v>
      </c>
      <c r="B2115" t="str">
        <f t="shared" si="141"/>
        <v>89301000</v>
      </c>
      <c r="C2115" s="1">
        <v>44528</v>
      </c>
      <c r="D2115" s="1">
        <v>44530</v>
      </c>
      <c r="E2115">
        <v>1</v>
      </c>
      <c r="F2115" t="s">
        <v>1261</v>
      </c>
      <c r="G2115" t="str">
        <f t="shared" si="143"/>
        <v>15-K06-04</v>
      </c>
      <c r="H2115">
        <v>0.27479999999999999</v>
      </c>
      <c r="J2115" t="s">
        <v>59</v>
      </c>
      <c r="K2115" t="str">
        <f t="shared" ref="K2115:K2141" si="144">"3F4"</f>
        <v>3F4</v>
      </c>
      <c r="L2115" t="s">
        <v>15</v>
      </c>
    </row>
    <row r="2116" spans="1:12" x14ac:dyDescent="0.25">
      <c r="A2116" t="str">
        <f>"2111290566"</f>
        <v>2111290566</v>
      </c>
      <c r="B2116" t="str">
        <f t="shared" si="141"/>
        <v>89301000</v>
      </c>
      <c r="C2116" s="1">
        <v>44529</v>
      </c>
      <c r="D2116" s="1">
        <v>44531</v>
      </c>
      <c r="E2116">
        <v>1</v>
      </c>
      <c r="F2116" t="s">
        <v>1261</v>
      </c>
      <c r="G2116" t="str">
        <f t="shared" si="143"/>
        <v>15-K06-04</v>
      </c>
      <c r="H2116">
        <v>0.27479999999999999</v>
      </c>
      <c r="J2116" t="s">
        <v>59</v>
      </c>
      <c r="K2116" t="str">
        <f t="shared" si="144"/>
        <v>3F4</v>
      </c>
      <c r="L2116" t="s">
        <v>15</v>
      </c>
    </row>
    <row r="2117" spans="1:12" x14ac:dyDescent="0.25">
      <c r="A2117" t="str">
        <f>"2111300642"</f>
        <v>2111300642</v>
      </c>
      <c r="B2117" t="str">
        <f t="shared" si="141"/>
        <v>89301000</v>
      </c>
      <c r="C2117" s="1">
        <v>44530</v>
      </c>
      <c r="D2117" s="1">
        <v>44534</v>
      </c>
      <c r="E2117">
        <v>1</v>
      </c>
      <c r="F2117" t="s">
        <v>1261</v>
      </c>
      <c r="G2117" t="str">
        <f t="shared" si="143"/>
        <v>15-K06-04</v>
      </c>
      <c r="H2117">
        <v>0.27479999999999999</v>
      </c>
      <c r="I2117" t="s">
        <v>1304</v>
      </c>
      <c r="J2117" t="s">
        <v>59</v>
      </c>
      <c r="K2117" t="str">
        <f t="shared" si="144"/>
        <v>3F4</v>
      </c>
      <c r="L2117" t="s">
        <v>15</v>
      </c>
    </row>
    <row r="2118" spans="1:12" x14ac:dyDescent="0.25">
      <c r="A2118" t="str">
        <f>"2111300675"</f>
        <v>2111300675</v>
      </c>
      <c r="B2118" t="str">
        <f t="shared" si="141"/>
        <v>89301000</v>
      </c>
      <c r="C2118" s="1">
        <v>44530</v>
      </c>
      <c r="D2118" s="1">
        <v>44533</v>
      </c>
      <c r="E2118">
        <v>1</v>
      </c>
      <c r="F2118" t="s">
        <v>1261</v>
      </c>
      <c r="G2118" t="str">
        <f t="shared" si="143"/>
        <v>15-K06-04</v>
      </c>
      <c r="H2118">
        <v>0.27479999999999999</v>
      </c>
      <c r="J2118" t="s">
        <v>59</v>
      </c>
      <c r="K2118" t="str">
        <f t="shared" si="144"/>
        <v>3F4</v>
      </c>
      <c r="L2118" t="s">
        <v>15</v>
      </c>
    </row>
    <row r="2119" spans="1:12" x14ac:dyDescent="0.25">
      <c r="A2119" t="str">
        <f>"2111300697"</f>
        <v>2111300697</v>
      </c>
      <c r="B2119" t="str">
        <f t="shared" si="141"/>
        <v>89301000</v>
      </c>
      <c r="C2119" s="1">
        <v>44530</v>
      </c>
      <c r="D2119" s="1">
        <v>44533</v>
      </c>
      <c r="E2119">
        <v>1</v>
      </c>
      <c r="F2119" t="s">
        <v>1261</v>
      </c>
      <c r="G2119" t="str">
        <f t="shared" si="143"/>
        <v>15-K06-04</v>
      </c>
      <c r="H2119">
        <v>0.27479999999999999</v>
      </c>
      <c r="I2119" t="s">
        <v>1221</v>
      </c>
      <c r="J2119" t="s">
        <v>59</v>
      </c>
      <c r="K2119" t="str">
        <f t="shared" si="144"/>
        <v>3F4</v>
      </c>
      <c r="L2119" t="s">
        <v>15</v>
      </c>
    </row>
    <row r="2120" spans="1:12" x14ac:dyDescent="0.25">
      <c r="A2120" t="str">
        <f>"2112030624"</f>
        <v>2112030624</v>
      </c>
      <c r="B2120" t="str">
        <f t="shared" si="141"/>
        <v>89301000</v>
      </c>
      <c r="C2120" s="1">
        <v>44533</v>
      </c>
      <c r="D2120" s="1">
        <v>44536</v>
      </c>
      <c r="E2120">
        <v>1</v>
      </c>
      <c r="F2120" t="s">
        <v>1261</v>
      </c>
      <c r="G2120" t="str">
        <f t="shared" si="143"/>
        <v>15-K06-04</v>
      </c>
      <c r="H2120">
        <v>0.27479999999999999</v>
      </c>
      <c r="I2120" t="s">
        <v>1264</v>
      </c>
      <c r="J2120" t="s">
        <v>59</v>
      </c>
      <c r="K2120" t="str">
        <f t="shared" si="144"/>
        <v>3F4</v>
      </c>
      <c r="L2120" t="s">
        <v>15</v>
      </c>
    </row>
    <row r="2121" spans="1:12" x14ac:dyDescent="0.25">
      <c r="A2121" t="str">
        <f>"2112030646"</f>
        <v>2112030646</v>
      </c>
      <c r="B2121" t="str">
        <f t="shared" si="141"/>
        <v>89301000</v>
      </c>
      <c r="C2121" s="1">
        <v>44533</v>
      </c>
      <c r="D2121" s="1">
        <v>44536</v>
      </c>
      <c r="E2121">
        <v>1</v>
      </c>
      <c r="F2121" t="s">
        <v>1261</v>
      </c>
      <c r="G2121" t="str">
        <f t="shared" si="143"/>
        <v>15-K06-04</v>
      </c>
      <c r="H2121">
        <v>0.27479999999999999</v>
      </c>
      <c r="J2121" t="s">
        <v>59</v>
      </c>
      <c r="K2121" t="str">
        <f t="shared" si="144"/>
        <v>3F4</v>
      </c>
      <c r="L2121" t="s">
        <v>15</v>
      </c>
    </row>
    <row r="2122" spans="1:12" x14ac:dyDescent="0.25">
      <c r="A2122" t="str">
        <f>"2112040326"</f>
        <v>2112040326</v>
      </c>
      <c r="B2122" t="str">
        <f t="shared" si="141"/>
        <v>89301000</v>
      </c>
      <c r="C2122" s="1">
        <v>44534</v>
      </c>
      <c r="D2122" s="1">
        <v>44537</v>
      </c>
      <c r="E2122">
        <v>1</v>
      </c>
      <c r="F2122" t="s">
        <v>1261</v>
      </c>
      <c r="G2122" t="str">
        <f t="shared" si="143"/>
        <v>15-K06-04</v>
      </c>
      <c r="H2122">
        <v>0.27479999999999999</v>
      </c>
      <c r="J2122" t="s">
        <v>59</v>
      </c>
      <c r="K2122" t="str">
        <f t="shared" si="144"/>
        <v>3F4</v>
      </c>
      <c r="L2122" t="s">
        <v>15</v>
      </c>
    </row>
    <row r="2123" spans="1:12" x14ac:dyDescent="0.25">
      <c r="A2123" t="str">
        <f>"2112060489"</f>
        <v>2112060489</v>
      </c>
      <c r="B2123" t="str">
        <f t="shared" si="141"/>
        <v>89301000</v>
      </c>
      <c r="C2123" s="1">
        <v>44536</v>
      </c>
      <c r="D2123" s="1">
        <v>44540</v>
      </c>
      <c r="E2123">
        <v>1</v>
      </c>
      <c r="F2123" t="s">
        <v>1261</v>
      </c>
      <c r="G2123" t="str">
        <f t="shared" si="143"/>
        <v>15-K06-04</v>
      </c>
      <c r="H2123">
        <v>0.27479999999999999</v>
      </c>
      <c r="J2123" t="s">
        <v>59</v>
      </c>
      <c r="K2123" t="str">
        <f t="shared" si="144"/>
        <v>3F4</v>
      </c>
      <c r="L2123" t="s">
        <v>15</v>
      </c>
    </row>
    <row r="2124" spans="1:12" x14ac:dyDescent="0.25">
      <c r="A2124" t="str">
        <f>"2112060511"</f>
        <v>2112060511</v>
      </c>
      <c r="B2124" t="str">
        <f t="shared" si="141"/>
        <v>89301000</v>
      </c>
      <c r="C2124" s="1">
        <v>44536</v>
      </c>
      <c r="D2124" s="1">
        <v>44541</v>
      </c>
      <c r="E2124">
        <v>1</v>
      </c>
      <c r="F2124" t="s">
        <v>1221</v>
      </c>
      <c r="G2124" t="str">
        <f>"15-K05-03"</f>
        <v>15-K05-03</v>
      </c>
      <c r="H2124">
        <v>0.62380000000000002</v>
      </c>
      <c r="J2124" t="s">
        <v>1212</v>
      </c>
      <c r="K2124" t="str">
        <f t="shared" si="144"/>
        <v>3F4</v>
      </c>
      <c r="L2124" t="s">
        <v>15</v>
      </c>
    </row>
    <row r="2125" spans="1:12" x14ac:dyDescent="0.25">
      <c r="A2125" t="str">
        <f>"2112070653"</f>
        <v>2112070653</v>
      </c>
      <c r="B2125" t="str">
        <f t="shared" si="141"/>
        <v>89301000</v>
      </c>
      <c r="C2125" s="1">
        <v>44537</v>
      </c>
      <c r="D2125" s="1">
        <v>44541</v>
      </c>
      <c r="E2125">
        <v>1</v>
      </c>
      <c r="F2125" t="s">
        <v>1276</v>
      </c>
      <c r="G2125" t="str">
        <f>"15-K07-03"</f>
        <v>15-K07-03</v>
      </c>
      <c r="H2125">
        <v>0.53959999999999997</v>
      </c>
      <c r="I2125" t="s">
        <v>1346</v>
      </c>
      <c r="J2125" t="s">
        <v>59</v>
      </c>
      <c r="K2125" t="str">
        <f t="shared" si="144"/>
        <v>3F4</v>
      </c>
      <c r="L2125" t="s">
        <v>15</v>
      </c>
    </row>
    <row r="2126" spans="1:12" x14ac:dyDescent="0.25">
      <c r="A2126" t="str">
        <f>"2112090717"</f>
        <v>2112090717</v>
      </c>
      <c r="B2126" t="str">
        <f t="shared" si="141"/>
        <v>89301000</v>
      </c>
      <c r="C2126" s="1">
        <v>44539</v>
      </c>
      <c r="D2126" s="1">
        <v>44545</v>
      </c>
      <c r="E2126">
        <v>1</v>
      </c>
      <c r="F2126" t="s">
        <v>1261</v>
      </c>
      <c r="G2126" t="str">
        <f t="shared" ref="G2126:G2131" si="145">"15-K06-04"</f>
        <v>15-K06-04</v>
      </c>
      <c r="H2126">
        <v>0.30780000000000002</v>
      </c>
      <c r="J2126" t="s">
        <v>59</v>
      </c>
      <c r="K2126" t="str">
        <f t="shared" si="144"/>
        <v>3F4</v>
      </c>
      <c r="L2126" t="s">
        <v>15</v>
      </c>
    </row>
    <row r="2127" spans="1:12" x14ac:dyDescent="0.25">
      <c r="A2127" t="str">
        <f>"2112090728"</f>
        <v>2112090728</v>
      </c>
      <c r="B2127" t="str">
        <f t="shared" si="141"/>
        <v>89301000</v>
      </c>
      <c r="C2127" s="1">
        <v>44539</v>
      </c>
      <c r="D2127" s="1">
        <v>44542</v>
      </c>
      <c r="E2127">
        <v>1</v>
      </c>
      <c r="F2127" t="s">
        <v>1261</v>
      </c>
      <c r="G2127" t="str">
        <f t="shared" si="145"/>
        <v>15-K06-04</v>
      </c>
      <c r="H2127">
        <v>0.27479999999999999</v>
      </c>
      <c r="J2127" t="s">
        <v>59</v>
      </c>
      <c r="K2127" t="str">
        <f t="shared" si="144"/>
        <v>3F4</v>
      </c>
      <c r="L2127" t="s">
        <v>15</v>
      </c>
    </row>
    <row r="2128" spans="1:12" x14ac:dyDescent="0.25">
      <c r="A2128" t="str">
        <f>"2112090739"</f>
        <v>2112090739</v>
      </c>
      <c r="B2128" t="str">
        <f t="shared" si="141"/>
        <v>89301000</v>
      </c>
      <c r="C2128" s="1">
        <v>44539</v>
      </c>
      <c r="D2128" s="1">
        <v>44542</v>
      </c>
      <c r="E2128">
        <v>1</v>
      </c>
      <c r="F2128" t="s">
        <v>1261</v>
      </c>
      <c r="G2128" t="str">
        <f t="shared" si="145"/>
        <v>15-K06-04</v>
      </c>
      <c r="H2128">
        <v>0.27479999999999999</v>
      </c>
      <c r="J2128" t="s">
        <v>59</v>
      </c>
      <c r="K2128" t="str">
        <f t="shared" si="144"/>
        <v>3F4</v>
      </c>
      <c r="L2128" t="s">
        <v>15</v>
      </c>
    </row>
    <row r="2129" spans="1:12" x14ac:dyDescent="0.25">
      <c r="A2129" t="str">
        <f>"2112110440"</f>
        <v>2112110440</v>
      </c>
      <c r="B2129" t="str">
        <f t="shared" si="141"/>
        <v>89301000</v>
      </c>
      <c r="C2129" s="1">
        <v>44541</v>
      </c>
      <c r="D2129" s="1">
        <v>44543</v>
      </c>
      <c r="E2129">
        <v>1</v>
      </c>
      <c r="F2129" t="s">
        <v>1261</v>
      </c>
      <c r="G2129" t="str">
        <f t="shared" si="145"/>
        <v>15-K06-04</v>
      </c>
      <c r="H2129">
        <v>0.27479999999999999</v>
      </c>
      <c r="J2129" t="s">
        <v>59</v>
      </c>
      <c r="K2129" t="str">
        <f t="shared" si="144"/>
        <v>3F4</v>
      </c>
      <c r="L2129" t="s">
        <v>15</v>
      </c>
    </row>
    <row r="2130" spans="1:12" x14ac:dyDescent="0.25">
      <c r="A2130" t="str">
        <f>"2112110451"</f>
        <v>2112110451</v>
      </c>
      <c r="B2130" t="str">
        <f t="shared" si="141"/>
        <v>89301000</v>
      </c>
      <c r="C2130" s="1">
        <v>44541</v>
      </c>
      <c r="D2130" s="1">
        <v>44544</v>
      </c>
      <c r="E2130">
        <v>1</v>
      </c>
      <c r="F2130" t="s">
        <v>1261</v>
      </c>
      <c r="G2130" t="str">
        <f t="shared" si="145"/>
        <v>15-K06-04</v>
      </c>
      <c r="H2130">
        <v>0.27479999999999999</v>
      </c>
      <c r="J2130" t="s">
        <v>59</v>
      </c>
      <c r="K2130" t="str">
        <f t="shared" si="144"/>
        <v>3F4</v>
      </c>
      <c r="L2130" t="s">
        <v>15</v>
      </c>
    </row>
    <row r="2131" spans="1:12" x14ac:dyDescent="0.25">
      <c r="A2131" t="str">
        <f>"2112130669"</f>
        <v>2112130669</v>
      </c>
      <c r="B2131" t="str">
        <f t="shared" si="141"/>
        <v>89301000</v>
      </c>
      <c r="C2131" s="1">
        <v>44543</v>
      </c>
      <c r="D2131" s="1">
        <v>44546</v>
      </c>
      <c r="E2131">
        <v>1</v>
      </c>
      <c r="F2131" t="s">
        <v>1261</v>
      </c>
      <c r="G2131" t="str">
        <f t="shared" si="145"/>
        <v>15-K06-04</v>
      </c>
      <c r="H2131">
        <v>0.27479999999999999</v>
      </c>
      <c r="J2131" t="s">
        <v>59</v>
      </c>
      <c r="K2131" t="str">
        <f t="shared" si="144"/>
        <v>3F4</v>
      </c>
      <c r="L2131" t="s">
        <v>15</v>
      </c>
    </row>
    <row r="2132" spans="1:12" x14ac:dyDescent="0.25">
      <c r="A2132" t="str">
        <f>"2112140492"</f>
        <v>2112140492</v>
      </c>
      <c r="B2132" t="str">
        <f t="shared" si="141"/>
        <v>89301000</v>
      </c>
      <c r="C2132" s="1">
        <v>44544</v>
      </c>
      <c r="D2132" s="1">
        <v>44547</v>
      </c>
      <c r="E2132">
        <v>1</v>
      </c>
      <c r="F2132" t="s">
        <v>1261</v>
      </c>
      <c r="G2132" t="str">
        <f>"15-K06-04"</f>
        <v>15-K06-04</v>
      </c>
      <c r="H2132">
        <v>0.27479999999999999</v>
      </c>
      <c r="J2132" t="s">
        <v>59</v>
      </c>
      <c r="K2132" t="str">
        <f t="shared" si="144"/>
        <v>3F4</v>
      </c>
      <c r="L2132" t="s">
        <v>15</v>
      </c>
    </row>
    <row r="2133" spans="1:12" x14ac:dyDescent="0.25">
      <c r="A2133" t="str">
        <f>"2112150117"</f>
        <v>2112150117</v>
      </c>
      <c r="B2133" t="str">
        <f t="shared" si="141"/>
        <v>89301000</v>
      </c>
      <c r="C2133" s="1">
        <v>44545</v>
      </c>
      <c r="D2133" s="1">
        <v>44547</v>
      </c>
      <c r="E2133">
        <v>1</v>
      </c>
      <c r="F2133" t="s">
        <v>1261</v>
      </c>
      <c r="G2133" t="str">
        <f>"15-K06-04"</f>
        <v>15-K06-04</v>
      </c>
      <c r="H2133">
        <v>0.27479999999999999</v>
      </c>
      <c r="J2133" t="s">
        <v>59</v>
      </c>
      <c r="K2133" t="str">
        <f t="shared" si="144"/>
        <v>3F4</v>
      </c>
      <c r="L2133" t="s">
        <v>15</v>
      </c>
    </row>
    <row r="2134" spans="1:12" x14ac:dyDescent="0.25">
      <c r="A2134" t="str">
        <f>"2112150623"</f>
        <v>2112150623</v>
      </c>
      <c r="B2134" t="str">
        <f t="shared" si="141"/>
        <v>89301000</v>
      </c>
      <c r="C2134" s="1">
        <v>44545</v>
      </c>
      <c r="D2134" s="1">
        <v>44547</v>
      </c>
      <c r="E2134">
        <v>1</v>
      </c>
      <c r="F2134" t="s">
        <v>1261</v>
      </c>
      <c r="G2134" t="str">
        <f>"15-K06-04"</f>
        <v>15-K06-04</v>
      </c>
      <c r="H2134">
        <v>0.27479999999999999</v>
      </c>
      <c r="J2134" t="s">
        <v>59</v>
      </c>
      <c r="K2134" t="str">
        <f t="shared" si="144"/>
        <v>3F4</v>
      </c>
      <c r="L2134" t="s">
        <v>15</v>
      </c>
    </row>
    <row r="2135" spans="1:12" x14ac:dyDescent="0.25">
      <c r="A2135" t="str">
        <f>"2112160699"</f>
        <v>2112160699</v>
      </c>
      <c r="B2135" t="str">
        <f t="shared" si="141"/>
        <v>89301000</v>
      </c>
      <c r="C2135" s="1">
        <v>44546</v>
      </c>
      <c r="D2135" s="1">
        <v>44551</v>
      </c>
      <c r="E2135">
        <v>1</v>
      </c>
      <c r="F2135" t="s">
        <v>1261</v>
      </c>
      <c r="G2135" t="str">
        <f>"15-K06-02"</f>
        <v>15-K06-02</v>
      </c>
      <c r="H2135">
        <v>0.59770000000000001</v>
      </c>
      <c r="I2135" t="s">
        <v>1428</v>
      </c>
      <c r="J2135" t="s">
        <v>59</v>
      </c>
      <c r="K2135" t="str">
        <f t="shared" si="144"/>
        <v>3F4</v>
      </c>
      <c r="L2135" t="s">
        <v>15</v>
      </c>
    </row>
    <row r="2136" spans="1:12" x14ac:dyDescent="0.25">
      <c r="A2136" t="str">
        <f>"2112160710"</f>
        <v>2112160710</v>
      </c>
      <c r="B2136" t="str">
        <f t="shared" si="141"/>
        <v>89301000</v>
      </c>
      <c r="C2136" s="1">
        <v>44546</v>
      </c>
      <c r="D2136" s="1">
        <v>44550</v>
      </c>
      <c r="E2136">
        <v>1</v>
      </c>
      <c r="F2136" t="s">
        <v>1261</v>
      </c>
      <c r="G2136" t="str">
        <f>"15-K06-04"</f>
        <v>15-K06-04</v>
      </c>
      <c r="H2136">
        <v>0.27479999999999999</v>
      </c>
      <c r="I2136" t="s">
        <v>1429</v>
      </c>
      <c r="J2136" t="s">
        <v>59</v>
      </c>
      <c r="K2136" t="str">
        <f t="shared" si="144"/>
        <v>3F4</v>
      </c>
      <c r="L2136" t="s">
        <v>15</v>
      </c>
    </row>
    <row r="2137" spans="1:12" x14ac:dyDescent="0.25">
      <c r="A2137" t="str">
        <f>"2112170775"</f>
        <v>2112170775</v>
      </c>
      <c r="B2137" t="str">
        <f t="shared" si="141"/>
        <v>89301000</v>
      </c>
      <c r="C2137" s="1">
        <v>44547</v>
      </c>
      <c r="D2137" s="1">
        <v>44550</v>
      </c>
      <c r="E2137">
        <v>1</v>
      </c>
      <c r="F2137" t="s">
        <v>1261</v>
      </c>
      <c r="G2137" t="str">
        <f>"15-K06-04"</f>
        <v>15-K06-04</v>
      </c>
      <c r="H2137">
        <v>0.27479999999999999</v>
      </c>
      <c r="J2137" t="s">
        <v>59</v>
      </c>
      <c r="K2137" t="str">
        <f t="shared" si="144"/>
        <v>3F4</v>
      </c>
      <c r="L2137" t="s">
        <v>15</v>
      </c>
    </row>
    <row r="2138" spans="1:12" x14ac:dyDescent="0.25">
      <c r="A2138" t="str">
        <f>"2112171699"</f>
        <v>2112171699</v>
      </c>
      <c r="B2138" t="str">
        <f t="shared" si="141"/>
        <v>89301000</v>
      </c>
      <c r="C2138" s="1">
        <v>44547</v>
      </c>
      <c r="D2138" s="1">
        <v>44559</v>
      </c>
      <c r="E2138">
        <v>1</v>
      </c>
      <c r="F2138" t="s">
        <v>1430</v>
      </c>
      <c r="G2138" t="str">
        <f>"15-K07-01"</f>
        <v>15-K07-01</v>
      </c>
      <c r="H2138">
        <v>1.5082</v>
      </c>
      <c r="I2138" t="s">
        <v>1288</v>
      </c>
      <c r="J2138" t="s">
        <v>59</v>
      </c>
      <c r="K2138" t="str">
        <f t="shared" si="144"/>
        <v>3F4</v>
      </c>
      <c r="L2138" t="s">
        <v>15</v>
      </c>
    </row>
    <row r="2139" spans="1:12" x14ac:dyDescent="0.25">
      <c r="A2139" t="str">
        <f>"2112180477"</f>
        <v>2112180477</v>
      </c>
      <c r="B2139" t="str">
        <f t="shared" si="141"/>
        <v>89301000</v>
      </c>
      <c r="C2139" s="1">
        <v>44548</v>
      </c>
      <c r="D2139" s="1">
        <v>44551</v>
      </c>
      <c r="E2139">
        <v>1</v>
      </c>
      <c r="F2139" t="s">
        <v>1261</v>
      </c>
      <c r="G2139" t="str">
        <f>"15-K06-04"</f>
        <v>15-K06-04</v>
      </c>
      <c r="H2139">
        <v>0.27479999999999999</v>
      </c>
      <c r="J2139" t="s">
        <v>59</v>
      </c>
      <c r="K2139" t="str">
        <f t="shared" si="144"/>
        <v>3F4</v>
      </c>
      <c r="L2139" t="s">
        <v>15</v>
      </c>
    </row>
    <row r="2140" spans="1:12" x14ac:dyDescent="0.25">
      <c r="A2140" t="str">
        <f>"2112190322"</f>
        <v>2112190322</v>
      </c>
      <c r="B2140" t="str">
        <f t="shared" si="141"/>
        <v>89301000</v>
      </c>
      <c r="C2140" s="1">
        <v>44549</v>
      </c>
      <c r="D2140" s="1">
        <v>44552</v>
      </c>
      <c r="E2140">
        <v>1</v>
      </c>
      <c r="F2140" t="s">
        <v>1261</v>
      </c>
      <c r="G2140" t="str">
        <f>"15-K06-04"</f>
        <v>15-K06-04</v>
      </c>
      <c r="H2140">
        <v>0.27479999999999999</v>
      </c>
      <c r="J2140" t="s">
        <v>59</v>
      </c>
      <c r="K2140" t="str">
        <f t="shared" si="144"/>
        <v>3F4</v>
      </c>
      <c r="L2140" t="s">
        <v>15</v>
      </c>
    </row>
    <row r="2141" spans="1:12" x14ac:dyDescent="0.25">
      <c r="A2141" t="str">
        <f>"2112200596"</f>
        <v>2112200596</v>
      </c>
      <c r="B2141" t="str">
        <f t="shared" si="141"/>
        <v>89301000</v>
      </c>
      <c r="C2141" s="1">
        <v>44550</v>
      </c>
      <c r="D2141" s="1">
        <v>44553</v>
      </c>
      <c r="E2141">
        <v>1</v>
      </c>
      <c r="F2141" t="s">
        <v>1261</v>
      </c>
      <c r="G2141" t="str">
        <f>"15-K06-04"</f>
        <v>15-K06-04</v>
      </c>
      <c r="H2141">
        <v>0.27479999999999999</v>
      </c>
      <c r="J2141" t="s">
        <v>59</v>
      </c>
      <c r="K2141" t="str">
        <f t="shared" si="144"/>
        <v>3F4</v>
      </c>
      <c r="L2141" t="s">
        <v>15</v>
      </c>
    </row>
    <row r="2142" spans="1:12" x14ac:dyDescent="0.25">
      <c r="A2142" t="str">
        <f>"2112200607"</f>
        <v>2112200607</v>
      </c>
      <c r="B2142" t="str">
        <f t="shared" si="141"/>
        <v>89301000</v>
      </c>
      <c r="C2142" s="1">
        <v>44550</v>
      </c>
      <c r="D2142" s="1">
        <v>44551</v>
      </c>
      <c r="E2142">
        <v>5</v>
      </c>
      <c r="F2142" t="s">
        <v>1431</v>
      </c>
      <c r="G2142" t="str">
        <f>"15-K01-00"</f>
        <v>15-K01-00</v>
      </c>
      <c r="H2142">
        <v>0.1769</v>
      </c>
      <c r="I2142" t="s">
        <v>1432</v>
      </c>
      <c r="J2142" t="s">
        <v>14</v>
      </c>
      <c r="K2142" t="str">
        <f>"3T4"</f>
        <v>3T4</v>
      </c>
      <c r="L2142" t="s">
        <v>15</v>
      </c>
    </row>
    <row r="2143" spans="1:12" x14ac:dyDescent="0.25">
      <c r="A2143" t="str">
        <f>"2112210408"</f>
        <v>2112210408</v>
      </c>
      <c r="B2143" t="str">
        <f t="shared" si="141"/>
        <v>89301000</v>
      </c>
      <c r="C2143" s="1">
        <v>44551</v>
      </c>
      <c r="D2143" s="1">
        <v>44553</v>
      </c>
      <c r="E2143">
        <v>1</v>
      </c>
      <c r="F2143" t="s">
        <v>1261</v>
      </c>
      <c r="G2143" t="str">
        <f>"15-K06-04"</f>
        <v>15-K06-04</v>
      </c>
      <c r="H2143">
        <v>0.27479999999999999</v>
      </c>
      <c r="J2143" t="s">
        <v>59</v>
      </c>
      <c r="K2143" t="str">
        <f t="shared" ref="K2143:K2158" si="146">"3F4"</f>
        <v>3F4</v>
      </c>
      <c r="L2143" t="s">
        <v>15</v>
      </c>
    </row>
    <row r="2144" spans="1:12" x14ac:dyDescent="0.25">
      <c r="A2144" t="str">
        <f>"2112210430"</f>
        <v>2112210430</v>
      </c>
      <c r="B2144" t="str">
        <f t="shared" si="141"/>
        <v>89301000</v>
      </c>
      <c r="C2144" s="1">
        <v>44551</v>
      </c>
      <c r="D2144" s="1">
        <v>44553</v>
      </c>
      <c r="E2144">
        <v>1</v>
      </c>
      <c r="F2144" t="s">
        <v>1261</v>
      </c>
      <c r="G2144" t="str">
        <f>"15-K06-04"</f>
        <v>15-K06-04</v>
      </c>
      <c r="H2144">
        <v>0.27479999999999999</v>
      </c>
      <c r="J2144" t="s">
        <v>59</v>
      </c>
      <c r="K2144" t="str">
        <f t="shared" si="146"/>
        <v>3F4</v>
      </c>
      <c r="L2144" t="s">
        <v>15</v>
      </c>
    </row>
    <row r="2145" spans="1:12" x14ac:dyDescent="0.25">
      <c r="A2145" t="str">
        <f>"2112230494"</f>
        <v>2112230494</v>
      </c>
      <c r="B2145" t="str">
        <f t="shared" si="141"/>
        <v>89301000</v>
      </c>
      <c r="C2145" s="1">
        <v>44553</v>
      </c>
      <c r="D2145" s="1">
        <v>44557</v>
      </c>
      <c r="E2145">
        <v>1</v>
      </c>
      <c r="F2145" t="s">
        <v>1261</v>
      </c>
      <c r="G2145" t="str">
        <f>"15-K06-04"</f>
        <v>15-K06-04</v>
      </c>
      <c r="H2145">
        <v>0.27479999999999999</v>
      </c>
      <c r="I2145" t="s">
        <v>1346</v>
      </c>
      <c r="J2145" t="s">
        <v>59</v>
      </c>
      <c r="K2145" t="str">
        <f t="shared" si="146"/>
        <v>3F4</v>
      </c>
      <c r="L2145" t="s">
        <v>15</v>
      </c>
    </row>
    <row r="2146" spans="1:12" x14ac:dyDescent="0.25">
      <c r="A2146" t="str">
        <f>"2112230505"</f>
        <v>2112230505</v>
      </c>
      <c r="B2146" t="str">
        <f t="shared" si="141"/>
        <v>89301000</v>
      </c>
      <c r="C2146" s="1">
        <v>44553</v>
      </c>
      <c r="D2146" s="1">
        <v>44554</v>
      </c>
      <c r="E2146">
        <v>1</v>
      </c>
      <c r="F2146" t="s">
        <v>1261</v>
      </c>
      <c r="G2146" t="str">
        <f>"15-K06-04"</f>
        <v>15-K06-04</v>
      </c>
      <c r="H2146">
        <v>0.27479999999999999</v>
      </c>
      <c r="J2146" t="s">
        <v>59</v>
      </c>
      <c r="K2146" t="str">
        <f t="shared" si="146"/>
        <v>3F4</v>
      </c>
      <c r="L2146" t="s">
        <v>15</v>
      </c>
    </row>
    <row r="2147" spans="1:12" x14ac:dyDescent="0.25">
      <c r="A2147" t="str">
        <f>"2112250305"</f>
        <v>2112250305</v>
      </c>
      <c r="B2147" t="str">
        <f t="shared" si="141"/>
        <v>89301000</v>
      </c>
      <c r="C2147" s="1">
        <v>44555</v>
      </c>
      <c r="D2147" s="1">
        <v>44557</v>
      </c>
      <c r="E2147">
        <v>1</v>
      </c>
      <c r="F2147" t="s">
        <v>1261</v>
      </c>
      <c r="G2147" t="str">
        <f>"15-K06-04"</f>
        <v>15-K06-04</v>
      </c>
      <c r="H2147">
        <v>0.27479999999999999</v>
      </c>
      <c r="J2147" t="s">
        <v>59</v>
      </c>
      <c r="K2147" t="str">
        <f t="shared" si="146"/>
        <v>3F4</v>
      </c>
      <c r="L2147" t="s">
        <v>15</v>
      </c>
    </row>
    <row r="2148" spans="1:12" x14ac:dyDescent="0.25">
      <c r="A2148" t="str">
        <f>"2151020322"</f>
        <v>2151020322</v>
      </c>
      <c r="B2148" t="str">
        <f t="shared" si="141"/>
        <v>89301000</v>
      </c>
      <c r="C2148" s="1">
        <v>44198</v>
      </c>
      <c r="D2148" s="1">
        <v>44201</v>
      </c>
      <c r="E2148">
        <v>1</v>
      </c>
      <c r="F2148" t="s">
        <v>1261</v>
      </c>
      <c r="G2148" t="str">
        <f t="shared" ref="G2148:G2156" si="147">"15-K06-04"</f>
        <v>15-K06-04</v>
      </c>
      <c r="H2148">
        <v>0.27479999999999999</v>
      </c>
      <c r="J2148" t="s">
        <v>59</v>
      </c>
      <c r="K2148" t="str">
        <f t="shared" si="146"/>
        <v>3F4</v>
      </c>
      <c r="L2148" t="s">
        <v>15</v>
      </c>
    </row>
    <row r="2149" spans="1:12" x14ac:dyDescent="0.25">
      <c r="A2149" t="str">
        <f>"2151050374"</f>
        <v>2151050374</v>
      </c>
      <c r="B2149" t="str">
        <f t="shared" si="141"/>
        <v>89301000</v>
      </c>
      <c r="C2149" s="1">
        <v>44201</v>
      </c>
      <c r="D2149" s="1">
        <v>44204</v>
      </c>
      <c r="E2149">
        <v>1</v>
      </c>
      <c r="F2149" t="s">
        <v>1261</v>
      </c>
      <c r="G2149" t="str">
        <f t="shared" si="147"/>
        <v>15-K06-04</v>
      </c>
      <c r="H2149">
        <v>0.27479999999999999</v>
      </c>
      <c r="J2149" t="s">
        <v>59</v>
      </c>
      <c r="K2149" t="str">
        <f t="shared" si="146"/>
        <v>3F4</v>
      </c>
      <c r="L2149" t="s">
        <v>15</v>
      </c>
    </row>
    <row r="2150" spans="1:12" x14ac:dyDescent="0.25">
      <c r="A2150" t="str">
        <f>"2151050385"</f>
        <v>2151050385</v>
      </c>
      <c r="B2150" t="str">
        <f t="shared" si="141"/>
        <v>89301000</v>
      </c>
      <c r="C2150" s="1">
        <v>44201</v>
      </c>
      <c r="D2150" s="1">
        <v>44204</v>
      </c>
      <c r="E2150">
        <v>1</v>
      </c>
      <c r="F2150" t="s">
        <v>1261</v>
      </c>
      <c r="G2150" t="str">
        <f t="shared" si="147"/>
        <v>15-K06-04</v>
      </c>
      <c r="H2150">
        <v>0.27479999999999999</v>
      </c>
      <c r="I2150" t="s">
        <v>1308</v>
      </c>
      <c r="J2150" t="s">
        <v>59</v>
      </c>
      <c r="K2150" t="str">
        <f t="shared" si="146"/>
        <v>3F4</v>
      </c>
      <c r="L2150" t="s">
        <v>15</v>
      </c>
    </row>
    <row r="2151" spans="1:12" x14ac:dyDescent="0.25">
      <c r="A2151" t="str">
        <f>"2151060461"</f>
        <v>2151060461</v>
      </c>
      <c r="B2151" t="str">
        <f t="shared" si="141"/>
        <v>89301000</v>
      </c>
      <c r="C2151" s="1">
        <v>44202</v>
      </c>
      <c r="D2151" s="1">
        <v>44205</v>
      </c>
      <c r="E2151">
        <v>1</v>
      </c>
      <c r="F2151" t="s">
        <v>1261</v>
      </c>
      <c r="G2151" t="str">
        <f t="shared" si="147"/>
        <v>15-K06-04</v>
      </c>
      <c r="H2151">
        <v>0.27479999999999999</v>
      </c>
      <c r="J2151" t="s">
        <v>59</v>
      </c>
      <c r="K2151" t="str">
        <f t="shared" si="146"/>
        <v>3F4</v>
      </c>
      <c r="L2151" t="s">
        <v>15</v>
      </c>
    </row>
    <row r="2152" spans="1:12" x14ac:dyDescent="0.25">
      <c r="A2152" t="str">
        <f>"2151060483"</f>
        <v>2151060483</v>
      </c>
      <c r="B2152" t="str">
        <f t="shared" si="141"/>
        <v>89301000</v>
      </c>
      <c r="C2152" s="1">
        <v>44202</v>
      </c>
      <c r="D2152" s="1">
        <v>44205</v>
      </c>
      <c r="E2152">
        <v>1</v>
      </c>
      <c r="F2152" t="s">
        <v>1261</v>
      </c>
      <c r="G2152" t="str">
        <f t="shared" si="147"/>
        <v>15-K06-04</v>
      </c>
      <c r="H2152">
        <v>0.27479999999999999</v>
      </c>
      <c r="J2152" t="s">
        <v>59</v>
      </c>
      <c r="K2152" t="str">
        <f t="shared" si="146"/>
        <v>3F4</v>
      </c>
      <c r="L2152" t="s">
        <v>15</v>
      </c>
    </row>
    <row r="2153" spans="1:12" x14ac:dyDescent="0.25">
      <c r="A2153" t="str">
        <f>"2151060494"</f>
        <v>2151060494</v>
      </c>
      <c r="B2153" t="str">
        <f t="shared" ref="B2153:B2216" si="148">"89301000"</f>
        <v>89301000</v>
      </c>
      <c r="C2153" s="1">
        <v>44202</v>
      </c>
      <c r="D2153" s="1">
        <v>44206</v>
      </c>
      <c r="E2153">
        <v>1</v>
      </c>
      <c r="F2153" t="s">
        <v>1261</v>
      </c>
      <c r="G2153" t="str">
        <f t="shared" si="147"/>
        <v>15-K06-04</v>
      </c>
      <c r="H2153">
        <v>0.27479999999999999</v>
      </c>
      <c r="J2153" t="s">
        <v>59</v>
      </c>
      <c r="K2153" t="str">
        <f t="shared" si="146"/>
        <v>3F4</v>
      </c>
      <c r="L2153" t="s">
        <v>15</v>
      </c>
    </row>
    <row r="2154" spans="1:12" x14ac:dyDescent="0.25">
      <c r="A2154" t="str">
        <f>"2151070603"</f>
        <v>2151070603</v>
      </c>
      <c r="B2154" t="str">
        <f t="shared" si="148"/>
        <v>89301000</v>
      </c>
      <c r="C2154" s="1">
        <v>44203</v>
      </c>
      <c r="D2154" s="1">
        <v>44208</v>
      </c>
      <c r="E2154">
        <v>1</v>
      </c>
      <c r="F2154" t="s">
        <v>1261</v>
      </c>
      <c r="G2154" t="str">
        <f t="shared" si="147"/>
        <v>15-K06-04</v>
      </c>
      <c r="H2154">
        <v>0.27479999999999999</v>
      </c>
      <c r="J2154" t="s">
        <v>59</v>
      </c>
      <c r="K2154" t="str">
        <f t="shared" si="146"/>
        <v>3F4</v>
      </c>
      <c r="L2154" t="s">
        <v>15</v>
      </c>
    </row>
    <row r="2155" spans="1:12" x14ac:dyDescent="0.25">
      <c r="A2155" t="str">
        <f>"2151070614"</f>
        <v>2151070614</v>
      </c>
      <c r="B2155" t="str">
        <f t="shared" si="148"/>
        <v>89301000</v>
      </c>
      <c r="C2155" s="1">
        <v>44203</v>
      </c>
      <c r="D2155" s="1">
        <v>44206</v>
      </c>
      <c r="E2155">
        <v>1</v>
      </c>
      <c r="F2155" t="s">
        <v>1261</v>
      </c>
      <c r="G2155" t="str">
        <f t="shared" si="147"/>
        <v>15-K06-04</v>
      </c>
      <c r="H2155">
        <v>0.27479999999999999</v>
      </c>
      <c r="J2155" t="s">
        <v>59</v>
      </c>
      <c r="K2155" t="str">
        <f t="shared" si="146"/>
        <v>3F4</v>
      </c>
      <c r="L2155" t="s">
        <v>15</v>
      </c>
    </row>
    <row r="2156" spans="1:12" x14ac:dyDescent="0.25">
      <c r="A2156" t="str">
        <f>"2151080602"</f>
        <v>2151080602</v>
      </c>
      <c r="B2156" t="str">
        <f t="shared" si="148"/>
        <v>89301000</v>
      </c>
      <c r="C2156" s="1">
        <v>44204</v>
      </c>
      <c r="D2156" s="1">
        <v>44207</v>
      </c>
      <c r="E2156">
        <v>1</v>
      </c>
      <c r="F2156" t="s">
        <v>1261</v>
      </c>
      <c r="G2156" t="str">
        <f t="shared" si="147"/>
        <v>15-K06-04</v>
      </c>
      <c r="H2156">
        <v>0.27479999999999999</v>
      </c>
      <c r="I2156" t="s">
        <v>1433</v>
      </c>
      <c r="J2156" t="s">
        <v>59</v>
      </c>
      <c r="K2156" t="str">
        <f t="shared" si="146"/>
        <v>3F4</v>
      </c>
      <c r="L2156" t="s">
        <v>15</v>
      </c>
    </row>
    <row r="2157" spans="1:12" x14ac:dyDescent="0.25">
      <c r="A2157" t="str">
        <f>"2151080646"</f>
        <v>2151080646</v>
      </c>
      <c r="B2157" t="str">
        <f t="shared" si="148"/>
        <v>89301000</v>
      </c>
      <c r="C2157" s="1">
        <v>44204</v>
      </c>
      <c r="D2157" s="1">
        <v>44207</v>
      </c>
      <c r="E2157">
        <v>1</v>
      </c>
      <c r="F2157" t="s">
        <v>1312</v>
      </c>
      <c r="G2157" t="str">
        <f>"15-K07-03"</f>
        <v>15-K07-03</v>
      </c>
      <c r="H2157">
        <v>0.53959999999999997</v>
      </c>
      <c r="I2157" t="s">
        <v>1434</v>
      </c>
      <c r="J2157" t="s">
        <v>59</v>
      </c>
      <c r="K2157" t="str">
        <f t="shared" si="146"/>
        <v>3F4</v>
      </c>
      <c r="L2157" t="s">
        <v>15</v>
      </c>
    </row>
    <row r="2158" spans="1:12" x14ac:dyDescent="0.25">
      <c r="A2158" t="str">
        <f>"2151090425"</f>
        <v>2151090425</v>
      </c>
      <c r="B2158" t="str">
        <f t="shared" si="148"/>
        <v>89301000</v>
      </c>
      <c r="C2158" s="1">
        <v>44205</v>
      </c>
      <c r="D2158" s="1">
        <v>44208</v>
      </c>
      <c r="E2158">
        <v>1</v>
      </c>
      <c r="F2158" t="s">
        <v>1261</v>
      </c>
      <c r="G2158" t="str">
        <f>"15-K06-04"</f>
        <v>15-K06-04</v>
      </c>
      <c r="H2158">
        <v>0.27479999999999999</v>
      </c>
      <c r="I2158" t="s">
        <v>1305</v>
      </c>
      <c r="J2158" t="s">
        <v>59</v>
      </c>
      <c r="K2158" t="str">
        <f t="shared" si="146"/>
        <v>3F4</v>
      </c>
      <c r="L2158" t="s">
        <v>15</v>
      </c>
    </row>
    <row r="2159" spans="1:12" x14ac:dyDescent="0.25">
      <c r="A2159" t="str">
        <f>"2151100402"</f>
        <v>2151100402</v>
      </c>
      <c r="B2159" t="str">
        <f t="shared" si="148"/>
        <v>89301000</v>
      </c>
      <c r="C2159" s="1">
        <v>44408</v>
      </c>
      <c r="D2159" s="1">
        <v>44411</v>
      </c>
      <c r="E2159">
        <v>1</v>
      </c>
      <c r="F2159" t="s">
        <v>96</v>
      </c>
      <c r="G2159" t="str">
        <f>"11-K01-03"</f>
        <v>11-K01-03</v>
      </c>
      <c r="H2159">
        <v>0.59489999999999998</v>
      </c>
      <c r="I2159" t="s">
        <v>356</v>
      </c>
      <c r="J2159" t="s">
        <v>14</v>
      </c>
      <c r="K2159" t="str">
        <f>"3F1"</f>
        <v>3F1</v>
      </c>
      <c r="L2159" t="s">
        <v>15</v>
      </c>
    </row>
    <row r="2160" spans="1:12" x14ac:dyDescent="0.25">
      <c r="A2160" t="str">
        <f>"2151100402"</f>
        <v>2151100402</v>
      </c>
      <c r="B2160" t="str">
        <f t="shared" si="148"/>
        <v>89301000</v>
      </c>
      <c r="C2160" s="1">
        <v>44206</v>
      </c>
      <c r="D2160" s="1">
        <v>44209</v>
      </c>
      <c r="E2160">
        <v>1</v>
      </c>
      <c r="F2160" t="s">
        <v>1261</v>
      </c>
      <c r="G2160" t="str">
        <f>"15-K06-04"</f>
        <v>15-K06-04</v>
      </c>
      <c r="H2160">
        <v>0.27479999999999999</v>
      </c>
      <c r="J2160" t="s">
        <v>59</v>
      </c>
      <c r="K2160" t="str">
        <f t="shared" ref="K2160:K2186" si="149">"3F4"</f>
        <v>3F4</v>
      </c>
      <c r="L2160" t="s">
        <v>15</v>
      </c>
    </row>
    <row r="2161" spans="1:12" x14ac:dyDescent="0.25">
      <c r="A2161" t="str">
        <f>"2151120477"</f>
        <v>2151120477</v>
      </c>
      <c r="B2161" t="str">
        <f t="shared" si="148"/>
        <v>89301000</v>
      </c>
      <c r="C2161" s="1">
        <v>44208</v>
      </c>
      <c r="D2161" s="1">
        <v>44218</v>
      </c>
      <c r="E2161">
        <v>1</v>
      </c>
      <c r="F2161" t="s">
        <v>1221</v>
      </c>
      <c r="G2161" t="str">
        <f>"15-K04-02"</f>
        <v>15-K04-02</v>
      </c>
      <c r="H2161">
        <v>2.2848999999999999</v>
      </c>
      <c r="I2161" t="s">
        <v>1435</v>
      </c>
      <c r="J2161" t="s">
        <v>1212</v>
      </c>
      <c r="K2161" t="str">
        <f t="shared" si="149"/>
        <v>3F4</v>
      </c>
      <c r="L2161" t="s">
        <v>15</v>
      </c>
    </row>
    <row r="2162" spans="1:12" x14ac:dyDescent="0.25">
      <c r="A2162" t="str">
        <f>"2151120488"</f>
        <v>2151120488</v>
      </c>
      <c r="B2162" t="str">
        <f t="shared" si="148"/>
        <v>89301000</v>
      </c>
      <c r="C2162" s="1">
        <v>44208</v>
      </c>
      <c r="D2162" s="1">
        <v>44211</v>
      </c>
      <c r="E2162">
        <v>1</v>
      </c>
      <c r="F2162" t="s">
        <v>1261</v>
      </c>
      <c r="G2162" t="str">
        <f>"15-K06-04"</f>
        <v>15-K06-04</v>
      </c>
      <c r="H2162">
        <v>0.27479999999999999</v>
      </c>
      <c r="I2162" t="s">
        <v>1436</v>
      </c>
      <c r="J2162" t="s">
        <v>59</v>
      </c>
      <c r="K2162" t="str">
        <f t="shared" si="149"/>
        <v>3F4</v>
      </c>
      <c r="L2162" t="s">
        <v>15</v>
      </c>
    </row>
    <row r="2163" spans="1:12" x14ac:dyDescent="0.25">
      <c r="A2163" t="str">
        <f>"2151130135"</f>
        <v>2151130135</v>
      </c>
      <c r="B2163" t="str">
        <f t="shared" si="148"/>
        <v>89301000</v>
      </c>
      <c r="C2163" s="1">
        <v>44209</v>
      </c>
      <c r="D2163" s="1">
        <v>44211</v>
      </c>
      <c r="E2163">
        <v>1</v>
      </c>
      <c r="F2163" t="s">
        <v>1261</v>
      </c>
      <c r="G2163" t="str">
        <f>"15-K06-04"</f>
        <v>15-K06-04</v>
      </c>
      <c r="H2163">
        <v>0.27479999999999999</v>
      </c>
      <c r="J2163" t="s">
        <v>59</v>
      </c>
      <c r="K2163" t="str">
        <f t="shared" si="149"/>
        <v>3F4</v>
      </c>
      <c r="L2163" t="s">
        <v>15</v>
      </c>
    </row>
    <row r="2164" spans="1:12" x14ac:dyDescent="0.25">
      <c r="A2164" t="str">
        <f>"2151130619"</f>
        <v>2151130619</v>
      </c>
      <c r="B2164" t="str">
        <f t="shared" si="148"/>
        <v>89301000</v>
      </c>
      <c r="C2164" s="1">
        <v>44209</v>
      </c>
      <c r="D2164" s="1">
        <v>44212</v>
      </c>
      <c r="E2164">
        <v>1</v>
      </c>
      <c r="F2164" t="s">
        <v>1261</v>
      </c>
      <c r="G2164" t="str">
        <f>"15-K06-04"</f>
        <v>15-K06-04</v>
      </c>
      <c r="H2164">
        <v>0.27479999999999999</v>
      </c>
      <c r="I2164" t="s">
        <v>1279</v>
      </c>
      <c r="J2164" t="s">
        <v>59</v>
      </c>
      <c r="K2164" t="str">
        <f t="shared" si="149"/>
        <v>3F4</v>
      </c>
      <c r="L2164" t="s">
        <v>15</v>
      </c>
    </row>
    <row r="2165" spans="1:12" x14ac:dyDescent="0.25">
      <c r="A2165" t="str">
        <f>"2151130630"</f>
        <v>2151130630</v>
      </c>
      <c r="B2165" t="str">
        <f t="shared" si="148"/>
        <v>89301000</v>
      </c>
      <c r="C2165" s="1">
        <v>44209</v>
      </c>
      <c r="D2165" s="1">
        <v>44212</v>
      </c>
      <c r="E2165">
        <v>1</v>
      </c>
      <c r="F2165" t="s">
        <v>1261</v>
      </c>
      <c r="G2165" t="str">
        <f>"15-K06-04"</f>
        <v>15-K06-04</v>
      </c>
      <c r="H2165">
        <v>0.27479999999999999</v>
      </c>
      <c r="J2165" t="s">
        <v>59</v>
      </c>
      <c r="K2165" t="str">
        <f t="shared" si="149"/>
        <v>3F4</v>
      </c>
      <c r="L2165" t="s">
        <v>15</v>
      </c>
    </row>
    <row r="2166" spans="1:12" x14ac:dyDescent="0.25">
      <c r="A2166" t="str">
        <f>"2151131400"</f>
        <v>2151131400</v>
      </c>
      <c r="B2166" t="str">
        <f t="shared" si="148"/>
        <v>89301000</v>
      </c>
      <c r="C2166" s="1">
        <v>44210</v>
      </c>
      <c r="D2166" s="1">
        <v>44218</v>
      </c>
      <c r="E2166">
        <v>1</v>
      </c>
      <c r="F2166" t="s">
        <v>1319</v>
      </c>
      <c r="G2166" t="str">
        <f>"15-K07-01"</f>
        <v>15-K07-01</v>
      </c>
      <c r="H2166">
        <v>1.5082</v>
      </c>
      <c r="I2166" t="s">
        <v>1437</v>
      </c>
      <c r="J2166" t="s">
        <v>59</v>
      </c>
      <c r="K2166" t="str">
        <f t="shared" si="149"/>
        <v>3F4</v>
      </c>
      <c r="L2166" t="s">
        <v>15</v>
      </c>
    </row>
    <row r="2167" spans="1:12" x14ac:dyDescent="0.25">
      <c r="A2167" t="str">
        <f>"2151140728"</f>
        <v>2151140728</v>
      </c>
      <c r="B2167" t="str">
        <f t="shared" si="148"/>
        <v>89301000</v>
      </c>
      <c r="C2167" s="1">
        <v>44210</v>
      </c>
      <c r="D2167" s="1">
        <v>44213</v>
      </c>
      <c r="E2167">
        <v>1</v>
      </c>
      <c r="F2167" t="s">
        <v>1261</v>
      </c>
      <c r="G2167" t="str">
        <f t="shared" ref="G2167:G2174" si="150">"15-K06-04"</f>
        <v>15-K06-04</v>
      </c>
      <c r="H2167">
        <v>0.27479999999999999</v>
      </c>
      <c r="J2167" t="s">
        <v>59</v>
      </c>
      <c r="K2167" t="str">
        <f t="shared" si="149"/>
        <v>3F4</v>
      </c>
      <c r="L2167" t="s">
        <v>15</v>
      </c>
    </row>
    <row r="2168" spans="1:12" x14ac:dyDescent="0.25">
      <c r="A2168" t="str">
        <f>"2151140750"</f>
        <v>2151140750</v>
      </c>
      <c r="B2168" t="str">
        <f t="shared" si="148"/>
        <v>89301000</v>
      </c>
      <c r="C2168" s="1">
        <v>44210</v>
      </c>
      <c r="D2168" s="1">
        <v>44213</v>
      </c>
      <c r="E2168">
        <v>1</v>
      </c>
      <c r="F2168" t="s">
        <v>1261</v>
      </c>
      <c r="G2168" t="str">
        <f t="shared" si="150"/>
        <v>15-K06-04</v>
      </c>
      <c r="H2168">
        <v>0.27479999999999999</v>
      </c>
      <c r="J2168" t="s">
        <v>59</v>
      </c>
      <c r="K2168" t="str">
        <f t="shared" si="149"/>
        <v>3F4</v>
      </c>
      <c r="L2168" t="s">
        <v>15</v>
      </c>
    </row>
    <row r="2169" spans="1:12" x14ac:dyDescent="0.25">
      <c r="A2169" t="str">
        <f>"2151140783"</f>
        <v>2151140783</v>
      </c>
      <c r="B2169" t="str">
        <f t="shared" si="148"/>
        <v>89301000</v>
      </c>
      <c r="C2169" s="1">
        <v>44210</v>
      </c>
      <c r="D2169" s="1">
        <v>44213</v>
      </c>
      <c r="E2169">
        <v>1</v>
      </c>
      <c r="F2169" t="s">
        <v>1261</v>
      </c>
      <c r="G2169" t="str">
        <f t="shared" si="150"/>
        <v>15-K06-04</v>
      </c>
      <c r="H2169">
        <v>0.27479999999999999</v>
      </c>
      <c r="J2169" t="s">
        <v>59</v>
      </c>
      <c r="K2169" t="str">
        <f t="shared" si="149"/>
        <v>3F4</v>
      </c>
      <c r="L2169" t="s">
        <v>15</v>
      </c>
    </row>
    <row r="2170" spans="1:12" x14ac:dyDescent="0.25">
      <c r="A2170" t="str">
        <f>"2151160242"</f>
        <v>2151160242</v>
      </c>
      <c r="B2170" t="str">
        <f t="shared" si="148"/>
        <v>89301000</v>
      </c>
      <c r="C2170" s="1">
        <v>44212</v>
      </c>
      <c r="D2170" s="1">
        <v>44214</v>
      </c>
      <c r="E2170">
        <v>1</v>
      </c>
      <c r="F2170" t="s">
        <v>1261</v>
      </c>
      <c r="G2170" t="str">
        <f t="shared" si="150"/>
        <v>15-K06-04</v>
      </c>
      <c r="H2170">
        <v>0.27479999999999999</v>
      </c>
      <c r="J2170" t="s">
        <v>59</v>
      </c>
      <c r="K2170" t="str">
        <f t="shared" si="149"/>
        <v>3F4</v>
      </c>
      <c r="L2170" t="s">
        <v>15</v>
      </c>
    </row>
    <row r="2171" spans="1:12" x14ac:dyDescent="0.25">
      <c r="A2171" t="str">
        <f>"2151170329"</f>
        <v>2151170329</v>
      </c>
      <c r="B2171" t="str">
        <f t="shared" si="148"/>
        <v>89301000</v>
      </c>
      <c r="C2171" s="1">
        <v>44213</v>
      </c>
      <c r="D2171" s="1">
        <v>44216</v>
      </c>
      <c r="E2171">
        <v>1</v>
      </c>
      <c r="F2171" t="s">
        <v>1261</v>
      </c>
      <c r="G2171" t="str">
        <f t="shared" si="150"/>
        <v>15-K06-04</v>
      </c>
      <c r="H2171">
        <v>0.27479999999999999</v>
      </c>
      <c r="I2171" t="s">
        <v>1264</v>
      </c>
      <c r="J2171" t="s">
        <v>59</v>
      </c>
      <c r="K2171" t="str">
        <f t="shared" si="149"/>
        <v>3F4</v>
      </c>
      <c r="L2171" t="s">
        <v>15</v>
      </c>
    </row>
    <row r="2172" spans="1:12" x14ac:dyDescent="0.25">
      <c r="A2172" t="str">
        <f>"2151170340"</f>
        <v>2151170340</v>
      </c>
      <c r="B2172" t="str">
        <f t="shared" si="148"/>
        <v>89301000</v>
      </c>
      <c r="C2172" s="1">
        <v>44213</v>
      </c>
      <c r="D2172" s="1">
        <v>44217</v>
      </c>
      <c r="E2172">
        <v>1</v>
      </c>
      <c r="F2172" t="s">
        <v>1261</v>
      </c>
      <c r="G2172" t="str">
        <f t="shared" si="150"/>
        <v>15-K06-04</v>
      </c>
      <c r="H2172">
        <v>0.27479999999999999</v>
      </c>
      <c r="J2172" t="s">
        <v>59</v>
      </c>
      <c r="K2172" t="str">
        <f t="shared" si="149"/>
        <v>3F4</v>
      </c>
      <c r="L2172" t="s">
        <v>15</v>
      </c>
    </row>
    <row r="2173" spans="1:12" x14ac:dyDescent="0.25">
      <c r="A2173" t="str">
        <f>"2151190492"</f>
        <v>2151190492</v>
      </c>
      <c r="B2173" t="str">
        <f t="shared" si="148"/>
        <v>89301000</v>
      </c>
      <c r="C2173" s="1">
        <v>44215</v>
      </c>
      <c r="D2173" s="1">
        <v>44218</v>
      </c>
      <c r="E2173">
        <v>1</v>
      </c>
      <c r="F2173" t="s">
        <v>1261</v>
      </c>
      <c r="G2173" t="str">
        <f t="shared" si="150"/>
        <v>15-K06-04</v>
      </c>
      <c r="H2173">
        <v>0.27479999999999999</v>
      </c>
      <c r="J2173" t="s">
        <v>59</v>
      </c>
      <c r="K2173" t="str">
        <f t="shared" si="149"/>
        <v>3F4</v>
      </c>
      <c r="L2173" t="s">
        <v>15</v>
      </c>
    </row>
    <row r="2174" spans="1:12" x14ac:dyDescent="0.25">
      <c r="A2174" t="str">
        <f>"2151190503"</f>
        <v>2151190503</v>
      </c>
      <c r="B2174" t="str">
        <f t="shared" si="148"/>
        <v>89301000</v>
      </c>
      <c r="C2174" s="1">
        <v>44215</v>
      </c>
      <c r="D2174" s="1">
        <v>44215</v>
      </c>
      <c r="E2174">
        <v>1</v>
      </c>
      <c r="F2174" t="s">
        <v>1261</v>
      </c>
      <c r="G2174" t="str">
        <f t="shared" si="150"/>
        <v>15-K06-04</v>
      </c>
      <c r="H2174">
        <v>0.13739999999999999</v>
      </c>
      <c r="J2174" t="s">
        <v>59</v>
      </c>
      <c r="K2174" t="str">
        <f t="shared" si="149"/>
        <v>3F4</v>
      </c>
      <c r="L2174" t="s">
        <v>15</v>
      </c>
    </row>
    <row r="2175" spans="1:12" x14ac:dyDescent="0.25">
      <c r="A2175" t="str">
        <f>"2151200634"</f>
        <v>2151200634</v>
      </c>
      <c r="B2175" t="str">
        <f t="shared" si="148"/>
        <v>89301000</v>
      </c>
      <c r="C2175" s="1">
        <v>44216</v>
      </c>
      <c r="D2175" s="1">
        <v>44225</v>
      </c>
      <c r="E2175">
        <v>1</v>
      </c>
      <c r="F2175" t="s">
        <v>1338</v>
      </c>
      <c r="G2175" t="str">
        <f>"15-K04-03"</f>
        <v>15-K04-03</v>
      </c>
      <c r="H2175">
        <v>1.6881999999999999</v>
      </c>
      <c r="I2175" t="s">
        <v>1438</v>
      </c>
      <c r="J2175" t="s">
        <v>1212</v>
      </c>
      <c r="K2175" t="str">
        <f t="shared" si="149"/>
        <v>3F4</v>
      </c>
      <c r="L2175" t="s">
        <v>15</v>
      </c>
    </row>
    <row r="2176" spans="1:12" x14ac:dyDescent="0.25">
      <c r="A2176" t="str">
        <f>"2151200645"</f>
        <v>2151200645</v>
      </c>
      <c r="B2176" t="str">
        <f t="shared" si="148"/>
        <v>89301000</v>
      </c>
      <c r="C2176" s="1">
        <v>44216</v>
      </c>
      <c r="D2176" s="1">
        <v>44225</v>
      </c>
      <c r="E2176">
        <v>1</v>
      </c>
      <c r="F2176" t="s">
        <v>1338</v>
      </c>
      <c r="G2176" t="str">
        <f>"15-K04-03"</f>
        <v>15-K04-03</v>
      </c>
      <c r="H2176">
        <v>1.6881999999999999</v>
      </c>
      <c r="I2176" t="s">
        <v>1438</v>
      </c>
      <c r="J2176" t="s">
        <v>1212</v>
      </c>
      <c r="K2176" t="str">
        <f t="shared" si="149"/>
        <v>3F4</v>
      </c>
      <c r="L2176" t="s">
        <v>15</v>
      </c>
    </row>
    <row r="2177" spans="1:12" x14ac:dyDescent="0.25">
      <c r="A2177" t="str">
        <f>"2151210105"</f>
        <v>2151210105</v>
      </c>
      <c r="B2177" t="str">
        <f t="shared" si="148"/>
        <v>89301000</v>
      </c>
      <c r="C2177" s="1">
        <v>44217</v>
      </c>
      <c r="D2177" s="1">
        <v>44220</v>
      </c>
      <c r="E2177">
        <v>1</v>
      </c>
      <c r="F2177" t="s">
        <v>1261</v>
      </c>
      <c r="G2177" t="str">
        <f>"15-K06-04"</f>
        <v>15-K06-04</v>
      </c>
      <c r="H2177">
        <v>0.27479999999999999</v>
      </c>
      <c r="I2177" t="s">
        <v>1279</v>
      </c>
      <c r="J2177" t="s">
        <v>59</v>
      </c>
      <c r="K2177" t="str">
        <f t="shared" si="149"/>
        <v>3F4</v>
      </c>
      <c r="L2177" t="s">
        <v>15</v>
      </c>
    </row>
    <row r="2178" spans="1:12" x14ac:dyDescent="0.25">
      <c r="A2178" t="str">
        <f>"2151210699"</f>
        <v>2151210699</v>
      </c>
      <c r="B2178" t="str">
        <f t="shared" si="148"/>
        <v>89301000</v>
      </c>
      <c r="C2178" s="1">
        <v>44217</v>
      </c>
      <c r="D2178" s="1">
        <v>44220</v>
      </c>
      <c r="E2178">
        <v>1</v>
      </c>
      <c r="F2178" t="s">
        <v>1261</v>
      </c>
      <c r="G2178" t="str">
        <f>"15-K06-04"</f>
        <v>15-K06-04</v>
      </c>
      <c r="H2178">
        <v>0.27479999999999999</v>
      </c>
      <c r="I2178" t="s">
        <v>1439</v>
      </c>
      <c r="J2178" t="s">
        <v>59</v>
      </c>
      <c r="K2178" t="str">
        <f t="shared" si="149"/>
        <v>3F4</v>
      </c>
      <c r="L2178" t="s">
        <v>15</v>
      </c>
    </row>
    <row r="2179" spans="1:12" x14ac:dyDescent="0.25">
      <c r="A2179" t="str">
        <f>"2151210710"</f>
        <v>2151210710</v>
      </c>
      <c r="B2179" t="str">
        <f t="shared" si="148"/>
        <v>89301000</v>
      </c>
      <c r="C2179" s="1">
        <v>44217</v>
      </c>
      <c r="D2179" s="1">
        <v>44220</v>
      </c>
      <c r="E2179">
        <v>1</v>
      </c>
      <c r="F2179" t="s">
        <v>1261</v>
      </c>
      <c r="G2179" t="str">
        <f>"15-K06-04"</f>
        <v>15-K06-04</v>
      </c>
      <c r="H2179">
        <v>0.27479999999999999</v>
      </c>
      <c r="I2179" t="s">
        <v>1440</v>
      </c>
      <c r="J2179" t="s">
        <v>59</v>
      </c>
      <c r="K2179" t="str">
        <f t="shared" si="149"/>
        <v>3F4</v>
      </c>
      <c r="L2179" t="s">
        <v>15</v>
      </c>
    </row>
    <row r="2180" spans="1:12" x14ac:dyDescent="0.25">
      <c r="A2180" t="str">
        <f>"2151230323"</f>
        <v>2151230323</v>
      </c>
      <c r="B2180" t="str">
        <f t="shared" si="148"/>
        <v>89301000</v>
      </c>
      <c r="C2180" s="1">
        <v>44219</v>
      </c>
      <c r="D2180" s="1">
        <v>44220</v>
      </c>
      <c r="E2180">
        <v>1</v>
      </c>
      <c r="F2180" t="s">
        <v>1261</v>
      </c>
      <c r="G2180" t="str">
        <f>"15-K06-04"</f>
        <v>15-K06-04</v>
      </c>
      <c r="H2180">
        <v>0.27479999999999999</v>
      </c>
      <c r="I2180" t="s">
        <v>1441</v>
      </c>
      <c r="J2180" t="s">
        <v>59</v>
      </c>
      <c r="K2180" t="str">
        <f t="shared" si="149"/>
        <v>3F4</v>
      </c>
      <c r="L2180" t="s">
        <v>15</v>
      </c>
    </row>
    <row r="2181" spans="1:12" x14ac:dyDescent="0.25">
      <c r="A2181" t="str">
        <f>"2151230378"</f>
        <v>2151230378</v>
      </c>
      <c r="B2181" t="str">
        <f t="shared" si="148"/>
        <v>89301000</v>
      </c>
      <c r="C2181" s="1">
        <v>44219</v>
      </c>
      <c r="D2181" s="1">
        <v>44221</v>
      </c>
      <c r="E2181">
        <v>1</v>
      </c>
      <c r="F2181" t="s">
        <v>1261</v>
      </c>
      <c r="G2181" t="str">
        <f>"15-K06-04"</f>
        <v>15-K06-04</v>
      </c>
      <c r="H2181">
        <v>0.27479999999999999</v>
      </c>
      <c r="J2181" t="s">
        <v>59</v>
      </c>
      <c r="K2181" t="str">
        <f t="shared" si="149"/>
        <v>3F4</v>
      </c>
      <c r="L2181" t="s">
        <v>15</v>
      </c>
    </row>
    <row r="2182" spans="1:12" x14ac:dyDescent="0.25">
      <c r="A2182" t="str">
        <f>"2151231115"</f>
        <v>2151231115</v>
      </c>
      <c r="B2182" t="str">
        <f t="shared" si="148"/>
        <v>89301000</v>
      </c>
      <c r="C2182" s="1">
        <v>44220</v>
      </c>
      <c r="D2182" s="1">
        <v>44225</v>
      </c>
      <c r="E2182">
        <v>1</v>
      </c>
      <c r="F2182" t="s">
        <v>1442</v>
      </c>
      <c r="G2182" t="str">
        <f>"15-K07-01"</f>
        <v>15-K07-01</v>
      </c>
      <c r="H2182">
        <v>1.5082</v>
      </c>
      <c r="I2182" t="s">
        <v>1443</v>
      </c>
      <c r="J2182" t="s">
        <v>59</v>
      </c>
      <c r="K2182" t="str">
        <f t="shared" si="149"/>
        <v>3F4</v>
      </c>
      <c r="L2182" t="s">
        <v>15</v>
      </c>
    </row>
    <row r="2183" spans="1:12" x14ac:dyDescent="0.25">
      <c r="A2183" t="str">
        <f>"2151231588"</f>
        <v>2151231588</v>
      </c>
      <c r="B2183" t="str">
        <f t="shared" si="148"/>
        <v>89301000</v>
      </c>
      <c r="C2183" s="1">
        <v>44219</v>
      </c>
      <c r="D2183" s="1">
        <v>44231</v>
      </c>
      <c r="E2183">
        <v>1</v>
      </c>
      <c r="F2183" t="s">
        <v>1261</v>
      </c>
      <c r="G2183" t="str">
        <f>"15-K06-01"</f>
        <v>15-K06-01</v>
      </c>
      <c r="H2183">
        <v>1.1248</v>
      </c>
      <c r="I2183" t="s">
        <v>1444</v>
      </c>
      <c r="J2183" t="s">
        <v>59</v>
      </c>
      <c r="K2183" t="str">
        <f t="shared" si="149"/>
        <v>3F4</v>
      </c>
      <c r="L2183" t="s">
        <v>15</v>
      </c>
    </row>
    <row r="2184" spans="1:12" x14ac:dyDescent="0.25">
      <c r="A2184" t="str">
        <f>"2151240377"</f>
        <v>2151240377</v>
      </c>
      <c r="B2184" t="str">
        <f t="shared" si="148"/>
        <v>89301000</v>
      </c>
      <c r="C2184" s="1">
        <v>44220</v>
      </c>
      <c r="D2184" s="1">
        <v>44221</v>
      </c>
      <c r="E2184">
        <v>1</v>
      </c>
      <c r="F2184" t="s">
        <v>1261</v>
      </c>
      <c r="G2184" t="str">
        <f>"15-K06-04"</f>
        <v>15-K06-04</v>
      </c>
      <c r="H2184">
        <v>0.27479999999999999</v>
      </c>
      <c r="J2184" t="s">
        <v>59</v>
      </c>
      <c r="K2184" t="str">
        <f t="shared" si="149"/>
        <v>3F4</v>
      </c>
      <c r="L2184" t="s">
        <v>15</v>
      </c>
    </row>
    <row r="2185" spans="1:12" x14ac:dyDescent="0.25">
      <c r="A2185" t="str">
        <f>"2151240388"</f>
        <v>2151240388</v>
      </c>
      <c r="B2185" t="str">
        <f t="shared" si="148"/>
        <v>89301000</v>
      </c>
      <c r="C2185" s="1">
        <v>44220</v>
      </c>
      <c r="D2185" s="1">
        <v>44223</v>
      </c>
      <c r="E2185">
        <v>1</v>
      </c>
      <c r="F2185" t="s">
        <v>1261</v>
      </c>
      <c r="G2185" t="str">
        <f>"15-K06-04"</f>
        <v>15-K06-04</v>
      </c>
      <c r="H2185">
        <v>0.27479999999999999</v>
      </c>
      <c r="I2185" t="s">
        <v>1367</v>
      </c>
      <c r="J2185" t="s">
        <v>59</v>
      </c>
      <c r="K2185" t="str">
        <f t="shared" si="149"/>
        <v>3F4</v>
      </c>
      <c r="L2185" t="s">
        <v>15</v>
      </c>
    </row>
    <row r="2186" spans="1:12" x14ac:dyDescent="0.25">
      <c r="A2186" t="str">
        <f>"2151240432"</f>
        <v>2151240432</v>
      </c>
      <c r="B2186" t="str">
        <f t="shared" si="148"/>
        <v>89301000</v>
      </c>
      <c r="C2186" s="1">
        <v>44220</v>
      </c>
      <c r="D2186" s="1">
        <v>44223</v>
      </c>
      <c r="E2186">
        <v>1</v>
      </c>
      <c r="F2186" t="s">
        <v>1261</v>
      </c>
      <c r="G2186" t="str">
        <f>"15-K06-04"</f>
        <v>15-K06-04</v>
      </c>
      <c r="H2186">
        <v>0.27479999999999999</v>
      </c>
      <c r="J2186" t="s">
        <v>59</v>
      </c>
      <c r="K2186" t="str">
        <f t="shared" si="149"/>
        <v>3F4</v>
      </c>
      <c r="L2186" t="s">
        <v>15</v>
      </c>
    </row>
    <row r="2187" spans="1:12" x14ac:dyDescent="0.25">
      <c r="A2187" t="str">
        <f>"2151250211"</f>
        <v>2151250211</v>
      </c>
      <c r="B2187" t="str">
        <f t="shared" si="148"/>
        <v>89301000</v>
      </c>
      <c r="C2187" s="1">
        <v>44396</v>
      </c>
      <c r="D2187" s="1">
        <v>44408</v>
      </c>
      <c r="E2187">
        <v>1</v>
      </c>
      <c r="F2187" t="s">
        <v>751</v>
      </c>
      <c r="G2187" t="str">
        <f>"11-I10-03"</f>
        <v>11-I10-03</v>
      </c>
      <c r="H2187">
        <v>2.3313999999999999</v>
      </c>
      <c r="J2187" t="s">
        <v>17</v>
      </c>
      <c r="K2187" t="str">
        <f>"3F1"</f>
        <v>3F1</v>
      </c>
      <c r="L2187" t="s">
        <v>15</v>
      </c>
    </row>
    <row r="2188" spans="1:12" x14ac:dyDescent="0.25">
      <c r="A2188" t="str">
        <f>"2151250585"</f>
        <v>2151250585</v>
      </c>
      <c r="B2188" t="str">
        <f t="shared" si="148"/>
        <v>89301000</v>
      </c>
      <c r="C2188" s="1">
        <v>44221</v>
      </c>
      <c r="D2188" s="1">
        <v>44225</v>
      </c>
      <c r="E2188">
        <v>1</v>
      </c>
      <c r="F2188" t="s">
        <v>1261</v>
      </c>
      <c r="G2188" t="str">
        <f t="shared" ref="G2188:G2206" si="151">"15-K06-04"</f>
        <v>15-K06-04</v>
      </c>
      <c r="H2188">
        <v>0.27479999999999999</v>
      </c>
      <c r="J2188" t="s">
        <v>59</v>
      </c>
      <c r="K2188" t="str">
        <f t="shared" ref="K2188:K2206" si="152">"3F4"</f>
        <v>3F4</v>
      </c>
      <c r="L2188" t="s">
        <v>15</v>
      </c>
    </row>
    <row r="2189" spans="1:12" x14ac:dyDescent="0.25">
      <c r="A2189" t="str">
        <f>"2151260771"</f>
        <v>2151260771</v>
      </c>
      <c r="B2189" t="str">
        <f t="shared" si="148"/>
        <v>89301000</v>
      </c>
      <c r="C2189" s="1">
        <v>44222</v>
      </c>
      <c r="D2189" s="1">
        <v>44224</v>
      </c>
      <c r="E2189">
        <v>1</v>
      </c>
      <c r="F2189" t="s">
        <v>1261</v>
      </c>
      <c r="G2189" t="str">
        <f t="shared" si="151"/>
        <v>15-K06-04</v>
      </c>
      <c r="H2189">
        <v>0.27479999999999999</v>
      </c>
      <c r="J2189" t="s">
        <v>59</v>
      </c>
      <c r="K2189" t="str">
        <f t="shared" si="152"/>
        <v>3F4</v>
      </c>
      <c r="L2189" t="s">
        <v>15</v>
      </c>
    </row>
    <row r="2190" spans="1:12" x14ac:dyDescent="0.25">
      <c r="A2190" t="str">
        <f>"2151260782"</f>
        <v>2151260782</v>
      </c>
      <c r="B2190" t="str">
        <f t="shared" si="148"/>
        <v>89301000</v>
      </c>
      <c r="C2190" s="1">
        <v>44222</v>
      </c>
      <c r="D2190" s="1">
        <v>44226</v>
      </c>
      <c r="E2190">
        <v>1</v>
      </c>
      <c r="F2190" t="s">
        <v>1261</v>
      </c>
      <c r="G2190" t="str">
        <f t="shared" si="151"/>
        <v>15-K06-04</v>
      </c>
      <c r="H2190">
        <v>0.27479999999999999</v>
      </c>
      <c r="I2190" t="s">
        <v>1445</v>
      </c>
      <c r="J2190" t="s">
        <v>59</v>
      </c>
      <c r="K2190" t="str">
        <f t="shared" si="152"/>
        <v>3F4</v>
      </c>
      <c r="L2190" t="s">
        <v>15</v>
      </c>
    </row>
    <row r="2191" spans="1:12" x14ac:dyDescent="0.25">
      <c r="A2191" t="str">
        <f>"2151260804"</f>
        <v>2151260804</v>
      </c>
      <c r="B2191" t="str">
        <f t="shared" si="148"/>
        <v>89301000</v>
      </c>
      <c r="C2191" s="1">
        <v>44222</v>
      </c>
      <c r="D2191" s="1">
        <v>44223</v>
      </c>
      <c r="E2191">
        <v>1</v>
      </c>
      <c r="F2191" t="s">
        <v>1261</v>
      </c>
      <c r="G2191" t="str">
        <f t="shared" si="151"/>
        <v>15-K06-04</v>
      </c>
      <c r="H2191">
        <v>0.27479999999999999</v>
      </c>
      <c r="I2191" t="s">
        <v>1305</v>
      </c>
      <c r="J2191" t="s">
        <v>59</v>
      </c>
      <c r="K2191" t="str">
        <f t="shared" si="152"/>
        <v>3F4</v>
      </c>
      <c r="L2191" t="s">
        <v>15</v>
      </c>
    </row>
    <row r="2192" spans="1:12" x14ac:dyDescent="0.25">
      <c r="A2192" t="str">
        <f>"2151270671"</f>
        <v>2151270671</v>
      </c>
      <c r="B2192" t="str">
        <f t="shared" si="148"/>
        <v>89301000</v>
      </c>
      <c r="C2192" s="1">
        <v>44223</v>
      </c>
      <c r="D2192" s="1">
        <v>44223</v>
      </c>
      <c r="E2192">
        <v>1</v>
      </c>
      <c r="F2192" t="s">
        <v>1261</v>
      </c>
      <c r="G2192" t="str">
        <f t="shared" si="151"/>
        <v>15-K06-04</v>
      </c>
      <c r="H2192">
        <v>0.13739999999999999</v>
      </c>
      <c r="J2192" t="s">
        <v>59</v>
      </c>
      <c r="K2192" t="str">
        <f t="shared" si="152"/>
        <v>3F4</v>
      </c>
      <c r="L2192" t="s">
        <v>15</v>
      </c>
    </row>
    <row r="2193" spans="1:12" x14ac:dyDescent="0.25">
      <c r="A2193" t="str">
        <f>"2151270682"</f>
        <v>2151270682</v>
      </c>
      <c r="B2193" t="str">
        <f t="shared" si="148"/>
        <v>89301000</v>
      </c>
      <c r="C2193" s="1">
        <v>44223</v>
      </c>
      <c r="D2193" s="1">
        <v>44225</v>
      </c>
      <c r="E2193">
        <v>1</v>
      </c>
      <c r="F2193" t="s">
        <v>1261</v>
      </c>
      <c r="G2193" t="str">
        <f t="shared" si="151"/>
        <v>15-K06-04</v>
      </c>
      <c r="H2193">
        <v>0.27479999999999999</v>
      </c>
      <c r="J2193" t="s">
        <v>59</v>
      </c>
      <c r="K2193" t="str">
        <f t="shared" si="152"/>
        <v>3F4</v>
      </c>
      <c r="L2193" t="s">
        <v>15</v>
      </c>
    </row>
    <row r="2194" spans="1:12" x14ac:dyDescent="0.25">
      <c r="A2194" t="str">
        <f>"2151270715"</f>
        <v>2151270715</v>
      </c>
      <c r="B2194" t="str">
        <f t="shared" si="148"/>
        <v>89301000</v>
      </c>
      <c r="C2194" s="1">
        <v>44223</v>
      </c>
      <c r="D2194" s="1">
        <v>44226</v>
      </c>
      <c r="E2194">
        <v>1</v>
      </c>
      <c r="F2194" t="s">
        <v>1261</v>
      </c>
      <c r="G2194" t="str">
        <f t="shared" si="151"/>
        <v>15-K06-04</v>
      </c>
      <c r="H2194">
        <v>0.27479999999999999</v>
      </c>
      <c r="J2194" t="s">
        <v>59</v>
      </c>
      <c r="K2194" t="str">
        <f t="shared" si="152"/>
        <v>3F4</v>
      </c>
      <c r="L2194" t="s">
        <v>15</v>
      </c>
    </row>
    <row r="2195" spans="1:12" x14ac:dyDescent="0.25">
      <c r="A2195" t="str">
        <f>"2151270737"</f>
        <v>2151270737</v>
      </c>
      <c r="B2195" t="str">
        <f t="shared" si="148"/>
        <v>89301000</v>
      </c>
      <c r="C2195" s="1">
        <v>44223</v>
      </c>
      <c r="D2195" s="1">
        <v>44226</v>
      </c>
      <c r="E2195">
        <v>1</v>
      </c>
      <c r="F2195" t="s">
        <v>1261</v>
      </c>
      <c r="G2195" t="str">
        <f t="shared" si="151"/>
        <v>15-K06-04</v>
      </c>
      <c r="H2195">
        <v>0.27479999999999999</v>
      </c>
      <c r="J2195" t="s">
        <v>59</v>
      </c>
      <c r="K2195" t="str">
        <f t="shared" si="152"/>
        <v>3F4</v>
      </c>
      <c r="L2195" t="s">
        <v>15</v>
      </c>
    </row>
    <row r="2196" spans="1:12" x14ac:dyDescent="0.25">
      <c r="A2196" t="str">
        <f>"2152010069"</f>
        <v>2152010069</v>
      </c>
      <c r="B2196" t="str">
        <f t="shared" si="148"/>
        <v>89301000</v>
      </c>
      <c r="C2196" s="1">
        <v>44228</v>
      </c>
      <c r="D2196" s="1">
        <v>44230</v>
      </c>
      <c r="E2196">
        <v>1</v>
      </c>
      <c r="F2196" t="s">
        <v>1261</v>
      </c>
      <c r="G2196" t="str">
        <f t="shared" si="151"/>
        <v>15-K06-04</v>
      </c>
      <c r="H2196">
        <v>0.27479999999999999</v>
      </c>
      <c r="J2196" t="s">
        <v>59</v>
      </c>
      <c r="K2196" t="str">
        <f t="shared" si="152"/>
        <v>3F4</v>
      </c>
      <c r="L2196" t="s">
        <v>15</v>
      </c>
    </row>
    <row r="2197" spans="1:12" x14ac:dyDescent="0.25">
      <c r="A2197" t="str">
        <f>"2152010718"</f>
        <v>2152010718</v>
      </c>
      <c r="B2197" t="str">
        <f t="shared" si="148"/>
        <v>89301000</v>
      </c>
      <c r="C2197" s="1">
        <v>44228</v>
      </c>
      <c r="D2197" s="1">
        <v>44230</v>
      </c>
      <c r="E2197">
        <v>1</v>
      </c>
      <c r="F2197" t="s">
        <v>1261</v>
      </c>
      <c r="G2197" t="str">
        <f t="shared" si="151"/>
        <v>15-K06-04</v>
      </c>
      <c r="H2197">
        <v>0.27479999999999999</v>
      </c>
      <c r="J2197" t="s">
        <v>59</v>
      </c>
      <c r="K2197" t="str">
        <f t="shared" si="152"/>
        <v>3F4</v>
      </c>
      <c r="L2197" t="s">
        <v>15</v>
      </c>
    </row>
    <row r="2198" spans="1:12" x14ac:dyDescent="0.25">
      <c r="A2198" t="str">
        <f>"2152010740"</f>
        <v>2152010740</v>
      </c>
      <c r="B2198" t="str">
        <f t="shared" si="148"/>
        <v>89301000</v>
      </c>
      <c r="C2198" s="1">
        <v>44228</v>
      </c>
      <c r="D2198" s="1">
        <v>44231</v>
      </c>
      <c r="E2198">
        <v>1</v>
      </c>
      <c r="F2198" t="s">
        <v>1261</v>
      </c>
      <c r="G2198" t="str">
        <f t="shared" si="151"/>
        <v>15-K06-04</v>
      </c>
      <c r="H2198">
        <v>0.27479999999999999</v>
      </c>
      <c r="J2198" t="s">
        <v>59</v>
      </c>
      <c r="K2198" t="str">
        <f t="shared" si="152"/>
        <v>3F4</v>
      </c>
      <c r="L2198" t="s">
        <v>15</v>
      </c>
    </row>
    <row r="2199" spans="1:12" x14ac:dyDescent="0.25">
      <c r="A2199" t="str">
        <f>"2152020090"</f>
        <v>2152020090</v>
      </c>
      <c r="B2199" t="str">
        <f t="shared" si="148"/>
        <v>89301000</v>
      </c>
      <c r="C2199" s="1">
        <v>44229</v>
      </c>
      <c r="D2199" s="1">
        <v>44232</v>
      </c>
      <c r="E2199">
        <v>1</v>
      </c>
      <c r="F2199" t="s">
        <v>1261</v>
      </c>
      <c r="G2199" t="str">
        <f t="shared" si="151"/>
        <v>15-K06-04</v>
      </c>
      <c r="H2199">
        <v>0.27479999999999999</v>
      </c>
      <c r="I2199" t="s">
        <v>1446</v>
      </c>
      <c r="J2199" t="s">
        <v>59</v>
      </c>
      <c r="K2199" t="str">
        <f t="shared" si="152"/>
        <v>3F4</v>
      </c>
      <c r="L2199" t="s">
        <v>15</v>
      </c>
    </row>
    <row r="2200" spans="1:12" x14ac:dyDescent="0.25">
      <c r="A2200" t="str">
        <f>"2152020101"</f>
        <v>2152020101</v>
      </c>
      <c r="B2200" t="str">
        <f t="shared" si="148"/>
        <v>89301000</v>
      </c>
      <c r="C2200" s="1">
        <v>44229</v>
      </c>
      <c r="D2200" s="1">
        <v>44231</v>
      </c>
      <c r="E2200">
        <v>1</v>
      </c>
      <c r="F2200" t="s">
        <v>1261</v>
      </c>
      <c r="G2200" t="str">
        <f t="shared" si="151"/>
        <v>15-K06-04</v>
      </c>
      <c r="H2200">
        <v>0.27479999999999999</v>
      </c>
      <c r="J2200" t="s">
        <v>59</v>
      </c>
      <c r="K2200" t="str">
        <f t="shared" si="152"/>
        <v>3F4</v>
      </c>
      <c r="L2200" t="s">
        <v>15</v>
      </c>
    </row>
    <row r="2201" spans="1:12" x14ac:dyDescent="0.25">
      <c r="A2201" t="str">
        <f>"2152020717"</f>
        <v>2152020717</v>
      </c>
      <c r="B2201" t="str">
        <f t="shared" si="148"/>
        <v>89301000</v>
      </c>
      <c r="C2201" s="1">
        <v>44229</v>
      </c>
      <c r="D2201" s="1">
        <v>44231</v>
      </c>
      <c r="E2201">
        <v>1</v>
      </c>
      <c r="F2201" t="s">
        <v>1261</v>
      </c>
      <c r="G2201" t="str">
        <f t="shared" si="151"/>
        <v>15-K06-04</v>
      </c>
      <c r="H2201">
        <v>0.27479999999999999</v>
      </c>
      <c r="J2201" t="s">
        <v>59</v>
      </c>
      <c r="K2201" t="str">
        <f t="shared" si="152"/>
        <v>3F4</v>
      </c>
      <c r="L2201" t="s">
        <v>15</v>
      </c>
    </row>
    <row r="2202" spans="1:12" x14ac:dyDescent="0.25">
      <c r="A2202" t="str">
        <f>"2152030133"</f>
        <v>2152030133</v>
      </c>
      <c r="B2202" t="str">
        <f t="shared" si="148"/>
        <v>89301000</v>
      </c>
      <c r="C2202" s="1">
        <v>44230</v>
      </c>
      <c r="D2202" s="1">
        <v>44231</v>
      </c>
      <c r="E2202">
        <v>1</v>
      </c>
      <c r="F2202" t="s">
        <v>1261</v>
      </c>
      <c r="G2202" t="str">
        <f t="shared" si="151"/>
        <v>15-K06-04</v>
      </c>
      <c r="H2202">
        <v>0.27479999999999999</v>
      </c>
      <c r="I2202" t="s">
        <v>1286</v>
      </c>
      <c r="J2202" t="s">
        <v>59</v>
      </c>
      <c r="K2202" t="str">
        <f t="shared" si="152"/>
        <v>3F4</v>
      </c>
      <c r="L2202" t="s">
        <v>15</v>
      </c>
    </row>
    <row r="2203" spans="1:12" x14ac:dyDescent="0.25">
      <c r="A2203" t="str">
        <f>"2152030881"</f>
        <v>2152030881</v>
      </c>
      <c r="B2203" t="str">
        <f t="shared" si="148"/>
        <v>89301000</v>
      </c>
      <c r="C2203" s="1">
        <v>44230</v>
      </c>
      <c r="D2203" s="1">
        <v>44232</v>
      </c>
      <c r="E2203">
        <v>1</v>
      </c>
      <c r="F2203" t="s">
        <v>1261</v>
      </c>
      <c r="G2203" t="str">
        <f t="shared" si="151"/>
        <v>15-K06-04</v>
      </c>
      <c r="H2203">
        <v>0.27479999999999999</v>
      </c>
      <c r="I2203" t="s">
        <v>1447</v>
      </c>
      <c r="J2203" t="s">
        <v>59</v>
      </c>
      <c r="K2203" t="str">
        <f t="shared" si="152"/>
        <v>3F4</v>
      </c>
      <c r="L2203" t="s">
        <v>15</v>
      </c>
    </row>
    <row r="2204" spans="1:12" x14ac:dyDescent="0.25">
      <c r="A2204" t="str">
        <f>"2152030947"</f>
        <v>2152030947</v>
      </c>
      <c r="B2204" t="str">
        <f t="shared" si="148"/>
        <v>89301000</v>
      </c>
      <c r="C2204" s="1">
        <v>44230</v>
      </c>
      <c r="D2204" s="1">
        <v>44233</v>
      </c>
      <c r="E2204">
        <v>1</v>
      </c>
      <c r="F2204" t="s">
        <v>1261</v>
      </c>
      <c r="G2204" t="str">
        <f t="shared" si="151"/>
        <v>15-K06-04</v>
      </c>
      <c r="H2204">
        <v>0.27479999999999999</v>
      </c>
      <c r="J2204" t="s">
        <v>59</v>
      </c>
      <c r="K2204" t="str">
        <f t="shared" si="152"/>
        <v>3F4</v>
      </c>
      <c r="L2204" t="s">
        <v>15</v>
      </c>
    </row>
    <row r="2205" spans="1:12" x14ac:dyDescent="0.25">
      <c r="A2205" t="str">
        <f>"2152050109"</f>
        <v>2152050109</v>
      </c>
      <c r="B2205" t="str">
        <f t="shared" si="148"/>
        <v>89301000</v>
      </c>
      <c r="C2205" s="1">
        <v>44232</v>
      </c>
      <c r="D2205" s="1">
        <v>44235</v>
      </c>
      <c r="E2205">
        <v>1</v>
      </c>
      <c r="F2205" t="s">
        <v>1261</v>
      </c>
      <c r="G2205" t="str">
        <f t="shared" si="151"/>
        <v>15-K06-04</v>
      </c>
      <c r="H2205">
        <v>0.27479999999999999</v>
      </c>
      <c r="I2205" t="s">
        <v>1448</v>
      </c>
      <c r="J2205" t="s">
        <v>59</v>
      </c>
      <c r="K2205" t="str">
        <f t="shared" si="152"/>
        <v>3F4</v>
      </c>
      <c r="L2205" t="s">
        <v>15</v>
      </c>
    </row>
    <row r="2206" spans="1:12" x14ac:dyDescent="0.25">
      <c r="A2206" t="str">
        <f>"2152050648"</f>
        <v>2152050648</v>
      </c>
      <c r="B2206" t="str">
        <f t="shared" si="148"/>
        <v>89301000</v>
      </c>
      <c r="C2206" s="1">
        <v>44232</v>
      </c>
      <c r="D2206" s="1">
        <v>44236</v>
      </c>
      <c r="E2206">
        <v>1</v>
      </c>
      <c r="F2206" t="s">
        <v>1261</v>
      </c>
      <c r="G2206" t="str">
        <f t="shared" si="151"/>
        <v>15-K06-04</v>
      </c>
      <c r="H2206">
        <v>0.27479999999999999</v>
      </c>
      <c r="I2206" t="s">
        <v>504</v>
      </c>
      <c r="J2206" t="s">
        <v>59</v>
      </c>
      <c r="K2206" t="str">
        <f t="shared" si="152"/>
        <v>3F4</v>
      </c>
      <c r="L2206" t="s">
        <v>15</v>
      </c>
    </row>
    <row r="2207" spans="1:12" x14ac:dyDescent="0.25">
      <c r="A2207" t="str">
        <f>"2152050648"</f>
        <v>2152050648</v>
      </c>
      <c r="B2207" t="str">
        <f t="shared" si="148"/>
        <v>89301000</v>
      </c>
      <c r="C2207" s="1">
        <v>44483</v>
      </c>
      <c r="D2207" s="1">
        <v>44485</v>
      </c>
      <c r="E2207">
        <v>1</v>
      </c>
      <c r="F2207" t="s">
        <v>720</v>
      </c>
      <c r="G2207" t="str">
        <f>"06-K02-04"</f>
        <v>06-K02-04</v>
      </c>
      <c r="H2207">
        <v>0.3634</v>
      </c>
      <c r="I2207" t="s">
        <v>552</v>
      </c>
      <c r="J2207" t="s">
        <v>14</v>
      </c>
      <c r="K2207" t="str">
        <f>"3F1"</f>
        <v>3F1</v>
      </c>
      <c r="L2207" t="s">
        <v>15</v>
      </c>
    </row>
    <row r="2208" spans="1:12" x14ac:dyDescent="0.25">
      <c r="A2208" t="str">
        <f>"2152050692"</f>
        <v>2152050692</v>
      </c>
      <c r="B2208" t="str">
        <f t="shared" si="148"/>
        <v>89301000</v>
      </c>
      <c r="C2208" s="1">
        <v>44232</v>
      </c>
      <c r="D2208" s="1">
        <v>44235</v>
      </c>
      <c r="E2208">
        <v>1</v>
      </c>
      <c r="F2208" t="s">
        <v>1261</v>
      </c>
      <c r="G2208" t="str">
        <f>"15-K06-04"</f>
        <v>15-K06-04</v>
      </c>
      <c r="H2208">
        <v>0.27479999999999999</v>
      </c>
      <c r="J2208" t="s">
        <v>59</v>
      </c>
      <c r="K2208" t="str">
        <f t="shared" ref="K2208:K2216" si="153">"3F4"</f>
        <v>3F4</v>
      </c>
      <c r="L2208" t="s">
        <v>15</v>
      </c>
    </row>
    <row r="2209" spans="1:12" x14ac:dyDescent="0.25">
      <c r="A2209" t="str">
        <f>"2152080491"</f>
        <v>2152080491</v>
      </c>
      <c r="B2209" t="str">
        <f t="shared" si="148"/>
        <v>89301000</v>
      </c>
      <c r="C2209" s="1">
        <v>44235</v>
      </c>
      <c r="D2209" s="1">
        <v>44238</v>
      </c>
      <c r="E2209">
        <v>1</v>
      </c>
      <c r="F2209" t="s">
        <v>1261</v>
      </c>
      <c r="G2209" t="str">
        <f>"15-K06-04"</f>
        <v>15-K06-04</v>
      </c>
      <c r="H2209">
        <v>0.27479999999999999</v>
      </c>
      <c r="I2209" t="s">
        <v>1449</v>
      </c>
      <c r="J2209" t="s">
        <v>59</v>
      </c>
      <c r="K2209" t="str">
        <f t="shared" si="153"/>
        <v>3F4</v>
      </c>
      <c r="L2209" t="s">
        <v>15</v>
      </c>
    </row>
    <row r="2210" spans="1:12" x14ac:dyDescent="0.25">
      <c r="A2210" t="str">
        <f>"2152090534"</f>
        <v>2152090534</v>
      </c>
      <c r="B2210" t="str">
        <f t="shared" si="148"/>
        <v>89301000</v>
      </c>
      <c r="C2210" s="1">
        <v>44236</v>
      </c>
      <c r="D2210" s="1">
        <v>44240</v>
      </c>
      <c r="E2210">
        <v>1</v>
      </c>
      <c r="F2210" t="s">
        <v>1261</v>
      </c>
      <c r="G2210" t="str">
        <f>"15-K06-04"</f>
        <v>15-K06-04</v>
      </c>
      <c r="H2210">
        <v>0.27479999999999999</v>
      </c>
      <c r="J2210" t="s">
        <v>59</v>
      </c>
      <c r="K2210" t="str">
        <f t="shared" si="153"/>
        <v>3F4</v>
      </c>
      <c r="L2210" t="s">
        <v>15</v>
      </c>
    </row>
    <row r="2211" spans="1:12" x14ac:dyDescent="0.25">
      <c r="A2211" t="str">
        <f>"2152090545"</f>
        <v>2152090545</v>
      </c>
      <c r="B2211" t="str">
        <f t="shared" si="148"/>
        <v>89301000</v>
      </c>
      <c r="C2211" s="1">
        <v>44236</v>
      </c>
      <c r="D2211" s="1">
        <v>44295</v>
      </c>
      <c r="E2211">
        <v>1</v>
      </c>
      <c r="F2211" t="s">
        <v>1338</v>
      </c>
      <c r="G2211" t="str">
        <f>"15-M01-05"</f>
        <v>15-M01-05</v>
      </c>
      <c r="H2211">
        <v>16.0642</v>
      </c>
      <c r="I2211" t="s">
        <v>1450</v>
      </c>
      <c r="J2211" t="s">
        <v>1212</v>
      </c>
      <c r="K2211" t="str">
        <f t="shared" si="153"/>
        <v>3F4</v>
      </c>
      <c r="L2211" t="s">
        <v>15</v>
      </c>
    </row>
    <row r="2212" spans="1:12" x14ac:dyDescent="0.25">
      <c r="A2212" t="str">
        <f>"2152090556"</f>
        <v>2152090556</v>
      </c>
      <c r="B2212" t="str">
        <f t="shared" si="148"/>
        <v>89301000</v>
      </c>
      <c r="C2212" s="1">
        <v>44236</v>
      </c>
      <c r="D2212" s="1">
        <v>44239</v>
      </c>
      <c r="E2212">
        <v>1</v>
      </c>
      <c r="F2212" t="s">
        <v>1261</v>
      </c>
      <c r="G2212" t="str">
        <f>"15-K06-04"</f>
        <v>15-K06-04</v>
      </c>
      <c r="H2212">
        <v>0.27479999999999999</v>
      </c>
      <c r="J2212" t="s">
        <v>59</v>
      </c>
      <c r="K2212" t="str">
        <f t="shared" si="153"/>
        <v>3F4</v>
      </c>
      <c r="L2212" t="s">
        <v>15</v>
      </c>
    </row>
    <row r="2213" spans="1:12" x14ac:dyDescent="0.25">
      <c r="A2213" t="str">
        <f>"2152100137"</f>
        <v>2152100137</v>
      </c>
      <c r="B2213" t="str">
        <f t="shared" si="148"/>
        <v>89301000</v>
      </c>
      <c r="C2213" s="1">
        <v>44237</v>
      </c>
      <c r="D2213" s="1">
        <v>44240</v>
      </c>
      <c r="E2213">
        <v>1</v>
      </c>
      <c r="F2213" t="s">
        <v>1261</v>
      </c>
      <c r="G2213" t="str">
        <f>"15-K06-04"</f>
        <v>15-K06-04</v>
      </c>
      <c r="H2213">
        <v>0.27479999999999999</v>
      </c>
      <c r="J2213" t="s">
        <v>59</v>
      </c>
      <c r="K2213" t="str">
        <f t="shared" si="153"/>
        <v>3F4</v>
      </c>
      <c r="L2213" t="s">
        <v>15</v>
      </c>
    </row>
    <row r="2214" spans="1:12" x14ac:dyDescent="0.25">
      <c r="A2214" t="str">
        <f>"2152100610"</f>
        <v>2152100610</v>
      </c>
      <c r="B2214" t="str">
        <f t="shared" si="148"/>
        <v>89301000</v>
      </c>
      <c r="C2214" s="1">
        <v>44237</v>
      </c>
      <c r="D2214" s="1">
        <v>44240</v>
      </c>
      <c r="E2214">
        <v>1</v>
      </c>
      <c r="F2214" t="s">
        <v>1261</v>
      </c>
      <c r="G2214" t="str">
        <f>"15-K06-04"</f>
        <v>15-K06-04</v>
      </c>
      <c r="H2214">
        <v>0.27479999999999999</v>
      </c>
      <c r="J2214" t="s">
        <v>59</v>
      </c>
      <c r="K2214" t="str">
        <f t="shared" si="153"/>
        <v>3F4</v>
      </c>
      <c r="L2214" t="s">
        <v>15</v>
      </c>
    </row>
    <row r="2215" spans="1:12" x14ac:dyDescent="0.25">
      <c r="A2215" t="str">
        <f>"2152111016"</f>
        <v>2152111016</v>
      </c>
      <c r="B2215" t="str">
        <f t="shared" si="148"/>
        <v>89301000</v>
      </c>
      <c r="C2215" s="1">
        <v>44238</v>
      </c>
      <c r="D2215" s="1">
        <v>44241</v>
      </c>
      <c r="E2215">
        <v>1</v>
      </c>
      <c r="F2215" t="s">
        <v>1261</v>
      </c>
      <c r="G2215" t="str">
        <f>"15-K06-04"</f>
        <v>15-K06-04</v>
      </c>
      <c r="H2215">
        <v>0.27479999999999999</v>
      </c>
      <c r="J2215" t="s">
        <v>59</v>
      </c>
      <c r="K2215" t="str">
        <f t="shared" si="153"/>
        <v>3F4</v>
      </c>
      <c r="L2215" t="s">
        <v>15</v>
      </c>
    </row>
    <row r="2216" spans="1:12" x14ac:dyDescent="0.25">
      <c r="A2216" t="str">
        <f>"2152120674"</f>
        <v>2152120674</v>
      </c>
      <c r="B2216" t="str">
        <f t="shared" si="148"/>
        <v>89301000</v>
      </c>
      <c r="C2216" s="1">
        <v>44239</v>
      </c>
      <c r="D2216" s="1">
        <v>44243</v>
      </c>
      <c r="E2216">
        <v>1</v>
      </c>
      <c r="F2216" t="s">
        <v>1261</v>
      </c>
      <c r="G2216" t="str">
        <f>"15-K06-04"</f>
        <v>15-K06-04</v>
      </c>
      <c r="H2216">
        <v>0.27479999999999999</v>
      </c>
      <c r="I2216" t="s">
        <v>1221</v>
      </c>
      <c r="J2216" t="s">
        <v>59</v>
      </c>
      <c r="K2216" t="str">
        <f t="shared" si="153"/>
        <v>3F4</v>
      </c>
      <c r="L2216" t="s">
        <v>15</v>
      </c>
    </row>
    <row r="2217" spans="1:12" x14ac:dyDescent="0.25">
      <c r="A2217" t="str">
        <f>"2152120674"</f>
        <v>2152120674</v>
      </c>
      <c r="B2217" t="str">
        <f t="shared" ref="B2217:B2280" si="154">"89301000"</f>
        <v>89301000</v>
      </c>
      <c r="C2217" s="1">
        <v>44251</v>
      </c>
      <c r="D2217" s="1">
        <v>44254</v>
      </c>
      <c r="E2217">
        <v>1</v>
      </c>
      <c r="F2217" t="s">
        <v>1278</v>
      </c>
      <c r="G2217" t="str">
        <f>"15-K07-03"</f>
        <v>15-K07-03</v>
      </c>
      <c r="H2217">
        <v>0.53959999999999997</v>
      </c>
      <c r="I2217" t="s">
        <v>168</v>
      </c>
      <c r="J2217" t="s">
        <v>59</v>
      </c>
      <c r="K2217" t="str">
        <f>"3F1"</f>
        <v>3F1</v>
      </c>
      <c r="L2217" t="s">
        <v>15</v>
      </c>
    </row>
    <row r="2218" spans="1:12" x14ac:dyDescent="0.25">
      <c r="A2218" t="str">
        <f>"2152130244"</f>
        <v>2152130244</v>
      </c>
      <c r="B2218" t="str">
        <f t="shared" si="154"/>
        <v>89301000</v>
      </c>
      <c r="C2218" s="1">
        <v>44240</v>
      </c>
      <c r="D2218" s="1">
        <v>44242</v>
      </c>
      <c r="E2218">
        <v>1</v>
      </c>
      <c r="F2218" t="s">
        <v>1261</v>
      </c>
      <c r="G2218" t="str">
        <f>"15-K06-04"</f>
        <v>15-K06-04</v>
      </c>
      <c r="H2218">
        <v>0.27479999999999999</v>
      </c>
      <c r="J2218" t="s">
        <v>59</v>
      </c>
      <c r="K2218" t="str">
        <f>"3F4"</f>
        <v>3F4</v>
      </c>
      <c r="L2218" t="s">
        <v>15</v>
      </c>
    </row>
    <row r="2219" spans="1:12" x14ac:dyDescent="0.25">
      <c r="A2219" t="str">
        <f>"2152140111"</f>
        <v>2152140111</v>
      </c>
      <c r="B2219" t="str">
        <f t="shared" si="154"/>
        <v>89301000</v>
      </c>
      <c r="C2219" s="1">
        <v>44333</v>
      </c>
      <c r="D2219" s="1">
        <v>44336</v>
      </c>
      <c r="E2219">
        <v>6</v>
      </c>
      <c r="F2219" t="s">
        <v>1451</v>
      </c>
      <c r="G2219" t="str">
        <f>"18-K02-05"</f>
        <v>18-K02-05</v>
      </c>
      <c r="H2219">
        <v>0.49220000000000003</v>
      </c>
      <c r="I2219" t="s">
        <v>168</v>
      </c>
      <c r="J2219" t="s">
        <v>14</v>
      </c>
      <c r="K2219" t="str">
        <f>"3T1"</f>
        <v>3T1</v>
      </c>
      <c r="L2219" t="s">
        <v>15</v>
      </c>
    </row>
    <row r="2220" spans="1:12" x14ac:dyDescent="0.25">
      <c r="A2220" t="str">
        <f>"2152140331"</f>
        <v>2152140331</v>
      </c>
      <c r="B2220" t="str">
        <f t="shared" si="154"/>
        <v>89301000</v>
      </c>
      <c r="C2220" s="1">
        <v>44241</v>
      </c>
      <c r="D2220" s="1">
        <v>44247</v>
      </c>
      <c r="E2220">
        <v>1</v>
      </c>
      <c r="F2220" t="s">
        <v>1261</v>
      </c>
      <c r="G2220" t="str">
        <f>"15-K06-01"</f>
        <v>15-K06-01</v>
      </c>
      <c r="H2220">
        <v>1.1248</v>
      </c>
      <c r="I2220" t="s">
        <v>1452</v>
      </c>
      <c r="J2220" t="s">
        <v>59</v>
      </c>
      <c r="K2220" t="str">
        <f>"3F4"</f>
        <v>3F4</v>
      </c>
      <c r="L2220" t="s">
        <v>15</v>
      </c>
    </row>
    <row r="2221" spans="1:12" x14ac:dyDescent="0.25">
      <c r="A2221" t="str">
        <f>"2152150495"</f>
        <v>2152150495</v>
      </c>
      <c r="B2221" t="str">
        <f t="shared" si="154"/>
        <v>89301000</v>
      </c>
      <c r="C2221" s="1">
        <v>44242</v>
      </c>
      <c r="D2221" s="1">
        <v>44246</v>
      </c>
      <c r="E2221">
        <v>1</v>
      </c>
      <c r="F2221" t="s">
        <v>1261</v>
      </c>
      <c r="G2221" t="str">
        <f>"15-K05-03"</f>
        <v>15-K05-03</v>
      </c>
      <c r="H2221">
        <v>0.62380000000000002</v>
      </c>
      <c r="I2221" t="s">
        <v>1453</v>
      </c>
      <c r="J2221" t="s">
        <v>1212</v>
      </c>
      <c r="K2221" t="str">
        <f>"3F4"</f>
        <v>3F4</v>
      </c>
      <c r="L2221" t="s">
        <v>15</v>
      </c>
    </row>
    <row r="2222" spans="1:12" x14ac:dyDescent="0.25">
      <c r="A2222" t="str">
        <f>"2152150506"</f>
        <v>2152150506</v>
      </c>
      <c r="B2222" t="str">
        <f t="shared" si="154"/>
        <v>89301000</v>
      </c>
      <c r="C2222" s="1">
        <v>44242</v>
      </c>
      <c r="D2222" s="1">
        <v>44245</v>
      </c>
      <c r="E2222">
        <v>1</v>
      </c>
      <c r="F2222" t="s">
        <v>1261</v>
      </c>
      <c r="G2222" t="str">
        <f>"15-K06-04"</f>
        <v>15-K06-04</v>
      </c>
      <c r="H2222">
        <v>0.27479999999999999</v>
      </c>
      <c r="J2222" t="s">
        <v>59</v>
      </c>
      <c r="K2222" t="str">
        <f>"3F4"</f>
        <v>3F4</v>
      </c>
      <c r="L2222" t="s">
        <v>15</v>
      </c>
    </row>
    <row r="2223" spans="1:12" x14ac:dyDescent="0.25">
      <c r="A2223" t="str">
        <f>"2152160043"</f>
        <v>2152160043</v>
      </c>
      <c r="B2223" t="str">
        <f t="shared" si="154"/>
        <v>89301000</v>
      </c>
      <c r="C2223" s="1">
        <v>44243</v>
      </c>
      <c r="D2223" s="1">
        <v>44246</v>
      </c>
      <c r="E2223">
        <v>1</v>
      </c>
      <c r="F2223" t="s">
        <v>1261</v>
      </c>
      <c r="G2223" t="str">
        <f>"15-K06-04"</f>
        <v>15-K06-04</v>
      </c>
      <c r="H2223">
        <v>0.27479999999999999</v>
      </c>
      <c r="J2223" t="s">
        <v>59</v>
      </c>
      <c r="K2223" t="str">
        <f>"3F4"</f>
        <v>3F4</v>
      </c>
      <c r="L2223" t="s">
        <v>15</v>
      </c>
    </row>
    <row r="2224" spans="1:12" x14ac:dyDescent="0.25">
      <c r="A2224" t="str">
        <f>"2152160164"</f>
        <v>2152160164</v>
      </c>
      <c r="B2224" t="str">
        <f t="shared" si="154"/>
        <v>89301000</v>
      </c>
      <c r="C2224" s="1">
        <v>44466</v>
      </c>
      <c r="D2224" s="1">
        <v>44473</v>
      </c>
      <c r="E2224">
        <v>1</v>
      </c>
      <c r="F2224" t="s">
        <v>1310</v>
      </c>
      <c r="G2224" t="str">
        <f>"04-K03-01"</f>
        <v>04-K03-01</v>
      </c>
      <c r="H2224">
        <v>1.1687000000000001</v>
      </c>
      <c r="I2224" t="s">
        <v>1454</v>
      </c>
      <c r="J2224" t="s">
        <v>14</v>
      </c>
      <c r="K2224" t="str">
        <f>"3F1"</f>
        <v>3F1</v>
      </c>
      <c r="L2224" t="s">
        <v>15</v>
      </c>
    </row>
    <row r="2225" spans="1:12" x14ac:dyDescent="0.25">
      <c r="A2225" t="str">
        <f>"2152160626"</f>
        <v>2152160626</v>
      </c>
      <c r="B2225" t="str">
        <f t="shared" si="154"/>
        <v>89301000</v>
      </c>
      <c r="C2225" s="1">
        <v>44243</v>
      </c>
      <c r="D2225" s="1">
        <v>44246</v>
      </c>
      <c r="E2225">
        <v>1</v>
      </c>
      <c r="F2225" t="s">
        <v>1261</v>
      </c>
      <c r="G2225" t="str">
        <f>"15-K06-04"</f>
        <v>15-K06-04</v>
      </c>
      <c r="H2225">
        <v>0.27479999999999999</v>
      </c>
      <c r="I2225" t="s">
        <v>1455</v>
      </c>
      <c r="J2225" t="s">
        <v>59</v>
      </c>
      <c r="K2225" t="str">
        <f t="shared" ref="K2225:K2230" si="155">"3F4"</f>
        <v>3F4</v>
      </c>
      <c r="L2225" t="s">
        <v>15</v>
      </c>
    </row>
    <row r="2226" spans="1:12" x14ac:dyDescent="0.25">
      <c r="A2226" t="str">
        <f>"2152170614"</f>
        <v>2152170614</v>
      </c>
      <c r="B2226" t="str">
        <f t="shared" si="154"/>
        <v>89301000</v>
      </c>
      <c r="C2226" s="1">
        <v>44244</v>
      </c>
      <c r="D2226" s="1">
        <v>44248</v>
      </c>
      <c r="E2226">
        <v>1</v>
      </c>
      <c r="F2226" t="s">
        <v>1261</v>
      </c>
      <c r="G2226" t="str">
        <f>"15-K06-04"</f>
        <v>15-K06-04</v>
      </c>
      <c r="H2226">
        <v>0.27479999999999999</v>
      </c>
      <c r="I2226" t="s">
        <v>1440</v>
      </c>
      <c r="J2226" t="s">
        <v>59</v>
      </c>
      <c r="K2226" t="str">
        <f t="shared" si="155"/>
        <v>3F4</v>
      </c>
      <c r="L2226" t="s">
        <v>15</v>
      </c>
    </row>
    <row r="2227" spans="1:12" x14ac:dyDescent="0.25">
      <c r="A2227" t="str">
        <f>"2152190634"</f>
        <v>2152190634</v>
      </c>
      <c r="B2227" t="str">
        <f t="shared" si="154"/>
        <v>89301000</v>
      </c>
      <c r="C2227" s="1">
        <v>44246</v>
      </c>
      <c r="D2227" s="1">
        <v>44248</v>
      </c>
      <c r="E2227">
        <v>1</v>
      </c>
      <c r="F2227" t="s">
        <v>1261</v>
      </c>
      <c r="G2227" t="str">
        <f>"15-K06-04"</f>
        <v>15-K06-04</v>
      </c>
      <c r="H2227">
        <v>0.27479999999999999</v>
      </c>
      <c r="I2227" t="s">
        <v>1455</v>
      </c>
      <c r="J2227" t="s">
        <v>59</v>
      </c>
      <c r="K2227" t="str">
        <f t="shared" si="155"/>
        <v>3F4</v>
      </c>
      <c r="L2227" t="s">
        <v>15</v>
      </c>
    </row>
    <row r="2228" spans="1:12" x14ac:dyDescent="0.25">
      <c r="A2228" t="str">
        <f>"2152200380"</f>
        <v>2152200380</v>
      </c>
      <c r="B2228" t="str">
        <f t="shared" si="154"/>
        <v>89301000</v>
      </c>
      <c r="C2228" s="1">
        <v>44247</v>
      </c>
      <c r="D2228" s="1">
        <v>44249</v>
      </c>
      <c r="E2228">
        <v>1</v>
      </c>
      <c r="F2228" t="s">
        <v>1261</v>
      </c>
      <c r="G2228" t="str">
        <f>"15-K06-04"</f>
        <v>15-K06-04</v>
      </c>
      <c r="H2228">
        <v>0.27479999999999999</v>
      </c>
      <c r="J2228" t="s">
        <v>59</v>
      </c>
      <c r="K2228" t="str">
        <f t="shared" si="155"/>
        <v>3F4</v>
      </c>
      <c r="L2228" t="s">
        <v>15</v>
      </c>
    </row>
    <row r="2229" spans="1:12" x14ac:dyDescent="0.25">
      <c r="A2229" t="str">
        <f>"2152200391"</f>
        <v>2152200391</v>
      </c>
      <c r="B2229" t="str">
        <f t="shared" si="154"/>
        <v>89301000</v>
      </c>
      <c r="C2229" s="1">
        <v>44247</v>
      </c>
      <c r="D2229" s="1">
        <v>44249</v>
      </c>
      <c r="E2229">
        <v>1</v>
      </c>
      <c r="F2229" t="s">
        <v>1261</v>
      </c>
      <c r="G2229" t="str">
        <f>"15-K06-04"</f>
        <v>15-K06-04</v>
      </c>
      <c r="H2229">
        <v>0.27479999999999999</v>
      </c>
      <c r="J2229" t="s">
        <v>59</v>
      </c>
      <c r="K2229" t="str">
        <f t="shared" si="155"/>
        <v>3F4</v>
      </c>
      <c r="L2229" t="s">
        <v>15</v>
      </c>
    </row>
    <row r="2230" spans="1:12" x14ac:dyDescent="0.25">
      <c r="A2230" t="str">
        <f>"2152210390"</f>
        <v>2152210390</v>
      </c>
      <c r="B2230" t="str">
        <f t="shared" si="154"/>
        <v>89301000</v>
      </c>
      <c r="C2230" s="1">
        <v>44248</v>
      </c>
      <c r="D2230" s="1">
        <v>44295</v>
      </c>
      <c r="E2230">
        <v>1</v>
      </c>
      <c r="F2230" t="s">
        <v>1261</v>
      </c>
      <c r="G2230" t="str">
        <f>"15-M01-12"</f>
        <v>15-M01-12</v>
      </c>
      <c r="H2230">
        <v>5.0941999999999998</v>
      </c>
      <c r="I2230" t="s">
        <v>1456</v>
      </c>
      <c r="J2230" t="s">
        <v>1212</v>
      </c>
      <c r="K2230" t="str">
        <f t="shared" si="155"/>
        <v>3F4</v>
      </c>
      <c r="L2230" t="s">
        <v>15</v>
      </c>
    </row>
    <row r="2231" spans="1:12" x14ac:dyDescent="0.25">
      <c r="A2231" t="str">
        <f>"2152220884"</f>
        <v>2152220884</v>
      </c>
      <c r="B2231" t="str">
        <f t="shared" si="154"/>
        <v>89301000</v>
      </c>
      <c r="C2231" s="1">
        <v>44508</v>
      </c>
      <c r="D2231" s="1">
        <v>44512</v>
      </c>
      <c r="E2231">
        <v>1</v>
      </c>
      <c r="F2231" t="s">
        <v>96</v>
      </c>
      <c r="G2231" t="str">
        <f>"11-K01-03"</f>
        <v>11-K01-03</v>
      </c>
      <c r="H2231">
        <v>0.59489999999999998</v>
      </c>
      <c r="I2231" t="s">
        <v>1165</v>
      </c>
      <c r="J2231" t="s">
        <v>14</v>
      </c>
      <c r="K2231" t="str">
        <f>"3F1"</f>
        <v>3F1</v>
      </c>
      <c r="L2231" t="s">
        <v>15</v>
      </c>
    </row>
    <row r="2232" spans="1:12" x14ac:dyDescent="0.25">
      <c r="A2232" t="str">
        <f>"2152220884"</f>
        <v>2152220884</v>
      </c>
      <c r="B2232" t="str">
        <f t="shared" si="154"/>
        <v>89301000</v>
      </c>
      <c r="C2232" s="1">
        <v>44249</v>
      </c>
      <c r="D2232" s="1">
        <v>44252</v>
      </c>
      <c r="E2232">
        <v>1</v>
      </c>
      <c r="F2232" t="s">
        <v>1261</v>
      </c>
      <c r="G2232" t="str">
        <f>"15-K06-04"</f>
        <v>15-K06-04</v>
      </c>
      <c r="H2232">
        <v>0.27479999999999999</v>
      </c>
      <c r="J2232" t="s">
        <v>59</v>
      </c>
      <c r="K2232" t="str">
        <f t="shared" ref="K2232:K2251" si="156">"3F4"</f>
        <v>3F4</v>
      </c>
      <c r="L2232" t="s">
        <v>15</v>
      </c>
    </row>
    <row r="2233" spans="1:12" x14ac:dyDescent="0.25">
      <c r="A2233" t="str">
        <f>"2152230608"</f>
        <v>2152230608</v>
      </c>
      <c r="B2233" t="str">
        <f t="shared" si="154"/>
        <v>89301000</v>
      </c>
      <c r="C2233" s="1">
        <v>44250</v>
      </c>
      <c r="D2233" s="1">
        <v>44254</v>
      </c>
      <c r="E2233">
        <v>1</v>
      </c>
      <c r="F2233" t="s">
        <v>1261</v>
      </c>
      <c r="G2233" t="str">
        <f>"15-K06-04"</f>
        <v>15-K06-04</v>
      </c>
      <c r="H2233">
        <v>0.27479999999999999</v>
      </c>
      <c r="I2233" t="s">
        <v>1457</v>
      </c>
      <c r="J2233" t="s">
        <v>59</v>
      </c>
      <c r="K2233" t="str">
        <f t="shared" si="156"/>
        <v>3F4</v>
      </c>
      <c r="L2233" t="s">
        <v>15</v>
      </c>
    </row>
    <row r="2234" spans="1:12" x14ac:dyDescent="0.25">
      <c r="A2234" t="str">
        <f>"2152230608"</f>
        <v>2152230608</v>
      </c>
      <c r="B2234" t="str">
        <f t="shared" si="154"/>
        <v>89301000</v>
      </c>
      <c r="C2234" s="1">
        <v>44268</v>
      </c>
      <c r="D2234" s="1">
        <v>44271</v>
      </c>
      <c r="E2234">
        <v>1</v>
      </c>
      <c r="F2234" t="s">
        <v>1262</v>
      </c>
      <c r="G2234" t="str">
        <f>"15-K07-03"</f>
        <v>15-K07-03</v>
      </c>
      <c r="H2234">
        <v>0.53959999999999997</v>
      </c>
      <c r="J2234" t="s">
        <v>59</v>
      </c>
      <c r="K2234" t="str">
        <f t="shared" si="156"/>
        <v>3F4</v>
      </c>
      <c r="L2234" t="s">
        <v>15</v>
      </c>
    </row>
    <row r="2235" spans="1:12" x14ac:dyDescent="0.25">
      <c r="A2235" t="str">
        <f>"2152230619"</f>
        <v>2152230619</v>
      </c>
      <c r="B2235" t="str">
        <f t="shared" si="154"/>
        <v>89301000</v>
      </c>
      <c r="C2235" s="1">
        <v>44250</v>
      </c>
      <c r="D2235" s="1">
        <v>44254</v>
      </c>
      <c r="E2235">
        <v>1</v>
      </c>
      <c r="F2235" t="s">
        <v>1261</v>
      </c>
      <c r="G2235" t="str">
        <f t="shared" ref="G2235:G2251" si="157">"15-K06-04"</f>
        <v>15-K06-04</v>
      </c>
      <c r="H2235">
        <v>0.27479999999999999</v>
      </c>
      <c r="I2235" t="s">
        <v>1458</v>
      </c>
      <c r="J2235" t="s">
        <v>59</v>
      </c>
      <c r="K2235" t="str">
        <f t="shared" si="156"/>
        <v>3F4</v>
      </c>
      <c r="L2235" t="s">
        <v>15</v>
      </c>
    </row>
    <row r="2236" spans="1:12" x14ac:dyDescent="0.25">
      <c r="A2236" t="str">
        <f>"2152231301"</f>
        <v>2152231301</v>
      </c>
      <c r="B2236" t="str">
        <f t="shared" si="154"/>
        <v>89301000</v>
      </c>
      <c r="C2236" s="1">
        <v>44250</v>
      </c>
      <c r="D2236" s="1">
        <v>44253</v>
      </c>
      <c r="E2236">
        <v>1</v>
      </c>
      <c r="F2236" t="s">
        <v>1261</v>
      </c>
      <c r="G2236" t="str">
        <f t="shared" si="157"/>
        <v>15-K06-04</v>
      </c>
      <c r="H2236">
        <v>0.27479999999999999</v>
      </c>
      <c r="I2236" t="s">
        <v>1304</v>
      </c>
      <c r="J2236" t="s">
        <v>59</v>
      </c>
      <c r="K2236" t="str">
        <f t="shared" si="156"/>
        <v>3F4</v>
      </c>
      <c r="L2236" t="s">
        <v>15</v>
      </c>
    </row>
    <row r="2237" spans="1:12" x14ac:dyDescent="0.25">
      <c r="A2237" t="str">
        <f>"2152240552"</f>
        <v>2152240552</v>
      </c>
      <c r="B2237" t="str">
        <f t="shared" si="154"/>
        <v>89301000</v>
      </c>
      <c r="C2237" s="1">
        <v>44251</v>
      </c>
      <c r="D2237" s="1">
        <v>44251</v>
      </c>
      <c r="E2237">
        <v>1</v>
      </c>
      <c r="F2237" t="s">
        <v>1261</v>
      </c>
      <c r="G2237" t="str">
        <f t="shared" si="157"/>
        <v>15-K06-04</v>
      </c>
      <c r="H2237">
        <v>0.13739999999999999</v>
      </c>
      <c r="I2237" t="s">
        <v>1269</v>
      </c>
      <c r="J2237" t="s">
        <v>59</v>
      </c>
      <c r="K2237" t="str">
        <f t="shared" si="156"/>
        <v>3F4</v>
      </c>
      <c r="L2237" t="s">
        <v>15</v>
      </c>
    </row>
    <row r="2238" spans="1:12" x14ac:dyDescent="0.25">
      <c r="A2238" t="str">
        <f>"2152240574"</f>
        <v>2152240574</v>
      </c>
      <c r="B2238" t="str">
        <f t="shared" si="154"/>
        <v>89301000</v>
      </c>
      <c r="C2238" s="1">
        <v>44251</v>
      </c>
      <c r="D2238" s="1">
        <v>44254</v>
      </c>
      <c r="E2238">
        <v>1</v>
      </c>
      <c r="F2238" t="s">
        <v>1261</v>
      </c>
      <c r="G2238" t="str">
        <f t="shared" si="157"/>
        <v>15-K06-04</v>
      </c>
      <c r="H2238">
        <v>0.27479999999999999</v>
      </c>
      <c r="J2238" t="s">
        <v>59</v>
      </c>
      <c r="K2238" t="str">
        <f t="shared" si="156"/>
        <v>3F4</v>
      </c>
      <c r="L2238" t="s">
        <v>15</v>
      </c>
    </row>
    <row r="2239" spans="1:12" x14ac:dyDescent="0.25">
      <c r="A2239" t="str">
        <f>"2152250716"</f>
        <v>2152250716</v>
      </c>
      <c r="B2239" t="str">
        <f t="shared" si="154"/>
        <v>89301000</v>
      </c>
      <c r="C2239" s="1">
        <v>44252</v>
      </c>
      <c r="D2239" s="1">
        <v>44254</v>
      </c>
      <c r="E2239">
        <v>1</v>
      </c>
      <c r="F2239" t="s">
        <v>1261</v>
      </c>
      <c r="G2239" t="str">
        <f t="shared" si="157"/>
        <v>15-K06-04</v>
      </c>
      <c r="H2239">
        <v>0.27479999999999999</v>
      </c>
      <c r="J2239" t="s">
        <v>59</v>
      </c>
      <c r="K2239" t="str">
        <f t="shared" si="156"/>
        <v>3F4</v>
      </c>
      <c r="L2239" t="s">
        <v>15</v>
      </c>
    </row>
    <row r="2240" spans="1:12" x14ac:dyDescent="0.25">
      <c r="A2240" t="str">
        <f>"2152260528"</f>
        <v>2152260528</v>
      </c>
      <c r="B2240" t="str">
        <f t="shared" si="154"/>
        <v>89301000</v>
      </c>
      <c r="C2240" s="1">
        <v>44253</v>
      </c>
      <c r="D2240" s="1">
        <v>44254</v>
      </c>
      <c r="E2240">
        <v>1</v>
      </c>
      <c r="F2240" t="s">
        <v>1261</v>
      </c>
      <c r="G2240" t="str">
        <f t="shared" si="157"/>
        <v>15-K06-04</v>
      </c>
      <c r="H2240">
        <v>0.27479999999999999</v>
      </c>
      <c r="J2240" t="s">
        <v>59</v>
      </c>
      <c r="K2240" t="str">
        <f t="shared" si="156"/>
        <v>3F4</v>
      </c>
      <c r="L2240" t="s">
        <v>15</v>
      </c>
    </row>
    <row r="2241" spans="1:12" x14ac:dyDescent="0.25">
      <c r="A2241" t="str">
        <f>"2152260539"</f>
        <v>2152260539</v>
      </c>
      <c r="B2241" t="str">
        <f t="shared" si="154"/>
        <v>89301000</v>
      </c>
      <c r="C2241" s="1">
        <v>44253</v>
      </c>
      <c r="D2241" s="1">
        <v>44256</v>
      </c>
      <c r="E2241">
        <v>1</v>
      </c>
      <c r="F2241" t="s">
        <v>1261</v>
      </c>
      <c r="G2241" t="str">
        <f t="shared" si="157"/>
        <v>15-K06-04</v>
      </c>
      <c r="H2241">
        <v>0.27479999999999999</v>
      </c>
      <c r="J2241" t="s">
        <v>59</v>
      </c>
      <c r="K2241" t="str">
        <f t="shared" si="156"/>
        <v>3F4</v>
      </c>
      <c r="L2241" t="s">
        <v>15</v>
      </c>
    </row>
    <row r="2242" spans="1:12" x14ac:dyDescent="0.25">
      <c r="A2242" t="str">
        <f>"2152260550"</f>
        <v>2152260550</v>
      </c>
      <c r="B2242" t="str">
        <f t="shared" si="154"/>
        <v>89301000</v>
      </c>
      <c r="C2242" s="1">
        <v>44253</v>
      </c>
      <c r="D2242" s="1">
        <v>44256</v>
      </c>
      <c r="E2242">
        <v>1</v>
      </c>
      <c r="F2242" t="s">
        <v>1261</v>
      </c>
      <c r="G2242" t="str">
        <f t="shared" si="157"/>
        <v>15-K06-04</v>
      </c>
      <c r="H2242">
        <v>0.27479999999999999</v>
      </c>
      <c r="J2242" t="s">
        <v>59</v>
      </c>
      <c r="K2242" t="str">
        <f t="shared" si="156"/>
        <v>3F4</v>
      </c>
      <c r="L2242" t="s">
        <v>15</v>
      </c>
    </row>
    <row r="2243" spans="1:12" x14ac:dyDescent="0.25">
      <c r="A2243" t="str">
        <f>"2152270373"</f>
        <v>2152270373</v>
      </c>
      <c r="B2243" t="str">
        <f t="shared" si="154"/>
        <v>89301000</v>
      </c>
      <c r="C2243" s="1">
        <v>44254</v>
      </c>
      <c r="D2243" s="1">
        <v>44257</v>
      </c>
      <c r="E2243">
        <v>1</v>
      </c>
      <c r="F2243" t="s">
        <v>1261</v>
      </c>
      <c r="G2243" t="str">
        <f t="shared" si="157"/>
        <v>15-K06-04</v>
      </c>
      <c r="H2243">
        <v>0.27479999999999999</v>
      </c>
      <c r="J2243" t="s">
        <v>59</v>
      </c>
      <c r="K2243" t="str">
        <f t="shared" si="156"/>
        <v>3F4</v>
      </c>
      <c r="L2243" t="s">
        <v>15</v>
      </c>
    </row>
    <row r="2244" spans="1:12" x14ac:dyDescent="0.25">
      <c r="A2244" t="str">
        <f>"2152270384"</f>
        <v>2152270384</v>
      </c>
      <c r="B2244" t="str">
        <f t="shared" si="154"/>
        <v>89301000</v>
      </c>
      <c r="C2244" s="1">
        <v>44254</v>
      </c>
      <c r="D2244" s="1">
        <v>44256</v>
      </c>
      <c r="E2244">
        <v>1</v>
      </c>
      <c r="F2244" t="s">
        <v>1261</v>
      </c>
      <c r="G2244" t="str">
        <f t="shared" si="157"/>
        <v>15-K06-04</v>
      </c>
      <c r="H2244">
        <v>0.27479999999999999</v>
      </c>
      <c r="J2244" t="s">
        <v>59</v>
      </c>
      <c r="K2244" t="str">
        <f t="shared" si="156"/>
        <v>3F4</v>
      </c>
      <c r="L2244" t="s">
        <v>15</v>
      </c>
    </row>
    <row r="2245" spans="1:12" x14ac:dyDescent="0.25">
      <c r="A2245" t="str">
        <f>"2153010145"</f>
        <v>2153010145</v>
      </c>
      <c r="B2245" t="str">
        <f t="shared" si="154"/>
        <v>89301000</v>
      </c>
      <c r="C2245" s="1">
        <v>44256</v>
      </c>
      <c r="D2245" s="1">
        <v>44258</v>
      </c>
      <c r="E2245">
        <v>1</v>
      </c>
      <c r="F2245" t="s">
        <v>1261</v>
      </c>
      <c r="G2245" t="str">
        <f t="shared" si="157"/>
        <v>15-K06-04</v>
      </c>
      <c r="H2245">
        <v>0.27479999999999999</v>
      </c>
      <c r="J2245" t="s">
        <v>59</v>
      </c>
      <c r="K2245" t="str">
        <f t="shared" si="156"/>
        <v>3F4</v>
      </c>
      <c r="L2245" t="s">
        <v>15</v>
      </c>
    </row>
    <row r="2246" spans="1:12" x14ac:dyDescent="0.25">
      <c r="A2246" t="str">
        <f>"2153010662"</f>
        <v>2153010662</v>
      </c>
      <c r="B2246" t="str">
        <f t="shared" si="154"/>
        <v>89301000</v>
      </c>
      <c r="C2246" s="1">
        <v>44256</v>
      </c>
      <c r="D2246" s="1">
        <v>44259</v>
      </c>
      <c r="E2246">
        <v>1</v>
      </c>
      <c r="F2246" t="s">
        <v>1261</v>
      </c>
      <c r="G2246" t="str">
        <f t="shared" si="157"/>
        <v>15-K06-04</v>
      </c>
      <c r="H2246">
        <v>0.27479999999999999</v>
      </c>
      <c r="J2246" t="s">
        <v>59</v>
      </c>
      <c r="K2246" t="str">
        <f t="shared" si="156"/>
        <v>3F4</v>
      </c>
      <c r="L2246" t="s">
        <v>15</v>
      </c>
    </row>
    <row r="2247" spans="1:12" x14ac:dyDescent="0.25">
      <c r="A2247" t="str">
        <f>"2153020584"</f>
        <v>2153020584</v>
      </c>
      <c r="B2247" t="str">
        <f t="shared" si="154"/>
        <v>89301000</v>
      </c>
      <c r="C2247" s="1">
        <v>44257</v>
      </c>
      <c r="D2247" s="1">
        <v>44259</v>
      </c>
      <c r="E2247">
        <v>1</v>
      </c>
      <c r="F2247" t="s">
        <v>1261</v>
      </c>
      <c r="G2247" t="str">
        <f t="shared" si="157"/>
        <v>15-K06-04</v>
      </c>
      <c r="H2247">
        <v>0.27479999999999999</v>
      </c>
      <c r="J2247" t="s">
        <v>59</v>
      </c>
      <c r="K2247" t="str">
        <f t="shared" si="156"/>
        <v>3F4</v>
      </c>
      <c r="L2247" t="s">
        <v>15</v>
      </c>
    </row>
    <row r="2248" spans="1:12" x14ac:dyDescent="0.25">
      <c r="A2248" t="str">
        <f>"2153020595"</f>
        <v>2153020595</v>
      </c>
      <c r="B2248" t="str">
        <f t="shared" si="154"/>
        <v>89301000</v>
      </c>
      <c r="C2248" s="1">
        <v>44257</v>
      </c>
      <c r="D2248" s="1">
        <v>44259</v>
      </c>
      <c r="E2248">
        <v>1</v>
      </c>
      <c r="F2248" t="s">
        <v>1261</v>
      </c>
      <c r="G2248" t="str">
        <f t="shared" si="157"/>
        <v>15-K06-04</v>
      </c>
      <c r="H2248">
        <v>0.27479999999999999</v>
      </c>
      <c r="J2248" t="s">
        <v>59</v>
      </c>
      <c r="K2248" t="str">
        <f t="shared" si="156"/>
        <v>3F4</v>
      </c>
      <c r="L2248" t="s">
        <v>15</v>
      </c>
    </row>
    <row r="2249" spans="1:12" x14ac:dyDescent="0.25">
      <c r="A2249" t="str">
        <f>"2153030693"</f>
        <v>2153030693</v>
      </c>
      <c r="B2249" t="str">
        <f t="shared" si="154"/>
        <v>89301000</v>
      </c>
      <c r="C2249" s="1">
        <v>44258</v>
      </c>
      <c r="D2249" s="1">
        <v>44261</v>
      </c>
      <c r="E2249">
        <v>1</v>
      </c>
      <c r="F2249" t="s">
        <v>1261</v>
      </c>
      <c r="G2249" t="str">
        <f t="shared" si="157"/>
        <v>15-K06-04</v>
      </c>
      <c r="H2249">
        <v>0.27479999999999999</v>
      </c>
      <c r="J2249" t="s">
        <v>59</v>
      </c>
      <c r="K2249" t="str">
        <f t="shared" si="156"/>
        <v>3F4</v>
      </c>
      <c r="L2249" t="s">
        <v>15</v>
      </c>
    </row>
    <row r="2250" spans="1:12" x14ac:dyDescent="0.25">
      <c r="A2250" t="str">
        <f>"2153040098"</f>
        <v>2153040098</v>
      </c>
      <c r="B2250" t="str">
        <f t="shared" si="154"/>
        <v>89301000</v>
      </c>
      <c r="C2250" s="1">
        <v>44259</v>
      </c>
      <c r="D2250" s="1">
        <v>44263</v>
      </c>
      <c r="E2250">
        <v>1</v>
      </c>
      <c r="F2250" t="s">
        <v>1261</v>
      </c>
      <c r="G2250" t="str">
        <f t="shared" si="157"/>
        <v>15-K06-04</v>
      </c>
      <c r="H2250">
        <v>0.27479999999999999</v>
      </c>
      <c r="J2250" t="s">
        <v>59</v>
      </c>
      <c r="K2250" t="str">
        <f t="shared" si="156"/>
        <v>3F4</v>
      </c>
      <c r="L2250" t="s">
        <v>15</v>
      </c>
    </row>
    <row r="2251" spans="1:12" x14ac:dyDescent="0.25">
      <c r="A2251" t="str">
        <f>"2153040659"</f>
        <v>2153040659</v>
      </c>
      <c r="B2251" t="str">
        <f t="shared" si="154"/>
        <v>89301000</v>
      </c>
      <c r="C2251" s="1">
        <v>44259</v>
      </c>
      <c r="D2251" s="1">
        <v>44262</v>
      </c>
      <c r="E2251">
        <v>1</v>
      </c>
      <c r="F2251" t="s">
        <v>1261</v>
      </c>
      <c r="G2251" t="str">
        <f t="shared" si="157"/>
        <v>15-K06-04</v>
      </c>
      <c r="H2251">
        <v>0.27479999999999999</v>
      </c>
      <c r="J2251" t="s">
        <v>59</v>
      </c>
      <c r="K2251" t="str">
        <f t="shared" si="156"/>
        <v>3F4</v>
      </c>
      <c r="L2251" t="s">
        <v>15</v>
      </c>
    </row>
    <row r="2252" spans="1:12" x14ac:dyDescent="0.25">
      <c r="A2252" t="str">
        <f>"2153041726"</f>
        <v>2153041726</v>
      </c>
      <c r="B2252" t="str">
        <f t="shared" si="154"/>
        <v>89301000</v>
      </c>
      <c r="C2252" s="1">
        <v>44549</v>
      </c>
      <c r="D2252" s="1">
        <v>44550</v>
      </c>
      <c r="E2252">
        <v>1</v>
      </c>
      <c r="F2252" t="s">
        <v>1459</v>
      </c>
      <c r="G2252" t="str">
        <f>"21-K03-00"</f>
        <v>21-K03-00</v>
      </c>
      <c r="H2252">
        <v>0.18310000000000001</v>
      </c>
      <c r="I2252" t="s">
        <v>168</v>
      </c>
      <c r="J2252" t="s">
        <v>14</v>
      </c>
      <c r="K2252" t="str">
        <f>"3F1"</f>
        <v>3F1</v>
      </c>
      <c r="L2252" t="s">
        <v>15</v>
      </c>
    </row>
    <row r="2253" spans="1:12" x14ac:dyDescent="0.25">
      <c r="A2253" t="str">
        <f>"2153041891"</f>
        <v>2153041891</v>
      </c>
      <c r="B2253" t="str">
        <f t="shared" si="154"/>
        <v>89301000</v>
      </c>
      <c r="C2253" s="1">
        <v>44364</v>
      </c>
      <c r="D2253" s="1">
        <v>44366</v>
      </c>
      <c r="E2253">
        <v>1</v>
      </c>
      <c r="F2253" t="s">
        <v>1460</v>
      </c>
      <c r="G2253" t="str">
        <f>"03-K10-01"</f>
        <v>03-K10-01</v>
      </c>
      <c r="H2253">
        <v>0.52380000000000004</v>
      </c>
      <c r="J2253" t="s">
        <v>14</v>
      </c>
      <c r="K2253" t="str">
        <f>"3F1"</f>
        <v>3F1</v>
      </c>
      <c r="L2253" t="s">
        <v>15</v>
      </c>
    </row>
    <row r="2254" spans="1:12" x14ac:dyDescent="0.25">
      <c r="A2254" t="str">
        <f>"2153050625"</f>
        <v>2153050625</v>
      </c>
      <c r="B2254" t="str">
        <f t="shared" si="154"/>
        <v>89301000</v>
      </c>
      <c r="C2254" s="1">
        <v>44260</v>
      </c>
      <c r="D2254" s="1">
        <v>44264</v>
      </c>
      <c r="E2254">
        <v>5</v>
      </c>
      <c r="F2254" t="s">
        <v>1288</v>
      </c>
      <c r="G2254" t="str">
        <f>"15-K07-01"</f>
        <v>15-K07-01</v>
      </c>
      <c r="H2254">
        <v>1.5082</v>
      </c>
      <c r="I2254" t="s">
        <v>1461</v>
      </c>
      <c r="J2254" t="s">
        <v>59</v>
      </c>
      <c r="K2254" t="str">
        <f>"3T4"</f>
        <v>3T4</v>
      </c>
      <c r="L2254" t="s">
        <v>15</v>
      </c>
    </row>
    <row r="2255" spans="1:12" x14ac:dyDescent="0.25">
      <c r="A2255" t="str">
        <f>"2153050735"</f>
        <v>2153050735</v>
      </c>
      <c r="B2255" t="str">
        <f t="shared" si="154"/>
        <v>89301000</v>
      </c>
      <c r="C2255" s="1">
        <v>44260</v>
      </c>
      <c r="D2255" s="1">
        <v>44263</v>
      </c>
      <c r="E2255">
        <v>1</v>
      </c>
      <c r="F2255" t="s">
        <v>1261</v>
      </c>
      <c r="G2255" t="str">
        <f>"15-K06-04"</f>
        <v>15-K06-04</v>
      </c>
      <c r="H2255">
        <v>0.27479999999999999</v>
      </c>
      <c r="I2255" t="s">
        <v>1279</v>
      </c>
      <c r="J2255" t="s">
        <v>59</v>
      </c>
      <c r="K2255" t="str">
        <f>"3F4"</f>
        <v>3F4</v>
      </c>
      <c r="L2255" t="s">
        <v>15</v>
      </c>
    </row>
    <row r="2256" spans="1:12" x14ac:dyDescent="0.25">
      <c r="A2256" t="str">
        <f>"2153050746"</f>
        <v>2153050746</v>
      </c>
      <c r="B2256" t="str">
        <f t="shared" si="154"/>
        <v>89301000</v>
      </c>
      <c r="C2256" s="1">
        <v>44260</v>
      </c>
      <c r="D2256" s="1">
        <v>44263</v>
      </c>
      <c r="E2256">
        <v>1</v>
      </c>
      <c r="F2256" t="s">
        <v>1261</v>
      </c>
      <c r="G2256" t="str">
        <f>"15-K06-04"</f>
        <v>15-K06-04</v>
      </c>
      <c r="H2256">
        <v>0.27479999999999999</v>
      </c>
      <c r="J2256" t="s">
        <v>59</v>
      </c>
      <c r="K2256" t="str">
        <f>"3F4"</f>
        <v>3F4</v>
      </c>
      <c r="L2256" t="s">
        <v>15</v>
      </c>
    </row>
    <row r="2257" spans="1:12" x14ac:dyDescent="0.25">
      <c r="A2257" t="str">
        <f>"2153050746"</f>
        <v>2153050746</v>
      </c>
      <c r="B2257" t="str">
        <f t="shared" si="154"/>
        <v>89301000</v>
      </c>
      <c r="C2257" s="1">
        <v>44305</v>
      </c>
      <c r="D2257" s="1">
        <v>44308</v>
      </c>
      <c r="E2257">
        <v>1</v>
      </c>
      <c r="F2257" t="s">
        <v>780</v>
      </c>
      <c r="G2257" t="str">
        <f>"01-K16-05"</f>
        <v>01-K16-05</v>
      </c>
      <c r="H2257">
        <v>0.57979999999999998</v>
      </c>
      <c r="I2257" t="s">
        <v>1462</v>
      </c>
      <c r="J2257" t="s">
        <v>14</v>
      </c>
      <c r="K2257" t="str">
        <f>"3F1"</f>
        <v>3F1</v>
      </c>
      <c r="L2257" t="s">
        <v>15</v>
      </c>
    </row>
    <row r="2258" spans="1:12" x14ac:dyDescent="0.25">
      <c r="A2258" t="str">
        <f>"2153060360"</f>
        <v>2153060360</v>
      </c>
      <c r="B2258" t="str">
        <f t="shared" si="154"/>
        <v>89301000</v>
      </c>
      <c r="C2258" s="1">
        <v>44261</v>
      </c>
      <c r="D2258" s="1">
        <v>44286</v>
      </c>
      <c r="E2258">
        <v>1</v>
      </c>
      <c r="F2258" t="s">
        <v>1338</v>
      </c>
      <c r="G2258" t="str">
        <f>"15-K04-01"</f>
        <v>15-K04-01</v>
      </c>
      <c r="H2258">
        <v>3.3435000000000001</v>
      </c>
      <c r="I2258" t="s">
        <v>1463</v>
      </c>
      <c r="J2258" t="s">
        <v>1212</v>
      </c>
      <c r="K2258" t="str">
        <f t="shared" ref="K2258:K2277" si="158">"3F4"</f>
        <v>3F4</v>
      </c>
      <c r="L2258" t="s">
        <v>15</v>
      </c>
    </row>
    <row r="2259" spans="1:12" x14ac:dyDescent="0.25">
      <c r="A2259" t="str">
        <f>"2153080710"</f>
        <v>2153080710</v>
      </c>
      <c r="B2259" t="str">
        <f t="shared" si="154"/>
        <v>89301000</v>
      </c>
      <c r="C2259" s="1">
        <v>44263</v>
      </c>
      <c r="D2259" s="1">
        <v>44266</v>
      </c>
      <c r="E2259">
        <v>1</v>
      </c>
      <c r="F2259" t="s">
        <v>1261</v>
      </c>
      <c r="G2259" t="str">
        <f>"15-K06-04"</f>
        <v>15-K06-04</v>
      </c>
      <c r="H2259">
        <v>0.27479999999999999</v>
      </c>
      <c r="J2259" t="s">
        <v>59</v>
      </c>
      <c r="K2259" t="str">
        <f t="shared" si="158"/>
        <v>3F4</v>
      </c>
      <c r="L2259" t="s">
        <v>15</v>
      </c>
    </row>
    <row r="2260" spans="1:12" x14ac:dyDescent="0.25">
      <c r="A2260" t="str">
        <f>"2153080721"</f>
        <v>2153080721</v>
      </c>
      <c r="B2260" t="str">
        <f t="shared" si="154"/>
        <v>89301000</v>
      </c>
      <c r="C2260" s="1">
        <v>44263</v>
      </c>
      <c r="D2260" s="1">
        <v>44266</v>
      </c>
      <c r="E2260">
        <v>1</v>
      </c>
      <c r="F2260" t="s">
        <v>1261</v>
      </c>
      <c r="G2260" t="str">
        <f>"15-K06-04"</f>
        <v>15-K06-04</v>
      </c>
      <c r="H2260">
        <v>0.27479999999999999</v>
      </c>
      <c r="I2260" t="s">
        <v>1264</v>
      </c>
      <c r="J2260" t="s">
        <v>59</v>
      </c>
      <c r="K2260" t="str">
        <f t="shared" si="158"/>
        <v>3F4</v>
      </c>
      <c r="L2260" t="s">
        <v>15</v>
      </c>
    </row>
    <row r="2261" spans="1:12" x14ac:dyDescent="0.25">
      <c r="A2261" t="str">
        <f>"2153090577"</f>
        <v>2153090577</v>
      </c>
      <c r="B2261" t="str">
        <f t="shared" si="154"/>
        <v>89301000</v>
      </c>
      <c r="C2261" s="1">
        <v>44264</v>
      </c>
      <c r="D2261" s="1">
        <v>44268</v>
      </c>
      <c r="E2261">
        <v>1</v>
      </c>
      <c r="F2261" t="s">
        <v>1261</v>
      </c>
      <c r="G2261" t="str">
        <f>"15-K04-03"</f>
        <v>15-K04-03</v>
      </c>
      <c r="H2261">
        <v>1.6881999999999999</v>
      </c>
      <c r="I2261" t="s">
        <v>1464</v>
      </c>
      <c r="J2261" t="s">
        <v>1212</v>
      </c>
      <c r="K2261" t="str">
        <f t="shared" si="158"/>
        <v>3F4</v>
      </c>
      <c r="L2261" t="s">
        <v>15</v>
      </c>
    </row>
    <row r="2262" spans="1:12" x14ac:dyDescent="0.25">
      <c r="A2262" t="str">
        <f>"2153100609"</f>
        <v>2153100609</v>
      </c>
      <c r="B2262" t="str">
        <f t="shared" si="154"/>
        <v>89301000</v>
      </c>
      <c r="C2262" s="1">
        <v>44265</v>
      </c>
      <c r="D2262" s="1">
        <v>44267</v>
      </c>
      <c r="E2262">
        <v>1</v>
      </c>
      <c r="F2262" t="s">
        <v>1261</v>
      </c>
      <c r="G2262" t="str">
        <f t="shared" ref="G2262:G2267" si="159">"15-K06-04"</f>
        <v>15-K06-04</v>
      </c>
      <c r="H2262">
        <v>0.27479999999999999</v>
      </c>
      <c r="J2262" t="s">
        <v>59</v>
      </c>
      <c r="K2262" t="str">
        <f t="shared" si="158"/>
        <v>3F4</v>
      </c>
      <c r="L2262" t="s">
        <v>15</v>
      </c>
    </row>
    <row r="2263" spans="1:12" x14ac:dyDescent="0.25">
      <c r="A2263" t="str">
        <f>"2153120068"</f>
        <v>2153120068</v>
      </c>
      <c r="B2263" t="str">
        <f t="shared" si="154"/>
        <v>89301000</v>
      </c>
      <c r="C2263" s="1">
        <v>44267</v>
      </c>
      <c r="D2263" s="1">
        <v>44270</v>
      </c>
      <c r="E2263">
        <v>1</v>
      </c>
      <c r="F2263" t="s">
        <v>1261</v>
      </c>
      <c r="G2263" t="str">
        <f t="shared" si="159"/>
        <v>15-K06-04</v>
      </c>
      <c r="H2263">
        <v>0.27479999999999999</v>
      </c>
      <c r="J2263" t="s">
        <v>59</v>
      </c>
      <c r="K2263" t="str">
        <f t="shared" si="158"/>
        <v>3F4</v>
      </c>
      <c r="L2263" t="s">
        <v>15</v>
      </c>
    </row>
    <row r="2264" spans="1:12" x14ac:dyDescent="0.25">
      <c r="A2264" t="str">
        <f>"2153140176"</f>
        <v>2153140176</v>
      </c>
      <c r="B2264" t="str">
        <f t="shared" si="154"/>
        <v>89301000</v>
      </c>
      <c r="C2264" s="1">
        <v>44269</v>
      </c>
      <c r="D2264" s="1">
        <v>44272</v>
      </c>
      <c r="E2264">
        <v>1</v>
      </c>
      <c r="F2264" t="s">
        <v>1261</v>
      </c>
      <c r="G2264" t="str">
        <f t="shared" si="159"/>
        <v>15-K06-04</v>
      </c>
      <c r="H2264">
        <v>0.27479999999999999</v>
      </c>
      <c r="I2264" t="s">
        <v>1264</v>
      </c>
      <c r="J2264" t="s">
        <v>59</v>
      </c>
      <c r="K2264" t="str">
        <f t="shared" si="158"/>
        <v>3F4</v>
      </c>
      <c r="L2264" t="s">
        <v>15</v>
      </c>
    </row>
    <row r="2265" spans="1:12" x14ac:dyDescent="0.25">
      <c r="A2265" t="str">
        <f>"2153150516"</f>
        <v>2153150516</v>
      </c>
      <c r="B2265" t="str">
        <f t="shared" si="154"/>
        <v>89301000</v>
      </c>
      <c r="C2265" s="1">
        <v>44270</v>
      </c>
      <c r="D2265" s="1">
        <v>44272</v>
      </c>
      <c r="E2265">
        <v>1</v>
      </c>
      <c r="F2265" t="s">
        <v>1261</v>
      </c>
      <c r="G2265" t="str">
        <f t="shared" si="159"/>
        <v>15-K06-04</v>
      </c>
      <c r="H2265">
        <v>0.27479999999999999</v>
      </c>
      <c r="J2265" t="s">
        <v>59</v>
      </c>
      <c r="K2265" t="str">
        <f t="shared" si="158"/>
        <v>3F4</v>
      </c>
      <c r="L2265" t="s">
        <v>15</v>
      </c>
    </row>
    <row r="2266" spans="1:12" x14ac:dyDescent="0.25">
      <c r="A2266" t="str">
        <f>"2153190655"</f>
        <v>2153190655</v>
      </c>
      <c r="B2266" t="str">
        <f t="shared" si="154"/>
        <v>89301000</v>
      </c>
      <c r="C2266" s="1">
        <v>44274</v>
      </c>
      <c r="D2266" s="1">
        <v>44277</v>
      </c>
      <c r="E2266">
        <v>1</v>
      </c>
      <c r="F2266" t="s">
        <v>1261</v>
      </c>
      <c r="G2266" t="str">
        <f t="shared" si="159"/>
        <v>15-K06-04</v>
      </c>
      <c r="H2266">
        <v>0.27479999999999999</v>
      </c>
      <c r="J2266" t="s">
        <v>59</v>
      </c>
      <c r="K2266" t="str">
        <f t="shared" si="158"/>
        <v>3F4</v>
      </c>
      <c r="L2266" t="s">
        <v>15</v>
      </c>
    </row>
    <row r="2267" spans="1:12" x14ac:dyDescent="0.25">
      <c r="A2267" t="str">
        <f>"2153200258"</f>
        <v>2153200258</v>
      </c>
      <c r="B2267" t="str">
        <f t="shared" si="154"/>
        <v>89301000</v>
      </c>
      <c r="C2267" s="1">
        <v>44275</v>
      </c>
      <c r="D2267" s="1">
        <v>44279</v>
      </c>
      <c r="E2267">
        <v>1</v>
      </c>
      <c r="F2267" t="s">
        <v>1261</v>
      </c>
      <c r="G2267" t="str">
        <f t="shared" si="159"/>
        <v>15-K06-04</v>
      </c>
      <c r="H2267">
        <v>0.27479999999999999</v>
      </c>
      <c r="J2267" t="s">
        <v>59</v>
      </c>
      <c r="K2267" t="str">
        <f t="shared" si="158"/>
        <v>3F4</v>
      </c>
      <c r="L2267" t="s">
        <v>15</v>
      </c>
    </row>
    <row r="2268" spans="1:12" x14ac:dyDescent="0.25">
      <c r="A2268" t="str">
        <f>"2153220058"</f>
        <v>2153220058</v>
      </c>
      <c r="B2268" t="str">
        <f t="shared" si="154"/>
        <v>89301000</v>
      </c>
      <c r="C2268" s="1">
        <v>44277</v>
      </c>
      <c r="D2268" s="1">
        <v>44282</v>
      </c>
      <c r="E2268">
        <v>1</v>
      </c>
      <c r="F2268" t="s">
        <v>1221</v>
      </c>
      <c r="G2268" t="str">
        <f>"15-K05-02"</f>
        <v>15-K05-02</v>
      </c>
      <c r="H2268">
        <v>1.2017</v>
      </c>
      <c r="I2268" t="s">
        <v>1465</v>
      </c>
      <c r="J2268" t="s">
        <v>1212</v>
      </c>
      <c r="K2268" t="str">
        <f t="shared" si="158"/>
        <v>3F4</v>
      </c>
      <c r="L2268" t="s">
        <v>15</v>
      </c>
    </row>
    <row r="2269" spans="1:12" x14ac:dyDescent="0.25">
      <c r="A2269" t="str">
        <f>"2153220465"</f>
        <v>2153220465</v>
      </c>
      <c r="B2269" t="str">
        <f t="shared" si="154"/>
        <v>89301000</v>
      </c>
      <c r="C2269" s="1">
        <v>44277</v>
      </c>
      <c r="D2269" s="1">
        <v>44286</v>
      </c>
      <c r="E2269">
        <v>1</v>
      </c>
      <c r="F2269" t="s">
        <v>1261</v>
      </c>
      <c r="G2269" t="str">
        <f>"15-K05-02"</f>
        <v>15-K05-02</v>
      </c>
      <c r="H2269">
        <v>1.2017</v>
      </c>
      <c r="I2269" t="s">
        <v>1354</v>
      </c>
      <c r="J2269" t="s">
        <v>1212</v>
      </c>
      <c r="K2269" t="str">
        <f t="shared" si="158"/>
        <v>3F4</v>
      </c>
      <c r="L2269" t="s">
        <v>15</v>
      </c>
    </row>
    <row r="2270" spans="1:12" x14ac:dyDescent="0.25">
      <c r="A2270" t="str">
        <f>"2153230585"</f>
        <v>2153230585</v>
      </c>
      <c r="B2270" t="str">
        <f t="shared" si="154"/>
        <v>89301000</v>
      </c>
      <c r="C2270" s="1">
        <v>44278</v>
      </c>
      <c r="D2270" s="1">
        <v>44281</v>
      </c>
      <c r="E2270">
        <v>1</v>
      </c>
      <c r="F2270" t="s">
        <v>1261</v>
      </c>
      <c r="G2270" t="str">
        <f>"15-K06-04"</f>
        <v>15-K06-04</v>
      </c>
      <c r="H2270">
        <v>0.27479999999999999</v>
      </c>
      <c r="J2270" t="s">
        <v>59</v>
      </c>
      <c r="K2270" t="str">
        <f t="shared" si="158"/>
        <v>3F4</v>
      </c>
      <c r="L2270" t="s">
        <v>15</v>
      </c>
    </row>
    <row r="2271" spans="1:12" x14ac:dyDescent="0.25">
      <c r="A2271" t="str">
        <f>"2153260098"</f>
        <v>2153260098</v>
      </c>
      <c r="B2271" t="str">
        <f t="shared" si="154"/>
        <v>89301000</v>
      </c>
      <c r="C2271" s="1">
        <v>44281</v>
      </c>
      <c r="D2271" s="1">
        <v>44284</v>
      </c>
      <c r="E2271">
        <v>1</v>
      </c>
      <c r="F2271" t="s">
        <v>1261</v>
      </c>
      <c r="G2271" t="str">
        <f>"15-K06-04"</f>
        <v>15-K06-04</v>
      </c>
      <c r="H2271">
        <v>0.27479999999999999</v>
      </c>
      <c r="I2271" t="s">
        <v>1278</v>
      </c>
      <c r="J2271" t="s">
        <v>59</v>
      </c>
      <c r="K2271" t="str">
        <f t="shared" si="158"/>
        <v>3F4</v>
      </c>
      <c r="L2271" t="s">
        <v>15</v>
      </c>
    </row>
    <row r="2272" spans="1:12" x14ac:dyDescent="0.25">
      <c r="A2272" t="str">
        <f>"2153270295"</f>
        <v>2153270295</v>
      </c>
      <c r="B2272" t="str">
        <f t="shared" si="154"/>
        <v>89301000</v>
      </c>
      <c r="C2272" s="1">
        <v>44282</v>
      </c>
      <c r="D2272" s="1">
        <v>44284</v>
      </c>
      <c r="E2272">
        <v>1</v>
      </c>
      <c r="F2272" t="s">
        <v>1261</v>
      </c>
      <c r="G2272" t="str">
        <f>"15-K06-04"</f>
        <v>15-K06-04</v>
      </c>
      <c r="H2272">
        <v>0.27479999999999999</v>
      </c>
      <c r="J2272" t="s">
        <v>59</v>
      </c>
      <c r="K2272" t="str">
        <f t="shared" si="158"/>
        <v>3F4</v>
      </c>
      <c r="L2272" t="s">
        <v>15</v>
      </c>
    </row>
    <row r="2273" spans="1:12" x14ac:dyDescent="0.25">
      <c r="A2273" t="str">
        <f>"2153270317"</f>
        <v>2153270317</v>
      </c>
      <c r="B2273" t="str">
        <f t="shared" si="154"/>
        <v>89301000</v>
      </c>
      <c r="C2273" s="1">
        <v>44282</v>
      </c>
      <c r="D2273" s="1">
        <v>44285</v>
      </c>
      <c r="E2273">
        <v>1</v>
      </c>
      <c r="F2273" t="s">
        <v>1261</v>
      </c>
      <c r="G2273" t="str">
        <f>"15-K06-04"</f>
        <v>15-K06-04</v>
      </c>
      <c r="H2273">
        <v>0.27479999999999999</v>
      </c>
      <c r="I2273" t="s">
        <v>1466</v>
      </c>
      <c r="J2273" t="s">
        <v>59</v>
      </c>
      <c r="K2273" t="str">
        <f t="shared" si="158"/>
        <v>3F4</v>
      </c>
      <c r="L2273" t="s">
        <v>15</v>
      </c>
    </row>
    <row r="2274" spans="1:12" x14ac:dyDescent="0.25">
      <c r="A2274" t="str">
        <f>"2153270328"</f>
        <v>2153270328</v>
      </c>
      <c r="B2274" t="str">
        <f t="shared" si="154"/>
        <v>89301000</v>
      </c>
      <c r="C2274" s="1">
        <v>44282</v>
      </c>
      <c r="D2274" s="1">
        <v>44285</v>
      </c>
      <c r="E2274">
        <v>1</v>
      </c>
      <c r="F2274" t="s">
        <v>1261</v>
      </c>
      <c r="G2274" t="str">
        <f>"15-K06-04"</f>
        <v>15-K06-04</v>
      </c>
      <c r="H2274">
        <v>0.27479999999999999</v>
      </c>
      <c r="I2274" t="s">
        <v>1278</v>
      </c>
      <c r="J2274" t="s">
        <v>59</v>
      </c>
      <c r="K2274" t="str">
        <f t="shared" si="158"/>
        <v>3F4</v>
      </c>
      <c r="L2274" t="s">
        <v>15</v>
      </c>
    </row>
    <row r="2275" spans="1:12" x14ac:dyDescent="0.25">
      <c r="A2275" t="str">
        <f>"2153300105"</f>
        <v>2153300105</v>
      </c>
      <c r="B2275" t="str">
        <f t="shared" si="154"/>
        <v>89301000</v>
      </c>
      <c r="C2275" s="1">
        <v>44285</v>
      </c>
      <c r="D2275" s="1">
        <v>44296</v>
      </c>
      <c r="E2275">
        <v>1</v>
      </c>
      <c r="F2275" t="s">
        <v>1467</v>
      </c>
      <c r="G2275" t="str">
        <f>"15-K04-01"</f>
        <v>15-K04-01</v>
      </c>
      <c r="H2275">
        <v>3.3435000000000001</v>
      </c>
      <c r="I2275" t="s">
        <v>1468</v>
      </c>
      <c r="J2275" t="s">
        <v>1212</v>
      </c>
      <c r="K2275" t="str">
        <f t="shared" si="158"/>
        <v>3F4</v>
      </c>
      <c r="L2275" t="s">
        <v>15</v>
      </c>
    </row>
    <row r="2276" spans="1:12" x14ac:dyDescent="0.25">
      <c r="A2276" t="str">
        <f>"2153310577"</f>
        <v>2153310577</v>
      </c>
      <c r="B2276" t="str">
        <f t="shared" si="154"/>
        <v>89301000</v>
      </c>
      <c r="C2276" s="1">
        <v>44286</v>
      </c>
      <c r="D2276" s="1">
        <v>44289</v>
      </c>
      <c r="E2276">
        <v>1</v>
      </c>
      <c r="F2276" t="s">
        <v>1261</v>
      </c>
      <c r="G2276" t="str">
        <f>"15-K06-04"</f>
        <v>15-K06-04</v>
      </c>
      <c r="H2276">
        <v>0.27479999999999999</v>
      </c>
      <c r="I2276" t="s">
        <v>1305</v>
      </c>
      <c r="J2276" t="s">
        <v>59</v>
      </c>
      <c r="K2276" t="str">
        <f t="shared" si="158"/>
        <v>3F4</v>
      </c>
      <c r="L2276" t="s">
        <v>15</v>
      </c>
    </row>
    <row r="2277" spans="1:12" x14ac:dyDescent="0.25">
      <c r="A2277" t="str">
        <f>"2153310588"</f>
        <v>2153310588</v>
      </c>
      <c r="B2277" t="str">
        <f t="shared" si="154"/>
        <v>89301000</v>
      </c>
      <c r="C2277" s="1">
        <v>44286</v>
      </c>
      <c r="D2277" s="1">
        <v>44289</v>
      </c>
      <c r="E2277">
        <v>1</v>
      </c>
      <c r="F2277" t="s">
        <v>1261</v>
      </c>
      <c r="G2277" t="str">
        <f>"15-K06-04"</f>
        <v>15-K06-04</v>
      </c>
      <c r="H2277">
        <v>0.27479999999999999</v>
      </c>
      <c r="I2277" t="s">
        <v>1278</v>
      </c>
      <c r="J2277" t="s">
        <v>59</v>
      </c>
      <c r="K2277" t="str">
        <f t="shared" si="158"/>
        <v>3F4</v>
      </c>
      <c r="L2277" t="s">
        <v>15</v>
      </c>
    </row>
    <row r="2278" spans="1:12" x14ac:dyDescent="0.25">
      <c r="A2278" t="str">
        <f>"2154010936"</f>
        <v>2154010936</v>
      </c>
      <c r="B2278" t="str">
        <f t="shared" si="154"/>
        <v>89301000</v>
      </c>
      <c r="C2278" s="1">
        <v>44329</v>
      </c>
      <c r="D2278" s="1">
        <v>44333</v>
      </c>
      <c r="E2278">
        <v>1</v>
      </c>
      <c r="F2278" t="s">
        <v>96</v>
      </c>
      <c r="G2278" t="str">
        <f>"11-K01-03"</f>
        <v>11-K01-03</v>
      </c>
      <c r="H2278">
        <v>0.59489999999999998</v>
      </c>
      <c r="I2278" t="s">
        <v>1469</v>
      </c>
      <c r="J2278" t="s">
        <v>14</v>
      </c>
      <c r="K2278" t="str">
        <f>"3F1"</f>
        <v>3F1</v>
      </c>
      <c r="L2278" t="s">
        <v>15</v>
      </c>
    </row>
    <row r="2279" spans="1:12" x14ac:dyDescent="0.25">
      <c r="A2279" t="str">
        <f>"2154011013"</f>
        <v>2154011013</v>
      </c>
      <c r="B2279" t="str">
        <f t="shared" si="154"/>
        <v>89301000</v>
      </c>
      <c r="C2279" s="1">
        <v>44287</v>
      </c>
      <c r="D2279" s="1">
        <v>44291</v>
      </c>
      <c r="E2279">
        <v>1</v>
      </c>
      <c r="F2279" t="s">
        <v>1261</v>
      </c>
      <c r="G2279" t="str">
        <f>"15-K06-04"</f>
        <v>15-K06-04</v>
      </c>
      <c r="H2279">
        <v>0.27479999999999999</v>
      </c>
      <c r="J2279" t="s">
        <v>59</v>
      </c>
      <c r="K2279" t="str">
        <f t="shared" ref="K2279:K2285" si="160">"3F4"</f>
        <v>3F4</v>
      </c>
      <c r="L2279" t="s">
        <v>15</v>
      </c>
    </row>
    <row r="2280" spans="1:12" x14ac:dyDescent="0.25">
      <c r="A2280" t="str">
        <f>"2154011057"</f>
        <v>2154011057</v>
      </c>
      <c r="B2280" t="str">
        <f t="shared" si="154"/>
        <v>89301000</v>
      </c>
      <c r="C2280" s="1">
        <v>44287</v>
      </c>
      <c r="D2280" s="1">
        <v>44290</v>
      </c>
      <c r="E2280">
        <v>1</v>
      </c>
      <c r="F2280" t="s">
        <v>1261</v>
      </c>
      <c r="G2280" t="str">
        <f>"15-K06-04"</f>
        <v>15-K06-04</v>
      </c>
      <c r="H2280">
        <v>0.27479999999999999</v>
      </c>
      <c r="J2280" t="s">
        <v>59</v>
      </c>
      <c r="K2280" t="str">
        <f t="shared" si="160"/>
        <v>3F4</v>
      </c>
      <c r="L2280" t="s">
        <v>15</v>
      </c>
    </row>
    <row r="2281" spans="1:12" x14ac:dyDescent="0.25">
      <c r="A2281" t="str">
        <f>"2154020418"</f>
        <v>2154020418</v>
      </c>
      <c r="B2281" t="str">
        <f t="shared" ref="B2281:B2344" si="161">"89301000"</f>
        <v>89301000</v>
      </c>
      <c r="C2281" s="1">
        <v>44288</v>
      </c>
      <c r="D2281" s="1">
        <v>44290</v>
      </c>
      <c r="E2281">
        <v>1</v>
      </c>
      <c r="F2281" t="s">
        <v>1261</v>
      </c>
      <c r="G2281" t="str">
        <f>"15-K06-04"</f>
        <v>15-K06-04</v>
      </c>
      <c r="H2281">
        <v>0.27479999999999999</v>
      </c>
      <c r="J2281" t="s">
        <v>59</v>
      </c>
      <c r="K2281" t="str">
        <f t="shared" si="160"/>
        <v>3F4</v>
      </c>
      <c r="L2281" t="s">
        <v>15</v>
      </c>
    </row>
    <row r="2282" spans="1:12" x14ac:dyDescent="0.25">
      <c r="A2282" t="str">
        <f>"2154030373"</f>
        <v>2154030373</v>
      </c>
      <c r="B2282" t="str">
        <f t="shared" si="161"/>
        <v>89301000</v>
      </c>
      <c r="C2282" s="1">
        <v>44289</v>
      </c>
      <c r="D2282" s="1">
        <v>44292</v>
      </c>
      <c r="E2282">
        <v>1</v>
      </c>
      <c r="F2282" t="s">
        <v>1261</v>
      </c>
      <c r="G2282" t="str">
        <f>"15-K06-04"</f>
        <v>15-K06-04</v>
      </c>
      <c r="H2282">
        <v>0.27479999999999999</v>
      </c>
      <c r="J2282" t="s">
        <v>59</v>
      </c>
      <c r="K2282" t="str">
        <f t="shared" si="160"/>
        <v>3F4</v>
      </c>
      <c r="L2282" t="s">
        <v>15</v>
      </c>
    </row>
    <row r="2283" spans="1:12" x14ac:dyDescent="0.25">
      <c r="A2283" t="str">
        <f>"2154050239"</f>
        <v>2154050239</v>
      </c>
      <c r="B2283" t="str">
        <f t="shared" si="161"/>
        <v>89301000</v>
      </c>
      <c r="C2283" s="1">
        <v>44291</v>
      </c>
      <c r="D2283" s="1">
        <v>44301</v>
      </c>
      <c r="E2283">
        <v>1</v>
      </c>
      <c r="F2283" t="s">
        <v>1221</v>
      </c>
      <c r="G2283" t="str">
        <f>"15-K04-02"</f>
        <v>15-K04-02</v>
      </c>
      <c r="H2283">
        <v>2.2848999999999999</v>
      </c>
      <c r="I2283" t="s">
        <v>1470</v>
      </c>
      <c r="J2283" t="s">
        <v>1212</v>
      </c>
      <c r="K2283" t="str">
        <f t="shared" si="160"/>
        <v>3F4</v>
      </c>
      <c r="L2283" t="s">
        <v>15</v>
      </c>
    </row>
    <row r="2284" spans="1:12" x14ac:dyDescent="0.25">
      <c r="A2284" t="str">
        <f>"2154080346"</f>
        <v>2154080346</v>
      </c>
      <c r="B2284" t="str">
        <f t="shared" si="161"/>
        <v>89301000</v>
      </c>
      <c r="C2284" s="1">
        <v>44294</v>
      </c>
      <c r="D2284" s="1">
        <v>44299</v>
      </c>
      <c r="E2284">
        <v>1</v>
      </c>
      <c r="F2284" t="s">
        <v>1261</v>
      </c>
      <c r="G2284" t="str">
        <f>"15-K06-02"</f>
        <v>15-K06-02</v>
      </c>
      <c r="H2284">
        <v>0.59770000000000001</v>
      </c>
      <c r="I2284" t="s">
        <v>1471</v>
      </c>
      <c r="J2284" t="s">
        <v>59</v>
      </c>
      <c r="K2284" t="str">
        <f t="shared" si="160"/>
        <v>3F4</v>
      </c>
      <c r="L2284" t="s">
        <v>15</v>
      </c>
    </row>
    <row r="2285" spans="1:12" x14ac:dyDescent="0.25">
      <c r="A2285" t="str">
        <f>"2154080412"</f>
        <v>2154080412</v>
      </c>
      <c r="B2285" t="str">
        <f t="shared" si="161"/>
        <v>89301000</v>
      </c>
      <c r="C2285" s="1">
        <v>44294</v>
      </c>
      <c r="D2285" s="1">
        <v>44302</v>
      </c>
      <c r="E2285">
        <v>1</v>
      </c>
      <c r="F2285" t="s">
        <v>1221</v>
      </c>
      <c r="G2285" t="str">
        <f>"15-K07-02"</f>
        <v>15-K07-02</v>
      </c>
      <c r="H2285">
        <v>1.0072000000000001</v>
      </c>
      <c r="I2285" t="s">
        <v>1472</v>
      </c>
      <c r="J2285" t="s">
        <v>59</v>
      </c>
      <c r="K2285" t="str">
        <f t="shared" si="160"/>
        <v>3F4</v>
      </c>
      <c r="L2285" t="s">
        <v>15</v>
      </c>
    </row>
    <row r="2286" spans="1:12" x14ac:dyDescent="0.25">
      <c r="A2286" t="str">
        <f>"2154080412"</f>
        <v>2154080412</v>
      </c>
      <c r="B2286" t="str">
        <f t="shared" si="161"/>
        <v>89301000</v>
      </c>
      <c r="C2286" s="1">
        <v>44489</v>
      </c>
      <c r="D2286" s="1">
        <v>44493</v>
      </c>
      <c r="E2286">
        <v>1</v>
      </c>
      <c r="F2286" t="s">
        <v>950</v>
      </c>
      <c r="G2286" t="str">
        <f>"04-K03-03"</f>
        <v>04-K03-03</v>
      </c>
      <c r="H2286">
        <v>0.53180000000000005</v>
      </c>
      <c r="I2286" t="s">
        <v>168</v>
      </c>
      <c r="J2286" t="s">
        <v>14</v>
      </c>
      <c r="K2286" t="str">
        <f>"3F1"</f>
        <v>3F1</v>
      </c>
      <c r="L2286" t="s">
        <v>15</v>
      </c>
    </row>
    <row r="2287" spans="1:12" x14ac:dyDescent="0.25">
      <c r="A2287" t="str">
        <f>"2154080423"</f>
        <v>2154080423</v>
      </c>
      <c r="B2287" t="str">
        <f t="shared" si="161"/>
        <v>89301000</v>
      </c>
      <c r="C2287" s="1">
        <v>44294</v>
      </c>
      <c r="D2287" s="1">
        <v>44297</v>
      </c>
      <c r="E2287">
        <v>1</v>
      </c>
      <c r="F2287" t="s">
        <v>1261</v>
      </c>
      <c r="G2287" t="str">
        <f>"15-K06-04"</f>
        <v>15-K06-04</v>
      </c>
      <c r="H2287">
        <v>0.27479999999999999</v>
      </c>
      <c r="I2287" t="s">
        <v>1473</v>
      </c>
      <c r="J2287" t="s">
        <v>59</v>
      </c>
      <c r="K2287" t="str">
        <f>"3F4"</f>
        <v>3F4</v>
      </c>
      <c r="L2287" t="s">
        <v>15</v>
      </c>
    </row>
    <row r="2288" spans="1:12" x14ac:dyDescent="0.25">
      <c r="A2288" t="str">
        <f>"2154090642"</f>
        <v>2154090642</v>
      </c>
      <c r="B2288" t="str">
        <f t="shared" si="161"/>
        <v>89301000</v>
      </c>
      <c r="C2288" s="1">
        <v>44295</v>
      </c>
      <c r="D2288" s="1">
        <v>44299</v>
      </c>
      <c r="E2288">
        <v>1</v>
      </c>
      <c r="F2288" t="s">
        <v>1261</v>
      </c>
      <c r="G2288" t="str">
        <f>"15-K06-04"</f>
        <v>15-K06-04</v>
      </c>
      <c r="H2288">
        <v>0.27479999999999999</v>
      </c>
      <c r="I2288" t="s">
        <v>1264</v>
      </c>
      <c r="J2288" t="s">
        <v>59</v>
      </c>
      <c r="K2288" t="str">
        <f>"3F4"</f>
        <v>3F4</v>
      </c>
      <c r="L2288" t="s">
        <v>15</v>
      </c>
    </row>
    <row r="2289" spans="1:12" x14ac:dyDescent="0.25">
      <c r="A2289" t="str">
        <f>"2154110332"</f>
        <v>2154110332</v>
      </c>
      <c r="B2289" t="str">
        <f t="shared" si="161"/>
        <v>89301000</v>
      </c>
      <c r="C2289" s="1">
        <v>44322</v>
      </c>
      <c r="D2289" s="1">
        <v>44323</v>
      </c>
      <c r="E2289">
        <v>1</v>
      </c>
      <c r="F2289" t="s">
        <v>1262</v>
      </c>
      <c r="G2289" t="str">
        <f>"15-K07-03"</f>
        <v>15-K07-03</v>
      </c>
      <c r="H2289">
        <v>0.53959999999999997</v>
      </c>
      <c r="J2289" t="s">
        <v>59</v>
      </c>
      <c r="K2289" t="str">
        <f>"3F1"</f>
        <v>3F1</v>
      </c>
      <c r="L2289" t="s">
        <v>15</v>
      </c>
    </row>
    <row r="2290" spans="1:12" x14ac:dyDescent="0.25">
      <c r="A2290" t="str">
        <f>"2154120078"</f>
        <v>2154120078</v>
      </c>
      <c r="B2290" t="str">
        <f t="shared" si="161"/>
        <v>89301000</v>
      </c>
      <c r="C2290" s="1">
        <v>44298</v>
      </c>
      <c r="D2290" s="1">
        <v>44305</v>
      </c>
      <c r="E2290">
        <v>1</v>
      </c>
      <c r="F2290" t="s">
        <v>1338</v>
      </c>
      <c r="G2290" t="str">
        <f>"15-K06-04"</f>
        <v>15-K06-04</v>
      </c>
      <c r="H2290">
        <v>0.34079999999999999</v>
      </c>
      <c r="J2290" t="s">
        <v>59</v>
      </c>
      <c r="K2290" t="str">
        <f t="shared" ref="K2290:K2296" si="162">"3F4"</f>
        <v>3F4</v>
      </c>
      <c r="L2290" t="s">
        <v>15</v>
      </c>
    </row>
    <row r="2291" spans="1:12" x14ac:dyDescent="0.25">
      <c r="A2291" t="str">
        <f>"2154140648"</f>
        <v>2154140648</v>
      </c>
      <c r="B2291" t="str">
        <f t="shared" si="161"/>
        <v>89301000</v>
      </c>
      <c r="C2291" s="1">
        <v>44300</v>
      </c>
      <c r="D2291" s="1">
        <v>44302</v>
      </c>
      <c r="E2291">
        <v>1</v>
      </c>
      <c r="F2291" t="s">
        <v>1261</v>
      </c>
      <c r="G2291" t="str">
        <f>"15-K06-04"</f>
        <v>15-K06-04</v>
      </c>
      <c r="H2291">
        <v>0.27479999999999999</v>
      </c>
      <c r="J2291" t="s">
        <v>59</v>
      </c>
      <c r="K2291" t="str">
        <f t="shared" si="162"/>
        <v>3F4</v>
      </c>
      <c r="L2291" t="s">
        <v>15</v>
      </c>
    </row>
    <row r="2292" spans="1:12" x14ac:dyDescent="0.25">
      <c r="A2292" t="str">
        <f>"2154150691"</f>
        <v>2154150691</v>
      </c>
      <c r="B2292" t="str">
        <f t="shared" si="161"/>
        <v>89301000</v>
      </c>
      <c r="C2292" s="1">
        <v>44301</v>
      </c>
      <c r="D2292" s="1">
        <v>44307</v>
      </c>
      <c r="E2292">
        <v>1</v>
      </c>
      <c r="F2292" t="s">
        <v>1261</v>
      </c>
      <c r="G2292" t="str">
        <f>"15-M01-13"</f>
        <v>15-M01-13</v>
      </c>
      <c r="H2292">
        <v>2.5091999999999999</v>
      </c>
      <c r="I2292" t="s">
        <v>1474</v>
      </c>
      <c r="J2292" t="s">
        <v>1212</v>
      </c>
      <c r="K2292" t="str">
        <f t="shared" si="162"/>
        <v>3F4</v>
      </c>
      <c r="L2292" t="s">
        <v>15</v>
      </c>
    </row>
    <row r="2293" spans="1:12" x14ac:dyDescent="0.25">
      <c r="A2293" t="str">
        <f>"2154160800"</f>
        <v>2154160800</v>
      </c>
      <c r="B2293" t="str">
        <f t="shared" si="161"/>
        <v>89301000</v>
      </c>
      <c r="C2293" s="1">
        <v>44302</v>
      </c>
      <c r="D2293" s="1">
        <v>44304</v>
      </c>
      <c r="E2293">
        <v>1</v>
      </c>
      <c r="F2293" t="s">
        <v>1261</v>
      </c>
      <c r="G2293" t="str">
        <f>"15-K06-04"</f>
        <v>15-K06-04</v>
      </c>
      <c r="H2293">
        <v>0.27479999999999999</v>
      </c>
      <c r="J2293" t="s">
        <v>59</v>
      </c>
      <c r="K2293" t="str">
        <f t="shared" si="162"/>
        <v>3F4</v>
      </c>
      <c r="L2293" t="s">
        <v>15</v>
      </c>
    </row>
    <row r="2294" spans="1:12" x14ac:dyDescent="0.25">
      <c r="A2294" t="str">
        <f>"2154180259"</f>
        <v>2154180259</v>
      </c>
      <c r="B2294" t="str">
        <f t="shared" si="161"/>
        <v>89301000</v>
      </c>
      <c r="C2294" s="1">
        <v>44304</v>
      </c>
      <c r="D2294" s="1">
        <v>44306</v>
      </c>
      <c r="E2294">
        <v>1</v>
      </c>
      <c r="F2294" t="s">
        <v>1261</v>
      </c>
      <c r="G2294" t="str">
        <f>"15-K06-04"</f>
        <v>15-K06-04</v>
      </c>
      <c r="H2294">
        <v>0.27479999999999999</v>
      </c>
      <c r="J2294" t="s">
        <v>59</v>
      </c>
      <c r="K2294" t="str">
        <f t="shared" si="162"/>
        <v>3F4</v>
      </c>
      <c r="L2294" t="s">
        <v>15</v>
      </c>
    </row>
    <row r="2295" spans="1:12" x14ac:dyDescent="0.25">
      <c r="A2295" t="str">
        <f>"2154200587"</f>
        <v>2154200587</v>
      </c>
      <c r="B2295" t="str">
        <f t="shared" si="161"/>
        <v>89301000</v>
      </c>
      <c r="C2295" s="1">
        <v>44306</v>
      </c>
      <c r="D2295" s="1">
        <v>44309</v>
      </c>
      <c r="E2295">
        <v>1</v>
      </c>
      <c r="F2295" t="s">
        <v>1261</v>
      </c>
      <c r="G2295" t="str">
        <f>"15-K06-04"</f>
        <v>15-K06-04</v>
      </c>
      <c r="H2295">
        <v>0.27479999999999999</v>
      </c>
      <c r="J2295" t="s">
        <v>59</v>
      </c>
      <c r="K2295" t="str">
        <f t="shared" si="162"/>
        <v>3F4</v>
      </c>
      <c r="L2295" t="s">
        <v>15</v>
      </c>
    </row>
    <row r="2296" spans="1:12" x14ac:dyDescent="0.25">
      <c r="A2296" t="str">
        <f>"2154200730"</f>
        <v>2154200730</v>
      </c>
      <c r="B2296" t="str">
        <f t="shared" si="161"/>
        <v>89301000</v>
      </c>
      <c r="C2296" s="1">
        <v>44306</v>
      </c>
      <c r="D2296" s="1">
        <v>44311</v>
      </c>
      <c r="E2296">
        <v>1</v>
      </c>
      <c r="F2296" t="s">
        <v>1261</v>
      </c>
      <c r="G2296" t="str">
        <f>"15-K06-02"</f>
        <v>15-K06-02</v>
      </c>
      <c r="H2296">
        <v>0.59770000000000001</v>
      </c>
      <c r="I2296" t="s">
        <v>1475</v>
      </c>
      <c r="J2296" t="s">
        <v>59</v>
      </c>
      <c r="K2296" t="str">
        <f t="shared" si="162"/>
        <v>3F4</v>
      </c>
      <c r="L2296" t="s">
        <v>15</v>
      </c>
    </row>
    <row r="2297" spans="1:12" x14ac:dyDescent="0.25">
      <c r="A2297" t="str">
        <f>"2154201280"</f>
        <v>2154201280</v>
      </c>
      <c r="B2297" t="str">
        <f t="shared" si="161"/>
        <v>89301000</v>
      </c>
      <c r="C2297" s="1">
        <v>44327</v>
      </c>
      <c r="D2297" s="1">
        <v>44344</v>
      </c>
      <c r="E2297">
        <v>1</v>
      </c>
      <c r="F2297" t="s">
        <v>1476</v>
      </c>
      <c r="G2297" t="str">
        <f>"15-K07-03"</f>
        <v>15-K07-03</v>
      </c>
      <c r="H2297">
        <v>1.0568</v>
      </c>
      <c r="I2297" t="s">
        <v>168</v>
      </c>
      <c r="J2297" t="s">
        <v>59</v>
      </c>
      <c r="K2297" t="str">
        <f>"3F1"</f>
        <v>3F1</v>
      </c>
      <c r="L2297" t="s">
        <v>15</v>
      </c>
    </row>
    <row r="2298" spans="1:12" x14ac:dyDescent="0.25">
      <c r="A2298" t="str">
        <f>"2154210487"</f>
        <v>2154210487</v>
      </c>
      <c r="B2298" t="str">
        <f t="shared" si="161"/>
        <v>89301000</v>
      </c>
      <c r="C2298" s="1">
        <v>44307</v>
      </c>
      <c r="D2298" s="1">
        <v>44310</v>
      </c>
      <c r="E2298">
        <v>1</v>
      </c>
      <c r="F2298" t="s">
        <v>1261</v>
      </c>
      <c r="G2298" t="str">
        <f>"15-K06-04"</f>
        <v>15-K06-04</v>
      </c>
      <c r="H2298">
        <v>0.27479999999999999</v>
      </c>
      <c r="J2298" t="s">
        <v>59</v>
      </c>
      <c r="K2298" t="str">
        <f t="shared" ref="K2298:K2310" si="163">"3F4"</f>
        <v>3F4</v>
      </c>
      <c r="L2298" t="s">
        <v>15</v>
      </c>
    </row>
    <row r="2299" spans="1:12" x14ac:dyDescent="0.25">
      <c r="A2299" t="str">
        <f>"2154210498"</f>
        <v>2154210498</v>
      </c>
      <c r="B2299" t="str">
        <f t="shared" si="161"/>
        <v>89301000</v>
      </c>
      <c r="C2299" s="1">
        <v>44307</v>
      </c>
      <c r="D2299" s="1">
        <v>44310</v>
      </c>
      <c r="E2299">
        <v>1</v>
      </c>
      <c r="F2299" t="s">
        <v>1261</v>
      </c>
      <c r="G2299" t="str">
        <f>"15-K06-02"</f>
        <v>15-K06-02</v>
      </c>
      <c r="H2299">
        <v>0.59770000000000001</v>
      </c>
      <c r="I2299" t="s">
        <v>1471</v>
      </c>
      <c r="J2299" t="s">
        <v>59</v>
      </c>
      <c r="K2299" t="str">
        <f t="shared" si="163"/>
        <v>3F4</v>
      </c>
      <c r="L2299" t="s">
        <v>15</v>
      </c>
    </row>
    <row r="2300" spans="1:12" x14ac:dyDescent="0.25">
      <c r="A2300" t="str">
        <f>"2154230111"</f>
        <v>2154230111</v>
      </c>
      <c r="B2300" t="str">
        <f t="shared" si="161"/>
        <v>89301000</v>
      </c>
      <c r="C2300" s="1">
        <v>44309</v>
      </c>
      <c r="D2300" s="1">
        <v>44311</v>
      </c>
      <c r="E2300">
        <v>1</v>
      </c>
      <c r="F2300" t="s">
        <v>1261</v>
      </c>
      <c r="G2300" t="str">
        <f t="shared" ref="G2300:G2307" si="164">"15-K06-04"</f>
        <v>15-K06-04</v>
      </c>
      <c r="H2300">
        <v>0.27479999999999999</v>
      </c>
      <c r="I2300" t="s">
        <v>1388</v>
      </c>
      <c r="J2300" t="s">
        <v>59</v>
      </c>
      <c r="K2300" t="str">
        <f t="shared" si="163"/>
        <v>3F4</v>
      </c>
      <c r="L2300" t="s">
        <v>15</v>
      </c>
    </row>
    <row r="2301" spans="1:12" x14ac:dyDescent="0.25">
      <c r="A2301" t="str">
        <f>"2154230551"</f>
        <v>2154230551</v>
      </c>
      <c r="B2301" t="str">
        <f t="shared" si="161"/>
        <v>89301000</v>
      </c>
      <c r="C2301" s="1">
        <v>44309</v>
      </c>
      <c r="D2301" s="1">
        <v>44311</v>
      </c>
      <c r="E2301">
        <v>1</v>
      </c>
      <c r="F2301" t="s">
        <v>1261</v>
      </c>
      <c r="G2301" t="str">
        <f t="shared" si="164"/>
        <v>15-K06-04</v>
      </c>
      <c r="H2301">
        <v>0.27479999999999999</v>
      </c>
      <c r="I2301" t="s">
        <v>1304</v>
      </c>
      <c r="J2301" t="s">
        <v>59</v>
      </c>
      <c r="K2301" t="str">
        <f t="shared" si="163"/>
        <v>3F4</v>
      </c>
      <c r="L2301" t="s">
        <v>15</v>
      </c>
    </row>
    <row r="2302" spans="1:12" x14ac:dyDescent="0.25">
      <c r="A2302" t="str">
        <f>"2154240242"</f>
        <v>2154240242</v>
      </c>
      <c r="B2302" t="str">
        <f t="shared" si="161"/>
        <v>89301000</v>
      </c>
      <c r="C2302" s="1">
        <v>44310</v>
      </c>
      <c r="D2302" s="1">
        <v>44313</v>
      </c>
      <c r="E2302">
        <v>1</v>
      </c>
      <c r="F2302" t="s">
        <v>1261</v>
      </c>
      <c r="G2302" t="str">
        <f t="shared" si="164"/>
        <v>15-K06-04</v>
      </c>
      <c r="H2302">
        <v>0.27479999999999999</v>
      </c>
      <c r="J2302" t="s">
        <v>59</v>
      </c>
      <c r="K2302" t="str">
        <f t="shared" si="163"/>
        <v>3F4</v>
      </c>
      <c r="L2302" t="s">
        <v>15</v>
      </c>
    </row>
    <row r="2303" spans="1:12" x14ac:dyDescent="0.25">
      <c r="A2303" t="str">
        <f>"2154250274"</f>
        <v>2154250274</v>
      </c>
      <c r="B2303" t="str">
        <f t="shared" si="161"/>
        <v>89301000</v>
      </c>
      <c r="C2303" s="1">
        <v>44311</v>
      </c>
      <c r="D2303" s="1">
        <v>44312</v>
      </c>
      <c r="E2303">
        <v>1</v>
      </c>
      <c r="F2303" t="s">
        <v>1261</v>
      </c>
      <c r="G2303" t="str">
        <f t="shared" si="164"/>
        <v>15-K06-04</v>
      </c>
      <c r="H2303">
        <v>0.27479999999999999</v>
      </c>
      <c r="J2303" t="s">
        <v>59</v>
      </c>
      <c r="K2303" t="str">
        <f t="shared" si="163"/>
        <v>3F4</v>
      </c>
      <c r="L2303" t="s">
        <v>15</v>
      </c>
    </row>
    <row r="2304" spans="1:12" x14ac:dyDescent="0.25">
      <c r="A2304" t="str">
        <f>"2154270635"</f>
        <v>2154270635</v>
      </c>
      <c r="B2304" t="str">
        <f t="shared" si="161"/>
        <v>89301000</v>
      </c>
      <c r="C2304" s="1">
        <v>44313</v>
      </c>
      <c r="D2304" s="1">
        <v>44315</v>
      </c>
      <c r="E2304">
        <v>1</v>
      </c>
      <c r="F2304" t="s">
        <v>1261</v>
      </c>
      <c r="G2304" t="str">
        <f t="shared" si="164"/>
        <v>15-K06-04</v>
      </c>
      <c r="H2304">
        <v>0.27479999999999999</v>
      </c>
      <c r="J2304" t="s">
        <v>59</v>
      </c>
      <c r="K2304" t="str">
        <f t="shared" si="163"/>
        <v>3F4</v>
      </c>
      <c r="L2304" t="s">
        <v>15</v>
      </c>
    </row>
    <row r="2305" spans="1:12" x14ac:dyDescent="0.25">
      <c r="A2305" t="str">
        <f>"2154280557"</f>
        <v>2154280557</v>
      </c>
      <c r="B2305" t="str">
        <f t="shared" si="161"/>
        <v>89301000</v>
      </c>
      <c r="C2305" s="1">
        <v>44314</v>
      </c>
      <c r="D2305" s="1">
        <v>44318</v>
      </c>
      <c r="E2305">
        <v>1</v>
      </c>
      <c r="F2305" t="s">
        <v>1261</v>
      </c>
      <c r="G2305" t="str">
        <f t="shared" si="164"/>
        <v>15-K06-04</v>
      </c>
      <c r="H2305">
        <v>0.27479999999999999</v>
      </c>
      <c r="J2305" t="s">
        <v>59</v>
      </c>
      <c r="K2305" t="str">
        <f t="shared" si="163"/>
        <v>3F4</v>
      </c>
      <c r="L2305" t="s">
        <v>15</v>
      </c>
    </row>
    <row r="2306" spans="1:12" x14ac:dyDescent="0.25">
      <c r="A2306" t="str">
        <f>"2154280590"</f>
        <v>2154280590</v>
      </c>
      <c r="B2306" t="str">
        <f t="shared" si="161"/>
        <v>89301000</v>
      </c>
      <c r="C2306" s="1">
        <v>44314</v>
      </c>
      <c r="D2306" s="1">
        <v>44318</v>
      </c>
      <c r="E2306">
        <v>1</v>
      </c>
      <c r="F2306" t="s">
        <v>1261</v>
      </c>
      <c r="G2306" t="str">
        <f t="shared" si="164"/>
        <v>15-K06-04</v>
      </c>
      <c r="H2306">
        <v>0.27479999999999999</v>
      </c>
      <c r="J2306" t="s">
        <v>59</v>
      </c>
      <c r="K2306" t="str">
        <f t="shared" si="163"/>
        <v>3F4</v>
      </c>
      <c r="L2306" t="s">
        <v>15</v>
      </c>
    </row>
    <row r="2307" spans="1:12" x14ac:dyDescent="0.25">
      <c r="A2307" t="str">
        <f>"2154290699"</f>
        <v>2154290699</v>
      </c>
      <c r="B2307" t="str">
        <f t="shared" si="161"/>
        <v>89301000</v>
      </c>
      <c r="C2307" s="1">
        <v>44315</v>
      </c>
      <c r="D2307" s="1">
        <v>44318</v>
      </c>
      <c r="E2307">
        <v>1</v>
      </c>
      <c r="F2307" t="s">
        <v>1261</v>
      </c>
      <c r="G2307" t="str">
        <f t="shared" si="164"/>
        <v>15-K06-04</v>
      </c>
      <c r="H2307">
        <v>0.27479999999999999</v>
      </c>
      <c r="J2307" t="s">
        <v>59</v>
      </c>
      <c r="K2307" t="str">
        <f t="shared" si="163"/>
        <v>3F4</v>
      </c>
      <c r="L2307" t="s">
        <v>15</v>
      </c>
    </row>
    <row r="2308" spans="1:12" x14ac:dyDescent="0.25">
      <c r="A2308" t="str">
        <f>"2154290721"</f>
        <v>2154290721</v>
      </c>
      <c r="B2308" t="str">
        <f t="shared" si="161"/>
        <v>89301000</v>
      </c>
      <c r="C2308" s="1">
        <v>44315</v>
      </c>
      <c r="D2308" s="1">
        <v>44318</v>
      </c>
      <c r="E2308">
        <v>1</v>
      </c>
      <c r="F2308" t="s">
        <v>1221</v>
      </c>
      <c r="G2308" t="str">
        <f>"15-K07-03"</f>
        <v>15-K07-03</v>
      </c>
      <c r="H2308">
        <v>0.53959999999999997</v>
      </c>
      <c r="J2308" t="s">
        <v>59</v>
      </c>
      <c r="K2308" t="str">
        <f t="shared" si="163"/>
        <v>3F4</v>
      </c>
      <c r="L2308" t="s">
        <v>15</v>
      </c>
    </row>
    <row r="2309" spans="1:12" x14ac:dyDescent="0.25">
      <c r="A2309" t="str">
        <f>"2154290754"</f>
        <v>2154290754</v>
      </c>
      <c r="B2309" t="str">
        <f t="shared" si="161"/>
        <v>89301000</v>
      </c>
      <c r="C2309" s="1">
        <v>44315</v>
      </c>
      <c r="D2309" s="1">
        <v>44318</v>
      </c>
      <c r="E2309">
        <v>1</v>
      </c>
      <c r="F2309" t="s">
        <v>1261</v>
      </c>
      <c r="G2309" t="str">
        <f>"15-K06-04"</f>
        <v>15-K06-04</v>
      </c>
      <c r="H2309">
        <v>0.27479999999999999</v>
      </c>
      <c r="J2309" t="s">
        <v>59</v>
      </c>
      <c r="K2309" t="str">
        <f t="shared" si="163"/>
        <v>3F4</v>
      </c>
      <c r="L2309" t="s">
        <v>15</v>
      </c>
    </row>
    <row r="2310" spans="1:12" x14ac:dyDescent="0.25">
      <c r="A2310" t="str">
        <f>"2154300654"</f>
        <v>2154300654</v>
      </c>
      <c r="B2310" t="str">
        <f t="shared" si="161"/>
        <v>89301000</v>
      </c>
      <c r="C2310" s="1">
        <v>44316</v>
      </c>
      <c r="D2310" s="1">
        <v>44319</v>
      </c>
      <c r="E2310">
        <v>1</v>
      </c>
      <c r="F2310" t="s">
        <v>1261</v>
      </c>
      <c r="G2310" t="str">
        <f>"15-K06-04"</f>
        <v>15-K06-04</v>
      </c>
      <c r="H2310">
        <v>0.27479999999999999</v>
      </c>
      <c r="J2310" t="s">
        <v>59</v>
      </c>
      <c r="K2310" t="str">
        <f t="shared" si="163"/>
        <v>3F4</v>
      </c>
      <c r="L2310" t="s">
        <v>15</v>
      </c>
    </row>
    <row r="2311" spans="1:12" x14ac:dyDescent="0.25">
      <c r="A2311" t="str">
        <f>"2155010396"</f>
        <v>2155010396</v>
      </c>
      <c r="B2311" t="str">
        <f t="shared" si="161"/>
        <v>89301000</v>
      </c>
      <c r="C2311" s="1">
        <v>44501</v>
      </c>
      <c r="D2311" s="1">
        <v>44505</v>
      </c>
      <c r="E2311">
        <v>1</v>
      </c>
      <c r="F2311" t="s">
        <v>950</v>
      </c>
      <c r="G2311" t="str">
        <f>"04-K03-01"</f>
        <v>04-K03-01</v>
      </c>
      <c r="H2311">
        <v>1.1687000000000001</v>
      </c>
      <c r="I2311" t="s">
        <v>1477</v>
      </c>
      <c r="J2311" t="s">
        <v>14</v>
      </c>
      <c r="K2311" t="str">
        <f>"3F1"</f>
        <v>3F1</v>
      </c>
      <c r="L2311" t="s">
        <v>15</v>
      </c>
    </row>
    <row r="2312" spans="1:12" x14ac:dyDescent="0.25">
      <c r="A2312" t="str">
        <f>"2155010396"</f>
        <v>2155010396</v>
      </c>
      <c r="B2312" t="str">
        <f t="shared" si="161"/>
        <v>89301000</v>
      </c>
      <c r="C2312" s="1">
        <v>44317</v>
      </c>
      <c r="D2312" s="1">
        <v>44319</v>
      </c>
      <c r="E2312">
        <v>1</v>
      </c>
      <c r="F2312" t="s">
        <v>1261</v>
      </c>
      <c r="G2312" t="str">
        <f>"15-K06-04"</f>
        <v>15-K06-04</v>
      </c>
      <c r="H2312">
        <v>0.27479999999999999</v>
      </c>
      <c r="J2312" t="s">
        <v>59</v>
      </c>
      <c r="K2312" t="str">
        <f>"3F4"</f>
        <v>3F4</v>
      </c>
      <c r="L2312" t="s">
        <v>15</v>
      </c>
    </row>
    <row r="2313" spans="1:12" x14ac:dyDescent="0.25">
      <c r="A2313" t="str">
        <f>"2155010429"</f>
        <v>2155010429</v>
      </c>
      <c r="B2313" t="str">
        <f t="shared" si="161"/>
        <v>89301000</v>
      </c>
      <c r="C2313" s="1">
        <v>44317</v>
      </c>
      <c r="D2313" s="1">
        <v>44320</v>
      </c>
      <c r="E2313">
        <v>1</v>
      </c>
      <c r="F2313" t="s">
        <v>1261</v>
      </c>
      <c r="G2313" t="str">
        <f>"15-K06-04"</f>
        <v>15-K06-04</v>
      </c>
      <c r="H2313">
        <v>0.27479999999999999</v>
      </c>
      <c r="J2313" t="s">
        <v>59</v>
      </c>
      <c r="K2313" t="str">
        <f>"3F4"</f>
        <v>3F4</v>
      </c>
      <c r="L2313" t="s">
        <v>15</v>
      </c>
    </row>
    <row r="2314" spans="1:12" x14ac:dyDescent="0.25">
      <c r="A2314" t="str">
        <f>"2155010539"</f>
        <v>2155010539</v>
      </c>
      <c r="B2314" t="str">
        <f t="shared" si="161"/>
        <v>89301000</v>
      </c>
      <c r="C2314" s="1">
        <v>44400</v>
      </c>
      <c r="D2314" s="1">
        <v>44401</v>
      </c>
      <c r="E2314">
        <v>1</v>
      </c>
      <c r="F2314" t="s">
        <v>966</v>
      </c>
      <c r="G2314" t="str">
        <f>"03-K02-03"</f>
        <v>03-K02-03</v>
      </c>
      <c r="H2314">
        <v>0.33960000000000001</v>
      </c>
      <c r="J2314" t="s">
        <v>14</v>
      </c>
      <c r="K2314" t="str">
        <f>"3F1"</f>
        <v>3F1</v>
      </c>
      <c r="L2314" t="s">
        <v>15</v>
      </c>
    </row>
    <row r="2315" spans="1:12" x14ac:dyDescent="0.25">
      <c r="A2315" t="str">
        <f>"2155020318"</f>
        <v>2155020318</v>
      </c>
      <c r="B2315" t="str">
        <f t="shared" si="161"/>
        <v>89301000</v>
      </c>
      <c r="C2315" s="1">
        <v>44318</v>
      </c>
      <c r="D2315" s="1">
        <v>44320</v>
      </c>
      <c r="E2315">
        <v>1</v>
      </c>
      <c r="F2315" t="s">
        <v>1261</v>
      </c>
      <c r="G2315" t="str">
        <f>"15-K06-04"</f>
        <v>15-K06-04</v>
      </c>
      <c r="H2315">
        <v>0.27479999999999999</v>
      </c>
      <c r="J2315" t="s">
        <v>59</v>
      </c>
      <c r="K2315" t="str">
        <f t="shared" ref="K2315:K2326" si="165">"3F4"</f>
        <v>3F4</v>
      </c>
      <c r="L2315" t="s">
        <v>15</v>
      </c>
    </row>
    <row r="2316" spans="1:12" x14ac:dyDescent="0.25">
      <c r="A2316" t="str">
        <f>"2155020329"</f>
        <v>2155020329</v>
      </c>
      <c r="B2316" t="str">
        <f t="shared" si="161"/>
        <v>89301000</v>
      </c>
      <c r="C2316" s="1">
        <v>44318</v>
      </c>
      <c r="D2316" s="1">
        <v>44323</v>
      </c>
      <c r="E2316">
        <v>1</v>
      </c>
      <c r="F2316" t="s">
        <v>1261</v>
      </c>
      <c r="G2316" t="str">
        <f>"15-K06-01"</f>
        <v>15-K06-01</v>
      </c>
      <c r="H2316">
        <v>1.1248</v>
      </c>
      <c r="I2316" t="s">
        <v>1288</v>
      </c>
      <c r="J2316" t="s">
        <v>59</v>
      </c>
      <c r="K2316" t="str">
        <f t="shared" si="165"/>
        <v>3F4</v>
      </c>
      <c r="L2316" t="s">
        <v>15</v>
      </c>
    </row>
    <row r="2317" spans="1:12" x14ac:dyDescent="0.25">
      <c r="A2317" t="str">
        <f>"2155030394"</f>
        <v>2155030394</v>
      </c>
      <c r="B2317" t="str">
        <f t="shared" si="161"/>
        <v>89301000</v>
      </c>
      <c r="C2317" s="1">
        <v>44319</v>
      </c>
      <c r="D2317" s="1">
        <v>44323</v>
      </c>
      <c r="E2317">
        <v>1</v>
      </c>
      <c r="F2317" t="s">
        <v>1261</v>
      </c>
      <c r="G2317" t="str">
        <f>"15-K06-04"</f>
        <v>15-K06-04</v>
      </c>
      <c r="H2317">
        <v>0.27479999999999999</v>
      </c>
      <c r="I2317" t="s">
        <v>1305</v>
      </c>
      <c r="J2317" t="s">
        <v>59</v>
      </c>
      <c r="K2317" t="str">
        <f t="shared" si="165"/>
        <v>3F4</v>
      </c>
      <c r="L2317" t="s">
        <v>15</v>
      </c>
    </row>
    <row r="2318" spans="1:12" x14ac:dyDescent="0.25">
      <c r="A2318" t="str">
        <f>"2155030416"</f>
        <v>2155030416</v>
      </c>
      <c r="B2318" t="str">
        <f t="shared" si="161"/>
        <v>89301000</v>
      </c>
      <c r="C2318" s="1">
        <v>44319</v>
      </c>
      <c r="D2318" s="1">
        <v>44322</v>
      </c>
      <c r="E2318">
        <v>1</v>
      </c>
      <c r="F2318" t="s">
        <v>1261</v>
      </c>
      <c r="G2318" t="str">
        <f>"15-K06-04"</f>
        <v>15-K06-04</v>
      </c>
      <c r="H2318">
        <v>0.27479999999999999</v>
      </c>
      <c r="J2318" t="s">
        <v>59</v>
      </c>
      <c r="K2318" t="str">
        <f t="shared" si="165"/>
        <v>3F4</v>
      </c>
      <c r="L2318" t="s">
        <v>15</v>
      </c>
    </row>
    <row r="2319" spans="1:12" x14ac:dyDescent="0.25">
      <c r="A2319" t="str">
        <f>"2155040437"</f>
        <v>2155040437</v>
      </c>
      <c r="B2319" t="str">
        <f t="shared" si="161"/>
        <v>89301000</v>
      </c>
      <c r="C2319" s="1">
        <v>44320</v>
      </c>
      <c r="D2319" s="1">
        <v>44321</v>
      </c>
      <c r="E2319">
        <v>1</v>
      </c>
      <c r="F2319" t="s">
        <v>1261</v>
      </c>
      <c r="G2319" t="str">
        <f>"15-K06-04"</f>
        <v>15-K06-04</v>
      </c>
      <c r="H2319">
        <v>0.27479999999999999</v>
      </c>
      <c r="J2319" t="s">
        <v>59</v>
      </c>
      <c r="K2319" t="str">
        <f t="shared" si="165"/>
        <v>3F4</v>
      </c>
      <c r="L2319" t="s">
        <v>15</v>
      </c>
    </row>
    <row r="2320" spans="1:12" x14ac:dyDescent="0.25">
      <c r="A2320" t="str">
        <f>"2155040481"</f>
        <v>2155040481</v>
      </c>
      <c r="B2320" t="str">
        <f t="shared" si="161"/>
        <v>89301000</v>
      </c>
      <c r="C2320" s="1">
        <v>44320</v>
      </c>
      <c r="D2320" s="1">
        <v>44323</v>
      </c>
      <c r="E2320">
        <v>1</v>
      </c>
      <c r="F2320" t="s">
        <v>1261</v>
      </c>
      <c r="G2320" t="str">
        <f>"15-K06-04"</f>
        <v>15-K06-04</v>
      </c>
      <c r="H2320">
        <v>0.27479999999999999</v>
      </c>
      <c r="J2320" t="s">
        <v>59</v>
      </c>
      <c r="K2320" t="str">
        <f t="shared" si="165"/>
        <v>3F4</v>
      </c>
      <c r="L2320" t="s">
        <v>15</v>
      </c>
    </row>
    <row r="2321" spans="1:12" x14ac:dyDescent="0.25">
      <c r="A2321" t="str">
        <f>"2155040492"</f>
        <v>2155040492</v>
      </c>
      <c r="B2321" t="str">
        <f t="shared" si="161"/>
        <v>89301000</v>
      </c>
      <c r="C2321" s="1">
        <v>44320</v>
      </c>
      <c r="D2321" s="1">
        <v>44323</v>
      </c>
      <c r="E2321">
        <v>1</v>
      </c>
      <c r="F2321" t="s">
        <v>1261</v>
      </c>
      <c r="G2321" t="str">
        <f>"15-K06-04"</f>
        <v>15-K06-04</v>
      </c>
      <c r="H2321">
        <v>0.27479999999999999</v>
      </c>
      <c r="J2321" t="s">
        <v>59</v>
      </c>
      <c r="K2321" t="str">
        <f t="shared" si="165"/>
        <v>3F4</v>
      </c>
      <c r="L2321" t="s">
        <v>15</v>
      </c>
    </row>
    <row r="2322" spans="1:12" x14ac:dyDescent="0.25">
      <c r="A2322" t="str">
        <f>"2155060578"</f>
        <v>2155060578</v>
      </c>
      <c r="B2322" t="str">
        <f t="shared" si="161"/>
        <v>89301000</v>
      </c>
      <c r="C2322" s="1">
        <v>44322</v>
      </c>
      <c r="D2322" s="1">
        <v>44334</v>
      </c>
      <c r="E2322">
        <v>1</v>
      </c>
      <c r="F2322" t="s">
        <v>1338</v>
      </c>
      <c r="G2322" t="str">
        <f>"15-K04-02"</f>
        <v>15-K04-02</v>
      </c>
      <c r="H2322">
        <v>2.2848999999999999</v>
      </c>
      <c r="I2322" t="s">
        <v>1478</v>
      </c>
      <c r="J2322" t="s">
        <v>1212</v>
      </c>
      <c r="K2322" t="str">
        <f t="shared" si="165"/>
        <v>3F4</v>
      </c>
      <c r="L2322" t="s">
        <v>15</v>
      </c>
    </row>
    <row r="2323" spans="1:12" x14ac:dyDescent="0.25">
      <c r="A2323" t="str">
        <f>"2155060589"</f>
        <v>2155060589</v>
      </c>
      <c r="B2323" t="str">
        <f t="shared" si="161"/>
        <v>89301000</v>
      </c>
      <c r="C2323" s="1">
        <v>44322</v>
      </c>
      <c r="D2323" s="1">
        <v>44325</v>
      </c>
      <c r="E2323">
        <v>1</v>
      </c>
      <c r="F2323" t="s">
        <v>1261</v>
      </c>
      <c r="G2323" t="str">
        <f>"15-K06-04"</f>
        <v>15-K06-04</v>
      </c>
      <c r="H2323">
        <v>0.27479999999999999</v>
      </c>
      <c r="J2323" t="s">
        <v>59</v>
      </c>
      <c r="K2323" t="str">
        <f t="shared" si="165"/>
        <v>3F4</v>
      </c>
      <c r="L2323" t="s">
        <v>15</v>
      </c>
    </row>
    <row r="2324" spans="1:12" x14ac:dyDescent="0.25">
      <c r="A2324" t="str">
        <f>"2155060611"</f>
        <v>2155060611</v>
      </c>
      <c r="B2324" t="str">
        <f t="shared" si="161"/>
        <v>89301000</v>
      </c>
      <c r="C2324" s="1">
        <v>44322</v>
      </c>
      <c r="D2324" s="1">
        <v>44327</v>
      </c>
      <c r="E2324">
        <v>1</v>
      </c>
      <c r="F2324" t="s">
        <v>1261</v>
      </c>
      <c r="G2324" t="str">
        <f>"15-K06-04"</f>
        <v>15-K06-04</v>
      </c>
      <c r="H2324">
        <v>0.27479999999999999</v>
      </c>
      <c r="I2324" t="s">
        <v>1221</v>
      </c>
      <c r="J2324" t="s">
        <v>59</v>
      </c>
      <c r="K2324" t="str">
        <f t="shared" si="165"/>
        <v>3F4</v>
      </c>
      <c r="L2324" t="s">
        <v>15</v>
      </c>
    </row>
    <row r="2325" spans="1:12" x14ac:dyDescent="0.25">
      <c r="A2325" t="str">
        <f>"2155060655"</f>
        <v>2155060655</v>
      </c>
      <c r="B2325" t="str">
        <f t="shared" si="161"/>
        <v>89301000</v>
      </c>
      <c r="C2325" s="1">
        <v>44322</v>
      </c>
      <c r="D2325" s="1">
        <v>44325</v>
      </c>
      <c r="E2325">
        <v>1</v>
      </c>
      <c r="F2325" t="s">
        <v>1261</v>
      </c>
      <c r="G2325" t="str">
        <f>"15-K06-04"</f>
        <v>15-K06-04</v>
      </c>
      <c r="H2325">
        <v>0.27479999999999999</v>
      </c>
      <c r="I2325" t="s">
        <v>1479</v>
      </c>
      <c r="J2325" t="s">
        <v>59</v>
      </c>
      <c r="K2325" t="str">
        <f t="shared" si="165"/>
        <v>3F4</v>
      </c>
      <c r="L2325" t="s">
        <v>15</v>
      </c>
    </row>
    <row r="2326" spans="1:12" x14ac:dyDescent="0.25">
      <c r="A2326" t="str">
        <f>"2155060677"</f>
        <v>2155060677</v>
      </c>
      <c r="B2326" t="str">
        <f t="shared" si="161"/>
        <v>89301000</v>
      </c>
      <c r="C2326" s="1">
        <v>44323</v>
      </c>
      <c r="D2326" s="1">
        <v>44350</v>
      </c>
      <c r="E2326">
        <v>1</v>
      </c>
      <c r="F2326" t="s">
        <v>1269</v>
      </c>
      <c r="G2326" t="str">
        <f>"15-K07-03"</f>
        <v>15-K07-03</v>
      </c>
      <c r="H2326">
        <v>1.7032</v>
      </c>
      <c r="I2326" t="s">
        <v>1480</v>
      </c>
      <c r="J2326" t="s">
        <v>59</v>
      </c>
      <c r="K2326" t="str">
        <f t="shared" si="165"/>
        <v>3F4</v>
      </c>
      <c r="L2326" t="s">
        <v>15</v>
      </c>
    </row>
    <row r="2327" spans="1:12" x14ac:dyDescent="0.25">
      <c r="A2327" t="str">
        <f>"2155060677"</f>
        <v>2155060677</v>
      </c>
      <c r="B2327" t="str">
        <f t="shared" si="161"/>
        <v>89301000</v>
      </c>
      <c r="C2327" s="1">
        <v>44454</v>
      </c>
      <c r="D2327" s="1">
        <v>44466</v>
      </c>
      <c r="E2327">
        <v>6</v>
      </c>
      <c r="F2327" t="s">
        <v>1481</v>
      </c>
      <c r="G2327" t="str">
        <f>"01-I06-02"</f>
        <v>01-I06-02</v>
      </c>
      <c r="H2327">
        <v>5.1687000000000003</v>
      </c>
      <c r="I2327" t="s">
        <v>1482</v>
      </c>
      <c r="J2327" t="s">
        <v>17</v>
      </c>
      <c r="K2327" t="str">
        <f>"3T1"</f>
        <v>3T1</v>
      </c>
      <c r="L2327" t="s">
        <v>15</v>
      </c>
    </row>
    <row r="2328" spans="1:12" x14ac:dyDescent="0.25">
      <c r="A2328" t="str">
        <f>"2155070093"</f>
        <v>2155070093</v>
      </c>
      <c r="B2328" t="str">
        <f t="shared" si="161"/>
        <v>89301000</v>
      </c>
      <c r="C2328" s="1">
        <v>44323</v>
      </c>
      <c r="D2328" s="1">
        <v>44325</v>
      </c>
      <c r="E2328">
        <v>1</v>
      </c>
      <c r="F2328" t="s">
        <v>1261</v>
      </c>
      <c r="G2328" t="str">
        <f>"15-K06-04"</f>
        <v>15-K06-04</v>
      </c>
      <c r="H2328">
        <v>0.27479999999999999</v>
      </c>
      <c r="J2328" t="s">
        <v>59</v>
      </c>
      <c r="K2328" t="str">
        <f t="shared" ref="K2328:K2362" si="166">"3F4"</f>
        <v>3F4</v>
      </c>
      <c r="L2328" t="s">
        <v>15</v>
      </c>
    </row>
    <row r="2329" spans="1:12" x14ac:dyDescent="0.25">
      <c r="A2329" t="str">
        <f>"2155070874"</f>
        <v>2155070874</v>
      </c>
      <c r="B2329" t="str">
        <f t="shared" si="161"/>
        <v>89301000</v>
      </c>
      <c r="C2329" s="1">
        <v>44323</v>
      </c>
      <c r="D2329" s="1">
        <v>44325</v>
      </c>
      <c r="E2329">
        <v>1</v>
      </c>
      <c r="F2329" t="s">
        <v>1261</v>
      </c>
      <c r="G2329" t="str">
        <f>"15-K06-04"</f>
        <v>15-K06-04</v>
      </c>
      <c r="H2329">
        <v>0.27479999999999999</v>
      </c>
      <c r="J2329" t="s">
        <v>59</v>
      </c>
      <c r="K2329" t="str">
        <f t="shared" si="166"/>
        <v>3F4</v>
      </c>
      <c r="L2329" t="s">
        <v>15</v>
      </c>
    </row>
    <row r="2330" spans="1:12" x14ac:dyDescent="0.25">
      <c r="A2330" t="str">
        <f>"2155080180"</f>
        <v>2155080180</v>
      </c>
      <c r="B2330" t="str">
        <f t="shared" si="161"/>
        <v>89301000</v>
      </c>
      <c r="C2330" s="1">
        <v>44324</v>
      </c>
      <c r="D2330" s="1">
        <v>44329</v>
      </c>
      <c r="E2330">
        <v>1</v>
      </c>
      <c r="F2330" t="s">
        <v>1483</v>
      </c>
      <c r="G2330" t="str">
        <f>"15-K07-03"</f>
        <v>15-K07-03</v>
      </c>
      <c r="H2330">
        <v>0.53959999999999997</v>
      </c>
      <c r="I2330" t="s">
        <v>1484</v>
      </c>
      <c r="J2330" t="s">
        <v>59</v>
      </c>
      <c r="K2330" t="str">
        <f t="shared" si="166"/>
        <v>3F4</v>
      </c>
      <c r="L2330" t="s">
        <v>15</v>
      </c>
    </row>
    <row r="2331" spans="1:12" x14ac:dyDescent="0.25">
      <c r="A2331" t="str">
        <f>"2155090355"</f>
        <v>2155090355</v>
      </c>
      <c r="B2331" t="str">
        <f t="shared" si="161"/>
        <v>89301000</v>
      </c>
      <c r="C2331" s="1">
        <v>44325</v>
      </c>
      <c r="D2331" s="1">
        <v>44328</v>
      </c>
      <c r="E2331">
        <v>1</v>
      </c>
      <c r="F2331" t="s">
        <v>1338</v>
      </c>
      <c r="G2331" t="str">
        <f>"15-K05-03"</f>
        <v>15-K05-03</v>
      </c>
      <c r="H2331">
        <v>0.62380000000000002</v>
      </c>
      <c r="I2331" t="s">
        <v>1221</v>
      </c>
      <c r="J2331" t="s">
        <v>1212</v>
      </c>
      <c r="K2331" t="str">
        <f t="shared" si="166"/>
        <v>3F4</v>
      </c>
      <c r="L2331" t="s">
        <v>15</v>
      </c>
    </row>
    <row r="2332" spans="1:12" x14ac:dyDescent="0.25">
      <c r="A2332" t="str">
        <f>"2155090366"</f>
        <v>2155090366</v>
      </c>
      <c r="B2332" t="str">
        <f t="shared" si="161"/>
        <v>89301000</v>
      </c>
      <c r="C2332" s="1">
        <v>44325</v>
      </c>
      <c r="D2332" s="1">
        <v>44328</v>
      </c>
      <c r="E2332">
        <v>1</v>
      </c>
      <c r="F2332" t="s">
        <v>1338</v>
      </c>
      <c r="G2332" t="str">
        <f>"15-K05-03"</f>
        <v>15-K05-03</v>
      </c>
      <c r="H2332">
        <v>0.62380000000000002</v>
      </c>
      <c r="I2332" t="s">
        <v>1221</v>
      </c>
      <c r="J2332" t="s">
        <v>1212</v>
      </c>
      <c r="K2332" t="str">
        <f t="shared" si="166"/>
        <v>3F4</v>
      </c>
      <c r="L2332" t="s">
        <v>15</v>
      </c>
    </row>
    <row r="2333" spans="1:12" x14ac:dyDescent="0.25">
      <c r="A2333" t="str">
        <f>"2155090388"</f>
        <v>2155090388</v>
      </c>
      <c r="B2333" t="str">
        <f t="shared" si="161"/>
        <v>89301000</v>
      </c>
      <c r="C2333" s="1">
        <v>44325</v>
      </c>
      <c r="D2333" s="1">
        <v>44328</v>
      </c>
      <c r="E2333">
        <v>1</v>
      </c>
      <c r="F2333" t="s">
        <v>1261</v>
      </c>
      <c r="G2333" t="str">
        <f>"15-K06-04"</f>
        <v>15-K06-04</v>
      </c>
      <c r="H2333">
        <v>0.27479999999999999</v>
      </c>
      <c r="I2333" t="s">
        <v>725</v>
      </c>
      <c r="J2333" t="s">
        <v>59</v>
      </c>
      <c r="K2333" t="str">
        <f t="shared" si="166"/>
        <v>3F4</v>
      </c>
      <c r="L2333" t="s">
        <v>15</v>
      </c>
    </row>
    <row r="2334" spans="1:12" x14ac:dyDescent="0.25">
      <c r="A2334" t="str">
        <f>"2155090487"</f>
        <v>2155090487</v>
      </c>
      <c r="B2334" t="str">
        <f t="shared" si="161"/>
        <v>89301000</v>
      </c>
      <c r="C2334" s="1">
        <v>44325</v>
      </c>
      <c r="D2334" s="1">
        <v>44328</v>
      </c>
      <c r="E2334">
        <v>1</v>
      </c>
      <c r="F2334" t="s">
        <v>1261</v>
      </c>
      <c r="G2334" t="str">
        <f>"15-K06-04"</f>
        <v>15-K06-04</v>
      </c>
      <c r="H2334">
        <v>0.27479999999999999</v>
      </c>
      <c r="J2334" t="s">
        <v>59</v>
      </c>
      <c r="K2334" t="str">
        <f t="shared" si="166"/>
        <v>3F4</v>
      </c>
      <c r="L2334" t="s">
        <v>15</v>
      </c>
    </row>
    <row r="2335" spans="1:12" x14ac:dyDescent="0.25">
      <c r="A2335" t="str">
        <f>"2155110705"</f>
        <v>2155110705</v>
      </c>
      <c r="B2335" t="str">
        <f t="shared" si="161"/>
        <v>89301000</v>
      </c>
      <c r="C2335" s="1">
        <v>44327</v>
      </c>
      <c r="D2335" s="1">
        <v>44331</v>
      </c>
      <c r="E2335">
        <v>1</v>
      </c>
      <c r="F2335" t="s">
        <v>1261</v>
      </c>
      <c r="G2335" t="str">
        <f>"15-K06-04"</f>
        <v>15-K06-04</v>
      </c>
      <c r="H2335">
        <v>0.27479999999999999</v>
      </c>
      <c r="J2335" t="s">
        <v>59</v>
      </c>
      <c r="K2335" t="str">
        <f t="shared" si="166"/>
        <v>3F4</v>
      </c>
      <c r="L2335" t="s">
        <v>15</v>
      </c>
    </row>
    <row r="2336" spans="1:12" x14ac:dyDescent="0.25">
      <c r="A2336" t="str">
        <f>"2155130549"</f>
        <v>2155130549</v>
      </c>
      <c r="B2336" t="str">
        <f t="shared" si="161"/>
        <v>89301000</v>
      </c>
      <c r="C2336" s="1">
        <v>44329</v>
      </c>
      <c r="D2336" s="1">
        <v>44332</v>
      </c>
      <c r="E2336">
        <v>1</v>
      </c>
      <c r="F2336" t="s">
        <v>1261</v>
      </c>
      <c r="G2336" t="str">
        <f>"15-K06-04"</f>
        <v>15-K06-04</v>
      </c>
      <c r="H2336">
        <v>0.27479999999999999</v>
      </c>
      <c r="I2336" t="s">
        <v>1304</v>
      </c>
      <c r="J2336" t="s">
        <v>59</v>
      </c>
      <c r="K2336" t="str">
        <f t="shared" si="166"/>
        <v>3F4</v>
      </c>
      <c r="L2336" t="s">
        <v>15</v>
      </c>
    </row>
    <row r="2337" spans="1:12" x14ac:dyDescent="0.25">
      <c r="A2337" t="str">
        <f>"2155140746"</f>
        <v>2155140746</v>
      </c>
      <c r="B2337" t="str">
        <f t="shared" si="161"/>
        <v>89301000</v>
      </c>
      <c r="C2337" s="1">
        <v>44330</v>
      </c>
      <c r="D2337" s="1">
        <v>44334</v>
      </c>
      <c r="E2337">
        <v>1</v>
      </c>
      <c r="F2337" t="s">
        <v>1261</v>
      </c>
      <c r="G2337" t="str">
        <f>"15-K05-03"</f>
        <v>15-K05-03</v>
      </c>
      <c r="H2337">
        <v>0.62380000000000002</v>
      </c>
      <c r="J2337" t="s">
        <v>1212</v>
      </c>
      <c r="K2337" t="str">
        <f t="shared" si="166"/>
        <v>3F4</v>
      </c>
      <c r="L2337" t="s">
        <v>15</v>
      </c>
    </row>
    <row r="2338" spans="1:12" x14ac:dyDescent="0.25">
      <c r="A2338" t="str">
        <f>"2155140757"</f>
        <v>2155140757</v>
      </c>
      <c r="B2338" t="str">
        <f t="shared" si="161"/>
        <v>89301000</v>
      </c>
      <c r="C2338" s="1">
        <v>44330</v>
      </c>
      <c r="D2338" s="1">
        <v>44332</v>
      </c>
      <c r="E2338">
        <v>1</v>
      </c>
      <c r="F2338" t="s">
        <v>1261</v>
      </c>
      <c r="G2338" t="str">
        <f>"15-K06-04"</f>
        <v>15-K06-04</v>
      </c>
      <c r="H2338">
        <v>0.27479999999999999</v>
      </c>
      <c r="I2338" t="s">
        <v>1319</v>
      </c>
      <c r="J2338" t="s">
        <v>59</v>
      </c>
      <c r="K2338" t="str">
        <f t="shared" si="166"/>
        <v>3F4</v>
      </c>
      <c r="L2338" t="s">
        <v>15</v>
      </c>
    </row>
    <row r="2339" spans="1:12" x14ac:dyDescent="0.25">
      <c r="A2339" t="str">
        <f>"2155160348"</f>
        <v>2155160348</v>
      </c>
      <c r="B2339" t="str">
        <f t="shared" si="161"/>
        <v>89301000</v>
      </c>
      <c r="C2339" s="1">
        <v>44332</v>
      </c>
      <c r="D2339" s="1">
        <v>44335</v>
      </c>
      <c r="E2339">
        <v>1</v>
      </c>
      <c r="F2339" t="s">
        <v>1261</v>
      </c>
      <c r="G2339" t="str">
        <f>"15-K06-04"</f>
        <v>15-K06-04</v>
      </c>
      <c r="H2339">
        <v>0.27479999999999999</v>
      </c>
      <c r="J2339" t="s">
        <v>59</v>
      </c>
      <c r="K2339" t="str">
        <f t="shared" si="166"/>
        <v>3F4</v>
      </c>
      <c r="L2339" t="s">
        <v>15</v>
      </c>
    </row>
    <row r="2340" spans="1:12" x14ac:dyDescent="0.25">
      <c r="A2340" t="str">
        <f>"2155170611"</f>
        <v>2155170611</v>
      </c>
      <c r="B2340" t="str">
        <f t="shared" si="161"/>
        <v>89301000</v>
      </c>
      <c r="C2340" s="1">
        <v>44333</v>
      </c>
      <c r="D2340" s="1">
        <v>44338</v>
      </c>
      <c r="E2340">
        <v>1</v>
      </c>
      <c r="F2340" t="s">
        <v>1276</v>
      </c>
      <c r="G2340" t="str">
        <f>"15-K07-03"</f>
        <v>15-K07-03</v>
      </c>
      <c r="H2340">
        <v>0.53959999999999997</v>
      </c>
      <c r="J2340" t="s">
        <v>59</v>
      </c>
      <c r="K2340" t="str">
        <f t="shared" si="166"/>
        <v>3F4</v>
      </c>
      <c r="L2340" t="s">
        <v>15</v>
      </c>
    </row>
    <row r="2341" spans="1:12" x14ac:dyDescent="0.25">
      <c r="A2341" t="str">
        <f>"2155180511"</f>
        <v>2155180511</v>
      </c>
      <c r="B2341" t="str">
        <f t="shared" si="161"/>
        <v>89301000</v>
      </c>
      <c r="C2341" s="1">
        <v>44334</v>
      </c>
      <c r="D2341" s="1">
        <v>44337</v>
      </c>
      <c r="E2341">
        <v>1</v>
      </c>
      <c r="F2341" t="s">
        <v>1261</v>
      </c>
      <c r="G2341" t="str">
        <f>"15-K06-04"</f>
        <v>15-K06-04</v>
      </c>
      <c r="H2341">
        <v>0.27479999999999999</v>
      </c>
      <c r="I2341" t="s">
        <v>1485</v>
      </c>
      <c r="J2341" t="s">
        <v>59</v>
      </c>
      <c r="K2341" t="str">
        <f t="shared" si="166"/>
        <v>3F4</v>
      </c>
      <c r="L2341" t="s">
        <v>15</v>
      </c>
    </row>
    <row r="2342" spans="1:12" x14ac:dyDescent="0.25">
      <c r="A2342" t="str">
        <f>"2155180522"</f>
        <v>2155180522</v>
      </c>
      <c r="B2342" t="str">
        <f t="shared" si="161"/>
        <v>89301000</v>
      </c>
      <c r="C2342" s="1">
        <v>44334</v>
      </c>
      <c r="D2342" s="1">
        <v>44338</v>
      </c>
      <c r="E2342">
        <v>1</v>
      </c>
      <c r="F2342" t="s">
        <v>1261</v>
      </c>
      <c r="G2342" t="str">
        <f>"15-K06-04"</f>
        <v>15-K06-04</v>
      </c>
      <c r="H2342">
        <v>0.27479999999999999</v>
      </c>
      <c r="J2342" t="s">
        <v>59</v>
      </c>
      <c r="K2342" t="str">
        <f t="shared" si="166"/>
        <v>3F4</v>
      </c>
      <c r="L2342" t="s">
        <v>15</v>
      </c>
    </row>
    <row r="2343" spans="1:12" x14ac:dyDescent="0.25">
      <c r="A2343" t="str">
        <f>"2155190015"</f>
        <v>2155190015</v>
      </c>
      <c r="B2343" t="str">
        <f t="shared" si="161"/>
        <v>89301000</v>
      </c>
      <c r="C2343" s="1">
        <v>44335</v>
      </c>
      <c r="D2343" s="1">
        <v>44337</v>
      </c>
      <c r="E2343">
        <v>1</v>
      </c>
      <c r="F2343" t="s">
        <v>1261</v>
      </c>
      <c r="G2343" t="str">
        <f>"15-K06-04"</f>
        <v>15-K06-04</v>
      </c>
      <c r="H2343">
        <v>0.27479999999999999</v>
      </c>
      <c r="J2343" t="s">
        <v>59</v>
      </c>
      <c r="K2343" t="str">
        <f t="shared" si="166"/>
        <v>3F4</v>
      </c>
      <c r="L2343" t="s">
        <v>15</v>
      </c>
    </row>
    <row r="2344" spans="1:12" x14ac:dyDescent="0.25">
      <c r="A2344" t="str">
        <f>"2155190576"</f>
        <v>2155190576</v>
      </c>
      <c r="B2344" t="str">
        <f t="shared" si="161"/>
        <v>89301000</v>
      </c>
      <c r="C2344" s="1">
        <v>44335</v>
      </c>
      <c r="D2344" s="1">
        <v>44407</v>
      </c>
      <c r="E2344">
        <v>1</v>
      </c>
      <c r="F2344" t="s">
        <v>1338</v>
      </c>
      <c r="G2344" t="str">
        <f>"15-M01-04"</f>
        <v>15-M01-04</v>
      </c>
      <c r="H2344">
        <v>17.09</v>
      </c>
      <c r="I2344" t="s">
        <v>1486</v>
      </c>
      <c r="J2344" t="s">
        <v>1212</v>
      </c>
      <c r="K2344" t="str">
        <f t="shared" si="166"/>
        <v>3F4</v>
      </c>
      <c r="L2344" t="s">
        <v>15</v>
      </c>
    </row>
    <row r="2345" spans="1:12" x14ac:dyDescent="0.25">
      <c r="A2345" t="str">
        <f>"2155190587"</f>
        <v>2155190587</v>
      </c>
      <c r="B2345" t="str">
        <f t="shared" ref="B2345:B2408" si="167">"89301000"</f>
        <v>89301000</v>
      </c>
      <c r="C2345" s="1">
        <v>44335</v>
      </c>
      <c r="D2345" s="1">
        <v>44407</v>
      </c>
      <c r="E2345">
        <v>1</v>
      </c>
      <c r="F2345" t="s">
        <v>1373</v>
      </c>
      <c r="G2345" t="str">
        <f>"15-M01-05"</f>
        <v>15-M01-05</v>
      </c>
      <c r="H2345">
        <v>16.795100000000001</v>
      </c>
      <c r="I2345" t="s">
        <v>1487</v>
      </c>
      <c r="J2345" t="s">
        <v>1212</v>
      </c>
      <c r="K2345" t="str">
        <f t="shared" si="166"/>
        <v>3F4</v>
      </c>
      <c r="L2345" t="s">
        <v>15</v>
      </c>
    </row>
    <row r="2346" spans="1:12" x14ac:dyDescent="0.25">
      <c r="A2346" t="str">
        <f>"2155210706"</f>
        <v>2155210706</v>
      </c>
      <c r="B2346" t="str">
        <f t="shared" si="167"/>
        <v>89301000</v>
      </c>
      <c r="C2346" s="1">
        <v>44337</v>
      </c>
      <c r="D2346" s="1">
        <v>44340</v>
      </c>
      <c r="E2346">
        <v>1</v>
      </c>
      <c r="F2346" t="s">
        <v>1261</v>
      </c>
      <c r="G2346" t="str">
        <f>"15-K06-04"</f>
        <v>15-K06-04</v>
      </c>
      <c r="H2346">
        <v>0.27479999999999999</v>
      </c>
      <c r="J2346" t="s">
        <v>59</v>
      </c>
      <c r="K2346" t="str">
        <f t="shared" si="166"/>
        <v>3F4</v>
      </c>
      <c r="L2346" t="s">
        <v>15</v>
      </c>
    </row>
    <row r="2347" spans="1:12" x14ac:dyDescent="0.25">
      <c r="A2347" t="str">
        <f>"2155220243"</f>
        <v>2155220243</v>
      </c>
      <c r="B2347" t="str">
        <f t="shared" si="167"/>
        <v>89301000</v>
      </c>
      <c r="C2347" s="1">
        <v>44338</v>
      </c>
      <c r="D2347" s="1">
        <v>44344</v>
      </c>
      <c r="E2347">
        <v>1</v>
      </c>
      <c r="F2347" t="s">
        <v>1261</v>
      </c>
      <c r="G2347" t="str">
        <f>"15-K06-01"</f>
        <v>15-K06-01</v>
      </c>
      <c r="H2347">
        <v>1.1248</v>
      </c>
      <c r="I2347" t="s">
        <v>1488</v>
      </c>
      <c r="J2347" t="s">
        <v>59</v>
      </c>
      <c r="K2347" t="str">
        <f t="shared" si="166"/>
        <v>3F4</v>
      </c>
      <c r="L2347" t="s">
        <v>15</v>
      </c>
    </row>
    <row r="2348" spans="1:12" x14ac:dyDescent="0.25">
      <c r="A2348" t="str">
        <f>"2155220276"</f>
        <v>2155220276</v>
      </c>
      <c r="B2348" t="str">
        <f t="shared" si="167"/>
        <v>89301000</v>
      </c>
      <c r="C2348" s="1">
        <v>44338</v>
      </c>
      <c r="D2348" s="1">
        <v>44341</v>
      </c>
      <c r="E2348">
        <v>1</v>
      </c>
      <c r="F2348" t="s">
        <v>1261</v>
      </c>
      <c r="G2348" t="str">
        <f>"15-K06-04"</f>
        <v>15-K06-04</v>
      </c>
      <c r="H2348">
        <v>0.27479999999999999</v>
      </c>
      <c r="J2348" t="s">
        <v>59</v>
      </c>
      <c r="K2348" t="str">
        <f t="shared" si="166"/>
        <v>3F4</v>
      </c>
      <c r="L2348" t="s">
        <v>15</v>
      </c>
    </row>
    <row r="2349" spans="1:12" x14ac:dyDescent="0.25">
      <c r="A2349" t="str">
        <f>"2155220287"</f>
        <v>2155220287</v>
      </c>
      <c r="B2349" t="str">
        <f t="shared" si="167"/>
        <v>89301000</v>
      </c>
      <c r="C2349" s="1">
        <v>44338</v>
      </c>
      <c r="D2349" s="1">
        <v>44343</v>
      </c>
      <c r="E2349">
        <v>1</v>
      </c>
      <c r="F2349" t="s">
        <v>1261</v>
      </c>
      <c r="G2349" t="str">
        <f>"15-K06-04"</f>
        <v>15-K06-04</v>
      </c>
      <c r="H2349">
        <v>0.27479999999999999</v>
      </c>
      <c r="J2349" t="s">
        <v>59</v>
      </c>
      <c r="K2349" t="str">
        <f t="shared" si="166"/>
        <v>3F4</v>
      </c>
      <c r="L2349" t="s">
        <v>15</v>
      </c>
    </row>
    <row r="2350" spans="1:12" x14ac:dyDescent="0.25">
      <c r="A2350" t="str">
        <f>"2155270920"</f>
        <v>2155270920</v>
      </c>
      <c r="B2350" t="str">
        <f t="shared" si="167"/>
        <v>89301000</v>
      </c>
      <c r="C2350" s="1">
        <v>44343</v>
      </c>
      <c r="D2350" s="1">
        <v>44362</v>
      </c>
      <c r="E2350">
        <v>1</v>
      </c>
      <c r="F2350" t="s">
        <v>1210</v>
      </c>
      <c r="G2350" t="str">
        <f>"15-K03-02"</f>
        <v>15-K03-02</v>
      </c>
      <c r="H2350">
        <v>3.3967000000000001</v>
      </c>
      <c r="I2350" t="s">
        <v>1258</v>
      </c>
      <c r="J2350" t="s">
        <v>1212</v>
      </c>
      <c r="K2350" t="str">
        <f t="shared" si="166"/>
        <v>3F4</v>
      </c>
      <c r="L2350" t="s">
        <v>15</v>
      </c>
    </row>
    <row r="2351" spans="1:12" x14ac:dyDescent="0.25">
      <c r="A2351" t="str">
        <f>"2155270931"</f>
        <v>2155270931</v>
      </c>
      <c r="B2351" t="str">
        <f t="shared" si="167"/>
        <v>89301000</v>
      </c>
      <c r="C2351" s="1">
        <v>44343</v>
      </c>
      <c r="D2351" s="1">
        <v>44346</v>
      </c>
      <c r="E2351">
        <v>1</v>
      </c>
      <c r="F2351" t="s">
        <v>1261</v>
      </c>
      <c r="G2351" t="str">
        <f>"15-K06-04"</f>
        <v>15-K06-04</v>
      </c>
      <c r="H2351">
        <v>0.27479999999999999</v>
      </c>
      <c r="J2351" t="s">
        <v>59</v>
      </c>
      <c r="K2351" t="str">
        <f t="shared" si="166"/>
        <v>3F4</v>
      </c>
      <c r="L2351" t="s">
        <v>15</v>
      </c>
    </row>
    <row r="2352" spans="1:12" x14ac:dyDescent="0.25">
      <c r="A2352" t="str">
        <f>"2155280105"</f>
        <v>2155280105</v>
      </c>
      <c r="B2352" t="str">
        <f t="shared" si="167"/>
        <v>89301000</v>
      </c>
      <c r="C2352" s="1">
        <v>44344</v>
      </c>
      <c r="D2352" s="1">
        <v>44346</v>
      </c>
      <c r="E2352">
        <v>1</v>
      </c>
      <c r="F2352" t="s">
        <v>1261</v>
      </c>
      <c r="G2352" t="str">
        <f>"15-K06-04"</f>
        <v>15-K06-04</v>
      </c>
      <c r="H2352">
        <v>0.27479999999999999</v>
      </c>
      <c r="J2352" t="s">
        <v>59</v>
      </c>
      <c r="K2352" t="str">
        <f t="shared" si="166"/>
        <v>3F4</v>
      </c>
      <c r="L2352" t="s">
        <v>15</v>
      </c>
    </row>
    <row r="2353" spans="1:12" x14ac:dyDescent="0.25">
      <c r="A2353" t="str">
        <f>"2155280666"</f>
        <v>2155280666</v>
      </c>
      <c r="B2353" t="str">
        <f t="shared" si="167"/>
        <v>89301000</v>
      </c>
      <c r="C2353" s="1">
        <v>44344</v>
      </c>
      <c r="D2353" s="1">
        <v>44348</v>
      </c>
      <c r="E2353">
        <v>1</v>
      </c>
      <c r="F2353" t="s">
        <v>1261</v>
      </c>
      <c r="G2353" t="str">
        <f>"15-K06-04"</f>
        <v>15-K06-04</v>
      </c>
      <c r="H2353">
        <v>0.27479999999999999</v>
      </c>
      <c r="J2353" t="s">
        <v>59</v>
      </c>
      <c r="K2353" t="str">
        <f t="shared" si="166"/>
        <v>3F4</v>
      </c>
      <c r="L2353" t="s">
        <v>15</v>
      </c>
    </row>
    <row r="2354" spans="1:12" x14ac:dyDescent="0.25">
      <c r="A2354" t="str">
        <f>"2155280710"</f>
        <v>2155280710</v>
      </c>
      <c r="B2354" t="str">
        <f t="shared" si="167"/>
        <v>89301000</v>
      </c>
      <c r="C2354" s="1">
        <v>44344</v>
      </c>
      <c r="D2354" s="1">
        <v>44349</v>
      </c>
      <c r="E2354">
        <v>1</v>
      </c>
      <c r="F2354" t="s">
        <v>1261</v>
      </c>
      <c r="G2354" t="str">
        <f>"15-K06-02"</f>
        <v>15-K06-02</v>
      </c>
      <c r="H2354">
        <v>0.59770000000000001</v>
      </c>
      <c r="I2354" t="s">
        <v>1337</v>
      </c>
      <c r="J2354" t="s">
        <v>59</v>
      </c>
      <c r="K2354" t="str">
        <f t="shared" si="166"/>
        <v>3F4</v>
      </c>
      <c r="L2354" t="s">
        <v>15</v>
      </c>
    </row>
    <row r="2355" spans="1:12" x14ac:dyDescent="0.25">
      <c r="A2355" t="str">
        <f>"2155280732"</f>
        <v>2155280732</v>
      </c>
      <c r="B2355" t="str">
        <f t="shared" si="167"/>
        <v>89301000</v>
      </c>
      <c r="C2355" s="1">
        <v>44344</v>
      </c>
      <c r="D2355" s="1">
        <v>44347</v>
      </c>
      <c r="E2355">
        <v>1</v>
      </c>
      <c r="F2355" t="s">
        <v>1261</v>
      </c>
      <c r="G2355" t="str">
        <f>"15-K06-04"</f>
        <v>15-K06-04</v>
      </c>
      <c r="H2355">
        <v>0.27479999999999999</v>
      </c>
      <c r="I2355" t="s">
        <v>1489</v>
      </c>
      <c r="J2355" t="s">
        <v>59</v>
      </c>
      <c r="K2355" t="str">
        <f t="shared" si="166"/>
        <v>3F4</v>
      </c>
      <c r="L2355" t="s">
        <v>15</v>
      </c>
    </row>
    <row r="2356" spans="1:12" x14ac:dyDescent="0.25">
      <c r="A2356" t="str">
        <f>"2155310388"</f>
        <v>2155310388</v>
      </c>
      <c r="B2356" t="str">
        <f t="shared" si="167"/>
        <v>89301000</v>
      </c>
      <c r="C2356" s="1">
        <v>44347</v>
      </c>
      <c r="D2356" s="1">
        <v>44357</v>
      </c>
      <c r="E2356">
        <v>1</v>
      </c>
      <c r="F2356" t="s">
        <v>1422</v>
      </c>
      <c r="G2356" t="str">
        <f>"15-M01-11"</f>
        <v>15-M01-11</v>
      </c>
      <c r="H2356">
        <v>4.7668999999999997</v>
      </c>
      <c r="I2356" t="s">
        <v>1490</v>
      </c>
      <c r="J2356" t="s">
        <v>1212</v>
      </c>
      <c r="K2356" t="str">
        <f t="shared" si="166"/>
        <v>3F4</v>
      </c>
      <c r="L2356" t="s">
        <v>15</v>
      </c>
    </row>
    <row r="2357" spans="1:12" x14ac:dyDescent="0.25">
      <c r="A2357" t="str">
        <f>"2156020812"</f>
        <v>2156020812</v>
      </c>
      <c r="B2357" t="str">
        <f t="shared" si="167"/>
        <v>89301000</v>
      </c>
      <c r="C2357" s="1">
        <v>44349</v>
      </c>
      <c r="D2357" s="1">
        <v>44352</v>
      </c>
      <c r="E2357">
        <v>1</v>
      </c>
      <c r="F2357" t="s">
        <v>1261</v>
      </c>
      <c r="G2357" t="str">
        <f>"15-K06-04"</f>
        <v>15-K06-04</v>
      </c>
      <c r="H2357">
        <v>0.27479999999999999</v>
      </c>
      <c r="J2357" t="s">
        <v>59</v>
      </c>
      <c r="K2357" t="str">
        <f t="shared" si="166"/>
        <v>3F4</v>
      </c>
      <c r="L2357" t="s">
        <v>15</v>
      </c>
    </row>
    <row r="2358" spans="1:12" x14ac:dyDescent="0.25">
      <c r="A2358" t="str">
        <f>"2156020823"</f>
        <v>2156020823</v>
      </c>
      <c r="B2358" t="str">
        <f t="shared" si="167"/>
        <v>89301000</v>
      </c>
      <c r="C2358" s="1">
        <v>44349</v>
      </c>
      <c r="D2358" s="1">
        <v>44352</v>
      </c>
      <c r="E2358">
        <v>1</v>
      </c>
      <c r="F2358" t="s">
        <v>1261</v>
      </c>
      <c r="G2358" t="str">
        <f>"15-K06-04"</f>
        <v>15-K06-04</v>
      </c>
      <c r="H2358">
        <v>0.27479999999999999</v>
      </c>
      <c r="J2358" t="s">
        <v>59</v>
      </c>
      <c r="K2358" t="str">
        <f t="shared" si="166"/>
        <v>3F4</v>
      </c>
      <c r="L2358" t="s">
        <v>15</v>
      </c>
    </row>
    <row r="2359" spans="1:12" x14ac:dyDescent="0.25">
      <c r="A2359" t="str">
        <f>"2156030745"</f>
        <v>2156030745</v>
      </c>
      <c r="B2359" t="str">
        <f t="shared" si="167"/>
        <v>89301000</v>
      </c>
      <c r="C2359" s="1">
        <v>44350</v>
      </c>
      <c r="D2359" s="1">
        <v>44354</v>
      </c>
      <c r="E2359">
        <v>1</v>
      </c>
      <c r="F2359" t="s">
        <v>1261</v>
      </c>
      <c r="G2359" t="str">
        <f>"15-K06-04"</f>
        <v>15-K06-04</v>
      </c>
      <c r="H2359">
        <v>0.27479999999999999</v>
      </c>
      <c r="J2359" t="s">
        <v>59</v>
      </c>
      <c r="K2359" t="str">
        <f t="shared" si="166"/>
        <v>3F4</v>
      </c>
      <c r="L2359" t="s">
        <v>15</v>
      </c>
    </row>
    <row r="2360" spans="1:12" x14ac:dyDescent="0.25">
      <c r="A2360" t="str">
        <f>"2156032010"</f>
        <v>2156032010</v>
      </c>
      <c r="B2360" t="str">
        <f t="shared" si="167"/>
        <v>89301000</v>
      </c>
      <c r="C2360" s="1">
        <v>44350</v>
      </c>
      <c r="D2360" s="1">
        <v>44357</v>
      </c>
      <c r="E2360">
        <v>1</v>
      </c>
      <c r="F2360" t="s">
        <v>1282</v>
      </c>
      <c r="G2360" t="str">
        <f>"15-M01-13"</f>
        <v>15-M01-13</v>
      </c>
      <c r="H2360">
        <v>2.5091999999999999</v>
      </c>
      <c r="I2360" t="s">
        <v>1288</v>
      </c>
      <c r="J2360" t="s">
        <v>1212</v>
      </c>
      <c r="K2360" t="str">
        <f t="shared" si="166"/>
        <v>3F4</v>
      </c>
      <c r="L2360" t="s">
        <v>15</v>
      </c>
    </row>
    <row r="2361" spans="1:12" x14ac:dyDescent="0.25">
      <c r="A2361" t="str">
        <f>"2156040711"</f>
        <v>2156040711</v>
      </c>
      <c r="B2361" t="str">
        <f t="shared" si="167"/>
        <v>89301000</v>
      </c>
      <c r="C2361" s="1">
        <v>44351</v>
      </c>
      <c r="D2361" s="1">
        <v>44354</v>
      </c>
      <c r="E2361">
        <v>1</v>
      </c>
      <c r="F2361" t="s">
        <v>1261</v>
      </c>
      <c r="G2361" t="str">
        <f>"15-K06-04"</f>
        <v>15-K06-04</v>
      </c>
      <c r="H2361">
        <v>0.27479999999999999</v>
      </c>
      <c r="I2361" t="s">
        <v>1491</v>
      </c>
      <c r="J2361" t="s">
        <v>59</v>
      </c>
      <c r="K2361" t="str">
        <f t="shared" si="166"/>
        <v>3F4</v>
      </c>
      <c r="L2361" t="s">
        <v>15</v>
      </c>
    </row>
    <row r="2362" spans="1:12" x14ac:dyDescent="0.25">
      <c r="A2362" t="str">
        <f>"2156050347"</f>
        <v>2156050347</v>
      </c>
      <c r="B2362" t="str">
        <f t="shared" si="167"/>
        <v>89301000</v>
      </c>
      <c r="C2362" s="1">
        <v>44352</v>
      </c>
      <c r="D2362" s="1">
        <v>44354</v>
      </c>
      <c r="E2362">
        <v>1</v>
      </c>
      <c r="F2362" t="s">
        <v>1261</v>
      </c>
      <c r="G2362" t="str">
        <f>"15-K06-04"</f>
        <v>15-K06-04</v>
      </c>
      <c r="H2362">
        <v>0.27479999999999999</v>
      </c>
      <c r="J2362" t="s">
        <v>59</v>
      </c>
      <c r="K2362" t="str">
        <f t="shared" si="166"/>
        <v>3F4</v>
      </c>
      <c r="L2362" t="s">
        <v>15</v>
      </c>
    </row>
    <row r="2363" spans="1:12" x14ac:dyDescent="0.25">
      <c r="A2363" t="str">
        <f>"2156050347"</f>
        <v>2156050347</v>
      </c>
      <c r="B2363" t="str">
        <f t="shared" si="167"/>
        <v>89301000</v>
      </c>
      <c r="C2363" s="1">
        <v>44477</v>
      </c>
      <c r="D2363" s="1">
        <v>44480</v>
      </c>
      <c r="E2363">
        <v>1</v>
      </c>
      <c r="F2363" t="s">
        <v>957</v>
      </c>
      <c r="G2363" t="str">
        <f>"06-K02-04"</f>
        <v>06-K02-04</v>
      </c>
      <c r="H2363">
        <v>0.3634</v>
      </c>
      <c r="I2363" t="s">
        <v>530</v>
      </c>
      <c r="J2363" t="s">
        <v>14</v>
      </c>
      <c r="K2363" t="str">
        <f>"3F1"</f>
        <v>3F1</v>
      </c>
      <c r="L2363" t="s">
        <v>15</v>
      </c>
    </row>
    <row r="2364" spans="1:12" x14ac:dyDescent="0.25">
      <c r="A2364" t="str">
        <f>"2156060313"</f>
        <v>2156060313</v>
      </c>
      <c r="B2364" t="str">
        <f t="shared" si="167"/>
        <v>89301000</v>
      </c>
      <c r="C2364" s="1">
        <v>44353</v>
      </c>
      <c r="D2364" s="1">
        <v>44355</v>
      </c>
      <c r="E2364">
        <v>1</v>
      </c>
      <c r="F2364" t="s">
        <v>1261</v>
      </c>
      <c r="G2364" t="str">
        <f>"15-K06-04"</f>
        <v>15-K06-04</v>
      </c>
      <c r="H2364">
        <v>0.27479999999999999</v>
      </c>
      <c r="J2364" t="s">
        <v>59</v>
      </c>
      <c r="K2364" t="str">
        <f>"3F4"</f>
        <v>3F4</v>
      </c>
      <c r="L2364" t="s">
        <v>15</v>
      </c>
    </row>
    <row r="2365" spans="1:12" x14ac:dyDescent="0.25">
      <c r="A2365" t="str">
        <f>"2156070774"</f>
        <v>2156070774</v>
      </c>
      <c r="B2365" t="str">
        <f t="shared" si="167"/>
        <v>89301000</v>
      </c>
      <c r="C2365" s="1">
        <v>44397</v>
      </c>
      <c r="D2365" s="1">
        <v>44399</v>
      </c>
      <c r="E2365">
        <v>1</v>
      </c>
      <c r="F2365" t="s">
        <v>732</v>
      </c>
      <c r="G2365" t="str">
        <f>"08-I26-02"</f>
        <v>08-I26-02</v>
      </c>
      <c r="H2365">
        <v>0.83399999999999996</v>
      </c>
      <c r="J2365" t="s">
        <v>14</v>
      </c>
      <c r="K2365" t="str">
        <f>"3F1"</f>
        <v>3F1</v>
      </c>
      <c r="L2365" t="s">
        <v>15</v>
      </c>
    </row>
    <row r="2366" spans="1:12" x14ac:dyDescent="0.25">
      <c r="A2366" t="str">
        <f>"2156070774"</f>
        <v>2156070774</v>
      </c>
      <c r="B2366" t="str">
        <f t="shared" si="167"/>
        <v>89301000</v>
      </c>
      <c r="C2366" s="1">
        <v>44354</v>
      </c>
      <c r="D2366" s="1">
        <v>44357</v>
      </c>
      <c r="E2366">
        <v>1</v>
      </c>
      <c r="F2366" t="s">
        <v>1261</v>
      </c>
      <c r="G2366" t="str">
        <f>"15-K06-04"</f>
        <v>15-K06-04</v>
      </c>
      <c r="H2366">
        <v>0.27479999999999999</v>
      </c>
      <c r="J2366" t="s">
        <v>59</v>
      </c>
      <c r="K2366" t="str">
        <f t="shared" ref="K2366:K2372" si="168">"3F4"</f>
        <v>3F4</v>
      </c>
      <c r="L2366" t="s">
        <v>15</v>
      </c>
    </row>
    <row r="2367" spans="1:12" x14ac:dyDescent="0.25">
      <c r="A2367" t="str">
        <f>"2156080795"</f>
        <v>2156080795</v>
      </c>
      <c r="B2367" t="str">
        <f t="shared" si="167"/>
        <v>89301000</v>
      </c>
      <c r="C2367" s="1">
        <v>44355</v>
      </c>
      <c r="D2367" s="1">
        <v>44363</v>
      </c>
      <c r="E2367">
        <v>1</v>
      </c>
      <c r="F2367" t="s">
        <v>1258</v>
      </c>
      <c r="G2367" t="str">
        <f>"15-K07-02"</f>
        <v>15-K07-02</v>
      </c>
      <c r="H2367">
        <v>1.0072000000000001</v>
      </c>
      <c r="I2367" t="s">
        <v>1356</v>
      </c>
      <c r="J2367" t="s">
        <v>59</v>
      </c>
      <c r="K2367" t="str">
        <f t="shared" si="168"/>
        <v>3F4</v>
      </c>
      <c r="L2367" t="s">
        <v>15</v>
      </c>
    </row>
    <row r="2368" spans="1:12" x14ac:dyDescent="0.25">
      <c r="A2368" t="str">
        <f>"2156100815"</f>
        <v>2156100815</v>
      </c>
      <c r="B2368" t="str">
        <f t="shared" si="167"/>
        <v>89301000</v>
      </c>
      <c r="C2368" s="1">
        <v>44357</v>
      </c>
      <c r="D2368" s="1">
        <v>44360</v>
      </c>
      <c r="E2368">
        <v>1</v>
      </c>
      <c r="F2368" t="s">
        <v>1261</v>
      </c>
      <c r="G2368" t="str">
        <f>"15-K06-04"</f>
        <v>15-K06-04</v>
      </c>
      <c r="H2368">
        <v>0.27479999999999999</v>
      </c>
      <c r="J2368" t="s">
        <v>59</v>
      </c>
      <c r="K2368" t="str">
        <f t="shared" si="168"/>
        <v>3F4</v>
      </c>
      <c r="L2368" t="s">
        <v>15</v>
      </c>
    </row>
    <row r="2369" spans="1:12" x14ac:dyDescent="0.25">
      <c r="A2369" t="str">
        <f>"2156100859"</f>
        <v>2156100859</v>
      </c>
      <c r="B2369" t="str">
        <f t="shared" si="167"/>
        <v>89301000</v>
      </c>
      <c r="C2369" s="1">
        <v>44357</v>
      </c>
      <c r="D2369" s="1">
        <v>44406</v>
      </c>
      <c r="E2369">
        <v>1</v>
      </c>
      <c r="F2369" t="s">
        <v>1373</v>
      </c>
      <c r="G2369" t="str">
        <f>"15-M01-10"</f>
        <v>15-M01-10</v>
      </c>
      <c r="H2369">
        <v>6.5004999999999997</v>
      </c>
      <c r="I2369" t="s">
        <v>1492</v>
      </c>
      <c r="J2369" t="s">
        <v>1212</v>
      </c>
      <c r="K2369" t="str">
        <f t="shared" si="168"/>
        <v>3F4</v>
      </c>
      <c r="L2369" t="s">
        <v>15</v>
      </c>
    </row>
    <row r="2370" spans="1:12" x14ac:dyDescent="0.25">
      <c r="A2370" t="str">
        <f>"2156101519"</f>
        <v>2156101519</v>
      </c>
      <c r="B2370" t="str">
        <f t="shared" si="167"/>
        <v>89301000</v>
      </c>
      <c r="C2370" s="1">
        <v>44357</v>
      </c>
      <c r="D2370" s="1">
        <v>44378</v>
      </c>
      <c r="E2370">
        <v>1</v>
      </c>
      <c r="F2370" t="s">
        <v>1210</v>
      </c>
      <c r="G2370" t="str">
        <f>"15-K04-02"</f>
        <v>15-K04-02</v>
      </c>
      <c r="H2370">
        <v>2.2848999999999999</v>
      </c>
      <c r="I2370" t="s">
        <v>1229</v>
      </c>
      <c r="J2370" t="s">
        <v>1212</v>
      </c>
      <c r="K2370" t="str">
        <f t="shared" si="168"/>
        <v>3F4</v>
      </c>
      <c r="L2370" t="s">
        <v>15</v>
      </c>
    </row>
    <row r="2371" spans="1:12" x14ac:dyDescent="0.25">
      <c r="A2371" t="str">
        <f>"2156110737"</f>
        <v>2156110737</v>
      </c>
      <c r="B2371" t="str">
        <f t="shared" si="167"/>
        <v>89301000</v>
      </c>
      <c r="C2371" s="1">
        <v>44358</v>
      </c>
      <c r="D2371" s="1">
        <v>44363</v>
      </c>
      <c r="E2371">
        <v>1</v>
      </c>
      <c r="F2371" t="s">
        <v>1261</v>
      </c>
      <c r="G2371" t="str">
        <f>"15-K06-04"</f>
        <v>15-K06-04</v>
      </c>
      <c r="H2371">
        <v>0.27479999999999999</v>
      </c>
      <c r="J2371" t="s">
        <v>59</v>
      </c>
      <c r="K2371" t="str">
        <f t="shared" si="168"/>
        <v>3F4</v>
      </c>
      <c r="L2371" t="s">
        <v>15</v>
      </c>
    </row>
    <row r="2372" spans="1:12" x14ac:dyDescent="0.25">
      <c r="A2372" t="str">
        <f>"2156110792"</f>
        <v>2156110792</v>
      </c>
      <c r="B2372" t="str">
        <f t="shared" si="167"/>
        <v>89301000</v>
      </c>
      <c r="C2372" s="1">
        <v>44358</v>
      </c>
      <c r="D2372" s="1">
        <v>44361</v>
      </c>
      <c r="E2372">
        <v>1</v>
      </c>
      <c r="F2372" t="s">
        <v>1261</v>
      </c>
      <c r="G2372" t="str">
        <f>"15-K06-04"</f>
        <v>15-K06-04</v>
      </c>
      <c r="H2372">
        <v>0.27479999999999999</v>
      </c>
      <c r="J2372" t="s">
        <v>59</v>
      </c>
      <c r="K2372" t="str">
        <f t="shared" si="168"/>
        <v>3F4</v>
      </c>
      <c r="L2372" t="s">
        <v>15</v>
      </c>
    </row>
    <row r="2373" spans="1:12" x14ac:dyDescent="0.25">
      <c r="A2373" t="str">
        <f>"2156110792"</f>
        <v>2156110792</v>
      </c>
      <c r="B2373" t="str">
        <f t="shared" si="167"/>
        <v>89301000</v>
      </c>
      <c r="C2373" s="1">
        <v>44541</v>
      </c>
      <c r="D2373" s="1">
        <v>44544</v>
      </c>
      <c r="E2373">
        <v>1</v>
      </c>
      <c r="F2373" t="s">
        <v>1493</v>
      </c>
      <c r="G2373" t="str">
        <f>"06-I16-05"</f>
        <v>06-I16-05</v>
      </c>
      <c r="H2373">
        <v>0.46139999999999998</v>
      </c>
      <c r="I2373" t="s">
        <v>168</v>
      </c>
      <c r="J2373" t="s">
        <v>24</v>
      </c>
      <c r="K2373" t="str">
        <f>"3F1"</f>
        <v>3F1</v>
      </c>
      <c r="L2373" t="s">
        <v>15</v>
      </c>
    </row>
    <row r="2374" spans="1:12" x14ac:dyDescent="0.25">
      <c r="A2374" t="str">
        <f>"2156140591"</f>
        <v>2156140591</v>
      </c>
      <c r="B2374" t="str">
        <f t="shared" si="167"/>
        <v>89301000</v>
      </c>
      <c r="C2374" s="1">
        <v>44361</v>
      </c>
      <c r="D2374" s="1">
        <v>44365</v>
      </c>
      <c r="E2374">
        <v>1</v>
      </c>
      <c r="F2374" t="s">
        <v>1261</v>
      </c>
      <c r="G2374" t="str">
        <f t="shared" ref="G2374:G2381" si="169">"15-K06-04"</f>
        <v>15-K06-04</v>
      </c>
      <c r="H2374">
        <v>0.27479999999999999</v>
      </c>
      <c r="I2374" t="s">
        <v>1494</v>
      </c>
      <c r="J2374" t="s">
        <v>59</v>
      </c>
      <c r="K2374" t="str">
        <f t="shared" ref="K2374:K2396" si="170">"3F4"</f>
        <v>3F4</v>
      </c>
      <c r="L2374" t="s">
        <v>15</v>
      </c>
    </row>
    <row r="2375" spans="1:12" x14ac:dyDescent="0.25">
      <c r="A2375" t="str">
        <f>"2156150656"</f>
        <v>2156150656</v>
      </c>
      <c r="B2375" t="str">
        <f t="shared" si="167"/>
        <v>89301000</v>
      </c>
      <c r="C2375" s="1">
        <v>44362</v>
      </c>
      <c r="D2375" s="1">
        <v>44365</v>
      </c>
      <c r="E2375">
        <v>1</v>
      </c>
      <c r="F2375" t="s">
        <v>1261</v>
      </c>
      <c r="G2375" t="str">
        <f t="shared" si="169"/>
        <v>15-K06-04</v>
      </c>
      <c r="H2375">
        <v>0.27479999999999999</v>
      </c>
      <c r="J2375" t="s">
        <v>59</v>
      </c>
      <c r="K2375" t="str">
        <f t="shared" si="170"/>
        <v>3F4</v>
      </c>
      <c r="L2375" t="s">
        <v>15</v>
      </c>
    </row>
    <row r="2376" spans="1:12" x14ac:dyDescent="0.25">
      <c r="A2376" t="str">
        <f>"2156150689"</f>
        <v>2156150689</v>
      </c>
      <c r="B2376" t="str">
        <f t="shared" si="167"/>
        <v>89301000</v>
      </c>
      <c r="C2376" s="1">
        <v>44362</v>
      </c>
      <c r="D2376" s="1">
        <v>44365</v>
      </c>
      <c r="E2376">
        <v>1</v>
      </c>
      <c r="F2376" t="s">
        <v>1261</v>
      </c>
      <c r="G2376" t="str">
        <f t="shared" si="169"/>
        <v>15-K06-04</v>
      </c>
      <c r="H2376">
        <v>0.27479999999999999</v>
      </c>
      <c r="J2376" t="s">
        <v>59</v>
      </c>
      <c r="K2376" t="str">
        <f t="shared" si="170"/>
        <v>3F4</v>
      </c>
      <c r="L2376" t="s">
        <v>15</v>
      </c>
    </row>
    <row r="2377" spans="1:12" x14ac:dyDescent="0.25">
      <c r="A2377" t="str">
        <f>"2156170159"</f>
        <v>2156170159</v>
      </c>
      <c r="B2377" t="str">
        <f t="shared" si="167"/>
        <v>89301000</v>
      </c>
      <c r="C2377" s="1">
        <v>44364</v>
      </c>
      <c r="D2377" s="1">
        <v>44367</v>
      </c>
      <c r="E2377">
        <v>1</v>
      </c>
      <c r="F2377" t="s">
        <v>1261</v>
      </c>
      <c r="G2377" t="str">
        <f t="shared" si="169"/>
        <v>15-K06-04</v>
      </c>
      <c r="H2377">
        <v>0.27479999999999999</v>
      </c>
      <c r="J2377" t="s">
        <v>59</v>
      </c>
      <c r="K2377" t="str">
        <f t="shared" si="170"/>
        <v>3F4</v>
      </c>
      <c r="L2377" t="s">
        <v>15</v>
      </c>
    </row>
    <row r="2378" spans="1:12" x14ac:dyDescent="0.25">
      <c r="A2378" t="str">
        <f>"2156180785"</f>
        <v>2156180785</v>
      </c>
      <c r="B2378" t="str">
        <f t="shared" si="167"/>
        <v>89301000</v>
      </c>
      <c r="C2378" s="1">
        <v>44365</v>
      </c>
      <c r="D2378" s="1">
        <v>44368</v>
      </c>
      <c r="E2378">
        <v>1</v>
      </c>
      <c r="F2378" t="s">
        <v>1261</v>
      </c>
      <c r="G2378" t="str">
        <f t="shared" si="169"/>
        <v>15-K06-04</v>
      </c>
      <c r="H2378">
        <v>0.27479999999999999</v>
      </c>
      <c r="I2378" t="s">
        <v>1391</v>
      </c>
      <c r="J2378" t="s">
        <v>59</v>
      </c>
      <c r="K2378" t="str">
        <f t="shared" si="170"/>
        <v>3F4</v>
      </c>
      <c r="L2378" t="s">
        <v>15</v>
      </c>
    </row>
    <row r="2379" spans="1:12" x14ac:dyDescent="0.25">
      <c r="A2379" t="str">
        <f>"2156190344"</f>
        <v>2156190344</v>
      </c>
      <c r="B2379" t="str">
        <f t="shared" si="167"/>
        <v>89301000</v>
      </c>
      <c r="C2379" s="1">
        <v>44366</v>
      </c>
      <c r="D2379" s="1">
        <v>44370</v>
      </c>
      <c r="E2379">
        <v>1</v>
      </c>
      <c r="F2379" t="s">
        <v>1261</v>
      </c>
      <c r="G2379" t="str">
        <f t="shared" si="169"/>
        <v>15-K06-04</v>
      </c>
      <c r="H2379">
        <v>0.27479999999999999</v>
      </c>
      <c r="J2379" t="s">
        <v>59</v>
      </c>
      <c r="K2379" t="str">
        <f t="shared" si="170"/>
        <v>3F4</v>
      </c>
      <c r="L2379" t="s">
        <v>15</v>
      </c>
    </row>
    <row r="2380" spans="1:12" x14ac:dyDescent="0.25">
      <c r="A2380" t="str">
        <f>"2156190355"</f>
        <v>2156190355</v>
      </c>
      <c r="B2380" t="str">
        <f t="shared" si="167"/>
        <v>89301000</v>
      </c>
      <c r="C2380" s="1">
        <v>44366</v>
      </c>
      <c r="D2380" s="1">
        <v>44368</v>
      </c>
      <c r="E2380">
        <v>1</v>
      </c>
      <c r="F2380" t="s">
        <v>1261</v>
      </c>
      <c r="G2380" t="str">
        <f t="shared" si="169"/>
        <v>15-K06-04</v>
      </c>
      <c r="H2380">
        <v>0.27479999999999999</v>
      </c>
      <c r="J2380" t="s">
        <v>59</v>
      </c>
      <c r="K2380" t="str">
        <f t="shared" si="170"/>
        <v>3F4</v>
      </c>
      <c r="L2380" t="s">
        <v>15</v>
      </c>
    </row>
    <row r="2381" spans="1:12" x14ac:dyDescent="0.25">
      <c r="A2381" t="str">
        <f>"2156200519"</f>
        <v>2156200519</v>
      </c>
      <c r="B2381" t="str">
        <f t="shared" si="167"/>
        <v>89301000</v>
      </c>
      <c r="C2381" s="1">
        <v>44367</v>
      </c>
      <c r="D2381" s="1">
        <v>44370</v>
      </c>
      <c r="E2381">
        <v>1</v>
      </c>
      <c r="F2381" t="s">
        <v>1261</v>
      </c>
      <c r="G2381" t="str">
        <f t="shared" si="169"/>
        <v>15-K06-04</v>
      </c>
      <c r="H2381">
        <v>0.27479999999999999</v>
      </c>
      <c r="J2381" t="s">
        <v>59</v>
      </c>
      <c r="K2381" t="str">
        <f t="shared" si="170"/>
        <v>3F4</v>
      </c>
      <c r="L2381" t="s">
        <v>15</v>
      </c>
    </row>
    <row r="2382" spans="1:12" x14ac:dyDescent="0.25">
      <c r="A2382" t="str">
        <f>"2156220726"</f>
        <v>2156220726</v>
      </c>
      <c r="B2382" t="str">
        <f t="shared" si="167"/>
        <v>89301000</v>
      </c>
      <c r="C2382" s="1">
        <v>44369</v>
      </c>
      <c r="D2382" s="1">
        <v>44373</v>
      </c>
      <c r="E2382">
        <v>1</v>
      </c>
      <c r="F2382" t="s">
        <v>1264</v>
      </c>
      <c r="G2382" t="str">
        <f>"15-K07-03"</f>
        <v>15-K07-03</v>
      </c>
      <c r="H2382">
        <v>0.53959999999999997</v>
      </c>
      <c r="J2382" t="s">
        <v>59</v>
      </c>
      <c r="K2382" t="str">
        <f t="shared" si="170"/>
        <v>3F4</v>
      </c>
      <c r="L2382" t="s">
        <v>15</v>
      </c>
    </row>
    <row r="2383" spans="1:12" x14ac:dyDescent="0.25">
      <c r="A2383" t="str">
        <f>"2156240889"</f>
        <v>2156240889</v>
      </c>
      <c r="B2383" t="str">
        <f t="shared" si="167"/>
        <v>89301000</v>
      </c>
      <c r="C2383" s="1">
        <v>44371</v>
      </c>
      <c r="D2383" s="1">
        <v>44374</v>
      </c>
      <c r="E2383">
        <v>1</v>
      </c>
      <c r="F2383" t="s">
        <v>1261</v>
      </c>
      <c r="G2383" t="str">
        <f t="shared" ref="G2383:G2396" si="171">"15-K06-04"</f>
        <v>15-K06-04</v>
      </c>
      <c r="H2383">
        <v>0.27479999999999999</v>
      </c>
      <c r="J2383" t="s">
        <v>59</v>
      </c>
      <c r="K2383" t="str">
        <f t="shared" si="170"/>
        <v>3F4</v>
      </c>
      <c r="L2383" t="s">
        <v>15</v>
      </c>
    </row>
    <row r="2384" spans="1:12" x14ac:dyDescent="0.25">
      <c r="A2384" t="str">
        <f>"2156250151"</f>
        <v>2156250151</v>
      </c>
      <c r="B2384" t="str">
        <f t="shared" si="167"/>
        <v>89301000</v>
      </c>
      <c r="C2384" s="1">
        <v>44372</v>
      </c>
      <c r="D2384" s="1">
        <v>44375</v>
      </c>
      <c r="E2384">
        <v>1</v>
      </c>
      <c r="F2384" t="s">
        <v>1261</v>
      </c>
      <c r="G2384" t="str">
        <f t="shared" si="171"/>
        <v>15-K06-04</v>
      </c>
      <c r="H2384">
        <v>0.27479999999999999</v>
      </c>
      <c r="J2384" t="s">
        <v>59</v>
      </c>
      <c r="K2384" t="str">
        <f t="shared" si="170"/>
        <v>3F4</v>
      </c>
      <c r="L2384" t="s">
        <v>15</v>
      </c>
    </row>
    <row r="2385" spans="1:12" x14ac:dyDescent="0.25">
      <c r="A2385" t="str">
        <f>"2156250844"</f>
        <v>2156250844</v>
      </c>
      <c r="B2385" t="str">
        <f t="shared" si="167"/>
        <v>89301000</v>
      </c>
      <c r="C2385" s="1">
        <v>44372</v>
      </c>
      <c r="D2385" s="1">
        <v>44375</v>
      </c>
      <c r="E2385">
        <v>1</v>
      </c>
      <c r="F2385" t="s">
        <v>1261</v>
      </c>
      <c r="G2385" t="str">
        <f t="shared" si="171"/>
        <v>15-K06-04</v>
      </c>
      <c r="H2385">
        <v>0.27479999999999999</v>
      </c>
      <c r="J2385" t="s">
        <v>59</v>
      </c>
      <c r="K2385" t="str">
        <f t="shared" si="170"/>
        <v>3F4</v>
      </c>
      <c r="L2385" t="s">
        <v>15</v>
      </c>
    </row>
    <row r="2386" spans="1:12" x14ac:dyDescent="0.25">
      <c r="A2386" t="str">
        <f>"2156250855"</f>
        <v>2156250855</v>
      </c>
      <c r="B2386" t="str">
        <f t="shared" si="167"/>
        <v>89301000</v>
      </c>
      <c r="C2386" s="1">
        <v>44372</v>
      </c>
      <c r="D2386" s="1">
        <v>44375</v>
      </c>
      <c r="E2386">
        <v>1</v>
      </c>
      <c r="F2386" t="s">
        <v>1261</v>
      </c>
      <c r="G2386" t="str">
        <f t="shared" si="171"/>
        <v>15-K06-04</v>
      </c>
      <c r="H2386">
        <v>0.27479999999999999</v>
      </c>
      <c r="J2386" t="s">
        <v>59</v>
      </c>
      <c r="K2386" t="str">
        <f t="shared" si="170"/>
        <v>3F4</v>
      </c>
      <c r="L2386" t="s">
        <v>15</v>
      </c>
    </row>
    <row r="2387" spans="1:12" x14ac:dyDescent="0.25">
      <c r="A2387" t="str">
        <f>"2156250866"</f>
        <v>2156250866</v>
      </c>
      <c r="B2387" t="str">
        <f t="shared" si="167"/>
        <v>89301000</v>
      </c>
      <c r="C2387" s="1">
        <v>44372</v>
      </c>
      <c r="D2387" s="1">
        <v>44375</v>
      </c>
      <c r="E2387">
        <v>1</v>
      </c>
      <c r="F2387" t="s">
        <v>1261</v>
      </c>
      <c r="G2387" t="str">
        <f t="shared" si="171"/>
        <v>15-K06-04</v>
      </c>
      <c r="H2387">
        <v>0.27479999999999999</v>
      </c>
      <c r="J2387" t="s">
        <v>59</v>
      </c>
      <c r="K2387" t="str">
        <f t="shared" si="170"/>
        <v>3F4</v>
      </c>
      <c r="L2387" t="s">
        <v>15</v>
      </c>
    </row>
    <row r="2388" spans="1:12" x14ac:dyDescent="0.25">
      <c r="A2388" t="str">
        <f>"2156260425"</f>
        <v>2156260425</v>
      </c>
      <c r="B2388" t="str">
        <f t="shared" si="167"/>
        <v>89301000</v>
      </c>
      <c r="C2388" s="1">
        <v>44373</v>
      </c>
      <c r="D2388" s="1">
        <v>44376</v>
      </c>
      <c r="E2388">
        <v>1</v>
      </c>
      <c r="F2388" t="s">
        <v>1261</v>
      </c>
      <c r="G2388" t="str">
        <f t="shared" si="171"/>
        <v>15-K06-04</v>
      </c>
      <c r="H2388">
        <v>0.27479999999999999</v>
      </c>
      <c r="I2388" t="s">
        <v>1264</v>
      </c>
      <c r="J2388" t="s">
        <v>59</v>
      </c>
      <c r="K2388" t="str">
        <f t="shared" si="170"/>
        <v>3F4</v>
      </c>
      <c r="L2388" t="s">
        <v>15</v>
      </c>
    </row>
    <row r="2389" spans="1:12" x14ac:dyDescent="0.25">
      <c r="A2389" t="str">
        <f>"2156260436"</f>
        <v>2156260436</v>
      </c>
      <c r="B2389" t="str">
        <f t="shared" si="167"/>
        <v>89301000</v>
      </c>
      <c r="C2389" s="1">
        <v>44373</v>
      </c>
      <c r="D2389" s="1">
        <v>44376</v>
      </c>
      <c r="E2389">
        <v>1</v>
      </c>
      <c r="F2389" t="s">
        <v>1261</v>
      </c>
      <c r="G2389" t="str">
        <f t="shared" si="171"/>
        <v>15-K06-04</v>
      </c>
      <c r="H2389">
        <v>0.27479999999999999</v>
      </c>
      <c r="J2389" t="s">
        <v>59</v>
      </c>
      <c r="K2389" t="str">
        <f t="shared" si="170"/>
        <v>3F4</v>
      </c>
      <c r="L2389" t="s">
        <v>15</v>
      </c>
    </row>
    <row r="2390" spans="1:12" x14ac:dyDescent="0.25">
      <c r="A2390" t="str">
        <f>"2156280665"</f>
        <v>2156280665</v>
      </c>
      <c r="B2390" t="str">
        <f t="shared" si="167"/>
        <v>89301000</v>
      </c>
      <c r="C2390" s="1">
        <v>44375</v>
      </c>
      <c r="D2390" s="1">
        <v>44378</v>
      </c>
      <c r="E2390">
        <v>1</v>
      </c>
      <c r="F2390" t="s">
        <v>1261</v>
      </c>
      <c r="G2390" t="str">
        <f t="shared" si="171"/>
        <v>15-K06-04</v>
      </c>
      <c r="H2390">
        <v>0.27479999999999999</v>
      </c>
      <c r="J2390" t="s">
        <v>59</v>
      </c>
      <c r="K2390" t="str">
        <f t="shared" si="170"/>
        <v>3F4</v>
      </c>
      <c r="L2390" t="s">
        <v>15</v>
      </c>
    </row>
    <row r="2391" spans="1:12" x14ac:dyDescent="0.25">
      <c r="A2391" t="str">
        <f>"2156290070"</f>
        <v>2156290070</v>
      </c>
      <c r="B2391" t="str">
        <f t="shared" si="167"/>
        <v>89301000</v>
      </c>
      <c r="C2391" s="1">
        <v>44376</v>
      </c>
      <c r="D2391" s="1">
        <v>44379</v>
      </c>
      <c r="E2391">
        <v>1</v>
      </c>
      <c r="F2391" t="s">
        <v>1261</v>
      </c>
      <c r="G2391" t="str">
        <f t="shared" si="171"/>
        <v>15-K06-04</v>
      </c>
      <c r="H2391">
        <v>0.27479999999999999</v>
      </c>
      <c r="I2391" t="s">
        <v>1312</v>
      </c>
      <c r="J2391" t="s">
        <v>59</v>
      </c>
      <c r="K2391" t="str">
        <f t="shared" si="170"/>
        <v>3F4</v>
      </c>
      <c r="L2391" t="s">
        <v>15</v>
      </c>
    </row>
    <row r="2392" spans="1:12" x14ac:dyDescent="0.25">
      <c r="A2392" t="str">
        <f>"2156290554"</f>
        <v>2156290554</v>
      </c>
      <c r="B2392" t="str">
        <f t="shared" si="167"/>
        <v>89301000</v>
      </c>
      <c r="C2392" s="1">
        <v>44376</v>
      </c>
      <c r="D2392" s="1">
        <v>44379</v>
      </c>
      <c r="E2392">
        <v>1</v>
      </c>
      <c r="F2392" t="s">
        <v>1261</v>
      </c>
      <c r="G2392" t="str">
        <f t="shared" si="171"/>
        <v>15-K06-04</v>
      </c>
      <c r="H2392">
        <v>0.27479999999999999</v>
      </c>
      <c r="J2392" t="s">
        <v>59</v>
      </c>
      <c r="K2392" t="str">
        <f t="shared" si="170"/>
        <v>3F4</v>
      </c>
      <c r="L2392" t="s">
        <v>15</v>
      </c>
    </row>
    <row r="2393" spans="1:12" x14ac:dyDescent="0.25">
      <c r="A2393" t="str">
        <f>"2156300641"</f>
        <v>2156300641</v>
      </c>
      <c r="B2393" t="str">
        <f t="shared" si="167"/>
        <v>89301000</v>
      </c>
      <c r="C2393" s="1">
        <v>44377</v>
      </c>
      <c r="D2393" s="1">
        <v>44382</v>
      </c>
      <c r="E2393">
        <v>1</v>
      </c>
      <c r="F2393" t="s">
        <v>1261</v>
      </c>
      <c r="G2393" t="str">
        <f t="shared" si="171"/>
        <v>15-K06-04</v>
      </c>
      <c r="H2393">
        <v>0.27479999999999999</v>
      </c>
      <c r="I2393" t="s">
        <v>1495</v>
      </c>
      <c r="J2393" t="s">
        <v>59</v>
      </c>
      <c r="K2393" t="str">
        <f t="shared" si="170"/>
        <v>3F4</v>
      </c>
      <c r="L2393" t="s">
        <v>15</v>
      </c>
    </row>
    <row r="2394" spans="1:12" x14ac:dyDescent="0.25">
      <c r="A2394" t="str">
        <f>"2156300696"</f>
        <v>2156300696</v>
      </c>
      <c r="B2394" t="str">
        <f t="shared" si="167"/>
        <v>89301000</v>
      </c>
      <c r="C2394" s="1">
        <v>44377</v>
      </c>
      <c r="D2394" s="1">
        <v>44380</v>
      </c>
      <c r="E2394">
        <v>1</v>
      </c>
      <c r="F2394" t="s">
        <v>1261</v>
      </c>
      <c r="G2394" t="str">
        <f t="shared" si="171"/>
        <v>15-K06-04</v>
      </c>
      <c r="H2394">
        <v>0.27479999999999999</v>
      </c>
      <c r="J2394" t="s">
        <v>59</v>
      </c>
      <c r="K2394" t="str">
        <f t="shared" si="170"/>
        <v>3F4</v>
      </c>
      <c r="L2394" t="s">
        <v>15</v>
      </c>
    </row>
    <row r="2395" spans="1:12" x14ac:dyDescent="0.25">
      <c r="A2395" t="str">
        <f>"2157010064"</f>
        <v>2157010064</v>
      </c>
      <c r="B2395" t="str">
        <f t="shared" si="167"/>
        <v>89301000</v>
      </c>
      <c r="C2395" s="1">
        <v>44378</v>
      </c>
      <c r="D2395" s="1">
        <v>44381</v>
      </c>
      <c r="E2395">
        <v>1</v>
      </c>
      <c r="F2395" t="s">
        <v>1261</v>
      </c>
      <c r="G2395" t="str">
        <f t="shared" si="171"/>
        <v>15-K06-04</v>
      </c>
      <c r="H2395">
        <v>0.27479999999999999</v>
      </c>
      <c r="I2395" t="s">
        <v>1264</v>
      </c>
      <c r="J2395" t="s">
        <v>59</v>
      </c>
      <c r="K2395" t="str">
        <f t="shared" si="170"/>
        <v>3F4</v>
      </c>
      <c r="L2395" t="s">
        <v>15</v>
      </c>
    </row>
    <row r="2396" spans="1:12" x14ac:dyDescent="0.25">
      <c r="A2396" t="str">
        <f>"2157010636"</f>
        <v>2157010636</v>
      </c>
      <c r="B2396" t="str">
        <f t="shared" si="167"/>
        <v>89301000</v>
      </c>
      <c r="C2396" s="1">
        <v>44378</v>
      </c>
      <c r="D2396" s="1">
        <v>44381</v>
      </c>
      <c r="E2396">
        <v>1</v>
      </c>
      <c r="F2396" t="s">
        <v>1261</v>
      </c>
      <c r="G2396" t="str">
        <f t="shared" si="171"/>
        <v>15-K06-04</v>
      </c>
      <c r="H2396">
        <v>0.27479999999999999</v>
      </c>
      <c r="J2396" t="s">
        <v>59</v>
      </c>
      <c r="K2396" t="str">
        <f t="shared" si="170"/>
        <v>3F4</v>
      </c>
      <c r="L2396" t="s">
        <v>15</v>
      </c>
    </row>
    <row r="2397" spans="1:12" x14ac:dyDescent="0.25">
      <c r="A2397" t="str">
        <f>"2157020063"</f>
        <v>2157020063</v>
      </c>
      <c r="B2397" t="str">
        <f t="shared" si="167"/>
        <v>89301000</v>
      </c>
      <c r="C2397" s="1">
        <v>44432</v>
      </c>
      <c r="D2397" s="1">
        <v>44433</v>
      </c>
      <c r="E2397">
        <v>1</v>
      </c>
      <c r="F2397" t="s">
        <v>732</v>
      </c>
      <c r="G2397" t="str">
        <f>"08-I26-02"</f>
        <v>08-I26-02</v>
      </c>
      <c r="H2397">
        <v>0.83399999999999996</v>
      </c>
      <c r="J2397" t="s">
        <v>14</v>
      </c>
      <c r="K2397" t="str">
        <f>"3F1"</f>
        <v>3F1</v>
      </c>
      <c r="L2397" t="s">
        <v>15</v>
      </c>
    </row>
    <row r="2398" spans="1:12" x14ac:dyDescent="0.25">
      <c r="A2398" t="str">
        <f>"2157030381"</f>
        <v>2157030381</v>
      </c>
      <c r="B2398" t="str">
        <f t="shared" si="167"/>
        <v>89301000</v>
      </c>
      <c r="C2398" s="1">
        <v>44380</v>
      </c>
      <c r="D2398" s="1">
        <v>44418</v>
      </c>
      <c r="E2398">
        <v>1</v>
      </c>
      <c r="F2398" t="s">
        <v>1210</v>
      </c>
      <c r="G2398" t="str">
        <f>"15-M01-10"</f>
        <v>15-M01-10</v>
      </c>
      <c r="H2398">
        <v>6.5004999999999997</v>
      </c>
      <c r="I2398" t="s">
        <v>1496</v>
      </c>
      <c r="J2398" t="s">
        <v>1212</v>
      </c>
      <c r="K2398" t="str">
        <f t="shared" ref="K2398:K2403" si="172">"3F4"</f>
        <v>3F4</v>
      </c>
      <c r="L2398" t="s">
        <v>15</v>
      </c>
    </row>
    <row r="2399" spans="1:12" x14ac:dyDescent="0.25">
      <c r="A2399" t="str">
        <f>"2157030403"</f>
        <v>2157030403</v>
      </c>
      <c r="B2399" t="str">
        <f t="shared" si="167"/>
        <v>89301000</v>
      </c>
      <c r="C2399" s="1">
        <v>44380</v>
      </c>
      <c r="D2399" s="1">
        <v>44383</v>
      </c>
      <c r="E2399">
        <v>1</v>
      </c>
      <c r="F2399" t="s">
        <v>1261</v>
      </c>
      <c r="G2399" t="str">
        <f>"15-K06-04"</f>
        <v>15-K06-04</v>
      </c>
      <c r="H2399">
        <v>0.27479999999999999</v>
      </c>
      <c r="J2399" t="s">
        <v>59</v>
      </c>
      <c r="K2399" t="str">
        <f t="shared" si="172"/>
        <v>3F4</v>
      </c>
      <c r="L2399" t="s">
        <v>15</v>
      </c>
    </row>
    <row r="2400" spans="1:12" x14ac:dyDescent="0.25">
      <c r="A2400" t="str">
        <f>"2157070542"</f>
        <v>2157070542</v>
      </c>
      <c r="B2400" t="str">
        <f t="shared" si="167"/>
        <v>89301000</v>
      </c>
      <c r="C2400" s="1">
        <v>44384</v>
      </c>
      <c r="D2400" s="1">
        <v>44387</v>
      </c>
      <c r="E2400">
        <v>1</v>
      </c>
      <c r="F2400" t="s">
        <v>1261</v>
      </c>
      <c r="G2400" t="str">
        <f>"15-K06-04"</f>
        <v>15-K06-04</v>
      </c>
      <c r="H2400">
        <v>0.27479999999999999</v>
      </c>
      <c r="J2400" t="s">
        <v>59</v>
      </c>
      <c r="K2400" t="str">
        <f t="shared" si="172"/>
        <v>3F4</v>
      </c>
      <c r="L2400" t="s">
        <v>15</v>
      </c>
    </row>
    <row r="2401" spans="1:12" x14ac:dyDescent="0.25">
      <c r="A2401" t="str">
        <f>"2157080651"</f>
        <v>2157080651</v>
      </c>
      <c r="B2401" t="str">
        <f t="shared" si="167"/>
        <v>89301000</v>
      </c>
      <c r="C2401" s="1">
        <v>44385</v>
      </c>
      <c r="D2401" s="1">
        <v>44388</v>
      </c>
      <c r="E2401">
        <v>1</v>
      </c>
      <c r="F2401" t="s">
        <v>1261</v>
      </c>
      <c r="G2401" t="str">
        <f>"15-K06-04"</f>
        <v>15-K06-04</v>
      </c>
      <c r="H2401">
        <v>0.27479999999999999</v>
      </c>
      <c r="J2401" t="s">
        <v>59</v>
      </c>
      <c r="K2401" t="str">
        <f t="shared" si="172"/>
        <v>3F4</v>
      </c>
      <c r="L2401" t="s">
        <v>15</v>
      </c>
    </row>
    <row r="2402" spans="1:12" x14ac:dyDescent="0.25">
      <c r="A2402" t="str">
        <f>"2157080706"</f>
        <v>2157080706</v>
      </c>
      <c r="B2402" t="str">
        <f t="shared" si="167"/>
        <v>89301000</v>
      </c>
      <c r="C2402" s="1">
        <v>44385</v>
      </c>
      <c r="D2402" s="1">
        <v>44390</v>
      </c>
      <c r="E2402">
        <v>1</v>
      </c>
      <c r="F2402" t="s">
        <v>1261</v>
      </c>
      <c r="G2402" t="str">
        <f>"15-K04-01"</f>
        <v>15-K04-01</v>
      </c>
      <c r="H2402">
        <v>2.5081000000000002</v>
      </c>
      <c r="I2402" t="s">
        <v>1294</v>
      </c>
      <c r="J2402" t="s">
        <v>1212</v>
      </c>
      <c r="K2402" t="str">
        <f t="shared" si="172"/>
        <v>3F4</v>
      </c>
      <c r="L2402" t="s">
        <v>15</v>
      </c>
    </row>
    <row r="2403" spans="1:12" x14ac:dyDescent="0.25">
      <c r="A2403" t="str">
        <f>"2157090529"</f>
        <v>2157090529</v>
      </c>
      <c r="B2403" t="str">
        <f t="shared" si="167"/>
        <v>89301000</v>
      </c>
      <c r="C2403" s="1">
        <v>44386</v>
      </c>
      <c r="D2403" s="1">
        <v>44421</v>
      </c>
      <c r="E2403">
        <v>1</v>
      </c>
      <c r="F2403" t="s">
        <v>1210</v>
      </c>
      <c r="G2403" t="str">
        <f>"15-M01-10"</f>
        <v>15-M01-10</v>
      </c>
      <c r="H2403">
        <v>6.5004999999999997</v>
      </c>
      <c r="I2403" t="s">
        <v>1389</v>
      </c>
      <c r="J2403" t="s">
        <v>1212</v>
      </c>
      <c r="K2403" t="str">
        <f t="shared" si="172"/>
        <v>3F4</v>
      </c>
      <c r="L2403" t="s">
        <v>15</v>
      </c>
    </row>
    <row r="2404" spans="1:12" x14ac:dyDescent="0.25">
      <c r="A2404" t="str">
        <f>"2157090529"</f>
        <v>2157090529</v>
      </c>
      <c r="B2404" t="str">
        <f t="shared" si="167"/>
        <v>89301000</v>
      </c>
      <c r="C2404" s="1">
        <v>44524</v>
      </c>
      <c r="D2404" s="1">
        <v>44532</v>
      </c>
      <c r="E2404">
        <v>1</v>
      </c>
      <c r="F2404" t="s">
        <v>266</v>
      </c>
      <c r="G2404" t="str">
        <f>"13-I14-02"</f>
        <v>13-I14-02</v>
      </c>
      <c r="H2404">
        <v>1.3962000000000001</v>
      </c>
      <c r="I2404" t="s">
        <v>1497</v>
      </c>
      <c r="J2404" t="s">
        <v>24</v>
      </c>
      <c r="K2404" t="str">
        <f>"3F1"</f>
        <v>3F1</v>
      </c>
      <c r="L2404" t="s">
        <v>15</v>
      </c>
    </row>
    <row r="2405" spans="1:12" x14ac:dyDescent="0.25">
      <c r="A2405" t="str">
        <f>"2157090562"</f>
        <v>2157090562</v>
      </c>
      <c r="B2405" t="str">
        <f t="shared" si="167"/>
        <v>89301000</v>
      </c>
      <c r="C2405" s="1">
        <v>44386</v>
      </c>
      <c r="D2405" s="1">
        <v>44389</v>
      </c>
      <c r="E2405">
        <v>1</v>
      </c>
      <c r="F2405" t="s">
        <v>1261</v>
      </c>
      <c r="G2405" t="str">
        <f>"15-K05-03"</f>
        <v>15-K05-03</v>
      </c>
      <c r="H2405">
        <v>0.62380000000000002</v>
      </c>
      <c r="J2405" t="s">
        <v>1212</v>
      </c>
      <c r="K2405" t="str">
        <f>"3F4"</f>
        <v>3F4</v>
      </c>
      <c r="L2405" t="s">
        <v>15</v>
      </c>
    </row>
    <row r="2406" spans="1:12" x14ac:dyDescent="0.25">
      <c r="A2406" t="str">
        <f>"2157100187"</f>
        <v>2157100187</v>
      </c>
      <c r="B2406" t="str">
        <f t="shared" si="167"/>
        <v>89301000</v>
      </c>
      <c r="C2406" s="1">
        <v>44413</v>
      </c>
      <c r="D2406" s="1">
        <v>44420</v>
      </c>
      <c r="E2406">
        <v>4</v>
      </c>
      <c r="F2406" t="s">
        <v>1259</v>
      </c>
      <c r="G2406" t="str">
        <f>"15-K07-01"</f>
        <v>15-K07-01</v>
      </c>
      <c r="H2406">
        <v>1.5082</v>
      </c>
      <c r="I2406" t="s">
        <v>1498</v>
      </c>
      <c r="J2406" t="s">
        <v>59</v>
      </c>
      <c r="K2406" t="str">
        <f>"3T1"</f>
        <v>3T1</v>
      </c>
      <c r="L2406" t="s">
        <v>15</v>
      </c>
    </row>
    <row r="2407" spans="1:12" x14ac:dyDescent="0.25">
      <c r="A2407" t="str">
        <f>"2157100308"</f>
        <v>2157100308</v>
      </c>
      <c r="B2407" t="str">
        <f t="shared" si="167"/>
        <v>89301000</v>
      </c>
      <c r="C2407" s="1">
        <v>44387</v>
      </c>
      <c r="D2407" s="1">
        <v>44389</v>
      </c>
      <c r="E2407">
        <v>1</v>
      </c>
      <c r="F2407" t="s">
        <v>1261</v>
      </c>
      <c r="G2407" t="str">
        <f>"15-K06-04"</f>
        <v>15-K06-04</v>
      </c>
      <c r="H2407">
        <v>0.27479999999999999</v>
      </c>
      <c r="I2407" t="s">
        <v>1499</v>
      </c>
      <c r="J2407" t="s">
        <v>59</v>
      </c>
      <c r="K2407" t="str">
        <f>"3F4"</f>
        <v>3F4</v>
      </c>
      <c r="L2407" t="s">
        <v>15</v>
      </c>
    </row>
    <row r="2408" spans="1:12" x14ac:dyDescent="0.25">
      <c r="A2408" t="str">
        <f>"2157100341"</f>
        <v>2157100341</v>
      </c>
      <c r="B2408" t="str">
        <f t="shared" si="167"/>
        <v>89301000</v>
      </c>
      <c r="C2408" s="1">
        <v>44387</v>
      </c>
      <c r="D2408" s="1">
        <v>44390</v>
      </c>
      <c r="E2408">
        <v>1</v>
      </c>
      <c r="F2408" t="s">
        <v>1261</v>
      </c>
      <c r="G2408" t="str">
        <f>"15-K06-04"</f>
        <v>15-K06-04</v>
      </c>
      <c r="H2408">
        <v>0.27479999999999999</v>
      </c>
      <c r="J2408" t="s">
        <v>59</v>
      </c>
      <c r="K2408" t="str">
        <f>"3F4"</f>
        <v>3F4</v>
      </c>
      <c r="L2408" t="s">
        <v>15</v>
      </c>
    </row>
    <row r="2409" spans="1:12" x14ac:dyDescent="0.25">
      <c r="A2409" t="str">
        <f>"2157110340"</f>
        <v>2157110340</v>
      </c>
      <c r="B2409" t="str">
        <f t="shared" ref="B2409:B2472" si="173">"89301000"</f>
        <v>89301000</v>
      </c>
      <c r="C2409" s="1">
        <v>44388</v>
      </c>
      <c r="D2409" s="1">
        <v>44390</v>
      </c>
      <c r="E2409">
        <v>1</v>
      </c>
      <c r="F2409" t="s">
        <v>1261</v>
      </c>
      <c r="G2409" t="str">
        <f>"15-K06-04"</f>
        <v>15-K06-04</v>
      </c>
      <c r="H2409">
        <v>0.27479999999999999</v>
      </c>
      <c r="J2409" t="s">
        <v>59</v>
      </c>
      <c r="K2409" t="str">
        <f>"3F4"</f>
        <v>3F4</v>
      </c>
      <c r="L2409" t="s">
        <v>15</v>
      </c>
    </row>
    <row r="2410" spans="1:12" x14ac:dyDescent="0.25">
      <c r="A2410" t="str">
        <f>"2157120548"</f>
        <v>2157120548</v>
      </c>
      <c r="B2410" t="str">
        <f t="shared" si="173"/>
        <v>89301000</v>
      </c>
      <c r="C2410" s="1">
        <v>44401</v>
      </c>
      <c r="D2410" s="1">
        <v>44420</v>
      </c>
      <c r="E2410">
        <v>6</v>
      </c>
      <c r="F2410" t="s">
        <v>1500</v>
      </c>
      <c r="G2410" t="str">
        <f>"15-K07-03"</f>
        <v>15-K07-03</v>
      </c>
      <c r="H2410">
        <v>1.1859999999999999</v>
      </c>
      <c r="I2410" t="s">
        <v>1501</v>
      </c>
      <c r="J2410" t="s">
        <v>59</v>
      </c>
      <c r="K2410" t="str">
        <f>"3T1"</f>
        <v>3T1</v>
      </c>
      <c r="L2410" t="s">
        <v>15</v>
      </c>
    </row>
    <row r="2411" spans="1:12" x14ac:dyDescent="0.25">
      <c r="A2411" t="str">
        <f>"2157120548"</f>
        <v>2157120548</v>
      </c>
      <c r="B2411" t="str">
        <f t="shared" si="173"/>
        <v>89301000</v>
      </c>
      <c r="C2411" s="1">
        <v>44440</v>
      </c>
      <c r="D2411" s="1">
        <v>44445</v>
      </c>
      <c r="E2411">
        <v>1</v>
      </c>
      <c r="F2411" t="s">
        <v>1500</v>
      </c>
      <c r="G2411" t="str">
        <f>"10-K12-03"</f>
        <v>10-K12-03</v>
      </c>
      <c r="H2411">
        <v>0.50629999999999997</v>
      </c>
      <c r="J2411" t="s">
        <v>14</v>
      </c>
      <c r="K2411" t="str">
        <f>"3F1"</f>
        <v>3F1</v>
      </c>
      <c r="L2411" t="s">
        <v>15</v>
      </c>
    </row>
    <row r="2412" spans="1:12" x14ac:dyDescent="0.25">
      <c r="A2412" t="str">
        <f>"2157120548"</f>
        <v>2157120548</v>
      </c>
      <c r="B2412" t="str">
        <f t="shared" si="173"/>
        <v>89301000</v>
      </c>
      <c r="C2412" s="1">
        <v>44389</v>
      </c>
      <c r="D2412" s="1">
        <v>44393</v>
      </c>
      <c r="E2412">
        <v>1</v>
      </c>
      <c r="F2412" t="s">
        <v>1261</v>
      </c>
      <c r="G2412" t="str">
        <f>"15-K05-03"</f>
        <v>15-K05-03</v>
      </c>
      <c r="H2412">
        <v>0.62380000000000002</v>
      </c>
      <c r="I2412" t="s">
        <v>1278</v>
      </c>
      <c r="J2412" t="s">
        <v>1212</v>
      </c>
      <c r="K2412" t="str">
        <f t="shared" ref="K2412:K2436" si="174">"3F4"</f>
        <v>3F4</v>
      </c>
      <c r="L2412" t="s">
        <v>15</v>
      </c>
    </row>
    <row r="2413" spans="1:12" x14ac:dyDescent="0.25">
      <c r="A2413" t="str">
        <f>"2157130503"</f>
        <v>2157130503</v>
      </c>
      <c r="B2413" t="str">
        <f t="shared" si="173"/>
        <v>89301000</v>
      </c>
      <c r="C2413" s="1">
        <v>44390</v>
      </c>
      <c r="D2413" s="1">
        <v>44393</v>
      </c>
      <c r="E2413">
        <v>1</v>
      </c>
      <c r="F2413" t="s">
        <v>1502</v>
      </c>
      <c r="G2413" t="str">
        <f>"15-K07-03"</f>
        <v>15-K07-03</v>
      </c>
      <c r="H2413">
        <v>0.53959999999999997</v>
      </c>
      <c r="I2413" t="s">
        <v>1503</v>
      </c>
      <c r="J2413" t="s">
        <v>59</v>
      </c>
      <c r="K2413" t="str">
        <f t="shared" si="174"/>
        <v>3F4</v>
      </c>
      <c r="L2413" t="s">
        <v>15</v>
      </c>
    </row>
    <row r="2414" spans="1:12" x14ac:dyDescent="0.25">
      <c r="A2414" t="str">
        <f>"2157140073"</f>
        <v>2157140073</v>
      </c>
      <c r="B2414" t="str">
        <f t="shared" si="173"/>
        <v>89301000</v>
      </c>
      <c r="C2414" s="1">
        <v>44391</v>
      </c>
      <c r="D2414" s="1">
        <v>44391</v>
      </c>
      <c r="E2414">
        <v>1</v>
      </c>
      <c r="F2414" t="s">
        <v>1261</v>
      </c>
      <c r="G2414" t="str">
        <f>"15-K06-04"</f>
        <v>15-K06-04</v>
      </c>
      <c r="H2414">
        <v>0.13739999999999999</v>
      </c>
      <c r="J2414" t="s">
        <v>59</v>
      </c>
      <c r="K2414" t="str">
        <f t="shared" si="174"/>
        <v>3F4</v>
      </c>
      <c r="L2414" t="s">
        <v>15</v>
      </c>
    </row>
    <row r="2415" spans="1:12" x14ac:dyDescent="0.25">
      <c r="A2415" t="str">
        <f>"2157140084"</f>
        <v>2157140084</v>
      </c>
      <c r="B2415" t="str">
        <f t="shared" si="173"/>
        <v>89301000</v>
      </c>
      <c r="C2415" s="1">
        <v>44391</v>
      </c>
      <c r="D2415" s="1">
        <v>44391</v>
      </c>
      <c r="E2415">
        <v>1</v>
      </c>
      <c r="F2415" t="s">
        <v>1261</v>
      </c>
      <c r="G2415" t="str">
        <f>"15-K06-04"</f>
        <v>15-K06-04</v>
      </c>
      <c r="H2415">
        <v>0.13739999999999999</v>
      </c>
      <c r="J2415" t="s">
        <v>59</v>
      </c>
      <c r="K2415" t="str">
        <f t="shared" si="174"/>
        <v>3F4</v>
      </c>
      <c r="L2415" t="s">
        <v>15</v>
      </c>
    </row>
    <row r="2416" spans="1:12" x14ac:dyDescent="0.25">
      <c r="A2416" t="str">
        <f>"2157140535"</f>
        <v>2157140535</v>
      </c>
      <c r="B2416" t="str">
        <f t="shared" si="173"/>
        <v>89301000</v>
      </c>
      <c r="C2416" s="1">
        <v>44391</v>
      </c>
      <c r="D2416" s="1">
        <v>44394</v>
      </c>
      <c r="E2416">
        <v>1</v>
      </c>
      <c r="F2416" t="s">
        <v>1261</v>
      </c>
      <c r="G2416" t="str">
        <f>"15-K06-04"</f>
        <v>15-K06-04</v>
      </c>
      <c r="H2416">
        <v>0.27479999999999999</v>
      </c>
      <c r="J2416" t="s">
        <v>59</v>
      </c>
      <c r="K2416" t="str">
        <f t="shared" si="174"/>
        <v>3F4</v>
      </c>
      <c r="L2416" t="s">
        <v>15</v>
      </c>
    </row>
    <row r="2417" spans="1:12" x14ac:dyDescent="0.25">
      <c r="A2417" t="str">
        <f>"2157170202"</f>
        <v>2157170202</v>
      </c>
      <c r="B2417" t="str">
        <f t="shared" si="173"/>
        <v>89301000</v>
      </c>
      <c r="C2417" s="1">
        <v>44405</v>
      </c>
      <c r="D2417" s="1">
        <v>44406</v>
      </c>
      <c r="E2417">
        <v>1</v>
      </c>
      <c r="F2417" t="s">
        <v>1276</v>
      </c>
      <c r="G2417" t="str">
        <f>"15-K07-03"</f>
        <v>15-K07-03</v>
      </c>
      <c r="H2417">
        <v>0.53959999999999997</v>
      </c>
      <c r="J2417" t="s">
        <v>59</v>
      </c>
      <c r="K2417" t="str">
        <f t="shared" si="174"/>
        <v>3F4</v>
      </c>
      <c r="L2417" t="s">
        <v>15</v>
      </c>
    </row>
    <row r="2418" spans="1:12" x14ac:dyDescent="0.25">
      <c r="A2418" t="str">
        <f>"2157170202"</f>
        <v>2157170202</v>
      </c>
      <c r="B2418" t="str">
        <f t="shared" si="173"/>
        <v>89301000</v>
      </c>
      <c r="C2418" s="1">
        <v>44394</v>
      </c>
      <c r="D2418" s="1">
        <v>44402</v>
      </c>
      <c r="E2418">
        <v>1</v>
      </c>
      <c r="F2418" t="s">
        <v>1261</v>
      </c>
      <c r="G2418" t="str">
        <f>"15-K06-04"</f>
        <v>15-K06-04</v>
      </c>
      <c r="H2418">
        <v>0.37369999999999998</v>
      </c>
      <c r="I2418" t="s">
        <v>1504</v>
      </c>
      <c r="J2418" t="s">
        <v>59</v>
      </c>
      <c r="K2418" t="str">
        <f t="shared" si="174"/>
        <v>3F4</v>
      </c>
      <c r="L2418" t="s">
        <v>15</v>
      </c>
    </row>
    <row r="2419" spans="1:12" x14ac:dyDescent="0.25">
      <c r="A2419" t="str">
        <f>"2157170235"</f>
        <v>2157170235</v>
      </c>
      <c r="B2419" t="str">
        <f t="shared" si="173"/>
        <v>89301000</v>
      </c>
      <c r="C2419" s="1">
        <v>44394</v>
      </c>
      <c r="D2419" s="1">
        <v>44397</v>
      </c>
      <c r="E2419">
        <v>1</v>
      </c>
      <c r="F2419" t="s">
        <v>1261</v>
      </c>
      <c r="G2419" t="str">
        <f>"15-K06-04"</f>
        <v>15-K06-04</v>
      </c>
      <c r="H2419">
        <v>0.27479999999999999</v>
      </c>
      <c r="J2419" t="s">
        <v>59</v>
      </c>
      <c r="K2419" t="str">
        <f t="shared" si="174"/>
        <v>3F4</v>
      </c>
      <c r="L2419" t="s">
        <v>15</v>
      </c>
    </row>
    <row r="2420" spans="1:12" x14ac:dyDescent="0.25">
      <c r="A2420" t="str">
        <f>"2157180201"</f>
        <v>2157180201</v>
      </c>
      <c r="B2420" t="str">
        <f t="shared" si="173"/>
        <v>89301000</v>
      </c>
      <c r="C2420" s="1">
        <v>44395</v>
      </c>
      <c r="D2420" s="1">
        <v>44398</v>
      </c>
      <c r="E2420">
        <v>1</v>
      </c>
      <c r="F2420" t="s">
        <v>1261</v>
      </c>
      <c r="G2420" t="str">
        <f>"15-K06-04"</f>
        <v>15-K06-04</v>
      </c>
      <c r="H2420">
        <v>0.27479999999999999</v>
      </c>
      <c r="J2420" t="s">
        <v>59</v>
      </c>
      <c r="K2420" t="str">
        <f t="shared" si="174"/>
        <v>3F4</v>
      </c>
      <c r="L2420" t="s">
        <v>15</v>
      </c>
    </row>
    <row r="2421" spans="1:12" x14ac:dyDescent="0.25">
      <c r="A2421" t="str">
        <f>"2157200573"</f>
        <v>2157200573</v>
      </c>
      <c r="B2421" t="str">
        <f t="shared" si="173"/>
        <v>89301000</v>
      </c>
      <c r="C2421" s="1">
        <v>44397</v>
      </c>
      <c r="D2421" s="1">
        <v>44400</v>
      </c>
      <c r="E2421">
        <v>1</v>
      </c>
      <c r="F2421" t="s">
        <v>1261</v>
      </c>
      <c r="G2421" t="str">
        <f>"15-K06-04"</f>
        <v>15-K06-04</v>
      </c>
      <c r="H2421">
        <v>0.27479999999999999</v>
      </c>
      <c r="J2421" t="s">
        <v>59</v>
      </c>
      <c r="K2421" t="str">
        <f t="shared" si="174"/>
        <v>3F4</v>
      </c>
      <c r="L2421" t="s">
        <v>15</v>
      </c>
    </row>
    <row r="2422" spans="1:12" x14ac:dyDescent="0.25">
      <c r="A2422" t="str">
        <f>"2157210715"</f>
        <v>2157210715</v>
      </c>
      <c r="B2422" t="str">
        <f t="shared" si="173"/>
        <v>89301000</v>
      </c>
      <c r="C2422" s="1">
        <v>44398</v>
      </c>
      <c r="D2422" s="1">
        <v>44402</v>
      </c>
      <c r="E2422">
        <v>1</v>
      </c>
      <c r="F2422" t="s">
        <v>1261</v>
      </c>
      <c r="G2422" t="str">
        <f>"15-K06-02"</f>
        <v>15-K06-02</v>
      </c>
      <c r="H2422">
        <v>0.59770000000000001</v>
      </c>
      <c r="I2422" t="s">
        <v>1354</v>
      </c>
      <c r="J2422" t="s">
        <v>59</v>
      </c>
      <c r="K2422" t="str">
        <f t="shared" si="174"/>
        <v>3F4</v>
      </c>
      <c r="L2422" t="s">
        <v>15</v>
      </c>
    </row>
    <row r="2423" spans="1:12" x14ac:dyDescent="0.25">
      <c r="A2423" t="str">
        <f>"2157220065"</f>
        <v>2157220065</v>
      </c>
      <c r="B2423" t="str">
        <f t="shared" si="173"/>
        <v>89301000</v>
      </c>
      <c r="C2423" s="1">
        <v>44399</v>
      </c>
      <c r="D2423" s="1">
        <v>44402</v>
      </c>
      <c r="E2423">
        <v>1</v>
      </c>
      <c r="F2423" t="s">
        <v>1261</v>
      </c>
      <c r="G2423" t="str">
        <f>"15-K06-04"</f>
        <v>15-K06-04</v>
      </c>
      <c r="H2423">
        <v>0.27479999999999999</v>
      </c>
      <c r="J2423" t="s">
        <v>59</v>
      </c>
      <c r="K2423" t="str">
        <f t="shared" si="174"/>
        <v>3F4</v>
      </c>
      <c r="L2423" t="s">
        <v>15</v>
      </c>
    </row>
    <row r="2424" spans="1:12" x14ac:dyDescent="0.25">
      <c r="A2424" t="str">
        <f>"2157220857"</f>
        <v>2157220857</v>
      </c>
      <c r="B2424" t="str">
        <f t="shared" si="173"/>
        <v>89301000</v>
      </c>
      <c r="C2424" s="1">
        <v>44401</v>
      </c>
      <c r="D2424" s="1">
        <v>44408</v>
      </c>
      <c r="E2424">
        <v>1</v>
      </c>
      <c r="F2424" t="s">
        <v>1288</v>
      </c>
      <c r="G2424" t="str">
        <f>"15-K07-01"</f>
        <v>15-K07-01</v>
      </c>
      <c r="H2424">
        <v>1.5082</v>
      </c>
      <c r="I2424" t="s">
        <v>1395</v>
      </c>
      <c r="J2424" t="s">
        <v>59</v>
      </c>
      <c r="K2424" t="str">
        <f t="shared" si="174"/>
        <v>3F4</v>
      </c>
      <c r="L2424" t="s">
        <v>15</v>
      </c>
    </row>
    <row r="2425" spans="1:12" x14ac:dyDescent="0.25">
      <c r="A2425" t="str">
        <f>"2157230691"</f>
        <v>2157230691</v>
      </c>
      <c r="B2425" t="str">
        <f t="shared" si="173"/>
        <v>89301000</v>
      </c>
      <c r="C2425" s="1">
        <v>44400</v>
      </c>
      <c r="D2425" s="1">
        <v>44403</v>
      </c>
      <c r="E2425">
        <v>1</v>
      </c>
      <c r="F2425" t="s">
        <v>1261</v>
      </c>
      <c r="G2425" t="str">
        <f>"15-K06-04"</f>
        <v>15-K06-04</v>
      </c>
      <c r="H2425">
        <v>0.27479999999999999</v>
      </c>
      <c r="J2425" t="s">
        <v>59</v>
      </c>
      <c r="K2425" t="str">
        <f t="shared" si="174"/>
        <v>3F4</v>
      </c>
      <c r="L2425" t="s">
        <v>15</v>
      </c>
    </row>
    <row r="2426" spans="1:12" x14ac:dyDescent="0.25">
      <c r="A2426" t="str">
        <f>"2157240294"</f>
        <v>2157240294</v>
      </c>
      <c r="B2426" t="str">
        <f t="shared" si="173"/>
        <v>89301000</v>
      </c>
      <c r="C2426" s="1">
        <v>44401</v>
      </c>
      <c r="D2426" s="1">
        <v>44404</v>
      </c>
      <c r="E2426">
        <v>1</v>
      </c>
      <c r="F2426" t="s">
        <v>1261</v>
      </c>
      <c r="G2426" t="str">
        <f>"15-K06-04"</f>
        <v>15-K06-04</v>
      </c>
      <c r="H2426">
        <v>0.27479999999999999</v>
      </c>
      <c r="J2426" t="s">
        <v>59</v>
      </c>
      <c r="K2426" t="str">
        <f t="shared" si="174"/>
        <v>3F4</v>
      </c>
      <c r="L2426" t="s">
        <v>15</v>
      </c>
    </row>
    <row r="2427" spans="1:12" x14ac:dyDescent="0.25">
      <c r="A2427" t="str">
        <f>"2157240316"</f>
        <v>2157240316</v>
      </c>
      <c r="B2427" t="str">
        <f t="shared" si="173"/>
        <v>89301000</v>
      </c>
      <c r="C2427" s="1">
        <v>44401</v>
      </c>
      <c r="D2427" s="1">
        <v>44404</v>
      </c>
      <c r="E2427">
        <v>1</v>
      </c>
      <c r="F2427" t="s">
        <v>1261</v>
      </c>
      <c r="G2427" t="str">
        <f>"15-K06-04"</f>
        <v>15-K06-04</v>
      </c>
      <c r="H2427">
        <v>0.27479999999999999</v>
      </c>
      <c r="J2427" t="s">
        <v>59</v>
      </c>
      <c r="K2427" t="str">
        <f t="shared" si="174"/>
        <v>3F4</v>
      </c>
      <c r="L2427" t="s">
        <v>15</v>
      </c>
    </row>
    <row r="2428" spans="1:12" x14ac:dyDescent="0.25">
      <c r="A2428" t="str">
        <f>"2157240327"</f>
        <v>2157240327</v>
      </c>
      <c r="B2428" t="str">
        <f t="shared" si="173"/>
        <v>89301000</v>
      </c>
      <c r="C2428" s="1">
        <v>44401</v>
      </c>
      <c r="D2428" s="1">
        <v>44404</v>
      </c>
      <c r="E2428">
        <v>1</v>
      </c>
      <c r="F2428" t="s">
        <v>1261</v>
      </c>
      <c r="G2428" t="str">
        <f>"15-K06-04"</f>
        <v>15-K06-04</v>
      </c>
      <c r="H2428">
        <v>0.27479999999999999</v>
      </c>
      <c r="J2428" t="s">
        <v>59</v>
      </c>
      <c r="K2428" t="str">
        <f t="shared" si="174"/>
        <v>3F4</v>
      </c>
      <c r="L2428" t="s">
        <v>15</v>
      </c>
    </row>
    <row r="2429" spans="1:12" x14ac:dyDescent="0.25">
      <c r="A2429" t="str">
        <f>"2157240371"</f>
        <v>2157240371</v>
      </c>
      <c r="B2429" t="str">
        <f t="shared" si="173"/>
        <v>89301000</v>
      </c>
      <c r="C2429" s="1">
        <v>44401</v>
      </c>
      <c r="D2429" s="1">
        <v>44407</v>
      </c>
      <c r="E2429">
        <v>1</v>
      </c>
      <c r="F2429" t="s">
        <v>1221</v>
      </c>
      <c r="G2429" t="str">
        <f>"15-K04-02"</f>
        <v>15-K04-02</v>
      </c>
      <c r="H2429">
        <v>2.2848999999999999</v>
      </c>
      <c r="I2429" t="s">
        <v>1470</v>
      </c>
      <c r="J2429" t="s">
        <v>1212</v>
      </c>
      <c r="K2429" t="str">
        <f t="shared" si="174"/>
        <v>3F4</v>
      </c>
      <c r="L2429" t="s">
        <v>15</v>
      </c>
    </row>
    <row r="2430" spans="1:12" x14ac:dyDescent="0.25">
      <c r="A2430" t="str">
        <f>"2157260105"</f>
        <v>2157260105</v>
      </c>
      <c r="B2430" t="str">
        <f t="shared" si="173"/>
        <v>89301000</v>
      </c>
      <c r="C2430" s="1">
        <v>44403</v>
      </c>
      <c r="D2430" s="1">
        <v>44414</v>
      </c>
      <c r="E2430">
        <v>1</v>
      </c>
      <c r="F2430" t="s">
        <v>1261</v>
      </c>
      <c r="G2430" t="str">
        <f>"15-K04-02"</f>
        <v>15-K04-02</v>
      </c>
      <c r="H2430">
        <v>2.2848999999999999</v>
      </c>
      <c r="I2430" t="s">
        <v>1301</v>
      </c>
      <c r="J2430" t="s">
        <v>1212</v>
      </c>
      <c r="K2430" t="str">
        <f t="shared" si="174"/>
        <v>3F4</v>
      </c>
      <c r="L2430" t="s">
        <v>15</v>
      </c>
    </row>
    <row r="2431" spans="1:12" x14ac:dyDescent="0.25">
      <c r="A2431" t="str">
        <f>"2157260699"</f>
        <v>2157260699</v>
      </c>
      <c r="B2431" t="str">
        <f t="shared" si="173"/>
        <v>89301000</v>
      </c>
      <c r="C2431" s="1">
        <v>44403</v>
      </c>
      <c r="D2431" s="1">
        <v>44406</v>
      </c>
      <c r="E2431">
        <v>1</v>
      </c>
      <c r="F2431" t="s">
        <v>1261</v>
      </c>
      <c r="G2431" t="str">
        <f t="shared" ref="G2431:G2436" si="175">"15-K06-04"</f>
        <v>15-K06-04</v>
      </c>
      <c r="H2431">
        <v>0.27479999999999999</v>
      </c>
      <c r="J2431" t="s">
        <v>59</v>
      </c>
      <c r="K2431" t="str">
        <f t="shared" si="174"/>
        <v>3F4</v>
      </c>
      <c r="L2431" t="s">
        <v>15</v>
      </c>
    </row>
    <row r="2432" spans="1:12" x14ac:dyDescent="0.25">
      <c r="A2432" t="str">
        <f>"2157270467"</f>
        <v>2157270467</v>
      </c>
      <c r="B2432" t="str">
        <f t="shared" si="173"/>
        <v>89301000</v>
      </c>
      <c r="C2432" s="1">
        <v>44404</v>
      </c>
      <c r="D2432" s="1">
        <v>44410</v>
      </c>
      <c r="E2432">
        <v>1</v>
      </c>
      <c r="F2432" t="s">
        <v>1261</v>
      </c>
      <c r="G2432" t="str">
        <f t="shared" si="175"/>
        <v>15-K06-04</v>
      </c>
      <c r="H2432">
        <v>0.30780000000000002</v>
      </c>
      <c r="I2432" t="s">
        <v>1505</v>
      </c>
      <c r="J2432" t="s">
        <v>59</v>
      </c>
      <c r="K2432" t="str">
        <f t="shared" si="174"/>
        <v>3F4</v>
      </c>
      <c r="L2432" t="s">
        <v>15</v>
      </c>
    </row>
    <row r="2433" spans="1:12" x14ac:dyDescent="0.25">
      <c r="A2433" t="str">
        <f>"2157270500"</f>
        <v>2157270500</v>
      </c>
      <c r="B2433" t="str">
        <f t="shared" si="173"/>
        <v>89301000</v>
      </c>
      <c r="C2433" s="1">
        <v>44404</v>
      </c>
      <c r="D2433" s="1">
        <v>44409</v>
      </c>
      <c r="E2433">
        <v>1</v>
      </c>
      <c r="F2433" t="s">
        <v>1261</v>
      </c>
      <c r="G2433" t="str">
        <f t="shared" si="175"/>
        <v>15-K06-04</v>
      </c>
      <c r="H2433">
        <v>0.27479999999999999</v>
      </c>
      <c r="I2433" t="s">
        <v>1278</v>
      </c>
      <c r="J2433" t="s">
        <v>59</v>
      </c>
      <c r="K2433" t="str">
        <f t="shared" si="174"/>
        <v>3F4</v>
      </c>
      <c r="L2433" t="s">
        <v>15</v>
      </c>
    </row>
    <row r="2434" spans="1:12" x14ac:dyDescent="0.25">
      <c r="A2434" t="str">
        <f>"2157280543"</f>
        <v>2157280543</v>
      </c>
      <c r="B2434" t="str">
        <f t="shared" si="173"/>
        <v>89301000</v>
      </c>
      <c r="C2434" s="1">
        <v>44405</v>
      </c>
      <c r="D2434" s="1">
        <v>44408</v>
      </c>
      <c r="E2434">
        <v>1</v>
      </c>
      <c r="F2434" t="s">
        <v>1261</v>
      </c>
      <c r="G2434" t="str">
        <f t="shared" si="175"/>
        <v>15-K06-04</v>
      </c>
      <c r="H2434">
        <v>0.27479999999999999</v>
      </c>
      <c r="J2434" t="s">
        <v>59</v>
      </c>
      <c r="K2434" t="str">
        <f t="shared" si="174"/>
        <v>3F4</v>
      </c>
      <c r="L2434" t="s">
        <v>15</v>
      </c>
    </row>
    <row r="2435" spans="1:12" x14ac:dyDescent="0.25">
      <c r="A2435" t="str">
        <f>"2157290542"</f>
        <v>2157290542</v>
      </c>
      <c r="B2435" t="str">
        <f t="shared" si="173"/>
        <v>89301000</v>
      </c>
      <c r="C2435" s="1">
        <v>44406</v>
      </c>
      <c r="D2435" s="1">
        <v>44407</v>
      </c>
      <c r="E2435">
        <v>1</v>
      </c>
      <c r="F2435" t="s">
        <v>1261</v>
      </c>
      <c r="G2435" t="str">
        <f t="shared" si="175"/>
        <v>15-K06-04</v>
      </c>
      <c r="H2435">
        <v>0.27479999999999999</v>
      </c>
      <c r="J2435" t="s">
        <v>59</v>
      </c>
      <c r="K2435" t="str">
        <f t="shared" si="174"/>
        <v>3F4</v>
      </c>
      <c r="L2435" t="s">
        <v>15</v>
      </c>
    </row>
    <row r="2436" spans="1:12" x14ac:dyDescent="0.25">
      <c r="A2436" t="str">
        <f>"2157300156"</f>
        <v>2157300156</v>
      </c>
      <c r="B2436" t="str">
        <f t="shared" si="173"/>
        <v>89301000</v>
      </c>
      <c r="C2436" s="1">
        <v>44407</v>
      </c>
      <c r="D2436" s="1">
        <v>44409</v>
      </c>
      <c r="E2436">
        <v>1</v>
      </c>
      <c r="F2436" t="s">
        <v>1261</v>
      </c>
      <c r="G2436" t="str">
        <f t="shared" si="175"/>
        <v>15-K06-04</v>
      </c>
      <c r="H2436">
        <v>0.27479999999999999</v>
      </c>
      <c r="I2436" t="s">
        <v>1506</v>
      </c>
      <c r="J2436" t="s">
        <v>59</v>
      </c>
      <c r="K2436" t="str">
        <f t="shared" si="174"/>
        <v>3F4</v>
      </c>
      <c r="L2436" t="s">
        <v>15</v>
      </c>
    </row>
    <row r="2437" spans="1:12" x14ac:dyDescent="0.25">
      <c r="A2437" t="str">
        <f>"2157300156"</f>
        <v>2157300156</v>
      </c>
      <c r="B2437" t="str">
        <f t="shared" si="173"/>
        <v>89301000</v>
      </c>
      <c r="C2437" s="1">
        <v>44489</v>
      </c>
      <c r="D2437" s="1">
        <v>44492</v>
      </c>
      <c r="E2437">
        <v>1</v>
      </c>
      <c r="F2437" t="s">
        <v>950</v>
      </c>
      <c r="G2437" t="str">
        <f>"04-K03-01"</f>
        <v>04-K03-01</v>
      </c>
      <c r="H2437">
        <v>1.1687000000000001</v>
      </c>
      <c r="I2437" t="s">
        <v>1507</v>
      </c>
      <c r="J2437" t="s">
        <v>14</v>
      </c>
      <c r="K2437" t="str">
        <f>"3F1"</f>
        <v>3F1</v>
      </c>
      <c r="L2437" t="s">
        <v>15</v>
      </c>
    </row>
    <row r="2438" spans="1:12" x14ac:dyDescent="0.25">
      <c r="A2438" t="str">
        <f>"2157300629"</f>
        <v>2157300629</v>
      </c>
      <c r="B2438" t="str">
        <f t="shared" si="173"/>
        <v>89301000</v>
      </c>
      <c r="C2438" s="1">
        <v>44407</v>
      </c>
      <c r="D2438" s="1">
        <v>44411</v>
      </c>
      <c r="E2438">
        <v>1</v>
      </c>
      <c r="F2438" t="s">
        <v>1261</v>
      </c>
      <c r="G2438" t="str">
        <f>"15-K06-04"</f>
        <v>15-K06-04</v>
      </c>
      <c r="H2438">
        <v>0.27479999999999999</v>
      </c>
      <c r="I2438" t="s">
        <v>1508</v>
      </c>
      <c r="J2438" t="s">
        <v>59</v>
      </c>
      <c r="K2438" t="str">
        <f t="shared" ref="K2438:K2449" si="176">"3F4"</f>
        <v>3F4</v>
      </c>
      <c r="L2438" t="s">
        <v>15</v>
      </c>
    </row>
    <row r="2439" spans="1:12" x14ac:dyDescent="0.25">
      <c r="A2439" t="str">
        <f>"2157310177"</f>
        <v>2157310177</v>
      </c>
      <c r="B2439" t="str">
        <f t="shared" si="173"/>
        <v>89301000</v>
      </c>
      <c r="C2439" s="1">
        <v>44415</v>
      </c>
      <c r="D2439" s="1">
        <v>44416</v>
      </c>
      <c r="E2439">
        <v>1</v>
      </c>
      <c r="F2439" t="s">
        <v>1258</v>
      </c>
      <c r="G2439" t="str">
        <f>"15-K07-02"</f>
        <v>15-K07-02</v>
      </c>
      <c r="H2439">
        <v>0.67249999999999999</v>
      </c>
      <c r="I2439" t="s">
        <v>1509</v>
      </c>
      <c r="J2439" t="s">
        <v>59</v>
      </c>
      <c r="K2439" t="str">
        <f t="shared" si="176"/>
        <v>3F4</v>
      </c>
      <c r="L2439" t="s">
        <v>15</v>
      </c>
    </row>
    <row r="2440" spans="1:12" x14ac:dyDescent="0.25">
      <c r="A2440" t="str">
        <f>"2157310177"</f>
        <v>2157310177</v>
      </c>
      <c r="B2440" t="str">
        <f t="shared" si="173"/>
        <v>89301000</v>
      </c>
      <c r="C2440" s="1">
        <v>44408</v>
      </c>
      <c r="D2440" s="1">
        <v>44412</v>
      </c>
      <c r="E2440">
        <v>1</v>
      </c>
      <c r="F2440" t="s">
        <v>1261</v>
      </c>
      <c r="G2440" t="str">
        <f>"15-K06-02"</f>
        <v>15-K06-02</v>
      </c>
      <c r="H2440">
        <v>0.59770000000000001</v>
      </c>
      <c r="I2440" t="s">
        <v>1510</v>
      </c>
      <c r="J2440" t="s">
        <v>59</v>
      </c>
      <c r="K2440" t="str">
        <f t="shared" si="176"/>
        <v>3F4</v>
      </c>
      <c r="L2440" t="s">
        <v>15</v>
      </c>
    </row>
    <row r="2441" spans="1:12" x14ac:dyDescent="0.25">
      <c r="A2441" t="str">
        <f>"2158010305"</f>
        <v>2158010305</v>
      </c>
      <c r="B2441" t="str">
        <f t="shared" si="173"/>
        <v>89301000</v>
      </c>
      <c r="C2441" s="1">
        <v>44409</v>
      </c>
      <c r="D2441" s="1">
        <v>44412</v>
      </c>
      <c r="E2441">
        <v>1</v>
      </c>
      <c r="F2441" t="s">
        <v>1261</v>
      </c>
      <c r="G2441" t="str">
        <f t="shared" ref="G2441:G2449" si="177">"15-K06-04"</f>
        <v>15-K06-04</v>
      </c>
      <c r="H2441">
        <v>0.27479999999999999</v>
      </c>
      <c r="J2441" t="s">
        <v>59</v>
      </c>
      <c r="K2441" t="str">
        <f t="shared" si="176"/>
        <v>3F4</v>
      </c>
      <c r="L2441" t="s">
        <v>15</v>
      </c>
    </row>
    <row r="2442" spans="1:12" x14ac:dyDescent="0.25">
      <c r="A2442" t="str">
        <f>"2158020095"</f>
        <v>2158020095</v>
      </c>
      <c r="B2442" t="str">
        <f t="shared" si="173"/>
        <v>89301000</v>
      </c>
      <c r="C2442" s="1">
        <v>44410</v>
      </c>
      <c r="D2442" s="1">
        <v>44413</v>
      </c>
      <c r="E2442">
        <v>1</v>
      </c>
      <c r="F2442" t="s">
        <v>1261</v>
      </c>
      <c r="G2442" t="str">
        <f t="shared" si="177"/>
        <v>15-K06-04</v>
      </c>
      <c r="H2442">
        <v>0.27479999999999999</v>
      </c>
      <c r="I2442" t="s">
        <v>1319</v>
      </c>
      <c r="J2442" t="s">
        <v>59</v>
      </c>
      <c r="K2442" t="str">
        <f t="shared" si="176"/>
        <v>3F4</v>
      </c>
      <c r="L2442" t="s">
        <v>15</v>
      </c>
    </row>
    <row r="2443" spans="1:12" x14ac:dyDescent="0.25">
      <c r="A2443" t="str">
        <f>"2158020667"</f>
        <v>2158020667</v>
      </c>
      <c r="B2443" t="str">
        <f t="shared" si="173"/>
        <v>89301000</v>
      </c>
      <c r="C2443" s="1">
        <v>44410</v>
      </c>
      <c r="D2443" s="1">
        <v>44413</v>
      </c>
      <c r="E2443">
        <v>1</v>
      </c>
      <c r="F2443" t="s">
        <v>1261</v>
      </c>
      <c r="G2443" t="str">
        <f t="shared" si="177"/>
        <v>15-K06-04</v>
      </c>
      <c r="H2443">
        <v>0.27479999999999999</v>
      </c>
      <c r="J2443" t="s">
        <v>59</v>
      </c>
      <c r="K2443" t="str">
        <f t="shared" si="176"/>
        <v>3F4</v>
      </c>
      <c r="L2443" t="s">
        <v>15</v>
      </c>
    </row>
    <row r="2444" spans="1:12" x14ac:dyDescent="0.25">
      <c r="A2444" t="str">
        <f>"2158030567"</f>
        <v>2158030567</v>
      </c>
      <c r="B2444" t="str">
        <f t="shared" si="173"/>
        <v>89301000</v>
      </c>
      <c r="C2444" s="1">
        <v>44411</v>
      </c>
      <c r="D2444" s="1">
        <v>44413</v>
      </c>
      <c r="E2444">
        <v>1</v>
      </c>
      <c r="F2444" t="s">
        <v>1261</v>
      </c>
      <c r="G2444" t="str">
        <f t="shared" si="177"/>
        <v>15-K06-04</v>
      </c>
      <c r="H2444">
        <v>0.27479999999999999</v>
      </c>
      <c r="J2444" t="s">
        <v>59</v>
      </c>
      <c r="K2444" t="str">
        <f t="shared" si="176"/>
        <v>3F4</v>
      </c>
      <c r="L2444" t="s">
        <v>15</v>
      </c>
    </row>
    <row r="2445" spans="1:12" x14ac:dyDescent="0.25">
      <c r="A2445" t="str">
        <f>"2158030578"</f>
        <v>2158030578</v>
      </c>
      <c r="B2445" t="str">
        <f t="shared" si="173"/>
        <v>89301000</v>
      </c>
      <c r="C2445" s="1">
        <v>44411</v>
      </c>
      <c r="D2445" s="1">
        <v>44413</v>
      </c>
      <c r="E2445">
        <v>1</v>
      </c>
      <c r="F2445" t="s">
        <v>1261</v>
      </c>
      <c r="G2445" t="str">
        <f t="shared" si="177"/>
        <v>15-K06-04</v>
      </c>
      <c r="H2445">
        <v>0.27479999999999999</v>
      </c>
      <c r="J2445" t="s">
        <v>59</v>
      </c>
      <c r="K2445" t="str">
        <f t="shared" si="176"/>
        <v>3F4</v>
      </c>
      <c r="L2445" t="s">
        <v>15</v>
      </c>
    </row>
    <row r="2446" spans="1:12" x14ac:dyDescent="0.25">
      <c r="A2446" t="str">
        <f>"2158030611"</f>
        <v>2158030611</v>
      </c>
      <c r="B2446" t="str">
        <f t="shared" si="173"/>
        <v>89301000</v>
      </c>
      <c r="C2446" s="1">
        <v>44411</v>
      </c>
      <c r="D2446" s="1">
        <v>44414</v>
      </c>
      <c r="E2446">
        <v>1</v>
      </c>
      <c r="F2446" t="s">
        <v>1261</v>
      </c>
      <c r="G2446" t="str">
        <f t="shared" si="177"/>
        <v>15-K06-04</v>
      </c>
      <c r="H2446">
        <v>0.27479999999999999</v>
      </c>
      <c r="J2446" t="s">
        <v>59</v>
      </c>
      <c r="K2446" t="str">
        <f t="shared" si="176"/>
        <v>3F4</v>
      </c>
      <c r="L2446" t="s">
        <v>15</v>
      </c>
    </row>
    <row r="2447" spans="1:12" x14ac:dyDescent="0.25">
      <c r="A2447" t="str">
        <f>"2158040621"</f>
        <v>2158040621</v>
      </c>
      <c r="B2447" t="str">
        <f t="shared" si="173"/>
        <v>89301000</v>
      </c>
      <c r="C2447" s="1">
        <v>44412</v>
      </c>
      <c r="D2447" s="1">
        <v>44415</v>
      </c>
      <c r="E2447">
        <v>1</v>
      </c>
      <c r="F2447" t="s">
        <v>1261</v>
      </c>
      <c r="G2447" t="str">
        <f t="shared" si="177"/>
        <v>15-K06-04</v>
      </c>
      <c r="H2447">
        <v>0.27479999999999999</v>
      </c>
      <c r="J2447" t="s">
        <v>59</v>
      </c>
      <c r="K2447" t="str">
        <f t="shared" si="176"/>
        <v>3F4</v>
      </c>
      <c r="L2447" t="s">
        <v>15</v>
      </c>
    </row>
    <row r="2448" spans="1:12" x14ac:dyDescent="0.25">
      <c r="A2448" t="str">
        <f>"2158050048"</f>
        <v>2158050048</v>
      </c>
      <c r="B2448" t="str">
        <f t="shared" si="173"/>
        <v>89301000</v>
      </c>
      <c r="C2448" s="1">
        <v>44413</v>
      </c>
      <c r="D2448" s="1">
        <v>44415</v>
      </c>
      <c r="E2448">
        <v>1</v>
      </c>
      <c r="F2448" t="s">
        <v>1261</v>
      </c>
      <c r="G2448" t="str">
        <f t="shared" si="177"/>
        <v>15-K06-04</v>
      </c>
      <c r="H2448">
        <v>0.27479999999999999</v>
      </c>
      <c r="J2448" t="s">
        <v>59</v>
      </c>
      <c r="K2448" t="str">
        <f t="shared" si="176"/>
        <v>3F4</v>
      </c>
      <c r="L2448" t="s">
        <v>15</v>
      </c>
    </row>
    <row r="2449" spans="1:12" x14ac:dyDescent="0.25">
      <c r="A2449" t="str">
        <f>"2158050521"</f>
        <v>2158050521</v>
      </c>
      <c r="B2449" t="str">
        <f t="shared" si="173"/>
        <v>89301000</v>
      </c>
      <c r="C2449" s="1">
        <v>44413</v>
      </c>
      <c r="D2449" s="1">
        <v>44415</v>
      </c>
      <c r="E2449">
        <v>1</v>
      </c>
      <c r="F2449" t="s">
        <v>1261</v>
      </c>
      <c r="G2449" t="str">
        <f t="shared" si="177"/>
        <v>15-K06-04</v>
      </c>
      <c r="H2449">
        <v>0.27479999999999999</v>
      </c>
      <c r="J2449" t="s">
        <v>59</v>
      </c>
      <c r="K2449" t="str">
        <f t="shared" si="176"/>
        <v>3F4</v>
      </c>
      <c r="L2449" t="s">
        <v>15</v>
      </c>
    </row>
    <row r="2450" spans="1:12" x14ac:dyDescent="0.25">
      <c r="A2450" t="str">
        <f>"2158050521"</f>
        <v>2158050521</v>
      </c>
      <c r="B2450" t="str">
        <f t="shared" si="173"/>
        <v>89301000</v>
      </c>
      <c r="C2450" s="1">
        <v>44455</v>
      </c>
      <c r="D2450" s="1">
        <v>44460</v>
      </c>
      <c r="E2450">
        <v>1</v>
      </c>
      <c r="F2450" t="s">
        <v>950</v>
      </c>
      <c r="G2450" t="str">
        <f>"04-K03-03"</f>
        <v>04-K03-03</v>
      </c>
      <c r="H2450">
        <v>0.53180000000000005</v>
      </c>
      <c r="J2450" t="s">
        <v>14</v>
      </c>
      <c r="K2450" t="str">
        <f>"3F1"</f>
        <v>3F1</v>
      </c>
      <c r="L2450" t="s">
        <v>15</v>
      </c>
    </row>
    <row r="2451" spans="1:12" x14ac:dyDescent="0.25">
      <c r="A2451" t="str">
        <f>"2158060740"</f>
        <v>2158060740</v>
      </c>
      <c r="B2451" t="str">
        <f t="shared" si="173"/>
        <v>89301000</v>
      </c>
      <c r="C2451" s="1">
        <v>44414</v>
      </c>
      <c r="D2451" s="1">
        <v>44417</v>
      </c>
      <c r="E2451">
        <v>1</v>
      </c>
      <c r="F2451" t="s">
        <v>1261</v>
      </c>
      <c r="G2451" t="str">
        <f>"15-K06-04"</f>
        <v>15-K06-04</v>
      </c>
      <c r="H2451">
        <v>0.27479999999999999</v>
      </c>
      <c r="J2451" t="s">
        <v>59</v>
      </c>
      <c r="K2451" t="str">
        <f t="shared" ref="K2451:K2467" si="178">"3F4"</f>
        <v>3F4</v>
      </c>
      <c r="L2451" t="s">
        <v>15</v>
      </c>
    </row>
    <row r="2452" spans="1:12" x14ac:dyDescent="0.25">
      <c r="A2452" t="str">
        <f>"2158070453"</f>
        <v>2158070453</v>
      </c>
      <c r="B2452" t="str">
        <f t="shared" si="173"/>
        <v>89301000</v>
      </c>
      <c r="C2452" s="1">
        <v>44415</v>
      </c>
      <c r="D2452" s="1">
        <v>44417</v>
      </c>
      <c r="E2452">
        <v>1</v>
      </c>
      <c r="F2452" t="s">
        <v>1261</v>
      </c>
      <c r="G2452" t="str">
        <f>"15-K06-04"</f>
        <v>15-K06-04</v>
      </c>
      <c r="H2452">
        <v>0.27479999999999999</v>
      </c>
      <c r="J2452" t="s">
        <v>59</v>
      </c>
      <c r="K2452" t="str">
        <f t="shared" si="178"/>
        <v>3F4</v>
      </c>
      <c r="L2452" t="s">
        <v>15</v>
      </c>
    </row>
    <row r="2453" spans="1:12" x14ac:dyDescent="0.25">
      <c r="A2453" t="str">
        <f>"2158070475"</f>
        <v>2158070475</v>
      </c>
      <c r="B2453" t="str">
        <f t="shared" si="173"/>
        <v>89301000</v>
      </c>
      <c r="C2453" s="1">
        <v>44415</v>
      </c>
      <c r="D2453" s="1">
        <v>44418</v>
      </c>
      <c r="E2453">
        <v>1</v>
      </c>
      <c r="F2453" t="s">
        <v>1261</v>
      </c>
      <c r="G2453" t="str">
        <f>"15-K06-04"</f>
        <v>15-K06-04</v>
      </c>
      <c r="H2453">
        <v>0.27479999999999999</v>
      </c>
      <c r="J2453" t="s">
        <v>59</v>
      </c>
      <c r="K2453" t="str">
        <f t="shared" si="178"/>
        <v>3F4</v>
      </c>
      <c r="L2453" t="s">
        <v>15</v>
      </c>
    </row>
    <row r="2454" spans="1:12" x14ac:dyDescent="0.25">
      <c r="A2454" t="str">
        <f>"2158070486"</f>
        <v>2158070486</v>
      </c>
      <c r="B2454" t="str">
        <f t="shared" si="173"/>
        <v>89301000</v>
      </c>
      <c r="C2454" s="1">
        <v>44415</v>
      </c>
      <c r="D2454" s="1">
        <v>44417</v>
      </c>
      <c r="E2454">
        <v>1</v>
      </c>
      <c r="F2454" t="s">
        <v>1261</v>
      </c>
      <c r="G2454" t="str">
        <f>"15-K06-04"</f>
        <v>15-K06-04</v>
      </c>
      <c r="H2454">
        <v>0.27479999999999999</v>
      </c>
      <c r="J2454" t="s">
        <v>59</v>
      </c>
      <c r="K2454" t="str">
        <f t="shared" si="178"/>
        <v>3F4</v>
      </c>
      <c r="L2454" t="s">
        <v>15</v>
      </c>
    </row>
    <row r="2455" spans="1:12" x14ac:dyDescent="0.25">
      <c r="A2455" t="str">
        <f>"2158070497"</f>
        <v>2158070497</v>
      </c>
      <c r="B2455" t="str">
        <f t="shared" si="173"/>
        <v>89301000</v>
      </c>
      <c r="C2455" s="1">
        <v>44415</v>
      </c>
      <c r="D2455" s="1">
        <v>44421</v>
      </c>
      <c r="E2455">
        <v>1</v>
      </c>
      <c r="F2455" t="s">
        <v>1338</v>
      </c>
      <c r="G2455" t="str">
        <f>"15-K05-03"</f>
        <v>15-K05-03</v>
      </c>
      <c r="H2455">
        <v>0.62380000000000002</v>
      </c>
      <c r="I2455" t="s">
        <v>1221</v>
      </c>
      <c r="J2455" t="s">
        <v>1212</v>
      </c>
      <c r="K2455" t="str">
        <f t="shared" si="178"/>
        <v>3F4</v>
      </c>
      <c r="L2455" t="s">
        <v>15</v>
      </c>
    </row>
    <row r="2456" spans="1:12" x14ac:dyDescent="0.25">
      <c r="A2456" t="str">
        <f>"2158080397"</f>
        <v>2158080397</v>
      </c>
      <c r="B2456" t="str">
        <f t="shared" si="173"/>
        <v>89301000</v>
      </c>
      <c r="C2456" s="1">
        <v>44416</v>
      </c>
      <c r="D2456" s="1">
        <v>44416</v>
      </c>
      <c r="E2456">
        <v>1</v>
      </c>
      <c r="F2456" t="s">
        <v>1261</v>
      </c>
      <c r="G2456" t="str">
        <f>"15-K06-04"</f>
        <v>15-K06-04</v>
      </c>
      <c r="H2456">
        <v>0.13739999999999999</v>
      </c>
      <c r="J2456" t="s">
        <v>59</v>
      </c>
      <c r="K2456" t="str">
        <f t="shared" si="178"/>
        <v>3F4</v>
      </c>
      <c r="L2456" t="s">
        <v>15</v>
      </c>
    </row>
    <row r="2457" spans="1:12" x14ac:dyDescent="0.25">
      <c r="A2457" t="str">
        <f>"2158080419"</f>
        <v>2158080419</v>
      </c>
      <c r="B2457" t="str">
        <f t="shared" si="173"/>
        <v>89301000</v>
      </c>
      <c r="C2457" s="1">
        <v>44416</v>
      </c>
      <c r="D2457" s="1">
        <v>44420</v>
      </c>
      <c r="E2457">
        <v>1</v>
      </c>
      <c r="F2457" t="s">
        <v>1261</v>
      </c>
      <c r="G2457" t="str">
        <f>"15-K05-03"</f>
        <v>15-K05-03</v>
      </c>
      <c r="H2457">
        <v>0.62380000000000002</v>
      </c>
      <c r="J2457" t="s">
        <v>1212</v>
      </c>
      <c r="K2457" t="str">
        <f t="shared" si="178"/>
        <v>3F4</v>
      </c>
      <c r="L2457" t="s">
        <v>15</v>
      </c>
    </row>
    <row r="2458" spans="1:12" x14ac:dyDescent="0.25">
      <c r="A2458" t="str">
        <f>"2158090077"</f>
        <v>2158090077</v>
      </c>
      <c r="B2458" t="str">
        <f t="shared" si="173"/>
        <v>89301000</v>
      </c>
      <c r="C2458" s="1">
        <v>44417</v>
      </c>
      <c r="D2458" s="1">
        <v>44417</v>
      </c>
      <c r="E2458">
        <v>1</v>
      </c>
      <c r="F2458" t="s">
        <v>1261</v>
      </c>
      <c r="G2458" t="str">
        <f t="shared" ref="G2458:G2463" si="179">"15-K06-04"</f>
        <v>15-K06-04</v>
      </c>
      <c r="H2458">
        <v>0.13739999999999999</v>
      </c>
      <c r="J2458" t="s">
        <v>59</v>
      </c>
      <c r="K2458" t="str">
        <f t="shared" si="178"/>
        <v>3F4</v>
      </c>
      <c r="L2458" t="s">
        <v>15</v>
      </c>
    </row>
    <row r="2459" spans="1:12" x14ac:dyDescent="0.25">
      <c r="A2459" t="str">
        <f>"2158100428"</f>
        <v>2158100428</v>
      </c>
      <c r="B2459" t="str">
        <f t="shared" si="173"/>
        <v>89301000</v>
      </c>
      <c r="C2459" s="1">
        <v>44418</v>
      </c>
      <c r="D2459" s="1">
        <v>44421</v>
      </c>
      <c r="E2459">
        <v>1</v>
      </c>
      <c r="F2459" t="s">
        <v>1261</v>
      </c>
      <c r="G2459" t="str">
        <f t="shared" si="179"/>
        <v>15-K06-04</v>
      </c>
      <c r="H2459">
        <v>0.27479999999999999</v>
      </c>
      <c r="J2459" t="s">
        <v>59</v>
      </c>
      <c r="K2459" t="str">
        <f t="shared" si="178"/>
        <v>3F4</v>
      </c>
      <c r="L2459" t="s">
        <v>15</v>
      </c>
    </row>
    <row r="2460" spans="1:12" x14ac:dyDescent="0.25">
      <c r="A2460" t="str">
        <f>"2158100483"</f>
        <v>2158100483</v>
      </c>
      <c r="B2460" t="str">
        <f t="shared" si="173"/>
        <v>89301000</v>
      </c>
      <c r="C2460" s="1">
        <v>44418</v>
      </c>
      <c r="D2460" s="1">
        <v>44421</v>
      </c>
      <c r="E2460">
        <v>1</v>
      </c>
      <c r="F2460" t="s">
        <v>1261</v>
      </c>
      <c r="G2460" t="str">
        <f t="shared" si="179"/>
        <v>15-K06-04</v>
      </c>
      <c r="H2460">
        <v>0.27479999999999999</v>
      </c>
      <c r="I2460" t="s">
        <v>1312</v>
      </c>
      <c r="J2460" t="s">
        <v>59</v>
      </c>
      <c r="K2460" t="str">
        <f t="shared" si="178"/>
        <v>3F4</v>
      </c>
      <c r="L2460" t="s">
        <v>15</v>
      </c>
    </row>
    <row r="2461" spans="1:12" x14ac:dyDescent="0.25">
      <c r="A2461" t="str">
        <f>"2158110405"</f>
        <v>2158110405</v>
      </c>
      <c r="B2461" t="str">
        <f t="shared" si="173"/>
        <v>89301000</v>
      </c>
      <c r="C2461" s="1">
        <v>44419</v>
      </c>
      <c r="D2461" s="1">
        <v>44421</v>
      </c>
      <c r="E2461">
        <v>1</v>
      </c>
      <c r="F2461" t="s">
        <v>1261</v>
      </c>
      <c r="G2461" t="str">
        <f t="shared" si="179"/>
        <v>15-K06-04</v>
      </c>
      <c r="H2461">
        <v>0.27479999999999999</v>
      </c>
      <c r="J2461" t="s">
        <v>59</v>
      </c>
      <c r="K2461" t="str">
        <f t="shared" si="178"/>
        <v>3F4</v>
      </c>
      <c r="L2461" t="s">
        <v>15</v>
      </c>
    </row>
    <row r="2462" spans="1:12" x14ac:dyDescent="0.25">
      <c r="A2462" t="str">
        <f>"2158110427"</f>
        <v>2158110427</v>
      </c>
      <c r="B2462" t="str">
        <f t="shared" si="173"/>
        <v>89301000</v>
      </c>
      <c r="C2462" s="1">
        <v>44419</v>
      </c>
      <c r="D2462" s="1">
        <v>44423</v>
      </c>
      <c r="E2462">
        <v>1</v>
      </c>
      <c r="F2462" t="s">
        <v>1261</v>
      </c>
      <c r="G2462" t="str">
        <f t="shared" si="179"/>
        <v>15-K06-04</v>
      </c>
      <c r="H2462">
        <v>0.27479999999999999</v>
      </c>
      <c r="J2462" t="s">
        <v>59</v>
      </c>
      <c r="K2462" t="str">
        <f t="shared" si="178"/>
        <v>3F4</v>
      </c>
      <c r="L2462" t="s">
        <v>15</v>
      </c>
    </row>
    <row r="2463" spans="1:12" x14ac:dyDescent="0.25">
      <c r="A2463" t="str">
        <f>"2158110438"</f>
        <v>2158110438</v>
      </c>
      <c r="B2463" t="str">
        <f t="shared" si="173"/>
        <v>89301000</v>
      </c>
      <c r="C2463" s="1">
        <v>44419</v>
      </c>
      <c r="D2463" s="1">
        <v>44422</v>
      </c>
      <c r="E2463">
        <v>1</v>
      </c>
      <c r="F2463" t="s">
        <v>1261</v>
      </c>
      <c r="G2463" t="str">
        <f t="shared" si="179"/>
        <v>15-K06-04</v>
      </c>
      <c r="H2463">
        <v>0.27479999999999999</v>
      </c>
      <c r="I2463" t="s">
        <v>725</v>
      </c>
      <c r="J2463" t="s">
        <v>59</v>
      </c>
      <c r="K2463" t="str">
        <f t="shared" si="178"/>
        <v>3F4</v>
      </c>
      <c r="L2463" t="s">
        <v>15</v>
      </c>
    </row>
    <row r="2464" spans="1:12" x14ac:dyDescent="0.25">
      <c r="A2464" t="str">
        <f>"2158111604"</f>
        <v>2158111604</v>
      </c>
      <c r="B2464" t="str">
        <f t="shared" si="173"/>
        <v>89301000</v>
      </c>
      <c r="C2464" s="1">
        <v>44419</v>
      </c>
      <c r="D2464" s="1">
        <v>44422</v>
      </c>
      <c r="E2464">
        <v>1</v>
      </c>
      <c r="F2464" t="s">
        <v>1511</v>
      </c>
      <c r="G2464" t="str">
        <f>"15-K07-03"</f>
        <v>15-K07-03</v>
      </c>
      <c r="H2464">
        <v>0.53959999999999997</v>
      </c>
      <c r="I2464" t="s">
        <v>1276</v>
      </c>
      <c r="J2464" t="s">
        <v>59</v>
      </c>
      <c r="K2464" t="str">
        <f t="shared" si="178"/>
        <v>3F4</v>
      </c>
      <c r="L2464" t="s">
        <v>15</v>
      </c>
    </row>
    <row r="2465" spans="1:12" x14ac:dyDescent="0.25">
      <c r="A2465" t="str">
        <f>"2158120745"</f>
        <v>2158120745</v>
      </c>
      <c r="B2465" t="str">
        <f t="shared" si="173"/>
        <v>89301000</v>
      </c>
      <c r="C2465" s="1">
        <v>44420</v>
      </c>
      <c r="D2465" s="1">
        <v>44425</v>
      </c>
      <c r="E2465">
        <v>1</v>
      </c>
      <c r="F2465" t="s">
        <v>1262</v>
      </c>
      <c r="G2465" t="str">
        <f>"15-K07-03"</f>
        <v>15-K07-03</v>
      </c>
      <c r="H2465">
        <v>0.53959999999999997</v>
      </c>
      <c r="J2465" t="s">
        <v>59</v>
      </c>
      <c r="K2465" t="str">
        <f t="shared" si="178"/>
        <v>3F4</v>
      </c>
      <c r="L2465" t="s">
        <v>15</v>
      </c>
    </row>
    <row r="2466" spans="1:12" x14ac:dyDescent="0.25">
      <c r="A2466" t="str">
        <f>"2158130172"</f>
        <v>2158130172</v>
      </c>
      <c r="B2466" t="str">
        <f t="shared" si="173"/>
        <v>89301000</v>
      </c>
      <c r="C2466" s="1">
        <v>44421</v>
      </c>
      <c r="D2466" s="1">
        <v>44519</v>
      </c>
      <c r="E2466">
        <v>1</v>
      </c>
      <c r="F2466" t="s">
        <v>1210</v>
      </c>
      <c r="G2466" t="str">
        <f>"15-M01-02"</f>
        <v>15-M01-02</v>
      </c>
      <c r="H2466">
        <v>27.9466</v>
      </c>
      <c r="I2466" t="s">
        <v>1512</v>
      </c>
      <c r="J2466" t="s">
        <v>1212</v>
      </c>
      <c r="K2466" t="str">
        <f t="shared" si="178"/>
        <v>3F4</v>
      </c>
      <c r="L2466" t="s">
        <v>15</v>
      </c>
    </row>
    <row r="2467" spans="1:12" x14ac:dyDescent="0.25">
      <c r="A2467" t="str">
        <f>"2158130821"</f>
        <v>2158130821</v>
      </c>
      <c r="B2467" t="str">
        <f t="shared" si="173"/>
        <v>89301000</v>
      </c>
      <c r="C2467" s="1">
        <v>44421</v>
      </c>
      <c r="D2467" s="1">
        <v>44424</v>
      </c>
      <c r="E2467">
        <v>1</v>
      </c>
      <c r="F2467" t="s">
        <v>1261</v>
      </c>
      <c r="G2467" t="str">
        <f>"15-K06-04"</f>
        <v>15-K06-04</v>
      </c>
      <c r="H2467">
        <v>0.27479999999999999</v>
      </c>
      <c r="J2467" t="s">
        <v>59</v>
      </c>
      <c r="K2467" t="str">
        <f t="shared" si="178"/>
        <v>3F4</v>
      </c>
      <c r="L2467" t="s">
        <v>15</v>
      </c>
    </row>
    <row r="2468" spans="1:12" x14ac:dyDescent="0.25">
      <c r="A2468" t="str">
        <f>"2158130843"</f>
        <v>2158130843</v>
      </c>
      <c r="B2468" t="str">
        <f t="shared" si="173"/>
        <v>89301000</v>
      </c>
      <c r="C2468" s="1">
        <v>44454</v>
      </c>
      <c r="D2468" s="1">
        <v>44459</v>
      </c>
      <c r="E2468">
        <v>1</v>
      </c>
      <c r="F2468" t="s">
        <v>151</v>
      </c>
      <c r="G2468" t="str">
        <f>"06-I16-05"</f>
        <v>06-I16-05</v>
      </c>
      <c r="H2468">
        <v>0.64600000000000002</v>
      </c>
      <c r="I2468" t="s">
        <v>1513</v>
      </c>
      <c r="J2468" t="s">
        <v>24</v>
      </c>
      <c r="K2468" t="str">
        <f>"3F1"</f>
        <v>3F1</v>
      </c>
      <c r="L2468" t="s">
        <v>15</v>
      </c>
    </row>
    <row r="2469" spans="1:12" x14ac:dyDescent="0.25">
      <c r="A2469" t="str">
        <f>"2158130843"</f>
        <v>2158130843</v>
      </c>
      <c r="B2469" t="str">
        <f t="shared" si="173"/>
        <v>89301000</v>
      </c>
      <c r="C2469" s="1">
        <v>44421</v>
      </c>
      <c r="D2469" s="1">
        <v>44424</v>
      </c>
      <c r="E2469">
        <v>1</v>
      </c>
      <c r="F2469" t="s">
        <v>1221</v>
      </c>
      <c r="G2469" t="str">
        <f>"15-K07-03"</f>
        <v>15-K07-03</v>
      </c>
      <c r="H2469">
        <v>0.53959999999999997</v>
      </c>
      <c r="J2469" t="s">
        <v>59</v>
      </c>
      <c r="K2469" t="str">
        <f>"3F4"</f>
        <v>3F4</v>
      </c>
      <c r="L2469" t="s">
        <v>15</v>
      </c>
    </row>
    <row r="2470" spans="1:12" x14ac:dyDescent="0.25">
      <c r="A2470" t="str">
        <f>"2158130865"</f>
        <v>2158130865</v>
      </c>
      <c r="B2470" t="str">
        <f t="shared" si="173"/>
        <v>89301000</v>
      </c>
      <c r="C2470" s="1">
        <v>44481</v>
      </c>
      <c r="D2470" s="1">
        <v>44487</v>
      </c>
      <c r="E2470">
        <v>1</v>
      </c>
      <c r="F2470" t="s">
        <v>950</v>
      </c>
      <c r="G2470" t="str">
        <f>"04-K03-03"</f>
        <v>04-K03-03</v>
      </c>
      <c r="H2470">
        <v>0.53180000000000005</v>
      </c>
      <c r="I2470" t="s">
        <v>168</v>
      </c>
      <c r="J2470" t="s">
        <v>14</v>
      </c>
      <c r="K2470" t="str">
        <f>"3F1"</f>
        <v>3F1</v>
      </c>
      <c r="L2470" t="s">
        <v>15</v>
      </c>
    </row>
    <row r="2471" spans="1:12" x14ac:dyDescent="0.25">
      <c r="A2471" t="str">
        <f>"2158130865"</f>
        <v>2158130865</v>
      </c>
      <c r="B2471" t="str">
        <f t="shared" si="173"/>
        <v>89301000</v>
      </c>
      <c r="C2471" s="1">
        <v>44421</v>
      </c>
      <c r="D2471" s="1">
        <v>44424</v>
      </c>
      <c r="E2471">
        <v>1</v>
      </c>
      <c r="F2471" t="s">
        <v>1261</v>
      </c>
      <c r="G2471" t="str">
        <f>"15-K06-04"</f>
        <v>15-K06-04</v>
      </c>
      <c r="H2471">
        <v>0.27479999999999999</v>
      </c>
      <c r="J2471" t="s">
        <v>59</v>
      </c>
      <c r="K2471" t="str">
        <f>"3F4"</f>
        <v>3F4</v>
      </c>
      <c r="L2471" t="s">
        <v>15</v>
      </c>
    </row>
    <row r="2472" spans="1:12" x14ac:dyDescent="0.25">
      <c r="A2472" t="str">
        <f>"2158150258"</f>
        <v>2158150258</v>
      </c>
      <c r="B2472" t="str">
        <f t="shared" si="173"/>
        <v>89301000</v>
      </c>
      <c r="C2472" s="1">
        <v>44423</v>
      </c>
      <c r="D2472" s="1">
        <v>44427</v>
      </c>
      <c r="E2472">
        <v>1</v>
      </c>
      <c r="F2472" t="s">
        <v>1261</v>
      </c>
      <c r="G2472" t="str">
        <f>"15-K06-04"</f>
        <v>15-K06-04</v>
      </c>
      <c r="H2472">
        <v>0.27479999999999999</v>
      </c>
      <c r="I2472" t="s">
        <v>1514</v>
      </c>
      <c r="J2472" t="s">
        <v>59</v>
      </c>
      <c r="K2472" t="str">
        <f>"3F4"</f>
        <v>3F4</v>
      </c>
      <c r="L2472" t="s">
        <v>15</v>
      </c>
    </row>
    <row r="2473" spans="1:12" x14ac:dyDescent="0.25">
      <c r="A2473" t="str">
        <f>"2158160785"</f>
        <v>2158160785</v>
      </c>
      <c r="B2473" t="str">
        <f t="shared" ref="B2473:B2536" si="180">"89301000"</f>
        <v>89301000</v>
      </c>
      <c r="C2473" s="1">
        <v>44461</v>
      </c>
      <c r="D2473" s="1">
        <v>44463</v>
      </c>
      <c r="E2473">
        <v>1</v>
      </c>
      <c r="F2473" t="s">
        <v>1116</v>
      </c>
      <c r="G2473" t="str">
        <f>"06-I16-05"</f>
        <v>06-I16-05</v>
      </c>
      <c r="H2473">
        <v>0.46139999999999998</v>
      </c>
      <c r="J2473" t="s">
        <v>24</v>
      </c>
      <c r="K2473" t="str">
        <f>"3F1"</f>
        <v>3F1</v>
      </c>
      <c r="L2473" t="s">
        <v>15</v>
      </c>
    </row>
    <row r="2474" spans="1:12" x14ac:dyDescent="0.25">
      <c r="A2474" t="str">
        <f>"2158160785"</f>
        <v>2158160785</v>
      </c>
      <c r="B2474" t="str">
        <f t="shared" si="180"/>
        <v>89301000</v>
      </c>
      <c r="C2474" s="1">
        <v>44424</v>
      </c>
      <c r="D2474" s="1">
        <v>44427</v>
      </c>
      <c r="E2474">
        <v>1</v>
      </c>
      <c r="F2474" t="s">
        <v>1261</v>
      </c>
      <c r="G2474" t="str">
        <f t="shared" ref="G2474:G2481" si="181">"15-K06-04"</f>
        <v>15-K06-04</v>
      </c>
      <c r="H2474">
        <v>0.27479999999999999</v>
      </c>
      <c r="J2474" t="s">
        <v>59</v>
      </c>
      <c r="K2474" t="str">
        <f t="shared" ref="K2474:K2482" si="182">"3F4"</f>
        <v>3F4</v>
      </c>
      <c r="L2474" t="s">
        <v>15</v>
      </c>
    </row>
    <row r="2475" spans="1:12" x14ac:dyDescent="0.25">
      <c r="A2475" t="str">
        <f>"2158160818"</f>
        <v>2158160818</v>
      </c>
      <c r="B2475" t="str">
        <f t="shared" si="180"/>
        <v>89301000</v>
      </c>
      <c r="C2475" s="1">
        <v>44424</v>
      </c>
      <c r="D2475" s="1">
        <v>44427</v>
      </c>
      <c r="E2475">
        <v>1</v>
      </c>
      <c r="F2475" t="s">
        <v>1261</v>
      </c>
      <c r="G2475" t="str">
        <f t="shared" si="181"/>
        <v>15-K06-04</v>
      </c>
      <c r="H2475">
        <v>0.27479999999999999</v>
      </c>
      <c r="I2475" t="s">
        <v>1383</v>
      </c>
      <c r="J2475" t="s">
        <v>59</v>
      </c>
      <c r="K2475" t="str">
        <f t="shared" si="182"/>
        <v>3F4</v>
      </c>
      <c r="L2475" t="s">
        <v>15</v>
      </c>
    </row>
    <row r="2476" spans="1:12" x14ac:dyDescent="0.25">
      <c r="A2476" t="str">
        <f>"2158170102"</f>
        <v>2158170102</v>
      </c>
      <c r="B2476" t="str">
        <f t="shared" si="180"/>
        <v>89301000</v>
      </c>
      <c r="C2476" s="1">
        <v>44425</v>
      </c>
      <c r="D2476" s="1">
        <v>44428</v>
      </c>
      <c r="E2476">
        <v>1</v>
      </c>
      <c r="F2476" t="s">
        <v>1261</v>
      </c>
      <c r="G2476" t="str">
        <f t="shared" si="181"/>
        <v>15-K06-04</v>
      </c>
      <c r="H2476">
        <v>0.27479999999999999</v>
      </c>
      <c r="J2476" t="s">
        <v>59</v>
      </c>
      <c r="K2476" t="str">
        <f t="shared" si="182"/>
        <v>3F4</v>
      </c>
      <c r="L2476" t="s">
        <v>15</v>
      </c>
    </row>
    <row r="2477" spans="1:12" x14ac:dyDescent="0.25">
      <c r="A2477" t="str">
        <f>"2158170564"</f>
        <v>2158170564</v>
      </c>
      <c r="B2477" t="str">
        <f t="shared" si="180"/>
        <v>89301000</v>
      </c>
      <c r="C2477" s="1">
        <v>44425</v>
      </c>
      <c r="D2477" s="1">
        <v>44428</v>
      </c>
      <c r="E2477">
        <v>1</v>
      </c>
      <c r="F2477" t="s">
        <v>1261</v>
      </c>
      <c r="G2477" t="str">
        <f t="shared" si="181"/>
        <v>15-K06-04</v>
      </c>
      <c r="H2477">
        <v>0.27479999999999999</v>
      </c>
      <c r="I2477" t="s">
        <v>1266</v>
      </c>
      <c r="J2477" t="s">
        <v>59</v>
      </c>
      <c r="K2477" t="str">
        <f t="shared" si="182"/>
        <v>3F4</v>
      </c>
      <c r="L2477" t="s">
        <v>15</v>
      </c>
    </row>
    <row r="2478" spans="1:12" x14ac:dyDescent="0.25">
      <c r="A2478" t="str">
        <f>"2158170575"</f>
        <v>2158170575</v>
      </c>
      <c r="B2478" t="str">
        <f t="shared" si="180"/>
        <v>89301000</v>
      </c>
      <c r="C2478" s="1">
        <v>44425</v>
      </c>
      <c r="D2478" s="1">
        <v>44428</v>
      </c>
      <c r="E2478">
        <v>1</v>
      </c>
      <c r="F2478" t="s">
        <v>1261</v>
      </c>
      <c r="G2478" t="str">
        <f t="shared" si="181"/>
        <v>15-K06-04</v>
      </c>
      <c r="H2478">
        <v>0.27479999999999999</v>
      </c>
      <c r="J2478" t="s">
        <v>59</v>
      </c>
      <c r="K2478" t="str">
        <f t="shared" si="182"/>
        <v>3F4</v>
      </c>
      <c r="L2478" t="s">
        <v>15</v>
      </c>
    </row>
    <row r="2479" spans="1:12" x14ac:dyDescent="0.25">
      <c r="A2479" t="str">
        <f>"2158180486"</f>
        <v>2158180486</v>
      </c>
      <c r="B2479" t="str">
        <f t="shared" si="180"/>
        <v>89301000</v>
      </c>
      <c r="C2479" s="1">
        <v>44426</v>
      </c>
      <c r="D2479" s="1">
        <v>44430</v>
      </c>
      <c r="E2479">
        <v>1</v>
      </c>
      <c r="F2479" t="s">
        <v>1261</v>
      </c>
      <c r="G2479" t="str">
        <f t="shared" si="181"/>
        <v>15-K06-04</v>
      </c>
      <c r="H2479">
        <v>0.27479999999999999</v>
      </c>
      <c r="J2479" t="s">
        <v>59</v>
      </c>
      <c r="K2479" t="str">
        <f t="shared" si="182"/>
        <v>3F4</v>
      </c>
      <c r="L2479" t="s">
        <v>15</v>
      </c>
    </row>
    <row r="2480" spans="1:12" x14ac:dyDescent="0.25">
      <c r="A2480" t="str">
        <f>"2158200616"</f>
        <v>2158200616</v>
      </c>
      <c r="B2480" t="str">
        <f t="shared" si="180"/>
        <v>89301000</v>
      </c>
      <c r="C2480" s="1">
        <v>44428</v>
      </c>
      <c r="D2480" s="1">
        <v>44430</v>
      </c>
      <c r="E2480">
        <v>1</v>
      </c>
      <c r="F2480" t="s">
        <v>1261</v>
      </c>
      <c r="G2480" t="str">
        <f t="shared" si="181"/>
        <v>15-K06-04</v>
      </c>
      <c r="H2480">
        <v>0.27479999999999999</v>
      </c>
      <c r="J2480" t="s">
        <v>59</v>
      </c>
      <c r="K2480" t="str">
        <f t="shared" si="182"/>
        <v>3F4</v>
      </c>
      <c r="L2480" t="s">
        <v>15</v>
      </c>
    </row>
    <row r="2481" spans="1:12" x14ac:dyDescent="0.25">
      <c r="A2481" t="str">
        <f>"2158200638"</f>
        <v>2158200638</v>
      </c>
      <c r="B2481" t="str">
        <f t="shared" si="180"/>
        <v>89301000</v>
      </c>
      <c r="C2481" s="1">
        <v>44428</v>
      </c>
      <c r="D2481" s="1">
        <v>44431</v>
      </c>
      <c r="E2481">
        <v>1</v>
      </c>
      <c r="F2481" t="s">
        <v>1261</v>
      </c>
      <c r="G2481" t="str">
        <f t="shared" si="181"/>
        <v>15-K06-04</v>
      </c>
      <c r="H2481">
        <v>0.27479999999999999</v>
      </c>
      <c r="J2481" t="s">
        <v>59</v>
      </c>
      <c r="K2481" t="str">
        <f t="shared" si="182"/>
        <v>3F4</v>
      </c>
      <c r="L2481" t="s">
        <v>15</v>
      </c>
    </row>
    <row r="2482" spans="1:12" x14ac:dyDescent="0.25">
      <c r="A2482" t="str">
        <f>"2158210373"</f>
        <v>2158210373</v>
      </c>
      <c r="B2482" t="str">
        <f t="shared" si="180"/>
        <v>89301000</v>
      </c>
      <c r="C2482" s="1">
        <v>44429</v>
      </c>
      <c r="D2482" s="1">
        <v>44434</v>
      </c>
      <c r="E2482">
        <v>1</v>
      </c>
      <c r="F2482" t="s">
        <v>1261</v>
      </c>
      <c r="G2482" t="str">
        <f>"15-K06-02"</f>
        <v>15-K06-02</v>
      </c>
      <c r="H2482">
        <v>0.59770000000000001</v>
      </c>
      <c r="I2482" t="s">
        <v>1337</v>
      </c>
      <c r="J2482" t="s">
        <v>59</v>
      </c>
      <c r="K2482" t="str">
        <f t="shared" si="182"/>
        <v>3F4</v>
      </c>
      <c r="L2482" t="s">
        <v>15</v>
      </c>
    </row>
    <row r="2483" spans="1:12" x14ac:dyDescent="0.25">
      <c r="A2483" t="str">
        <f>"2158210384"</f>
        <v>2158210384</v>
      </c>
      <c r="B2483" t="str">
        <f t="shared" si="180"/>
        <v>89301000</v>
      </c>
      <c r="C2483" s="1">
        <v>44436</v>
      </c>
      <c r="D2483" s="1">
        <v>44437</v>
      </c>
      <c r="E2483">
        <v>1</v>
      </c>
      <c r="F2483" t="s">
        <v>778</v>
      </c>
      <c r="G2483" t="str">
        <f>"15-K07-03"</f>
        <v>15-K07-03</v>
      </c>
      <c r="H2483">
        <v>0.53959999999999997</v>
      </c>
      <c r="J2483" t="s">
        <v>59</v>
      </c>
      <c r="K2483" t="str">
        <f>"3F1"</f>
        <v>3F1</v>
      </c>
      <c r="L2483" t="s">
        <v>15</v>
      </c>
    </row>
    <row r="2484" spans="1:12" x14ac:dyDescent="0.25">
      <c r="A2484" t="str">
        <f>"2158210384"</f>
        <v>2158210384</v>
      </c>
      <c r="B2484" t="str">
        <f t="shared" si="180"/>
        <v>89301000</v>
      </c>
      <c r="C2484" s="1">
        <v>44429</v>
      </c>
      <c r="D2484" s="1">
        <v>44430</v>
      </c>
      <c r="E2484">
        <v>1</v>
      </c>
      <c r="F2484" t="s">
        <v>1261</v>
      </c>
      <c r="G2484" t="str">
        <f>"15-K06-04"</f>
        <v>15-K06-04</v>
      </c>
      <c r="H2484">
        <v>0.27479999999999999</v>
      </c>
      <c r="J2484" t="s">
        <v>59</v>
      </c>
      <c r="K2484" t="str">
        <f t="shared" ref="K2484:K2489" si="183">"3F4"</f>
        <v>3F4</v>
      </c>
      <c r="L2484" t="s">
        <v>15</v>
      </c>
    </row>
    <row r="2485" spans="1:12" x14ac:dyDescent="0.25">
      <c r="A2485" t="str">
        <f>"2158210406"</f>
        <v>2158210406</v>
      </c>
      <c r="B2485" t="str">
        <f t="shared" si="180"/>
        <v>89301000</v>
      </c>
      <c r="C2485" s="1">
        <v>44429</v>
      </c>
      <c r="D2485" s="1">
        <v>44434</v>
      </c>
      <c r="E2485">
        <v>1</v>
      </c>
      <c r="F2485" t="s">
        <v>1261</v>
      </c>
      <c r="G2485" t="str">
        <f>"15-K04-03"</f>
        <v>15-K04-03</v>
      </c>
      <c r="H2485">
        <v>1.6881999999999999</v>
      </c>
      <c r="J2485" t="s">
        <v>1212</v>
      </c>
      <c r="K2485" t="str">
        <f t="shared" si="183"/>
        <v>3F4</v>
      </c>
      <c r="L2485" t="s">
        <v>15</v>
      </c>
    </row>
    <row r="2486" spans="1:12" x14ac:dyDescent="0.25">
      <c r="A2486" t="str">
        <f>"2158220350"</f>
        <v>2158220350</v>
      </c>
      <c r="B2486" t="str">
        <f t="shared" si="180"/>
        <v>89301000</v>
      </c>
      <c r="C2486" s="1">
        <v>44430</v>
      </c>
      <c r="D2486" s="1">
        <v>44433</v>
      </c>
      <c r="E2486">
        <v>1</v>
      </c>
      <c r="F2486" t="s">
        <v>1261</v>
      </c>
      <c r="G2486" t="str">
        <f>"15-K06-04"</f>
        <v>15-K06-04</v>
      </c>
      <c r="H2486">
        <v>0.27479999999999999</v>
      </c>
      <c r="J2486" t="s">
        <v>59</v>
      </c>
      <c r="K2486" t="str">
        <f t="shared" si="183"/>
        <v>3F4</v>
      </c>
      <c r="L2486" t="s">
        <v>15</v>
      </c>
    </row>
    <row r="2487" spans="1:12" x14ac:dyDescent="0.25">
      <c r="A2487" t="str">
        <f>"2158220383"</f>
        <v>2158220383</v>
      </c>
      <c r="B2487" t="str">
        <f t="shared" si="180"/>
        <v>89301000</v>
      </c>
      <c r="C2487" s="1">
        <v>44437</v>
      </c>
      <c r="D2487" s="1">
        <v>44438</v>
      </c>
      <c r="E2487">
        <v>1</v>
      </c>
      <c r="F2487" t="s">
        <v>1276</v>
      </c>
      <c r="G2487" t="str">
        <f>"15-K07-03"</f>
        <v>15-K07-03</v>
      </c>
      <c r="H2487">
        <v>0.53959999999999997</v>
      </c>
      <c r="J2487" t="s">
        <v>59</v>
      </c>
      <c r="K2487" t="str">
        <f t="shared" si="183"/>
        <v>3F4</v>
      </c>
      <c r="L2487" t="s">
        <v>15</v>
      </c>
    </row>
    <row r="2488" spans="1:12" x14ac:dyDescent="0.25">
      <c r="A2488" t="str">
        <f>"2158220383"</f>
        <v>2158220383</v>
      </c>
      <c r="B2488" t="str">
        <f t="shared" si="180"/>
        <v>89301000</v>
      </c>
      <c r="C2488" s="1">
        <v>44430</v>
      </c>
      <c r="D2488" s="1">
        <v>44434</v>
      </c>
      <c r="E2488">
        <v>1</v>
      </c>
      <c r="F2488" t="s">
        <v>1261</v>
      </c>
      <c r="G2488" t="str">
        <f>"15-K06-04"</f>
        <v>15-K06-04</v>
      </c>
      <c r="H2488">
        <v>0.27479999999999999</v>
      </c>
      <c r="J2488" t="s">
        <v>59</v>
      </c>
      <c r="K2488" t="str">
        <f t="shared" si="183"/>
        <v>3F4</v>
      </c>
      <c r="L2488" t="s">
        <v>15</v>
      </c>
    </row>
    <row r="2489" spans="1:12" x14ac:dyDescent="0.25">
      <c r="A2489" t="str">
        <f>"2158220394"</f>
        <v>2158220394</v>
      </c>
      <c r="B2489" t="str">
        <f t="shared" si="180"/>
        <v>89301000</v>
      </c>
      <c r="C2489" s="1">
        <v>44430</v>
      </c>
      <c r="D2489" s="1">
        <v>44433</v>
      </c>
      <c r="E2489">
        <v>1</v>
      </c>
      <c r="F2489" t="s">
        <v>1261</v>
      </c>
      <c r="G2489" t="str">
        <f>"15-K06-04"</f>
        <v>15-K06-04</v>
      </c>
      <c r="H2489">
        <v>0.27479999999999999</v>
      </c>
      <c r="J2489" t="s">
        <v>59</v>
      </c>
      <c r="K2489" t="str">
        <f t="shared" si="183"/>
        <v>3F4</v>
      </c>
      <c r="L2489" t="s">
        <v>15</v>
      </c>
    </row>
    <row r="2490" spans="1:12" x14ac:dyDescent="0.25">
      <c r="A2490" t="str">
        <f>"2158230272"</f>
        <v>2158230272</v>
      </c>
      <c r="B2490" t="str">
        <f t="shared" si="180"/>
        <v>89301000</v>
      </c>
      <c r="C2490" s="1">
        <v>44502</v>
      </c>
      <c r="D2490" s="1">
        <v>44507</v>
      </c>
      <c r="E2490">
        <v>1</v>
      </c>
      <c r="F2490" t="s">
        <v>1310</v>
      </c>
      <c r="G2490" t="str">
        <f>"04-K03-03"</f>
        <v>04-K03-03</v>
      </c>
      <c r="H2490">
        <v>0.53180000000000005</v>
      </c>
      <c r="I2490" t="s">
        <v>168</v>
      </c>
      <c r="J2490" t="s">
        <v>14</v>
      </c>
      <c r="K2490" t="str">
        <f>"3F1"</f>
        <v>3F1</v>
      </c>
      <c r="L2490" t="s">
        <v>15</v>
      </c>
    </row>
    <row r="2491" spans="1:12" x14ac:dyDescent="0.25">
      <c r="A2491" t="str">
        <f>"2158230360"</f>
        <v>2158230360</v>
      </c>
      <c r="B2491" t="str">
        <f t="shared" si="180"/>
        <v>89301000</v>
      </c>
      <c r="C2491" s="1">
        <v>44466</v>
      </c>
      <c r="D2491" s="1">
        <v>44468</v>
      </c>
      <c r="E2491">
        <v>1</v>
      </c>
      <c r="F2491" t="s">
        <v>1116</v>
      </c>
      <c r="G2491" t="str">
        <f>"06-I16-05"</f>
        <v>06-I16-05</v>
      </c>
      <c r="H2491">
        <v>0.46139999999999998</v>
      </c>
      <c r="J2491" t="s">
        <v>24</v>
      </c>
      <c r="K2491" t="str">
        <f>"3F1"</f>
        <v>3F1</v>
      </c>
      <c r="L2491" t="s">
        <v>15</v>
      </c>
    </row>
    <row r="2492" spans="1:12" x14ac:dyDescent="0.25">
      <c r="A2492" t="str">
        <f>"2158230360"</f>
        <v>2158230360</v>
      </c>
      <c r="B2492" t="str">
        <f t="shared" si="180"/>
        <v>89301000</v>
      </c>
      <c r="C2492" s="1">
        <v>44431</v>
      </c>
      <c r="D2492" s="1">
        <v>44436</v>
      </c>
      <c r="E2492">
        <v>1</v>
      </c>
      <c r="F2492" t="s">
        <v>1261</v>
      </c>
      <c r="G2492" t="str">
        <f>"15-K05-03"</f>
        <v>15-K05-03</v>
      </c>
      <c r="H2492">
        <v>0.62380000000000002</v>
      </c>
      <c r="I2492" t="s">
        <v>1515</v>
      </c>
      <c r="J2492" t="s">
        <v>1212</v>
      </c>
      <c r="K2492" t="str">
        <f t="shared" ref="K2492:K2505" si="184">"3F4"</f>
        <v>3F4</v>
      </c>
      <c r="L2492" t="s">
        <v>15</v>
      </c>
    </row>
    <row r="2493" spans="1:12" x14ac:dyDescent="0.25">
      <c r="A2493" t="str">
        <f>"2158240029"</f>
        <v>2158240029</v>
      </c>
      <c r="B2493" t="str">
        <f t="shared" si="180"/>
        <v>89301000</v>
      </c>
      <c r="C2493" s="1">
        <v>44432</v>
      </c>
      <c r="D2493" s="1">
        <v>44432</v>
      </c>
      <c r="E2493">
        <v>6</v>
      </c>
      <c r="F2493" t="s">
        <v>1261</v>
      </c>
      <c r="G2493" t="str">
        <f>"15-K06-04"</f>
        <v>15-K06-04</v>
      </c>
      <c r="H2493">
        <v>0.13739999999999999</v>
      </c>
      <c r="J2493" t="s">
        <v>59</v>
      </c>
      <c r="K2493" t="str">
        <f t="shared" si="184"/>
        <v>3F4</v>
      </c>
      <c r="L2493" t="s">
        <v>15</v>
      </c>
    </row>
    <row r="2494" spans="1:12" x14ac:dyDescent="0.25">
      <c r="A2494" t="str">
        <f>"2158240040"</f>
        <v>2158240040</v>
      </c>
      <c r="B2494" t="str">
        <f t="shared" si="180"/>
        <v>89301000</v>
      </c>
      <c r="C2494" s="1">
        <v>44432</v>
      </c>
      <c r="D2494" s="1">
        <v>44461</v>
      </c>
      <c r="E2494">
        <v>1</v>
      </c>
      <c r="F2494" t="s">
        <v>1210</v>
      </c>
      <c r="G2494" t="str">
        <f>"15-M01-10"</f>
        <v>15-M01-10</v>
      </c>
      <c r="H2494">
        <v>6.5004999999999997</v>
      </c>
      <c r="I2494" t="s">
        <v>1516</v>
      </c>
      <c r="J2494" t="s">
        <v>1212</v>
      </c>
      <c r="K2494" t="str">
        <f t="shared" si="184"/>
        <v>3F4</v>
      </c>
      <c r="L2494" t="s">
        <v>15</v>
      </c>
    </row>
    <row r="2495" spans="1:12" x14ac:dyDescent="0.25">
      <c r="A2495" t="str">
        <f>"2158240469"</f>
        <v>2158240469</v>
      </c>
      <c r="B2495" t="str">
        <f t="shared" si="180"/>
        <v>89301000</v>
      </c>
      <c r="C2495" s="1">
        <v>44432</v>
      </c>
      <c r="D2495" s="1">
        <v>44436</v>
      </c>
      <c r="E2495">
        <v>1</v>
      </c>
      <c r="F2495" t="s">
        <v>1261</v>
      </c>
      <c r="G2495" t="str">
        <f>"15-K06-04"</f>
        <v>15-K06-04</v>
      </c>
      <c r="H2495">
        <v>0.27479999999999999</v>
      </c>
      <c r="I2495" t="s">
        <v>1278</v>
      </c>
      <c r="J2495" t="s">
        <v>59</v>
      </c>
      <c r="K2495" t="str">
        <f t="shared" si="184"/>
        <v>3F4</v>
      </c>
      <c r="L2495" t="s">
        <v>15</v>
      </c>
    </row>
    <row r="2496" spans="1:12" x14ac:dyDescent="0.25">
      <c r="A2496" t="str">
        <f>"2158250039"</f>
        <v>2158250039</v>
      </c>
      <c r="B2496" t="str">
        <f t="shared" si="180"/>
        <v>89301000</v>
      </c>
      <c r="C2496" s="1">
        <v>44433</v>
      </c>
      <c r="D2496" s="1">
        <v>44436</v>
      </c>
      <c r="E2496">
        <v>1</v>
      </c>
      <c r="F2496" t="s">
        <v>1261</v>
      </c>
      <c r="G2496" t="str">
        <f>"15-K06-04"</f>
        <v>15-K06-04</v>
      </c>
      <c r="H2496">
        <v>0.27479999999999999</v>
      </c>
      <c r="J2496" t="s">
        <v>59</v>
      </c>
      <c r="K2496" t="str">
        <f t="shared" si="184"/>
        <v>3F4</v>
      </c>
      <c r="L2496" t="s">
        <v>15</v>
      </c>
    </row>
    <row r="2497" spans="1:12" x14ac:dyDescent="0.25">
      <c r="A2497" t="str">
        <f>"2158250050"</f>
        <v>2158250050</v>
      </c>
      <c r="B2497" t="str">
        <f t="shared" si="180"/>
        <v>89301000</v>
      </c>
      <c r="C2497" s="1">
        <v>44433</v>
      </c>
      <c r="D2497" s="1">
        <v>44453</v>
      </c>
      <c r="E2497">
        <v>1</v>
      </c>
      <c r="F2497" t="s">
        <v>1221</v>
      </c>
      <c r="G2497" t="str">
        <f>"15-K03-02"</f>
        <v>15-K03-02</v>
      </c>
      <c r="H2497">
        <v>3.3967000000000001</v>
      </c>
      <c r="I2497" t="s">
        <v>1517</v>
      </c>
      <c r="J2497" t="s">
        <v>1212</v>
      </c>
      <c r="K2497" t="str">
        <f t="shared" si="184"/>
        <v>3F4</v>
      </c>
      <c r="L2497" t="s">
        <v>15</v>
      </c>
    </row>
    <row r="2498" spans="1:12" x14ac:dyDescent="0.25">
      <c r="A2498" t="str">
        <f>"2158270466"</f>
        <v>2158270466</v>
      </c>
      <c r="B2498" t="str">
        <f t="shared" si="180"/>
        <v>89301000</v>
      </c>
      <c r="C2498" s="1">
        <v>44435</v>
      </c>
      <c r="D2498" s="1">
        <v>44438</v>
      </c>
      <c r="E2498">
        <v>1</v>
      </c>
      <c r="F2498" t="s">
        <v>1261</v>
      </c>
      <c r="G2498" t="str">
        <f>"15-K06-04"</f>
        <v>15-K06-04</v>
      </c>
      <c r="H2498">
        <v>0.27479999999999999</v>
      </c>
      <c r="J2498" t="s">
        <v>59</v>
      </c>
      <c r="K2498" t="str">
        <f t="shared" si="184"/>
        <v>3F4</v>
      </c>
      <c r="L2498" t="s">
        <v>15</v>
      </c>
    </row>
    <row r="2499" spans="1:12" x14ac:dyDescent="0.25">
      <c r="A2499" t="str">
        <f>"2158280355"</f>
        <v>2158280355</v>
      </c>
      <c r="B2499" t="str">
        <f t="shared" si="180"/>
        <v>89301000</v>
      </c>
      <c r="C2499" s="1">
        <v>44436</v>
      </c>
      <c r="D2499" s="1">
        <v>44440</v>
      </c>
      <c r="E2499">
        <v>1</v>
      </c>
      <c r="F2499" t="s">
        <v>1261</v>
      </c>
      <c r="G2499" t="str">
        <f>"15-K06-04"</f>
        <v>15-K06-04</v>
      </c>
      <c r="H2499">
        <v>0.27479999999999999</v>
      </c>
      <c r="J2499" t="s">
        <v>59</v>
      </c>
      <c r="K2499" t="str">
        <f t="shared" si="184"/>
        <v>3F4</v>
      </c>
      <c r="L2499" t="s">
        <v>15</v>
      </c>
    </row>
    <row r="2500" spans="1:12" x14ac:dyDescent="0.25">
      <c r="A2500" t="str">
        <f>"2158280377"</f>
        <v>2158280377</v>
      </c>
      <c r="B2500" t="str">
        <f t="shared" si="180"/>
        <v>89301000</v>
      </c>
      <c r="C2500" s="1">
        <v>44436</v>
      </c>
      <c r="D2500" s="1">
        <v>44439</v>
      </c>
      <c r="E2500">
        <v>1</v>
      </c>
      <c r="F2500" t="s">
        <v>1261</v>
      </c>
      <c r="G2500" t="str">
        <f>"15-K06-04"</f>
        <v>15-K06-04</v>
      </c>
      <c r="H2500">
        <v>0.27479999999999999</v>
      </c>
      <c r="J2500" t="s">
        <v>59</v>
      </c>
      <c r="K2500" t="str">
        <f t="shared" si="184"/>
        <v>3F4</v>
      </c>
      <c r="L2500" t="s">
        <v>15</v>
      </c>
    </row>
    <row r="2501" spans="1:12" x14ac:dyDescent="0.25">
      <c r="A2501" t="str">
        <f>"2158290211"</f>
        <v>2158290211</v>
      </c>
      <c r="B2501" t="str">
        <f t="shared" si="180"/>
        <v>89301000</v>
      </c>
      <c r="C2501" s="1">
        <v>44437</v>
      </c>
      <c r="D2501" s="1">
        <v>44439</v>
      </c>
      <c r="E2501">
        <v>1</v>
      </c>
      <c r="F2501" t="s">
        <v>1262</v>
      </c>
      <c r="G2501" t="str">
        <f>"15-K07-03"</f>
        <v>15-K07-03</v>
      </c>
      <c r="H2501">
        <v>0.53959999999999997</v>
      </c>
      <c r="J2501" t="s">
        <v>59</v>
      </c>
      <c r="K2501" t="str">
        <f t="shared" si="184"/>
        <v>3F4</v>
      </c>
      <c r="L2501" t="s">
        <v>15</v>
      </c>
    </row>
    <row r="2502" spans="1:12" x14ac:dyDescent="0.25">
      <c r="A2502" t="str">
        <f>"2158290211"</f>
        <v>2158290211</v>
      </c>
      <c r="B2502" t="str">
        <f t="shared" si="180"/>
        <v>89301000</v>
      </c>
      <c r="C2502" s="1">
        <v>44483</v>
      </c>
      <c r="D2502" s="1">
        <v>44484</v>
      </c>
      <c r="E2502">
        <v>1</v>
      </c>
      <c r="F2502" t="s">
        <v>1262</v>
      </c>
      <c r="G2502" t="str">
        <f>"23-K03-02"</f>
        <v>23-K03-02</v>
      </c>
      <c r="H2502">
        <v>0.35449999999999998</v>
      </c>
      <c r="J2502" t="s">
        <v>14</v>
      </c>
      <c r="K2502" t="str">
        <f t="shared" si="184"/>
        <v>3F4</v>
      </c>
      <c r="L2502" t="s">
        <v>15</v>
      </c>
    </row>
    <row r="2503" spans="1:12" x14ac:dyDescent="0.25">
      <c r="A2503" t="str">
        <f>"2158290222"</f>
        <v>2158290222</v>
      </c>
      <c r="B2503" t="str">
        <f t="shared" si="180"/>
        <v>89301000</v>
      </c>
      <c r="C2503" s="1">
        <v>44437</v>
      </c>
      <c r="D2503" s="1">
        <v>44439</v>
      </c>
      <c r="E2503">
        <v>1</v>
      </c>
      <c r="F2503" t="s">
        <v>1261</v>
      </c>
      <c r="G2503" t="str">
        <f>"15-K06-04"</f>
        <v>15-K06-04</v>
      </c>
      <c r="H2503">
        <v>0.27479999999999999</v>
      </c>
      <c r="J2503" t="s">
        <v>59</v>
      </c>
      <c r="K2503" t="str">
        <f t="shared" si="184"/>
        <v>3F4</v>
      </c>
      <c r="L2503" t="s">
        <v>15</v>
      </c>
    </row>
    <row r="2504" spans="1:12" x14ac:dyDescent="0.25">
      <c r="A2504" t="str">
        <f>"2158290233"</f>
        <v>2158290233</v>
      </c>
      <c r="B2504" t="str">
        <f t="shared" si="180"/>
        <v>89301000</v>
      </c>
      <c r="C2504" s="1">
        <v>44437</v>
      </c>
      <c r="D2504" s="1">
        <v>44439</v>
      </c>
      <c r="E2504">
        <v>1</v>
      </c>
      <c r="F2504" t="s">
        <v>1261</v>
      </c>
      <c r="G2504" t="str">
        <f>"15-K06-04"</f>
        <v>15-K06-04</v>
      </c>
      <c r="H2504">
        <v>0.27479999999999999</v>
      </c>
      <c r="I2504" t="s">
        <v>1305</v>
      </c>
      <c r="J2504" t="s">
        <v>59</v>
      </c>
      <c r="K2504" t="str">
        <f t="shared" si="184"/>
        <v>3F4</v>
      </c>
      <c r="L2504" t="s">
        <v>15</v>
      </c>
    </row>
    <row r="2505" spans="1:12" x14ac:dyDescent="0.25">
      <c r="A2505" t="str">
        <f>"2158310341"</f>
        <v>2158310341</v>
      </c>
      <c r="B2505" t="str">
        <f t="shared" si="180"/>
        <v>89301000</v>
      </c>
      <c r="C2505" s="1">
        <v>44439</v>
      </c>
      <c r="D2505" s="1">
        <v>44442</v>
      </c>
      <c r="E2505">
        <v>1</v>
      </c>
      <c r="F2505" t="s">
        <v>1261</v>
      </c>
      <c r="G2505" t="str">
        <f>"15-K06-04"</f>
        <v>15-K06-04</v>
      </c>
      <c r="H2505">
        <v>0.27479999999999999</v>
      </c>
      <c r="J2505" t="s">
        <v>59</v>
      </c>
      <c r="K2505" t="str">
        <f t="shared" si="184"/>
        <v>3F4</v>
      </c>
      <c r="L2505" t="s">
        <v>15</v>
      </c>
    </row>
    <row r="2506" spans="1:12" x14ac:dyDescent="0.25">
      <c r="A2506" t="str">
        <f>"2158310495"</f>
        <v>2158310495</v>
      </c>
      <c r="B2506" t="str">
        <f t="shared" si="180"/>
        <v>89301000</v>
      </c>
      <c r="C2506" s="1">
        <v>44533</v>
      </c>
      <c r="D2506" s="1">
        <v>44553</v>
      </c>
      <c r="E2506">
        <v>1</v>
      </c>
      <c r="F2506" t="s">
        <v>1238</v>
      </c>
      <c r="G2506" t="str">
        <f>"08-K06-01"</f>
        <v>08-K06-01</v>
      </c>
      <c r="H2506">
        <v>1.4319</v>
      </c>
      <c r="I2506" t="s">
        <v>168</v>
      </c>
      <c r="J2506" t="s">
        <v>14</v>
      </c>
      <c r="K2506" t="str">
        <f>"3F1"</f>
        <v>3F1</v>
      </c>
      <c r="L2506" t="s">
        <v>15</v>
      </c>
    </row>
    <row r="2507" spans="1:12" x14ac:dyDescent="0.25">
      <c r="A2507" t="str">
        <f>"2159010018"</f>
        <v>2159010018</v>
      </c>
      <c r="B2507" t="str">
        <f t="shared" si="180"/>
        <v>89301000</v>
      </c>
      <c r="C2507" s="1">
        <v>44440</v>
      </c>
      <c r="D2507" s="1">
        <v>44449</v>
      </c>
      <c r="E2507">
        <v>1</v>
      </c>
      <c r="F2507" t="s">
        <v>1261</v>
      </c>
      <c r="G2507" t="str">
        <f>"15-K06-04"</f>
        <v>15-K06-04</v>
      </c>
      <c r="H2507">
        <v>0.40670000000000001</v>
      </c>
      <c r="J2507" t="s">
        <v>59</v>
      </c>
      <c r="K2507" t="str">
        <f t="shared" ref="K2507:K2520" si="185">"3F4"</f>
        <v>3F4</v>
      </c>
      <c r="L2507" t="s">
        <v>15</v>
      </c>
    </row>
    <row r="2508" spans="1:12" x14ac:dyDescent="0.25">
      <c r="A2508" t="str">
        <f>"2159010579"</f>
        <v>2159010579</v>
      </c>
      <c r="B2508" t="str">
        <f t="shared" si="180"/>
        <v>89301000</v>
      </c>
      <c r="C2508" s="1">
        <v>44440</v>
      </c>
      <c r="D2508" s="1">
        <v>44443</v>
      </c>
      <c r="E2508">
        <v>1</v>
      </c>
      <c r="F2508" t="s">
        <v>1261</v>
      </c>
      <c r="G2508" t="str">
        <f>"15-K05-03"</f>
        <v>15-K05-03</v>
      </c>
      <c r="H2508">
        <v>0.62380000000000002</v>
      </c>
      <c r="I2508" t="s">
        <v>1266</v>
      </c>
      <c r="J2508" t="s">
        <v>1212</v>
      </c>
      <c r="K2508" t="str">
        <f t="shared" si="185"/>
        <v>3F4</v>
      </c>
      <c r="L2508" t="s">
        <v>15</v>
      </c>
    </row>
    <row r="2509" spans="1:12" x14ac:dyDescent="0.25">
      <c r="A2509" t="str">
        <f>"2159010601"</f>
        <v>2159010601</v>
      </c>
      <c r="B2509" t="str">
        <f t="shared" si="180"/>
        <v>89301000</v>
      </c>
      <c r="C2509" s="1">
        <v>44440</v>
      </c>
      <c r="D2509" s="1">
        <v>44443</v>
      </c>
      <c r="E2509">
        <v>1</v>
      </c>
      <c r="F2509" t="s">
        <v>1261</v>
      </c>
      <c r="G2509" t="str">
        <f t="shared" ref="G2509:G2515" si="186">"15-K06-04"</f>
        <v>15-K06-04</v>
      </c>
      <c r="H2509">
        <v>0.27479999999999999</v>
      </c>
      <c r="J2509" t="s">
        <v>59</v>
      </c>
      <c r="K2509" t="str">
        <f t="shared" si="185"/>
        <v>3F4</v>
      </c>
      <c r="L2509" t="s">
        <v>15</v>
      </c>
    </row>
    <row r="2510" spans="1:12" x14ac:dyDescent="0.25">
      <c r="A2510" t="str">
        <f>"2159020677"</f>
        <v>2159020677</v>
      </c>
      <c r="B2510" t="str">
        <f t="shared" si="180"/>
        <v>89301000</v>
      </c>
      <c r="C2510" s="1">
        <v>44441</v>
      </c>
      <c r="D2510" s="1">
        <v>44445</v>
      </c>
      <c r="E2510">
        <v>1</v>
      </c>
      <c r="F2510" t="s">
        <v>1261</v>
      </c>
      <c r="G2510" t="str">
        <f t="shared" si="186"/>
        <v>15-K06-04</v>
      </c>
      <c r="H2510">
        <v>0.27479999999999999</v>
      </c>
      <c r="J2510" t="s">
        <v>59</v>
      </c>
      <c r="K2510" t="str">
        <f t="shared" si="185"/>
        <v>3F4</v>
      </c>
      <c r="L2510" t="s">
        <v>15</v>
      </c>
    </row>
    <row r="2511" spans="1:12" x14ac:dyDescent="0.25">
      <c r="A2511" t="str">
        <f>"2159040279"</f>
        <v>2159040279</v>
      </c>
      <c r="B2511" t="str">
        <f t="shared" si="180"/>
        <v>89301000</v>
      </c>
      <c r="C2511" s="1">
        <v>44443</v>
      </c>
      <c r="D2511" s="1">
        <v>44447</v>
      </c>
      <c r="E2511">
        <v>1</v>
      </c>
      <c r="F2511" t="s">
        <v>1261</v>
      </c>
      <c r="G2511" t="str">
        <f t="shared" si="186"/>
        <v>15-K06-04</v>
      </c>
      <c r="H2511">
        <v>0.27479999999999999</v>
      </c>
      <c r="I2511" t="s">
        <v>1518</v>
      </c>
      <c r="J2511" t="s">
        <v>59</v>
      </c>
      <c r="K2511" t="str">
        <f t="shared" si="185"/>
        <v>3F4</v>
      </c>
      <c r="L2511" t="s">
        <v>15</v>
      </c>
    </row>
    <row r="2512" spans="1:12" x14ac:dyDescent="0.25">
      <c r="A2512" t="str">
        <f>"2159050278"</f>
        <v>2159050278</v>
      </c>
      <c r="B2512" t="str">
        <f t="shared" si="180"/>
        <v>89301000</v>
      </c>
      <c r="C2512" s="1">
        <v>44444</v>
      </c>
      <c r="D2512" s="1">
        <v>44447</v>
      </c>
      <c r="E2512">
        <v>1</v>
      </c>
      <c r="F2512" t="s">
        <v>1261</v>
      </c>
      <c r="G2512" t="str">
        <f t="shared" si="186"/>
        <v>15-K06-04</v>
      </c>
      <c r="H2512">
        <v>0.27479999999999999</v>
      </c>
      <c r="J2512" t="s">
        <v>59</v>
      </c>
      <c r="K2512" t="str">
        <f t="shared" si="185"/>
        <v>3F4</v>
      </c>
      <c r="L2512" t="s">
        <v>15</v>
      </c>
    </row>
    <row r="2513" spans="1:12" x14ac:dyDescent="0.25">
      <c r="A2513" t="str">
        <f>"2159050289"</f>
        <v>2159050289</v>
      </c>
      <c r="B2513" t="str">
        <f t="shared" si="180"/>
        <v>89301000</v>
      </c>
      <c r="C2513" s="1">
        <v>44444</v>
      </c>
      <c r="D2513" s="1">
        <v>44448</v>
      </c>
      <c r="E2513">
        <v>1</v>
      </c>
      <c r="F2513" t="s">
        <v>1261</v>
      </c>
      <c r="G2513" t="str">
        <f t="shared" si="186"/>
        <v>15-K06-04</v>
      </c>
      <c r="H2513">
        <v>0.27479999999999999</v>
      </c>
      <c r="J2513" t="s">
        <v>59</v>
      </c>
      <c r="K2513" t="str">
        <f t="shared" si="185"/>
        <v>3F4</v>
      </c>
      <c r="L2513" t="s">
        <v>15</v>
      </c>
    </row>
    <row r="2514" spans="1:12" x14ac:dyDescent="0.25">
      <c r="A2514" t="str">
        <f>"2159060728"</f>
        <v>2159060728</v>
      </c>
      <c r="B2514" t="str">
        <f t="shared" si="180"/>
        <v>89301000</v>
      </c>
      <c r="C2514" s="1">
        <v>44445</v>
      </c>
      <c r="D2514" s="1">
        <v>44449</v>
      </c>
      <c r="E2514">
        <v>1</v>
      </c>
      <c r="F2514" t="s">
        <v>1261</v>
      </c>
      <c r="G2514" t="str">
        <f t="shared" si="186"/>
        <v>15-K06-04</v>
      </c>
      <c r="H2514">
        <v>0.27479999999999999</v>
      </c>
      <c r="J2514" t="s">
        <v>59</v>
      </c>
      <c r="K2514" t="str">
        <f t="shared" si="185"/>
        <v>3F4</v>
      </c>
      <c r="L2514" t="s">
        <v>15</v>
      </c>
    </row>
    <row r="2515" spans="1:12" x14ac:dyDescent="0.25">
      <c r="A2515" t="str">
        <f>"2159070617"</f>
        <v>2159070617</v>
      </c>
      <c r="B2515" t="str">
        <f t="shared" si="180"/>
        <v>89301000</v>
      </c>
      <c r="C2515" s="1">
        <v>44446</v>
      </c>
      <c r="D2515" s="1">
        <v>44449</v>
      </c>
      <c r="E2515">
        <v>1</v>
      </c>
      <c r="F2515" t="s">
        <v>1261</v>
      </c>
      <c r="G2515" t="str">
        <f t="shared" si="186"/>
        <v>15-K06-04</v>
      </c>
      <c r="H2515">
        <v>0.27479999999999999</v>
      </c>
      <c r="J2515" t="s">
        <v>59</v>
      </c>
      <c r="K2515" t="str">
        <f t="shared" si="185"/>
        <v>3F4</v>
      </c>
      <c r="L2515" t="s">
        <v>15</v>
      </c>
    </row>
    <row r="2516" spans="1:12" x14ac:dyDescent="0.25">
      <c r="A2516" t="str">
        <f>"2159070628"</f>
        <v>2159070628</v>
      </c>
      <c r="B2516" t="str">
        <f t="shared" si="180"/>
        <v>89301000</v>
      </c>
      <c r="C2516" s="1">
        <v>44446</v>
      </c>
      <c r="D2516" s="1">
        <v>44449</v>
      </c>
      <c r="E2516">
        <v>1</v>
      </c>
      <c r="F2516" t="s">
        <v>1261</v>
      </c>
      <c r="G2516" t="str">
        <f>"15-K05-03"</f>
        <v>15-K05-03</v>
      </c>
      <c r="H2516">
        <v>0.62380000000000002</v>
      </c>
      <c r="J2516" t="s">
        <v>1212</v>
      </c>
      <c r="K2516" t="str">
        <f t="shared" si="185"/>
        <v>3F4</v>
      </c>
      <c r="L2516" t="s">
        <v>15</v>
      </c>
    </row>
    <row r="2517" spans="1:12" x14ac:dyDescent="0.25">
      <c r="A2517" t="str">
        <f>"2159080572"</f>
        <v>2159080572</v>
      </c>
      <c r="B2517" t="str">
        <f t="shared" si="180"/>
        <v>89301000</v>
      </c>
      <c r="C2517" s="1">
        <v>44458</v>
      </c>
      <c r="D2517" s="1">
        <v>44459</v>
      </c>
      <c r="E2517">
        <v>1</v>
      </c>
      <c r="F2517" t="s">
        <v>1276</v>
      </c>
      <c r="G2517" t="str">
        <f>"99-K03-00"</f>
        <v>99-K03-00</v>
      </c>
      <c r="H2517">
        <v>0.11459999999999999</v>
      </c>
      <c r="J2517" t="s">
        <v>14</v>
      </c>
      <c r="K2517" t="str">
        <f t="shared" si="185"/>
        <v>3F4</v>
      </c>
      <c r="L2517" t="s">
        <v>15</v>
      </c>
    </row>
    <row r="2518" spans="1:12" x14ac:dyDescent="0.25">
      <c r="A2518" t="str">
        <f>"2159080572"</f>
        <v>2159080572</v>
      </c>
      <c r="B2518" t="str">
        <f t="shared" si="180"/>
        <v>89301000</v>
      </c>
      <c r="C2518" s="1">
        <v>44447</v>
      </c>
      <c r="D2518" s="1">
        <v>44454</v>
      </c>
      <c r="E2518">
        <v>1</v>
      </c>
      <c r="F2518" t="s">
        <v>1422</v>
      </c>
      <c r="G2518" t="str">
        <f>"15-K07-03"</f>
        <v>15-K07-03</v>
      </c>
      <c r="H2518">
        <v>0.53959999999999997</v>
      </c>
      <c r="I2518" t="s">
        <v>1519</v>
      </c>
      <c r="J2518" t="s">
        <v>59</v>
      </c>
      <c r="K2518" t="str">
        <f t="shared" si="185"/>
        <v>3F4</v>
      </c>
      <c r="L2518" t="s">
        <v>15</v>
      </c>
    </row>
    <row r="2519" spans="1:12" x14ac:dyDescent="0.25">
      <c r="A2519" t="str">
        <f>"2159090725"</f>
        <v>2159090725</v>
      </c>
      <c r="B2519" t="str">
        <f t="shared" si="180"/>
        <v>89301000</v>
      </c>
      <c r="C2519" s="1">
        <v>44448</v>
      </c>
      <c r="D2519" s="1">
        <v>44454</v>
      </c>
      <c r="E2519">
        <v>1</v>
      </c>
      <c r="F2519" t="s">
        <v>1221</v>
      </c>
      <c r="G2519" t="str">
        <f>"15-K05-01"</f>
        <v>15-K05-01</v>
      </c>
      <c r="H2519">
        <v>2.1966000000000001</v>
      </c>
      <c r="I2519" t="s">
        <v>1520</v>
      </c>
      <c r="J2519" t="s">
        <v>1212</v>
      </c>
      <c r="K2519" t="str">
        <f t="shared" si="185"/>
        <v>3F4</v>
      </c>
      <c r="L2519" t="s">
        <v>15</v>
      </c>
    </row>
    <row r="2520" spans="1:12" x14ac:dyDescent="0.25">
      <c r="A2520" t="str">
        <f>"2159090736"</f>
        <v>2159090736</v>
      </c>
      <c r="B2520" t="str">
        <f t="shared" si="180"/>
        <v>89301000</v>
      </c>
      <c r="C2520" s="1">
        <v>44448</v>
      </c>
      <c r="D2520" s="1">
        <v>44451</v>
      </c>
      <c r="E2520">
        <v>1</v>
      </c>
      <c r="F2520" t="s">
        <v>1261</v>
      </c>
      <c r="G2520" t="str">
        <f>"15-K06-04"</f>
        <v>15-K06-04</v>
      </c>
      <c r="H2520">
        <v>0.27479999999999999</v>
      </c>
      <c r="J2520" t="s">
        <v>59</v>
      </c>
      <c r="K2520" t="str">
        <f t="shared" si="185"/>
        <v>3F4</v>
      </c>
      <c r="L2520" t="s">
        <v>15</v>
      </c>
    </row>
    <row r="2521" spans="1:12" x14ac:dyDescent="0.25">
      <c r="A2521" t="str">
        <f>"2159100207"</f>
        <v>2159100207</v>
      </c>
      <c r="B2521" t="str">
        <f t="shared" si="180"/>
        <v>89301000</v>
      </c>
      <c r="C2521" s="1">
        <v>44477</v>
      </c>
      <c r="D2521" s="1">
        <v>44480</v>
      </c>
      <c r="E2521">
        <v>1</v>
      </c>
      <c r="F2521" t="s">
        <v>1310</v>
      </c>
      <c r="G2521" t="str">
        <f>"15-K07-03"</f>
        <v>15-K07-03</v>
      </c>
      <c r="H2521">
        <v>0.53959999999999997</v>
      </c>
      <c r="I2521" t="s">
        <v>168</v>
      </c>
      <c r="J2521" t="s">
        <v>59</v>
      </c>
      <c r="K2521" t="str">
        <f>"3F1"</f>
        <v>3F1</v>
      </c>
      <c r="L2521" t="s">
        <v>15</v>
      </c>
    </row>
    <row r="2522" spans="1:12" x14ac:dyDescent="0.25">
      <c r="A2522" t="str">
        <f>"2159100614"</f>
        <v>2159100614</v>
      </c>
      <c r="B2522" t="str">
        <f t="shared" si="180"/>
        <v>89301000</v>
      </c>
      <c r="C2522" s="1">
        <v>44449</v>
      </c>
      <c r="D2522" s="1">
        <v>44450</v>
      </c>
      <c r="E2522">
        <v>1</v>
      </c>
      <c r="F2522" t="s">
        <v>1261</v>
      </c>
      <c r="G2522" t="str">
        <f>"15-K06-04"</f>
        <v>15-K06-04</v>
      </c>
      <c r="H2522">
        <v>0.27479999999999999</v>
      </c>
      <c r="J2522" t="s">
        <v>59</v>
      </c>
      <c r="K2522" t="str">
        <f t="shared" ref="K2522:K2532" si="187">"3F4"</f>
        <v>3F4</v>
      </c>
      <c r="L2522" t="s">
        <v>15</v>
      </c>
    </row>
    <row r="2523" spans="1:12" x14ac:dyDescent="0.25">
      <c r="A2523" t="str">
        <f>"2159120315"</f>
        <v>2159120315</v>
      </c>
      <c r="B2523" t="str">
        <f t="shared" si="180"/>
        <v>89301000</v>
      </c>
      <c r="C2523" s="1">
        <v>44451</v>
      </c>
      <c r="D2523" s="1">
        <v>44453</v>
      </c>
      <c r="E2523">
        <v>1</v>
      </c>
      <c r="F2523" t="s">
        <v>1261</v>
      </c>
      <c r="G2523" t="str">
        <f>"15-K05-03"</f>
        <v>15-K05-03</v>
      </c>
      <c r="H2523">
        <v>0.62380000000000002</v>
      </c>
      <c r="J2523" t="s">
        <v>1212</v>
      </c>
      <c r="K2523" t="str">
        <f t="shared" si="187"/>
        <v>3F4</v>
      </c>
      <c r="L2523" t="s">
        <v>15</v>
      </c>
    </row>
    <row r="2524" spans="1:12" x14ac:dyDescent="0.25">
      <c r="A2524" t="str">
        <f>"2159120337"</f>
        <v>2159120337</v>
      </c>
      <c r="B2524" t="str">
        <f t="shared" si="180"/>
        <v>89301000</v>
      </c>
      <c r="C2524" s="1">
        <v>44451</v>
      </c>
      <c r="D2524" s="1">
        <v>44453</v>
      </c>
      <c r="E2524">
        <v>1</v>
      </c>
      <c r="F2524" t="s">
        <v>1261</v>
      </c>
      <c r="G2524" t="str">
        <f>"15-K06-04"</f>
        <v>15-K06-04</v>
      </c>
      <c r="H2524">
        <v>0.27479999999999999</v>
      </c>
      <c r="J2524" t="s">
        <v>59</v>
      </c>
      <c r="K2524" t="str">
        <f t="shared" si="187"/>
        <v>3F4</v>
      </c>
      <c r="L2524" t="s">
        <v>15</v>
      </c>
    </row>
    <row r="2525" spans="1:12" x14ac:dyDescent="0.25">
      <c r="A2525" t="str">
        <f>"2159120370"</f>
        <v>2159120370</v>
      </c>
      <c r="B2525" t="str">
        <f t="shared" si="180"/>
        <v>89301000</v>
      </c>
      <c r="C2525" s="1">
        <v>44451</v>
      </c>
      <c r="D2525" s="1">
        <v>44451</v>
      </c>
      <c r="E2525">
        <v>1</v>
      </c>
      <c r="F2525" t="s">
        <v>1261</v>
      </c>
      <c r="G2525" t="str">
        <f>"15-K06-04"</f>
        <v>15-K06-04</v>
      </c>
      <c r="H2525">
        <v>0.13739999999999999</v>
      </c>
      <c r="J2525" t="s">
        <v>59</v>
      </c>
      <c r="K2525" t="str">
        <f t="shared" si="187"/>
        <v>3F4</v>
      </c>
      <c r="L2525" t="s">
        <v>15</v>
      </c>
    </row>
    <row r="2526" spans="1:12" x14ac:dyDescent="0.25">
      <c r="A2526" t="str">
        <f>"2159120403"</f>
        <v>2159120403</v>
      </c>
      <c r="B2526" t="str">
        <f t="shared" si="180"/>
        <v>89301000</v>
      </c>
      <c r="C2526" s="1">
        <v>44451</v>
      </c>
      <c r="D2526" s="1">
        <v>44454</v>
      </c>
      <c r="E2526">
        <v>1</v>
      </c>
      <c r="F2526" t="s">
        <v>1261</v>
      </c>
      <c r="G2526" t="str">
        <f>"15-K06-04"</f>
        <v>15-K06-04</v>
      </c>
      <c r="H2526">
        <v>0.27479999999999999</v>
      </c>
      <c r="J2526" t="s">
        <v>59</v>
      </c>
      <c r="K2526" t="str">
        <f t="shared" si="187"/>
        <v>3F4</v>
      </c>
      <c r="L2526" t="s">
        <v>15</v>
      </c>
    </row>
    <row r="2527" spans="1:12" x14ac:dyDescent="0.25">
      <c r="A2527" t="str">
        <f>"2159130083"</f>
        <v>2159130083</v>
      </c>
      <c r="B2527" t="str">
        <f t="shared" si="180"/>
        <v>89301000</v>
      </c>
      <c r="C2527" s="1">
        <v>44452</v>
      </c>
      <c r="D2527" s="1">
        <v>44455</v>
      </c>
      <c r="E2527">
        <v>1</v>
      </c>
      <c r="F2527" t="s">
        <v>1261</v>
      </c>
      <c r="G2527" t="str">
        <f>"15-K06-04"</f>
        <v>15-K06-04</v>
      </c>
      <c r="H2527">
        <v>0.27479999999999999</v>
      </c>
      <c r="J2527" t="s">
        <v>59</v>
      </c>
      <c r="K2527" t="str">
        <f t="shared" si="187"/>
        <v>3F4</v>
      </c>
      <c r="L2527" t="s">
        <v>15</v>
      </c>
    </row>
    <row r="2528" spans="1:12" x14ac:dyDescent="0.25">
      <c r="A2528" t="str">
        <f>"2159150576"</f>
        <v>2159150576</v>
      </c>
      <c r="B2528" t="str">
        <f t="shared" si="180"/>
        <v>89301000</v>
      </c>
      <c r="C2528" s="1">
        <v>44454</v>
      </c>
      <c r="D2528" s="1">
        <v>44457</v>
      </c>
      <c r="E2528">
        <v>1</v>
      </c>
      <c r="F2528" t="s">
        <v>1221</v>
      </c>
      <c r="G2528" t="str">
        <f>"15-K07-03"</f>
        <v>15-K07-03</v>
      </c>
      <c r="H2528">
        <v>0.53959999999999997</v>
      </c>
      <c r="I2528" t="s">
        <v>1291</v>
      </c>
      <c r="J2528" t="s">
        <v>59</v>
      </c>
      <c r="K2528" t="str">
        <f t="shared" si="187"/>
        <v>3F4</v>
      </c>
      <c r="L2528" t="s">
        <v>15</v>
      </c>
    </row>
    <row r="2529" spans="1:12" x14ac:dyDescent="0.25">
      <c r="A2529" t="str">
        <f>"2159150587"</f>
        <v>2159150587</v>
      </c>
      <c r="B2529" t="str">
        <f t="shared" si="180"/>
        <v>89301000</v>
      </c>
      <c r="C2529" s="1">
        <v>44454</v>
      </c>
      <c r="D2529" s="1">
        <v>44462</v>
      </c>
      <c r="E2529">
        <v>1</v>
      </c>
      <c r="F2529" t="s">
        <v>1338</v>
      </c>
      <c r="G2529" t="str">
        <f>"15-K05-02"</f>
        <v>15-K05-02</v>
      </c>
      <c r="H2529">
        <v>1.2017</v>
      </c>
      <c r="I2529" t="s">
        <v>1354</v>
      </c>
      <c r="J2529" t="s">
        <v>1212</v>
      </c>
      <c r="K2529" t="str">
        <f t="shared" si="187"/>
        <v>3F4</v>
      </c>
      <c r="L2529" t="s">
        <v>15</v>
      </c>
    </row>
    <row r="2530" spans="1:12" x14ac:dyDescent="0.25">
      <c r="A2530" t="str">
        <f>"2159160630"</f>
        <v>2159160630</v>
      </c>
      <c r="B2530" t="str">
        <f t="shared" si="180"/>
        <v>89301000</v>
      </c>
      <c r="C2530" s="1">
        <v>44455</v>
      </c>
      <c r="D2530" s="1">
        <v>44488</v>
      </c>
      <c r="E2530">
        <v>1</v>
      </c>
      <c r="F2530" t="s">
        <v>1338</v>
      </c>
      <c r="G2530" t="str">
        <f>"15-K03-02"</f>
        <v>15-K03-02</v>
      </c>
      <c r="H2530">
        <v>3.3967000000000001</v>
      </c>
      <c r="I2530" t="s">
        <v>1521</v>
      </c>
      <c r="J2530" t="s">
        <v>1212</v>
      </c>
      <c r="K2530" t="str">
        <f t="shared" si="187"/>
        <v>3F4</v>
      </c>
      <c r="L2530" t="s">
        <v>15</v>
      </c>
    </row>
    <row r="2531" spans="1:12" x14ac:dyDescent="0.25">
      <c r="A2531" t="str">
        <f>"2159160652"</f>
        <v>2159160652</v>
      </c>
      <c r="B2531" t="str">
        <f t="shared" si="180"/>
        <v>89301000</v>
      </c>
      <c r="C2531" s="1">
        <v>44455</v>
      </c>
      <c r="D2531" s="1">
        <v>44488</v>
      </c>
      <c r="E2531">
        <v>1</v>
      </c>
      <c r="F2531" t="s">
        <v>1210</v>
      </c>
      <c r="G2531" t="str">
        <f>"15-K04-01"</f>
        <v>15-K04-01</v>
      </c>
      <c r="H2531">
        <v>3.5516000000000001</v>
      </c>
      <c r="I2531" t="s">
        <v>1522</v>
      </c>
      <c r="J2531" t="s">
        <v>1212</v>
      </c>
      <c r="K2531" t="str">
        <f t="shared" si="187"/>
        <v>3F4</v>
      </c>
      <c r="L2531" t="s">
        <v>15</v>
      </c>
    </row>
    <row r="2532" spans="1:12" x14ac:dyDescent="0.25">
      <c r="A2532" t="str">
        <f>"2159160696"</f>
        <v>2159160696</v>
      </c>
      <c r="B2532" t="str">
        <f t="shared" si="180"/>
        <v>89301000</v>
      </c>
      <c r="C2532" s="1">
        <v>44455</v>
      </c>
      <c r="D2532" s="1">
        <v>44459</v>
      </c>
      <c r="E2532">
        <v>1</v>
      </c>
      <c r="F2532" t="s">
        <v>1261</v>
      </c>
      <c r="G2532" t="str">
        <f>"15-K06-04"</f>
        <v>15-K06-04</v>
      </c>
      <c r="H2532">
        <v>0.27479999999999999</v>
      </c>
      <c r="I2532" t="s">
        <v>1523</v>
      </c>
      <c r="J2532" t="s">
        <v>59</v>
      </c>
      <c r="K2532" t="str">
        <f t="shared" si="187"/>
        <v>3F4</v>
      </c>
      <c r="L2532" t="s">
        <v>15</v>
      </c>
    </row>
    <row r="2533" spans="1:12" x14ac:dyDescent="0.25">
      <c r="A2533" t="str">
        <f>"2159161983"</f>
        <v>2159161983</v>
      </c>
      <c r="B2533" t="str">
        <f t="shared" si="180"/>
        <v>89301000</v>
      </c>
      <c r="C2533" s="1">
        <v>44521</v>
      </c>
      <c r="D2533" s="1">
        <v>44526</v>
      </c>
      <c r="E2533">
        <v>1</v>
      </c>
      <c r="F2533" t="s">
        <v>96</v>
      </c>
      <c r="G2533" t="str">
        <f>"11-K01-03"</f>
        <v>11-K01-03</v>
      </c>
      <c r="H2533">
        <v>0.59489999999999998</v>
      </c>
      <c r="I2533" t="s">
        <v>797</v>
      </c>
      <c r="J2533" t="s">
        <v>14</v>
      </c>
      <c r="K2533" t="str">
        <f>"3F1"</f>
        <v>3F1</v>
      </c>
      <c r="L2533" t="s">
        <v>15</v>
      </c>
    </row>
    <row r="2534" spans="1:12" x14ac:dyDescent="0.25">
      <c r="A2534" t="str">
        <f>"2159170178"</f>
        <v>2159170178</v>
      </c>
      <c r="B2534" t="str">
        <f t="shared" si="180"/>
        <v>89301000</v>
      </c>
      <c r="C2534" s="1">
        <v>44456</v>
      </c>
      <c r="D2534" s="1">
        <v>44459</v>
      </c>
      <c r="E2534">
        <v>1</v>
      </c>
      <c r="F2534" t="s">
        <v>1261</v>
      </c>
      <c r="G2534" t="str">
        <f t="shared" ref="G2534:G2544" si="188">"15-K06-04"</f>
        <v>15-K06-04</v>
      </c>
      <c r="H2534">
        <v>0.27479999999999999</v>
      </c>
      <c r="J2534" t="s">
        <v>59</v>
      </c>
      <c r="K2534" t="str">
        <f t="shared" ref="K2534:K2544" si="189">"3F4"</f>
        <v>3F4</v>
      </c>
      <c r="L2534" t="s">
        <v>15</v>
      </c>
    </row>
    <row r="2535" spans="1:12" x14ac:dyDescent="0.25">
      <c r="A2535" t="str">
        <f>"2159180441"</f>
        <v>2159180441</v>
      </c>
      <c r="B2535" t="str">
        <f t="shared" si="180"/>
        <v>89301000</v>
      </c>
      <c r="C2535" s="1">
        <v>44457</v>
      </c>
      <c r="D2535" s="1">
        <v>44460</v>
      </c>
      <c r="E2535">
        <v>1</v>
      </c>
      <c r="F2535" t="s">
        <v>1261</v>
      </c>
      <c r="G2535" t="str">
        <f t="shared" si="188"/>
        <v>15-K06-04</v>
      </c>
      <c r="H2535">
        <v>0.27479999999999999</v>
      </c>
      <c r="J2535" t="s">
        <v>59</v>
      </c>
      <c r="K2535" t="str">
        <f t="shared" si="189"/>
        <v>3F4</v>
      </c>
      <c r="L2535" t="s">
        <v>15</v>
      </c>
    </row>
    <row r="2536" spans="1:12" x14ac:dyDescent="0.25">
      <c r="A2536" t="str">
        <f>"2159180463"</f>
        <v>2159180463</v>
      </c>
      <c r="B2536" t="str">
        <f t="shared" si="180"/>
        <v>89301000</v>
      </c>
      <c r="C2536" s="1">
        <v>44457</v>
      </c>
      <c r="D2536" s="1">
        <v>44460</v>
      </c>
      <c r="E2536">
        <v>1</v>
      </c>
      <c r="F2536" t="s">
        <v>1261</v>
      </c>
      <c r="G2536" t="str">
        <f t="shared" si="188"/>
        <v>15-K06-04</v>
      </c>
      <c r="H2536">
        <v>0.27479999999999999</v>
      </c>
      <c r="J2536" t="s">
        <v>59</v>
      </c>
      <c r="K2536" t="str">
        <f t="shared" si="189"/>
        <v>3F4</v>
      </c>
      <c r="L2536" t="s">
        <v>15</v>
      </c>
    </row>
    <row r="2537" spans="1:12" x14ac:dyDescent="0.25">
      <c r="A2537" t="str">
        <f>"2159190319"</f>
        <v>2159190319</v>
      </c>
      <c r="B2537" t="str">
        <f t="shared" ref="B2537:B2600" si="190">"89301000"</f>
        <v>89301000</v>
      </c>
      <c r="C2537" s="1">
        <v>44458</v>
      </c>
      <c r="D2537" s="1">
        <v>44462</v>
      </c>
      <c r="E2537">
        <v>1</v>
      </c>
      <c r="F2537" t="s">
        <v>1261</v>
      </c>
      <c r="G2537" t="str">
        <f t="shared" si="188"/>
        <v>15-K06-04</v>
      </c>
      <c r="H2537">
        <v>0.27479999999999999</v>
      </c>
      <c r="I2537" t="s">
        <v>1524</v>
      </c>
      <c r="J2537" t="s">
        <v>59</v>
      </c>
      <c r="K2537" t="str">
        <f t="shared" si="189"/>
        <v>3F4</v>
      </c>
      <c r="L2537" t="s">
        <v>15</v>
      </c>
    </row>
    <row r="2538" spans="1:12" x14ac:dyDescent="0.25">
      <c r="A2538" t="str">
        <f>"2159190330"</f>
        <v>2159190330</v>
      </c>
      <c r="B2538" t="str">
        <f t="shared" si="190"/>
        <v>89301000</v>
      </c>
      <c r="C2538" s="1">
        <v>44458</v>
      </c>
      <c r="D2538" s="1">
        <v>44459</v>
      </c>
      <c r="E2538">
        <v>1</v>
      </c>
      <c r="F2538" t="s">
        <v>1261</v>
      </c>
      <c r="G2538" t="str">
        <f t="shared" si="188"/>
        <v>15-K06-04</v>
      </c>
      <c r="H2538">
        <v>0.27479999999999999</v>
      </c>
      <c r="J2538" t="s">
        <v>59</v>
      </c>
      <c r="K2538" t="str">
        <f t="shared" si="189"/>
        <v>3F4</v>
      </c>
      <c r="L2538" t="s">
        <v>15</v>
      </c>
    </row>
    <row r="2539" spans="1:12" x14ac:dyDescent="0.25">
      <c r="A2539" t="str">
        <f>"2159200637"</f>
        <v>2159200637</v>
      </c>
      <c r="B2539" t="str">
        <f t="shared" si="190"/>
        <v>89301000</v>
      </c>
      <c r="C2539" s="1">
        <v>44459</v>
      </c>
      <c r="D2539" s="1">
        <v>44459</v>
      </c>
      <c r="E2539">
        <v>6</v>
      </c>
      <c r="F2539" t="s">
        <v>1261</v>
      </c>
      <c r="G2539" t="str">
        <f t="shared" si="188"/>
        <v>15-K06-04</v>
      </c>
      <c r="H2539">
        <v>0.13739999999999999</v>
      </c>
      <c r="J2539" t="s">
        <v>59</v>
      </c>
      <c r="K2539" t="str">
        <f t="shared" si="189"/>
        <v>3F4</v>
      </c>
      <c r="L2539" t="s">
        <v>15</v>
      </c>
    </row>
    <row r="2540" spans="1:12" x14ac:dyDescent="0.25">
      <c r="A2540" t="str">
        <f>"2159200648"</f>
        <v>2159200648</v>
      </c>
      <c r="B2540" t="str">
        <f t="shared" si="190"/>
        <v>89301000</v>
      </c>
      <c r="C2540" s="1">
        <v>44459</v>
      </c>
      <c r="D2540" s="1">
        <v>44462</v>
      </c>
      <c r="E2540">
        <v>1</v>
      </c>
      <c r="F2540" t="s">
        <v>1261</v>
      </c>
      <c r="G2540" t="str">
        <f t="shared" si="188"/>
        <v>15-K06-04</v>
      </c>
      <c r="H2540">
        <v>0.27479999999999999</v>
      </c>
      <c r="J2540" t="s">
        <v>59</v>
      </c>
      <c r="K2540" t="str">
        <f t="shared" si="189"/>
        <v>3F4</v>
      </c>
      <c r="L2540" t="s">
        <v>15</v>
      </c>
    </row>
    <row r="2541" spans="1:12" x14ac:dyDescent="0.25">
      <c r="A2541" t="str">
        <f>"2159210713"</f>
        <v>2159210713</v>
      </c>
      <c r="B2541" t="str">
        <f t="shared" si="190"/>
        <v>89301000</v>
      </c>
      <c r="C2541" s="1">
        <v>44460</v>
      </c>
      <c r="D2541" s="1">
        <v>44463</v>
      </c>
      <c r="E2541">
        <v>1</v>
      </c>
      <c r="F2541" t="s">
        <v>1261</v>
      </c>
      <c r="G2541" t="str">
        <f t="shared" si="188"/>
        <v>15-K06-04</v>
      </c>
      <c r="H2541">
        <v>0.27479999999999999</v>
      </c>
      <c r="I2541" t="s">
        <v>1525</v>
      </c>
      <c r="J2541" t="s">
        <v>59</v>
      </c>
      <c r="K2541" t="str">
        <f t="shared" si="189"/>
        <v>3F4</v>
      </c>
      <c r="L2541" t="s">
        <v>15</v>
      </c>
    </row>
    <row r="2542" spans="1:12" x14ac:dyDescent="0.25">
      <c r="A2542" t="str">
        <f>"2159210735"</f>
        <v>2159210735</v>
      </c>
      <c r="B2542" t="str">
        <f t="shared" si="190"/>
        <v>89301000</v>
      </c>
      <c r="C2542" s="1">
        <v>44460</v>
      </c>
      <c r="D2542" s="1">
        <v>44463</v>
      </c>
      <c r="E2542">
        <v>1</v>
      </c>
      <c r="F2542" t="s">
        <v>1261</v>
      </c>
      <c r="G2542" t="str">
        <f t="shared" si="188"/>
        <v>15-K06-04</v>
      </c>
      <c r="H2542">
        <v>0.27479999999999999</v>
      </c>
      <c r="I2542" t="s">
        <v>1278</v>
      </c>
      <c r="J2542" t="s">
        <v>59</v>
      </c>
      <c r="K2542" t="str">
        <f t="shared" si="189"/>
        <v>3F4</v>
      </c>
      <c r="L2542" t="s">
        <v>15</v>
      </c>
    </row>
    <row r="2543" spans="1:12" x14ac:dyDescent="0.25">
      <c r="A2543" t="str">
        <f>"2159220085"</f>
        <v>2159220085</v>
      </c>
      <c r="B2543" t="str">
        <f t="shared" si="190"/>
        <v>89301000</v>
      </c>
      <c r="C2543" s="1">
        <v>44461</v>
      </c>
      <c r="D2543" s="1">
        <v>44464</v>
      </c>
      <c r="E2543">
        <v>1</v>
      </c>
      <c r="F2543" t="s">
        <v>1261</v>
      </c>
      <c r="G2543" t="str">
        <f t="shared" si="188"/>
        <v>15-K06-04</v>
      </c>
      <c r="H2543">
        <v>0.27479999999999999</v>
      </c>
      <c r="J2543" t="s">
        <v>59</v>
      </c>
      <c r="K2543" t="str">
        <f t="shared" si="189"/>
        <v>3F4</v>
      </c>
      <c r="L2543" t="s">
        <v>15</v>
      </c>
    </row>
    <row r="2544" spans="1:12" x14ac:dyDescent="0.25">
      <c r="A2544" t="str">
        <f>"2159220602"</f>
        <v>2159220602</v>
      </c>
      <c r="B2544" t="str">
        <f t="shared" si="190"/>
        <v>89301000</v>
      </c>
      <c r="C2544" s="1">
        <v>44461</v>
      </c>
      <c r="D2544" s="1">
        <v>44467</v>
      </c>
      <c r="E2544">
        <v>1</v>
      </c>
      <c r="F2544" t="s">
        <v>1261</v>
      </c>
      <c r="G2544" t="str">
        <f t="shared" si="188"/>
        <v>15-K06-04</v>
      </c>
      <c r="H2544">
        <v>0.30780000000000002</v>
      </c>
      <c r="I2544" t="s">
        <v>1319</v>
      </c>
      <c r="J2544" t="s">
        <v>59</v>
      </c>
      <c r="K2544" t="str">
        <f t="shared" si="189"/>
        <v>3F4</v>
      </c>
      <c r="L2544" t="s">
        <v>15</v>
      </c>
    </row>
    <row r="2545" spans="1:12" x14ac:dyDescent="0.25">
      <c r="A2545" t="str">
        <f>"2159220602"</f>
        <v>2159220602</v>
      </c>
      <c r="B2545" t="str">
        <f t="shared" si="190"/>
        <v>89301000</v>
      </c>
      <c r="C2545" s="1">
        <v>44537</v>
      </c>
      <c r="D2545" s="1">
        <v>44540</v>
      </c>
      <c r="E2545">
        <v>1</v>
      </c>
      <c r="F2545" t="s">
        <v>950</v>
      </c>
      <c r="G2545" t="str">
        <f>"04-K03-03"</f>
        <v>04-K03-03</v>
      </c>
      <c r="H2545">
        <v>0.53180000000000005</v>
      </c>
      <c r="I2545" t="s">
        <v>530</v>
      </c>
      <c r="J2545" t="s">
        <v>14</v>
      </c>
      <c r="K2545" t="str">
        <f>"3F1"</f>
        <v>3F1</v>
      </c>
      <c r="L2545" t="s">
        <v>15</v>
      </c>
    </row>
    <row r="2546" spans="1:12" x14ac:dyDescent="0.25">
      <c r="A2546" t="str">
        <f>"2159220624"</f>
        <v>2159220624</v>
      </c>
      <c r="B2546" t="str">
        <f t="shared" si="190"/>
        <v>89301000</v>
      </c>
      <c r="C2546" s="1">
        <v>44461</v>
      </c>
      <c r="D2546" s="1">
        <v>44464</v>
      </c>
      <c r="E2546">
        <v>1</v>
      </c>
      <c r="F2546" t="s">
        <v>1261</v>
      </c>
      <c r="G2546" t="str">
        <f>"15-K06-04"</f>
        <v>15-K06-04</v>
      </c>
      <c r="H2546">
        <v>0.27479999999999999</v>
      </c>
      <c r="J2546" t="s">
        <v>59</v>
      </c>
      <c r="K2546" t="str">
        <f>"3F4"</f>
        <v>3F4</v>
      </c>
      <c r="L2546" t="s">
        <v>15</v>
      </c>
    </row>
    <row r="2547" spans="1:12" x14ac:dyDescent="0.25">
      <c r="A2547" t="str">
        <f>"2159230106"</f>
        <v>2159230106</v>
      </c>
      <c r="B2547" t="str">
        <f t="shared" si="190"/>
        <v>89301000</v>
      </c>
      <c r="C2547" s="1">
        <v>44462</v>
      </c>
      <c r="D2547" s="1">
        <v>44465</v>
      </c>
      <c r="E2547">
        <v>1</v>
      </c>
      <c r="F2547" t="s">
        <v>1261</v>
      </c>
      <c r="G2547" t="str">
        <f>"15-K06-04"</f>
        <v>15-K06-04</v>
      </c>
      <c r="H2547">
        <v>0.27479999999999999</v>
      </c>
      <c r="J2547" t="s">
        <v>59</v>
      </c>
      <c r="K2547" t="str">
        <f>"3F4"</f>
        <v>3F4</v>
      </c>
      <c r="L2547" t="s">
        <v>15</v>
      </c>
    </row>
    <row r="2548" spans="1:12" x14ac:dyDescent="0.25">
      <c r="A2548" t="str">
        <f>"2159230106"</f>
        <v>2159230106</v>
      </c>
      <c r="B2548" t="str">
        <f t="shared" si="190"/>
        <v>89301000</v>
      </c>
      <c r="C2548" s="1">
        <v>44491</v>
      </c>
      <c r="D2548" s="1">
        <v>44498</v>
      </c>
      <c r="E2548">
        <v>1</v>
      </c>
      <c r="F2548" t="s">
        <v>1310</v>
      </c>
      <c r="G2548" t="str">
        <f>"04-K03-03"</f>
        <v>04-K03-03</v>
      </c>
      <c r="H2548">
        <v>0.53180000000000005</v>
      </c>
      <c r="I2548" t="s">
        <v>168</v>
      </c>
      <c r="J2548" t="s">
        <v>14</v>
      </c>
      <c r="K2548" t="str">
        <f>"3F1"</f>
        <v>3F1</v>
      </c>
      <c r="L2548" t="s">
        <v>15</v>
      </c>
    </row>
    <row r="2549" spans="1:12" x14ac:dyDescent="0.25">
      <c r="A2549" t="str">
        <f>"2159230744"</f>
        <v>2159230744</v>
      </c>
      <c r="B2549" t="str">
        <f t="shared" si="190"/>
        <v>89301000</v>
      </c>
      <c r="C2549" s="1">
        <v>44462</v>
      </c>
      <c r="D2549" s="1">
        <v>44465</v>
      </c>
      <c r="E2549">
        <v>1</v>
      </c>
      <c r="F2549" t="s">
        <v>1261</v>
      </c>
      <c r="G2549" t="str">
        <f>"15-K06-04"</f>
        <v>15-K06-04</v>
      </c>
      <c r="H2549">
        <v>0.27479999999999999</v>
      </c>
      <c r="I2549" t="s">
        <v>1279</v>
      </c>
      <c r="J2549" t="s">
        <v>59</v>
      </c>
      <c r="K2549" t="str">
        <f>"3F4"</f>
        <v>3F4</v>
      </c>
      <c r="L2549" t="s">
        <v>15</v>
      </c>
    </row>
    <row r="2550" spans="1:12" x14ac:dyDescent="0.25">
      <c r="A2550" t="str">
        <f>"2159250390"</f>
        <v>2159250390</v>
      </c>
      <c r="B2550" t="str">
        <f t="shared" si="190"/>
        <v>89301000</v>
      </c>
      <c r="C2550" s="1">
        <v>44464</v>
      </c>
      <c r="D2550" s="1">
        <v>44467</v>
      </c>
      <c r="E2550">
        <v>1</v>
      </c>
      <c r="F2550" t="s">
        <v>1261</v>
      </c>
      <c r="G2550" t="str">
        <f>"15-K06-04"</f>
        <v>15-K06-04</v>
      </c>
      <c r="H2550">
        <v>0.27479999999999999</v>
      </c>
      <c r="J2550" t="s">
        <v>59</v>
      </c>
      <c r="K2550" t="str">
        <f>"3F4"</f>
        <v>3F4</v>
      </c>
      <c r="L2550" t="s">
        <v>15</v>
      </c>
    </row>
    <row r="2551" spans="1:12" x14ac:dyDescent="0.25">
      <c r="A2551" t="str">
        <f>"2159270091"</f>
        <v>2159270091</v>
      </c>
      <c r="B2551" t="str">
        <f t="shared" si="190"/>
        <v>89301000</v>
      </c>
      <c r="C2551" s="1">
        <v>44466</v>
      </c>
      <c r="D2551" s="1">
        <v>44468</v>
      </c>
      <c r="E2551">
        <v>1</v>
      </c>
      <c r="F2551" t="s">
        <v>1261</v>
      </c>
      <c r="G2551" t="str">
        <f>"15-K06-04"</f>
        <v>15-K06-04</v>
      </c>
      <c r="H2551">
        <v>0.27479999999999999</v>
      </c>
      <c r="J2551" t="s">
        <v>59</v>
      </c>
      <c r="K2551" t="str">
        <f>"3F4"</f>
        <v>3F4</v>
      </c>
      <c r="L2551" t="s">
        <v>15</v>
      </c>
    </row>
    <row r="2552" spans="1:12" x14ac:dyDescent="0.25">
      <c r="A2552" t="str">
        <f>"2159270597"</f>
        <v>2159270597</v>
      </c>
      <c r="B2552" t="str">
        <f t="shared" si="190"/>
        <v>89301000</v>
      </c>
      <c r="C2552" s="1">
        <v>44466</v>
      </c>
      <c r="D2552" s="1">
        <v>44468</v>
      </c>
      <c r="E2552">
        <v>1</v>
      </c>
      <c r="F2552" t="s">
        <v>1261</v>
      </c>
      <c r="G2552" t="str">
        <f>"15-K06-04"</f>
        <v>15-K06-04</v>
      </c>
      <c r="H2552">
        <v>0.27479999999999999</v>
      </c>
      <c r="I2552" t="s">
        <v>1526</v>
      </c>
      <c r="J2552" t="s">
        <v>59</v>
      </c>
      <c r="K2552" t="str">
        <f>"3F4"</f>
        <v>3F4</v>
      </c>
      <c r="L2552" t="s">
        <v>15</v>
      </c>
    </row>
    <row r="2553" spans="1:12" x14ac:dyDescent="0.25">
      <c r="A2553" t="str">
        <f>"2159290089"</f>
        <v>2159290089</v>
      </c>
      <c r="B2553" t="str">
        <f t="shared" si="190"/>
        <v>89301000</v>
      </c>
      <c r="C2553" s="1">
        <v>44468</v>
      </c>
      <c r="D2553" s="1">
        <v>44471</v>
      </c>
      <c r="E2553">
        <v>1</v>
      </c>
      <c r="F2553" t="s">
        <v>1261</v>
      </c>
      <c r="G2553" t="str">
        <f>"15-K06-04"</f>
        <v>15-K06-04</v>
      </c>
      <c r="H2553">
        <v>0.27479999999999999</v>
      </c>
      <c r="I2553" t="s">
        <v>1367</v>
      </c>
      <c r="J2553" t="s">
        <v>59</v>
      </c>
      <c r="K2553" t="str">
        <f>"3F4"</f>
        <v>3F4</v>
      </c>
      <c r="L2553" t="s">
        <v>15</v>
      </c>
    </row>
    <row r="2554" spans="1:12" x14ac:dyDescent="0.25">
      <c r="A2554" t="str">
        <f>"2159300374"</f>
        <v>2159300374</v>
      </c>
      <c r="B2554" t="str">
        <f t="shared" si="190"/>
        <v>89301000</v>
      </c>
      <c r="C2554" s="1">
        <v>44487</v>
      </c>
      <c r="D2554" s="1">
        <v>44495</v>
      </c>
      <c r="E2554">
        <v>1</v>
      </c>
      <c r="F2554" t="s">
        <v>1527</v>
      </c>
      <c r="G2554" t="str">
        <f>"15-K07-01"</f>
        <v>15-K07-01</v>
      </c>
      <c r="H2554">
        <v>1.5082</v>
      </c>
      <c r="I2554" t="s">
        <v>1528</v>
      </c>
      <c r="J2554" t="s">
        <v>59</v>
      </c>
      <c r="K2554" t="str">
        <f>"3F1"</f>
        <v>3F1</v>
      </c>
      <c r="L2554" t="s">
        <v>15</v>
      </c>
    </row>
    <row r="2555" spans="1:12" x14ac:dyDescent="0.25">
      <c r="A2555" t="str">
        <f>"2159300891"</f>
        <v>2159300891</v>
      </c>
      <c r="B2555" t="str">
        <f t="shared" si="190"/>
        <v>89301000</v>
      </c>
      <c r="C2555" s="1">
        <v>44489</v>
      </c>
      <c r="D2555" s="1">
        <v>44491</v>
      </c>
      <c r="E2555">
        <v>1</v>
      </c>
      <c r="F2555" t="s">
        <v>592</v>
      </c>
      <c r="G2555" t="str">
        <f>"15-K07-03"</f>
        <v>15-K07-03</v>
      </c>
      <c r="H2555">
        <v>0.53959999999999997</v>
      </c>
      <c r="I2555" t="s">
        <v>354</v>
      </c>
      <c r="J2555" t="s">
        <v>59</v>
      </c>
      <c r="K2555" t="str">
        <f>"3F1"</f>
        <v>3F1</v>
      </c>
      <c r="L2555" t="s">
        <v>15</v>
      </c>
    </row>
    <row r="2556" spans="1:12" x14ac:dyDescent="0.25">
      <c r="A2556" t="str">
        <f>"2159300891"</f>
        <v>2159300891</v>
      </c>
      <c r="B2556" t="str">
        <f t="shared" si="190"/>
        <v>89301000</v>
      </c>
      <c r="C2556" s="1">
        <v>44469</v>
      </c>
      <c r="D2556" s="1">
        <v>44471</v>
      </c>
      <c r="E2556">
        <v>1</v>
      </c>
      <c r="F2556" t="s">
        <v>1261</v>
      </c>
      <c r="G2556" t="str">
        <f>"15-K06-04"</f>
        <v>15-K06-04</v>
      </c>
      <c r="H2556">
        <v>0.27479999999999999</v>
      </c>
      <c r="J2556" t="s">
        <v>59</v>
      </c>
      <c r="K2556" t="str">
        <f t="shared" ref="K2556:K2582" si="191">"3F4"</f>
        <v>3F4</v>
      </c>
      <c r="L2556" t="s">
        <v>15</v>
      </c>
    </row>
    <row r="2557" spans="1:12" x14ac:dyDescent="0.25">
      <c r="A2557" t="str">
        <f>"2159300902"</f>
        <v>2159300902</v>
      </c>
      <c r="B2557" t="str">
        <f t="shared" si="190"/>
        <v>89301000</v>
      </c>
      <c r="C2557" s="1">
        <v>44469</v>
      </c>
      <c r="D2557" s="1">
        <v>44472</v>
      </c>
      <c r="E2557">
        <v>1</v>
      </c>
      <c r="F2557" t="s">
        <v>1261</v>
      </c>
      <c r="G2557" t="str">
        <f>"15-K06-04"</f>
        <v>15-K06-04</v>
      </c>
      <c r="H2557">
        <v>0.27479999999999999</v>
      </c>
      <c r="J2557" t="s">
        <v>59</v>
      </c>
      <c r="K2557" t="str">
        <f t="shared" si="191"/>
        <v>3F4</v>
      </c>
      <c r="L2557" t="s">
        <v>15</v>
      </c>
    </row>
    <row r="2558" spans="1:12" x14ac:dyDescent="0.25">
      <c r="A2558" t="str">
        <f>"2159300913"</f>
        <v>2159300913</v>
      </c>
      <c r="B2558" t="str">
        <f t="shared" si="190"/>
        <v>89301000</v>
      </c>
      <c r="C2558" s="1">
        <v>44469</v>
      </c>
      <c r="D2558" s="1">
        <v>44472</v>
      </c>
      <c r="E2558">
        <v>1</v>
      </c>
      <c r="F2558" t="s">
        <v>1261</v>
      </c>
      <c r="G2558" t="str">
        <f>"15-K06-04"</f>
        <v>15-K06-04</v>
      </c>
      <c r="H2558">
        <v>0.27479999999999999</v>
      </c>
      <c r="I2558" t="s">
        <v>1489</v>
      </c>
      <c r="J2558" t="s">
        <v>59</v>
      </c>
      <c r="K2558" t="str">
        <f t="shared" si="191"/>
        <v>3F4</v>
      </c>
      <c r="L2558" t="s">
        <v>15</v>
      </c>
    </row>
    <row r="2559" spans="1:12" x14ac:dyDescent="0.25">
      <c r="A2559" t="str">
        <f>"2160010908"</f>
        <v>2160010908</v>
      </c>
      <c r="B2559" t="str">
        <f t="shared" si="190"/>
        <v>89301000</v>
      </c>
      <c r="C2559" s="1">
        <v>44470</v>
      </c>
      <c r="D2559" s="1">
        <v>44473</v>
      </c>
      <c r="E2559">
        <v>1</v>
      </c>
      <c r="F2559" t="s">
        <v>1261</v>
      </c>
      <c r="G2559" t="str">
        <f>"15-K06-04"</f>
        <v>15-K06-04</v>
      </c>
      <c r="H2559">
        <v>0.27479999999999999</v>
      </c>
      <c r="I2559" t="s">
        <v>1305</v>
      </c>
      <c r="J2559" t="s">
        <v>59</v>
      </c>
      <c r="K2559" t="str">
        <f t="shared" si="191"/>
        <v>3F4</v>
      </c>
      <c r="L2559" t="s">
        <v>15</v>
      </c>
    </row>
    <row r="2560" spans="1:12" x14ac:dyDescent="0.25">
      <c r="A2560" t="str">
        <f>"2160030444"</f>
        <v>2160030444</v>
      </c>
      <c r="B2560" t="str">
        <f t="shared" si="190"/>
        <v>89301000</v>
      </c>
      <c r="C2560" s="1">
        <v>44472</v>
      </c>
      <c r="D2560" s="1">
        <v>44476</v>
      </c>
      <c r="E2560">
        <v>1</v>
      </c>
      <c r="F2560" t="s">
        <v>1261</v>
      </c>
      <c r="G2560" t="str">
        <f>"15-K06-02"</f>
        <v>15-K06-02</v>
      </c>
      <c r="H2560">
        <v>0.59770000000000001</v>
      </c>
      <c r="I2560" t="s">
        <v>1337</v>
      </c>
      <c r="J2560" t="s">
        <v>59</v>
      </c>
      <c r="K2560" t="str">
        <f t="shared" si="191"/>
        <v>3F4</v>
      </c>
      <c r="L2560" t="s">
        <v>15</v>
      </c>
    </row>
    <row r="2561" spans="1:12" x14ac:dyDescent="0.25">
      <c r="A2561" t="str">
        <f>"2160040080"</f>
        <v>2160040080</v>
      </c>
      <c r="B2561" t="str">
        <f t="shared" si="190"/>
        <v>89301000</v>
      </c>
      <c r="C2561" s="1">
        <v>44473</v>
      </c>
      <c r="D2561" s="1">
        <v>44475</v>
      </c>
      <c r="E2561">
        <v>1</v>
      </c>
      <c r="F2561" t="s">
        <v>1261</v>
      </c>
      <c r="G2561" t="str">
        <f>"15-K06-04"</f>
        <v>15-K06-04</v>
      </c>
      <c r="H2561">
        <v>0.27479999999999999</v>
      </c>
      <c r="J2561" t="s">
        <v>59</v>
      </c>
      <c r="K2561" t="str">
        <f t="shared" si="191"/>
        <v>3F4</v>
      </c>
      <c r="L2561" t="s">
        <v>15</v>
      </c>
    </row>
    <row r="2562" spans="1:12" x14ac:dyDescent="0.25">
      <c r="A2562" t="str">
        <f>"2160060111"</f>
        <v>2160060111</v>
      </c>
      <c r="B2562" t="str">
        <f t="shared" si="190"/>
        <v>89301000</v>
      </c>
      <c r="C2562" s="1">
        <v>44475</v>
      </c>
      <c r="D2562" s="1">
        <v>44479</v>
      </c>
      <c r="E2562">
        <v>1</v>
      </c>
      <c r="F2562" t="s">
        <v>1261</v>
      </c>
      <c r="G2562" t="str">
        <f>"15-K06-02"</f>
        <v>15-K06-02</v>
      </c>
      <c r="H2562">
        <v>0.59770000000000001</v>
      </c>
      <c r="I2562" t="s">
        <v>1337</v>
      </c>
      <c r="J2562" t="s">
        <v>59</v>
      </c>
      <c r="K2562" t="str">
        <f t="shared" si="191"/>
        <v>3F4</v>
      </c>
      <c r="L2562" t="s">
        <v>15</v>
      </c>
    </row>
    <row r="2563" spans="1:12" x14ac:dyDescent="0.25">
      <c r="A2563" t="str">
        <f>"2160060122"</f>
        <v>2160060122</v>
      </c>
      <c r="B2563" t="str">
        <f t="shared" si="190"/>
        <v>89301000</v>
      </c>
      <c r="C2563" s="1">
        <v>44475</v>
      </c>
      <c r="D2563" s="1">
        <v>44478</v>
      </c>
      <c r="E2563">
        <v>1</v>
      </c>
      <c r="F2563" t="s">
        <v>1261</v>
      </c>
      <c r="G2563" t="str">
        <f>"15-K06-04"</f>
        <v>15-K06-04</v>
      </c>
      <c r="H2563">
        <v>0.27479999999999999</v>
      </c>
      <c r="J2563" t="s">
        <v>59</v>
      </c>
      <c r="K2563" t="str">
        <f t="shared" si="191"/>
        <v>3F4</v>
      </c>
      <c r="L2563" t="s">
        <v>15</v>
      </c>
    </row>
    <row r="2564" spans="1:12" x14ac:dyDescent="0.25">
      <c r="A2564" t="str">
        <f>"2160060672"</f>
        <v>2160060672</v>
      </c>
      <c r="B2564" t="str">
        <f t="shared" si="190"/>
        <v>89301000</v>
      </c>
      <c r="C2564" s="1">
        <v>44475</v>
      </c>
      <c r="D2564" s="1">
        <v>44483</v>
      </c>
      <c r="E2564">
        <v>1</v>
      </c>
      <c r="F2564" t="s">
        <v>1282</v>
      </c>
      <c r="G2564" t="str">
        <f>"15-K07-01"</f>
        <v>15-K07-01</v>
      </c>
      <c r="H2564">
        <v>1.5082</v>
      </c>
      <c r="I2564" t="s">
        <v>1529</v>
      </c>
      <c r="J2564" t="s">
        <v>59</v>
      </c>
      <c r="K2564" t="str">
        <f t="shared" si="191"/>
        <v>3F4</v>
      </c>
      <c r="L2564" t="s">
        <v>15</v>
      </c>
    </row>
    <row r="2565" spans="1:12" x14ac:dyDescent="0.25">
      <c r="A2565" t="str">
        <f>"2160070088"</f>
        <v>2160070088</v>
      </c>
      <c r="B2565" t="str">
        <f t="shared" si="190"/>
        <v>89301000</v>
      </c>
      <c r="C2565" s="1">
        <v>44476</v>
      </c>
      <c r="D2565" s="1">
        <v>44479</v>
      </c>
      <c r="E2565">
        <v>1</v>
      </c>
      <c r="F2565" t="s">
        <v>1261</v>
      </c>
      <c r="G2565" t="str">
        <f>"15-K06-04"</f>
        <v>15-K06-04</v>
      </c>
      <c r="H2565">
        <v>0.27479999999999999</v>
      </c>
      <c r="J2565" t="s">
        <v>59</v>
      </c>
      <c r="K2565" t="str">
        <f t="shared" si="191"/>
        <v>3F4</v>
      </c>
      <c r="L2565" t="s">
        <v>15</v>
      </c>
    </row>
    <row r="2566" spans="1:12" x14ac:dyDescent="0.25">
      <c r="A2566" t="str">
        <f>"2160070671"</f>
        <v>2160070671</v>
      </c>
      <c r="B2566" t="str">
        <f t="shared" si="190"/>
        <v>89301000</v>
      </c>
      <c r="C2566" s="1">
        <v>44476</v>
      </c>
      <c r="D2566" s="1">
        <v>44481</v>
      </c>
      <c r="E2566">
        <v>1</v>
      </c>
      <c r="F2566" t="s">
        <v>1261</v>
      </c>
      <c r="G2566" t="str">
        <f>"15-K06-02"</f>
        <v>15-K06-02</v>
      </c>
      <c r="H2566">
        <v>0.59770000000000001</v>
      </c>
      <c r="I2566" t="s">
        <v>1301</v>
      </c>
      <c r="J2566" t="s">
        <v>59</v>
      </c>
      <c r="K2566" t="str">
        <f t="shared" si="191"/>
        <v>3F4</v>
      </c>
      <c r="L2566" t="s">
        <v>15</v>
      </c>
    </row>
    <row r="2567" spans="1:12" x14ac:dyDescent="0.25">
      <c r="A2567" t="str">
        <f>"2160080692"</f>
        <v>2160080692</v>
      </c>
      <c r="B2567" t="str">
        <f t="shared" si="190"/>
        <v>89301000</v>
      </c>
      <c r="C2567" s="1">
        <v>44484</v>
      </c>
      <c r="D2567" s="1">
        <v>44485</v>
      </c>
      <c r="E2567">
        <v>1</v>
      </c>
      <c r="F2567" t="s">
        <v>1276</v>
      </c>
      <c r="G2567" t="str">
        <f>"15-K07-03"</f>
        <v>15-K07-03</v>
      </c>
      <c r="H2567">
        <v>0.53959999999999997</v>
      </c>
      <c r="I2567" t="s">
        <v>1278</v>
      </c>
      <c r="J2567" t="s">
        <v>59</v>
      </c>
      <c r="K2567" t="str">
        <f t="shared" si="191"/>
        <v>3F4</v>
      </c>
      <c r="L2567" t="s">
        <v>15</v>
      </c>
    </row>
    <row r="2568" spans="1:12" x14ac:dyDescent="0.25">
      <c r="A2568" t="str">
        <f>"2160080692"</f>
        <v>2160080692</v>
      </c>
      <c r="B2568" t="str">
        <f t="shared" si="190"/>
        <v>89301000</v>
      </c>
      <c r="C2568" s="1">
        <v>44477</v>
      </c>
      <c r="D2568" s="1">
        <v>44481</v>
      </c>
      <c r="E2568">
        <v>1</v>
      </c>
      <c r="F2568" t="s">
        <v>1261</v>
      </c>
      <c r="G2568" t="str">
        <f t="shared" ref="G2568:G2581" si="192">"15-K06-04"</f>
        <v>15-K06-04</v>
      </c>
      <c r="H2568">
        <v>0.27479999999999999</v>
      </c>
      <c r="J2568" t="s">
        <v>59</v>
      </c>
      <c r="K2568" t="str">
        <f t="shared" si="191"/>
        <v>3F4</v>
      </c>
      <c r="L2568" t="s">
        <v>15</v>
      </c>
    </row>
    <row r="2569" spans="1:12" x14ac:dyDescent="0.25">
      <c r="A2569" t="str">
        <f>"2160080703"</f>
        <v>2160080703</v>
      </c>
      <c r="B2569" t="str">
        <f t="shared" si="190"/>
        <v>89301000</v>
      </c>
      <c r="C2569" s="1">
        <v>44477</v>
      </c>
      <c r="D2569" s="1">
        <v>44480</v>
      </c>
      <c r="E2569">
        <v>1</v>
      </c>
      <c r="F2569" t="s">
        <v>1261</v>
      </c>
      <c r="G2569" t="str">
        <f t="shared" si="192"/>
        <v>15-K06-04</v>
      </c>
      <c r="H2569">
        <v>0.27479999999999999</v>
      </c>
      <c r="J2569" t="s">
        <v>59</v>
      </c>
      <c r="K2569" t="str">
        <f t="shared" si="191"/>
        <v>3F4</v>
      </c>
      <c r="L2569" t="s">
        <v>15</v>
      </c>
    </row>
    <row r="2570" spans="1:12" x14ac:dyDescent="0.25">
      <c r="A2570" t="str">
        <f>"2160090372"</f>
        <v>2160090372</v>
      </c>
      <c r="B2570" t="str">
        <f t="shared" si="190"/>
        <v>89301000</v>
      </c>
      <c r="C2570" s="1">
        <v>44478</v>
      </c>
      <c r="D2570" s="1">
        <v>44481</v>
      </c>
      <c r="E2570">
        <v>1</v>
      </c>
      <c r="F2570" t="s">
        <v>1261</v>
      </c>
      <c r="G2570" t="str">
        <f t="shared" si="192"/>
        <v>15-K06-04</v>
      </c>
      <c r="H2570">
        <v>0.27479999999999999</v>
      </c>
      <c r="J2570" t="s">
        <v>59</v>
      </c>
      <c r="K2570" t="str">
        <f t="shared" si="191"/>
        <v>3F4</v>
      </c>
      <c r="L2570" t="s">
        <v>15</v>
      </c>
    </row>
    <row r="2571" spans="1:12" x14ac:dyDescent="0.25">
      <c r="A2571" t="str">
        <f>"2160110458"</f>
        <v>2160110458</v>
      </c>
      <c r="B2571" t="str">
        <f t="shared" si="190"/>
        <v>89301000</v>
      </c>
      <c r="C2571" s="1">
        <v>44480</v>
      </c>
      <c r="D2571" s="1">
        <v>44484</v>
      </c>
      <c r="E2571">
        <v>1</v>
      </c>
      <c r="F2571" t="s">
        <v>1261</v>
      </c>
      <c r="G2571" t="str">
        <f t="shared" si="192"/>
        <v>15-K06-04</v>
      </c>
      <c r="H2571">
        <v>0.27479999999999999</v>
      </c>
      <c r="J2571" t="s">
        <v>59</v>
      </c>
      <c r="K2571" t="str">
        <f t="shared" si="191"/>
        <v>3F4</v>
      </c>
      <c r="L2571" t="s">
        <v>15</v>
      </c>
    </row>
    <row r="2572" spans="1:12" x14ac:dyDescent="0.25">
      <c r="A2572" t="str">
        <f>"2160120655"</f>
        <v>2160120655</v>
      </c>
      <c r="B2572" t="str">
        <f t="shared" si="190"/>
        <v>89301000</v>
      </c>
      <c r="C2572" s="1">
        <v>44481</v>
      </c>
      <c r="D2572" s="1">
        <v>44484</v>
      </c>
      <c r="E2572">
        <v>1</v>
      </c>
      <c r="F2572" t="s">
        <v>1261</v>
      </c>
      <c r="G2572" t="str">
        <f t="shared" si="192"/>
        <v>15-K06-04</v>
      </c>
      <c r="H2572">
        <v>0.27479999999999999</v>
      </c>
      <c r="J2572" t="s">
        <v>59</v>
      </c>
      <c r="K2572" t="str">
        <f t="shared" si="191"/>
        <v>3F4</v>
      </c>
      <c r="L2572" t="s">
        <v>15</v>
      </c>
    </row>
    <row r="2573" spans="1:12" x14ac:dyDescent="0.25">
      <c r="A2573" t="str">
        <f>"2160130709"</f>
        <v>2160130709</v>
      </c>
      <c r="B2573" t="str">
        <f t="shared" si="190"/>
        <v>89301000</v>
      </c>
      <c r="C2573" s="1">
        <v>44482</v>
      </c>
      <c r="D2573" s="1">
        <v>44485</v>
      </c>
      <c r="E2573">
        <v>1</v>
      </c>
      <c r="F2573" t="s">
        <v>1261</v>
      </c>
      <c r="G2573" t="str">
        <f t="shared" si="192"/>
        <v>15-K06-04</v>
      </c>
      <c r="H2573">
        <v>0.27479999999999999</v>
      </c>
      <c r="I2573" t="s">
        <v>1278</v>
      </c>
      <c r="J2573" t="s">
        <v>59</v>
      </c>
      <c r="K2573" t="str">
        <f t="shared" si="191"/>
        <v>3F4</v>
      </c>
      <c r="L2573" t="s">
        <v>15</v>
      </c>
    </row>
    <row r="2574" spans="1:12" x14ac:dyDescent="0.25">
      <c r="A2574" t="str">
        <f>"2160140092"</f>
        <v>2160140092</v>
      </c>
      <c r="B2574" t="str">
        <f t="shared" si="190"/>
        <v>89301000</v>
      </c>
      <c r="C2574" s="1">
        <v>44483</v>
      </c>
      <c r="D2574" s="1">
        <v>44487</v>
      </c>
      <c r="E2574">
        <v>1</v>
      </c>
      <c r="F2574" t="s">
        <v>1261</v>
      </c>
      <c r="G2574" t="str">
        <f t="shared" si="192"/>
        <v>15-K06-04</v>
      </c>
      <c r="H2574">
        <v>0.27479999999999999</v>
      </c>
      <c r="J2574" t="s">
        <v>59</v>
      </c>
      <c r="K2574" t="str">
        <f t="shared" si="191"/>
        <v>3F4</v>
      </c>
      <c r="L2574" t="s">
        <v>15</v>
      </c>
    </row>
    <row r="2575" spans="1:12" x14ac:dyDescent="0.25">
      <c r="A2575" t="str">
        <f>"2160140598"</f>
        <v>2160140598</v>
      </c>
      <c r="B2575" t="str">
        <f t="shared" si="190"/>
        <v>89301000</v>
      </c>
      <c r="C2575" s="1">
        <v>44483</v>
      </c>
      <c r="D2575" s="1">
        <v>44486</v>
      </c>
      <c r="E2575">
        <v>1</v>
      </c>
      <c r="F2575" t="s">
        <v>1261</v>
      </c>
      <c r="G2575" t="str">
        <f t="shared" si="192"/>
        <v>15-K06-04</v>
      </c>
      <c r="H2575">
        <v>0.27479999999999999</v>
      </c>
      <c r="J2575" t="s">
        <v>59</v>
      </c>
      <c r="K2575" t="str">
        <f t="shared" si="191"/>
        <v>3F4</v>
      </c>
      <c r="L2575" t="s">
        <v>15</v>
      </c>
    </row>
    <row r="2576" spans="1:12" x14ac:dyDescent="0.25">
      <c r="A2576" t="str">
        <f>"2160140620"</f>
        <v>2160140620</v>
      </c>
      <c r="B2576" t="str">
        <f t="shared" si="190"/>
        <v>89301000</v>
      </c>
      <c r="C2576" s="1">
        <v>44483</v>
      </c>
      <c r="D2576" s="1">
        <v>44486</v>
      </c>
      <c r="E2576">
        <v>1</v>
      </c>
      <c r="F2576" t="s">
        <v>1261</v>
      </c>
      <c r="G2576" t="str">
        <f t="shared" si="192"/>
        <v>15-K06-04</v>
      </c>
      <c r="H2576">
        <v>0.27479999999999999</v>
      </c>
      <c r="J2576" t="s">
        <v>59</v>
      </c>
      <c r="K2576" t="str">
        <f t="shared" si="191"/>
        <v>3F4</v>
      </c>
      <c r="L2576" t="s">
        <v>15</v>
      </c>
    </row>
    <row r="2577" spans="1:12" x14ac:dyDescent="0.25">
      <c r="A2577" t="str">
        <f>"2160150091"</f>
        <v>2160150091</v>
      </c>
      <c r="B2577" t="str">
        <f t="shared" si="190"/>
        <v>89301000</v>
      </c>
      <c r="C2577" s="1">
        <v>44484</v>
      </c>
      <c r="D2577" s="1">
        <v>44486</v>
      </c>
      <c r="E2577">
        <v>1</v>
      </c>
      <c r="F2577" t="s">
        <v>1261</v>
      </c>
      <c r="G2577" t="str">
        <f t="shared" si="192"/>
        <v>15-K06-04</v>
      </c>
      <c r="H2577">
        <v>0.27479999999999999</v>
      </c>
      <c r="J2577" t="s">
        <v>59</v>
      </c>
      <c r="K2577" t="str">
        <f t="shared" si="191"/>
        <v>3F4</v>
      </c>
      <c r="L2577" t="s">
        <v>15</v>
      </c>
    </row>
    <row r="2578" spans="1:12" x14ac:dyDescent="0.25">
      <c r="A2578" t="str">
        <f>"2160150597"</f>
        <v>2160150597</v>
      </c>
      <c r="B2578" t="str">
        <f t="shared" si="190"/>
        <v>89301000</v>
      </c>
      <c r="C2578" s="1">
        <v>44484</v>
      </c>
      <c r="D2578" s="1">
        <v>44487</v>
      </c>
      <c r="E2578">
        <v>1</v>
      </c>
      <c r="F2578" t="s">
        <v>1261</v>
      </c>
      <c r="G2578" t="str">
        <f t="shared" si="192"/>
        <v>15-K06-04</v>
      </c>
      <c r="H2578">
        <v>0.27479999999999999</v>
      </c>
      <c r="J2578" t="s">
        <v>59</v>
      </c>
      <c r="K2578" t="str">
        <f t="shared" si="191"/>
        <v>3F4</v>
      </c>
      <c r="L2578" t="s">
        <v>15</v>
      </c>
    </row>
    <row r="2579" spans="1:12" x14ac:dyDescent="0.25">
      <c r="A2579" t="str">
        <f>"2160150663"</f>
        <v>2160150663</v>
      </c>
      <c r="B2579" t="str">
        <f t="shared" si="190"/>
        <v>89301000</v>
      </c>
      <c r="C2579" s="1">
        <v>44484</v>
      </c>
      <c r="D2579" s="1">
        <v>44487</v>
      </c>
      <c r="E2579">
        <v>1</v>
      </c>
      <c r="F2579" t="s">
        <v>1261</v>
      </c>
      <c r="G2579" t="str">
        <f t="shared" si="192"/>
        <v>15-K06-04</v>
      </c>
      <c r="H2579">
        <v>0.27479999999999999</v>
      </c>
      <c r="J2579" t="s">
        <v>59</v>
      </c>
      <c r="K2579" t="str">
        <f t="shared" si="191"/>
        <v>3F4</v>
      </c>
      <c r="L2579" t="s">
        <v>15</v>
      </c>
    </row>
    <row r="2580" spans="1:12" x14ac:dyDescent="0.25">
      <c r="A2580" t="str">
        <f>"2160150674"</f>
        <v>2160150674</v>
      </c>
      <c r="B2580" t="str">
        <f t="shared" si="190"/>
        <v>89301000</v>
      </c>
      <c r="C2580" s="1">
        <v>44484</v>
      </c>
      <c r="D2580" s="1">
        <v>44487</v>
      </c>
      <c r="E2580">
        <v>1</v>
      </c>
      <c r="F2580" t="s">
        <v>1261</v>
      </c>
      <c r="G2580" t="str">
        <f t="shared" si="192"/>
        <v>15-K06-04</v>
      </c>
      <c r="H2580">
        <v>0.27479999999999999</v>
      </c>
      <c r="J2580" t="s">
        <v>59</v>
      </c>
      <c r="K2580" t="str">
        <f t="shared" si="191"/>
        <v>3F4</v>
      </c>
      <c r="L2580" t="s">
        <v>15</v>
      </c>
    </row>
    <row r="2581" spans="1:12" x14ac:dyDescent="0.25">
      <c r="A2581" t="str">
        <f>"2160190505"</f>
        <v>2160190505</v>
      </c>
      <c r="B2581" t="str">
        <f t="shared" si="190"/>
        <v>89301000</v>
      </c>
      <c r="C2581" s="1">
        <v>44488</v>
      </c>
      <c r="D2581" s="1">
        <v>44490</v>
      </c>
      <c r="E2581">
        <v>1</v>
      </c>
      <c r="F2581" t="s">
        <v>1261</v>
      </c>
      <c r="G2581" t="str">
        <f t="shared" si="192"/>
        <v>15-K06-04</v>
      </c>
      <c r="H2581">
        <v>0.27479999999999999</v>
      </c>
      <c r="J2581" t="s">
        <v>59</v>
      </c>
      <c r="K2581" t="str">
        <f t="shared" si="191"/>
        <v>3F4</v>
      </c>
      <c r="L2581" t="s">
        <v>15</v>
      </c>
    </row>
    <row r="2582" spans="1:12" x14ac:dyDescent="0.25">
      <c r="A2582" t="str">
        <f>"2160200680"</f>
        <v>2160200680</v>
      </c>
      <c r="B2582" t="str">
        <f t="shared" si="190"/>
        <v>89301000</v>
      </c>
      <c r="C2582" s="1">
        <v>44489</v>
      </c>
      <c r="D2582" s="1">
        <v>44504</v>
      </c>
      <c r="E2582">
        <v>1</v>
      </c>
      <c r="F2582" t="s">
        <v>1221</v>
      </c>
      <c r="G2582" t="str">
        <f>"15-K05-02"</f>
        <v>15-K05-02</v>
      </c>
      <c r="H2582">
        <v>1.2017</v>
      </c>
      <c r="I2582" t="s">
        <v>1530</v>
      </c>
      <c r="J2582" t="s">
        <v>1212</v>
      </c>
      <c r="K2582" t="str">
        <f t="shared" si="191"/>
        <v>3F4</v>
      </c>
      <c r="L2582" t="s">
        <v>15</v>
      </c>
    </row>
    <row r="2583" spans="1:12" x14ac:dyDescent="0.25">
      <c r="A2583" t="str">
        <f>"2160200680"</f>
        <v>2160200680</v>
      </c>
      <c r="B2583" t="str">
        <f t="shared" si="190"/>
        <v>89301000</v>
      </c>
      <c r="C2583" s="1">
        <v>44512</v>
      </c>
      <c r="D2583" s="1">
        <v>44531</v>
      </c>
      <c r="E2583">
        <v>1</v>
      </c>
      <c r="F2583" t="s">
        <v>1531</v>
      </c>
      <c r="G2583" t="str">
        <f>"15-K05-01"</f>
        <v>15-K05-01</v>
      </c>
      <c r="H2583">
        <v>2.1966000000000001</v>
      </c>
      <c r="I2583" t="s">
        <v>1532</v>
      </c>
      <c r="J2583" t="s">
        <v>1212</v>
      </c>
      <c r="K2583" t="str">
        <f>"3F1"</f>
        <v>3F1</v>
      </c>
      <c r="L2583" t="s">
        <v>15</v>
      </c>
    </row>
    <row r="2584" spans="1:12" x14ac:dyDescent="0.25">
      <c r="A2584" t="str">
        <f>"2160200735"</f>
        <v>2160200735</v>
      </c>
      <c r="B2584" t="str">
        <f t="shared" si="190"/>
        <v>89301000</v>
      </c>
      <c r="C2584" s="1">
        <v>44489</v>
      </c>
      <c r="D2584" s="1">
        <v>44489</v>
      </c>
      <c r="E2584">
        <v>1</v>
      </c>
      <c r="F2584" t="s">
        <v>1261</v>
      </c>
      <c r="G2584" t="str">
        <f t="shared" ref="G2584:G2589" si="193">"15-K06-04"</f>
        <v>15-K06-04</v>
      </c>
      <c r="H2584">
        <v>0.13739999999999999</v>
      </c>
      <c r="J2584" t="s">
        <v>59</v>
      </c>
      <c r="K2584" t="str">
        <f t="shared" ref="K2584:K2589" si="194">"3F4"</f>
        <v>3F4</v>
      </c>
      <c r="L2584" t="s">
        <v>15</v>
      </c>
    </row>
    <row r="2585" spans="1:12" x14ac:dyDescent="0.25">
      <c r="A2585" t="str">
        <f>"2160210602"</f>
        <v>2160210602</v>
      </c>
      <c r="B2585" t="str">
        <f t="shared" si="190"/>
        <v>89301000</v>
      </c>
      <c r="C2585" s="1">
        <v>44490</v>
      </c>
      <c r="D2585" s="1">
        <v>44493</v>
      </c>
      <c r="E2585">
        <v>1</v>
      </c>
      <c r="F2585" t="s">
        <v>1261</v>
      </c>
      <c r="G2585" t="str">
        <f t="shared" si="193"/>
        <v>15-K06-04</v>
      </c>
      <c r="H2585">
        <v>0.27479999999999999</v>
      </c>
      <c r="J2585" t="s">
        <v>59</v>
      </c>
      <c r="K2585" t="str">
        <f t="shared" si="194"/>
        <v>3F4</v>
      </c>
      <c r="L2585" t="s">
        <v>15</v>
      </c>
    </row>
    <row r="2586" spans="1:12" x14ac:dyDescent="0.25">
      <c r="A2586" t="str">
        <f>"2160210635"</f>
        <v>2160210635</v>
      </c>
      <c r="B2586" t="str">
        <f t="shared" si="190"/>
        <v>89301000</v>
      </c>
      <c r="C2586" s="1">
        <v>44490</v>
      </c>
      <c r="D2586" s="1">
        <v>44494</v>
      </c>
      <c r="E2586">
        <v>1</v>
      </c>
      <c r="F2586" t="s">
        <v>1261</v>
      </c>
      <c r="G2586" t="str">
        <f t="shared" si="193"/>
        <v>15-K06-04</v>
      </c>
      <c r="H2586">
        <v>0.27479999999999999</v>
      </c>
      <c r="J2586" t="s">
        <v>59</v>
      </c>
      <c r="K2586" t="str">
        <f t="shared" si="194"/>
        <v>3F4</v>
      </c>
      <c r="L2586" t="s">
        <v>15</v>
      </c>
    </row>
    <row r="2587" spans="1:12" x14ac:dyDescent="0.25">
      <c r="A2587" t="str">
        <f>"2160210668"</f>
        <v>2160210668</v>
      </c>
      <c r="B2587" t="str">
        <f t="shared" si="190"/>
        <v>89301000</v>
      </c>
      <c r="C2587" s="1">
        <v>44490</v>
      </c>
      <c r="D2587" s="1">
        <v>44494</v>
      </c>
      <c r="E2587">
        <v>1</v>
      </c>
      <c r="F2587" t="s">
        <v>1261</v>
      </c>
      <c r="G2587" t="str">
        <f t="shared" si="193"/>
        <v>15-K06-04</v>
      </c>
      <c r="H2587">
        <v>0.27479999999999999</v>
      </c>
      <c r="J2587" t="s">
        <v>59</v>
      </c>
      <c r="K2587" t="str">
        <f t="shared" si="194"/>
        <v>3F4</v>
      </c>
      <c r="L2587" t="s">
        <v>15</v>
      </c>
    </row>
    <row r="2588" spans="1:12" x14ac:dyDescent="0.25">
      <c r="A2588" t="str">
        <f>"2160220667"</f>
        <v>2160220667</v>
      </c>
      <c r="B2588" t="str">
        <f t="shared" si="190"/>
        <v>89301000</v>
      </c>
      <c r="C2588" s="1">
        <v>44491</v>
      </c>
      <c r="D2588" s="1">
        <v>44494</v>
      </c>
      <c r="E2588">
        <v>1</v>
      </c>
      <c r="F2588" t="s">
        <v>1261</v>
      </c>
      <c r="G2588" t="str">
        <f t="shared" si="193"/>
        <v>15-K06-04</v>
      </c>
      <c r="H2588">
        <v>0.27479999999999999</v>
      </c>
      <c r="J2588" t="s">
        <v>59</v>
      </c>
      <c r="K2588" t="str">
        <f t="shared" si="194"/>
        <v>3F4</v>
      </c>
      <c r="L2588" t="s">
        <v>15</v>
      </c>
    </row>
    <row r="2589" spans="1:12" x14ac:dyDescent="0.25">
      <c r="A2589" t="str">
        <f>"2160240280"</f>
        <v>2160240280</v>
      </c>
      <c r="B2589" t="str">
        <f t="shared" si="190"/>
        <v>89301000</v>
      </c>
      <c r="C2589" s="1">
        <v>44493</v>
      </c>
      <c r="D2589" s="1">
        <v>44495</v>
      </c>
      <c r="E2589">
        <v>1</v>
      </c>
      <c r="F2589" t="s">
        <v>1261</v>
      </c>
      <c r="G2589" t="str">
        <f t="shared" si="193"/>
        <v>15-K06-04</v>
      </c>
      <c r="H2589">
        <v>0.27479999999999999</v>
      </c>
      <c r="J2589" t="s">
        <v>59</v>
      </c>
      <c r="K2589" t="str">
        <f t="shared" si="194"/>
        <v>3F4</v>
      </c>
      <c r="L2589" t="s">
        <v>15</v>
      </c>
    </row>
    <row r="2590" spans="1:12" x14ac:dyDescent="0.25">
      <c r="A2590" t="str">
        <f>"2160240280"</f>
        <v>2160240280</v>
      </c>
      <c r="B2590" t="str">
        <f t="shared" si="190"/>
        <v>89301000</v>
      </c>
      <c r="C2590" s="1">
        <v>44551</v>
      </c>
      <c r="D2590" s="1">
        <v>44553</v>
      </c>
      <c r="E2590">
        <v>1</v>
      </c>
      <c r="F2590" t="s">
        <v>1310</v>
      </c>
      <c r="G2590" t="str">
        <f>"04-K03-03"</f>
        <v>04-K03-03</v>
      </c>
      <c r="H2590">
        <v>0.53180000000000005</v>
      </c>
      <c r="I2590" t="s">
        <v>530</v>
      </c>
      <c r="J2590" t="s">
        <v>14</v>
      </c>
      <c r="K2590" t="str">
        <f>"3F1"</f>
        <v>3F1</v>
      </c>
      <c r="L2590" t="s">
        <v>15</v>
      </c>
    </row>
    <row r="2591" spans="1:12" x14ac:dyDescent="0.25">
      <c r="A2591" t="str">
        <f>"2160240291"</f>
        <v>2160240291</v>
      </c>
      <c r="B2591" t="str">
        <f t="shared" si="190"/>
        <v>89301000</v>
      </c>
      <c r="C2591" s="1">
        <v>44493</v>
      </c>
      <c r="D2591" s="1">
        <v>44496</v>
      </c>
      <c r="E2591">
        <v>1</v>
      </c>
      <c r="F2591" t="s">
        <v>1261</v>
      </c>
      <c r="G2591" t="str">
        <f t="shared" ref="G2591:G2599" si="195">"15-K06-04"</f>
        <v>15-K06-04</v>
      </c>
      <c r="H2591">
        <v>0.27479999999999999</v>
      </c>
      <c r="J2591" t="s">
        <v>59</v>
      </c>
      <c r="K2591" t="str">
        <f t="shared" ref="K2591:K2622" si="196">"3F4"</f>
        <v>3F4</v>
      </c>
      <c r="L2591" t="s">
        <v>15</v>
      </c>
    </row>
    <row r="2592" spans="1:12" x14ac:dyDescent="0.25">
      <c r="A2592" t="str">
        <f>"2160250686"</f>
        <v>2160250686</v>
      </c>
      <c r="B2592" t="str">
        <f t="shared" si="190"/>
        <v>89301000</v>
      </c>
      <c r="C2592" s="1">
        <v>44494</v>
      </c>
      <c r="D2592" s="1">
        <v>44497</v>
      </c>
      <c r="E2592">
        <v>1</v>
      </c>
      <c r="F2592" t="s">
        <v>1261</v>
      </c>
      <c r="G2592" t="str">
        <f t="shared" si="195"/>
        <v>15-K06-04</v>
      </c>
      <c r="H2592">
        <v>0.27479999999999999</v>
      </c>
      <c r="J2592" t="s">
        <v>59</v>
      </c>
      <c r="K2592" t="str">
        <f t="shared" si="196"/>
        <v>3F4</v>
      </c>
      <c r="L2592" t="s">
        <v>15</v>
      </c>
    </row>
    <row r="2593" spans="1:12" x14ac:dyDescent="0.25">
      <c r="A2593" t="str">
        <f>"2160260597"</f>
        <v>2160260597</v>
      </c>
      <c r="B2593" t="str">
        <f t="shared" si="190"/>
        <v>89301000</v>
      </c>
      <c r="C2593" s="1">
        <v>44495</v>
      </c>
      <c r="D2593" s="1">
        <v>44497</v>
      </c>
      <c r="E2593">
        <v>1</v>
      </c>
      <c r="F2593" t="s">
        <v>1261</v>
      </c>
      <c r="G2593" t="str">
        <f t="shared" si="195"/>
        <v>15-K06-04</v>
      </c>
      <c r="H2593">
        <v>0.27479999999999999</v>
      </c>
      <c r="J2593" t="s">
        <v>59</v>
      </c>
      <c r="K2593" t="str">
        <f t="shared" si="196"/>
        <v>3F4</v>
      </c>
      <c r="L2593" t="s">
        <v>15</v>
      </c>
    </row>
    <row r="2594" spans="1:12" x14ac:dyDescent="0.25">
      <c r="A2594" t="str">
        <f>"2160260608"</f>
        <v>2160260608</v>
      </c>
      <c r="B2594" t="str">
        <f t="shared" si="190"/>
        <v>89301000</v>
      </c>
      <c r="C2594" s="1">
        <v>44495</v>
      </c>
      <c r="D2594" s="1">
        <v>44498</v>
      </c>
      <c r="E2594">
        <v>1</v>
      </c>
      <c r="F2594" t="s">
        <v>1261</v>
      </c>
      <c r="G2594" t="str">
        <f t="shared" si="195"/>
        <v>15-K06-04</v>
      </c>
      <c r="H2594">
        <v>0.27479999999999999</v>
      </c>
      <c r="J2594" t="s">
        <v>59</v>
      </c>
      <c r="K2594" t="str">
        <f t="shared" si="196"/>
        <v>3F4</v>
      </c>
      <c r="L2594" t="s">
        <v>15</v>
      </c>
    </row>
    <row r="2595" spans="1:12" x14ac:dyDescent="0.25">
      <c r="A2595" t="str">
        <f>"2160260619"</f>
        <v>2160260619</v>
      </c>
      <c r="B2595" t="str">
        <f t="shared" si="190"/>
        <v>89301000</v>
      </c>
      <c r="C2595" s="1">
        <v>44495</v>
      </c>
      <c r="D2595" s="1">
        <v>44498</v>
      </c>
      <c r="E2595">
        <v>1</v>
      </c>
      <c r="F2595" t="s">
        <v>1261</v>
      </c>
      <c r="G2595" t="str">
        <f t="shared" si="195"/>
        <v>15-K06-04</v>
      </c>
      <c r="H2595">
        <v>0.27479999999999999</v>
      </c>
      <c r="J2595" t="s">
        <v>59</v>
      </c>
      <c r="K2595" t="str">
        <f t="shared" si="196"/>
        <v>3F4</v>
      </c>
      <c r="L2595" t="s">
        <v>15</v>
      </c>
    </row>
    <row r="2596" spans="1:12" x14ac:dyDescent="0.25">
      <c r="A2596" t="str">
        <f>"2160270662"</f>
        <v>2160270662</v>
      </c>
      <c r="B2596" t="str">
        <f t="shared" si="190"/>
        <v>89301000</v>
      </c>
      <c r="C2596" s="1">
        <v>44496</v>
      </c>
      <c r="D2596" s="1">
        <v>44498</v>
      </c>
      <c r="E2596">
        <v>1</v>
      </c>
      <c r="F2596" t="s">
        <v>1261</v>
      </c>
      <c r="G2596" t="str">
        <f t="shared" si="195"/>
        <v>15-K06-04</v>
      </c>
      <c r="H2596">
        <v>0.27479999999999999</v>
      </c>
      <c r="J2596" t="s">
        <v>59</v>
      </c>
      <c r="K2596" t="str">
        <f t="shared" si="196"/>
        <v>3F4</v>
      </c>
      <c r="L2596" t="s">
        <v>15</v>
      </c>
    </row>
    <row r="2597" spans="1:12" x14ac:dyDescent="0.25">
      <c r="A2597" t="str">
        <f>"2160270673"</f>
        <v>2160270673</v>
      </c>
      <c r="B2597" t="str">
        <f t="shared" si="190"/>
        <v>89301000</v>
      </c>
      <c r="C2597" s="1">
        <v>44496</v>
      </c>
      <c r="D2597" s="1">
        <v>44501</v>
      </c>
      <c r="E2597">
        <v>1</v>
      </c>
      <c r="F2597" t="s">
        <v>1261</v>
      </c>
      <c r="G2597" t="str">
        <f t="shared" si="195"/>
        <v>15-K06-04</v>
      </c>
      <c r="H2597">
        <v>0.27479999999999999</v>
      </c>
      <c r="I2597" t="s">
        <v>1264</v>
      </c>
      <c r="J2597" t="s">
        <v>59</v>
      </c>
      <c r="K2597" t="str">
        <f t="shared" si="196"/>
        <v>3F4</v>
      </c>
      <c r="L2597" t="s">
        <v>15</v>
      </c>
    </row>
    <row r="2598" spans="1:12" x14ac:dyDescent="0.25">
      <c r="A2598" t="str">
        <f>"2160280331"</f>
        <v>2160280331</v>
      </c>
      <c r="B2598" t="str">
        <f t="shared" si="190"/>
        <v>89301000</v>
      </c>
      <c r="C2598" s="1">
        <v>44497</v>
      </c>
      <c r="D2598" s="1">
        <v>44500</v>
      </c>
      <c r="E2598">
        <v>1</v>
      </c>
      <c r="F2598" t="s">
        <v>1261</v>
      </c>
      <c r="G2598" t="str">
        <f t="shared" si="195"/>
        <v>15-K06-04</v>
      </c>
      <c r="H2598">
        <v>0.27479999999999999</v>
      </c>
      <c r="J2598" t="s">
        <v>59</v>
      </c>
      <c r="K2598" t="str">
        <f t="shared" si="196"/>
        <v>3F4</v>
      </c>
      <c r="L2598" t="s">
        <v>15</v>
      </c>
    </row>
    <row r="2599" spans="1:12" x14ac:dyDescent="0.25">
      <c r="A2599" t="str">
        <f>"2160300417"</f>
        <v>2160300417</v>
      </c>
      <c r="B2599" t="str">
        <f t="shared" si="190"/>
        <v>89301000</v>
      </c>
      <c r="C2599" s="1">
        <v>44499</v>
      </c>
      <c r="D2599" s="1">
        <v>44502</v>
      </c>
      <c r="E2599">
        <v>1</v>
      </c>
      <c r="F2599" t="s">
        <v>1261</v>
      </c>
      <c r="G2599" t="str">
        <f t="shared" si="195"/>
        <v>15-K06-04</v>
      </c>
      <c r="H2599">
        <v>0.27479999999999999</v>
      </c>
      <c r="I2599" t="s">
        <v>1319</v>
      </c>
      <c r="J2599" t="s">
        <v>59</v>
      </c>
      <c r="K2599" t="str">
        <f t="shared" si="196"/>
        <v>3F4</v>
      </c>
      <c r="L2599" t="s">
        <v>15</v>
      </c>
    </row>
    <row r="2600" spans="1:12" x14ac:dyDescent="0.25">
      <c r="A2600" t="str">
        <f>"2160300428"</f>
        <v>2160300428</v>
      </c>
      <c r="B2600" t="str">
        <f t="shared" si="190"/>
        <v>89301000</v>
      </c>
      <c r="C2600" s="1">
        <v>44499</v>
      </c>
      <c r="D2600" s="1">
        <v>44501</v>
      </c>
      <c r="E2600">
        <v>1</v>
      </c>
      <c r="F2600" t="s">
        <v>1346</v>
      </c>
      <c r="G2600" t="str">
        <f>"15-K07-03"</f>
        <v>15-K07-03</v>
      </c>
      <c r="H2600">
        <v>0.53959999999999997</v>
      </c>
      <c r="I2600" t="s">
        <v>1261</v>
      </c>
      <c r="J2600" t="s">
        <v>59</v>
      </c>
      <c r="K2600" t="str">
        <f t="shared" si="196"/>
        <v>3F4</v>
      </c>
      <c r="L2600" t="s">
        <v>15</v>
      </c>
    </row>
    <row r="2601" spans="1:12" x14ac:dyDescent="0.25">
      <c r="A2601" t="str">
        <f>"2160300461"</f>
        <v>2160300461</v>
      </c>
      <c r="B2601" t="str">
        <f t="shared" ref="B2601:B2664" si="197">"89301000"</f>
        <v>89301000</v>
      </c>
      <c r="C2601" s="1">
        <v>44499</v>
      </c>
      <c r="D2601" s="1">
        <v>44501</v>
      </c>
      <c r="E2601">
        <v>1</v>
      </c>
      <c r="F2601" t="s">
        <v>1261</v>
      </c>
      <c r="G2601" t="str">
        <f>"15-K06-04"</f>
        <v>15-K06-04</v>
      </c>
      <c r="H2601">
        <v>0.27479999999999999</v>
      </c>
      <c r="J2601" t="s">
        <v>59</v>
      </c>
      <c r="K2601" t="str">
        <f t="shared" si="196"/>
        <v>3F4</v>
      </c>
      <c r="L2601" t="s">
        <v>15</v>
      </c>
    </row>
    <row r="2602" spans="1:12" x14ac:dyDescent="0.25">
      <c r="A2602" t="str">
        <f>"2160310361"</f>
        <v>2160310361</v>
      </c>
      <c r="B2602" t="str">
        <f t="shared" si="197"/>
        <v>89301000</v>
      </c>
      <c r="C2602" s="1">
        <v>44500</v>
      </c>
      <c r="D2602" s="1">
        <v>44503</v>
      </c>
      <c r="E2602">
        <v>1</v>
      </c>
      <c r="F2602" t="s">
        <v>1261</v>
      </c>
      <c r="G2602" t="str">
        <f>"15-K06-04"</f>
        <v>15-K06-04</v>
      </c>
      <c r="H2602">
        <v>0.27479999999999999</v>
      </c>
      <c r="J2602" t="s">
        <v>59</v>
      </c>
      <c r="K2602" t="str">
        <f t="shared" si="196"/>
        <v>3F4</v>
      </c>
      <c r="L2602" t="s">
        <v>15</v>
      </c>
    </row>
    <row r="2603" spans="1:12" x14ac:dyDescent="0.25">
      <c r="A2603" t="str">
        <f>"2161020026"</f>
        <v>2161020026</v>
      </c>
      <c r="B2603" t="str">
        <f t="shared" si="197"/>
        <v>89301000</v>
      </c>
      <c r="C2603" s="1">
        <v>44502</v>
      </c>
      <c r="D2603" s="1">
        <v>44504</v>
      </c>
      <c r="E2603">
        <v>1</v>
      </c>
      <c r="F2603" t="s">
        <v>1261</v>
      </c>
      <c r="G2603" t="str">
        <f>"15-K06-04"</f>
        <v>15-K06-04</v>
      </c>
      <c r="H2603">
        <v>0.27479999999999999</v>
      </c>
      <c r="I2603" t="s">
        <v>1304</v>
      </c>
      <c r="J2603" t="s">
        <v>59</v>
      </c>
      <c r="K2603" t="str">
        <f t="shared" si="196"/>
        <v>3F4</v>
      </c>
      <c r="L2603" t="s">
        <v>15</v>
      </c>
    </row>
    <row r="2604" spans="1:12" x14ac:dyDescent="0.25">
      <c r="A2604" t="str">
        <f>"2161020488"</f>
        <v>2161020488</v>
      </c>
      <c r="B2604" t="str">
        <f t="shared" si="197"/>
        <v>89301000</v>
      </c>
      <c r="C2604" s="1">
        <v>44502</v>
      </c>
      <c r="D2604" s="1">
        <v>44504</v>
      </c>
      <c r="E2604">
        <v>1</v>
      </c>
      <c r="F2604" t="s">
        <v>1261</v>
      </c>
      <c r="G2604" t="str">
        <f>"15-K06-04"</f>
        <v>15-K06-04</v>
      </c>
      <c r="H2604">
        <v>0.27479999999999999</v>
      </c>
      <c r="I2604" t="s">
        <v>1304</v>
      </c>
      <c r="J2604" t="s">
        <v>59</v>
      </c>
      <c r="K2604" t="str">
        <f t="shared" si="196"/>
        <v>3F4</v>
      </c>
      <c r="L2604" t="s">
        <v>15</v>
      </c>
    </row>
    <row r="2605" spans="1:12" x14ac:dyDescent="0.25">
      <c r="A2605" t="str">
        <f>"2161020521"</f>
        <v>2161020521</v>
      </c>
      <c r="B2605" t="str">
        <f t="shared" si="197"/>
        <v>89301000</v>
      </c>
      <c r="C2605" s="1">
        <v>44502</v>
      </c>
      <c r="D2605" s="1">
        <v>44510</v>
      </c>
      <c r="E2605">
        <v>1</v>
      </c>
      <c r="F2605" t="s">
        <v>1261</v>
      </c>
      <c r="G2605" t="str">
        <f>"15-K06-02"</f>
        <v>15-K06-02</v>
      </c>
      <c r="H2605">
        <v>0.59770000000000001</v>
      </c>
      <c r="I2605" t="s">
        <v>1354</v>
      </c>
      <c r="J2605" t="s">
        <v>59</v>
      </c>
      <c r="K2605" t="str">
        <f t="shared" si="196"/>
        <v>3F4</v>
      </c>
      <c r="L2605" t="s">
        <v>15</v>
      </c>
    </row>
    <row r="2606" spans="1:12" x14ac:dyDescent="0.25">
      <c r="A2606" t="str">
        <f>"2161020521"</f>
        <v>2161020521</v>
      </c>
      <c r="B2606" t="str">
        <f t="shared" si="197"/>
        <v>89301000</v>
      </c>
      <c r="C2606" s="1">
        <v>44553</v>
      </c>
      <c r="D2606" s="1">
        <v>44554</v>
      </c>
      <c r="E2606">
        <v>1</v>
      </c>
      <c r="F2606" t="s">
        <v>1262</v>
      </c>
      <c r="G2606" t="str">
        <f>"23-K03-02"</f>
        <v>23-K03-02</v>
      </c>
      <c r="H2606">
        <v>0.35449999999999998</v>
      </c>
      <c r="J2606" t="s">
        <v>14</v>
      </c>
      <c r="K2606" t="str">
        <f t="shared" si="196"/>
        <v>3F4</v>
      </c>
      <c r="L2606" t="s">
        <v>15</v>
      </c>
    </row>
    <row r="2607" spans="1:12" x14ac:dyDescent="0.25">
      <c r="A2607" t="str">
        <f>"2161030047"</f>
        <v>2161030047</v>
      </c>
      <c r="B2607" t="str">
        <f t="shared" si="197"/>
        <v>89301000</v>
      </c>
      <c r="C2607" s="1">
        <v>44503</v>
      </c>
      <c r="D2607" s="1">
        <v>44505</v>
      </c>
      <c r="E2607">
        <v>1</v>
      </c>
      <c r="F2607" t="s">
        <v>1261</v>
      </c>
      <c r="G2607" t="str">
        <f>"15-K06-04"</f>
        <v>15-K06-04</v>
      </c>
      <c r="H2607">
        <v>0.27479999999999999</v>
      </c>
      <c r="I2607" t="s">
        <v>1484</v>
      </c>
      <c r="J2607" t="s">
        <v>59</v>
      </c>
      <c r="K2607" t="str">
        <f t="shared" si="196"/>
        <v>3F4</v>
      </c>
      <c r="L2607" t="s">
        <v>15</v>
      </c>
    </row>
    <row r="2608" spans="1:12" x14ac:dyDescent="0.25">
      <c r="A2608" t="str">
        <f>"2161030498"</f>
        <v>2161030498</v>
      </c>
      <c r="B2608" t="str">
        <f t="shared" si="197"/>
        <v>89301000</v>
      </c>
      <c r="C2608" s="1">
        <v>44503</v>
      </c>
      <c r="D2608" s="1">
        <v>44508</v>
      </c>
      <c r="E2608">
        <v>1</v>
      </c>
      <c r="F2608" t="s">
        <v>1261</v>
      </c>
      <c r="G2608" t="str">
        <f>"15-K05-03"</f>
        <v>15-K05-03</v>
      </c>
      <c r="H2608">
        <v>0.62380000000000002</v>
      </c>
      <c r="I2608" t="s">
        <v>1276</v>
      </c>
      <c r="J2608" t="s">
        <v>1212</v>
      </c>
      <c r="K2608" t="str">
        <f t="shared" si="196"/>
        <v>3F4</v>
      </c>
      <c r="L2608" t="s">
        <v>15</v>
      </c>
    </row>
    <row r="2609" spans="1:12" x14ac:dyDescent="0.25">
      <c r="A2609" t="str">
        <f>"2161030531"</f>
        <v>2161030531</v>
      </c>
      <c r="B2609" t="str">
        <f t="shared" si="197"/>
        <v>89301000</v>
      </c>
      <c r="C2609" s="1">
        <v>44503</v>
      </c>
      <c r="D2609" s="1">
        <v>44506</v>
      </c>
      <c r="E2609">
        <v>1</v>
      </c>
      <c r="F2609" t="s">
        <v>1261</v>
      </c>
      <c r="G2609" t="str">
        <f>"15-K06-04"</f>
        <v>15-K06-04</v>
      </c>
      <c r="H2609">
        <v>0.27479999999999999</v>
      </c>
      <c r="J2609" t="s">
        <v>59</v>
      </c>
      <c r="K2609" t="str">
        <f t="shared" si="196"/>
        <v>3F4</v>
      </c>
      <c r="L2609" t="s">
        <v>15</v>
      </c>
    </row>
    <row r="2610" spans="1:12" x14ac:dyDescent="0.25">
      <c r="A2610" t="str">
        <f>"2161030531"</f>
        <v>2161030531</v>
      </c>
      <c r="B2610" t="str">
        <f t="shared" si="197"/>
        <v>89301000</v>
      </c>
      <c r="C2610" s="1">
        <v>44509</v>
      </c>
      <c r="D2610" s="1">
        <v>44510</v>
      </c>
      <c r="E2610">
        <v>1</v>
      </c>
      <c r="F2610" t="s">
        <v>1262</v>
      </c>
      <c r="G2610" t="str">
        <f>"99-K03-00"</f>
        <v>99-K03-00</v>
      </c>
      <c r="H2610">
        <v>0.11459999999999999</v>
      </c>
      <c r="J2610" t="s">
        <v>14</v>
      </c>
      <c r="K2610" t="str">
        <f t="shared" si="196"/>
        <v>3F4</v>
      </c>
      <c r="L2610" t="s">
        <v>15</v>
      </c>
    </row>
    <row r="2611" spans="1:12" x14ac:dyDescent="0.25">
      <c r="A2611" t="str">
        <f>"2161030542"</f>
        <v>2161030542</v>
      </c>
      <c r="B2611" t="str">
        <f t="shared" si="197"/>
        <v>89301000</v>
      </c>
      <c r="C2611" s="1">
        <v>44503</v>
      </c>
      <c r="D2611" s="1">
        <v>44506</v>
      </c>
      <c r="E2611">
        <v>1</v>
      </c>
      <c r="F2611" t="s">
        <v>1261</v>
      </c>
      <c r="G2611" t="str">
        <f t="shared" ref="G2611:G2616" si="198">"15-K06-04"</f>
        <v>15-K06-04</v>
      </c>
      <c r="H2611">
        <v>0.27479999999999999</v>
      </c>
      <c r="J2611" t="s">
        <v>59</v>
      </c>
      <c r="K2611" t="str">
        <f t="shared" si="196"/>
        <v>3F4</v>
      </c>
      <c r="L2611" t="s">
        <v>15</v>
      </c>
    </row>
    <row r="2612" spans="1:12" x14ac:dyDescent="0.25">
      <c r="A2612" t="str">
        <f>"2161040651"</f>
        <v>2161040651</v>
      </c>
      <c r="B2612" t="str">
        <f t="shared" si="197"/>
        <v>89301000</v>
      </c>
      <c r="C2612" s="1">
        <v>44504</v>
      </c>
      <c r="D2612" s="1">
        <v>44508</v>
      </c>
      <c r="E2612">
        <v>1</v>
      </c>
      <c r="F2612" t="s">
        <v>1261</v>
      </c>
      <c r="G2612" t="str">
        <f t="shared" si="198"/>
        <v>15-K06-04</v>
      </c>
      <c r="H2612">
        <v>0.27479999999999999</v>
      </c>
      <c r="J2612" t="s">
        <v>59</v>
      </c>
      <c r="K2612" t="str">
        <f t="shared" si="196"/>
        <v>3F4</v>
      </c>
      <c r="L2612" t="s">
        <v>15</v>
      </c>
    </row>
    <row r="2613" spans="1:12" x14ac:dyDescent="0.25">
      <c r="A2613" t="str">
        <f>"2161040662"</f>
        <v>2161040662</v>
      </c>
      <c r="B2613" t="str">
        <f t="shared" si="197"/>
        <v>89301000</v>
      </c>
      <c r="C2613" s="1">
        <v>44504</v>
      </c>
      <c r="D2613" s="1">
        <v>44507</v>
      </c>
      <c r="E2613">
        <v>1</v>
      </c>
      <c r="F2613" t="s">
        <v>1261</v>
      </c>
      <c r="G2613" t="str">
        <f t="shared" si="198"/>
        <v>15-K06-04</v>
      </c>
      <c r="H2613">
        <v>0.27479999999999999</v>
      </c>
      <c r="I2613" t="s">
        <v>1304</v>
      </c>
      <c r="J2613" t="s">
        <v>59</v>
      </c>
      <c r="K2613" t="str">
        <f t="shared" si="196"/>
        <v>3F4</v>
      </c>
      <c r="L2613" t="s">
        <v>15</v>
      </c>
    </row>
    <row r="2614" spans="1:12" x14ac:dyDescent="0.25">
      <c r="A2614" t="str">
        <f>"2161050628"</f>
        <v>2161050628</v>
      </c>
      <c r="B2614" t="str">
        <f t="shared" si="197"/>
        <v>89301000</v>
      </c>
      <c r="C2614" s="1">
        <v>44505</v>
      </c>
      <c r="D2614" s="1">
        <v>44507</v>
      </c>
      <c r="E2614">
        <v>1</v>
      </c>
      <c r="F2614" t="s">
        <v>1261</v>
      </c>
      <c r="G2614" t="str">
        <f t="shared" si="198"/>
        <v>15-K06-04</v>
      </c>
      <c r="H2614">
        <v>0.27479999999999999</v>
      </c>
      <c r="I2614" t="s">
        <v>1533</v>
      </c>
      <c r="J2614" t="s">
        <v>59</v>
      </c>
      <c r="K2614" t="str">
        <f t="shared" si="196"/>
        <v>3F4</v>
      </c>
      <c r="L2614" t="s">
        <v>15</v>
      </c>
    </row>
    <row r="2615" spans="1:12" x14ac:dyDescent="0.25">
      <c r="A2615" t="str">
        <f>"2161050683"</f>
        <v>2161050683</v>
      </c>
      <c r="B2615" t="str">
        <f t="shared" si="197"/>
        <v>89301000</v>
      </c>
      <c r="C2615" s="1">
        <v>44505</v>
      </c>
      <c r="D2615" s="1">
        <v>44508</v>
      </c>
      <c r="E2615">
        <v>1</v>
      </c>
      <c r="F2615" t="s">
        <v>1261</v>
      </c>
      <c r="G2615" t="str">
        <f t="shared" si="198"/>
        <v>15-K06-04</v>
      </c>
      <c r="H2615">
        <v>0.27479999999999999</v>
      </c>
      <c r="J2615" t="s">
        <v>59</v>
      </c>
      <c r="K2615" t="str">
        <f t="shared" si="196"/>
        <v>3F4</v>
      </c>
      <c r="L2615" t="s">
        <v>15</v>
      </c>
    </row>
    <row r="2616" spans="1:12" x14ac:dyDescent="0.25">
      <c r="A2616" t="str">
        <f>"2161070450"</f>
        <v>2161070450</v>
      </c>
      <c r="B2616" t="str">
        <f t="shared" si="197"/>
        <v>89301000</v>
      </c>
      <c r="C2616" s="1">
        <v>44507</v>
      </c>
      <c r="D2616" s="1">
        <v>44510</v>
      </c>
      <c r="E2616">
        <v>1</v>
      </c>
      <c r="F2616" t="s">
        <v>1261</v>
      </c>
      <c r="G2616" t="str">
        <f t="shared" si="198"/>
        <v>15-K06-04</v>
      </c>
      <c r="H2616">
        <v>0.27479999999999999</v>
      </c>
      <c r="I2616" t="s">
        <v>1269</v>
      </c>
      <c r="J2616" t="s">
        <v>59</v>
      </c>
      <c r="K2616" t="str">
        <f t="shared" si="196"/>
        <v>3F4</v>
      </c>
      <c r="L2616" t="s">
        <v>15</v>
      </c>
    </row>
    <row r="2617" spans="1:12" x14ac:dyDescent="0.25">
      <c r="A2617" t="str">
        <f>"2161080559"</f>
        <v>2161080559</v>
      </c>
      <c r="B2617" t="str">
        <f t="shared" si="197"/>
        <v>89301000</v>
      </c>
      <c r="C2617" s="1">
        <v>44508</v>
      </c>
      <c r="D2617" s="1">
        <v>44515</v>
      </c>
      <c r="E2617">
        <v>1</v>
      </c>
      <c r="F2617" t="s">
        <v>1221</v>
      </c>
      <c r="G2617" t="str">
        <f>"15-K07-03"</f>
        <v>15-K07-03</v>
      </c>
      <c r="H2617">
        <v>0.53959999999999997</v>
      </c>
      <c r="I2617" t="s">
        <v>1264</v>
      </c>
      <c r="J2617" t="s">
        <v>59</v>
      </c>
      <c r="K2617" t="str">
        <f t="shared" si="196"/>
        <v>3F4</v>
      </c>
      <c r="L2617" t="s">
        <v>15</v>
      </c>
    </row>
    <row r="2618" spans="1:12" x14ac:dyDescent="0.25">
      <c r="A2618" t="str">
        <f>"2161080559"</f>
        <v>2161080559</v>
      </c>
      <c r="B2618" t="str">
        <f t="shared" si="197"/>
        <v>89301000</v>
      </c>
      <c r="C2618" s="1">
        <v>44519</v>
      </c>
      <c r="D2618" s="1">
        <v>44521</v>
      </c>
      <c r="E2618">
        <v>1</v>
      </c>
      <c r="F2618" t="s">
        <v>1258</v>
      </c>
      <c r="G2618" t="str">
        <f>"15-K07-02"</f>
        <v>15-K07-02</v>
      </c>
      <c r="H2618">
        <v>1.0072000000000001</v>
      </c>
      <c r="I2618" t="s">
        <v>1221</v>
      </c>
      <c r="J2618" t="s">
        <v>59</v>
      </c>
      <c r="K2618" t="str">
        <f t="shared" si="196"/>
        <v>3F4</v>
      </c>
      <c r="L2618" t="s">
        <v>15</v>
      </c>
    </row>
    <row r="2619" spans="1:12" x14ac:dyDescent="0.25">
      <c r="A2619" t="str">
        <f>"2161091306"</f>
        <v>2161091306</v>
      </c>
      <c r="B2619" t="str">
        <f t="shared" si="197"/>
        <v>89301000</v>
      </c>
      <c r="C2619" s="1">
        <v>44509</v>
      </c>
      <c r="D2619" s="1">
        <v>44514</v>
      </c>
      <c r="E2619">
        <v>1</v>
      </c>
      <c r="F2619" t="s">
        <v>1484</v>
      </c>
      <c r="G2619" t="str">
        <f>"15-K07-03"</f>
        <v>15-K07-03</v>
      </c>
      <c r="H2619">
        <v>0.53959999999999997</v>
      </c>
      <c r="I2619" t="s">
        <v>1261</v>
      </c>
      <c r="J2619" t="s">
        <v>59</v>
      </c>
      <c r="K2619" t="str">
        <f t="shared" si="196"/>
        <v>3F4</v>
      </c>
      <c r="L2619" t="s">
        <v>15</v>
      </c>
    </row>
    <row r="2620" spans="1:12" x14ac:dyDescent="0.25">
      <c r="A2620" t="str">
        <f>"2161100700"</f>
        <v>2161100700</v>
      </c>
      <c r="B2620" t="str">
        <f t="shared" si="197"/>
        <v>89301000</v>
      </c>
      <c r="C2620" s="1">
        <v>44510</v>
      </c>
      <c r="D2620" s="1">
        <v>44514</v>
      </c>
      <c r="E2620">
        <v>1</v>
      </c>
      <c r="F2620" t="s">
        <v>1261</v>
      </c>
      <c r="G2620" t="str">
        <f>"15-K06-04"</f>
        <v>15-K06-04</v>
      </c>
      <c r="H2620">
        <v>0.27479999999999999</v>
      </c>
      <c r="J2620" t="s">
        <v>59</v>
      </c>
      <c r="K2620" t="str">
        <f t="shared" si="196"/>
        <v>3F4</v>
      </c>
      <c r="L2620" t="s">
        <v>15</v>
      </c>
    </row>
    <row r="2621" spans="1:12" x14ac:dyDescent="0.25">
      <c r="A2621" t="str">
        <f>"2161100711"</f>
        <v>2161100711</v>
      </c>
      <c r="B2621" t="str">
        <f t="shared" si="197"/>
        <v>89301000</v>
      </c>
      <c r="C2621" s="1">
        <v>44510</v>
      </c>
      <c r="D2621" s="1">
        <v>44514</v>
      </c>
      <c r="E2621">
        <v>1</v>
      </c>
      <c r="F2621" t="s">
        <v>1261</v>
      </c>
      <c r="G2621" t="str">
        <f>"15-K06-04"</f>
        <v>15-K06-04</v>
      </c>
      <c r="H2621">
        <v>0.27479999999999999</v>
      </c>
      <c r="J2621" t="s">
        <v>59</v>
      </c>
      <c r="K2621" t="str">
        <f t="shared" si="196"/>
        <v>3F4</v>
      </c>
      <c r="L2621" t="s">
        <v>15</v>
      </c>
    </row>
    <row r="2622" spans="1:12" x14ac:dyDescent="0.25">
      <c r="A2622" t="str">
        <f>"2161120599"</f>
        <v>2161120599</v>
      </c>
      <c r="B2622" t="str">
        <f t="shared" si="197"/>
        <v>89301000</v>
      </c>
      <c r="C2622" s="1">
        <v>44512</v>
      </c>
      <c r="D2622" s="1">
        <v>44515</v>
      </c>
      <c r="E2622">
        <v>1</v>
      </c>
      <c r="F2622" t="s">
        <v>1261</v>
      </c>
      <c r="G2622" t="str">
        <f>"15-K06-04"</f>
        <v>15-K06-04</v>
      </c>
      <c r="H2622">
        <v>0.27479999999999999</v>
      </c>
      <c r="J2622" t="s">
        <v>59</v>
      </c>
      <c r="K2622" t="str">
        <f t="shared" si="196"/>
        <v>3F4</v>
      </c>
      <c r="L2622" t="s">
        <v>15</v>
      </c>
    </row>
    <row r="2623" spans="1:12" x14ac:dyDescent="0.25">
      <c r="A2623" t="str">
        <f>"2161150541"</f>
        <v>2161150541</v>
      </c>
      <c r="B2623" t="str">
        <f t="shared" si="197"/>
        <v>89301000</v>
      </c>
      <c r="C2623" s="1">
        <v>44515</v>
      </c>
      <c r="D2623" s="1">
        <v>44518</v>
      </c>
      <c r="E2623">
        <v>1</v>
      </c>
      <c r="F2623" t="s">
        <v>1261</v>
      </c>
      <c r="G2623" t="str">
        <f>"15-K05-03"</f>
        <v>15-K05-03</v>
      </c>
      <c r="H2623">
        <v>0.62380000000000002</v>
      </c>
      <c r="I2623" t="s">
        <v>1312</v>
      </c>
      <c r="J2623" t="s">
        <v>1212</v>
      </c>
      <c r="K2623" t="str">
        <f t="shared" ref="K2623:K2654" si="199">"3F4"</f>
        <v>3F4</v>
      </c>
      <c r="L2623" t="s">
        <v>15</v>
      </c>
    </row>
    <row r="2624" spans="1:12" x14ac:dyDescent="0.25">
      <c r="A2624" t="str">
        <f>"2161150552"</f>
        <v>2161150552</v>
      </c>
      <c r="B2624" t="str">
        <f t="shared" si="197"/>
        <v>89301000</v>
      </c>
      <c r="C2624" s="1">
        <v>44515</v>
      </c>
      <c r="D2624" s="1">
        <v>44518</v>
      </c>
      <c r="E2624">
        <v>1</v>
      </c>
      <c r="F2624" t="s">
        <v>1261</v>
      </c>
      <c r="G2624" t="str">
        <f>"15-K06-04"</f>
        <v>15-K06-04</v>
      </c>
      <c r="H2624">
        <v>0.27479999999999999</v>
      </c>
      <c r="J2624" t="s">
        <v>59</v>
      </c>
      <c r="K2624" t="str">
        <f t="shared" si="199"/>
        <v>3F4</v>
      </c>
      <c r="L2624" t="s">
        <v>15</v>
      </c>
    </row>
    <row r="2625" spans="1:12" x14ac:dyDescent="0.25">
      <c r="A2625" t="str">
        <f>"2161160056"</f>
        <v>2161160056</v>
      </c>
      <c r="B2625" t="str">
        <f t="shared" si="197"/>
        <v>89301000</v>
      </c>
      <c r="C2625" s="1">
        <v>44516</v>
      </c>
      <c r="D2625" s="1">
        <v>44521</v>
      </c>
      <c r="E2625">
        <v>1</v>
      </c>
      <c r="F2625" t="s">
        <v>1261</v>
      </c>
      <c r="G2625" t="str">
        <f>"15-K06-02"</f>
        <v>15-K06-02</v>
      </c>
      <c r="H2625">
        <v>0.59770000000000001</v>
      </c>
      <c r="I2625" t="s">
        <v>1534</v>
      </c>
      <c r="J2625" t="s">
        <v>59</v>
      </c>
      <c r="K2625" t="str">
        <f t="shared" si="199"/>
        <v>3F4</v>
      </c>
      <c r="L2625" t="s">
        <v>15</v>
      </c>
    </row>
    <row r="2626" spans="1:12" x14ac:dyDescent="0.25">
      <c r="A2626" t="str">
        <f>"2161160584"</f>
        <v>2161160584</v>
      </c>
      <c r="B2626" t="str">
        <f t="shared" si="197"/>
        <v>89301000</v>
      </c>
      <c r="C2626" s="1">
        <v>44516</v>
      </c>
      <c r="D2626" s="1">
        <v>44523</v>
      </c>
      <c r="E2626">
        <v>1</v>
      </c>
      <c r="F2626" t="s">
        <v>1261</v>
      </c>
      <c r="G2626" t="str">
        <f>"15-M01-13"</f>
        <v>15-M01-13</v>
      </c>
      <c r="H2626">
        <v>2.5091999999999999</v>
      </c>
      <c r="I2626" t="s">
        <v>1535</v>
      </c>
      <c r="J2626" t="s">
        <v>1212</v>
      </c>
      <c r="K2626" t="str">
        <f t="shared" si="199"/>
        <v>3F4</v>
      </c>
      <c r="L2626" t="s">
        <v>15</v>
      </c>
    </row>
    <row r="2627" spans="1:12" x14ac:dyDescent="0.25">
      <c r="A2627" t="str">
        <f>"2161160595"</f>
        <v>2161160595</v>
      </c>
      <c r="B2627" t="str">
        <f t="shared" si="197"/>
        <v>89301000</v>
      </c>
      <c r="C2627" s="1">
        <v>44516</v>
      </c>
      <c r="D2627" s="1">
        <v>44519</v>
      </c>
      <c r="E2627">
        <v>1</v>
      </c>
      <c r="F2627" t="s">
        <v>1261</v>
      </c>
      <c r="G2627" t="str">
        <f>"15-K06-04"</f>
        <v>15-K06-04</v>
      </c>
      <c r="H2627">
        <v>0.27479999999999999</v>
      </c>
      <c r="J2627" t="s">
        <v>59</v>
      </c>
      <c r="K2627" t="str">
        <f t="shared" si="199"/>
        <v>3F4</v>
      </c>
      <c r="L2627" t="s">
        <v>15</v>
      </c>
    </row>
    <row r="2628" spans="1:12" x14ac:dyDescent="0.25">
      <c r="A2628" t="str">
        <f>"2161180527"</f>
        <v>2161180527</v>
      </c>
      <c r="B2628" t="str">
        <f t="shared" si="197"/>
        <v>89301000</v>
      </c>
      <c r="C2628" s="1">
        <v>44518</v>
      </c>
      <c r="D2628" s="1">
        <v>44521</v>
      </c>
      <c r="E2628">
        <v>1</v>
      </c>
      <c r="F2628" t="s">
        <v>1261</v>
      </c>
      <c r="G2628" t="str">
        <f>"15-K06-04"</f>
        <v>15-K06-04</v>
      </c>
      <c r="H2628">
        <v>0.27479999999999999</v>
      </c>
      <c r="I2628" t="s">
        <v>1536</v>
      </c>
      <c r="J2628" t="s">
        <v>59</v>
      </c>
      <c r="K2628" t="str">
        <f t="shared" si="199"/>
        <v>3F4</v>
      </c>
      <c r="L2628" t="s">
        <v>15</v>
      </c>
    </row>
    <row r="2629" spans="1:12" x14ac:dyDescent="0.25">
      <c r="A2629" t="str">
        <f>"2161190537"</f>
        <v>2161190537</v>
      </c>
      <c r="B2629" t="str">
        <f t="shared" si="197"/>
        <v>89301000</v>
      </c>
      <c r="C2629" s="1">
        <v>44519</v>
      </c>
      <c r="D2629" s="1">
        <v>44522</v>
      </c>
      <c r="E2629">
        <v>1</v>
      </c>
      <c r="F2629" t="s">
        <v>1261</v>
      </c>
      <c r="G2629" t="str">
        <f>"15-K06-04"</f>
        <v>15-K06-04</v>
      </c>
      <c r="H2629">
        <v>0.27479999999999999</v>
      </c>
      <c r="J2629" t="s">
        <v>59</v>
      </c>
      <c r="K2629" t="str">
        <f t="shared" si="199"/>
        <v>3F4</v>
      </c>
      <c r="L2629" t="s">
        <v>15</v>
      </c>
    </row>
    <row r="2630" spans="1:12" x14ac:dyDescent="0.25">
      <c r="A2630" t="str">
        <f>"2161200360"</f>
        <v>2161200360</v>
      </c>
      <c r="B2630" t="str">
        <f t="shared" si="197"/>
        <v>89301000</v>
      </c>
      <c r="C2630" s="1">
        <v>44520</v>
      </c>
      <c r="D2630" s="1">
        <v>44523</v>
      </c>
      <c r="E2630">
        <v>1</v>
      </c>
      <c r="F2630" t="s">
        <v>1261</v>
      </c>
      <c r="G2630" t="str">
        <f>"15-K06-04"</f>
        <v>15-K06-04</v>
      </c>
      <c r="H2630">
        <v>0.27479999999999999</v>
      </c>
      <c r="J2630" t="s">
        <v>59</v>
      </c>
      <c r="K2630" t="str">
        <f t="shared" si="199"/>
        <v>3F4</v>
      </c>
      <c r="L2630" t="s">
        <v>15</v>
      </c>
    </row>
    <row r="2631" spans="1:12" x14ac:dyDescent="0.25">
      <c r="A2631" t="str">
        <f>"2161210381"</f>
        <v>2161210381</v>
      </c>
      <c r="B2631" t="str">
        <f t="shared" si="197"/>
        <v>89301000</v>
      </c>
      <c r="C2631" s="1">
        <v>44521</v>
      </c>
      <c r="D2631" s="1">
        <v>44523</v>
      </c>
      <c r="E2631">
        <v>1</v>
      </c>
      <c r="F2631" t="s">
        <v>1261</v>
      </c>
      <c r="G2631" t="str">
        <f>"15-K06-04"</f>
        <v>15-K06-04</v>
      </c>
      <c r="H2631">
        <v>0.27479999999999999</v>
      </c>
      <c r="I2631" t="s">
        <v>1264</v>
      </c>
      <c r="J2631" t="s">
        <v>59</v>
      </c>
      <c r="K2631" t="str">
        <f t="shared" si="199"/>
        <v>3F4</v>
      </c>
      <c r="L2631" t="s">
        <v>15</v>
      </c>
    </row>
    <row r="2632" spans="1:12" x14ac:dyDescent="0.25">
      <c r="A2632" t="str">
        <f>"2161220105"</f>
        <v>2161220105</v>
      </c>
      <c r="B2632" t="str">
        <f t="shared" si="197"/>
        <v>89301000</v>
      </c>
      <c r="C2632" s="1">
        <v>44522</v>
      </c>
      <c r="D2632" s="1">
        <v>44540</v>
      </c>
      <c r="E2632">
        <v>1</v>
      </c>
      <c r="F2632" t="s">
        <v>1261</v>
      </c>
      <c r="G2632" t="str">
        <f>"15-K04-02"</f>
        <v>15-K04-02</v>
      </c>
      <c r="H2632">
        <v>2.2848999999999999</v>
      </c>
      <c r="I2632" t="s">
        <v>1301</v>
      </c>
      <c r="J2632" t="s">
        <v>1212</v>
      </c>
      <c r="K2632" t="str">
        <f t="shared" si="199"/>
        <v>3F4</v>
      </c>
      <c r="L2632" t="s">
        <v>15</v>
      </c>
    </row>
    <row r="2633" spans="1:12" x14ac:dyDescent="0.25">
      <c r="A2633" t="str">
        <f>"2161220644"</f>
        <v>2161220644</v>
      </c>
      <c r="B2633" t="str">
        <f t="shared" si="197"/>
        <v>89301000</v>
      </c>
      <c r="C2633" s="1">
        <v>44522</v>
      </c>
      <c r="D2633" s="1">
        <v>44526</v>
      </c>
      <c r="E2633">
        <v>1</v>
      </c>
      <c r="F2633" t="s">
        <v>1261</v>
      </c>
      <c r="G2633" t="str">
        <f>"15-K06-04"</f>
        <v>15-K06-04</v>
      </c>
      <c r="H2633">
        <v>0.27479999999999999</v>
      </c>
      <c r="J2633" t="s">
        <v>59</v>
      </c>
      <c r="K2633" t="str">
        <f t="shared" si="199"/>
        <v>3F4</v>
      </c>
      <c r="L2633" t="s">
        <v>15</v>
      </c>
    </row>
    <row r="2634" spans="1:12" x14ac:dyDescent="0.25">
      <c r="A2634" t="str">
        <f>"2161220666"</f>
        <v>2161220666</v>
      </c>
      <c r="B2634" t="str">
        <f t="shared" si="197"/>
        <v>89301000</v>
      </c>
      <c r="C2634" s="1">
        <v>44522</v>
      </c>
      <c r="D2634" s="1">
        <v>44526</v>
      </c>
      <c r="E2634">
        <v>1</v>
      </c>
      <c r="F2634" t="s">
        <v>1261</v>
      </c>
      <c r="G2634" t="str">
        <f>"15-K06-02"</f>
        <v>15-K06-02</v>
      </c>
      <c r="H2634">
        <v>0.59770000000000001</v>
      </c>
      <c r="I2634" t="s">
        <v>1337</v>
      </c>
      <c r="J2634" t="s">
        <v>59</v>
      </c>
      <c r="K2634" t="str">
        <f t="shared" si="199"/>
        <v>3F4</v>
      </c>
      <c r="L2634" t="s">
        <v>15</v>
      </c>
    </row>
    <row r="2635" spans="1:12" x14ac:dyDescent="0.25">
      <c r="A2635" t="str">
        <f>"2161230687"</f>
        <v>2161230687</v>
      </c>
      <c r="B2635" t="str">
        <f t="shared" si="197"/>
        <v>89301000</v>
      </c>
      <c r="C2635" s="1">
        <v>44523</v>
      </c>
      <c r="D2635" s="1">
        <v>44528</v>
      </c>
      <c r="E2635">
        <v>1</v>
      </c>
      <c r="F2635" t="s">
        <v>1261</v>
      </c>
      <c r="G2635" t="str">
        <f t="shared" ref="G2635:G2645" si="200">"15-K06-04"</f>
        <v>15-K06-04</v>
      </c>
      <c r="H2635">
        <v>0.27479999999999999</v>
      </c>
      <c r="J2635" t="s">
        <v>59</v>
      </c>
      <c r="K2635" t="str">
        <f t="shared" si="199"/>
        <v>3F4</v>
      </c>
      <c r="L2635" t="s">
        <v>15</v>
      </c>
    </row>
    <row r="2636" spans="1:12" x14ac:dyDescent="0.25">
      <c r="A2636" t="str">
        <f>"2161230698"</f>
        <v>2161230698</v>
      </c>
      <c r="B2636" t="str">
        <f t="shared" si="197"/>
        <v>89301000</v>
      </c>
      <c r="C2636" s="1">
        <v>44523</v>
      </c>
      <c r="D2636" s="1">
        <v>44525</v>
      </c>
      <c r="E2636">
        <v>1</v>
      </c>
      <c r="F2636" t="s">
        <v>1261</v>
      </c>
      <c r="G2636" t="str">
        <f t="shared" si="200"/>
        <v>15-K06-04</v>
      </c>
      <c r="H2636">
        <v>0.27479999999999999</v>
      </c>
      <c r="J2636" t="s">
        <v>59</v>
      </c>
      <c r="K2636" t="str">
        <f t="shared" si="199"/>
        <v>3F4</v>
      </c>
      <c r="L2636" t="s">
        <v>15</v>
      </c>
    </row>
    <row r="2637" spans="1:12" x14ac:dyDescent="0.25">
      <c r="A2637" t="str">
        <f>"2161230720"</f>
        <v>2161230720</v>
      </c>
      <c r="B2637" t="str">
        <f t="shared" si="197"/>
        <v>89301000</v>
      </c>
      <c r="C2637" s="1">
        <v>44523</v>
      </c>
      <c r="D2637" s="1">
        <v>44527</v>
      </c>
      <c r="E2637">
        <v>1</v>
      </c>
      <c r="F2637" t="s">
        <v>1261</v>
      </c>
      <c r="G2637" t="str">
        <f t="shared" si="200"/>
        <v>15-K06-04</v>
      </c>
      <c r="H2637">
        <v>0.27479999999999999</v>
      </c>
      <c r="J2637" t="s">
        <v>59</v>
      </c>
      <c r="K2637" t="str">
        <f t="shared" si="199"/>
        <v>3F4</v>
      </c>
      <c r="L2637" t="s">
        <v>15</v>
      </c>
    </row>
    <row r="2638" spans="1:12" x14ac:dyDescent="0.25">
      <c r="A2638" t="str">
        <f>"2161250685"</f>
        <v>2161250685</v>
      </c>
      <c r="B2638" t="str">
        <f t="shared" si="197"/>
        <v>89301000</v>
      </c>
      <c r="C2638" s="1">
        <v>44525</v>
      </c>
      <c r="D2638" s="1">
        <v>44528</v>
      </c>
      <c r="E2638">
        <v>1</v>
      </c>
      <c r="F2638" t="s">
        <v>1261</v>
      </c>
      <c r="G2638" t="str">
        <f t="shared" si="200"/>
        <v>15-K06-04</v>
      </c>
      <c r="H2638">
        <v>0.27479999999999999</v>
      </c>
      <c r="J2638" t="s">
        <v>59</v>
      </c>
      <c r="K2638" t="str">
        <f t="shared" si="199"/>
        <v>3F4</v>
      </c>
      <c r="L2638" t="s">
        <v>15</v>
      </c>
    </row>
    <row r="2639" spans="1:12" x14ac:dyDescent="0.25">
      <c r="A2639" t="str">
        <f>"2161270331"</f>
        <v>2161270331</v>
      </c>
      <c r="B2639" t="str">
        <f t="shared" si="197"/>
        <v>89301000</v>
      </c>
      <c r="C2639" s="1">
        <v>44527</v>
      </c>
      <c r="D2639" s="1">
        <v>44529</v>
      </c>
      <c r="E2639">
        <v>1</v>
      </c>
      <c r="F2639" t="s">
        <v>1261</v>
      </c>
      <c r="G2639" t="str">
        <f t="shared" si="200"/>
        <v>15-K06-04</v>
      </c>
      <c r="H2639">
        <v>0.27479999999999999</v>
      </c>
      <c r="J2639" t="s">
        <v>59</v>
      </c>
      <c r="K2639" t="str">
        <f t="shared" si="199"/>
        <v>3F4</v>
      </c>
      <c r="L2639" t="s">
        <v>15</v>
      </c>
    </row>
    <row r="2640" spans="1:12" x14ac:dyDescent="0.25">
      <c r="A2640" t="str">
        <f>"2161280407"</f>
        <v>2161280407</v>
      </c>
      <c r="B2640" t="str">
        <f t="shared" si="197"/>
        <v>89301000</v>
      </c>
      <c r="C2640" s="1">
        <v>44528</v>
      </c>
      <c r="D2640" s="1">
        <v>44530</v>
      </c>
      <c r="E2640">
        <v>1</v>
      </c>
      <c r="F2640" t="s">
        <v>1261</v>
      </c>
      <c r="G2640" t="str">
        <f t="shared" si="200"/>
        <v>15-K06-04</v>
      </c>
      <c r="H2640">
        <v>0.27479999999999999</v>
      </c>
      <c r="J2640" t="s">
        <v>59</v>
      </c>
      <c r="K2640" t="str">
        <f t="shared" si="199"/>
        <v>3F4</v>
      </c>
      <c r="L2640" t="s">
        <v>15</v>
      </c>
    </row>
    <row r="2641" spans="1:12" x14ac:dyDescent="0.25">
      <c r="A2641" t="str">
        <f>"2161280418"</f>
        <v>2161280418</v>
      </c>
      <c r="B2641" t="str">
        <f t="shared" si="197"/>
        <v>89301000</v>
      </c>
      <c r="C2641" s="1">
        <v>44528</v>
      </c>
      <c r="D2641" s="1">
        <v>44531</v>
      </c>
      <c r="E2641">
        <v>1</v>
      </c>
      <c r="F2641" t="s">
        <v>1261</v>
      </c>
      <c r="G2641" t="str">
        <f t="shared" si="200"/>
        <v>15-K06-04</v>
      </c>
      <c r="H2641">
        <v>0.27479999999999999</v>
      </c>
      <c r="J2641" t="s">
        <v>59</v>
      </c>
      <c r="K2641" t="str">
        <f t="shared" si="199"/>
        <v>3F4</v>
      </c>
      <c r="L2641" t="s">
        <v>15</v>
      </c>
    </row>
    <row r="2642" spans="1:12" x14ac:dyDescent="0.25">
      <c r="A2642" t="str">
        <f>"2161300724"</f>
        <v>2161300724</v>
      </c>
      <c r="B2642" t="str">
        <f t="shared" si="197"/>
        <v>89301000</v>
      </c>
      <c r="C2642" s="1">
        <v>44530</v>
      </c>
      <c r="D2642" s="1">
        <v>44532</v>
      </c>
      <c r="E2642">
        <v>1</v>
      </c>
      <c r="F2642" t="s">
        <v>1261</v>
      </c>
      <c r="G2642" t="str">
        <f t="shared" si="200"/>
        <v>15-K06-04</v>
      </c>
      <c r="H2642">
        <v>0.27479999999999999</v>
      </c>
      <c r="J2642" t="s">
        <v>59</v>
      </c>
      <c r="K2642" t="str">
        <f t="shared" si="199"/>
        <v>3F4</v>
      </c>
      <c r="L2642" t="s">
        <v>15</v>
      </c>
    </row>
    <row r="2643" spans="1:12" x14ac:dyDescent="0.25">
      <c r="A2643" t="str">
        <f>"2162010697"</f>
        <v>2162010697</v>
      </c>
      <c r="B2643" t="str">
        <f t="shared" si="197"/>
        <v>89301000</v>
      </c>
      <c r="C2643" s="1">
        <v>44531</v>
      </c>
      <c r="D2643" s="1">
        <v>44534</v>
      </c>
      <c r="E2643">
        <v>1</v>
      </c>
      <c r="F2643" t="s">
        <v>1261</v>
      </c>
      <c r="G2643" t="str">
        <f t="shared" si="200"/>
        <v>15-K06-04</v>
      </c>
      <c r="H2643">
        <v>0.27479999999999999</v>
      </c>
      <c r="J2643" t="s">
        <v>59</v>
      </c>
      <c r="K2643" t="str">
        <f t="shared" si="199"/>
        <v>3F4</v>
      </c>
      <c r="L2643" t="s">
        <v>15</v>
      </c>
    </row>
    <row r="2644" spans="1:12" x14ac:dyDescent="0.25">
      <c r="A2644" t="str">
        <f>"2162010719"</f>
        <v>2162010719</v>
      </c>
      <c r="B2644" t="str">
        <f t="shared" si="197"/>
        <v>89301000</v>
      </c>
      <c r="C2644" s="1">
        <v>44531</v>
      </c>
      <c r="D2644" s="1">
        <v>44534</v>
      </c>
      <c r="E2644">
        <v>1</v>
      </c>
      <c r="F2644" t="s">
        <v>1261</v>
      </c>
      <c r="G2644" t="str">
        <f t="shared" si="200"/>
        <v>15-K06-04</v>
      </c>
      <c r="H2644">
        <v>0.27479999999999999</v>
      </c>
      <c r="I2644" t="s">
        <v>1537</v>
      </c>
      <c r="J2644" t="s">
        <v>59</v>
      </c>
      <c r="K2644" t="str">
        <f t="shared" si="199"/>
        <v>3F4</v>
      </c>
      <c r="L2644" t="s">
        <v>15</v>
      </c>
    </row>
    <row r="2645" spans="1:12" x14ac:dyDescent="0.25">
      <c r="A2645" t="str">
        <f>"2162020553"</f>
        <v>2162020553</v>
      </c>
      <c r="B2645" t="str">
        <f t="shared" si="197"/>
        <v>89301000</v>
      </c>
      <c r="C2645" s="1">
        <v>44532</v>
      </c>
      <c r="D2645" s="1">
        <v>44535</v>
      </c>
      <c r="E2645">
        <v>1</v>
      </c>
      <c r="F2645" t="s">
        <v>1261</v>
      </c>
      <c r="G2645" t="str">
        <f t="shared" si="200"/>
        <v>15-K06-04</v>
      </c>
      <c r="H2645">
        <v>0.27479999999999999</v>
      </c>
      <c r="I2645" t="s">
        <v>1538</v>
      </c>
      <c r="J2645" t="s">
        <v>59</v>
      </c>
      <c r="K2645" t="str">
        <f t="shared" si="199"/>
        <v>3F4</v>
      </c>
      <c r="L2645" t="s">
        <v>15</v>
      </c>
    </row>
    <row r="2646" spans="1:12" x14ac:dyDescent="0.25">
      <c r="A2646" t="str">
        <f>"2162020564"</f>
        <v>2162020564</v>
      </c>
      <c r="B2646" t="str">
        <f t="shared" si="197"/>
        <v>89301000</v>
      </c>
      <c r="C2646" s="1">
        <v>44532</v>
      </c>
      <c r="D2646" s="1">
        <v>44538</v>
      </c>
      <c r="E2646">
        <v>1</v>
      </c>
      <c r="F2646" t="s">
        <v>1261</v>
      </c>
      <c r="G2646" t="str">
        <f>"15-K05-02"</f>
        <v>15-K05-02</v>
      </c>
      <c r="H2646">
        <v>1.2017</v>
      </c>
      <c r="I2646" t="s">
        <v>1301</v>
      </c>
      <c r="J2646" t="s">
        <v>1212</v>
      </c>
      <c r="K2646" t="str">
        <f t="shared" si="199"/>
        <v>3F4</v>
      </c>
      <c r="L2646" t="s">
        <v>15</v>
      </c>
    </row>
    <row r="2647" spans="1:12" x14ac:dyDescent="0.25">
      <c r="A2647" t="str">
        <f>"2162020597"</f>
        <v>2162020597</v>
      </c>
      <c r="B2647" t="str">
        <f t="shared" si="197"/>
        <v>89301000</v>
      </c>
      <c r="C2647" s="1">
        <v>44532</v>
      </c>
      <c r="D2647" s="1">
        <v>44535</v>
      </c>
      <c r="E2647">
        <v>1</v>
      </c>
      <c r="F2647" t="s">
        <v>1261</v>
      </c>
      <c r="G2647" t="str">
        <f>"15-K06-04"</f>
        <v>15-K06-04</v>
      </c>
      <c r="H2647">
        <v>0.27479999999999999</v>
      </c>
      <c r="J2647" t="s">
        <v>59</v>
      </c>
      <c r="K2647" t="str">
        <f t="shared" si="199"/>
        <v>3F4</v>
      </c>
      <c r="L2647" t="s">
        <v>15</v>
      </c>
    </row>
    <row r="2648" spans="1:12" x14ac:dyDescent="0.25">
      <c r="A2648" t="str">
        <f>"2162030673"</f>
        <v>2162030673</v>
      </c>
      <c r="B2648" t="str">
        <f t="shared" si="197"/>
        <v>89301000</v>
      </c>
      <c r="C2648" s="1">
        <v>44533</v>
      </c>
      <c r="D2648" s="1">
        <v>44536</v>
      </c>
      <c r="E2648">
        <v>1</v>
      </c>
      <c r="F2648" t="s">
        <v>1261</v>
      </c>
      <c r="G2648" t="str">
        <f>"15-K06-04"</f>
        <v>15-K06-04</v>
      </c>
      <c r="H2648">
        <v>0.27479999999999999</v>
      </c>
      <c r="J2648" t="s">
        <v>59</v>
      </c>
      <c r="K2648" t="str">
        <f t="shared" si="199"/>
        <v>3F4</v>
      </c>
      <c r="L2648" t="s">
        <v>15</v>
      </c>
    </row>
    <row r="2649" spans="1:12" x14ac:dyDescent="0.25">
      <c r="A2649" t="str">
        <f>"2162040265"</f>
        <v>2162040265</v>
      </c>
      <c r="B2649" t="str">
        <f t="shared" si="197"/>
        <v>89301000</v>
      </c>
      <c r="C2649" s="1">
        <v>44534</v>
      </c>
      <c r="D2649" s="1">
        <v>44537</v>
      </c>
      <c r="E2649">
        <v>1</v>
      </c>
      <c r="F2649" t="s">
        <v>1261</v>
      </c>
      <c r="G2649" t="str">
        <f>"15-K06-04"</f>
        <v>15-K06-04</v>
      </c>
      <c r="H2649">
        <v>0.27479999999999999</v>
      </c>
      <c r="J2649" t="s">
        <v>59</v>
      </c>
      <c r="K2649" t="str">
        <f t="shared" si="199"/>
        <v>3F4</v>
      </c>
      <c r="L2649" t="s">
        <v>15</v>
      </c>
    </row>
    <row r="2650" spans="1:12" x14ac:dyDescent="0.25">
      <c r="A2650" t="str">
        <f>"2162060527"</f>
        <v>2162060527</v>
      </c>
      <c r="B2650" t="str">
        <f t="shared" si="197"/>
        <v>89301000</v>
      </c>
      <c r="C2650" s="1">
        <v>44536</v>
      </c>
      <c r="D2650" s="1">
        <v>44538</v>
      </c>
      <c r="E2650">
        <v>1</v>
      </c>
      <c r="F2650" t="s">
        <v>1261</v>
      </c>
      <c r="G2650" t="str">
        <f>"15-K06-04"</f>
        <v>15-K06-04</v>
      </c>
      <c r="H2650">
        <v>0.27479999999999999</v>
      </c>
      <c r="J2650" t="s">
        <v>59</v>
      </c>
      <c r="K2650" t="str">
        <f t="shared" si="199"/>
        <v>3F4</v>
      </c>
      <c r="L2650" t="s">
        <v>15</v>
      </c>
    </row>
    <row r="2651" spans="1:12" x14ac:dyDescent="0.25">
      <c r="A2651" t="str">
        <f>"2162060538"</f>
        <v>2162060538</v>
      </c>
      <c r="B2651" t="str">
        <f t="shared" si="197"/>
        <v>89301000</v>
      </c>
      <c r="C2651" s="1">
        <v>44536</v>
      </c>
      <c r="D2651" s="1">
        <v>44540</v>
      </c>
      <c r="E2651">
        <v>1</v>
      </c>
      <c r="F2651" t="s">
        <v>1261</v>
      </c>
      <c r="G2651" t="str">
        <f>"15-K06-04"</f>
        <v>15-K06-04</v>
      </c>
      <c r="H2651">
        <v>0.27479999999999999</v>
      </c>
      <c r="I2651" t="s">
        <v>1346</v>
      </c>
      <c r="J2651" t="s">
        <v>59</v>
      </c>
      <c r="K2651" t="str">
        <f t="shared" si="199"/>
        <v>3F4</v>
      </c>
      <c r="L2651" t="s">
        <v>15</v>
      </c>
    </row>
    <row r="2652" spans="1:12" x14ac:dyDescent="0.25">
      <c r="A2652" t="str">
        <f>"2162071362"</f>
        <v>2162071362</v>
      </c>
      <c r="B2652" t="str">
        <f t="shared" si="197"/>
        <v>89301000</v>
      </c>
      <c r="C2652" s="1">
        <v>44545</v>
      </c>
      <c r="D2652" s="1">
        <v>44546</v>
      </c>
      <c r="E2652">
        <v>1</v>
      </c>
      <c r="F2652" t="s">
        <v>592</v>
      </c>
      <c r="G2652" t="str">
        <f>"15-K07-03"</f>
        <v>15-K07-03</v>
      </c>
      <c r="H2652">
        <v>0.53959999999999997</v>
      </c>
      <c r="J2652" t="s">
        <v>59</v>
      </c>
      <c r="K2652" t="str">
        <f t="shared" si="199"/>
        <v>3F4</v>
      </c>
      <c r="L2652" t="s">
        <v>15</v>
      </c>
    </row>
    <row r="2653" spans="1:12" x14ac:dyDescent="0.25">
      <c r="A2653" t="str">
        <f>"2162080107"</f>
        <v>2162080107</v>
      </c>
      <c r="B2653" t="str">
        <f t="shared" si="197"/>
        <v>89301000</v>
      </c>
      <c r="C2653" s="1">
        <v>44538</v>
      </c>
      <c r="D2653" s="1">
        <v>44540</v>
      </c>
      <c r="E2653">
        <v>1</v>
      </c>
      <c r="F2653" t="s">
        <v>1261</v>
      </c>
      <c r="G2653" t="str">
        <f>"15-K06-04"</f>
        <v>15-K06-04</v>
      </c>
      <c r="H2653">
        <v>0.27479999999999999</v>
      </c>
      <c r="J2653" t="s">
        <v>59</v>
      </c>
      <c r="K2653" t="str">
        <f t="shared" si="199"/>
        <v>3F4</v>
      </c>
      <c r="L2653" t="s">
        <v>15</v>
      </c>
    </row>
    <row r="2654" spans="1:12" x14ac:dyDescent="0.25">
      <c r="A2654" t="str">
        <f>"2162080701"</f>
        <v>2162080701</v>
      </c>
      <c r="B2654" t="str">
        <f t="shared" si="197"/>
        <v>89301000</v>
      </c>
      <c r="C2654" s="1">
        <v>44538</v>
      </c>
      <c r="D2654" s="1">
        <v>44558</v>
      </c>
      <c r="E2654">
        <v>1</v>
      </c>
      <c r="F2654" t="s">
        <v>1539</v>
      </c>
      <c r="G2654" t="str">
        <f>"15-K07-03"</f>
        <v>15-K07-03</v>
      </c>
      <c r="H2654">
        <v>1.2506999999999999</v>
      </c>
      <c r="I2654" t="s">
        <v>1261</v>
      </c>
      <c r="J2654" t="s">
        <v>59</v>
      </c>
      <c r="K2654" t="str">
        <f t="shared" si="199"/>
        <v>3F4</v>
      </c>
      <c r="L2654" t="s">
        <v>15</v>
      </c>
    </row>
    <row r="2655" spans="1:12" x14ac:dyDescent="0.25">
      <c r="A2655" t="str">
        <f>"2162090073"</f>
        <v>2162090073</v>
      </c>
      <c r="B2655" t="str">
        <f t="shared" si="197"/>
        <v>89301000</v>
      </c>
      <c r="C2655" s="1">
        <v>44539</v>
      </c>
      <c r="D2655" s="1">
        <v>44542</v>
      </c>
      <c r="E2655">
        <v>1</v>
      </c>
      <c r="F2655" t="s">
        <v>1261</v>
      </c>
      <c r="G2655" t="str">
        <f>"15-K06-04"</f>
        <v>15-K06-04</v>
      </c>
      <c r="H2655">
        <v>0.27479999999999999</v>
      </c>
      <c r="J2655" t="s">
        <v>59</v>
      </c>
      <c r="K2655" t="str">
        <f t="shared" ref="K2655:K2673" si="201">"3F4"</f>
        <v>3F4</v>
      </c>
      <c r="L2655" t="s">
        <v>15</v>
      </c>
    </row>
    <row r="2656" spans="1:12" x14ac:dyDescent="0.25">
      <c r="A2656" t="str">
        <f>"2162100204"</f>
        <v>2162100204</v>
      </c>
      <c r="B2656" t="str">
        <f t="shared" si="197"/>
        <v>89301000</v>
      </c>
      <c r="C2656" s="1">
        <v>44552</v>
      </c>
      <c r="D2656" s="1">
        <v>44553</v>
      </c>
      <c r="E2656">
        <v>1</v>
      </c>
      <c r="F2656" t="s">
        <v>1276</v>
      </c>
      <c r="G2656" t="str">
        <f>"15-K07-03"</f>
        <v>15-K07-03</v>
      </c>
      <c r="H2656">
        <v>0.53959999999999997</v>
      </c>
      <c r="J2656" t="s">
        <v>59</v>
      </c>
      <c r="K2656" t="str">
        <f t="shared" si="201"/>
        <v>3F4</v>
      </c>
      <c r="L2656" t="s">
        <v>15</v>
      </c>
    </row>
    <row r="2657" spans="1:12" x14ac:dyDescent="0.25">
      <c r="A2657" t="str">
        <f>"2162100732"</f>
        <v>2162100732</v>
      </c>
      <c r="B2657" t="str">
        <f t="shared" si="197"/>
        <v>89301000</v>
      </c>
      <c r="C2657" s="1">
        <v>44540</v>
      </c>
      <c r="D2657" s="1">
        <v>44543</v>
      </c>
      <c r="E2657">
        <v>1</v>
      </c>
      <c r="F2657" t="s">
        <v>1261</v>
      </c>
      <c r="G2657" t="str">
        <f>"15-K06-04"</f>
        <v>15-K06-04</v>
      </c>
      <c r="H2657">
        <v>0.27479999999999999</v>
      </c>
      <c r="J2657" t="s">
        <v>59</v>
      </c>
      <c r="K2657" t="str">
        <f t="shared" si="201"/>
        <v>3F4</v>
      </c>
      <c r="L2657" t="s">
        <v>15</v>
      </c>
    </row>
    <row r="2658" spans="1:12" x14ac:dyDescent="0.25">
      <c r="A2658" t="str">
        <f>"2162100743"</f>
        <v>2162100743</v>
      </c>
      <c r="B2658" t="str">
        <f t="shared" si="197"/>
        <v>89301000</v>
      </c>
      <c r="C2658" s="1">
        <v>44540</v>
      </c>
      <c r="D2658" s="1">
        <v>44543</v>
      </c>
      <c r="E2658">
        <v>1</v>
      </c>
      <c r="F2658" t="s">
        <v>1261</v>
      </c>
      <c r="G2658" t="str">
        <f>"15-K06-04"</f>
        <v>15-K06-04</v>
      </c>
      <c r="H2658">
        <v>0.27479999999999999</v>
      </c>
      <c r="J2658" t="s">
        <v>59</v>
      </c>
      <c r="K2658" t="str">
        <f t="shared" si="201"/>
        <v>3F4</v>
      </c>
      <c r="L2658" t="s">
        <v>15</v>
      </c>
    </row>
    <row r="2659" spans="1:12" x14ac:dyDescent="0.25">
      <c r="A2659" t="str">
        <f>"2162100754"</f>
        <v>2162100754</v>
      </c>
      <c r="B2659" t="str">
        <f t="shared" si="197"/>
        <v>89301000</v>
      </c>
      <c r="C2659" s="1">
        <v>44540</v>
      </c>
      <c r="D2659" s="1">
        <v>44545</v>
      </c>
      <c r="E2659">
        <v>1</v>
      </c>
      <c r="F2659" t="s">
        <v>1261</v>
      </c>
      <c r="G2659" t="str">
        <f>"15-K05-03"</f>
        <v>15-K05-03</v>
      </c>
      <c r="H2659">
        <v>0.62380000000000002</v>
      </c>
      <c r="I2659" t="s">
        <v>1264</v>
      </c>
      <c r="J2659" t="s">
        <v>1212</v>
      </c>
      <c r="K2659" t="str">
        <f t="shared" si="201"/>
        <v>3F4</v>
      </c>
      <c r="L2659" t="s">
        <v>15</v>
      </c>
    </row>
    <row r="2660" spans="1:12" x14ac:dyDescent="0.25">
      <c r="A2660" t="str">
        <f>"2162100765"</f>
        <v>2162100765</v>
      </c>
      <c r="B2660" t="str">
        <f t="shared" si="197"/>
        <v>89301000</v>
      </c>
      <c r="C2660" s="1">
        <v>44540</v>
      </c>
      <c r="D2660" s="1">
        <v>44543</v>
      </c>
      <c r="E2660">
        <v>1</v>
      </c>
      <c r="F2660" t="s">
        <v>1261</v>
      </c>
      <c r="G2660" t="str">
        <f t="shared" ref="G2660:G2673" si="202">"15-K06-04"</f>
        <v>15-K06-04</v>
      </c>
      <c r="H2660">
        <v>0.27479999999999999</v>
      </c>
      <c r="J2660" t="s">
        <v>59</v>
      </c>
      <c r="K2660" t="str">
        <f t="shared" si="201"/>
        <v>3F4</v>
      </c>
      <c r="L2660" t="s">
        <v>15</v>
      </c>
    </row>
    <row r="2661" spans="1:12" x14ac:dyDescent="0.25">
      <c r="A2661" t="str">
        <f>"2162120400"</f>
        <v>2162120400</v>
      </c>
      <c r="B2661" t="str">
        <f t="shared" si="197"/>
        <v>89301000</v>
      </c>
      <c r="C2661" s="1">
        <v>44542</v>
      </c>
      <c r="D2661" s="1">
        <v>44545</v>
      </c>
      <c r="E2661">
        <v>1</v>
      </c>
      <c r="F2661" t="s">
        <v>1261</v>
      </c>
      <c r="G2661" t="str">
        <f t="shared" si="202"/>
        <v>15-K06-04</v>
      </c>
      <c r="H2661">
        <v>0.27479999999999999</v>
      </c>
      <c r="J2661" t="s">
        <v>59</v>
      </c>
      <c r="K2661" t="str">
        <f t="shared" si="201"/>
        <v>3F4</v>
      </c>
      <c r="L2661" t="s">
        <v>15</v>
      </c>
    </row>
    <row r="2662" spans="1:12" x14ac:dyDescent="0.25">
      <c r="A2662" t="str">
        <f>"2162120411"</f>
        <v>2162120411</v>
      </c>
      <c r="B2662" t="str">
        <f t="shared" si="197"/>
        <v>89301000</v>
      </c>
      <c r="C2662" s="1">
        <v>44542</v>
      </c>
      <c r="D2662" s="1">
        <v>44545</v>
      </c>
      <c r="E2662">
        <v>1</v>
      </c>
      <c r="F2662" t="s">
        <v>1261</v>
      </c>
      <c r="G2662" t="str">
        <f t="shared" si="202"/>
        <v>15-K06-04</v>
      </c>
      <c r="H2662">
        <v>0.27479999999999999</v>
      </c>
      <c r="I2662" t="s">
        <v>1264</v>
      </c>
      <c r="J2662" t="s">
        <v>59</v>
      </c>
      <c r="K2662" t="str">
        <f t="shared" si="201"/>
        <v>3F4</v>
      </c>
      <c r="L2662" t="s">
        <v>15</v>
      </c>
    </row>
    <row r="2663" spans="1:12" x14ac:dyDescent="0.25">
      <c r="A2663" t="str">
        <f>"2162150683"</f>
        <v>2162150683</v>
      </c>
      <c r="B2663" t="str">
        <f t="shared" si="197"/>
        <v>89301000</v>
      </c>
      <c r="C2663" s="1">
        <v>44545</v>
      </c>
      <c r="D2663" s="1">
        <v>44548</v>
      </c>
      <c r="E2663">
        <v>1</v>
      </c>
      <c r="F2663" t="s">
        <v>1261</v>
      </c>
      <c r="G2663" t="str">
        <f t="shared" si="202"/>
        <v>15-K06-04</v>
      </c>
      <c r="H2663">
        <v>0.27479999999999999</v>
      </c>
      <c r="J2663" t="s">
        <v>59</v>
      </c>
      <c r="K2663" t="str">
        <f t="shared" si="201"/>
        <v>3F4</v>
      </c>
      <c r="L2663" t="s">
        <v>15</v>
      </c>
    </row>
    <row r="2664" spans="1:12" x14ac:dyDescent="0.25">
      <c r="A2664" t="str">
        <f>"2162150694"</f>
        <v>2162150694</v>
      </c>
      <c r="B2664" t="str">
        <f t="shared" si="197"/>
        <v>89301000</v>
      </c>
      <c r="C2664" s="1">
        <v>44545</v>
      </c>
      <c r="D2664" s="1">
        <v>44548</v>
      </c>
      <c r="E2664">
        <v>1</v>
      </c>
      <c r="F2664" t="s">
        <v>1261</v>
      </c>
      <c r="G2664" t="str">
        <f t="shared" si="202"/>
        <v>15-K06-04</v>
      </c>
      <c r="H2664">
        <v>0.27479999999999999</v>
      </c>
      <c r="J2664" t="s">
        <v>59</v>
      </c>
      <c r="K2664" t="str">
        <f t="shared" si="201"/>
        <v>3F4</v>
      </c>
      <c r="L2664" t="s">
        <v>15</v>
      </c>
    </row>
    <row r="2665" spans="1:12" x14ac:dyDescent="0.25">
      <c r="A2665" t="str">
        <f>"2162160583"</f>
        <v>2162160583</v>
      </c>
      <c r="B2665" t="str">
        <f t="shared" ref="B2665:B2721" si="203">"89301000"</f>
        <v>89301000</v>
      </c>
      <c r="C2665" s="1">
        <v>44546</v>
      </c>
      <c r="D2665" s="1">
        <v>44549</v>
      </c>
      <c r="E2665">
        <v>1</v>
      </c>
      <c r="F2665" t="s">
        <v>1261</v>
      </c>
      <c r="G2665" t="str">
        <f t="shared" si="202"/>
        <v>15-K06-04</v>
      </c>
      <c r="H2665">
        <v>0.27479999999999999</v>
      </c>
      <c r="J2665" t="s">
        <v>59</v>
      </c>
      <c r="K2665" t="str">
        <f t="shared" si="201"/>
        <v>3F4</v>
      </c>
      <c r="L2665" t="s">
        <v>15</v>
      </c>
    </row>
    <row r="2666" spans="1:12" x14ac:dyDescent="0.25">
      <c r="A2666" t="str">
        <f>"2162170692"</f>
        <v>2162170692</v>
      </c>
      <c r="B2666" t="str">
        <f t="shared" si="203"/>
        <v>89301000</v>
      </c>
      <c r="C2666" s="1">
        <v>44547</v>
      </c>
      <c r="D2666" s="1">
        <v>44550</v>
      </c>
      <c r="E2666">
        <v>1</v>
      </c>
      <c r="F2666" t="s">
        <v>1261</v>
      </c>
      <c r="G2666" t="str">
        <f t="shared" si="202"/>
        <v>15-K06-04</v>
      </c>
      <c r="H2666">
        <v>0.27479999999999999</v>
      </c>
      <c r="J2666" t="s">
        <v>59</v>
      </c>
      <c r="K2666" t="str">
        <f t="shared" si="201"/>
        <v>3F4</v>
      </c>
      <c r="L2666" t="s">
        <v>15</v>
      </c>
    </row>
    <row r="2667" spans="1:12" x14ac:dyDescent="0.25">
      <c r="A2667" t="str">
        <f>"2162190382"</f>
        <v>2162190382</v>
      </c>
      <c r="B2667" t="str">
        <f t="shared" si="203"/>
        <v>89301000</v>
      </c>
      <c r="C2667" s="1">
        <v>44549</v>
      </c>
      <c r="D2667" s="1">
        <v>44552</v>
      </c>
      <c r="E2667">
        <v>1</v>
      </c>
      <c r="F2667" t="s">
        <v>1261</v>
      </c>
      <c r="G2667" t="str">
        <f t="shared" si="202"/>
        <v>15-K06-04</v>
      </c>
      <c r="H2667">
        <v>0.27479999999999999</v>
      </c>
      <c r="I2667" t="s">
        <v>1264</v>
      </c>
      <c r="J2667" t="s">
        <v>59</v>
      </c>
      <c r="K2667" t="str">
        <f t="shared" si="201"/>
        <v>3F4</v>
      </c>
      <c r="L2667" t="s">
        <v>15</v>
      </c>
    </row>
    <row r="2668" spans="1:12" x14ac:dyDescent="0.25">
      <c r="A2668" t="str">
        <f>"2162200557"</f>
        <v>2162200557</v>
      </c>
      <c r="B2668" t="str">
        <f t="shared" si="203"/>
        <v>89301000</v>
      </c>
      <c r="C2668" s="1">
        <v>44550</v>
      </c>
      <c r="D2668" s="1">
        <v>44553</v>
      </c>
      <c r="E2668">
        <v>1</v>
      </c>
      <c r="F2668" t="s">
        <v>1261</v>
      </c>
      <c r="G2668" t="str">
        <f t="shared" si="202"/>
        <v>15-K06-04</v>
      </c>
      <c r="H2668">
        <v>0.27479999999999999</v>
      </c>
      <c r="I2668" t="s">
        <v>1278</v>
      </c>
      <c r="J2668" t="s">
        <v>59</v>
      </c>
      <c r="K2668" t="str">
        <f t="shared" si="201"/>
        <v>3F4</v>
      </c>
      <c r="L2668" t="s">
        <v>15</v>
      </c>
    </row>
    <row r="2669" spans="1:12" x14ac:dyDescent="0.25">
      <c r="A2669" t="str">
        <f>"2162200568"</f>
        <v>2162200568</v>
      </c>
      <c r="B2669" t="str">
        <f t="shared" si="203"/>
        <v>89301000</v>
      </c>
      <c r="C2669" s="1">
        <v>44550</v>
      </c>
      <c r="D2669" s="1">
        <v>44553</v>
      </c>
      <c r="E2669">
        <v>1</v>
      </c>
      <c r="F2669" t="s">
        <v>1261</v>
      </c>
      <c r="G2669" t="str">
        <f t="shared" si="202"/>
        <v>15-K06-04</v>
      </c>
      <c r="H2669">
        <v>0.27479999999999999</v>
      </c>
      <c r="J2669" t="s">
        <v>59</v>
      </c>
      <c r="K2669" t="str">
        <f t="shared" si="201"/>
        <v>3F4</v>
      </c>
      <c r="L2669" t="s">
        <v>15</v>
      </c>
    </row>
    <row r="2670" spans="1:12" x14ac:dyDescent="0.25">
      <c r="A2670" t="str">
        <f>"2162210061"</f>
        <v>2162210061</v>
      </c>
      <c r="B2670" t="str">
        <f t="shared" si="203"/>
        <v>89301000</v>
      </c>
      <c r="C2670" s="1">
        <v>44551</v>
      </c>
      <c r="D2670" s="1">
        <v>44553</v>
      </c>
      <c r="E2670">
        <v>1</v>
      </c>
      <c r="F2670" t="s">
        <v>1261</v>
      </c>
      <c r="G2670" t="str">
        <f t="shared" si="202"/>
        <v>15-K06-04</v>
      </c>
      <c r="H2670">
        <v>0.27479999999999999</v>
      </c>
      <c r="J2670" t="s">
        <v>59</v>
      </c>
      <c r="K2670" t="str">
        <f t="shared" si="201"/>
        <v>3F4</v>
      </c>
      <c r="L2670" t="s">
        <v>15</v>
      </c>
    </row>
    <row r="2671" spans="1:12" x14ac:dyDescent="0.25">
      <c r="A2671" t="str">
        <f>"2162220555"</f>
        <v>2162220555</v>
      </c>
      <c r="B2671" t="str">
        <f t="shared" si="203"/>
        <v>89301000</v>
      </c>
      <c r="C2671" s="1">
        <v>44552</v>
      </c>
      <c r="D2671" s="1">
        <v>44555</v>
      </c>
      <c r="E2671">
        <v>1</v>
      </c>
      <c r="F2671" t="s">
        <v>1261</v>
      </c>
      <c r="G2671" t="str">
        <f t="shared" si="202"/>
        <v>15-K06-04</v>
      </c>
      <c r="H2671">
        <v>0.27479999999999999</v>
      </c>
      <c r="I2671" t="s">
        <v>1276</v>
      </c>
      <c r="J2671" t="s">
        <v>59</v>
      </c>
      <c r="K2671" t="str">
        <f t="shared" si="201"/>
        <v>3F4</v>
      </c>
      <c r="L2671" t="s">
        <v>15</v>
      </c>
    </row>
    <row r="2672" spans="1:12" x14ac:dyDescent="0.25">
      <c r="A2672" t="str">
        <f>"2162280505"</f>
        <v>2162280505</v>
      </c>
      <c r="B2672" t="str">
        <f t="shared" si="203"/>
        <v>89301000</v>
      </c>
      <c r="C2672" s="1">
        <v>44558</v>
      </c>
      <c r="D2672" s="1">
        <v>44561</v>
      </c>
      <c r="E2672">
        <v>1</v>
      </c>
      <c r="F2672" t="s">
        <v>1261</v>
      </c>
      <c r="G2672" t="str">
        <f t="shared" si="202"/>
        <v>15-K06-04</v>
      </c>
      <c r="H2672">
        <v>0.27479999999999999</v>
      </c>
      <c r="J2672" t="s">
        <v>59</v>
      </c>
      <c r="K2672" t="str">
        <f t="shared" si="201"/>
        <v>3F4</v>
      </c>
      <c r="L2672" t="s">
        <v>15</v>
      </c>
    </row>
    <row r="2673" spans="1:12" x14ac:dyDescent="0.25">
      <c r="A2673" t="str">
        <f>"2162280516"</f>
        <v>2162280516</v>
      </c>
      <c r="B2673" t="str">
        <f t="shared" si="203"/>
        <v>89301000</v>
      </c>
      <c r="C2673" s="1">
        <v>44558</v>
      </c>
      <c r="D2673" s="1">
        <v>44561</v>
      </c>
      <c r="E2673">
        <v>1</v>
      </c>
      <c r="F2673" t="s">
        <v>1261</v>
      </c>
      <c r="G2673" t="str">
        <f t="shared" si="202"/>
        <v>15-K06-04</v>
      </c>
      <c r="H2673">
        <v>0.27479999999999999</v>
      </c>
      <c r="J2673" t="s">
        <v>59</v>
      </c>
      <c r="K2673" t="str">
        <f t="shared" si="201"/>
        <v>3F4</v>
      </c>
      <c r="L2673" t="s">
        <v>15</v>
      </c>
    </row>
    <row r="2674" spans="1:12" x14ac:dyDescent="0.25">
      <c r="A2674" t="str">
        <f>"220623428"</f>
        <v>220623428</v>
      </c>
      <c r="B2674" t="str">
        <f t="shared" si="203"/>
        <v>89301000</v>
      </c>
      <c r="C2674" s="1">
        <v>44240</v>
      </c>
      <c r="D2674" s="1">
        <v>44245</v>
      </c>
      <c r="E2674">
        <v>4</v>
      </c>
      <c r="F2674" t="s">
        <v>217</v>
      </c>
      <c r="G2674" t="str">
        <f>"04-K02-04"</f>
        <v>04-K02-04</v>
      </c>
      <c r="H2674">
        <v>0.82469999999999999</v>
      </c>
      <c r="I2674" t="s">
        <v>1540</v>
      </c>
      <c r="J2674" t="s">
        <v>14</v>
      </c>
      <c r="K2674" t="str">
        <f>"1F6"</f>
        <v>1F6</v>
      </c>
      <c r="L2674" t="s">
        <v>15</v>
      </c>
    </row>
    <row r="2675" spans="1:12" x14ac:dyDescent="0.25">
      <c r="A2675" t="str">
        <f>"220623428"</f>
        <v>220623428</v>
      </c>
      <c r="B2675" t="str">
        <f t="shared" si="203"/>
        <v>89301000</v>
      </c>
      <c r="C2675" s="1">
        <v>44226</v>
      </c>
      <c r="D2675" s="1">
        <v>44235</v>
      </c>
      <c r="E2675">
        <v>5</v>
      </c>
      <c r="F2675" t="s">
        <v>217</v>
      </c>
      <c r="G2675" t="str">
        <f>"04-K02-04"</f>
        <v>04-K02-04</v>
      </c>
      <c r="H2675">
        <v>0.82469999999999999</v>
      </c>
      <c r="I2675" t="s">
        <v>1541</v>
      </c>
      <c r="J2675" t="s">
        <v>14</v>
      </c>
      <c r="K2675" t="str">
        <f>"1F6"</f>
        <v>1F6</v>
      </c>
      <c r="L2675" t="s">
        <v>15</v>
      </c>
    </row>
    <row r="2676" spans="1:12" x14ac:dyDescent="0.25">
      <c r="A2676" t="str">
        <f>"235325419"</f>
        <v>235325419</v>
      </c>
      <c r="B2676" t="str">
        <f t="shared" si="203"/>
        <v>89301000</v>
      </c>
      <c r="C2676" s="1">
        <v>44508</v>
      </c>
      <c r="D2676" s="1">
        <v>44509</v>
      </c>
      <c r="E2676">
        <v>4</v>
      </c>
      <c r="F2676" t="s">
        <v>217</v>
      </c>
      <c r="G2676" t="str">
        <f>"04-K02-04"</f>
        <v>04-K02-04</v>
      </c>
      <c r="H2676">
        <v>0.55769999999999997</v>
      </c>
      <c r="I2676" t="s">
        <v>1542</v>
      </c>
      <c r="J2676" t="s">
        <v>14</v>
      </c>
      <c r="K2676" t="str">
        <f>"1F1"</f>
        <v>1F1</v>
      </c>
      <c r="L2676" t="s">
        <v>15</v>
      </c>
    </row>
    <row r="2677" spans="1:12" x14ac:dyDescent="0.25">
      <c r="A2677" t="str">
        <f>"235419470"</f>
        <v>235419470</v>
      </c>
      <c r="B2677" t="str">
        <f t="shared" si="203"/>
        <v>89301000</v>
      </c>
      <c r="C2677" s="1">
        <v>44362</v>
      </c>
      <c r="D2677" s="1">
        <v>44372</v>
      </c>
      <c r="E2677">
        <v>1</v>
      </c>
      <c r="F2677" t="s">
        <v>1543</v>
      </c>
      <c r="G2677" t="str">
        <f>"01-K10-02"</f>
        <v>01-K10-02</v>
      </c>
      <c r="H2677">
        <v>1.6306</v>
      </c>
      <c r="I2677" t="s">
        <v>1544</v>
      </c>
      <c r="J2677" t="s">
        <v>14</v>
      </c>
      <c r="K2677" t="str">
        <f>"2F9"</f>
        <v>2F9</v>
      </c>
      <c r="L2677" t="s">
        <v>15</v>
      </c>
    </row>
    <row r="2678" spans="1:12" x14ac:dyDescent="0.25">
      <c r="A2678" t="str">
        <f>"250628427"</f>
        <v>250628427</v>
      </c>
      <c r="B2678" t="str">
        <f t="shared" si="203"/>
        <v>89301000</v>
      </c>
      <c r="C2678" s="1">
        <v>44487</v>
      </c>
      <c r="D2678" s="1">
        <v>44489</v>
      </c>
      <c r="E2678">
        <v>1</v>
      </c>
      <c r="F2678" t="s">
        <v>1545</v>
      </c>
      <c r="G2678" t="str">
        <f>"05-I25-02"</f>
        <v>05-I25-02</v>
      </c>
      <c r="H2678">
        <v>2.9081000000000001</v>
      </c>
      <c r="I2678" t="s">
        <v>489</v>
      </c>
      <c r="J2678" t="s">
        <v>17</v>
      </c>
      <c r="K2678" t="str">
        <f>"1F1"</f>
        <v>1F1</v>
      </c>
      <c r="L2678" t="s">
        <v>15</v>
      </c>
    </row>
    <row r="2679" spans="1:12" x14ac:dyDescent="0.25">
      <c r="A2679" t="str">
        <f>"255326402"</f>
        <v>255326402</v>
      </c>
      <c r="B2679" t="str">
        <f t="shared" si="203"/>
        <v>89301000</v>
      </c>
      <c r="C2679" s="1">
        <v>44206</v>
      </c>
      <c r="D2679" s="1">
        <v>44208</v>
      </c>
      <c r="E2679">
        <v>2</v>
      </c>
      <c r="F2679" t="s">
        <v>1546</v>
      </c>
      <c r="G2679" t="str">
        <f>"06-K20-02"</f>
        <v>06-K20-02</v>
      </c>
      <c r="H2679">
        <v>0.93700000000000006</v>
      </c>
      <c r="I2679" t="s">
        <v>1547</v>
      </c>
      <c r="J2679" t="s">
        <v>14</v>
      </c>
      <c r="K2679" t="str">
        <f>"1F5"</f>
        <v>1F5</v>
      </c>
      <c r="L2679" t="s">
        <v>15</v>
      </c>
    </row>
    <row r="2680" spans="1:12" x14ac:dyDescent="0.25">
      <c r="A2680" t="str">
        <f>"261025457"</f>
        <v>261025457</v>
      </c>
      <c r="B2680" t="str">
        <f t="shared" si="203"/>
        <v>89301000</v>
      </c>
      <c r="C2680" s="1">
        <v>44444</v>
      </c>
      <c r="D2680" s="1">
        <v>44450</v>
      </c>
      <c r="E2680">
        <v>1</v>
      </c>
      <c r="F2680" t="s">
        <v>1549</v>
      </c>
      <c r="G2680" t="str">
        <f>"11-K03-02"</f>
        <v>11-K03-02</v>
      </c>
      <c r="H2680">
        <v>0.6008</v>
      </c>
      <c r="I2680" t="s">
        <v>1550</v>
      </c>
      <c r="J2680" t="s">
        <v>14</v>
      </c>
      <c r="K2680" t="str">
        <f>"7F6"</f>
        <v>7F6</v>
      </c>
      <c r="L2680" t="s">
        <v>15</v>
      </c>
    </row>
    <row r="2681" spans="1:12" x14ac:dyDescent="0.25">
      <c r="A2681" t="str">
        <f>"265307404"</f>
        <v>265307404</v>
      </c>
      <c r="B2681" t="str">
        <f t="shared" si="203"/>
        <v>89301000</v>
      </c>
      <c r="C2681" s="1">
        <v>44504</v>
      </c>
      <c r="D2681" s="1">
        <v>44509</v>
      </c>
      <c r="E2681">
        <v>1</v>
      </c>
      <c r="F2681" t="s">
        <v>1551</v>
      </c>
      <c r="G2681" t="str">
        <f>"09-I09-02"</f>
        <v>09-I09-02</v>
      </c>
      <c r="H2681">
        <v>0.84140000000000004</v>
      </c>
      <c r="I2681" t="s">
        <v>1552</v>
      </c>
      <c r="J2681" t="s">
        <v>17</v>
      </c>
      <c r="K2681" t="str">
        <f>"6F1"</f>
        <v>6F1</v>
      </c>
      <c r="L2681" t="s">
        <v>15</v>
      </c>
    </row>
    <row r="2682" spans="1:12" x14ac:dyDescent="0.25">
      <c r="A2682" t="str">
        <f>"265513486"</f>
        <v>265513486</v>
      </c>
      <c r="B2682" t="str">
        <f t="shared" si="203"/>
        <v>89301000</v>
      </c>
      <c r="C2682" s="1">
        <v>44481</v>
      </c>
      <c r="D2682" s="1">
        <v>44487</v>
      </c>
      <c r="E2682">
        <v>1</v>
      </c>
      <c r="F2682" t="s">
        <v>1553</v>
      </c>
      <c r="G2682" t="str">
        <f>"04-K05-03"</f>
        <v>04-K05-03</v>
      </c>
      <c r="H2682">
        <v>0.74980000000000002</v>
      </c>
      <c r="I2682" t="s">
        <v>1554</v>
      </c>
      <c r="J2682" t="s">
        <v>14</v>
      </c>
      <c r="K2682" t="str">
        <f>"1F1"</f>
        <v>1F1</v>
      </c>
      <c r="L2682" t="s">
        <v>15</v>
      </c>
    </row>
    <row r="2683" spans="1:12" x14ac:dyDescent="0.25">
      <c r="A2683" t="str">
        <f>"265513486"</f>
        <v>265513486</v>
      </c>
      <c r="B2683" t="str">
        <f t="shared" si="203"/>
        <v>89301000</v>
      </c>
      <c r="C2683" s="1">
        <v>44417</v>
      </c>
      <c r="D2683" s="1">
        <v>44420</v>
      </c>
      <c r="E2683">
        <v>1</v>
      </c>
      <c r="F2683" t="s">
        <v>1555</v>
      </c>
      <c r="G2683" t="str">
        <f>"05-M04-04"</f>
        <v>05-M04-04</v>
      </c>
      <c r="H2683">
        <v>2.4672999999999998</v>
      </c>
      <c r="I2683" t="s">
        <v>1556</v>
      </c>
      <c r="J2683" t="s">
        <v>17</v>
      </c>
      <c r="K2683" t="str">
        <f>"5F1"</f>
        <v>5F1</v>
      </c>
      <c r="L2683" t="s">
        <v>15</v>
      </c>
    </row>
    <row r="2684" spans="1:12" x14ac:dyDescent="0.25">
      <c r="A2684" t="str">
        <f>"265905435"</f>
        <v>265905435</v>
      </c>
      <c r="B2684" t="str">
        <f t="shared" si="203"/>
        <v>89301000</v>
      </c>
      <c r="C2684" s="1">
        <v>44279</v>
      </c>
      <c r="D2684" s="1">
        <v>44281</v>
      </c>
      <c r="E2684">
        <v>1</v>
      </c>
      <c r="F2684" t="s">
        <v>1557</v>
      </c>
      <c r="G2684" t="str">
        <f>"05-M06-08"</f>
        <v>05-M06-08</v>
      </c>
      <c r="H2684">
        <v>1.4719</v>
      </c>
      <c r="I2684" t="s">
        <v>1558</v>
      </c>
      <c r="J2684" t="s">
        <v>17</v>
      </c>
      <c r="K2684" t="str">
        <f>"1F7"</f>
        <v>1F7</v>
      </c>
      <c r="L2684" t="s">
        <v>15</v>
      </c>
    </row>
    <row r="2685" spans="1:12" x14ac:dyDescent="0.25">
      <c r="A2685" t="str">
        <f>"265905435"</f>
        <v>265905435</v>
      </c>
      <c r="B2685" t="str">
        <f t="shared" si="203"/>
        <v>89301000</v>
      </c>
      <c r="C2685" s="1">
        <v>44286</v>
      </c>
      <c r="D2685" s="1">
        <v>44292</v>
      </c>
      <c r="E2685">
        <v>1</v>
      </c>
      <c r="F2685" t="s">
        <v>1558</v>
      </c>
      <c r="G2685" t="str">
        <f>"05-M01-03"</f>
        <v>05-M01-03</v>
      </c>
      <c r="H2685">
        <v>12.3805</v>
      </c>
      <c r="I2685" t="s">
        <v>1559</v>
      </c>
      <c r="J2685" t="s">
        <v>17</v>
      </c>
      <c r="K2685" t="str">
        <f>"1F1"</f>
        <v>1F1</v>
      </c>
      <c r="L2685" t="s">
        <v>15</v>
      </c>
    </row>
    <row r="2686" spans="1:12" x14ac:dyDescent="0.25">
      <c r="A2686" t="str">
        <f>"266213426"</f>
        <v>266213426</v>
      </c>
      <c r="B2686" t="str">
        <f t="shared" si="203"/>
        <v>89301000</v>
      </c>
      <c r="C2686" s="1">
        <v>44338</v>
      </c>
      <c r="D2686" s="1">
        <v>44347</v>
      </c>
      <c r="E2686">
        <v>1</v>
      </c>
      <c r="F2686" t="s">
        <v>424</v>
      </c>
      <c r="G2686" t="str">
        <f>"07-M02-04"</f>
        <v>07-M02-04</v>
      </c>
      <c r="H2686">
        <v>0.73929999999999996</v>
      </c>
      <c r="I2686" t="s">
        <v>1560</v>
      </c>
      <c r="J2686" t="s">
        <v>17</v>
      </c>
      <c r="K2686" t="str">
        <f>"1F5"</f>
        <v>1F5</v>
      </c>
      <c r="L2686" t="s">
        <v>15</v>
      </c>
    </row>
    <row r="2687" spans="1:12" x14ac:dyDescent="0.25">
      <c r="A2687" t="str">
        <f>"266213426"</f>
        <v>266213426</v>
      </c>
      <c r="B2687" t="str">
        <f t="shared" si="203"/>
        <v>89301000</v>
      </c>
      <c r="C2687" s="1">
        <v>44433</v>
      </c>
      <c r="D2687" s="1">
        <v>44438</v>
      </c>
      <c r="E2687">
        <v>1</v>
      </c>
      <c r="F2687" t="s">
        <v>1561</v>
      </c>
      <c r="G2687" t="str">
        <f>"07-M02-04"</f>
        <v>07-M02-04</v>
      </c>
      <c r="H2687">
        <v>0.92410000000000003</v>
      </c>
      <c r="I2687" t="s">
        <v>1562</v>
      </c>
      <c r="J2687" t="s">
        <v>17</v>
      </c>
      <c r="K2687" t="str">
        <f>"1F1"</f>
        <v>1F1</v>
      </c>
      <c r="L2687" t="s">
        <v>15</v>
      </c>
    </row>
    <row r="2688" spans="1:12" x14ac:dyDescent="0.25">
      <c r="A2688" t="str">
        <f>"266223044"</f>
        <v>266223044</v>
      </c>
      <c r="B2688" t="str">
        <f t="shared" si="203"/>
        <v>89301000</v>
      </c>
      <c r="C2688" s="1">
        <v>44414</v>
      </c>
      <c r="D2688" s="1">
        <v>44417</v>
      </c>
      <c r="E2688">
        <v>5</v>
      </c>
      <c r="F2688" t="s">
        <v>1563</v>
      </c>
      <c r="G2688" t="str">
        <f>"05-I14-04"</f>
        <v>05-I14-04</v>
      </c>
      <c r="H2688">
        <v>5.4002999999999997</v>
      </c>
      <c r="I2688" t="s">
        <v>1564</v>
      </c>
      <c r="J2688" t="s">
        <v>14</v>
      </c>
      <c r="K2688" t="str">
        <f>"1F1"</f>
        <v>1F1</v>
      </c>
      <c r="L2688" t="s">
        <v>15</v>
      </c>
    </row>
    <row r="2689" spans="1:12" x14ac:dyDescent="0.25">
      <c r="A2689" t="str">
        <f>"270125425"</f>
        <v>270125425</v>
      </c>
      <c r="B2689" t="str">
        <f t="shared" si="203"/>
        <v>89301000</v>
      </c>
      <c r="C2689" s="1">
        <v>44242</v>
      </c>
      <c r="D2689" s="1">
        <v>44245</v>
      </c>
      <c r="E2689">
        <v>2</v>
      </c>
      <c r="F2689" t="s">
        <v>1565</v>
      </c>
      <c r="G2689" t="str">
        <f>"01-K13-02"</f>
        <v>01-K13-02</v>
      </c>
      <c r="H2689">
        <v>0.7954</v>
      </c>
      <c r="I2689" t="s">
        <v>1566</v>
      </c>
      <c r="J2689" t="s">
        <v>14</v>
      </c>
      <c r="K2689" t="str">
        <f>"2F9"</f>
        <v>2F9</v>
      </c>
      <c r="L2689" t="s">
        <v>15</v>
      </c>
    </row>
    <row r="2690" spans="1:12" x14ac:dyDescent="0.25">
      <c r="A2690" t="str">
        <f>"270303454"</f>
        <v>270303454</v>
      </c>
      <c r="B2690" t="str">
        <f t="shared" si="203"/>
        <v>89301000</v>
      </c>
      <c r="C2690" s="1">
        <v>44407</v>
      </c>
      <c r="D2690" s="1">
        <v>44410</v>
      </c>
      <c r="E2690">
        <v>5</v>
      </c>
      <c r="F2690" t="s">
        <v>1567</v>
      </c>
      <c r="G2690" t="str">
        <f>"05-I25-01"</f>
        <v>05-I25-01</v>
      </c>
      <c r="H2690">
        <v>4.3022</v>
      </c>
      <c r="I2690" t="s">
        <v>1568</v>
      </c>
      <c r="J2690" t="s">
        <v>17</v>
      </c>
      <c r="K2690" t="str">
        <f>"1F7"</f>
        <v>1F7</v>
      </c>
      <c r="L2690" t="s">
        <v>15</v>
      </c>
    </row>
    <row r="2691" spans="1:12" x14ac:dyDescent="0.25">
      <c r="A2691" t="str">
        <f>"270919426"</f>
        <v>270919426</v>
      </c>
      <c r="B2691" t="str">
        <f t="shared" si="203"/>
        <v>89301000</v>
      </c>
      <c r="C2691" s="1">
        <v>44389</v>
      </c>
      <c r="D2691" s="1">
        <v>44390</v>
      </c>
      <c r="E2691">
        <v>1</v>
      </c>
      <c r="F2691" t="s">
        <v>1569</v>
      </c>
      <c r="G2691" t="str">
        <f>"09-I12-02"</f>
        <v>09-I12-02</v>
      </c>
      <c r="H2691">
        <v>0.78990000000000005</v>
      </c>
      <c r="I2691" t="s">
        <v>1570</v>
      </c>
      <c r="J2691" t="s">
        <v>14</v>
      </c>
      <c r="K2691" t="str">
        <f>"6F1"</f>
        <v>6F1</v>
      </c>
      <c r="L2691" t="s">
        <v>15</v>
      </c>
    </row>
    <row r="2692" spans="1:12" x14ac:dyDescent="0.25">
      <c r="A2692" t="str">
        <f>"271111423"</f>
        <v>271111423</v>
      </c>
      <c r="B2692" t="str">
        <f t="shared" si="203"/>
        <v>89301000</v>
      </c>
      <c r="C2692" s="1">
        <v>44510</v>
      </c>
      <c r="D2692" s="1">
        <v>44530</v>
      </c>
      <c r="E2692">
        <v>8</v>
      </c>
      <c r="F2692" t="s">
        <v>217</v>
      </c>
      <c r="G2692" t="str">
        <f>"04-K02-04"</f>
        <v>04-K02-04</v>
      </c>
      <c r="H2692">
        <v>1.1852</v>
      </c>
      <c r="I2692" t="s">
        <v>1571</v>
      </c>
      <c r="J2692" t="s">
        <v>14</v>
      </c>
      <c r="K2692" t="str">
        <f>"1F6"</f>
        <v>1F6</v>
      </c>
      <c r="L2692" t="s">
        <v>15</v>
      </c>
    </row>
    <row r="2693" spans="1:12" x14ac:dyDescent="0.25">
      <c r="A2693" t="str">
        <f>"275222454"</f>
        <v>275222454</v>
      </c>
      <c r="B2693" t="str">
        <f t="shared" si="203"/>
        <v>89301000</v>
      </c>
      <c r="C2693" s="1">
        <v>44281</v>
      </c>
      <c r="D2693" s="1">
        <v>44282</v>
      </c>
      <c r="E2693">
        <v>8</v>
      </c>
      <c r="F2693" t="s">
        <v>1572</v>
      </c>
      <c r="G2693" t="str">
        <f>"06-K10-01"</f>
        <v>06-K10-01</v>
      </c>
      <c r="H2693">
        <v>0.85440000000000005</v>
      </c>
      <c r="I2693" t="s">
        <v>1573</v>
      </c>
      <c r="J2693" t="s">
        <v>14</v>
      </c>
      <c r="K2693" t="str">
        <f>"1F5"</f>
        <v>1F5</v>
      </c>
      <c r="L2693" t="s">
        <v>15</v>
      </c>
    </row>
    <row r="2694" spans="1:12" x14ac:dyDescent="0.25">
      <c r="A2694" t="str">
        <f>"275315444"</f>
        <v>275315444</v>
      </c>
      <c r="B2694" t="str">
        <f t="shared" si="203"/>
        <v>89301000</v>
      </c>
      <c r="C2694" s="1">
        <v>44448</v>
      </c>
      <c r="D2694" s="1">
        <v>44456</v>
      </c>
      <c r="E2694">
        <v>5</v>
      </c>
      <c r="F2694" t="s">
        <v>1574</v>
      </c>
      <c r="G2694" t="str">
        <f>"05-I26-01"</f>
        <v>05-I26-01</v>
      </c>
      <c r="H2694">
        <v>2.339</v>
      </c>
      <c r="I2694" t="s">
        <v>1575</v>
      </c>
      <c r="J2694" t="s">
        <v>14</v>
      </c>
      <c r="K2694" t="str">
        <f>"5F1"</f>
        <v>5F1</v>
      </c>
      <c r="L2694" t="s">
        <v>15</v>
      </c>
    </row>
    <row r="2695" spans="1:12" x14ac:dyDescent="0.25">
      <c r="A2695" t="str">
        <f>"275505419"</f>
        <v>275505419</v>
      </c>
      <c r="B2695" t="str">
        <f t="shared" si="203"/>
        <v>89301000</v>
      </c>
      <c r="C2695" s="1">
        <v>44378</v>
      </c>
      <c r="D2695" s="1">
        <v>44399</v>
      </c>
      <c r="E2695">
        <v>2</v>
      </c>
      <c r="F2695" t="s">
        <v>518</v>
      </c>
      <c r="G2695" t="str">
        <f>"09-K13-01"</f>
        <v>09-K13-01</v>
      </c>
      <c r="H2695">
        <v>1.1426000000000001</v>
      </c>
      <c r="I2695" t="s">
        <v>1576</v>
      </c>
      <c r="J2695" t="s">
        <v>14</v>
      </c>
      <c r="K2695" t="str">
        <f>"1F6"</f>
        <v>1F6</v>
      </c>
      <c r="L2695" t="s">
        <v>15</v>
      </c>
    </row>
    <row r="2696" spans="1:12" x14ac:dyDescent="0.25">
      <c r="A2696" t="str">
        <f>"280105448"</f>
        <v>280105448</v>
      </c>
      <c r="B2696" t="str">
        <f t="shared" si="203"/>
        <v>89301000</v>
      </c>
      <c r="C2696" s="1">
        <v>44333</v>
      </c>
      <c r="D2696" s="1">
        <v>44335</v>
      </c>
      <c r="E2696">
        <v>1</v>
      </c>
      <c r="F2696" t="s">
        <v>489</v>
      </c>
      <c r="G2696" t="str">
        <f>"05-K14-03"</f>
        <v>05-K14-03</v>
      </c>
      <c r="H2696">
        <v>0.44159999999999999</v>
      </c>
      <c r="I2696" t="s">
        <v>1577</v>
      </c>
      <c r="J2696" t="s">
        <v>14</v>
      </c>
      <c r="K2696" t="str">
        <f>"1F9"</f>
        <v>1F9</v>
      </c>
      <c r="L2696" t="s">
        <v>15</v>
      </c>
    </row>
    <row r="2697" spans="1:12" x14ac:dyDescent="0.25">
      <c r="A2697" t="str">
        <f>"280116478"</f>
        <v>280116478</v>
      </c>
      <c r="B2697" t="str">
        <f t="shared" si="203"/>
        <v>89301000</v>
      </c>
      <c r="C2697" s="1">
        <v>44466</v>
      </c>
      <c r="D2697" s="1">
        <v>44474</v>
      </c>
      <c r="E2697">
        <v>4</v>
      </c>
      <c r="F2697" t="s">
        <v>1567</v>
      </c>
      <c r="G2697" t="str">
        <f>"05-I25-01"</f>
        <v>05-I25-01</v>
      </c>
      <c r="H2697">
        <v>4.3022</v>
      </c>
      <c r="I2697" t="s">
        <v>1578</v>
      </c>
      <c r="J2697" t="s">
        <v>17</v>
      </c>
      <c r="K2697" t="str">
        <f>"5F3"</f>
        <v>5F3</v>
      </c>
      <c r="L2697" t="s">
        <v>15</v>
      </c>
    </row>
    <row r="2698" spans="1:12" x14ac:dyDescent="0.25">
      <c r="A2698" t="str">
        <f>"280530407"</f>
        <v>280530407</v>
      </c>
      <c r="B2698" t="str">
        <f t="shared" si="203"/>
        <v>89301000</v>
      </c>
      <c r="C2698" s="1">
        <v>44559</v>
      </c>
      <c r="D2698" s="1">
        <v>44560</v>
      </c>
      <c r="E2698">
        <v>1</v>
      </c>
      <c r="F2698" t="s">
        <v>1579</v>
      </c>
      <c r="G2698" t="str">
        <f>"05-I25-03"</f>
        <v>05-I25-03</v>
      </c>
      <c r="H2698">
        <v>1.5508</v>
      </c>
      <c r="I2698" t="s">
        <v>1580</v>
      </c>
      <c r="J2698" t="s">
        <v>17</v>
      </c>
      <c r="K2698" t="str">
        <f>"1F1"</f>
        <v>1F1</v>
      </c>
      <c r="L2698" t="s">
        <v>15</v>
      </c>
    </row>
    <row r="2699" spans="1:12" x14ac:dyDescent="0.25">
      <c r="A2699" t="str">
        <f>"285319463"</f>
        <v>285319463</v>
      </c>
      <c r="B2699" t="str">
        <f t="shared" si="203"/>
        <v>89301000</v>
      </c>
      <c r="C2699" s="1">
        <v>44315</v>
      </c>
      <c r="D2699" s="1">
        <v>44318</v>
      </c>
      <c r="E2699">
        <v>2</v>
      </c>
      <c r="F2699" t="s">
        <v>1581</v>
      </c>
      <c r="G2699" t="str">
        <f>"05-M07-05"</f>
        <v>05-M07-05</v>
      </c>
      <c r="H2699">
        <v>1.7442</v>
      </c>
      <c r="I2699" t="s">
        <v>1582</v>
      </c>
      <c r="J2699" t="s">
        <v>17</v>
      </c>
      <c r="K2699" t="str">
        <f>"5F1"</f>
        <v>5F1</v>
      </c>
      <c r="L2699" t="s">
        <v>15</v>
      </c>
    </row>
    <row r="2700" spans="1:12" x14ac:dyDescent="0.25">
      <c r="A2700" t="str">
        <f>"290407409"</f>
        <v>290407409</v>
      </c>
      <c r="B2700" t="str">
        <f t="shared" si="203"/>
        <v>89301000</v>
      </c>
      <c r="C2700" s="1">
        <v>44455</v>
      </c>
      <c r="D2700" s="1">
        <v>44461</v>
      </c>
      <c r="E2700">
        <v>5</v>
      </c>
      <c r="F2700" t="s">
        <v>1548</v>
      </c>
      <c r="G2700" t="str">
        <f>"05-D01-04"</f>
        <v>05-D01-04</v>
      </c>
      <c r="H2700">
        <v>2.0049000000000001</v>
      </c>
      <c r="I2700" t="s">
        <v>1583</v>
      </c>
      <c r="J2700" t="s">
        <v>14</v>
      </c>
      <c r="K2700" t="str">
        <f>"1F7"</f>
        <v>1F7</v>
      </c>
      <c r="L2700" t="s">
        <v>15</v>
      </c>
    </row>
    <row r="2701" spans="1:12" x14ac:dyDescent="0.25">
      <c r="A2701" t="str">
        <f>"295122713"</f>
        <v>295122713</v>
      </c>
      <c r="B2701" t="str">
        <f t="shared" si="203"/>
        <v>89301000</v>
      </c>
      <c r="C2701" s="1">
        <v>44552</v>
      </c>
      <c r="D2701" s="1">
        <v>44553</v>
      </c>
      <c r="E2701">
        <v>1</v>
      </c>
      <c r="F2701" t="s">
        <v>1584</v>
      </c>
      <c r="G2701" t="str">
        <f>"07-M02-04"</f>
        <v>07-M02-04</v>
      </c>
      <c r="H2701">
        <v>0.80689999999999995</v>
      </c>
      <c r="I2701" t="s">
        <v>1585</v>
      </c>
      <c r="J2701" t="s">
        <v>17</v>
      </c>
      <c r="K2701" t="str">
        <f>"1F5"</f>
        <v>1F5</v>
      </c>
      <c r="L2701" t="s">
        <v>15</v>
      </c>
    </row>
    <row r="2702" spans="1:12" x14ac:dyDescent="0.25">
      <c r="A2702" t="str">
        <f>"295122713"</f>
        <v>295122713</v>
      </c>
      <c r="B2702" t="str">
        <f t="shared" si="203"/>
        <v>89301000</v>
      </c>
      <c r="C2702" s="1">
        <v>44470</v>
      </c>
      <c r="D2702" s="1">
        <v>44475</v>
      </c>
      <c r="E2702">
        <v>1</v>
      </c>
      <c r="F2702" t="s">
        <v>335</v>
      </c>
      <c r="G2702" t="str">
        <f>"07-K05-02"</f>
        <v>07-K05-02</v>
      </c>
      <c r="H2702">
        <v>0.60189999999999999</v>
      </c>
      <c r="I2702" t="s">
        <v>1586</v>
      </c>
      <c r="J2702" t="s">
        <v>14</v>
      </c>
      <c r="K2702" t="str">
        <f>"1F1"</f>
        <v>1F1</v>
      </c>
      <c r="L2702" t="s">
        <v>15</v>
      </c>
    </row>
    <row r="2703" spans="1:12" x14ac:dyDescent="0.25">
      <c r="A2703" t="str">
        <f>"295122713"</f>
        <v>295122713</v>
      </c>
      <c r="B2703" t="str">
        <f t="shared" si="203"/>
        <v>89301000</v>
      </c>
      <c r="C2703" s="1">
        <v>44444</v>
      </c>
      <c r="D2703" s="1">
        <v>44464</v>
      </c>
      <c r="E2703">
        <v>1</v>
      </c>
      <c r="F2703" t="s">
        <v>354</v>
      </c>
      <c r="G2703" t="str">
        <f>"10-K14-03"</f>
        <v>10-K14-03</v>
      </c>
      <c r="H2703">
        <v>1.4525999999999999</v>
      </c>
      <c r="I2703" t="s">
        <v>1587</v>
      </c>
      <c r="J2703" t="s">
        <v>14</v>
      </c>
      <c r="K2703" t="str">
        <f>"1F1"</f>
        <v>1F1</v>
      </c>
      <c r="L2703" t="s">
        <v>15</v>
      </c>
    </row>
    <row r="2704" spans="1:12" x14ac:dyDescent="0.25">
      <c r="A2704" t="str">
        <f>"295206459"</f>
        <v>295206459</v>
      </c>
      <c r="B2704" t="str">
        <f t="shared" si="203"/>
        <v>89301000</v>
      </c>
      <c r="C2704" s="1">
        <v>44334</v>
      </c>
      <c r="D2704" s="1">
        <v>44340</v>
      </c>
      <c r="E2704">
        <v>1</v>
      </c>
      <c r="F2704" t="s">
        <v>354</v>
      </c>
      <c r="G2704" t="str">
        <f>"10-K14-03"</f>
        <v>10-K14-03</v>
      </c>
      <c r="H2704">
        <v>0.50439999999999996</v>
      </c>
      <c r="I2704" t="s">
        <v>1588</v>
      </c>
      <c r="J2704" t="s">
        <v>14</v>
      </c>
      <c r="K2704" t="str">
        <f>"1F1"</f>
        <v>1F1</v>
      </c>
      <c r="L2704" t="s">
        <v>15</v>
      </c>
    </row>
    <row r="2705" spans="1:12" x14ac:dyDescent="0.25">
      <c r="A2705" t="str">
        <f>"295501951"</f>
        <v>295501951</v>
      </c>
      <c r="B2705" t="str">
        <f t="shared" si="203"/>
        <v>89301000</v>
      </c>
      <c r="C2705" s="1">
        <v>44544</v>
      </c>
      <c r="D2705" s="1">
        <v>44548</v>
      </c>
      <c r="E2705">
        <v>8</v>
      </c>
      <c r="F2705" t="s">
        <v>217</v>
      </c>
      <c r="G2705" t="str">
        <f>"04-K02-04"</f>
        <v>04-K02-04</v>
      </c>
      <c r="H2705">
        <v>0.82469999999999999</v>
      </c>
      <c r="I2705" t="s">
        <v>1589</v>
      </c>
      <c r="J2705" t="s">
        <v>14</v>
      </c>
      <c r="K2705" t="str">
        <f>"1F1"</f>
        <v>1F1</v>
      </c>
      <c r="L2705" t="s">
        <v>15</v>
      </c>
    </row>
    <row r="2706" spans="1:12" x14ac:dyDescent="0.25">
      <c r="A2706" t="str">
        <f>"295804458"</f>
        <v>295804458</v>
      </c>
      <c r="B2706" t="str">
        <f t="shared" si="203"/>
        <v>89301000</v>
      </c>
      <c r="C2706" s="1">
        <v>44435</v>
      </c>
      <c r="D2706" s="1">
        <v>44441</v>
      </c>
      <c r="E2706">
        <v>1</v>
      </c>
      <c r="F2706" t="s">
        <v>1555</v>
      </c>
      <c r="G2706" t="str">
        <f>"05-K12-02"</f>
        <v>05-K12-02</v>
      </c>
      <c r="H2706">
        <v>0.53600000000000003</v>
      </c>
      <c r="I2706" t="s">
        <v>1590</v>
      </c>
      <c r="J2706" t="s">
        <v>14</v>
      </c>
      <c r="K2706" t="str">
        <f>"5F1"</f>
        <v>5F1</v>
      </c>
      <c r="L2706" t="s">
        <v>15</v>
      </c>
    </row>
    <row r="2707" spans="1:12" x14ac:dyDescent="0.25">
      <c r="A2707" t="str">
        <f>"295804458"</f>
        <v>295804458</v>
      </c>
      <c r="B2707" t="str">
        <f t="shared" si="203"/>
        <v>89301000</v>
      </c>
      <c r="C2707" s="1">
        <v>44223</v>
      </c>
      <c r="D2707" s="1">
        <v>44229</v>
      </c>
      <c r="E2707">
        <v>1</v>
      </c>
      <c r="F2707" t="s">
        <v>354</v>
      </c>
      <c r="G2707" t="str">
        <f>"10-K14-03"</f>
        <v>10-K14-03</v>
      </c>
      <c r="H2707">
        <v>0.50439999999999996</v>
      </c>
      <c r="I2707" t="s">
        <v>1591</v>
      </c>
      <c r="J2707" t="s">
        <v>14</v>
      </c>
      <c r="K2707" t="str">
        <f>"1F1"</f>
        <v>1F1</v>
      </c>
      <c r="L2707" t="s">
        <v>15</v>
      </c>
    </row>
    <row r="2708" spans="1:12" x14ac:dyDescent="0.25">
      <c r="A2708" t="str">
        <f>"300222404"</f>
        <v>300222404</v>
      </c>
      <c r="B2708" t="str">
        <f t="shared" si="203"/>
        <v>89301000</v>
      </c>
      <c r="C2708" s="1">
        <v>44527</v>
      </c>
      <c r="D2708" s="1">
        <v>44537</v>
      </c>
      <c r="E2708">
        <v>2</v>
      </c>
      <c r="F2708" t="s">
        <v>888</v>
      </c>
      <c r="G2708" t="str">
        <f>"07-K05-01"</f>
        <v>07-K05-01</v>
      </c>
      <c r="H2708">
        <v>1.4121999999999999</v>
      </c>
      <c r="I2708" t="s">
        <v>1592</v>
      </c>
      <c r="J2708" t="s">
        <v>14</v>
      </c>
      <c r="K2708" t="str">
        <f>"1F5"</f>
        <v>1F5</v>
      </c>
      <c r="L2708" t="s">
        <v>15</v>
      </c>
    </row>
    <row r="2709" spans="1:12" x14ac:dyDescent="0.25">
      <c r="A2709" t="str">
        <f>"300304469"</f>
        <v>300304469</v>
      </c>
      <c r="B2709" t="str">
        <f t="shared" si="203"/>
        <v>89301000</v>
      </c>
      <c r="C2709" s="1">
        <v>44255</v>
      </c>
      <c r="D2709" s="1">
        <v>44257</v>
      </c>
      <c r="E2709">
        <v>1</v>
      </c>
      <c r="F2709" t="s">
        <v>1593</v>
      </c>
      <c r="G2709" t="str">
        <f>"11-M06-02"</f>
        <v>11-M06-02</v>
      </c>
      <c r="H2709">
        <v>0.90400000000000003</v>
      </c>
      <c r="I2709" t="s">
        <v>1594</v>
      </c>
      <c r="J2709" t="s">
        <v>17</v>
      </c>
      <c r="K2709" t="str">
        <f>"7F6"</f>
        <v>7F6</v>
      </c>
      <c r="L2709" t="s">
        <v>15</v>
      </c>
    </row>
    <row r="2710" spans="1:12" x14ac:dyDescent="0.25">
      <c r="A2710" t="str">
        <f>"300326448"</f>
        <v>300326448</v>
      </c>
      <c r="B2710" t="str">
        <f t="shared" si="203"/>
        <v>89301000</v>
      </c>
      <c r="C2710" s="1">
        <v>44377</v>
      </c>
      <c r="D2710" s="1">
        <v>44387</v>
      </c>
      <c r="E2710">
        <v>8</v>
      </c>
      <c r="F2710" t="s">
        <v>1595</v>
      </c>
      <c r="G2710" t="str">
        <f>"00-M01-04"</f>
        <v>00-M01-04</v>
      </c>
      <c r="H2710">
        <v>6.85</v>
      </c>
      <c r="I2710" t="s">
        <v>1596</v>
      </c>
      <c r="J2710" t="s">
        <v>14</v>
      </c>
      <c r="K2710" t="str">
        <f>"1T1"</f>
        <v>1T1</v>
      </c>
      <c r="L2710" t="s">
        <v>15</v>
      </c>
    </row>
    <row r="2711" spans="1:12" x14ac:dyDescent="0.25">
      <c r="A2711" t="str">
        <f>"300411454"</f>
        <v>300411454</v>
      </c>
      <c r="B2711" t="str">
        <f t="shared" si="203"/>
        <v>89301000</v>
      </c>
      <c r="C2711" s="1">
        <v>44495</v>
      </c>
      <c r="D2711" s="1">
        <v>44511</v>
      </c>
      <c r="E2711">
        <v>4</v>
      </c>
      <c r="F2711" t="s">
        <v>1597</v>
      </c>
      <c r="G2711" t="str">
        <f>"08-I21-01"</f>
        <v>08-I21-01</v>
      </c>
      <c r="H2711">
        <v>2.4729999999999999</v>
      </c>
      <c r="I2711" t="s">
        <v>1598</v>
      </c>
      <c r="J2711" t="s">
        <v>17</v>
      </c>
      <c r="K2711" t="str">
        <f>"6F6"</f>
        <v>6F6</v>
      </c>
      <c r="L2711" t="s">
        <v>15</v>
      </c>
    </row>
    <row r="2712" spans="1:12" x14ac:dyDescent="0.25">
      <c r="A2712" t="str">
        <f>"300421423"</f>
        <v>300421423</v>
      </c>
      <c r="B2712" t="str">
        <f t="shared" si="203"/>
        <v>89301000</v>
      </c>
      <c r="C2712" s="1">
        <v>44456</v>
      </c>
      <c r="D2712" s="1">
        <v>44467</v>
      </c>
      <c r="E2712">
        <v>8</v>
      </c>
      <c r="F2712" t="s">
        <v>1599</v>
      </c>
      <c r="G2712" t="str">
        <f>"05-K07-03"</f>
        <v>05-K07-03</v>
      </c>
      <c r="H2712">
        <v>1.7625999999999999</v>
      </c>
      <c r="I2712" t="s">
        <v>1600</v>
      </c>
      <c r="J2712" t="s">
        <v>14</v>
      </c>
      <c r="K2712" t="str">
        <f>"1F7"</f>
        <v>1F7</v>
      </c>
      <c r="L2712" t="s">
        <v>15</v>
      </c>
    </row>
    <row r="2713" spans="1:12" x14ac:dyDescent="0.25">
      <c r="A2713" t="str">
        <f>"305202481"</f>
        <v>305202481</v>
      </c>
      <c r="B2713" t="str">
        <f t="shared" si="203"/>
        <v>89301000</v>
      </c>
      <c r="C2713" s="1">
        <v>44345</v>
      </c>
      <c r="D2713" s="1">
        <v>44362</v>
      </c>
      <c r="E2713">
        <v>4</v>
      </c>
      <c r="F2713" t="s">
        <v>448</v>
      </c>
      <c r="G2713" t="str">
        <f>"11-K01-03"</f>
        <v>11-K01-03</v>
      </c>
      <c r="H2713">
        <v>0.94440000000000002</v>
      </c>
      <c r="I2713" t="s">
        <v>1601</v>
      </c>
      <c r="J2713" t="s">
        <v>14</v>
      </c>
      <c r="K2713" t="str">
        <f>"1F6"</f>
        <v>1F6</v>
      </c>
      <c r="L2713" t="s">
        <v>15</v>
      </c>
    </row>
    <row r="2714" spans="1:12" x14ac:dyDescent="0.25">
      <c r="A2714" t="str">
        <f>"305608481"</f>
        <v>305608481</v>
      </c>
      <c r="B2714" t="str">
        <f t="shared" si="203"/>
        <v>89301000</v>
      </c>
      <c r="C2714" s="1">
        <v>44264</v>
      </c>
      <c r="D2714" s="1">
        <v>44283</v>
      </c>
      <c r="E2714">
        <v>8</v>
      </c>
      <c r="F2714" t="s">
        <v>1602</v>
      </c>
      <c r="G2714" t="str">
        <f>"05-K07-04"</f>
        <v>05-K07-04</v>
      </c>
      <c r="H2714">
        <v>1.3887</v>
      </c>
      <c r="I2714" t="s">
        <v>1603</v>
      </c>
      <c r="J2714" t="s">
        <v>14</v>
      </c>
      <c r="K2714" t="str">
        <f>"1F1"</f>
        <v>1F1</v>
      </c>
      <c r="L2714" t="s">
        <v>15</v>
      </c>
    </row>
    <row r="2715" spans="1:12" x14ac:dyDescent="0.25">
      <c r="A2715" t="str">
        <f>"305610405"</f>
        <v>305610405</v>
      </c>
      <c r="B2715" t="str">
        <f t="shared" si="203"/>
        <v>89301000</v>
      </c>
      <c r="C2715" s="1">
        <v>44228</v>
      </c>
      <c r="D2715" s="1">
        <v>44230</v>
      </c>
      <c r="E2715">
        <v>1</v>
      </c>
      <c r="F2715" t="s">
        <v>1604</v>
      </c>
      <c r="G2715" t="str">
        <f>"05-I25-03"</f>
        <v>05-I25-03</v>
      </c>
      <c r="H2715">
        <v>1.5508</v>
      </c>
      <c r="I2715" t="s">
        <v>1605</v>
      </c>
      <c r="J2715" t="s">
        <v>17</v>
      </c>
      <c r="K2715" t="str">
        <f>"1F1"</f>
        <v>1F1</v>
      </c>
      <c r="L2715" t="s">
        <v>15</v>
      </c>
    </row>
    <row r="2716" spans="1:12" x14ac:dyDescent="0.25">
      <c r="A2716" t="str">
        <f>"305805413"</f>
        <v>305805413</v>
      </c>
      <c r="B2716" t="str">
        <f t="shared" si="203"/>
        <v>89301000</v>
      </c>
      <c r="C2716" s="1">
        <v>44435</v>
      </c>
      <c r="D2716" s="1">
        <v>44439</v>
      </c>
      <c r="E2716">
        <v>4</v>
      </c>
      <c r="F2716" t="s">
        <v>1606</v>
      </c>
      <c r="G2716" t="str">
        <f>"05-K05-02"</f>
        <v>05-K05-02</v>
      </c>
      <c r="H2716">
        <v>0.90600000000000003</v>
      </c>
      <c r="I2716" t="s">
        <v>1607</v>
      </c>
      <c r="J2716" t="s">
        <v>14</v>
      </c>
      <c r="K2716" t="str">
        <f>"1F1"</f>
        <v>1F1</v>
      </c>
      <c r="L2716" t="s">
        <v>15</v>
      </c>
    </row>
    <row r="2717" spans="1:12" x14ac:dyDescent="0.25">
      <c r="A2717" t="str">
        <f>"305829002"</f>
        <v>305829002</v>
      </c>
      <c r="B2717" t="str">
        <f t="shared" si="203"/>
        <v>89301000</v>
      </c>
      <c r="C2717" s="1">
        <v>44250</v>
      </c>
      <c r="D2717" s="1">
        <v>44254</v>
      </c>
      <c r="E2717">
        <v>7</v>
      </c>
      <c r="F2717" t="s">
        <v>1608</v>
      </c>
      <c r="G2717" t="str">
        <f>"01-K10-03"</f>
        <v>01-K10-03</v>
      </c>
      <c r="H2717">
        <v>1.0016</v>
      </c>
      <c r="I2717" t="s">
        <v>1609</v>
      </c>
      <c r="J2717" t="s">
        <v>14</v>
      </c>
      <c r="K2717" t="str">
        <f>"2T9"</f>
        <v>2T9</v>
      </c>
      <c r="L2717" t="s">
        <v>15</v>
      </c>
    </row>
    <row r="2718" spans="1:12" x14ac:dyDescent="0.25">
      <c r="A2718" t="str">
        <f>"305901134"</f>
        <v>305901134</v>
      </c>
      <c r="B2718" t="str">
        <f t="shared" si="203"/>
        <v>89301000</v>
      </c>
      <c r="C2718" s="1">
        <v>44268</v>
      </c>
      <c r="D2718" s="1">
        <v>44274</v>
      </c>
      <c r="E2718">
        <v>4</v>
      </c>
      <c r="F2718" t="s">
        <v>1610</v>
      </c>
      <c r="G2718" t="str">
        <f>"11-K01-03"</f>
        <v>11-K01-03</v>
      </c>
      <c r="H2718">
        <v>0.59489999999999998</v>
      </c>
      <c r="I2718" t="s">
        <v>1611</v>
      </c>
      <c r="J2718" t="s">
        <v>14</v>
      </c>
      <c r="K2718" t="str">
        <f>"1F5"</f>
        <v>1F5</v>
      </c>
      <c r="L2718" t="s">
        <v>15</v>
      </c>
    </row>
    <row r="2719" spans="1:12" x14ac:dyDescent="0.25">
      <c r="A2719" t="str">
        <f>"305907449"</f>
        <v>305907449</v>
      </c>
      <c r="B2719" t="str">
        <f t="shared" si="203"/>
        <v>89301000</v>
      </c>
      <c r="C2719" s="1">
        <v>44550</v>
      </c>
      <c r="D2719" s="1">
        <v>44553</v>
      </c>
      <c r="E2719">
        <v>1</v>
      </c>
      <c r="F2719" t="s">
        <v>1612</v>
      </c>
      <c r="G2719" t="str">
        <f>"11-M06-02"</f>
        <v>11-M06-02</v>
      </c>
      <c r="H2719">
        <v>0.90400000000000003</v>
      </c>
      <c r="I2719" t="s">
        <v>1613</v>
      </c>
      <c r="J2719" t="s">
        <v>17</v>
      </c>
      <c r="K2719" t="str">
        <f>"7F6"</f>
        <v>7F6</v>
      </c>
      <c r="L2719" t="s">
        <v>15</v>
      </c>
    </row>
    <row r="2720" spans="1:12" x14ac:dyDescent="0.25">
      <c r="A2720" t="str">
        <f>"306106466"</f>
        <v>306106466</v>
      </c>
      <c r="B2720" t="str">
        <f t="shared" si="203"/>
        <v>89301000</v>
      </c>
      <c r="C2720" s="1">
        <v>44375</v>
      </c>
      <c r="D2720" s="1">
        <v>44379</v>
      </c>
      <c r="E2720">
        <v>4</v>
      </c>
      <c r="F2720" t="s">
        <v>1615</v>
      </c>
      <c r="G2720" t="str">
        <f>"08-I13-05"</f>
        <v>08-I13-05</v>
      </c>
      <c r="H2720">
        <v>2.1778</v>
      </c>
      <c r="I2720" t="s">
        <v>1616</v>
      </c>
      <c r="J2720" t="s">
        <v>17</v>
      </c>
      <c r="K2720" t="str">
        <f>"5F3"</f>
        <v>5F3</v>
      </c>
      <c r="L2720" t="s">
        <v>15</v>
      </c>
    </row>
    <row r="2721" spans="1:12" x14ac:dyDescent="0.25">
      <c r="A2721" t="str">
        <f>"306106466"</f>
        <v>306106466</v>
      </c>
      <c r="B2721" t="str">
        <f t="shared" si="203"/>
        <v>89301000</v>
      </c>
      <c r="C2721" s="1">
        <v>44526</v>
      </c>
      <c r="D2721" s="1">
        <v>44526</v>
      </c>
      <c r="E2721">
        <v>7</v>
      </c>
      <c r="F2721" t="s">
        <v>1617</v>
      </c>
      <c r="G2721" t="str">
        <f>"05-K15-01"</f>
        <v>05-K15-01</v>
      </c>
      <c r="H2721">
        <v>0.2863</v>
      </c>
      <c r="I2721" t="s">
        <v>1618</v>
      </c>
      <c r="J2721" t="s">
        <v>14</v>
      </c>
      <c r="K2721" t="str">
        <f>"1F1"</f>
        <v>1F1</v>
      </c>
      <c r="L2721" t="s">
        <v>15</v>
      </c>
    </row>
    <row r="2722" spans="1:12" x14ac:dyDescent="0.25">
      <c r="A2722" t="str">
        <f>"306109439"</f>
        <v>306109439</v>
      </c>
      <c r="B2722" t="str">
        <f t="shared" ref="B2722:B2785" si="204">"89301000"</f>
        <v>89301000</v>
      </c>
      <c r="C2722" s="1">
        <v>44376</v>
      </c>
      <c r="D2722" s="1">
        <v>44379</v>
      </c>
      <c r="E2722">
        <v>1</v>
      </c>
      <c r="F2722" t="s">
        <v>1619</v>
      </c>
      <c r="G2722" t="str">
        <f>"05-D01-06"</f>
        <v>05-D01-06</v>
      </c>
      <c r="H2722">
        <v>0.7611</v>
      </c>
      <c r="I2722" t="s">
        <v>1620</v>
      </c>
      <c r="J2722" t="s">
        <v>14</v>
      </c>
      <c r="K2722" t="str">
        <f>"1F7"</f>
        <v>1F7</v>
      </c>
      <c r="L2722" t="s">
        <v>15</v>
      </c>
    </row>
    <row r="2723" spans="1:12" x14ac:dyDescent="0.25">
      <c r="A2723" t="str">
        <f>"306210448"</f>
        <v>306210448</v>
      </c>
      <c r="B2723" t="str">
        <f t="shared" si="204"/>
        <v>89301000</v>
      </c>
      <c r="C2723" s="1">
        <v>44510</v>
      </c>
      <c r="D2723" s="1">
        <v>44512</v>
      </c>
      <c r="E2723">
        <v>1</v>
      </c>
      <c r="F2723" t="s">
        <v>1621</v>
      </c>
      <c r="G2723" t="str">
        <f>"07-K06-02"</f>
        <v>07-K06-02</v>
      </c>
      <c r="H2723">
        <v>0.45710000000000001</v>
      </c>
      <c r="I2723" t="s">
        <v>1622</v>
      </c>
      <c r="J2723" t="s">
        <v>14</v>
      </c>
      <c r="K2723" t="str">
        <f>"1F1"</f>
        <v>1F1</v>
      </c>
      <c r="L2723" t="s">
        <v>15</v>
      </c>
    </row>
    <row r="2724" spans="1:12" x14ac:dyDescent="0.25">
      <c r="A2724" t="str">
        <f>"306210448"</f>
        <v>306210448</v>
      </c>
      <c r="B2724" t="str">
        <f t="shared" si="204"/>
        <v>89301000</v>
      </c>
      <c r="C2724" s="1">
        <v>44522</v>
      </c>
      <c r="D2724" s="1">
        <v>44531</v>
      </c>
      <c r="E2724">
        <v>8</v>
      </c>
      <c r="F2724" t="s">
        <v>1623</v>
      </c>
      <c r="G2724" t="str">
        <f>"05-K06-04"</f>
        <v>05-K06-04</v>
      </c>
      <c r="H2724">
        <v>2.0264000000000002</v>
      </c>
      <c r="I2724" t="s">
        <v>1624</v>
      </c>
      <c r="J2724" t="s">
        <v>14</v>
      </c>
      <c r="K2724" t="str">
        <f>"1F1"</f>
        <v>1F1</v>
      </c>
      <c r="L2724" t="s">
        <v>15</v>
      </c>
    </row>
    <row r="2725" spans="1:12" x14ac:dyDescent="0.25">
      <c r="A2725" t="str">
        <f>"310607456"</f>
        <v>310607456</v>
      </c>
      <c r="B2725" t="str">
        <f t="shared" si="204"/>
        <v>89301000</v>
      </c>
      <c r="C2725" s="1">
        <v>44461</v>
      </c>
      <c r="D2725" s="1">
        <v>44468</v>
      </c>
      <c r="E2725">
        <v>1</v>
      </c>
      <c r="F2725" t="s">
        <v>1558</v>
      </c>
      <c r="G2725" t="str">
        <f>"05-M01-03"</f>
        <v>05-M01-03</v>
      </c>
      <c r="H2725">
        <v>12.3805</v>
      </c>
      <c r="J2725" t="s">
        <v>17</v>
      </c>
      <c r="K2725" t="str">
        <f>"1F1"</f>
        <v>1F1</v>
      </c>
      <c r="L2725" t="s">
        <v>15</v>
      </c>
    </row>
    <row r="2726" spans="1:12" x14ac:dyDescent="0.25">
      <c r="A2726" t="str">
        <f>"310607456"</f>
        <v>310607456</v>
      </c>
      <c r="B2726" t="str">
        <f t="shared" si="204"/>
        <v>89301000</v>
      </c>
      <c r="C2726" s="1">
        <v>44431</v>
      </c>
      <c r="D2726" s="1">
        <v>44433</v>
      </c>
      <c r="E2726">
        <v>5</v>
      </c>
      <c r="F2726" t="s">
        <v>1557</v>
      </c>
      <c r="G2726" t="str">
        <f>"05-M06-08"</f>
        <v>05-M06-08</v>
      </c>
      <c r="H2726">
        <v>1.4719</v>
      </c>
      <c r="I2726" t="s">
        <v>1558</v>
      </c>
      <c r="J2726" t="s">
        <v>17</v>
      </c>
      <c r="K2726" t="str">
        <f>"1F1"</f>
        <v>1F1</v>
      </c>
      <c r="L2726" t="s">
        <v>15</v>
      </c>
    </row>
    <row r="2727" spans="1:12" x14ac:dyDescent="0.25">
      <c r="A2727" t="str">
        <f>"310721439"</f>
        <v>310721439</v>
      </c>
      <c r="B2727" t="str">
        <f t="shared" si="204"/>
        <v>89301000</v>
      </c>
      <c r="C2727" s="1">
        <v>44341</v>
      </c>
      <c r="D2727" s="1">
        <v>44342</v>
      </c>
      <c r="E2727">
        <v>1</v>
      </c>
      <c r="F2727" t="s">
        <v>1557</v>
      </c>
      <c r="G2727" t="str">
        <f>"05-M06-08"</f>
        <v>05-M06-08</v>
      </c>
      <c r="H2727">
        <v>1.4719</v>
      </c>
      <c r="I2727" t="s">
        <v>1625</v>
      </c>
      <c r="J2727" t="s">
        <v>17</v>
      </c>
      <c r="K2727" t="str">
        <f>"1F7"</f>
        <v>1F7</v>
      </c>
      <c r="L2727" t="s">
        <v>15</v>
      </c>
    </row>
    <row r="2728" spans="1:12" x14ac:dyDescent="0.25">
      <c r="A2728" t="str">
        <f>"310924455"</f>
        <v>310924455</v>
      </c>
      <c r="B2728" t="str">
        <f t="shared" si="204"/>
        <v>89301000</v>
      </c>
      <c r="C2728" s="1">
        <v>44432</v>
      </c>
      <c r="D2728" s="1">
        <v>44435</v>
      </c>
      <c r="E2728">
        <v>1</v>
      </c>
      <c r="F2728" t="s">
        <v>1626</v>
      </c>
      <c r="G2728" t="str">
        <f>"02-K05-01"</f>
        <v>02-K05-01</v>
      </c>
      <c r="H2728">
        <v>0.67849999999999999</v>
      </c>
      <c r="I2728" t="s">
        <v>1627</v>
      </c>
      <c r="J2728" t="s">
        <v>14</v>
      </c>
      <c r="K2728" t="str">
        <f>"7F5"</f>
        <v>7F5</v>
      </c>
      <c r="L2728" t="s">
        <v>15</v>
      </c>
    </row>
    <row r="2729" spans="1:12" x14ac:dyDescent="0.25">
      <c r="A2729" t="str">
        <f>"311005429"</f>
        <v>311005429</v>
      </c>
      <c r="B2729" t="str">
        <f t="shared" si="204"/>
        <v>89301000</v>
      </c>
      <c r="C2729" s="1">
        <v>44301</v>
      </c>
      <c r="D2729" s="1">
        <v>44312</v>
      </c>
      <c r="E2729">
        <v>1</v>
      </c>
      <c r="F2729" t="s">
        <v>448</v>
      </c>
      <c r="G2729" t="str">
        <f>"11-K01-02"</f>
        <v>11-K01-02</v>
      </c>
      <c r="H2729">
        <v>0.82289999999999996</v>
      </c>
      <c r="I2729" t="s">
        <v>1628</v>
      </c>
      <c r="J2729" t="s">
        <v>14</v>
      </c>
      <c r="K2729" t="str">
        <f>"1F5"</f>
        <v>1F5</v>
      </c>
      <c r="L2729" t="s">
        <v>15</v>
      </c>
    </row>
    <row r="2730" spans="1:12" x14ac:dyDescent="0.25">
      <c r="A2730" t="str">
        <f>"311009415"</f>
        <v>311009415</v>
      </c>
      <c r="B2730" t="str">
        <f t="shared" si="204"/>
        <v>89301000</v>
      </c>
      <c r="C2730" s="1">
        <v>44201</v>
      </c>
      <c r="D2730" s="1">
        <v>44204</v>
      </c>
      <c r="E2730">
        <v>5</v>
      </c>
      <c r="F2730" t="s">
        <v>217</v>
      </c>
      <c r="G2730" t="str">
        <f>"04-K02-04"</f>
        <v>04-K02-04</v>
      </c>
      <c r="H2730">
        <v>0.82469999999999999</v>
      </c>
      <c r="I2730" t="s">
        <v>1629</v>
      </c>
      <c r="J2730" t="s">
        <v>14</v>
      </c>
      <c r="K2730" t="str">
        <f>"1F6"</f>
        <v>1F6</v>
      </c>
      <c r="L2730" t="s">
        <v>15</v>
      </c>
    </row>
    <row r="2731" spans="1:12" x14ac:dyDescent="0.25">
      <c r="A2731" t="str">
        <f>"311129411"</f>
        <v>311129411</v>
      </c>
      <c r="B2731" t="str">
        <f t="shared" si="204"/>
        <v>89301000</v>
      </c>
      <c r="C2731" s="1">
        <v>44358</v>
      </c>
      <c r="D2731" s="1">
        <v>44359</v>
      </c>
      <c r="E2731">
        <v>7</v>
      </c>
      <c r="F2731" t="s">
        <v>479</v>
      </c>
      <c r="G2731" t="str">
        <f>"18-K01-04"</f>
        <v>18-K01-04</v>
      </c>
      <c r="H2731">
        <v>1.1113999999999999</v>
      </c>
      <c r="I2731" t="s">
        <v>1630</v>
      </c>
      <c r="J2731" t="s">
        <v>14</v>
      </c>
      <c r="K2731" t="str">
        <f>"1T1"</f>
        <v>1T1</v>
      </c>
      <c r="L2731" t="s">
        <v>15</v>
      </c>
    </row>
    <row r="2732" spans="1:12" x14ac:dyDescent="0.25">
      <c r="A2732" t="str">
        <f>"311213428"</f>
        <v>311213428</v>
      </c>
      <c r="B2732" t="str">
        <f t="shared" si="204"/>
        <v>89301000</v>
      </c>
      <c r="C2732" s="1">
        <v>44271</v>
      </c>
      <c r="D2732" s="1">
        <v>44283</v>
      </c>
      <c r="E2732">
        <v>8</v>
      </c>
      <c r="F2732" t="s">
        <v>1631</v>
      </c>
      <c r="G2732" t="str">
        <f>"17-K02-01"</f>
        <v>17-K02-01</v>
      </c>
      <c r="H2732">
        <v>2.8917000000000002</v>
      </c>
      <c r="I2732" t="s">
        <v>1632</v>
      </c>
      <c r="J2732" t="s">
        <v>14</v>
      </c>
      <c r="K2732" t="str">
        <f>"2F2"</f>
        <v>2F2</v>
      </c>
      <c r="L2732" t="s">
        <v>15</v>
      </c>
    </row>
    <row r="2733" spans="1:12" x14ac:dyDescent="0.25">
      <c r="A2733" t="str">
        <f>"311213428"</f>
        <v>311213428</v>
      </c>
      <c r="B2733" t="str">
        <f t="shared" si="204"/>
        <v>89301000</v>
      </c>
      <c r="C2733" s="1">
        <v>44239</v>
      </c>
      <c r="D2733" s="1">
        <v>44244</v>
      </c>
      <c r="E2733">
        <v>1</v>
      </c>
      <c r="F2733" t="s">
        <v>1631</v>
      </c>
      <c r="G2733" t="str">
        <f>"17-C05-03"</f>
        <v>17-C05-03</v>
      </c>
      <c r="H2733">
        <v>0.59660000000000002</v>
      </c>
      <c r="I2733" t="s">
        <v>147</v>
      </c>
      <c r="J2733" t="s">
        <v>14</v>
      </c>
      <c r="K2733" t="str">
        <f>"2F2"</f>
        <v>2F2</v>
      </c>
      <c r="L2733" t="s">
        <v>15</v>
      </c>
    </row>
    <row r="2734" spans="1:12" x14ac:dyDescent="0.25">
      <c r="A2734" t="str">
        <f>"315207458"</f>
        <v>315207458</v>
      </c>
      <c r="B2734" t="str">
        <f t="shared" si="204"/>
        <v>89301000</v>
      </c>
      <c r="C2734" s="1">
        <v>44533</v>
      </c>
      <c r="D2734" s="1">
        <v>44543</v>
      </c>
      <c r="E2734">
        <v>2</v>
      </c>
      <c r="F2734" t="s">
        <v>354</v>
      </c>
      <c r="G2734" t="str">
        <f>"10-K14-03"</f>
        <v>10-K14-03</v>
      </c>
      <c r="H2734">
        <v>0.50439999999999996</v>
      </c>
      <c r="I2734" t="s">
        <v>1633</v>
      </c>
      <c r="J2734" t="s">
        <v>14</v>
      </c>
      <c r="K2734" t="str">
        <f>"1F1"</f>
        <v>1F1</v>
      </c>
      <c r="L2734" t="s">
        <v>15</v>
      </c>
    </row>
    <row r="2735" spans="1:12" x14ac:dyDescent="0.25">
      <c r="A2735" t="str">
        <f>"315315443"</f>
        <v>315315443</v>
      </c>
      <c r="B2735" t="str">
        <f t="shared" si="204"/>
        <v>89301000</v>
      </c>
      <c r="C2735" s="1">
        <v>44194</v>
      </c>
      <c r="D2735" s="1">
        <v>44200</v>
      </c>
      <c r="E2735">
        <v>4</v>
      </c>
      <c r="F2735" t="s">
        <v>1602</v>
      </c>
      <c r="G2735" t="str">
        <f>"05-K07-04"</f>
        <v>05-K07-04</v>
      </c>
      <c r="H2735">
        <v>1.131</v>
      </c>
      <c r="I2735" t="s">
        <v>1634</v>
      </c>
      <c r="J2735" t="s">
        <v>14</v>
      </c>
      <c r="K2735" t="str">
        <f>"1F5"</f>
        <v>1F5</v>
      </c>
      <c r="L2735" t="s">
        <v>15</v>
      </c>
    </row>
    <row r="2736" spans="1:12" x14ac:dyDescent="0.25">
      <c r="A2736" t="str">
        <f>"315402493"</f>
        <v>315402493</v>
      </c>
      <c r="B2736" t="str">
        <f t="shared" si="204"/>
        <v>89301000</v>
      </c>
      <c r="C2736" s="1">
        <v>44530</v>
      </c>
      <c r="D2736" s="1">
        <v>44551</v>
      </c>
      <c r="E2736">
        <v>4</v>
      </c>
      <c r="F2736" t="s">
        <v>217</v>
      </c>
      <c r="G2736" t="str">
        <f>"04-K02-04"</f>
        <v>04-K02-04</v>
      </c>
      <c r="H2736">
        <v>1.2452000000000001</v>
      </c>
      <c r="I2736" t="s">
        <v>1635</v>
      </c>
      <c r="J2736" t="s">
        <v>14</v>
      </c>
      <c r="K2736" t="str">
        <f>"1F6"</f>
        <v>1F6</v>
      </c>
      <c r="L2736" t="s">
        <v>15</v>
      </c>
    </row>
    <row r="2737" spans="1:12" x14ac:dyDescent="0.25">
      <c r="A2737" t="str">
        <f>"315416427"</f>
        <v>315416427</v>
      </c>
      <c r="B2737" t="str">
        <f t="shared" si="204"/>
        <v>89301000</v>
      </c>
      <c r="C2737" s="1">
        <v>44195</v>
      </c>
      <c r="D2737" s="1">
        <v>44202</v>
      </c>
      <c r="E2737">
        <v>8</v>
      </c>
      <c r="F2737" t="s">
        <v>1548</v>
      </c>
      <c r="G2737" t="str">
        <f>"05-K07-03"</f>
        <v>05-K07-03</v>
      </c>
      <c r="H2737">
        <v>1.7625999999999999</v>
      </c>
      <c r="I2737" t="s">
        <v>1636</v>
      </c>
      <c r="J2737" t="s">
        <v>14</v>
      </c>
      <c r="K2737" t="str">
        <f>"5F1"</f>
        <v>5F1</v>
      </c>
      <c r="L2737" t="s">
        <v>15</v>
      </c>
    </row>
    <row r="2738" spans="1:12" x14ac:dyDescent="0.25">
      <c r="A2738" t="str">
        <f>"315428424"</f>
        <v>315428424</v>
      </c>
      <c r="B2738" t="str">
        <f t="shared" si="204"/>
        <v>89301000</v>
      </c>
      <c r="C2738" s="1">
        <v>44266</v>
      </c>
      <c r="D2738" s="1">
        <v>44270</v>
      </c>
      <c r="E2738">
        <v>4</v>
      </c>
      <c r="F2738" t="s">
        <v>1548</v>
      </c>
      <c r="G2738" t="str">
        <f>"05-K07-03"</f>
        <v>05-K07-03</v>
      </c>
      <c r="H2738">
        <v>1.7625999999999999</v>
      </c>
      <c r="I2738" t="s">
        <v>1637</v>
      </c>
      <c r="J2738" t="s">
        <v>14</v>
      </c>
      <c r="K2738" t="str">
        <f>"1F1"</f>
        <v>1F1</v>
      </c>
      <c r="L2738" t="s">
        <v>15</v>
      </c>
    </row>
    <row r="2739" spans="1:12" x14ac:dyDescent="0.25">
      <c r="A2739" t="str">
        <f>"315509463"</f>
        <v>315509463</v>
      </c>
      <c r="B2739" t="str">
        <f t="shared" si="204"/>
        <v>89301000</v>
      </c>
      <c r="C2739" s="1">
        <v>44551</v>
      </c>
      <c r="D2739" s="1">
        <v>44558</v>
      </c>
      <c r="E2739">
        <v>1</v>
      </c>
      <c r="F2739" t="s">
        <v>1638</v>
      </c>
      <c r="G2739" t="str">
        <f>"11-K01-03"</f>
        <v>11-K01-03</v>
      </c>
      <c r="H2739">
        <v>0.59489999999999998</v>
      </c>
      <c r="I2739" t="s">
        <v>1639</v>
      </c>
      <c r="J2739" t="s">
        <v>14</v>
      </c>
      <c r="K2739" t="str">
        <f>"1F1"</f>
        <v>1F1</v>
      </c>
      <c r="L2739" t="s">
        <v>15</v>
      </c>
    </row>
    <row r="2740" spans="1:12" x14ac:dyDescent="0.25">
      <c r="A2740" t="str">
        <f>"315524480"</f>
        <v>315524480</v>
      </c>
      <c r="B2740" t="str">
        <f t="shared" si="204"/>
        <v>89301000</v>
      </c>
      <c r="C2740" s="1">
        <v>44300</v>
      </c>
      <c r="D2740" s="1">
        <v>44307</v>
      </c>
      <c r="E2740">
        <v>2</v>
      </c>
      <c r="F2740" t="s">
        <v>1553</v>
      </c>
      <c r="G2740" t="str">
        <f>"04-K05-02"</f>
        <v>04-K05-02</v>
      </c>
      <c r="H2740">
        <v>1.2657</v>
      </c>
      <c r="I2740" t="s">
        <v>1640</v>
      </c>
      <c r="J2740" t="s">
        <v>14</v>
      </c>
      <c r="K2740" t="str">
        <f>"1F1"</f>
        <v>1F1</v>
      </c>
      <c r="L2740" t="s">
        <v>15</v>
      </c>
    </row>
    <row r="2741" spans="1:12" x14ac:dyDescent="0.25">
      <c r="A2741" t="str">
        <f>"315524480"</f>
        <v>315524480</v>
      </c>
      <c r="B2741" t="str">
        <f t="shared" si="204"/>
        <v>89301000</v>
      </c>
      <c r="C2741" s="1">
        <v>44462</v>
      </c>
      <c r="D2741" s="1">
        <v>44466</v>
      </c>
      <c r="E2741">
        <v>7</v>
      </c>
      <c r="F2741" t="s">
        <v>38</v>
      </c>
      <c r="G2741" t="str">
        <f>"05-K03-02"</f>
        <v>05-K03-02</v>
      </c>
      <c r="H2741">
        <v>1.2156</v>
      </c>
      <c r="I2741" t="s">
        <v>1641</v>
      </c>
      <c r="J2741" t="s">
        <v>14</v>
      </c>
      <c r="K2741" t="str">
        <f>"1F9"</f>
        <v>1F9</v>
      </c>
      <c r="L2741" t="s">
        <v>15</v>
      </c>
    </row>
    <row r="2742" spans="1:12" x14ac:dyDescent="0.25">
      <c r="A2742" t="str">
        <f>"315527418"</f>
        <v>315527418</v>
      </c>
      <c r="B2742" t="str">
        <f t="shared" si="204"/>
        <v>89301000</v>
      </c>
      <c r="C2742" s="1">
        <v>44292</v>
      </c>
      <c r="D2742" s="1">
        <v>44308</v>
      </c>
      <c r="E2742">
        <v>4</v>
      </c>
      <c r="F2742" t="s">
        <v>479</v>
      </c>
      <c r="G2742" t="str">
        <f>"18-K01-04"</f>
        <v>18-K01-04</v>
      </c>
      <c r="H2742">
        <v>2.4565000000000001</v>
      </c>
      <c r="I2742" t="s">
        <v>1642</v>
      </c>
      <c r="J2742" t="s">
        <v>14</v>
      </c>
      <c r="K2742" t="str">
        <f>"1F1"</f>
        <v>1F1</v>
      </c>
      <c r="L2742" t="s">
        <v>15</v>
      </c>
    </row>
    <row r="2743" spans="1:12" x14ac:dyDescent="0.25">
      <c r="A2743" t="str">
        <f>"315527418"</f>
        <v>315527418</v>
      </c>
      <c r="B2743" t="str">
        <f t="shared" si="204"/>
        <v>89301000</v>
      </c>
      <c r="C2743" s="1">
        <v>44266</v>
      </c>
      <c r="D2743" s="1">
        <v>44277</v>
      </c>
      <c r="E2743">
        <v>4</v>
      </c>
      <c r="F2743" t="s">
        <v>1643</v>
      </c>
      <c r="G2743" t="str">
        <f>"08-I05-07"</f>
        <v>08-I05-07</v>
      </c>
      <c r="H2743">
        <v>2.0272000000000001</v>
      </c>
      <c r="I2743" t="s">
        <v>1644</v>
      </c>
      <c r="J2743" t="s">
        <v>17</v>
      </c>
      <c r="K2743" t="str">
        <f>"5T3"</f>
        <v>5T3</v>
      </c>
      <c r="L2743" t="s">
        <v>15</v>
      </c>
    </row>
    <row r="2744" spans="1:12" x14ac:dyDescent="0.25">
      <c r="A2744" t="str">
        <f>"315628139"</f>
        <v>315628139</v>
      </c>
      <c r="B2744" t="str">
        <f t="shared" si="204"/>
        <v>89301000</v>
      </c>
      <c r="C2744" s="1">
        <v>44224</v>
      </c>
      <c r="D2744" s="1">
        <v>44237</v>
      </c>
      <c r="E2744">
        <v>5</v>
      </c>
      <c r="F2744" t="s">
        <v>217</v>
      </c>
      <c r="G2744" t="str">
        <f>"04-K02-03"</f>
        <v>04-K02-03</v>
      </c>
      <c r="H2744">
        <v>1.2859</v>
      </c>
      <c r="I2744" t="s">
        <v>1645</v>
      </c>
      <c r="J2744" t="s">
        <v>14</v>
      </c>
      <c r="K2744" t="str">
        <f>"5F1"</f>
        <v>5F1</v>
      </c>
      <c r="L2744" t="s">
        <v>15</v>
      </c>
    </row>
    <row r="2745" spans="1:12" x14ac:dyDescent="0.25">
      <c r="A2745" t="str">
        <f>"315722440"</f>
        <v>315722440</v>
      </c>
      <c r="B2745" t="str">
        <f t="shared" si="204"/>
        <v>89301000</v>
      </c>
      <c r="C2745" s="1">
        <v>44483</v>
      </c>
      <c r="D2745" s="1">
        <v>44490</v>
      </c>
      <c r="E2745">
        <v>5</v>
      </c>
      <c r="F2745" t="s">
        <v>1646</v>
      </c>
      <c r="G2745" t="str">
        <f>"04-K02-04"</f>
        <v>04-K02-04</v>
      </c>
      <c r="H2745">
        <v>0.82469999999999999</v>
      </c>
      <c r="I2745" t="s">
        <v>1647</v>
      </c>
      <c r="J2745" t="s">
        <v>14</v>
      </c>
      <c r="K2745" t="str">
        <f>"2F5"</f>
        <v>2F5</v>
      </c>
      <c r="L2745" t="s">
        <v>15</v>
      </c>
    </row>
    <row r="2746" spans="1:12" x14ac:dyDescent="0.25">
      <c r="A2746" t="str">
        <f>"315818462"</f>
        <v>315818462</v>
      </c>
      <c r="B2746" t="str">
        <f t="shared" si="204"/>
        <v>89301000</v>
      </c>
      <c r="C2746" s="1">
        <v>44439</v>
      </c>
      <c r="D2746" s="1">
        <v>44448</v>
      </c>
      <c r="E2746">
        <v>4</v>
      </c>
      <c r="F2746" t="s">
        <v>1602</v>
      </c>
      <c r="G2746" t="str">
        <f>"05-K07-04"</f>
        <v>05-K07-04</v>
      </c>
      <c r="H2746">
        <v>1.131</v>
      </c>
      <c r="I2746" t="s">
        <v>1648</v>
      </c>
      <c r="J2746" t="s">
        <v>14</v>
      </c>
      <c r="K2746" t="str">
        <f>"1F6"</f>
        <v>1F6</v>
      </c>
      <c r="L2746" t="s">
        <v>15</v>
      </c>
    </row>
    <row r="2747" spans="1:12" x14ac:dyDescent="0.25">
      <c r="A2747" t="str">
        <f>"315925121"</f>
        <v>315925121</v>
      </c>
      <c r="B2747" t="str">
        <f t="shared" si="204"/>
        <v>89301000</v>
      </c>
      <c r="C2747" s="1">
        <v>44469</v>
      </c>
      <c r="D2747" s="1">
        <v>44471</v>
      </c>
      <c r="E2747">
        <v>1</v>
      </c>
      <c r="F2747" t="s">
        <v>1557</v>
      </c>
      <c r="G2747" t="str">
        <f>"05-I14-04"</f>
        <v>05-I14-04</v>
      </c>
      <c r="H2747">
        <v>5.4002999999999997</v>
      </c>
      <c r="I2747" t="s">
        <v>1649</v>
      </c>
      <c r="J2747" t="s">
        <v>14</v>
      </c>
      <c r="K2747" t="str">
        <f>"1F7"</f>
        <v>1F7</v>
      </c>
      <c r="L2747" t="s">
        <v>15</v>
      </c>
    </row>
    <row r="2748" spans="1:12" x14ac:dyDescent="0.25">
      <c r="A2748" t="str">
        <f>"315925121"</f>
        <v>315925121</v>
      </c>
      <c r="B2748" t="str">
        <f t="shared" si="204"/>
        <v>89301000</v>
      </c>
      <c r="C2748" s="1">
        <v>44447</v>
      </c>
      <c r="D2748" s="1">
        <v>44448</v>
      </c>
      <c r="E2748">
        <v>1</v>
      </c>
      <c r="F2748" t="s">
        <v>1650</v>
      </c>
      <c r="G2748" t="str">
        <f>"05-D01-06"</f>
        <v>05-D01-06</v>
      </c>
      <c r="H2748">
        <v>0.7611</v>
      </c>
      <c r="I2748" t="s">
        <v>1651</v>
      </c>
      <c r="J2748" t="s">
        <v>14</v>
      </c>
      <c r="K2748" t="str">
        <f>"1F1"</f>
        <v>1F1</v>
      </c>
      <c r="L2748" t="s">
        <v>15</v>
      </c>
    </row>
    <row r="2749" spans="1:12" x14ac:dyDescent="0.25">
      <c r="A2749" t="str">
        <f>"316012419"</f>
        <v>316012419</v>
      </c>
      <c r="B2749" t="str">
        <f t="shared" si="204"/>
        <v>89301000</v>
      </c>
      <c r="C2749" s="1">
        <v>44502</v>
      </c>
      <c r="D2749" s="1">
        <v>44509</v>
      </c>
      <c r="E2749">
        <v>5</v>
      </c>
      <c r="F2749" t="s">
        <v>96</v>
      </c>
      <c r="G2749" t="str">
        <f>"11-I17-01"</f>
        <v>11-I17-01</v>
      </c>
      <c r="H2749">
        <v>1.8375999999999999</v>
      </c>
      <c r="I2749" t="s">
        <v>1652</v>
      </c>
      <c r="J2749" t="s">
        <v>14</v>
      </c>
      <c r="K2749" t="str">
        <f>"1F1"</f>
        <v>1F1</v>
      </c>
      <c r="L2749" t="s">
        <v>15</v>
      </c>
    </row>
    <row r="2750" spans="1:12" x14ac:dyDescent="0.25">
      <c r="A2750" t="str">
        <f>"316012419"</f>
        <v>316012419</v>
      </c>
      <c r="B2750" t="str">
        <f t="shared" si="204"/>
        <v>89301000</v>
      </c>
      <c r="C2750" s="1">
        <v>44423</v>
      </c>
      <c r="D2750" s="1">
        <v>44441</v>
      </c>
      <c r="E2750">
        <v>2</v>
      </c>
      <c r="F2750" t="s">
        <v>829</v>
      </c>
      <c r="G2750" t="str">
        <f>"11-I17-02"</f>
        <v>11-I17-02</v>
      </c>
      <c r="H2750">
        <v>1.2939000000000001</v>
      </c>
      <c r="I2750" t="s">
        <v>1653</v>
      </c>
      <c r="J2750" t="s">
        <v>14</v>
      </c>
      <c r="K2750" t="str">
        <f>"1F6"</f>
        <v>1F6</v>
      </c>
      <c r="L2750" t="s">
        <v>15</v>
      </c>
    </row>
    <row r="2751" spans="1:12" x14ac:dyDescent="0.25">
      <c r="A2751" t="str">
        <f>"316112404"</f>
        <v>316112404</v>
      </c>
      <c r="B2751" t="str">
        <f t="shared" si="204"/>
        <v>89301000</v>
      </c>
      <c r="C2751" s="1">
        <v>44211</v>
      </c>
      <c r="D2751" s="1">
        <v>44214</v>
      </c>
      <c r="E2751">
        <v>5</v>
      </c>
      <c r="F2751" t="s">
        <v>217</v>
      </c>
      <c r="G2751" t="str">
        <f>"04-K02-03"</f>
        <v>04-K02-03</v>
      </c>
      <c r="H2751">
        <v>1.2859</v>
      </c>
      <c r="I2751" t="s">
        <v>1654</v>
      </c>
      <c r="J2751" t="s">
        <v>14</v>
      </c>
      <c r="K2751" t="str">
        <f>"1F6"</f>
        <v>1F6</v>
      </c>
      <c r="L2751" t="s">
        <v>15</v>
      </c>
    </row>
    <row r="2752" spans="1:12" x14ac:dyDescent="0.25">
      <c r="A2752" t="str">
        <f>"316121751"</f>
        <v>316121751</v>
      </c>
      <c r="B2752" t="str">
        <f t="shared" si="204"/>
        <v>89301000</v>
      </c>
      <c r="C2752" s="1">
        <v>44225</v>
      </c>
      <c r="D2752" s="1">
        <v>44232</v>
      </c>
      <c r="E2752">
        <v>4</v>
      </c>
      <c r="F2752" t="s">
        <v>1579</v>
      </c>
      <c r="G2752" t="str">
        <f>"05-I14-03"</f>
        <v>05-I14-03</v>
      </c>
      <c r="H2752">
        <v>6.2266000000000004</v>
      </c>
      <c r="J2752" t="s">
        <v>14</v>
      </c>
      <c r="K2752" t="str">
        <f>"1F7"</f>
        <v>1F7</v>
      </c>
      <c r="L2752" t="s">
        <v>15</v>
      </c>
    </row>
    <row r="2753" spans="1:12" x14ac:dyDescent="0.25">
      <c r="A2753" t="str">
        <f>"316121751"</f>
        <v>316121751</v>
      </c>
      <c r="B2753" t="str">
        <f t="shared" si="204"/>
        <v>89301000</v>
      </c>
      <c r="C2753" s="1">
        <v>44237</v>
      </c>
      <c r="D2753" s="1">
        <v>44251</v>
      </c>
      <c r="E2753">
        <v>4</v>
      </c>
      <c r="F2753" t="s">
        <v>1602</v>
      </c>
      <c r="G2753" t="str">
        <f>"05-K07-04"</f>
        <v>05-K07-04</v>
      </c>
      <c r="H2753">
        <v>1.131</v>
      </c>
      <c r="I2753" t="s">
        <v>1655</v>
      </c>
      <c r="J2753" t="s">
        <v>14</v>
      </c>
      <c r="K2753" t="str">
        <f>"1F1"</f>
        <v>1F1</v>
      </c>
      <c r="L2753" t="s">
        <v>15</v>
      </c>
    </row>
    <row r="2754" spans="1:12" x14ac:dyDescent="0.25">
      <c r="A2754" t="str">
        <f>"316121751"</f>
        <v>316121751</v>
      </c>
      <c r="B2754" t="str">
        <f t="shared" si="204"/>
        <v>89301000</v>
      </c>
      <c r="C2754" s="1">
        <v>44272</v>
      </c>
      <c r="D2754" s="1">
        <v>44273</v>
      </c>
      <c r="E2754">
        <v>8</v>
      </c>
      <c r="F2754" t="s">
        <v>1602</v>
      </c>
      <c r="G2754" t="str">
        <f>"05-K07-02"</f>
        <v>05-K07-02</v>
      </c>
      <c r="H2754">
        <v>0.24510000000000001</v>
      </c>
      <c r="I2754" t="s">
        <v>1656</v>
      </c>
      <c r="J2754" t="s">
        <v>14</v>
      </c>
      <c r="K2754" t="str">
        <f>"1F7"</f>
        <v>1F7</v>
      </c>
      <c r="L2754" t="s">
        <v>15</v>
      </c>
    </row>
    <row r="2755" spans="1:12" x14ac:dyDescent="0.25">
      <c r="A2755" t="str">
        <f>"320124416"</f>
        <v>320124416</v>
      </c>
      <c r="B2755" t="str">
        <f t="shared" si="204"/>
        <v>89301000</v>
      </c>
      <c r="C2755" s="1">
        <v>44457</v>
      </c>
      <c r="D2755" s="1">
        <v>44465</v>
      </c>
      <c r="E2755">
        <v>8</v>
      </c>
      <c r="F2755" t="s">
        <v>1548</v>
      </c>
      <c r="G2755" t="str">
        <f>"05-K07-04"</f>
        <v>05-K07-04</v>
      </c>
      <c r="H2755">
        <v>1.131</v>
      </c>
      <c r="I2755" t="s">
        <v>1657</v>
      </c>
      <c r="J2755" t="s">
        <v>14</v>
      </c>
      <c r="K2755" t="str">
        <f>"1F1"</f>
        <v>1F1</v>
      </c>
      <c r="L2755" t="s">
        <v>15</v>
      </c>
    </row>
    <row r="2756" spans="1:12" x14ac:dyDescent="0.25">
      <c r="A2756" t="str">
        <f>"320218464"</f>
        <v>320218464</v>
      </c>
      <c r="B2756" t="str">
        <f t="shared" si="204"/>
        <v>89301000</v>
      </c>
      <c r="C2756" s="1">
        <v>44480</v>
      </c>
      <c r="D2756" s="1">
        <v>44482</v>
      </c>
      <c r="E2756">
        <v>1</v>
      </c>
      <c r="F2756" t="s">
        <v>1604</v>
      </c>
      <c r="G2756" t="str">
        <f>"05-I25-04"</f>
        <v>05-I25-04</v>
      </c>
      <c r="H2756">
        <v>0.99080000000000001</v>
      </c>
      <c r="I2756" t="s">
        <v>1658</v>
      </c>
      <c r="J2756" t="s">
        <v>17</v>
      </c>
      <c r="K2756" t="str">
        <f>"1F1"</f>
        <v>1F1</v>
      </c>
      <c r="L2756" t="s">
        <v>15</v>
      </c>
    </row>
    <row r="2757" spans="1:12" x14ac:dyDescent="0.25">
      <c r="A2757" t="str">
        <f>"320414493"</f>
        <v>320414493</v>
      </c>
      <c r="B2757" t="str">
        <f t="shared" si="204"/>
        <v>89301000</v>
      </c>
      <c r="C2757" s="1">
        <v>44538</v>
      </c>
      <c r="D2757" s="1">
        <v>44540</v>
      </c>
      <c r="E2757">
        <v>5</v>
      </c>
      <c r="F2757" t="s">
        <v>217</v>
      </c>
      <c r="G2757" t="str">
        <f>"04-K02-04"</f>
        <v>04-K02-04</v>
      </c>
      <c r="H2757">
        <v>0.82469999999999999</v>
      </c>
      <c r="I2757" t="s">
        <v>274</v>
      </c>
      <c r="J2757" t="s">
        <v>14</v>
      </c>
      <c r="K2757" t="str">
        <f>"1F1"</f>
        <v>1F1</v>
      </c>
      <c r="L2757" t="s">
        <v>15</v>
      </c>
    </row>
    <row r="2758" spans="1:12" x14ac:dyDescent="0.25">
      <c r="A2758" t="str">
        <f>"320818470"</f>
        <v>320818470</v>
      </c>
      <c r="B2758" t="str">
        <f t="shared" si="204"/>
        <v>89301000</v>
      </c>
      <c r="C2758" s="1">
        <v>44198</v>
      </c>
      <c r="D2758" s="1">
        <v>44201</v>
      </c>
      <c r="E2758">
        <v>8</v>
      </c>
      <c r="F2758" t="s">
        <v>479</v>
      </c>
      <c r="G2758" t="str">
        <f>"18-K01-05"</f>
        <v>18-K01-05</v>
      </c>
      <c r="H2758">
        <v>1.6713</v>
      </c>
      <c r="I2758" t="s">
        <v>1659</v>
      </c>
      <c r="J2758" t="s">
        <v>14</v>
      </c>
      <c r="K2758" t="str">
        <f>"1T1"</f>
        <v>1T1</v>
      </c>
      <c r="L2758" t="s">
        <v>15</v>
      </c>
    </row>
    <row r="2759" spans="1:12" x14ac:dyDescent="0.25">
      <c r="A2759" t="str">
        <f>"320820411"</f>
        <v>320820411</v>
      </c>
      <c r="B2759" t="str">
        <f t="shared" si="204"/>
        <v>89301000</v>
      </c>
      <c r="C2759" s="1">
        <v>44194</v>
      </c>
      <c r="D2759" s="1">
        <v>44202</v>
      </c>
      <c r="E2759">
        <v>5</v>
      </c>
      <c r="F2759" t="s">
        <v>1660</v>
      </c>
      <c r="G2759" t="str">
        <f>"01-K12-01"</f>
        <v>01-K12-01</v>
      </c>
      <c r="H2759">
        <v>0.71289999999999998</v>
      </c>
      <c r="I2759" t="s">
        <v>1661</v>
      </c>
      <c r="J2759" t="s">
        <v>14</v>
      </c>
      <c r="K2759" t="str">
        <f>"1F1"</f>
        <v>1F1</v>
      </c>
      <c r="L2759" t="s">
        <v>15</v>
      </c>
    </row>
    <row r="2760" spans="1:12" x14ac:dyDescent="0.25">
      <c r="A2760" t="str">
        <f>"320827437"</f>
        <v>320827437</v>
      </c>
      <c r="B2760" t="str">
        <f t="shared" si="204"/>
        <v>89301000</v>
      </c>
      <c r="C2760" s="1">
        <v>44331</v>
      </c>
      <c r="D2760" s="1">
        <v>44336</v>
      </c>
      <c r="E2760">
        <v>1</v>
      </c>
      <c r="F2760" t="s">
        <v>792</v>
      </c>
      <c r="G2760" t="str">
        <f>"11-K14-03"</f>
        <v>11-K14-03</v>
      </c>
      <c r="H2760">
        <v>0.30599999999999999</v>
      </c>
      <c r="I2760" t="s">
        <v>1662</v>
      </c>
      <c r="J2760" t="s">
        <v>14</v>
      </c>
      <c r="K2760" t="str">
        <f>"7F6"</f>
        <v>7F6</v>
      </c>
      <c r="L2760" t="s">
        <v>15</v>
      </c>
    </row>
    <row r="2761" spans="1:12" x14ac:dyDescent="0.25">
      <c r="A2761" t="str">
        <f>"320909408"</f>
        <v>320909408</v>
      </c>
      <c r="B2761" t="str">
        <f t="shared" si="204"/>
        <v>89301000</v>
      </c>
      <c r="C2761" s="1">
        <v>44540</v>
      </c>
      <c r="D2761" s="1">
        <v>44558</v>
      </c>
      <c r="E2761">
        <v>4</v>
      </c>
      <c r="F2761" t="s">
        <v>354</v>
      </c>
      <c r="G2761" t="str">
        <f>"10-K14-01"</f>
        <v>10-K14-01</v>
      </c>
      <c r="H2761">
        <v>1.4377</v>
      </c>
      <c r="I2761" t="s">
        <v>1663</v>
      </c>
      <c r="J2761" t="s">
        <v>14</v>
      </c>
      <c r="K2761" t="str">
        <f>"1F6"</f>
        <v>1F6</v>
      </c>
      <c r="L2761" t="s">
        <v>15</v>
      </c>
    </row>
    <row r="2762" spans="1:12" x14ac:dyDescent="0.25">
      <c r="A2762" t="str">
        <f>"325111758"</f>
        <v>325111758</v>
      </c>
      <c r="B2762" t="str">
        <f t="shared" si="204"/>
        <v>89301000</v>
      </c>
      <c r="C2762" s="1">
        <v>44312</v>
      </c>
      <c r="D2762" s="1">
        <v>44314</v>
      </c>
      <c r="E2762">
        <v>4</v>
      </c>
      <c r="F2762" t="s">
        <v>1664</v>
      </c>
      <c r="G2762" t="str">
        <f>"08-K12-02"</f>
        <v>08-K12-02</v>
      </c>
      <c r="H2762">
        <v>0.71619999999999995</v>
      </c>
      <c r="I2762" t="s">
        <v>21</v>
      </c>
      <c r="J2762" t="s">
        <v>14</v>
      </c>
      <c r="K2762" t="str">
        <f>"5F3"</f>
        <v>5F3</v>
      </c>
      <c r="L2762" t="s">
        <v>15</v>
      </c>
    </row>
    <row r="2763" spans="1:12" x14ac:dyDescent="0.25">
      <c r="A2763" t="str">
        <f>"325126956"</f>
        <v>325126956</v>
      </c>
      <c r="B2763" t="str">
        <f t="shared" si="204"/>
        <v>89301000</v>
      </c>
      <c r="C2763" s="1">
        <v>44550</v>
      </c>
      <c r="D2763" s="1">
        <v>44556</v>
      </c>
      <c r="E2763">
        <v>8</v>
      </c>
      <c r="F2763" t="s">
        <v>625</v>
      </c>
      <c r="G2763" t="str">
        <f>"04-M01-07"</f>
        <v>04-M01-07</v>
      </c>
      <c r="H2763">
        <v>2.6560000000000001</v>
      </c>
      <c r="I2763" t="s">
        <v>1665</v>
      </c>
      <c r="J2763" t="s">
        <v>14</v>
      </c>
      <c r="K2763" t="str">
        <f>"2T5"</f>
        <v>2T5</v>
      </c>
      <c r="L2763" t="s">
        <v>15</v>
      </c>
    </row>
    <row r="2764" spans="1:12" x14ac:dyDescent="0.25">
      <c r="A2764" t="str">
        <f>"325525415"</f>
        <v>325525415</v>
      </c>
      <c r="B2764" t="str">
        <f t="shared" si="204"/>
        <v>89301000</v>
      </c>
      <c r="C2764" s="1">
        <v>44452</v>
      </c>
      <c r="D2764" s="1">
        <v>44456</v>
      </c>
      <c r="E2764">
        <v>4</v>
      </c>
      <c r="F2764" t="s">
        <v>96</v>
      </c>
      <c r="G2764" t="str">
        <f>"11-K01-02"</f>
        <v>11-K01-02</v>
      </c>
      <c r="H2764">
        <v>0.83379999999999999</v>
      </c>
      <c r="I2764" t="s">
        <v>1666</v>
      </c>
      <c r="J2764" t="s">
        <v>14</v>
      </c>
      <c r="K2764" t="str">
        <f>"1F1"</f>
        <v>1F1</v>
      </c>
      <c r="L2764" t="s">
        <v>15</v>
      </c>
    </row>
    <row r="2765" spans="1:12" x14ac:dyDescent="0.25">
      <c r="A2765" t="str">
        <f>"325525415"</f>
        <v>325525415</v>
      </c>
      <c r="B2765" t="str">
        <f t="shared" si="204"/>
        <v>89301000</v>
      </c>
      <c r="C2765" s="1">
        <v>44420</v>
      </c>
      <c r="D2765" s="1">
        <v>44426</v>
      </c>
      <c r="E2765">
        <v>4</v>
      </c>
      <c r="F2765" t="s">
        <v>979</v>
      </c>
      <c r="G2765" t="str">
        <f>"04-K02-03"</f>
        <v>04-K02-03</v>
      </c>
      <c r="H2765">
        <v>1.2859</v>
      </c>
      <c r="I2765" t="s">
        <v>1667</v>
      </c>
      <c r="J2765" t="s">
        <v>14</v>
      </c>
      <c r="K2765" t="str">
        <f>"1F1"</f>
        <v>1F1</v>
      </c>
      <c r="L2765" t="s">
        <v>15</v>
      </c>
    </row>
    <row r="2766" spans="1:12" x14ac:dyDescent="0.25">
      <c r="A2766" t="str">
        <f>"325720457"</f>
        <v>325720457</v>
      </c>
      <c r="B2766" t="str">
        <f t="shared" si="204"/>
        <v>89301000</v>
      </c>
      <c r="C2766" s="1">
        <v>44493</v>
      </c>
      <c r="D2766" s="1">
        <v>44509</v>
      </c>
      <c r="E2766">
        <v>2</v>
      </c>
      <c r="F2766" t="s">
        <v>1668</v>
      </c>
      <c r="G2766" t="str">
        <f>"04-M01-06"</f>
        <v>04-M01-06</v>
      </c>
      <c r="H2766">
        <v>3.5308999999999999</v>
      </c>
      <c r="I2766" t="s">
        <v>1669</v>
      </c>
      <c r="J2766" t="s">
        <v>14</v>
      </c>
      <c r="K2766" t="str">
        <f>"2F5"</f>
        <v>2F5</v>
      </c>
      <c r="L2766" t="s">
        <v>15</v>
      </c>
    </row>
    <row r="2767" spans="1:12" x14ac:dyDescent="0.25">
      <c r="A2767" t="str">
        <f>"325720457"</f>
        <v>325720457</v>
      </c>
      <c r="B2767" t="str">
        <f t="shared" si="204"/>
        <v>89301000</v>
      </c>
      <c r="C2767" s="1">
        <v>44520</v>
      </c>
      <c r="D2767" s="1">
        <v>44533</v>
      </c>
      <c r="E2767">
        <v>1</v>
      </c>
      <c r="F2767" t="s">
        <v>998</v>
      </c>
      <c r="G2767" t="str">
        <f>"18-K01-04"</f>
        <v>18-K01-04</v>
      </c>
      <c r="H2767">
        <v>2.4565000000000001</v>
      </c>
      <c r="I2767" t="s">
        <v>1670</v>
      </c>
      <c r="J2767" t="s">
        <v>14</v>
      </c>
      <c r="K2767" t="str">
        <f>"2F5"</f>
        <v>2F5</v>
      </c>
      <c r="L2767" t="s">
        <v>15</v>
      </c>
    </row>
    <row r="2768" spans="1:12" x14ac:dyDescent="0.25">
      <c r="A2768" t="str">
        <f>"325720457"</f>
        <v>325720457</v>
      </c>
      <c r="B2768" t="str">
        <f t="shared" si="204"/>
        <v>89301000</v>
      </c>
      <c r="C2768" s="1">
        <v>44438</v>
      </c>
      <c r="D2768" s="1">
        <v>44442</v>
      </c>
      <c r="E2768">
        <v>2</v>
      </c>
      <c r="F2768" t="s">
        <v>1548</v>
      </c>
      <c r="G2768" t="str">
        <f>"05-K07-03"</f>
        <v>05-K07-03</v>
      </c>
      <c r="H2768">
        <v>1.7625999999999999</v>
      </c>
      <c r="I2768" t="s">
        <v>1671</v>
      </c>
      <c r="J2768" t="s">
        <v>14</v>
      </c>
      <c r="K2768" t="str">
        <f>"1F1"</f>
        <v>1F1</v>
      </c>
      <c r="L2768" t="s">
        <v>15</v>
      </c>
    </row>
    <row r="2769" spans="1:12" x14ac:dyDescent="0.25">
      <c r="A2769" t="str">
        <f>"325814407"</f>
        <v>325814407</v>
      </c>
      <c r="B2769" t="str">
        <f t="shared" si="204"/>
        <v>89301000</v>
      </c>
      <c r="C2769" s="1">
        <v>44280</v>
      </c>
      <c r="D2769" s="1">
        <v>44286</v>
      </c>
      <c r="E2769">
        <v>1</v>
      </c>
      <c r="F2769" t="s">
        <v>1672</v>
      </c>
      <c r="G2769" t="str">
        <f>"05-M06-06"</f>
        <v>05-M06-06</v>
      </c>
      <c r="H2769">
        <v>1.7652000000000001</v>
      </c>
      <c r="I2769" t="s">
        <v>1673</v>
      </c>
      <c r="J2769" t="s">
        <v>17</v>
      </c>
      <c r="K2769" t="str">
        <f>"1F7"</f>
        <v>1F7</v>
      </c>
      <c r="L2769" t="s">
        <v>15</v>
      </c>
    </row>
    <row r="2770" spans="1:12" x14ac:dyDescent="0.25">
      <c r="A2770" t="str">
        <f>"325818427"</f>
        <v>325818427</v>
      </c>
      <c r="B2770" t="str">
        <f t="shared" si="204"/>
        <v>89301000</v>
      </c>
      <c r="C2770" s="1">
        <v>44315</v>
      </c>
      <c r="D2770" s="1">
        <v>44316</v>
      </c>
      <c r="E2770">
        <v>2</v>
      </c>
      <c r="F2770" t="s">
        <v>1674</v>
      </c>
      <c r="G2770" t="str">
        <f>"08-K08-00"</f>
        <v>08-K08-00</v>
      </c>
      <c r="H2770">
        <v>0.51670000000000005</v>
      </c>
      <c r="I2770" t="s">
        <v>1675</v>
      </c>
      <c r="J2770" t="s">
        <v>14</v>
      </c>
      <c r="K2770" t="str">
        <f>"2F9"</f>
        <v>2F9</v>
      </c>
      <c r="L2770" t="s">
        <v>15</v>
      </c>
    </row>
    <row r="2771" spans="1:12" x14ac:dyDescent="0.25">
      <c r="A2771" t="str">
        <f>"325927449"</f>
        <v>325927449</v>
      </c>
      <c r="B2771" t="str">
        <f t="shared" si="204"/>
        <v>89301000</v>
      </c>
      <c r="C2771" s="1">
        <v>44480</v>
      </c>
      <c r="D2771" s="1">
        <v>44484</v>
      </c>
      <c r="E2771">
        <v>5</v>
      </c>
      <c r="F2771" t="s">
        <v>67</v>
      </c>
      <c r="G2771" t="str">
        <f>"01-C02-02"</f>
        <v>01-C02-02</v>
      </c>
      <c r="H2771">
        <v>1.4877</v>
      </c>
      <c r="I2771" t="s">
        <v>1676</v>
      </c>
      <c r="J2771" t="s">
        <v>14</v>
      </c>
      <c r="K2771" t="str">
        <f>"2T9"</f>
        <v>2T9</v>
      </c>
      <c r="L2771" t="s">
        <v>15</v>
      </c>
    </row>
    <row r="2772" spans="1:12" x14ac:dyDescent="0.25">
      <c r="A2772" t="str">
        <f>"326215086"</f>
        <v>326215086</v>
      </c>
      <c r="B2772" t="str">
        <f t="shared" si="204"/>
        <v>89301000</v>
      </c>
      <c r="C2772" s="1">
        <v>44239</v>
      </c>
      <c r="D2772" s="1">
        <v>44244</v>
      </c>
      <c r="E2772">
        <v>4</v>
      </c>
      <c r="F2772" t="s">
        <v>210</v>
      </c>
      <c r="G2772" t="str">
        <f>"08-K13-01"</f>
        <v>08-K13-01</v>
      </c>
      <c r="H2772">
        <v>0.80049999999999999</v>
      </c>
      <c r="I2772" t="s">
        <v>1677</v>
      </c>
      <c r="J2772" t="s">
        <v>14</v>
      </c>
      <c r="K2772" t="str">
        <f>"5F3"</f>
        <v>5F3</v>
      </c>
      <c r="L2772" t="s">
        <v>15</v>
      </c>
    </row>
    <row r="2773" spans="1:12" x14ac:dyDescent="0.25">
      <c r="A2773" t="str">
        <f>"330222420"</f>
        <v>330222420</v>
      </c>
      <c r="B2773" t="str">
        <f t="shared" si="204"/>
        <v>89301000</v>
      </c>
      <c r="C2773" s="1">
        <v>44508</v>
      </c>
      <c r="D2773" s="1">
        <v>44524</v>
      </c>
      <c r="E2773">
        <v>1</v>
      </c>
      <c r="F2773" t="s">
        <v>448</v>
      </c>
      <c r="G2773" t="str">
        <f>"11-K01-02"</f>
        <v>11-K01-02</v>
      </c>
      <c r="H2773">
        <v>0.82289999999999996</v>
      </c>
      <c r="I2773" t="s">
        <v>1678</v>
      </c>
      <c r="J2773" t="s">
        <v>14</v>
      </c>
      <c r="K2773" t="str">
        <f>"7F6"</f>
        <v>7F6</v>
      </c>
      <c r="L2773" t="s">
        <v>15</v>
      </c>
    </row>
    <row r="2774" spans="1:12" x14ac:dyDescent="0.25">
      <c r="A2774" t="str">
        <f>"330222420"</f>
        <v>330222420</v>
      </c>
      <c r="B2774" t="str">
        <f t="shared" si="204"/>
        <v>89301000</v>
      </c>
      <c r="C2774" s="1">
        <v>44473</v>
      </c>
      <c r="D2774" s="1">
        <v>44478</v>
      </c>
      <c r="E2774">
        <v>1</v>
      </c>
      <c r="F2774" t="s">
        <v>1679</v>
      </c>
      <c r="G2774" t="str">
        <f>"11-M06-01"</f>
        <v>11-M06-01</v>
      </c>
      <c r="H2774">
        <v>1.8076000000000001</v>
      </c>
      <c r="I2774" t="s">
        <v>1680</v>
      </c>
      <c r="J2774" t="s">
        <v>17</v>
      </c>
      <c r="K2774" t="str">
        <f>"7F6"</f>
        <v>7F6</v>
      </c>
      <c r="L2774" t="s">
        <v>15</v>
      </c>
    </row>
    <row r="2775" spans="1:12" x14ac:dyDescent="0.25">
      <c r="A2775" t="str">
        <f>"330327414"</f>
        <v>330327414</v>
      </c>
      <c r="B2775" t="str">
        <f t="shared" si="204"/>
        <v>89301000</v>
      </c>
      <c r="C2775" s="1">
        <v>44472</v>
      </c>
      <c r="D2775" s="1">
        <v>44480</v>
      </c>
      <c r="E2775">
        <v>7</v>
      </c>
      <c r="F2775" t="s">
        <v>998</v>
      </c>
      <c r="G2775" t="str">
        <f>"18-K01-05"</f>
        <v>18-K01-05</v>
      </c>
      <c r="H2775">
        <v>1.6713</v>
      </c>
      <c r="I2775" t="s">
        <v>1681</v>
      </c>
      <c r="J2775" t="s">
        <v>14</v>
      </c>
      <c r="K2775" t="str">
        <f>"1T1"</f>
        <v>1T1</v>
      </c>
      <c r="L2775" t="s">
        <v>15</v>
      </c>
    </row>
    <row r="2776" spans="1:12" x14ac:dyDescent="0.25">
      <c r="A2776" t="str">
        <f>"330327414"</f>
        <v>330327414</v>
      </c>
      <c r="B2776" t="str">
        <f t="shared" si="204"/>
        <v>89301000</v>
      </c>
      <c r="C2776" s="1">
        <v>44233</v>
      </c>
      <c r="D2776" s="1">
        <v>44238</v>
      </c>
      <c r="E2776">
        <v>4</v>
      </c>
      <c r="F2776" t="s">
        <v>1608</v>
      </c>
      <c r="G2776" t="str">
        <f>"01-K10-03"</f>
        <v>01-K10-03</v>
      </c>
      <c r="H2776">
        <v>1.0016</v>
      </c>
      <c r="I2776" t="s">
        <v>1682</v>
      </c>
      <c r="J2776" t="s">
        <v>14</v>
      </c>
      <c r="K2776" t="str">
        <f>"2F9"</f>
        <v>2F9</v>
      </c>
      <c r="L2776" t="s">
        <v>15</v>
      </c>
    </row>
    <row r="2777" spans="1:12" x14ac:dyDescent="0.25">
      <c r="A2777" t="str">
        <f>"330601021"</f>
        <v>330601021</v>
      </c>
      <c r="B2777" t="str">
        <f t="shared" si="204"/>
        <v>89301000</v>
      </c>
      <c r="C2777" s="1">
        <v>44288</v>
      </c>
      <c r="D2777" s="1">
        <v>44290</v>
      </c>
      <c r="E2777">
        <v>1</v>
      </c>
      <c r="F2777" t="s">
        <v>1683</v>
      </c>
      <c r="G2777" t="str">
        <f>"05-M06-06"</f>
        <v>05-M06-06</v>
      </c>
      <c r="H2777">
        <v>1.7652000000000001</v>
      </c>
      <c r="I2777" t="s">
        <v>1684</v>
      </c>
      <c r="J2777" t="s">
        <v>17</v>
      </c>
      <c r="K2777" t="str">
        <f>"1F1"</f>
        <v>1F1</v>
      </c>
      <c r="L2777" t="s">
        <v>15</v>
      </c>
    </row>
    <row r="2778" spans="1:12" x14ac:dyDescent="0.25">
      <c r="A2778" t="str">
        <f>"330601021"</f>
        <v>330601021</v>
      </c>
      <c r="B2778" t="str">
        <f t="shared" si="204"/>
        <v>89301000</v>
      </c>
      <c r="C2778" s="1">
        <v>44484</v>
      </c>
      <c r="D2778" s="1">
        <v>44488</v>
      </c>
      <c r="E2778">
        <v>1</v>
      </c>
      <c r="F2778" t="s">
        <v>38</v>
      </c>
      <c r="G2778" t="str">
        <f>"05-M06-06"</f>
        <v>05-M06-06</v>
      </c>
      <c r="H2778">
        <v>1.7652000000000001</v>
      </c>
      <c r="I2778" t="s">
        <v>1685</v>
      </c>
      <c r="J2778" t="s">
        <v>17</v>
      </c>
      <c r="K2778" t="str">
        <f>"1F1"</f>
        <v>1F1</v>
      </c>
      <c r="L2778" t="s">
        <v>15</v>
      </c>
    </row>
    <row r="2779" spans="1:12" x14ac:dyDescent="0.25">
      <c r="A2779" t="str">
        <f>"330621415"</f>
        <v>330621415</v>
      </c>
      <c r="B2779" t="str">
        <f t="shared" si="204"/>
        <v>89301000</v>
      </c>
      <c r="C2779" s="1">
        <v>44383</v>
      </c>
      <c r="D2779" s="1">
        <v>44385</v>
      </c>
      <c r="E2779">
        <v>8</v>
      </c>
      <c r="F2779" t="s">
        <v>1686</v>
      </c>
      <c r="G2779" t="str">
        <f>"04-K02-03"</f>
        <v>04-K02-03</v>
      </c>
      <c r="H2779">
        <v>0.97919999999999996</v>
      </c>
      <c r="I2779" t="s">
        <v>1687</v>
      </c>
      <c r="J2779" t="s">
        <v>14</v>
      </c>
      <c r="K2779" t="str">
        <f>"2F5"</f>
        <v>2F5</v>
      </c>
      <c r="L2779" t="s">
        <v>15</v>
      </c>
    </row>
    <row r="2780" spans="1:12" x14ac:dyDescent="0.25">
      <c r="A2780" t="str">
        <f>"330803427"</f>
        <v>330803427</v>
      </c>
      <c r="B2780" t="str">
        <f t="shared" si="204"/>
        <v>89301000</v>
      </c>
      <c r="C2780" s="1">
        <v>44315</v>
      </c>
      <c r="D2780" s="1">
        <v>44316</v>
      </c>
      <c r="E2780">
        <v>1</v>
      </c>
      <c r="F2780" t="s">
        <v>1688</v>
      </c>
      <c r="G2780" t="str">
        <f>"02-I06-03"</f>
        <v>02-I06-03</v>
      </c>
      <c r="H2780">
        <v>0.63690000000000002</v>
      </c>
      <c r="I2780" t="s">
        <v>1689</v>
      </c>
      <c r="J2780" t="s">
        <v>17</v>
      </c>
      <c r="K2780" t="str">
        <f>"7F5"</f>
        <v>7F5</v>
      </c>
      <c r="L2780" t="s">
        <v>15</v>
      </c>
    </row>
    <row r="2781" spans="1:12" x14ac:dyDescent="0.25">
      <c r="A2781" t="str">
        <f>"330817459"</f>
        <v>330817459</v>
      </c>
      <c r="B2781" t="str">
        <f t="shared" si="204"/>
        <v>89301000</v>
      </c>
      <c r="C2781" s="1">
        <v>44392</v>
      </c>
      <c r="D2781" s="1">
        <v>44452</v>
      </c>
      <c r="E2781">
        <v>1</v>
      </c>
      <c r="F2781" t="s">
        <v>1690</v>
      </c>
      <c r="G2781" t="str">
        <f>"07-I04-02"</f>
        <v>07-I04-02</v>
      </c>
      <c r="H2781">
        <v>8.5008999999999997</v>
      </c>
      <c r="I2781" t="s">
        <v>1691</v>
      </c>
      <c r="J2781" t="s">
        <v>17</v>
      </c>
      <c r="K2781" t="str">
        <f>"1F6"</f>
        <v>1F6</v>
      </c>
      <c r="L2781" t="s">
        <v>15</v>
      </c>
    </row>
    <row r="2782" spans="1:12" x14ac:dyDescent="0.25">
      <c r="A2782" t="str">
        <f>"330817459"</f>
        <v>330817459</v>
      </c>
      <c r="B2782" t="str">
        <f t="shared" si="204"/>
        <v>89301000</v>
      </c>
      <c r="C2782" s="1">
        <v>44346</v>
      </c>
      <c r="D2782" s="1">
        <v>44369</v>
      </c>
      <c r="E2782">
        <v>4</v>
      </c>
      <c r="F2782" t="s">
        <v>48</v>
      </c>
      <c r="G2782" t="str">
        <f>"07-M02-01"</f>
        <v>07-M02-01</v>
      </c>
      <c r="H2782">
        <v>2.5634999999999999</v>
      </c>
      <c r="I2782" t="s">
        <v>1692</v>
      </c>
      <c r="J2782" t="s">
        <v>17</v>
      </c>
      <c r="K2782" t="str">
        <f>"1F1"</f>
        <v>1F1</v>
      </c>
      <c r="L2782" t="s">
        <v>15</v>
      </c>
    </row>
    <row r="2783" spans="1:12" x14ac:dyDescent="0.25">
      <c r="A2783" t="str">
        <f>"330817459"</f>
        <v>330817459</v>
      </c>
      <c r="B2783" t="str">
        <f t="shared" si="204"/>
        <v>89301000</v>
      </c>
      <c r="C2783" s="1">
        <v>44462</v>
      </c>
      <c r="D2783" s="1">
        <v>44474</v>
      </c>
      <c r="E2783">
        <v>4</v>
      </c>
      <c r="F2783" t="s">
        <v>1693</v>
      </c>
      <c r="G2783" t="str">
        <f>"07-K06-01"</f>
        <v>07-K06-01</v>
      </c>
      <c r="H2783">
        <v>1.0365</v>
      </c>
      <c r="I2783" t="s">
        <v>1694</v>
      </c>
      <c r="J2783" t="s">
        <v>14</v>
      </c>
      <c r="K2783" t="str">
        <f>"1F5"</f>
        <v>1F5</v>
      </c>
      <c r="L2783" t="s">
        <v>15</v>
      </c>
    </row>
    <row r="2784" spans="1:12" x14ac:dyDescent="0.25">
      <c r="A2784" t="str">
        <f>"331016410"</f>
        <v>331016410</v>
      </c>
      <c r="B2784" t="str">
        <f t="shared" si="204"/>
        <v>89301000</v>
      </c>
      <c r="C2784" s="1">
        <v>44472</v>
      </c>
      <c r="D2784" s="1">
        <v>44483</v>
      </c>
      <c r="E2784">
        <v>5</v>
      </c>
      <c r="F2784" t="s">
        <v>1548</v>
      </c>
      <c r="G2784" t="str">
        <f>"05-I14-01"</f>
        <v>05-I14-01</v>
      </c>
      <c r="H2784">
        <v>10.0059</v>
      </c>
      <c r="I2784" t="s">
        <v>1695</v>
      </c>
      <c r="J2784" t="s">
        <v>14</v>
      </c>
      <c r="K2784" t="str">
        <f>"1T1"</f>
        <v>1T1</v>
      </c>
      <c r="L2784" t="s">
        <v>15</v>
      </c>
    </row>
    <row r="2785" spans="1:12" x14ac:dyDescent="0.25">
      <c r="A2785" t="str">
        <f>"331016410"</f>
        <v>331016410</v>
      </c>
      <c r="B2785" t="str">
        <f t="shared" si="204"/>
        <v>89301000</v>
      </c>
      <c r="C2785" s="1">
        <v>44444</v>
      </c>
      <c r="D2785" s="1">
        <v>44453</v>
      </c>
      <c r="E2785">
        <v>5</v>
      </c>
      <c r="F2785" t="s">
        <v>1683</v>
      </c>
      <c r="G2785" t="str">
        <f>"05-M06-06"</f>
        <v>05-M06-06</v>
      </c>
      <c r="H2785">
        <v>1.9175</v>
      </c>
      <c r="I2785" t="s">
        <v>1696</v>
      </c>
      <c r="J2785" t="s">
        <v>17</v>
      </c>
      <c r="K2785" t="str">
        <f>"1F7"</f>
        <v>1F7</v>
      </c>
      <c r="L2785" t="s">
        <v>15</v>
      </c>
    </row>
    <row r="2786" spans="1:12" x14ac:dyDescent="0.25">
      <c r="A2786" t="str">
        <f>"331106444"</f>
        <v>331106444</v>
      </c>
      <c r="B2786" t="str">
        <f t="shared" ref="B2786:B2849" si="205">"89301000"</f>
        <v>89301000</v>
      </c>
      <c r="C2786" s="1">
        <v>44487</v>
      </c>
      <c r="D2786" s="1">
        <v>44495</v>
      </c>
      <c r="E2786">
        <v>1</v>
      </c>
      <c r="F2786" t="s">
        <v>1697</v>
      </c>
      <c r="G2786" t="str">
        <f>"09-I10-01"</f>
        <v>09-I10-01</v>
      </c>
      <c r="H2786">
        <v>1.7784</v>
      </c>
      <c r="I2786" t="s">
        <v>1698</v>
      </c>
      <c r="J2786" t="s">
        <v>17</v>
      </c>
      <c r="K2786" t="str">
        <f>"7F1"</f>
        <v>7F1</v>
      </c>
      <c r="L2786" t="s">
        <v>15</v>
      </c>
    </row>
    <row r="2787" spans="1:12" x14ac:dyDescent="0.25">
      <c r="A2787" t="str">
        <f>"335128406"</f>
        <v>335128406</v>
      </c>
      <c r="B2787" t="str">
        <f t="shared" si="205"/>
        <v>89301000</v>
      </c>
      <c r="C2787" s="1">
        <v>44392</v>
      </c>
      <c r="D2787" s="1">
        <v>44396</v>
      </c>
      <c r="E2787">
        <v>1</v>
      </c>
      <c r="F2787" t="s">
        <v>1699</v>
      </c>
      <c r="G2787" t="str">
        <f>"01-K10-03"</f>
        <v>01-K10-03</v>
      </c>
      <c r="H2787">
        <v>1.0016</v>
      </c>
      <c r="I2787" t="s">
        <v>1700</v>
      </c>
      <c r="J2787" t="s">
        <v>14</v>
      </c>
      <c r="K2787" t="str">
        <f>"2F9"</f>
        <v>2F9</v>
      </c>
      <c r="L2787" t="s">
        <v>15</v>
      </c>
    </row>
    <row r="2788" spans="1:12" x14ac:dyDescent="0.25">
      <c r="A2788" t="str">
        <f>"335131442"</f>
        <v>335131442</v>
      </c>
      <c r="B2788" t="str">
        <f t="shared" si="205"/>
        <v>89301000</v>
      </c>
      <c r="C2788" s="1">
        <v>44536</v>
      </c>
      <c r="D2788" s="1">
        <v>44543</v>
      </c>
      <c r="E2788">
        <v>4</v>
      </c>
      <c r="F2788" t="s">
        <v>1615</v>
      </c>
      <c r="G2788" t="str">
        <f>"08-I13-05"</f>
        <v>08-I13-05</v>
      </c>
      <c r="H2788">
        <v>2.1778</v>
      </c>
      <c r="I2788" t="s">
        <v>1701</v>
      </c>
      <c r="J2788" t="s">
        <v>17</v>
      </c>
      <c r="K2788" t="str">
        <f>"5T3"</f>
        <v>5T3</v>
      </c>
      <c r="L2788" t="s">
        <v>15</v>
      </c>
    </row>
    <row r="2789" spans="1:12" x14ac:dyDescent="0.25">
      <c r="A2789" t="str">
        <f>"335206466"</f>
        <v>335206466</v>
      </c>
      <c r="B2789" t="str">
        <f t="shared" si="205"/>
        <v>89301000</v>
      </c>
      <c r="C2789" s="1">
        <v>44389</v>
      </c>
      <c r="D2789" s="1">
        <v>44404</v>
      </c>
      <c r="E2789">
        <v>4</v>
      </c>
      <c r="F2789" t="s">
        <v>1664</v>
      </c>
      <c r="G2789" t="str">
        <f>"08-K12-01"</f>
        <v>08-K12-01</v>
      </c>
      <c r="H2789">
        <v>1.5250999999999999</v>
      </c>
      <c r="I2789" t="s">
        <v>1702</v>
      </c>
      <c r="J2789" t="s">
        <v>14</v>
      </c>
      <c r="K2789" t="str">
        <f>"1F6"</f>
        <v>1F6</v>
      </c>
      <c r="L2789" t="s">
        <v>15</v>
      </c>
    </row>
    <row r="2790" spans="1:12" x14ac:dyDescent="0.25">
      <c r="A2790" t="str">
        <f>"335221414"</f>
        <v>335221414</v>
      </c>
      <c r="B2790" t="str">
        <f t="shared" si="205"/>
        <v>89301000</v>
      </c>
      <c r="C2790" s="1">
        <v>44232</v>
      </c>
      <c r="D2790" s="1">
        <v>44264</v>
      </c>
      <c r="E2790">
        <v>4</v>
      </c>
      <c r="F2790" t="s">
        <v>217</v>
      </c>
      <c r="G2790" t="str">
        <f>"04-K02-02"</f>
        <v>04-K02-02</v>
      </c>
      <c r="H2790">
        <v>2.8935</v>
      </c>
      <c r="I2790" t="s">
        <v>1703</v>
      </c>
      <c r="J2790" t="s">
        <v>14</v>
      </c>
      <c r="K2790" t="str">
        <f>"1F1"</f>
        <v>1F1</v>
      </c>
      <c r="L2790" t="s">
        <v>15</v>
      </c>
    </row>
    <row r="2791" spans="1:12" x14ac:dyDescent="0.25">
      <c r="A2791" t="str">
        <f>"335221414"</f>
        <v>335221414</v>
      </c>
      <c r="B2791" t="str">
        <f t="shared" si="205"/>
        <v>89301000</v>
      </c>
      <c r="C2791" s="1">
        <v>44393</v>
      </c>
      <c r="D2791" s="1">
        <v>44396</v>
      </c>
      <c r="E2791">
        <v>1</v>
      </c>
      <c r="F2791" t="s">
        <v>1704</v>
      </c>
      <c r="G2791" t="str">
        <f>"23-K05-02"</f>
        <v>23-K05-02</v>
      </c>
      <c r="H2791">
        <v>0.4425</v>
      </c>
      <c r="I2791" t="s">
        <v>1705</v>
      </c>
      <c r="J2791" t="s">
        <v>14</v>
      </c>
      <c r="K2791" t="str">
        <f>"7F5"</f>
        <v>7F5</v>
      </c>
      <c r="L2791" t="s">
        <v>15</v>
      </c>
    </row>
    <row r="2792" spans="1:12" x14ac:dyDescent="0.25">
      <c r="A2792" t="str">
        <f>"335323404"</f>
        <v>335323404</v>
      </c>
      <c r="B2792" t="str">
        <f t="shared" si="205"/>
        <v>89301000</v>
      </c>
      <c r="C2792" s="1">
        <v>44494</v>
      </c>
      <c r="D2792" s="1">
        <v>44498</v>
      </c>
      <c r="E2792">
        <v>1</v>
      </c>
      <c r="F2792" t="s">
        <v>1604</v>
      </c>
      <c r="G2792" t="str">
        <f>"05-I25-03"</f>
        <v>05-I25-03</v>
      </c>
      <c r="H2792">
        <v>1.5508</v>
      </c>
      <c r="I2792" t="s">
        <v>1706</v>
      </c>
      <c r="J2792" t="s">
        <v>17</v>
      </c>
      <c r="K2792" t="str">
        <f>"1F7"</f>
        <v>1F7</v>
      </c>
      <c r="L2792" t="s">
        <v>15</v>
      </c>
    </row>
    <row r="2793" spans="1:12" x14ac:dyDescent="0.25">
      <c r="A2793" t="str">
        <f>"335323404"</f>
        <v>335323404</v>
      </c>
      <c r="B2793" t="str">
        <f t="shared" si="205"/>
        <v>89301000</v>
      </c>
      <c r="C2793" s="1">
        <v>44453</v>
      </c>
      <c r="D2793" s="1">
        <v>44460</v>
      </c>
      <c r="E2793">
        <v>1</v>
      </c>
      <c r="F2793" t="s">
        <v>354</v>
      </c>
      <c r="G2793" t="str">
        <f>"10-K14-03"</f>
        <v>10-K14-03</v>
      </c>
      <c r="H2793">
        <v>0.50439999999999996</v>
      </c>
      <c r="I2793" t="s">
        <v>1707</v>
      </c>
      <c r="J2793" t="s">
        <v>14</v>
      </c>
      <c r="K2793" t="str">
        <f>"1F1"</f>
        <v>1F1</v>
      </c>
      <c r="L2793" t="s">
        <v>15</v>
      </c>
    </row>
    <row r="2794" spans="1:12" x14ac:dyDescent="0.25">
      <c r="A2794" t="str">
        <f>"335403453"</f>
        <v>335403453</v>
      </c>
      <c r="B2794" t="str">
        <f t="shared" si="205"/>
        <v>89301000</v>
      </c>
      <c r="C2794" s="1">
        <v>44339</v>
      </c>
      <c r="D2794" s="1">
        <v>44340</v>
      </c>
      <c r="E2794">
        <v>1</v>
      </c>
      <c r="F2794" t="s">
        <v>1599</v>
      </c>
      <c r="G2794" t="str">
        <f>"05-D01-06"</f>
        <v>05-D01-06</v>
      </c>
      <c r="H2794">
        <v>0.7611</v>
      </c>
      <c r="I2794" t="s">
        <v>1708</v>
      </c>
      <c r="J2794" t="s">
        <v>14</v>
      </c>
      <c r="K2794" t="str">
        <f>"1F7"</f>
        <v>1F7</v>
      </c>
      <c r="L2794" t="s">
        <v>15</v>
      </c>
    </row>
    <row r="2795" spans="1:12" x14ac:dyDescent="0.25">
      <c r="A2795" t="str">
        <f>"335403453"</f>
        <v>335403453</v>
      </c>
      <c r="B2795" t="str">
        <f t="shared" si="205"/>
        <v>89301000</v>
      </c>
      <c r="C2795" s="1">
        <v>44323</v>
      </c>
      <c r="D2795" s="1">
        <v>44328</v>
      </c>
      <c r="E2795">
        <v>1</v>
      </c>
      <c r="F2795" t="s">
        <v>1606</v>
      </c>
      <c r="G2795" t="str">
        <f>"05-K05-02"</f>
        <v>05-K05-02</v>
      </c>
      <c r="H2795">
        <v>0.90600000000000003</v>
      </c>
      <c r="I2795" t="s">
        <v>1709</v>
      </c>
      <c r="J2795" t="s">
        <v>14</v>
      </c>
      <c r="K2795" t="str">
        <f>"1F1"</f>
        <v>1F1</v>
      </c>
      <c r="L2795" t="s">
        <v>15</v>
      </c>
    </row>
    <row r="2796" spans="1:12" x14ac:dyDescent="0.25">
      <c r="A2796" t="str">
        <f>"335403453"</f>
        <v>335403453</v>
      </c>
      <c r="B2796" t="str">
        <f t="shared" si="205"/>
        <v>89301000</v>
      </c>
      <c r="C2796" s="1">
        <v>44393</v>
      </c>
      <c r="D2796" s="1">
        <v>44419</v>
      </c>
      <c r="E2796">
        <v>1</v>
      </c>
      <c r="F2796" t="s">
        <v>1280</v>
      </c>
      <c r="G2796" t="str">
        <f>"04-K02-04"</f>
        <v>04-K02-04</v>
      </c>
      <c r="H2796">
        <v>1.5512999999999999</v>
      </c>
      <c r="I2796" t="s">
        <v>1710</v>
      </c>
      <c r="J2796" t="s">
        <v>14</v>
      </c>
      <c r="K2796" t="str">
        <f>"1F6"</f>
        <v>1F6</v>
      </c>
      <c r="L2796" t="s">
        <v>15</v>
      </c>
    </row>
    <row r="2797" spans="1:12" x14ac:dyDescent="0.25">
      <c r="A2797" t="str">
        <f>"335403453"</f>
        <v>335403453</v>
      </c>
      <c r="B2797" t="str">
        <f t="shared" si="205"/>
        <v>89301000</v>
      </c>
      <c r="C2797" s="1">
        <v>44354</v>
      </c>
      <c r="D2797" s="1">
        <v>44356</v>
      </c>
      <c r="E2797">
        <v>1</v>
      </c>
      <c r="F2797" t="s">
        <v>1548</v>
      </c>
      <c r="G2797" t="str">
        <f>"05-I14-04"</f>
        <v>05-I14-04</v>
      </c>
      <c r="H2797">
        <v>5.4002999999999997</v>
      </c>
      <c r="I2797" t="s">
        <v>1711</v>
      </c>
      <c r="J2797" t="s">
        <v>14</v>
      </c>
      <c r="K2797" t="str">
        <f>"1F7"</f>
        <v>1F7</v>
      </c>
      <c r="L2797" t="s">
        <v>15</v>
      </c>
    </row>
    <row r="2798" spans="1:12" x14ac:dyDescent="0.25">
      <c r="A2798" t="str">
        <f>"335423465"</f>
        <v>335423465</v>
      </c>
      <c r="B2798" t="str">
        <f t="shared" si="205"/>
        <v>89301000</v>
      </c>
      <c r="C2798" s="1">
        <v>44335</v>
      </c>
      <c r="D2798" s="1">
        <v>44340</v>
      </c>
      <c r="E2798">
        <v>4</v>
      </c>
      <c r="F2798" t="s">
        <v>96</v>
      </c>
      <c r="G2798" t="str">
        <f>"11-K01-03"</f>
        <v>11-K01-03</v>
      </c>
      <c r="H2798">
        <v>0.59489999999999998</v>
      </c>
      <c r="I2798" t="s">
        <v>1712</v>
      </c>
      <c r="J2798" t="s">
        <v>14</v>
      </c>
      <c r="K2798" t="str">
        <f>"1F1"</f>
        <v>1F1</v>
      </c>
      <c r="L2798" t="s">
        <v>15</v>
      </c>
    </row>
    <row r="2799" spans="1:12" x14ac:dyDescent="0.25">
      <c r="A2799" t="str">
        <f>"335506412"</f>
        <v>335506412</v>
      </c>
      <c r="B2799" t="str">
        <f t="shared" si="205"/>
        <v>89301000</v>
      </c>
      <c r="C2799" s="1">
        <v>44285</v>
      </c>
      <c r="D2799" s="1">
        <v>44292</v>
      </c>
      <c r="E2799">
        <v>2</v>
      </c>
      <c r="F2799" t="s">
        <v>1553</v>
      </c>
      <c r="G2799" t="str">
        <f>"04-K05-03"</f>
        <v>04-K05-03</v>
      </c>
      <c r="H2799">
        <v>0.74980000000000002</v>
      </c>
      <c r="I2799" t="s">
        <v>1713</v>
      </c>
      <c r="J2799" t="s">
        <v>14</v>
      </c>
      <c r="K2799" t="str">
        <f>"2F5"</f>
        <v>2F5</v>
      </c>
      <c r="L2799" t="s">
        <v>15</v>
      </c>
    </row>
    <row r="2800" spans="1:12" x14ac:dyDescent="0.25">
      <c r="A2800" t="str">
        <f>"335509114"</f>
        <v>335509114</v>
      </c>
      <c r="B2800" t="str">
        <f t="shared" si="205"/>
        <v>89301000</v>
      </c>
      <c r="C2800" s="1">
        <v>44302</v>
      </c>
      <c r="D2800" s="1">
        <v>44305</v>
      </c>
      <c r="E2800">
        <v>1</v>
      </c>
      <c r="F2800" t="s">
        <v>1619</v>
      </c>
      <c r="G2800" t="str">
        <f>"05-M06-06"</f>
        <v>05-M06-06</v>
      </c>
      <c r="H2800">
        <v>1.7652000000000001</v>
      </c>
      <c r="I2800" t="s">
        <v>1556</v>
      </c>
      <c r="J2800" t="s">
        <v>17</v>
      </c>
      <c r="K2800" t="str">
        <f>"1F7"</f>
        <v>1F7</v>
      </c>
      <c r="L2800" t="s">
        <v>15</v>
      </c>
    </row>
    <row r="2801" spans="1:12" x14ac:dyDescent="0.25">
      <c r="A2801" t="str">
        <f>"335522054"</f>
        <v>335522054</v>
      </c>
      <c r="B2801" t="str">
        <f t="shared" si="205"/>
        <v>89301000</v>
      </c>
      <c r="C2801" s="1">
        <v>44514</v>
      </c>
      <c r="D2801" s="1">
        <v>44522</v>
      </c>
      <c r="E2801">
        <v>2</v>
      </c>
      <c r="F2801" t="s">
        <v>1615</v>
      </c>
      <c r="G2801" t="str">
        <f>"08-I13-05"</f>
        <v>08-I13-05</v>
      </c>
      <c r="H2801">
        <v>2.1778</v>
      </c>
      <c r="I2801" t="s">
        <v>1714</v>
      </c>
      <c r="J2801" t="s">
        <v>17</v>
      </c>
      <c r="K2801" t="str">
        <f>"5T3"</f>
        <v>5T3</v>
      </c>
      <c r="L2801" t="s">
        <v>15</v>
      </c>
    </row>
    <row r="2802" spans="1:12" x14ac:dyDescent="0.25">
      <c r="A2802" t="str">
        <f>"335624422"</f>
        <v>335624422</v>
      </c>
      <c r="B2802" t="str">
        <f t="shared" si="205"/>
        <v>89301000</v>
      </c>
      <c r="C2802" s="1">
        <v>44448</v>
      </c>
      <c r="D2802" s="1">
        <v>44463</v>
      </c>
      <c r="E2802">
        <v>1</v>
      </c>
      <c r="F2802" t="s">
        <v>343</v>
      </c>
      <c r="G2802" t="str">
        <f>"11-M03-02"</f>
        <v>11-M03-02</v>
      </c>
      <c r="H2802">
        <v>1.6969000000000001</v>
      </c>
      <c r="I2802" t="s">
        <v>1715</v>
      </c>
      <c r="J2802" t="s">
        <v>17</v>
      </c>
      <c r="K2802" t="str">
        <f>"7F6"</f>
        <v>7F6</v>
      </c>
      <c r="L2802" t="s">
        <v>15</v>
      </c>
    </row>
    <row r="2803" spans="1:12" x14ac:dyDescent="0.25">
      <c r="A2803" t="str">
        <f>"335624422"</f>
        <v>335624422</v>
      </c>
      <c r="B2803" t="str">
        <f t="shared" si="205"/>
        <v>89301000</v>
      </c>
      <c r="C2803" s="1">
        <v>44468</v>
      </c>
      <c r="D2803" s="1">
        <v>44470</v>
      </c>
      <c r="E2803">
        <v>5</v>
      </c>
      <c r="F2803" t="s">
        <v>1716</v>
      </c>
      <c r="G2803" t="str">
        <f>"11-K06-01"</f>
        <v>11-K06-01</v>
      </c>
      <c r="H2803">
        <v>0.29770000000000002</v>
      </c>
      <c r="I2803" t="s">
        <v>1717</v>
      </c>
      <c r="J2803" t="s">
        <v>14</v>
      </c>
      <c r="K2803" t="str">
        <f>"7F6"</f>
        <v>7F6</v>
      </c>
      <c r="L2803" t="s">
        <v>15</v>
      </c>
    </row>
    <row r="2804" spans="1:12" x14ac:dyDescent="0.25">
      <c r="A2804" t="str">
        <f>"335701089"</f>
        <v>335701089</v>
      </c>
      <c r="B2804" t="str">
        <f t="shared" si="205"/>
        <v>89301000</v>
      </c>
      <c r="C2804" s="1">
        <v>44407</v>
      </c>
      <c r="D2804" s="1">
        <v>44413</v>
      </c>
      <c r="E2804">
        <v>1</v>
      </c>
      <c r="F2804" t="s">
        <v>1555</v>
      </c>
      <c r="G2804" t="str">
        <f>"05-K12-02"</f>
        <v>05-K12-02</v>
      </c>
      <c r="H2804">
        <v>0.53600000000000003</v>
      </c>
      <c r="I2804" t="s">
        <v>1556</v>
      </c>
      <c r="J2804" t="s">
        <v>14</v>
      </c>
      <c r="K2804" t="str">
        <f>"5F1"</f>
        <v>5F1</v>
      </c>
      <c r="L2804" t="s">
        <v>15</v>
      </c>
    </row>
    <row r="2805" spans="1:12" x14ac:dyDescent="0.25">
      <c r="A2805" t="str">
        <f>"335707420"</f>
        <v>335707420</v>
      </c>
      <c r="B2805" t="str">
        <f t="shared" si="205"/>
        <v>89301000</v>
      </c>
      <c r="C2805" s="1">
        <v>44213</v>
      </c>
      <c r="D2805" s="1">
        <v>44216</v>
      </c>
      <c r="E2805">
        <v>1</v>
      </c>
      <c r="F2805" t="s">
        <v>1602</v>
      </c>
      <c r="G2805" t="str">
        <f>"05-K07-05"</f>
        <v>05-K07-05</v>
      </c>
      <c r="H2805">
        <v>0.81410000000000005</v>
      </c>
      <c r="I2805" t="s">
        <v>1718</v>
      </c>
      <c r="J2805" t="s">
        <v>14</v>
      </c>
      <c r="K2805" t="str">
        <f>"2F5"</f>
        <v>2F5</v>
      </c>
      <c r="L2805" t="s">
        <v>15</v>
      </c>
    </row>
    <row r="2806" spans="1:12" x14ac:dyDescent="0.25">
      <c r="A2806" t="str">
        <f>"335823454"</f>
        <v>335823454</v>
      </c>
      <c r="B2806" t="str">
        <f t="shared" si="205"/>
        <v>89301000</v>
      </c>
      <c r="C2806" s="1">
        <v>44509</v>
      </c>
      <c r="D2806" s="1">
        <v>44522</v>
      </c>
      <c r="E2806">
        <v>1</v>
      </c>
      <c r="F2806" t="s">
        <v>217</v>
      </c>
      <c r="G2806" t="str">
        <f>"04-K02-03"</f>
        <v>04-K02-03</v>
      </c>
      <c r="H2806">
        <v>1.2859</v>
      </c>
      <c r="I2806" t="s">
        <v>1719</v>
      </c>
      <c r="J2806" t="s">
        <v>14</v>
      </c>
      <c r="K2806" t="str">
        <f>"1F1"</f>
        <v>1F1</v>
      </c>
      <c r="L2806" t="s">
        <v>15</v>
      </c>
    </row>
    <row r="2807" spans="1:12" x14ac:dyDescent="0.25">
      <c r="A2807" t="str">
        <f>"335825408"</f>
        <v>335825408</v>
      </c>
      <c r="B2807" t="str">
        <f t="shared" si="205"/>
        <v>89301000</v>
      </c>
      <c r="C2807" s="1">
        <v>44323</v>
      </c>
      <c r="D2807" s="1">
        <v>44334</v>
      </c>
      <c r="E2807">
        <v>1</v>
      </c>
      <c r="F2807" t="s">
        <v>660</v>
      </c>
      <c r="G2807" t="str">
        <f>"01-K03-06"</f>
        <v>01-K03-06</v>
      </c>
      <c r="H2807">
        <v>0.80789999999999995</v>
      </c>
      <c r="I2807" t="s">
        <v>1720</v>
      </c>
      <c r="J2807" t="s">
        <v>14</v>
      </c>
      <c r="K2807" t="str">
        <f>"2F9"</f>
        <v>2F9</v>
      </c>
      <c r="L2807" t="s">
        <v>15</v>
      </c>
    </row>
    <row r="2808" spans="1:12" x14ac:dyDescent="0.25">
      <c r="A2808" t="str">
        <f>"335825432"</f>
        <v>335825432</v>
      </c>
      <c r="B2808" t="str">
        <f t="shared" si="205"/>
        <v>89301000</v>
      </c>
      <c r="C2808" s="1">
        <v>44261</v>
      </c>
      <c r="D2808" s="1">
        <v>44264</v>
      </c>
      <c r="E2808">
        <v>1</v>
      </c>
      <c r="F2808" t="s">
        <v>1721</v>
      </c>
      <c r="G2808" t="str">
        <f>"11-K02-02"</f>
        <v>11-K02-02</v>
      </c>
      <c r="H2808">
        <v>1.2910999999999999</v>
      </c>
      <c r="I2808" t="s">
        <v>1722</v>
      </c>
      <c r="J2808" t="s">
        <v>14</v>
      </c>
      <c r="K2808" t="str">
        <f>"1F1"</f>
        <v>1F1</v>
      </c>
      <c r="L2808" t="s">
        <v>15</v>
      </c>
    </row>
    <row r="2809" spans="1:12" x14ac:dyDescent="0.25">
      <c r="A2809" t="str">
        <f>"336101405"</f>
        <v>336101405</v>
      </c>
      <c r="B2809" t="str">
        <f t="shared" si="205"/>
        <v>89301000</v>
      </c>
      <c r="C2809" s="1">
        <v>44281</v>
      </c>
      <c r="D2809" s="1">
        <v>44283</v>
      </c>
      <c r="E2809">
        <v>7</v>
      </c>
      <c r="F2809" t="s">
        <v>1543</v>
      </c>
      <c r="G2809" t="str">
        <f>"01-K10-03"</f>
        <v>01-K10-03</v>
      </c>
      <c r="H2809">
        <v>1.0016</v>
      </c>
      <c r="I2809" t="s">
        <v>1723</v>
      </c>
      <c r="J2809" t="s">
        <v>14</v>
      </c>
      <c r="K2809" t="str">
        <f>"2T9"</f>
        <v>2T9</v>
      </c>
      <c r="L2809" t="s">
        <v>15</v>
      </c>
    </row>
    <row r="2810" spans="1:12" x14ac:dyDescent="0.25">
      <c r="A2810" t="str">
        <f>"336212472"</f>
        <v>336212472</v>
      </c>
      <c r="B2810" t="str">
        <f t="shared" si="205"/>
        <v>89301000</v>
      </c>
      <c r="C2810" s="1">
        <v>44295</v>
      </c>
      <c r="D2810" s="1">
        <v>44299</v>
      </c>
      <c r="E2810">
        <v>5</v>
      </c>
      <c r="F2810" t="s">
        <v>1581</v>
      </c>
      <c r="G2810" t="str">
        <f>"05-M07-06"</f>
        <v>05-M07-06</v>
      </c>
      <c r="H2810">
        <v>1.2513000000000001</v>
      </c>
      <c r="J2810" t="s">
        <v>17</v>
      </c>
      <c r="K2810" t="str">
        <f>"5F1"</f>
        <v>5F1</v>
      </c>
      <c r="L2810" t="s">
        <v>15</v>
      </c>
    </row>
    <row r="2811" spans="1:12" x14ac:dyDescent="0.25">
      <c r="A2811" t="str">
        <f>"340306955"</f>
        <v>340306955</v>
      </c>
      <c r="B2811" t="str">
        <f t="shared" si="205"/>
        <v>89301000</v>
      </c>
      <c r="C2811" s="1">
        <v>44246</v>
      </c>
      <c r="D2811" s="1">
        <v>44257</v>
      </c>
      <c r="E2811">
        <v>3</v>
      </c>
      <c r="F2811" t="s">
        <v>489</v>
      </c>
      <c r="G2811" t="str">
        <f>"05-K14-02"</f>
        <v>05-K14-02</v>
      </c>
      <c r="H2811">
        <v>1.0333000000000001</v>
      </c>
      <c r="I2811" t="s">
        <v>1724</v>
      </c>
      <c r="J2811" t="s">
        <v>14</v>
      </c>
      <c r="K2811" t="str">
        <f>"5F1"</f>
        <v>5F1</v>
      </c>
      <c r="L2811" t="s">
        <v>15</v>
      </c>
    </row>
    <row r="2812" spans="1:12" x14ac:dyDescent="0.25">
      <c r="A2812" t="str">
        <f>"340306955"</f>
        <v>340306955</v>
      </c>
      <c r="B2812" t="str">
        <f t="shared" si="205"/>
        <v>89301000</v>
      </c>
      <c r="C2812" s="1">
        <v>44257</v>
      </c>
      <c r="D2812" s="1">
        <v>44274</v>
      </c>
      <c r="E2812">
        <v>4</v>
      </c>
      <c r="F2812" t="s">
        <v>109</v>
      </c>
      <c r="G2812" t="str">
        <f>"24-M07-02"</f>
        <v>24-M07-02</v>
      </c>
      <c r="H2812">
        <v>1.5094000000000001</v>
      </c>
      <c r="I2812" t="s">
        <v>1725</v>
      </c>
      <c r="J2812" t="s">
        <v>14</v>
      </c>
      <c r="K2812" t="str">
        <f>"2F1"</f>
        <v>2F1</v>
      </c>
      <c r="L2812" t="s">
        <v>15</v>
      </c>
    </row>
    <row r="2813" spans="1:12" x14ac:dyDescent="0.25">
      <c r="A2813" t="str">
        <f>"340312476"</f>
        <v>340312476</v>
      </c>
      <c r="B2813" t="str">
        <f t="shared" si="205"/>
        <v>89301000</v>
      </c>
      <c r="C2813" s="1">
        <v>44314</v>
      </c>
      <c r="D2813" s="1">
        <v>44325</v>
      </c>
      <c r="E2813">
        <v>1</v>
      </c>
      <c r="F2813" t="s">
        <v>1557</v>
      </c>
      <c r="G2813" t="str">
        <f>"05-I16-07"</f>
        <v>05-I16-07</v>
      </c>
      <c r="H2813">
        <v>4.2412000000000001</v>
      </c>
      <c r="I2813" t="s">
        <v>448</v>
      </c>
      <c r="J2813" t="s">
        <v>17</v>
      </c>
      <c r="K2813" t="str">
        <f>"5F5"</f>
        <v>5F5</v>
      </c>
      <c r="L2813" t="s">
        <v>15</v>
      </c>
    </row>
    <row r="2814" spans="1:12" x14ac:dyDescent="0.25">
      <c r="A2814" t="str">
        <f>"340427440"</f>
        <v>340427440</v>
      </c>
      <c r="B2814" t="str">
        <f t="shared" si="205"/>
        <v>89301000</v>
      </c>
      <c r="C2814" s="1">
        <v>44220</v>
      </c>
      <c r="D2814" s="1">
        <v>44224</v>
      </c>
      <c r="E2814">
        <v>1</v>
      </c>
      <c r="F2814" t="s">
        <v>1716</v>
      </c>
      <c r="G2814" t="str">
        <f>"11-M05-02"</f>
        <v>11-M05-02</v>
      </c>
      <c r="H2814">
        <v>0.65690000000000004</v>
      </c>
      <c r="I2814" t="s">
        <v>1726</v>
      </c>
      <c r="J2814" t="s">
        <v>17</v>
      </c>
      <c r="K2814" t="str">
        <f>"7F6"</f>
        <v>7F6</v>
      </c>
      <c r="L2814" t="s">
        <v>15</v>
      </c>
    </row>
    <row r="2815" spans="1:12" x14ac:dyDescent="0.25">
      <c r="A2815" t="str">
        <f>"340427440"</f>
        <v>340427440</v>
      </c>
      <c r="B2815" t="str">
        <f t="shared" si="205"/>
        <v>89301000</v>
      </c>
      <c r="C2815" s="1">
        <v>44259</v>
      </c>
      <c r="D2815" s="1">
        <v>44262</v>
      </c>
      <c r="E2815">
        <v>1</v>
      </c>
      <c r="F2815" t="s">
        <v>1727</v>
      </c>
      <c r="G2815" t="str">
        <f>"11-K09-00"</f>
        <v>11-K09-00</v>
      </c>
      <c r="H2815">
        <v>0.43959999999999999</v>
      </c>
      <c r="I2815" t="s">
        <v>1728</v>
      </c>
      <c r="J2815" t="s">
        <v>14</v>
      </c>
      <c r="K2815" t="str">
        <f>"7F6"</f>
        <v>7F6</v>
      </c>
      <c r="L2815" t="s">
        <v>15</v>
      </c>
    </row>
    <row r="2816" spans="1:12" x14ac:dyDescent="0.25">
      <c r="A2816" t="str">
        <f>"340625449"</f>
        <v>340625449</v>
      </c>
      <c r="B2816" t="str">
        <f t="shared" si="205"/>
        <v>89301000</v>
      </c>
      <c r="C2816" s="1">
        <v>44424</v>
      </c>
      <c r="D2816" s="1">
        <v>44455</v>
      </c>
      <c r="E2816">
        <v>4</v>
      </c>
      <c r="F2816" t="s">
        <v>109</v>
      </c>
      <c r="G2816" t="str">
        <f>"24-M10-01"</f>
        <v>24-M10-01</v>
      </c>
      <c r="H2816">
        <v>4.4729000000000001</v>
      </c>
      <c r="I2816" t="s">
        <v>1729</v>
      </c>
      <c r="J2816" t="s">
        <v>14</v>
      </c>
      <c r="K2816" t="str">
        <f>"2F1"</f>
        <v>2F1</v>
      </c>
      <c r="L2816" t="s">
        <v>15</v>
      </c>
    </row>
    <row r="2817" spans="1:12" x14ac:dyDescent="0.25">
      <c r="A2817" t="str">
        <f>"340625449"</f>
        <v>340625449</v>
      </c>
      <c r="B2817" t="str">
        <f t="shared" si="205"/>
        <v>89301000</v>
      </c>
      <c r="C2817" s="1">
        <v>44417</v>
      </c>
      <c r="D2817" s="1">
        <v>44424</v>
      </c>
      <c r="E2817">
        <v>3</v>
      </c>
      <c r="F2817" t="s">
        <v>67</v>
      </c>
      <c r="G2817" t="str">
        <f>"01-K10-03"</f>
        <v>01-K10-03</v>
      </c>
      <c r="H2817">
        <v>1.0016</v>
      </c>
      <c r="I2817" t="s">
        <v>1730</v>
      </c>
      <c r="J2817" t="s">
        <v>14</v>
      </c>
      <c r="K2817" t="str">
        <f>"2F9"</f>
        <v>2F9</v>
      </c>
      <c r="L2817" t="s">
        <v>15</v>
      </c>
    </row>
    <row r="2818" spans="1:12" x14ac:dyDescent="0.25">
      <c r="A2818" t="str">
        <f>"340722097"</f>
        <v>340722097</v>
      </c>
      <c r="B2818" t="str">
        <f t="shared" si="205"/>
        <v>89301000</v>
      </c>
      <c r="C2818" s="1">
        <v>44259</v>
      </c>
      <c r="D2818" s="1">
        <v>44265</v>
      </c>
      <c r="E2818">
        <v>1</v>
      </c>
      <c r="F2818" t="s">
        <v>1581</v>
      </c>
      <c r="G2818" t="str">
        <f>"05-I24-02"</f>
        <v>05-I24-02</v>
      </c>
      <c r="H2818">
        <v>4.3616999999999999</v>
      </c>
      <c r="I2818" t="s">
        <v>168</v>
      </c>
      <c r="J2818" t="s">
        <v>14</v>
      </c>
      <c r="K2818" t="str">
        <f>"7F6"</f>
        <v>7F6</v>
      </c>
      <c r="L2818" t="s">
        <v>15</v>
      </c>
    </row>
    <row r="2819" spans="1:12" x14ac:dyDescent="0.25">
      <c r="A2819" t="str">
        <f>"340902408"</f>
        <v>340902408</v>
      </c>
      <c r="B2819" t="str">
        <f t="shared" si="205"/>
        <v>89301000</v>
      </c>
      <c r="C2819" s="1">
        <v>44398</v>
      </c>
      <c r="D2819" s="1">
        <v>44414</v>
      </c>
      <c r="E2819">
        <v>1</v>
      </c>
      <c r="F2819" t="s">
        <v>1731</v>
      </c>
      <c r="G2819" t="str">
        <f>"08-I29-02"</f>
        <v>08-I29-02</v>
      </c>
      <c r="H2819">
        <v>2.8052999999999999</v>
      </c>
      <c r="I2819" t="s">
        <v>1732</v>
      </c>
      <c r="J2819" t="s">
        <v>14</v>
      </c>
      <c r="K2819" t="str">
        <f>"5F6"</f>
        <v>5F6</v>
      </c>
      <c r="L2819" t="s">
        <v>15</v>
      </c>
    </row>
    <row r="2820" spans="1:12" x14ac:dyDescent="0.25">
      <c r="A2820" t="str">
        <f>"340908417"</f>
        <v>340908417</v>
      </c>
      <c r="B2820" t="str">
        <f t="shared" si="205"/>
        <v>89301000</v>
      </c>
      <c r="C2820" s="1">
        <v>44475</v>
      </c>
      <c r="D2820" s="1">
        <v>44482</v>
      </c>
      <c r="E2820">
        <v>1</v>
      </c>
      <c r="F2820" t="s">
        <v>1733</v>
      </c>
      <c r="G2820" t="str">
        <f>"04-K07-03"</f>
        <v>04-K07-03</v>
      </c>
      <c r="H2820">
        <v>0.66259999999999997</v>
      </c>
      <c r="I2820" t="s">
        <v>1734</v>
      </c>
      <c r="J2820" t="s">
        <v>14</v>
      </c>
      <c r="K2820" t="str">
        <f>"2F5"</f>
        <v>2F5</v>
      </c>
      <c r="L2820" t="s">
        <v>15</v>
      </c>
    </row>
    <row r="2821" spans="1:12" x14ac:dyDescent="0.25">
      <c r="A2821" t="str">
        <f>"340913437"</f>
        <v>340913437</v>
      </c>
      <c r="B2821" t="str">
        <f t="shared" si="205"/>
        <v>89301000</v>
      </c>
      <c r="C2821" s="1">
        <v>44534</v>
      </c>
      <c r="D2821" s="1">
        <v>44546</v>
      </c>
      <c r="E2821">
        <v>4</v>
      </c>
      <c r="F2821" t="s">
        <v>217</v>
      </c>
      <c r="G2821" t="str">
        <f>"04-K02-02"</f>
        <v>04-K02-02</v>
      </c>
      <c r="H2821">
        <v>2.5186000000000002</v>
      </c>
      <c r="I2821" t="s">
        <v>1735</v>
      </c>
      <c r="J2821" t="s">
        <v>14</v>
      </c>
      <c r="K2821" t="str">
        <f>"1F6"</f>
        <v>1F6</v>
      </c>
      <c r="L2821" t="s">
        <v>15</v>
      </c>
    </row>
    <row r="2822" spans="1:12" x14ac:dyDescent="0.25">
      <c r="A2822" t="str">
        <f>"340918419"</f>
        <v>340918419</v>
      </c>
      <c r="B2822" t="str">
        <f t="shared" si="205"/>
        <v>89301000</v>
      </c>
      <c r="C2822" s="1">
        <v>44200</v>
      </c>
      <c r="D2822" s="1">
        <v>44207</v>
      </c>
      <c r="E2822">
        <v>2</v>
      </c>
      <c r="F2822" t="s">
        <v>1638</v>
      </c>
      <c r="G2822" t="str">
        <f>"11-K01-03"</f>
        <v>11-K01-03</v>
      </c>
      <c r="H2822">
        <v>0.62809999999999999</v>
      </c>
      <c r="I2822" t="s">
        <v>1736</v>
      </c>
      <c r="J2822" t="s">
        <v>14</v>
      </c>
      <c r="K2822" t="str">
        <f>"1F1"</f>
        <v>1F1</v>
      </c>
      <c r="L2822" t="s">
        <v>15</v>
      </c>
    </row>
    <row r="2823" spans="1:12" x14ac:dyDescent="0.25">
      <c r="A2823" t="str">
        <f>"341018444"</f>
        <v>341018444</v>
      </c>
      <c r="B2823" t="str">
        <f t="shared" si="205"/>
        <v>89301000</v>
      </c>
      <c r="C2823" s="1">
        <v>44186</v>
      </c>
      <c r="D2823" s="1">
        <v>44203</v>
      </c>
      <c r="E2823">
        <v>4</v>
      </c>
      <c r="F2823" t="s">
        <v>217</v>
      </c>
      <c r="G2823" t="str">
        <f>"04-K02-03"</f>
        <v>04-K02-03</v>
      </c>
      <c r="H2823">
        <v>1.2859</v>
      </c>
      <c r="I2823" t="s">
        <v>1737</v>
      </c>
      <c r="J2823" t="s">
        <v>14</v>
      </c>
      <c r="K2823" t="str">
        <f>"1F6"</f>
        <v>1F6</v>
      </c>
      <c r="L2823" t="s">
        <v>15</v>
      </c>
    </row>
    <row r="2824" spans="1:12" x14ac:dyDescent="0.25">
      <c r="A2824" t="str">
        <f>"341127404"</f>
        <v>341127404</v>
      </c>
      <c r="B2824" t="str">
        <f t="shared" si="205"/>
        <v>89301000</v>
      </c>
      <c r="C2824" s="1">
        <v>44330</v>
      </c>
      <c r="D2824" s="1">
        <v>44336</v>
      </c>
      <c r="E2824">
        <v>1</v>
      </c>
      <c r="F2824" t="s">
        <v>1602</v>
      </c>
      <c r="G2824" t="str">
        <f>"05-K07-04"</f>
        <v>05-K07-04</v>
      </c>
      <c r="H2824">
        <v>1.131</v>
      </c>
      <c r="I2824" t="s">
        <v>1738</v>
      </c>
      <c r="J2824" t="s">
        <v>14</v>
      </c>
      <c r="K2824" t="str">
        <f>"1F1"</f>
        <v>1F1</v>
      </c>
      <c r="L2824" t="s">
        <v>15</v>
      </c>
    </row>
    <row r="2825" spans="1:12" x14ac:dyDescent="0.25">
      <c r="A2825" t="str">
        <f>"341226447"</f>
        <v>341226447</v>
      </c>
      <c r="B2825" t="str">
        <f t="shared" si="205"/>
        <v>89301000</v>
      </c>
      <c r="C2825" s="1">
        <v>44494</v>
      </c>
      <c r="D2825" s="1">
        <v>44497</v>
      </c>
      <c r="E2825">
        <v>1</v>
      </c>
      <c r="F2825" t="s">
        <v>1739</v>
      </c>
      <c r="G2825" t="str">
        <f>"10-K04-04"</f>
        <v>10-K04-04</v>
      </c>
      <c r="H2825">
        <v>0.56330000000000002</v>
      </c>
      <c r="I2825" t="s">
        <v>1740</v>
      </c>
      <c r="J2825" t="s">
        <v>14</v>
      </c>
      <c r="K2825" t="str">
        <f>"1F1"</f>
        <v>1F1</v>
      </c>
      <c r="L2825" t="s">
        <v>15</v>
      </c>
    </row>
    <row r="2826" spans="1:12" x14ac:dyDescent="0.25">
      <c r="A2826" t="str">
        <f>"345105418"</f>
        <v>345105418</v>
      </c>
      <c r="B2826" t="str">
        <f t="shared" si="205"/>
        <v>89301000</v>
      </c>
      <c r="C2826" s="1">
        <v>44454</v>
      </c>
      <c r="D2826" s="1">
        <v>44506</v>
      </c>
      <c r="E2826">
        <v>7</v>
      </c>
      <c r="F2826" t="s">
        <v>1679</v>
      </c>
      <c r="G2826" t="str">
        <f>"11-I01-01"</f>
        <v>11-I01-01</v>
      </c>
      <c r="H2826">
        <v>11.060600000000001</v>
      </c>
      <c r="I2826" t="s">
        <v>1741</v>
      </c>
      <c r="J2826" t="s">
        <v>17</v>
      </c>
      <c r="K2826" t="str">
        <f>"1T1"</f>
        <v>1T1</v>
      </c>
      <c r="L2826" t="s">
        <v>15</v>
      </c>
    </row>
    <row r="2827" spans="1:12" x14ac:dyDescent="0.25">
      <c r="A2827" t="str">
        <f>"345121479"</f>
        <v>345121479</v>
      </c>
      <c r="B2827" t="str">
        <f t="shared" si="205"/>
        <v>89301000</v>
      </c>
      <c r="C2827" s="1">
        <v>44299</v>
      </c>
      <c r="D2827" s="1">
        <v>44301</v>
      </c>
      <c r="E2827">
        <v>7</v>
      </c>
      <c r="F2827" t="s">
        <v>1742</v>
      </c>
      <c r="G2827" t="str">
        <f>"01-K18-01"</f>
        <v>01-K18-01</v>
      </c>
      <c r="H2827">
        <v>1.8902000000000001</v>
      </c>
      <c r="I2827" t="s">
        <v>1743</v>
      </c>
      <c r="J2827" t="s">
        <v>14</v>
      </c>
      <c r="K2827" t="str">
        <f>"5T1"</f>
        <v>5T1</v>
      </c>
      <c r="L2827" t="s">
        <v>15</v>
      </c>
    </row>
    <row r="2828" spans="1:12" x14ac:dyDescent="0.25">
      <c r="A2828" t="str">
        <f>"345222404"</f>
        <v>345222404</v>
      </c>
      <c r="B2828" t="str">
        <f t="shared" si="205"/>
        <v>89301000</v>
      </c>
      <c r="C2828" s="1">
        <v>44502</v>
      </c>
      <c r="D2828" s="1">
        <v>44516</v>
      </c>
      <c r="E2828">
        <v>1</v>
      </c>
      <c r="F2828" t="s">
        <v>1553</v>
      </c>
      <c r="G2828" t="str">
        <f>"04-K05-03"</f>
        <v>04-K05-03</v>
      </c>
      <c r="H2828">
        <v>0.93689999999999996</v>
      </c>
      <c r="I2828" t="s">
        <v>1744</v>
      </c>
      <c r="J2828" t="s">
        <v>14</v>
      </c>
      <c r="K2828" t="str">
        <f>"1F6"</f>
        <v>1F6</v>
      </c>
      <c r="L2828" t="s">
        <v>15</v>
      </c>
    </row>
    <row r="2829" spans="1:12" x14ac:dyDescent="0.25">
      <c r="A2829" t="str">
        <f>"345318463"</f>
        <v>345318463</v>
      </c>
      <c r="B2829" t="str">
        <f t="shared" si="205"/>
        <v>89301000</v>
      </c>
      <c r="C2829" s="1">
        <v>44551</v>
      </c>
      <c r="D2829" s="1">
        <v>44552</v>
      </c>
      <c r="E2829">
        <v>8</v>
      </c>
      <c r="F2829" t="s">
        <v>1602</v>
      </c>
      <c r="G2829" t="str">
        <f>"05-K07-02"</f>
        <v>05-K07-02</v>
      </c>
      <c r="H2829">
        <v>0.24510000000000001</v>
      </c>
      <c r="I2829" t="s">
        <v>1745</v>
      </c>
      <c r="J2829" t="s">
        <v>14</v>
      </c>
      <c r="K2829" t="str">
        <f>"1T1"</f>
        <v>1T1</v>
      </c>
      <c r="L2829" t="s">
        <v>15</v>
      </c>
    </row>
    <row r="2830" spans="1:12" x14ac:dyDescent="0.25">
      <c r="A2830" t="str">
        <f>"345503420"</f>
        <v>345503420</v>
      </c>
      <c r="B2830" t="str">
        <f t="shared" si="205"/>
        <v>89301000</v>
      </c>
      <c r="C2830" s="1">
        <v>44468</v>
      </c>
      <c r="D2830" s="1">
        <v>44496</v>
      </c>
      <c r="E2830">
        <v>4</v>
      </c>
      <c r="F2830" t="s">
        <v>1746</v>
      </c>
      <c r="G2830" t="str">
        <f>"08-K05-00"</f>
        <v>08-K05-00</v>
      </c>
      <c r="H2830">
        <v>1.5161</v>
      </c>
      <c r="I2830" t="s">
        <v>1747</v>
      </c>
      <c r="J2830" t="s">
        <v>14</v>
      </c>
      <c r="K2830" t="str">
        <f>"1F6"</f>
        <v>1F6</v>
      </c>
      <c r="L2830" t="s">
        <v>15</v>
      </c>
    </row>
    <row r="2831" spans="1:12" x14ac:dyDescent="0.25">
      <c r="A2831" t="str">
        <f>"345508458"</f>
        <v>345508458</v>
      </c>
      <c r="B2831" t="str">
        <f t="shared" si="205"/>
        <v>89301000</v>
      </c>
      <c r="C2831" s="1">
        <v>44352</v>
      </c>
      <c r="D2831" s="1">
        <v>44369</v>
      </c>
      <c r="E2831">
        <v>2</v>
      </c>
      <c r="F2831" t="s">
        <v>1615</v>
      </c>
      <c r="G2831" t="str">
        <f>"08-I13-05"</f>
        <v>08-I13-05</v>
      </c>
      <c r="H2831">
        <v>2.1778</v>
      </c>
      <c r="I2831" t="s">
        <v>1748</v>
      </c>
      <c r="J2831" t="s">
        <v>17</v>
      </c>
      <c r="K2831" t="str">
        <f>"1F6"</f>
        <v>1F6</v>
      </c>
      <c r="L2831" t="s">
        <v>15</v>
      </c>
    </row>
    <row r="2832" spans="1:12" x14ac:dyDescent="0.25">
      <c r="A2832" t="str">
        <f>"345527420"</f>
        <v>345527420</v>
      </c>
      <c r="B2832" t="str">
        <f t="shared" si="205"/>
        <v>89301000</v>
      </c>
      <c r="C2832" s="1">
        <v>44496</v>
      </c>
      <c r="D2832" s="1">
        <v>44502</v>
      </c>
      <c r="E2832">
        <v>4</v>
      </c>
      <c r="F2832" t="s">
        <v>94</v>
      </c>
      <c r="G2832" t="str">
        <f>"21-K05-02"</f>
        <v>21-K05-02</v>
      </c>
      <c r="H2832">
        <v>0.85409999999999997</v>
      </c>
      <c r="I2832" t="s">
        <v>1749</v>
      </c>
      <c r="J2832" t="s">
        <v>14</v>
      </c>
      <c r="K2832" t="str">
        <f>"3F5"</f>
        <v>3F5</v>
      </c>
      <c r="L2832" t="s">
        <v>15</v>
      </c>
    </row>
    <row r="2833" spans="1:12" x14ac:dyDescent="0.25">
      <c r="A2833" t="str">
        <f>"345706461"</f>
        <v>345706461</v>
      </c>
      <c r="B2833" t="str">
        <f t="shared" si="205"/>
        <v>89301000</v>
      </c>
      <c r="C2833" s="1">
        <v>44279</v>
      </c>
      <c r="D2833" s="1">
        <v>44285</v>
      </c>
      <c r="E2833">
        <v>4</v>
      </c>
      <c r="F2833" t="s">
        <v>1553</v>
      </c>
      <c r="G2833" t="str">
        <f>"04-K05-03"</f>
        <v>04-K05-03</v>
      </c>
      <c r="H2833">
        <v>0.74980000000000002</v>
      </c>
      <c r="I2833" t="s">
        <v>1750</v>
      </c>
      <c r="J2833" t="s">
        <v>14</v>
      </c>
      <c r="K2833" t="str">
        <f>"1F1"</f>
        <v>1F1</v>
      </c>
      <c r="L2833" t="s">
        <v>15</v>
      </c>
    </row>
    <row r="2834" spans="1:12" x14ac:dyDescent="0.25">
      <c r="A2834" t="str">
        <f>"345706461"</f>
        <v>345706461</v>
      </c>
      <c r="B2834" t="str">
        <f t="shared" si="205"/>
        <v>89301000</v>
      </c>
      <c r="C2834" s="1">
        <v>44263</v>
      </c>
      <c r="D2834" s="1">
        <v>44264</v>
      </c>
      <c r="E2834">
        <v>5</v>
      </c>
      <c r="F2834" t="s">
        <v>1683</v>
      </c>
      <c r="G2834" t="str">
        <f>"05-M06-06"</f>
        <v>05-M06-06</v>
      </c>
      <c r="H2834">
        <v>1.7652000000000001</v>
      </c>
      <c r="I2834" t="s">
        <v>1751</v>
      </c>
      <c r="J2834" t="s">
        <v>17</v>
      </c>
      <c r="K2834" t="str">
        <f>"1F1"</f>
        <v>1F1</v>
      </c>
      <c r="L2834" t="s">
        <v>15</v>
      </c>
    </row>
    <row r="2835" spans="1:12" x14ac:dyDescent="0.25">
      <c r="A2835" t="str">
        <f>"345820763"</f>
        <v>345820763</v>
      </c>
      <c r="B2835" t="str">
        <f t="shared" si="205"/>
        <v>89301000</v>
      </c>
      <c r="C2835" s="1">
        <v>44459</v>
      </c>
      <c r="D2835" s="1">
        <v>44460</v>
      </c>
      <c r="E2835">
        <v>1</v>
      </c>
      <c r="F2835" t="s">
        <v>1752</v>
      </c>
      <c r="G2835" t="str">
        <f>"10-K12-02"</f>
        <v>10-K12-02</v>
      </c>
      <c r="H2835">
        <v>0.63980000000000004</v>
      </c>
      <c r="I2835" t="s">
        <v>1753</v>
      </c>
      <c r="J2835" t="s">
        <v>14</v>
      </c>
      <c r="K2835" t="str">
        <f>"1F1"</f>
        <v>1F1</v>
      </c>
      <c r="L2835" t="s">
        <v>15</v>
      </c>
    </row>
    <row r="2836" spans="1:12" x14ac:dyDescent="0.25">
      <c r="A2836" t="str">
        <f>"345820763"</f>
        <v>345820763</v>
      </c>
      <c r="B2836" t="str">
        <f t="shared" si="205"/>
        <v>89301000</v>
      </c>
      <c r="C2836" s="1">
        <v>44306</v>
      </c>
      <c r="D2836" s="1">
        <v>44308</v>
      </c>
      <c r="E2836">
        <v>1</v>
      </c>
      <c r="F2836" t="s">
        <v>1754</v>
      </c>
      <c r="G2836" t="str">
        <f>"06-K04-03"</f>
        <v>06-K04-03</v>
      </c>
      <c r="H2836">
        <v>0.42249999999999999</v>
      </c>
      <c r="I2836" t="s">
        <v>1755</v>
      </c>
      <c r="J2836" t="s">
        <v>14</v>
      </c>
      <c r="K2836" t="str">
        <f>"1F5"</f>
        <v>1F5</v>
      </c>
      <c r="L2836" t="s">
        <v>15</v>
      </c>
    </row>
    <row r="2837" spans="1:12" x14ac:dyDescent="0.25">
      <c r="A2837" t="str">
        <f>"345925432"</f>
        <v>345925432</v>
      </c>
      <c r="B2837" t="str">
        <f t="shared" si="205"/>
        <v>89301000</v>
      </c>
      <c r="C2837" s="1">
        <v>44323</v>
      </c>
      <c r="D2837" s="1">
        <v>44329</v>
      </c>
      <c r="E2837">
        <v>7</v>
      </c>
      <c r="F2837" t="s">
        <v>1756</v>
      </c>
      <c r="G2837" t="str">
        <f>"05-M04-04"</f>
        <v>05-M04-04</v>
      </c>
      <c r="H2837">
        <v>2.4580000000000002</v>
      </c>
      <c r="I2837" t="s">
        <v>1757</v>
      </c>
      <c r="J2837" t="s">
        <v>17</v>
      </c>
      <c r="K2837" t="str">
        <f>"5T1"</f>
        <v>5T1</v>
      </c>
      <c r="L2837" t="s">
        <v>15</v>
      </c>
    </row>
    <row r="2838" spans="1:12" x14ac:dyDescent="0.25">
      <c r="A2838" t="str">
        <f>"346002412"</f>
        <v>346002412</v>
      </c>
      <c r="B2838" t="str">
        <f t="shared" si="205"/>
        <v>89301000</v>
      </c>
      <c r="C2838" s="1">
        <v>44274</v>
      </c>
      <c r="D2838" s="1">
        <v>44280</v>
      </c>
      <c r="E2838">
        <v>5</v>
      </c>
      <c r="F2838" t="s">
        <v>1555</v>
      </c>
      <c r="G2838" t="str">
        <f>"05-I24-01"</f>
        <v>05-I24-01</v>
      </c>
      <c r="H2838">
        <v>5.1612999999999998</v>
      </c>
      <c r="I2838" t="s">
        <v>1758</v>
      </c>
      <c r="J2838" t="s">
        <v>14</v>
      </c>
      <c r="K2838" t="str">
        <f>"5F5"</f>
        <v>5F5</v>
      </c>
      <c r="L2838" t="s">
        <v>15</v>
      </c>
    </row>
    <row r="2839" spans="1:12" x14ac:dyDescent="0.25">
      <c r="A2839" t="str">
        <f>"346012407"</f>
        <v>346012407</v>
      </c>
      <c r="B2839" t="str">
        <f t="shared" si="205"/>
        <v>89301000</v>
      </c>
      <c r="C2839" s="1">
        <v>44267</v>
      </c>
      <c r="D2839" s="1">
        <v>44268</v>
      </c>
      <c r="E2839">
        <v>8</v>
      </c>
      <c r="F2839" t="s">
        <v>1572</v>
      </c>
      <c r="G2839" t="str">
        <f>"06-I07-04"</f>
        <v>06-I07-04</v>
      </c>
      <c r="H2839">
        <v>1.8023</v>
      </c>
      <c r="I2839" t="s">
        <v>1759</v>
      </c>
      <c r="J2839" t="s">
        <v>17</v>
      </c>
      <c r="K2839" t="str">
        <f>"5T1"</f>
        <v>5T1</v>
      </c>
      <c r="L2839" t="s">
        <v>15</v>
      </c>
    </row>
    <row r="2840" spans="1:12" x14ac:dyDescent="0.25">
      <c r="A2840" t="str">
        <f>"346018409"</f>
        <v>346018409</v>
      </c>
      <c r="B2840" t="str">
        <f t="shared" si="205"/>
        <v>89301000</v>
      </c>
      <c r="C2840" s="1">
        <v>44198</v>
      </c>
      <c r="D2840" s="1">
        <v>44201</v>
      </c>
      <c r="E2840">
        <v>5</v>
      </c>
      <c r="F2840" t="s">
        <v>1420</v>
      </c>
      <c r="G2840" t="str">
        <f>"03-K02-02"</f>
        <v>03-K02-02</v>
      </c>
      <c r="H2840">
        <v>0.56889999999999996</v>
      </c>
      <c r="I2840" t="s">
        <v>1760</v>
      </c>
      <c r="J2840" t="s">
        <v>14</v>
      </c>
      <c r="K2840" t="str">
        <f>"1F6"</f>
        <v>1F6</v>
      </c>
      <c r="L2840" t="s">
        <v>15</v>
      </c>
    </row>
    <row r="2841" spans="1:12" x14ac:dyDescent="0.25">
      <c r="A2841" t="str">
        <f>"346029405"</f>
        <v>346029405</v>
      </c>
      <c r="B2841" t="str">
        <f t="shared" si="205"/>
        <v>89301000</v>
      </c>
      <c r="C2841" s="1">
        <v>44514</v>
      </c>
      <c r="D2841" s="1">
        <v>44519</v>
      </c>
      <c r="E2841">
        <v>7</v>
      </c>
      <c r="F2841" t="s">
        <v>67</v>
      </c>
      <c r="G2841" t="str">
        <f>"01-K10-01"</f>
        <v>01-K10-01</v>
      </c>
      <c r="H2841">
        <v>2.0594000000000001</v>
      </c>
      <c r="I2841" t="s">
        <v>1761</v>
      </c>
      <c r="J2841" t="s">
        <v>14</v>
      </c>
      <c r="K2841" t="str">
        <f>"2T9"</f>
        <v>2T9</v>
      </c>
      <c r="L2841" t="s">
        <v>15</v>
      </c>
    </row>
    <row r="2842" spans="1:12" x14ac:dyDescent="0.25">
      <c r="A2842" t="str">
        <f>"346103431"</f>
        <v>346103431</v>
      </c>
      <c r="B2842" t="str">
        <f t="shared" si="205"/>
        <v>89301000</v>
      </c>
      <c r="C2842" s="1">
        <v>44333</v>
      </c>
      <c r="D2842" s="1">
        <v>44337</v>
      </c>
      <c r="E2842">
        <v>4</v>
      </c>
      <c r="F2842" t="s">
        <v>1762</v>
      </c>
      <c r="G2842" t="str">
        <f>"04-K09-03"</f>
        <v>04-K09-03</v>
      </c>
      <c r="H2842">
        <v>0.62749999999999995</v>
      </c>
      <c r="I2842" t="s">
        <v>1763</v>
      </c>
      <c r="J2842" t="s">
        <v>14</v>
      </c>
      <c r="K2842" t="str">
        <f>"1F1"</f>
        <v>1F1</v>
      </c>
      <c r="L2842" t="s">
        <v>15</v>
      </c>
    </row>
    <row r="2843" spans="1:12" x14ac:dyDescent="0.25">
      <c r="A2843" t="str">
        <f>"346106422"</f>
        <v>346106422</v>
      </c>
      <c r="B2843" t="str">
        <f t="shared" si="205"/>
        <v>89301000</v>
      </c>
      <c r="C2843" s="1">
        <v>44419</v>
      </c>
      <c r="D2843" s="1">
        <v>44427</v>
      </c>
      <c r="E2843">
        <v>1</v>
      </c>
      <c r="F2843" t="s">
        <v>1764</v>
      </c>
      <c r="G2843" t="str">
        <f>"01-K08-02"</f>
        <v>01-K08-02</v>
      </c>
      <c r="H2843">
        <v>0.60519999999999996</v>
      </c>
      <c r="I2843" t="s">
        <v>1765</v>
      </c>
      <c r="J2843" t="s">
        <v>14</v>
      </c>
      <c r="K2843" t="str">
        <f>"2F5"</f>
        <v>2F5</v>
      </c>
      <c r="L2843" t="s">
        <v>15</v>
      </c>
    </row>
    <row r="2844" spans="1:12" x14ac:dyDescent="0.25">
      <c r="A2844" t="str">
        <f>"346120405"</f>
        <v>346120405</v>
      </c>
      <c r="B2844" t="str">
        <f t="shared" si="205"/>
        <v>89301000</v>
      </c>
      <c r="C2844" s="1">
        <v>44348</v>
      </c>
      <c r="D2844" s="1">
        <v>44349</v>
      </c>
      <c r="E2844">
        <v>1</v>
      </c>
      <c r="F2844" t="s">
        <v>1766</v>
      </c>
      <c r="G2844" t="str">
        <f>"02-I13-02"</f>
        <v>02-I13-02</v>
      </c>
      <c r="H2844">
        <v>0.376</v>
      </c>
      <c r="I2844" t="s">
        <v>1767</v>
      </c>
      <c r="J2844" t="s">
        <v>14</v>
      </c>
      <c r="K2844" t="str">
        <f>"7F5"</f>
        <v>7F5</v>
      </c>
      <c r="L2844" t="s">
        <v>15</v>
      </c>
    </row>
    <row r="2845" spans="1:12" x14ac:dyDescent="0.25">
      <c r="A2845" t="str">
        <f>"346120405"</f>
        <v>346120405</v>
      </c>
      <c r="B2845" t="str">
        <f t="shared" si="205"/>
        <v>89301000</v>
      </c>
      <c r="C2845" s="1">
        <v>44418</v>
      </c>
      <c r="D2845" s="1">
        <v>44419</v>
      </c>
      <c r="E2845">
        <v>1</v>
      </c>
      <c r="F2845" t="s">
        <v>1766</v>
      </c>
      <c r="G2845" t="str">
        <f>"02-I13-02"</f>
        <v>02-I13-02</v>
      </c>
      <c r="H2845">
        <v>0.376</v>
      </c>
      <c r="I2845" t="s">
        <v>1768</v>
      </c>
      <c r="J2845" t="s">
        <v>14</v>
      </c>
      <c r="K2845" t="str">
        <f>"7F5"</f>
        <v>7F5</v>
      </c>
      <c r="L2845" t="s">
        <v>15</v>
      </c>
    </row>
    <row r="2846" spans="1:12" x14ac:dyDescent="0.25">
      <c r="A2846" t="str">
        <f>"346120405"</f>
        <v>346120405</v>
      </c>
      <c r="B2846" t="str">
        <f t="shared" si="205"/>
        <v>89301000</v>
      </c>
      <c r="C2846" s="1">
        <v>44335</v>
      </c>
      <c r="D2846" s="1">
        <v>44338</v>
      </c>
      <c r="E2846">
        <v>1</v>
      </c>
      <c r="F2846" t="s">
        <v>1769</v>
      </c>
      <c r="G2846" t="str">
        <f>"01-K16-05"</f>
        <v>01-K16-05</v>
      </c>
      <c r="H2846">
        <v>0.57979999999999998</v>
      </c>
      <c r="I2846" t="s">
        <v>1770</v>
      </c>
      <c r="J2846" t="s">
        <v>14</v>
      </c>
      <c r="K2846" t="str">
        <f>"5F6"</f>
        <v>5F6</v>
      </c>
      <c r="L2846" t="s">
        <v>15</v>
      </c>
    </row>
    <row r="2847" spans="1:12" x14ac:dyDescent="0.25">
      <c r="A2847" t="str">
        <f>"346230122"</f>
        <v>346230122</v>
      </c>
      <c r="B2847" t="str">
        <f t="shared" si="205"/>
        <v>89301000</v>
      </c>
      <c r="C2847" s="1">
        <v>44545</v>
      </c>
      <c r="D2847" s="1">
        <v>44547</v>
      </c>
      <c r="E2847">
        <v>4</v>
      </c>
      <c r="F2847" t="s">
        <v>354</v>
      </c>
      <c r="G2847" t="str">
        <f>"10-K14-03"</f>
        <v>10-K14-03</v>
      </c>
      <c r="H2847">
        <v>0.50439999999999996</v>
      </c>
      <c r="I2847" t="s">
        <v>1771</v>
      </c>
      <c r="J2847" t="s">
        <v>14</v>
      </c>
      <c r="K2847" t="str">
        <f>"1F1"</f>
        <v>1F1</v>
      </c>
      <c r="L2847" t="s">
        <v>15</v>
      </c>
    </row>
    <row r="2848" spans="1:12" x14ac:dyDescent="0.25">
      <c r="A2848" t="str">
        <f>"350108426"</f>
        <v>350108426</v>
      </c>
      <c r="B2848" t="str">
        <f t="shared" si="205"/>
        <v>89301000</v>
      </c>
      <c r="C2848" s="1">
        <v>44393</v>
      </c>
      <c r="D2848" s="1">
        <v>44396</v>
      </c>
      <c r="E2848">
        <v>4</v>
      </c>
      <c r="F2848" t="s">
        <v>354</v>
      </c>
      <c r="G2848" t="str">
        <f>"10-K14-02"</f>
        <v>10-K14-02</v>
      </c>
      <c r="H2848">
        <v>0.72460000000000002</v>
      </c>
      <c r="I2848" t="s">
        <v>1772</v>
      </c>
      <c r="J2848" t="s">
        <v>14</v>
      </c>
      <c r="K2848" t="str">
        <f>"1F5"</f>
        <v>1F5</v>
      </c>
      <c r="L2848" t="s">
        <v>15</v>
      </c>
    </row>
    <row r="2849" spans="1:12" x14ac:dyDescent="0.25">
      <c r="A2849" t="str">
        <f>"350124429"</f>
        <v>350124429</v>
      </c>
      <c r="B2849" t="str">
        <f t="shared" si="205"/>
        <v>89301000</v>
      </c>
      <c r="C2849" s="1">
        <v>44343</v>
      </c>
      <c r="D2849" s="1">
        <v>44348</v>
      </c>
      <c r="E2849">
        <v>1</v>
      </c>
      <c r="F2849" t="s">
        <v>448</v>
      </c>
      <c r="G2849" t="str">
        <f>"11-K01-03"</f>
        <v>11-K01-03</v>
      </c>
      <c r="H2849">
        <v>0.59489999999999998</v>
      </c>
      <c r="I2849" t="s">
        <v>1773</v>
      </c>
      <c r="J2849" t="s">
        <v>14</v>
      </c>
      <c r="K2849" t="str">
        <f>"7F6"</f>
        <v>7F6</v>
      </c>
      <c r="L2849" t="s">
        <v>15</v>
      </c>
    </row>
    <row r="2850" spans="1:12" x14ac:dyDescent="0.25">
      <c r="A2850" t="str">
        <f>"350124429"</f>
        <v>350124429</v>
      </c>
      <c r="B2850" t="str">
        <f t="shared" ref="B2850:B2911" si="206">"89301000"</f>
        <v>89301000</v>
      </c>
      <c r="C2850" s="1">
        <v>44467</v>
      </c>
      <c r="D2850" s="1">
        <v>44474</v>
      </c>
      <c r="E2850">
        <v>1</v>
      </c>
      <c r="F2850" t="s">
        <v>448</v>
      </c>
      <c r="G2850" t="str">
        <f>"11-K01-03"</f>
        <v>11-K01-03</v>
      </c>
      <c r="H2850">
        <v>0.59489999999999998</v>
      </c>
      <c r="I2850" t="s">
        <v>1774</v>
      </c>
      <c r="J2850" t="s">
        <v>14</v>
      </c>
      <c r="K2850" t="str">
        <f>"7F6"</f>
        <v>7F6</v>
      </c>
      <c r="L2850" t="s">
        <v>15</v>
      </c>
    </row>
    <row r="2851" spans="1:12" x14ac:dyDescent="0.25">
      <c r="A2851" t="str">
        <f>"350201417"</f>
        <v>350201417</v>
      </c>
      <c r="B2851" t="str">
        <f t="shared" si="206"/>
        <v>89301000</v>
      </c>
      <c r="C2851" s="1">
        <v>44524</v>
      </c>
      <c r="D2851" s="1">
        <v>44526</v>
      </c>
      <c r="E2851">
        <v>2</v>
      </c>
      <c r="F2851" t="s">
        <v>563</v>
      </c>
      <c r="G2851" t="str">
        <f>"06-K22-02"</f>
        <v>06-K22-02</v>
      </c>
      <c r="H2851">
        <v>0.58020000000000005</v>
      </c>
      <c r="I2851" t="s">
        <v>1775</v>
      </c>
      <c r="J2851" t="s">
        <v>14</v>
      </c>
      <c r="K2851" t="str">
        <f>"1F5"</f>
        <v>1F5</v>
      </c>
      <c r="L2851" t="s">
        <v>15</v>
      </c>
    </row>
    <row r="2852" spans="1:12" x14ac:dyDescent="0.25">
      <c r="A2852" t="str">
        <f>"350201417"</f>
        <v>350201417</v>
      </c>
      <c r="B2852" t="str">
        <f t="shared" si="206"/>
        <v>89301000</v>
      </c>
      <c r="C2852" s="1">
        <v>44459</v>
      </c>
      <c r="D2852" s="1">
        <v>44461</v>
      </c>
      <c r="E2852">
        <v>4</v>
      </c>
      <c r="F2852" t="s">
        <v>1776</v>
      </c>
      <c r="G2852" t="str">
        <f>"04-K13-01"</f>
        <v>04-K13-01</v>
      </c>
      <c r="H2852">
        <v>0.73170000000000002</v>
      </c>
      <c r="I2852" t="s">
        <v>1777</v>
      </c>
      <c r="J2852" t="s">
        <v>14</v>
      </c>
      <c r="K2852" t="str">
        <f>"5F3"</f>
        <v>5F3</v>
      </c>
      <c r="L2852" t="s">
        <v>15</v>
      </c>
    </row>
    <row r="2853" spans="1:12" x14ac:dyDescent="0.25">
      <c r="A2853" t="str">
        <f>"350207430"</f>
        <v>350207430</v>
      </c>
      <c r="B2853" t="str">
        <f t="shared" si="206"/>
        <v>89301000</v>
      </c>
      <c r="C2853" s="1">
        <v>44502</v>
      </c>
      <c r="D2853" s="1">
        <v>44511</v>
      </c>
      <c r="E2853">
        <v>8</v>
      </c>
      <c r="F2853" t="s">
        <v>1420</v>
      </c>
      <c r="G2853" t="str">
        <f>"03-K02-01"</f>
        <v>03-K02-01</v>
      </c>
      <c r="H2853">
        <v>0.89259999999999995</v>
      </c>
      <c r="I2853" t="s">
        <v>1778</v>
      </c>
      <c r="J2853" t="s">
        <v>14</v>
      </c>
      <c r="K2853" t="str">
        <f>"1F6"</f>
        <v>1F6</v>
      </c>
      <c r="L2853" t="s">
        <v>15</v>
      </c>
    </row>
    <row r="2854" spans="1:12" x14ac:dyDescent="0.25">
      <c r="A2854" t="str">
        <f>"350210443"</f>
        <v>350210443</v>
      </c>
      <c r="B2854" t="str">
        <f t="shared" si="206"/>
        <v>89301000</v>
      </c>
      <c r="C2854" s="1">
        <v>44397</v>
      </c>
      <c r="D2854" s="1">
        <v>44398</v>
      </c>
      <c r="E2854">
        <v>1</v>
      </c>
      <c r="F2854" t="s">
        <v>38</v>
      </c>
      <c r="G2854" t="str">
        <f>"05-D01-06"</f>
        <v>05-D01-06</v>
      </c>
      <c r="H2854">
        <v>0.7611</v>
      </c>
      <c r="I2854" t="s">
        <v>1779</v>
      </c>
      <c r="J2854" t="s">
        <v>14</v>
      </c>
      <c r="K2854" t="str">
        <f>"1F1"</f>
        <v>1F1</v>
      </c>
      <c r="L2854" t="s">
        <v>15</v>
      </c>
    </row>
    <row r="2855" spans="1:12" x14ac:dyDescent="0.25">
      <c r="A2855" t="str">
        <f>"350428457"</f>
        <v>350428457</v>
      </c>
      <c r="B2855" t="str">
        <f t="shared" si="206"/>
        <v>89301000</v>
      </c>
      <c r="C2855" s="1">
        <v>44509</v>
      </c>
      <c r="D2855" s="1">
        <v>44546</v>
      </c>
      <c r="E2855">
        <v>4</v>
      </c>
      <c r="F2855" t="s">
        <v>1780</v>
      </c>
      <c r="G2855" t="str">
        <f>"05-M01-01"</f>
        <v>05-M01-01</v>
      </c>
      <c r="H2855">
        <v>22.136800000000001</v>
      </c>
      <c r="I2855" t="s">
        <v>1781</v>
      </c>
      <c r="J2855" t="s">
        <v>17</v>
      </c>
      <c r="K2855" t="str">
        <f>"5F5"</f>
        <v>5F5</v>
      </c>
      <c r="L2855" t="s">
        <v>15</v>
      </c>
    </row>
    <row r="2856" spans="1:12" x14ac:dyDescent="0.25">
      <c r="A2856" t="str">
        <f>"350428457"</f>
        <v>350428457</v>
      </c>
      <c r="B2856" t="str">
        <f t="shared" si="206"/>
        <v>89301000</v>
      </c>
      <c r="C2856" s="1">
        <v>44250</v>
      </c>
      <c r="D2856" s="1">
        <v>44253</v>
      </c>
      <c r="E2856">
        <v>5</v>
      </c>
      <c r="F2856" t="s">
        <v>1602</v>
      </c>
      <c r="G2856" t="str">
        <f>"05-K07-04"</f>
        <v>05-K07-04</v>
      </c>
      <c r="H2856">
        <v>1.131</v>
      </c>
      <c r="I2856" t="s">
        <v>1782</v>
      </c>
      <c r="J2856" t="s">
        <v>14</v>
      </c>
      <c r="K2856" t="str">
        <f>"1F6"</f>
        <v>1F6</v>
      </c>
      <c r="L2856" t="s">
        <v>15</v>
      </c>
    </row>
    <row r="2857" spans="1:12" x14ac:dyDescent="0.25">
      <c r="A2857" t="str">
        <f>"350428457"</f>
        <v>350428457</v>
      </c>
      <c r="B2857" t="str">
        <f t="shared" si="206"/>
        <v>89301000</v>
      </c>
      <c r="C2857" s="1">
        <v>44277</v>
      </c>
      <c r="D2857" s="1">
        <v>44287</v>
      </c>
      <c r="E2857">
        <v>1</v>
      </c>
      <c r="F2857" t="s">
        <v>1548</v>
      </c>
      <c r="G2857" t="str">
        <f>"05-K07-04"</f>
        <v>05-K07-04</v>
      </c>
      <c r="H2857">
        <v>1.131</v>
      </c>
      <c r="I2857" t="s">
        <v>1783</v>
      </c>
      <c r="J2857" t="s">
        <v>14</v>
      </c>
      <c r="K2857" t="str">
        <f>"1F1"</f>
        <v>1F1</v>
      </c>
      <c r="L2857" t="s">
        <v>15</v>
      </c>
    </row>
    <row r="2858" spans="1:12" x14ac:dyDescent="0.25">
      <c r="A2858" t="str">
        <f>"350428457"</f>
        <v>350428457</v>
      </c>
      <c r="B2858" t="str">
        <f t="shared" si="206"/>
        <v>89301000</v>
      </c>
      <c r="C2858" s="1">
        <v>44312</v>
      </c>
      <c r="D2858" s="1">
        <v>44313</v>
      </c>
      <c r="E2858">
        <v>1</v>
      </c>
      <c r="F2858" t="s">
        <v>1780</v>
      </c>
      <c r="G2858" t="str">
        <f>"05-D01-06"</f>
        <v>05-D01-06</v>
      </c>
      <c r="H2858">
        <v>0.7611</v>
      </c>
      <c r="I2858" t="s">
        <v>1784</v>
      </c>
      <c r="J2858" t="s">
        <v>14</v>
      </c>
      <c r="K2858" t="str">
        <f>"1F1"</f>
        <v>1F1</v>
      </c>
      <c r="L2858" t="s">
        <v>15</v>
      </c>
    </row>
    <row r="2859" spans="1:12" x14ac:dyDescent="0.25">
      <c r="A2859" t="str">
        <f>"350428457"</f>
        <v>350428457</v>
      </c>
      <c r="B2859" t="str">
        <f t="shared" si="206"/>
        <v>89301000</v>
      </c>
      <c r="C2859" s="1">
        <v>44384</v>
      </c>
      <c r="D2859" s="1">
        <v>44390</v>
      </c>
      <c r="E2859">
        <v>4</v>
      </c>
      <c r="F2859" t="s">
        <v>1785</v>
      </c>
      <c r="G2859" t="str">
        <f>"05-I25-04"</f>
        <v>05-I25-04</v>
      </c>
      <c r="H2859">
        <v>0.99080000000000001</v>
      </c>
      <c r="I2859" t="s">
        <v>1786</v>
      </c>
      <c r="J2859" t="s">
        <v>17</v>
      </c>
      <c r="K2859" t="str">
        <f>"1F1"</f>
        <v>1F1</v>
      </c>
      <c r="L2859" t="s">
        <v>15</v>
      </c>
    </row>
    <row r="2860" spans="1:12" x14ac:dyDescent="0.25">
      <c r="A2860" t="str">
        <f>"350619435"</f>
        <v>350619435</v>
      </c>
      <c r="B2860" t="str">
        <f t="shared" si="206"/>
        <v>89301000</v>
      </c>
      <c r="C2860" s="1">
        <v>44433</v>
      </c>
      <c r="D2860" s="1">
        <v>44435</v>
      </c>
      <c r="E2860">
        <v>1</v>
      </c>
      <c r="F2860" t="s">
        <v>1579</v>
      </c>
      <c r="G2860" t="str">
        <f>"05-I25-02"</f>
        <v>05-I25-02</v>
      </c>
      <c r="H2860">
        <v>2.9081000000000001</v>
      </c>
      <c r="J2860" t="s">
        <v>17</v>
      </c>
      <c r="K2860" t="str">
        <f>"1F7"</f>
        <v>1F7</v>
      </c>
      <c r="L2860" t="s">
        <v>15</v>
      </c>
    </row>
    <row r="2861" spans="1:12" x14ac:dyDescent="0.25">
      <c r="A2861" t="str">
        <f>"350808453"</f>
        <v>350808453</v>
      </c>
      <c r="B2861" t="str">
        <f t="shared" si="206"/>
        <v>89301000</v>
      </c>
      <c r="C2861" s="1">
        <v>44289</v>
      </c>
      <c r="D2861" s="1">
        <v>44298</v>
      </c>
      <c r="E2861">
        <v>1</v>
      </c>
      <c r="F2861" t="s">
        <v>1787</v>
      </c>
      <c r="G2861" t="str">
        <f>"06-K08-01"</f>
        <v>06-K08-01</v>
      </c>
      <c r="H2861">
        <v>1.3269</v>
      </c>
      <c r="I2861" t="s">
        <v>1788</v>
      </c>
      <c r="J2861" t="s">
        <v>14</v>
      </c>
      <c r="K2861" t="str">
        <f>"1F1"</f>
        <v>1F1</v>
      </c>
      <c r="L2861" t="s">
        <v>15</v>
      </c>
    </row>
    <row r="2862" spans="1:12" x14ac:dyDescent="0.25">
      <c r="A2862" t="str">
        <f>"350830410"</f>
        <v>350830410</v>
      </c>
      <c r="B2862" t="str">
        <f t="shared" si="206"/>
        <v>89301000</v>
      </c>
      <c r="C2862" s="1">
        <v>44191</v>
      </c>
      <c r="D2862" s="1">
        <v>44200</v>
      </c>
      <c r="E2862">
        <v>1</v>
      </c>
      <c r="F2862" t="s">
        <v>217</v>
      </c>
      <c r="G2862" t="str">
        <f>"04-K02-03"</f>
        <v>04-K02-03</v>
      </c>
      <c r="H2862">
        <v>1.2859</v>
      </c>
      <c r="I2862" t="s">
        <v>1789</v>
      </c>
      <c r="J2862" t="s">
        <v>14</v>
      </c>
      <c r="K2862" t="str">
        <f>"1F6"</f>
        <v>1F6</v>
      </c>
      <c r="L2862" t="s">
        <v>15</v>
      </c>
    </row>
    <row r="2863" spans="1:12" x14ac:dyDescent="0.25">
      <c r="A2863" t="str">
        <f>"350903410"</f>
        <v>350903410</v>
      </c>
      <c r="B2863" t="str">
        <f t="shared" si="206"/>
        <v>89301000</v>
      </c>
      <c r="C2863" s="1">
        <v>44372</v>
      </c>
      <c r="D2863" s="1">
        <v>44379</v>
      </c>
      <c r="E2863">
        <v>1</v>
      </c>
      <c r="F2863" t="s">
        <v>146</v>
      </c>
      <c r="G2863" t="str">
        <f>"17-C05-04"</f>
        <v>17-C05-04</v>
      </c>
      <c r="H2863">
        <v>0.7712</v>
      </c>
      <c r="I2863" t="s">
        <v>1790</v>
      </c>
      <c r="J2863" t="s">
        <v>14</v>
      </c>
      <c r="K2863" t="str">
        <f>"2F2"</f>
        <v>2F2</v>
      </c>
      <c r="L2863" t="s">
        <v>15</v>
      </c>
    </row>
    <row r="2864" spans="1:12" x14ac:dyDescent="0.25">
      <c r="A2864" t="str">
        <f>"350903410"</f>
        <v>350903410</v>
      </c>
      <c r="B2864" t="str">
        <f t="shared" si="206"/>
        <v>89301000</v>
      </c>
      <c r="C2864" s="1">
        <v>44368</v>
      </c>
      <c r="D2864" s="1">
        <v>44369</v>
      </c>
      <c r="E2864">
        <v>1</v>
      </c>
      <c r="F2864" t="s">
        <v>1762</v>
      </c>
      <c r="G2864" t="str">
        <f>"04-K09-03"</f>
        <v>04-K09-03</v>
      </c>
      <c r="H2864">
        <v>0.62749999999999995</v>
      </c>
      <c r="I2864" t="s">
        <v>1791</v>
      </c>
      <c r="J2864" t="s">
        <v>14</v>
      </c>
      <c r="K2864" t="str">
        <f>"2F5"</f>
        <v>2F5</v>
      </c>
      <c r="L2864" t="s">
        <v>15</v>
      </c>
    </row>
    <row r="2865" spans="1:12" x14ac:dyDescent="0.25">
      <c r="A2865" t="str">
        <f>"350903410"</f>
        <v>350903410</v>
      </c>
      <c r="B2865" t="str">
        <f t="shared" si="206"/>
        <v>89301000</v>
      </c>
      <c r="C2865" s="1">
        <v>44354</v>
      </c>
      <c r="D2865" s="1">
        <v>44356</v>
      </c>
      <c r="E2865">
        <v>1</v>
      </c>
      <c r="F2865" t="s">
        <v>1792</v>
      </c>
      <c r="G2865" t="str">
        <f>"16-K07-00"</f>
        <v>16-K07-00</v>
      </c>
      <c r="H2865">
        <v>0.94169999999999998</v>
      </c>
      <c r="I2865" t="s">
        <v>1793</v>
      </c>
      <c r="J2865" t="s">
        <v>14</v>
      </c>
      <c r="K2865" t="str">
        <f>"1F1"</f>
        <v>1F1</v>
      </c>
      <c r="L2865" t="s">
        <v>15</v>
      </c>
    </row>
    <row r="2866" spans="1:12" x14ac:dyDescent="0.25">
      <c r="A2866" t="str">
        <f>"351129423"</f>
        <v>351129423</v>
      </c>
      <c r="B2866" t="str">
        <f t="shared" si="206"/>
        <v>89301000</v>
      </c>
      <c r="C2866" s="1">
        <v>44303</v>
      </c>
      <c r="D2866" s="1">
        <v>44311</v>
      </c>
      <c r="E2866">
        <v>7</v>
      </c>
      <c r="F2866" t="s">
        <v>1794</v>
      </c>
      <c r="G2866" t="str">
        <f>"04-M01-06"</f>
        <v>04-M01-06</v>
      </c>
      <c r="H2866">
        <v>3.5308999999999999</v>
      </c>
      <c r="I2866" t="s">
        <v>1795</v>
      </c>
      <c r="J2866" t="s">
        <v>14</v>
      </c>
      <c r="K2866" t="str">
        <f>"7T8"</f>
        <v>7T8</v>
      </c>
      <c r="L2866" t="s">
        <v>15</v>
      </c>
    </row>
    <row r="2867" spans="1:12" x14ac:dyDescent="0.25">
      <c r="A2867" t="str">
        <f>"351208425"</f>
        <v>351208425</v>
      </c>
      <c r="B2867" t="str">
        <f t="shared" si="206"/>
        <v>89301000</v>
      </c>
      <c r="C2867" s="1">
        <v>44329</v>
      </c>
      <c r="D2867" s="1">
        <v>44331</v>
      </c>
      <c r="E2867">
        <v>1</v>
      </c>
      <c r="F2867" t="s">
        <v>1679</v>
      </c>
      <c r="G2867" t="str">
        <f>"11-M06-03"</f>
        <v>11-M06-03</v>
      </c>
      <c r="H2867">
        <v>0.61519999999999997</v>
      </c>
      <c r="I2867" t="s">
        <v>1796</v>
      </c>
      <c r="J2867" t="s">
        <v>17</v>
      </c>
      <c r="K2867" t="str">
        <f>"7F6"</f>
        <v>7F6</v>
      </c>
      <c r="L2867" t="s">
        <v>15</v>
      </c>
    </row>
    <row r="2868" spans="1:12" x14ac:dyDescent="0.25">
      <c r="A2868" t="str">
        <f>"351220442"</f>
        <v>351220442</v>
      </c>
      <c r="B2868" t="str">
        <f t="shared" si="206"/>
        <v>89301000</v>
      </c>
      <c r="C2868" s="1">
        <v>44358</v>
      </c>
      <c r="D2868" s="1">
        <v>44363</v>
      </c>
      <c r="E2868">
        <v>1</v>
      </c>
      <c r="F2868" t="s">
        <v>132</v>
      </c>
      <c r="G2868" t="str">
        <f>"03-K03-02"</f>
        <v>03-K03-02</v>
      </c>
      <c r="H2868">
        <v>0.49249999999999999</v>
      </c>
      <c r="I2868" t="s">
        <v>1798</v>
      </c>
      <c r="J2868" t="s">
        <v>14</v>
      </c>
      <c r="K2868" t="str">
        <f>"6F5"</f>
        <v>6F5</v>
      </c>
      <c r="L2868" t="s">
        <v>15</v>
      </c>
    </row>
    <row r="2869" spans="1:12" x14ac:dyDescent="0.25">
      <c r="A2869" t="str">
        <f>"355223442"</f>
        <v>355223442</v>
      </c>
      <c r="B2869" t="str">
        <f t="shared" si="206"/>
        <v>89301000</v>
      </c>
      <c r="C2869" s="1">
        <v>44436</v>
      </c>
      <c r="D2869" s="1">
        <v>44440</v>
      </c>
      <c r="E2869">
        <v>4</v>
      </c>
      <c r="F2869" t="s">
        <v>1799</v>
      </c>
      <c r="G2869" t="str">
        <f>"19-K01-03"</f>
        <v>19-K01-03</v>
      </c>
      <c r="H2869">
        <v>0.60250000000000004</v>
      </c>
      <c r="I2869" t="s">
        <v>1800</v>
      </c>
      <c r="J2869" t="s">
        <v>27</v>
      </c>
      <c r="K2869" t="str">
        <f>"1F9"</f>
        <v>1F9</v>
      </c>
      <c r="L2869" t="s">
        <v>15</v>
      </c>
    </row>
    <row r="2870" spans="1:12" x14ac:dyDescent="0.25">
      <c r="A2870" t="str">
        <f>"355223458"</f>
        <v>355223458</v>
      </c>
      <c r="B2870" t="str">
        <f t="shared" si="206"/>
        <v>89301000</v>
      </c>
      <c r="C2870" s="1">
        <v>44231</v>
      </c>
      <c r="D2870" s="1">
        <v>44231</v>
      </c>
      <c r="E2870">
        <v>1</v>
      </c>
      <c r="F2870" t="s">
        <v>1557</v>
      </c>
      <c r="G2870" t="str">
        <f>"05-M06-08"</f>
        <v>05-M06-08</v>
      </c>
      <c r="H2870">
        <v>1.1200000000000001</v>
      </c>
      <c r="I2870" t="s">
        <v>1801</v>
      </c>
      <c r="J2870" t="s">
        <v>17</v>
      </c>
      <c r="K2870" t="str">
        <f>"1F1"</f>
        <v>1F1</v>
      </c>
      <c r="L2870" t="s">
        <v>15</v>
      </c>
    </row>
    <row r="2871" spans="1:12" x14ac:dyDescent="0.25">
      <c r="A2871" t="str">
        <f>"355314440"</f>
        <v>355314440</v>
      </c>
      <c r="B2871" t="str">
        <f t="shared" si="206"/>
        <v>89301000</v>
      </c>
      <c r="C2871" s="1">
        <v>44503</v>
      </c>
      <c r="D2871" s="1">
        <v>44511</v>
      </c>
      <c r="E2871">
        <v>1</v>
      </c>
      <c r="F2871" t="s">
        <v>1802</v>
      </c>
      <c r="G2871" t="str">
        <f>"13-I04-01"</f>
        <v>13-I04-01</v>
      </c>
      <c r="H2871">
        <v>2.6413000000000002</v>
      </c>
      <c r="I2871" t="s">
        <v>1803</v>
      </c>
      <c r="J2871" t="s">
        <v>14</v>
      </c>
      <c r="K2871" t="str">
        <f>"6F3"</f>
        <v>6F3</v>
      </c>
      <c r="L2871" t="s">
        <v>15</v>
      </c>
    </row>
    <row r="2872" spans="1:12" x14ac:dyDescent="0.25">
      <c r="A2872" t="str">
        <f>"355314440"</f>
        <v>355314440</v>
      </c>
      <c r="B2872" t="str">
        <f t="shared" si="206"/>
        <v>89301000</v>
      </c>
      <c r="C2872" s="1">
        <v>44482</v>
      </c>
      <c r="D2872" s="1">
        <v>44484</v>
      </c>
      <c r="E2872">
        <v>1</v>
      </c>
      <c r="F2872" t="s">
        <v>1802</v>
      </c>
      <c r="G2872" t="str">
        <f>"13-K08-02"</f>
        <v>13-K08-02</v>
      </c>
      <c r="H2872">
        <v>0.49430000000000002</v>
      </c>
      <c r="I2872" t="s">
        <v>1804</v>
      </c>
      <c r="J2872" t="s">
        <v>14</v>
      </c>
      <c r="K2872" t="str">
        <f>"6F3"</f>
        <v>6F3</v>
      </c>
      <c r="L2872" t="s">
        <v>15</v>
      </c>
    </row>
    <row r="2873" spans="1:12" x14ac:dyDescent="0.25">
      <c r="A2873" t="str">
        <f>"355314440"</f>
        <v>355314440</v>
      </c>
      <c r="B2873" t="str">
        <f t="shared" si="206"/>
        <v>89301000</v>
      </c>
      <c r="C2873" s="1">
        <v>44424</v>
      </c>
      <c r="D2873" s="1">
        <v>44426</v>
      </c>
      <c r="E2873">
        <v>1</v>
      </c>
      <c r="F2873" t="s">
        <v>1805</v>
      </c>
      <c r="G2873" t="str">
        <f>"13-I19-00"</f>
        <v>13-I19-00</v>
      </c>
      <c r="H2873">
        <v>0.24679999999999999</v>
      </c>
      <c r="J2873" t="s">
        <v>14</v>
      </c>
      <c r="K2873" t="str">
        <f>"6F3"</f>
        <v>6F3</v>
      </c>
      <c r="L2873" t="s">
        <v>15</v>
      </c>
    </row>
    <row r="2874" spans="1:12" x14ac:dyDescent="0.25">
      <c r="A2874" t="str">
        <f>"355316461"</f>
        <v>355316461</v>
      </c>
      <c r="B2874" t="str">
        <f t="shared" si="206"/>
        <v>89301000</v>
      </c>
      <c r="C2874" s="1">
        <v>44386</v>
      </c>
      <c r="D2874" s="1">
        <v>44392</v>
      </c>
      <c r="E2874">
        <v>2</v>
      </c>
      <c r="F2874" t="s">
        <v>1240</v>
      </c>
      <c r="G2874" t="str">
        <f>"11-K01-03"</f>
        <v>11-K01-03</v>
      </c>
      <c r="H2874">
        <v>0.59489999999999998</v>
      </c>
      <c r="I2874" t="s">
        <v>1806</v>
      </c>
      <c r="J2874" t="s">
        <v>14</v>
      </c>
      <c r="K2874" t="str">
        <f>"1F1"</f>
        <v>1F1</v>
      </c>
      <c r="L2874" t="s">
        <v>15</v>
      </c>
    </row>
    <row r="2875" spans="1:12" x14ac:dyDescent="0.25">
      <c r="A2875" t="str">
        <f>"355403408"</f>
        <v>355403408</v>
      </c>
      <c r="B2875" t="str">
        <f t="shared" si="206"/>
        <v>89301000</v>
      </c>
      <c r="C2875" s="1">
        <v>44285</v>
      </c>
      <c r="D2875" s="1">
        <v>44292</v>
      </c>
      <c r="E2875">
        <v>5</v>
      </c>
      <c r="F2875" t="s">
        <v>67</v>
      </c>
      <c r="G2875" t="str">
        <f>"01-M02-00"</f>
        <v>01-M02-00</v>
      </c>
      <c r="H2875">
        <v>5.4023000000000003</v>
      </c>
      <c r="I2875" t="s">
        <v>1807</v>
      </c>
      <c r="J2875" t="s">
        <v>17</v>
      </c>
      <c r="K2875" t="str">
        <f>"2F9"</f>
        <v>2F9</v>
      </c>
      <c r="L2875" t="s">
        <v>15</v>
      </c>
    </row>
    <row r="2876" spans="1:12" x14ac:dyDescent="0.25">
      <c r="A2876" t="str">
        <f>"355422443"</f>
        <v>355422443</v>
      </c>
      <c r="B2876" t="str">
        <f t="shared" si="206"/>
        <v>89301000</v>
      </c>
      <c r="C2876" s="1">
        <v>44271</v>
      </c>
      <c r="D2876" s="1">
        <v>44281</v>
      </c>
      <c r="E2876">
        <v>2</v>
      </c>
      <c r="F2876" t="s">
        <v>1643</v>
      </c>
      <c r="G2876" t="str">
        <f>"08-I05-07"</f>
        <v>08-I05-07</v>
      </c>
      <c r="H2876">
        <v>1.9537</v>
      </c>
      <c r="I2876" t="s">
        <v>1808</v>
      </c>
      <c r="J2876" t="s">
        <v>17</v>
      </c>
      <c r="K2876" t="str">
        <f>"7F6"</f>
        <v>7F6</v>
      </c>
      <c r="L2876" t="s">
        <v>15</v>
      </c>
    </row>
    <row r="2877" spans="1:12" x14ac:dyDescent="0.25">
      <c r="A2877" t="str">
        <f>"355501709"</f>
        <v>355501709</v>
      </c>
      <c r="B2877" t="str">
        <f t="shared" si="206"/>
        <v>89301000</v>
      </c>
      <c r="C2877" s="1">
        <v>44445</v>
      </c>
      <c r="D2877" s="1">
        <v>44461</v>
      </c>
      <c r="E2877">
        <v>1</v>
      </c>
      <c r="F2877" t="s">
        <v>1809</v>
      </c>
      <c r="G2877" t="str">
        <f>"09-K01-02"</f>
        <v>09-K01-02</v>
      </c>
      <c r="H2877">
        <v>1.0527</v>
      </c>
      <c r="I2877" t="s">
        <v>1810</v>
      </c>
      <c r="J2877" t="s">
        <v>14</v>
      </c>
      <c r="K2877" t="str">
        <f>"1F6"</f>
        <v>1F6</v>
      </c>
      <c r="L2877" t="s">
        <v>15</v>
      </c>
    </row>
    <row r="2878" spans="1:12" x14ac:dyDescent="0.25">
      <c r="A2878" t="str">
        <f>"355501709"</f>
        <v>355501709</v>
      </c>
      <c r="B2878" t="str">
        <f t="shared" si="206"/>
        <v>89301000</v>
      </c>
      <c r="C2878" s="1">
        <v>44476</v>
      </c>
      <c r="D2878" s="1">
        <v>44490</v>
      </c>
      <c r="E2878">
        <v>4</v>
      </c>
      <c r="F2878" t="s">
        <v>1811</v>
      </c>
      <c r="G2878" t="str">
        <f>"19-K04-02"</f>
        <v>19-K04-02</v>
      </c>
      <c r="H2878">
        <v>1.4597</v>
      </c>
      <c r="I2878" t="s">
        <v>1812</v>
      </c>
      <c r="J2878" t="s">
        <v>27</v>
      </c>
      <c r="K2878" t="str">
        <f>"3F5"</f>
        <v>3F5</v>
      </c>
      <c r="L2878" t="s">
        <v>15</v>
      </c>
    </row>
    <row r="2879" spans="1:12" x14ac:dyDescent="0.25">
      <c r="A2879" t="str">
        <f>"355523405"</f>
        <v>355523405</v>
      </c>
      <c r="B2879" t="str">
        <f t="shared" si="206"/>
        <v>89301000</v>
      </c>
      <c r="C2879" s="1">
        <v>44230</v>
      </c>
      <c r="D2879" s="1">
        <v>44236</v>
      </c>
      <c r="E2879">
        <v>1</v>
      </c>
      <c r="F2879" t="s">
        <v>1813</v>
      </c>
      <c r="G2879" t="str">
        <f>"05-M01-03"</f>
        <v>05-M01-03</v>
      </c>
      <c r="H2879">
        <v>12.3805</v>
      </c>
      <c r="I2879" t="s">
        <v>1605</v>
      </c>
      <c r="J2879" t="s">
        <v>17</v>
      </c>
      <c r="K2879" t="str">
        <f>"1F1"</f>
        <v>1F1</v>
      </c>
      <c r="L2879" t="s">
        <v>15</v>
      </c>
    </row>
    <row r="2880" spans="1:12" x14ac:dyDescent="0.25">
      <c r="A2880" t="str">
        <f>"355523405"</f>
        <v>355523405</v>
      </c>
      <c r="B2880" t="str">
        <f t="shared" si="206"/>
        <v>89301000</v>
      </c>
      <c r="C2880" s="1">
        <v>44217</v>
      </c>
      <c r="D2880" s="1">
        <v>44217</v>
      </c>
      <c r="E2880">
        <v>1</v>
      </c>
      <c r="F2880" t="s">
        <v>1814</v>
      </c>
      <c r="G2880" t="str">
        <f>"05-D01-08"</f>
        <v>05-D01-08</v>
      </c>
      <c r="H2880">
        <v>0.21890000000000001</v>
      </c>
      <c r="J2880" t="s">
        <v>14</v>
      </c>
      <c r="K2880" t="str">
        <f>"1F7"</f>
        <v>1F7</v>
      </c>
      <c r="L2880" t="s">
        <v>15</v>
      </c>
    </row>
    <row r="2881" spans="1:12" x14ac:dyDescent="0.25">
      <c r="A2881" t="str">
        <f>"355525464"</f>
        <v>355525464</v>
      </c>
      <c r="B2881" t="str">
        <f t="shared" si="206"/>
        <v>89301000</v>
      </c>
      <c r="C2881" s="1">
        <v>44232</v>
      </c>
      <c r="D2881" s="1">
        <v>44257</v>
      </c>
      <c r="E2881">
        <v>2</v>
      </c>
      <c r="F2881" t="s">
        <v>201</v>
      </c>
      <c r="G2881" t="str">
        <f>"04-K02-02"</f>
        <v>04-K02-02</v>
      </c>
      <c r="H2881">
        <v>2.5186000000000002</v>
      </c>
      <c r="I2881" t="s">
        <v>1815</v>
      </c>
      <c r="J2881" t="s">
        <v>14</v>
      </c>
      <c r="K2881" t="str">
        <f>"2F5"</f>
        <v>2F5</v>
      </c>
      <c r="L2881" t="s">
        <v>15</v>
      </c>
    </row>
    <row r="2882" spans="1:12" x14ac:dyDescent="0.25">
      <c r="A2882" t="str">
        <f>"355610415"</f>
        <v>355610415</v>
      </c>
      <c r="B2882" t="str">
        <f t="shared" si="206"/>
        <v>89301000</v>
      </c>
      <c r="C2882" s="1">
        <v>44452</v>
      </c>
      <c r="D2882" s="1">
        <v>44453</v>
      </c>
      <c r="E2882">
        <v>1</v>
      </c>
      <c r="F2882" t="s">
        <v>1557</v>
      </c>
      <c r="G2882" t="str">
        <f>"05-M06-08"</f>
        <v>05-M06-08</v>
      </c>
      <c r="H2882">
        <v>1.4719</v>
      </c>
      <c r="I2882" t="s">
        <v>489</v>
      </c>
      <c r="J2882" t="s">
        <v>17</v>
      </c>
      <c r="K2882" t="str">
        <f>"1F1"</f>
        <v>1F1</v>
      </c>
      <c r="L2882" t="s">
        <v>15</v>
      </c>
    </row>
    <row r="2883" spans="1:12" x14ac:dyDescent="0.25">
      <c r="A2883" t="str">
        <f>"355622410"</f>
        <v>355622410</v>
      </c>
      <c r="B2883" t="str">
        <f t="shared" si="206"/>
        <v>89301000</v>
      </c>
      <c r="C2883" s="1">
        <v>44179</v>
      </c>
      <c r="D2883" s="1">
        <v>44208</v>
      </c>
      <c r="E2883">
        <v>8</v>
      </c>
      <c r="F2883" t="s">
        <v>1553</v>
      </c>
      <c r="G2883" t="str">
        <f>"00-M01-04"</f>
        <v>00-M01-04</v>
      </c>
      <c r="H2883">
        <v>7.4156000000000004</v>
      </c>
      <c r="I2883" t="s">
        <v>1816</v>
      </c>
      <c r="J2883" t="s">
        <v>14</v>
      </c>
      <c r="K2883" t="str">
        <f>"1F6"</f>
        <v>1F6</v>
      </c>
      <c r="L2883" t="s">
        <v>15</v>
      </c>
    </row>
    <row r="2884" spans="1:12" x14ac:dyDescent="0.25">
      <c r="A2884" t="str">
        <f>"355701407"</f>
        <v>355701407</v>
      </c>
      <c r="B2884" t="str">
        <f t="shared" si="206"/>
        <v>89301000</v>
      </c>
      <c r="C2884" s="1">
        <v>44467</v>
      </c>
      <c r="D2884" s="1">
        <v>44468</v>
      </c>
      <c r="E2884">
        <v>1</v>
      </c>
      <c r="F2884" t="s">
        <v>1817</v>
      </c>
      <c r="G2884" t="str">
        <f>"05-D01-06"</f>
        <v>05-D01-06</v>
      </c>
      <c r="H2884">
        <v>0.7611</v>
      </c>
      <c r="J2884" t="s">
        <v>14</v>
      </c>
      <c r="K2884" t="str">
        <f>"1F7"</f>
        <v>1F7</v>
      </c>
      <c r="L2884" t="s">
        <v>15</v>
      </c>
    </row>
    <row r="2885" spans="1:12" x14ac:dyDescent="0.25">
      <c r="A2885" t="str">
        <f>"355713450"</f>
        <v>355713450</v>
      </c>
      <c r="B2885" t="str">
        <f t="shared" si="206"/>
        <v>89301000</v>
      </c>
      <c r="C2885" s="1">
        <v>44246</v>
      </c>
      <c r="D2885" s="1">
        <v>44250</v>
      </c>
      <c r="E2885">
        <v>7</v>
      </c>
      <c r="F2885" t="s">
        <v>1548</v>
      </c>
      <c r="G2885" t="str">
        <f>"05-K07-03"</f>
        <v>05-K07-03</v>
      </c>
      <c r="H2885">
        <v>1.7625999999999999</v>
      </c>
      <c r="I2885" t="s">
        <v>1818</v>
      </c>
      <c r="J2885" t="s">
        <v>14</v>
      </c>
      <c r="K2885" t="str">
        <f>"1F1"</f>
        <v>1F1</v>
      </c>
      <c r="L2885" t="s">
        <v>15</v>
      </c>
    </row>
    <row r="2886" spans="1:12" x14ac:dyDescent="0.25">
      <c r="A2886" t="str">
        <f>"355731428"</f>
        <v>355731428</v>
      </c>
      <c r="B2886" t="str">
        <f t="shared" si="206"/>
        <v>89301000</v>
      </c>
      <c r="C2886" s="1">
        <v>44503</v>
      </c>
      <c r="D2886" s="1">
        <v>44508</v>
      </c>
      <c r="E2886">
        <v>1</v>
      </c>
      <c r="F2886" t="s">
        <v>1558</v>
      </c>
      <c r="G2886" t="str">
        <f>"05-M01-03"</f>
        <v>05-M01-03</v>
      </c>
      <c r="H2886">
        <v>12.3805</v>
      </c>
      <c r="I2886" t="s">
        <v>1819</v>
      </c>
      <c r="J2886" t="s">
        <v>17</v>
      </c>
      <c r="K2886" t="str">
        <f>"1F1"</f>
        <v>1F1</v>
      </c>
      <c r="L2886" t="s">
        <v>15</v>
      </c>
    </row>
    <row r="2887" spans="1:12" x14ac:dyDescent="0.25">
      <c r="A2887" t="str">
        <f>"355731428"</f>
        <v>355731428</v>
      </c>
      <c r="B2887" t="str">
        <f t="shared" si="206"/>
        <v>89301000</v>
      </c>
      <c r="C2887" s="1">
        <v>44445</v>
      </c>
      <c r="D2887" s="1">
        <v>44446</v>
      </c>
      <c r="E2887">
        <v>1</v>
      </c>
      <c r="F2887" t="s">
        <v>1558</v>
      </c>
      <c r="G2887" t="str">
        <f>"05-D01-06"</f>
        <v>05-D01-06</v>
      </c>
      <c r="H2887">
        <v>0.7611</v>
      </c>
      <c r="I2887" t="s">
        <v>1820</v>
      </c>
      <c r="J2887" t="s">
        <v>14</v>
      </c>
      <c r="K2887" t="str">
        <f>"1F7"</f>
        <v>1F7</v>
      </c>
      <c r="L2887" t="s">
        <v>15</v>
      </c>
    </row>
    <row r="2888" spans="1:12" x14ac:dyDescent="0.25">
      <c r="A2888" t="str">
        <f>"355820443"</f>
        <v>355820443</v>
      </c>
      <c r="B2888" t="str">
        <f t="shared" si="206"/>
        <v>89301000</v>
      </c>
      <c r="C2888" s="1">
        <v>44314</v>
      </c>
      <c r="D2888" s="1">
        <v>44315</v>
      </c>
      <c r="E2888">
        <v>8</v>
      </c>
      <c r="F2888" t="s">
        <v>38</v>
      </c>
      <c r="G2888" t="str">
        <f>"05-K03-01"</f>
        <v>05-K03-01</v>
      </c>
      <c r="H2888">
        <v>1.1708000000000001</v>
      </c>
      <c r="I2888" t="s">
        <v>1821</v>
      </c>
      <c r="J2888" t="s">
        <v>14</v>
      </c>
      <c r="K2888" t="str">
        <f>"7T8"</f>
        <v>7T8</v>
      </c>
      <c r="L2888" t="s">
        <v>15</v>
      </c>
    </row>
    <row r="2889" spans="1:12" x14ac:dyDescent="0.25">
      <c r="A2889" t="str">
        <f>"355822433"</f>
        <v>355822433</v>
      </c>
      <c r="B2889" t="str">
        <f t="shared" si="206"/>
        <v>89301000</v>
      </c>
      <c r="C2889" s="1">
        <v>44344</v>
      </c>
      <c r="D2889" s="1">
        <v>44351</v>
      </c>
      <c r="E2889">
        <v>4</v>
      </c>
      <c r="F2889" t="s">
        <v>1822</v>
      </c>
      <c r="G2889" t="str">
        <f>"08-K01-02"</f>
        <v>08-K01-02</v>
      </c>
      <c r="H2889">
        <v>1.1327</v>
      </c>
      <c r="I2889" t="s">
        <v>1823</v>
      </c>
      <c r="J2889" t="s">
        <v>14</v>
      </c>
      <c r="K2889" t="str">
        <f>"1F1"</f>
        <v>1F1</v>
      </c>
      <c r="L2889" t="s">
        <v>15</v>
      </c>
    </row>
    <row r="2890" spans="1:12" x14ac:dyDescent="0.25">
      <c r="A2890" t="str">
        <f>"355824438"</f>
        <v>355824438</v>
      </c>
      <c r="B2890" t="str">
        <f t="shared" si="206"/>
        <v>89301000</v>
      </c>
      <c r="C2890" s="1">
        <v>44194</v>
      </c>
      <c r="D2890" s="1">
        <v>44208</v>
      </c>
      <c r="E2890">
        <v>1</v>
      </c>
      <c r="F2890" t="s">
        <v>1824</v>
      </c>
      <c r="G2890" t="str">
        <f>"08-I03-06"</f>
        <v>08-I03-06</v>
      </c>
      <c r="H2890">
        <v>2.4407000000000001</v>
      </c>
      <c r="I2890" t="s">
        <v>1825</v>
      </c>
      <c r="J2890" t="s">
        <v>17</v>
      </c>
      <c r="K2890" t="str">
        <f>"5F6"</f>
        <v>5F6</v>
      </c>
      <c r="L2890" t="s">
        <v>15</v>
      </c>
    </row>
    <row r="2891" spans="1:12" x14ac:dyDescent="0.25">
      <c r="A2891" t="str">
        <f>"355824438"</f>
        <v>355824438</v>
      </c>
      <c r="B2891" t="str">
        <f t="shared" si="206"/>
        <v>89301000</v>
      </c>
      <c r="C2891" s="1">
        <v>44279</v>
      </c>
      <c r="D2891" s="1">
        <v>44281</v>
      </c>
      <c r="E2891">
        <v>4</v>
      </c>
      <c r="F2891" t="s">
        <v>786</v>
      </c>
      <c r="G2891" t="str">
        <f>"04-K07-02"</f>
        <v>04-K07-02</v>
      </c>
      <c r="H2891">
        <v>1.1432</v>
      </c>
      <c r="I2891" t="s">
        <v>1826</v>
      </c>
      <c r="J2891" t="s">
        <v>14</v>
      </c>
      <c r="K2891" t="str">
        <f>"1F1"</f>
        <v>1F1</v>
      </c>
      <c r="L2891" t="s">
        <v>15</v>
      </c>
    </row>
    <row r="2892" spans="1:12" x14ac:dyDescent="0.25">
      <c r="A2892" t="str">
        <f>"355906444"</f>
        <v>355906444</v>
      </c>
      <c r="B2892" t="str">
        <f t="shared" si="206"/>
        <v>89301000</v>
      </c>
      <c r="C2892" s="1">
        <v>44233</v>
      </c>
      <c r="D2892" s="1">
        <v>44239</v>
      </c>
      <c r="E2892">
        <v>4</v>
      </c>
      <c r="F2892" t="s">
        <v>979</v>
      </c>
      <c r="G2892" t="str">
        <f>"04-K02-03"</f>
        <v>04-K02-03</v>
      </c>
      <c r="H2892">
        <v>1.2859</v>
      </c>
      <c r="I2892" t="s">
        <v>1827</v>
      </c>
      <c r="J2892" t="s">
        <v>14</v>
      </c>
      <c r="K2892" t="str">
        <f>"1F1"</f>
        <v>1F1</v>
      </c>
      <c r="L2892" t="s">
        <v>15</v>
      </c>
    </row>
    <row r="2893" spans="1:12" x14ac:dyDescent="0.25">
      <c r="A2893" t="str">
        <f>"355906444"</f>
        <v>355906444</v>
      </c>
      <c r="B2893" t="str">
        <f t="shared" si="206"/>
        <v>89301000</v>
      </c>
      <c r="C2893" s="1">
        <v>44531</v>
      </c>
      <c r="D2893" s="1">
        <v>44544</v>
      </c>
      <c r="E2893">
        <v>4</v>
      </c>
      <c r="F2893" t="s">
        <v>1828</v>
      </c>
      <c r="G2893" t="str">
        <f>"08-I26-01"</f>
        <v>08-I26-01</v>
      </c>
      <c r="H2893">
        <v>1.1701999999999999</v>
      </c>
      <c r="I2893" t="s">
        <v>1829</v>
      </c>
      <c r="J2893" t="s">
        <v>14</v>
      </c>
      <c r="K2893" t="str">
        <f>"1F1"</f>
        <v>1F1</v>
      </c>
      <c r="L2893" t="s">
        <v>15</v>
      </c>
    </row>
    <row r="2894" spans="1:12" x14ac:dyDescent="0.25">
      <c r="A2894" t="str">
        <f>"355906444"</f>
        <v>355906444</v>
      </c>
      <c r="B2894" t="str">
        <f t="shared" si="206"/>
        <v>89301000</v>
      </c>
      <c r="C2894" s="1">
        <v>44477</v>
      </c>
      <c r="D2894" s="1">
        <v>44488</v>
      </c>
      <c r="E2894">
        <v>1</v>
      </c>
      <c r="F2894" t="s">
        <v>1830</v>
      </c>
      <c r="G2894" t="str">
        <f>"16-K02-02"</f>
        <v>16-K02-02</v>
      </c>
      <c r="H2894">
        <v>0.77459999999999996</v>
      </c>
      <c r="I2894" t="s">
        <v>1831</v>
      </c>
      <c r="J2894" t="s">
        <v>14</v>
      </c>
      <c r="K2894" t="str">
        <f>"1F1"</f>
        <v>1F1</v>
      </c>
      <c r="L2894" t="s">
        <v>15</v>
      </c>
    </row>
    <row r="2895" spans="1:12" x14ac:dyDescent="0.25">
      <c r="A2895" t="str">
        <f>"355914410"</f>
        <v>355914410</v>
      </c>
      <c r="B2895" t="str">
        <f t="shared" si="206"/>
        <v>89301000</v>
      </c>
      <c r="C2895" s="1">
        <v>44377</v>
      </c>
      <c r="D2895" s="1">
        <v>44398</v>
      </c>
      <c r="E2895">
        <v>4</v>
      </c>
      <c r="F2895" t="s">
        <v>1615</v>
      </c>
      <c r="G2895" t="str">
        <f>"08-I13-04"</f>
        <v>08-I13-04</v>
      </c>
      <c r="H2895">
        <v>3.1143000000000001</v>
      </c>
      <c r="I2895" t="s">
        <v>1832</v>
      </c>
      <c r="J2895" t="s">
        <v>17</v>
      </c>
      <c r="K2895" t="str">
        <f>"1F6"</f>
        <v>1F6</v>
      </c>
      <c r="L2895" t="s">
        <v>15</v>
      </c>
    </row>
    <row r="2896" spans="1:12" x14ac:dyDescent="0.25">
      <c r="A2896" t="str">
        <f>"355927416"</f>
        <v>355927416</v>
      </c>
      <c r="B2896" t="str">
        <f t="shared" si="206"/>
        <v>89301000</v>
      </c>
      <c r="C2896" s="1">
        <v>44514</v>
      </c>
      <c r="D2896" s="1">
        <v>44516</v>
      </c>
      <c r="E2896">
        <v>4</v>
      </c>
      <c r="F2896" t="s">
        <v>1833</v>
      </c>
      <c r="G2896" t="str">
        <f>"01-K12-01"</f>
        <v>01-K12-01</v>
      </c>
      <c r="H2896">
        <v>0.71289999999999998</v>
      </c>
      <c r="I2896" t="s">
        <v>1834</v>
      </c>
      <c r="J2896" t="s">
        <v>14</v>
      </c>
      <c r="K2896" t="str">
        <f>"1F1"</f>
        <v>1F1</v>
      </c>
      <c r="L2896" t="s">
        <v>15</v>
      </c>
    </row>
    <row r="2897" spans="1:12" x14ac:dyDescent="0.25">
      <c r="A2897" t="str">
        <f>"356111421"</f>
        <v>356111421</v>
      </c>
      <c r="B2897" t="str">
        <f t="shared" si="206"/>
        <v>89301000</v>
      </c>
      <c r="C2897" s="1">
        <v>44527</v>
      </c>
      <c r="D2897" s="1">
        <v>44544</v>
      </c>
      <c r="E2897">
        <v>1</v>
      </c>
      <c r="F2897" t="s">
        <v>1721</v>
      </c>
      <c r="G2897" t="str">
        <f>"11-K02-01"</f>
        <v>11-K02-01</v>
      </c>
      <c r="H2897">
        <v>2.169</v>
      </c>
      <c r="I2897" t="s">
        <v>1835</v>
      </c>
      <c r="J2897" t="s">
        <v>14</v>
      </c>
      <c r="K2897" t="str">
        <f>"1F6"</f>
        <v>1F6</v>
      </c>
      <c r="L2897" t="s">
        <v>15</v>
      </c>
    </row>
    <row r="2898" spans="1:12" x14ac:dyDescent="0.25">
      <c r="A2898" t="str">
        <f>"356226420"</f>
        <v>356226420</v>
      </c>
      <c r="B2898" t="str">
        <f t="shared" si="206"/>
        <v>89301000</v>
      </c>
      <c r="C2898" s="1">
        <v>44196</v>
      </c>
      <c r="D2898" s="1">
        <v>44207</v>
      </c>
      <c r="E2898">
        <v>5</v>
      </c>
      <c r="F2898" t="s">
        <v>67</v>
      </c>
      <c r="G2898" t="str">
        <f>"01-C02-02"</f>
        <v>01-C02-02</v>
      </c>
      <c r="H2898">
        <v>1.4877</v>
      </c>
      <c r="I2898" t="s">
        <v>1836</v>
      </c>
      <c r="J2898" t="s">
        <v>14</v>
      </c>
      <c r="K2898" t="str">
        <f>"5F1"</f>
        <v>5F1</v>
      </c>
      <c r="L2898" t="s">
        <v>15</v>
      </c>
    </row>
    <row r="2899" spans="1:12" x14ac:dyDescent="0.25">
      <c r="A2899" t="str">
        <f>"360208442"</f>
        <v>360208442</v>
      </c>
      <c r="B2899" t="str">
        <f t="shared" si="206"/>
        <v>89301000</v>
      </c>
      <c r="C2899" s="1">
        <v>44209</v>
      </c>
      <c r="D2899" s="1">
        <v>44216</v>
      </c>
      <c r="E2899">
        <v>8</v>
      </c>
      <c r="F2899" t="s">
        <v>208</v>
      </c>
      <c r="G2899" t="str">
        <f>"08-K11-01"</f>
        <v>08-K11-01</v>
      </c>
      <c r="H2899">
        <v>1.1491</v>
      </c>
      <c r="I2899" t="s">
        <v>1837</v>
      </c>
      <c r="J2899" t="s">
        <v>14</v>
      </c>
      <c r="K2899" t="str">
        <f>"1F1"</f>
        <v>1F1</v>
      </c>
      <c r="L2899" t="s">
        <v>15</v>
      </c>
    </row>
    <row r="2900" spans="1:12" x14ac:dyDescent="0.25">
      <c r="A2900" t="str">
        <f>"360331427"</f>
        <v>360331427</v>
      </c>
      <c r="B2900" t="str">
        <f t="shared" si="206"/>
        <v>89301000</v>
      </c>
      <c r="C2900" s="1">
        <v>44353</v>
      </c>
      <c r="D2900" s="1">
        <v>44364</v>
      </c>
      <c r="E2900">
        <v>1</v>
      </c>
      <c r="F2900" t="s">
        <v>1225</v>
      </c>
      <c r="G2900" t="str">
        <f>"01-K16-02"</f>
        <v>01-K16-02</v>
      </c>
      <c r="H2900">
        <v>1.0797000000000001</v>
      </c>
      <c r="I2900" t="s">
        <v>381</v>
      </c>
      <c r="J2900" t="s">
        <v>14</v>
      </c>
      <c r="K2900" t="str">
        <f>"5F6"</f>
        <v>5F6</v>
      </c>
      <c r="L2900" t="s">
        <v>15</v>
      </c>
    </row>
    <row r="2901" spans="1:12" x14ac:dyDescent="0.25">
      <c r="A2901" t="str">
        <f>"360409417"</f>
        <v>360409417</v>
      </c>
      <c r="B2901" t="str">
        <f t="shared" si="206"/>
        <v>89301000</v>
      </c>
      <c r="C2901" s="1">
        <v>44212</v>
      </c>
      <c r="D2901" s="1">
        <v>44223</v>
      </c>
      <c r="E2901">
        <v>4</v>
      </c>
      <c r="F2901" t="s">
        <v>101</v>
      </c>
      <c r="G2901" t="str">
        <f>"06-K20-02"</f>
        <v>06-K20-02</v>
      </c>
      <c r="H2901">
        <v>0.93700000000000006</v>
      </c>
      <c r="I2901" t="s">
        <v>1838</v>
      </c>
      <c r="J2901" t="s">
        <v>14</v>
      </c>
      <c r="K2901" t="str">
        <f>"5T1"</f>
        <v>5T1</v>
      </c>
      <c r="L2901" t="s">
        <v>15</v>
      </c>
    </row>
    <row r="2902" spans="1:12" x14ac:dyDescent="0.25">
      <c r="A2902" t="str">
        <f>"360411427"</f>
        <v>360411427</v>
      </c>
      <c r="B2902" t="str">
        <f t="shared" si="206"/>
        <v>89301000</v>
      </c>
      <c r="C2902" s="1">
        <v>44343</v>
      </c>
      <c r="D2902" s="1">
        <v>44345</v>
      </c>
      <c r="E2902">
        <v>1</v>
      </c>
      <c r="F2902" t="s">
        <v>1839</v>
      </c>
      <c r="G2902" t="str">
        <f>"06-M01-02"</f>
        <v>06-M01-02</v>
      </c>
      <c r="H2902">
        <v>1.2191000000000001</v>
      </c>
      <c r="I2902" t="s">
        <v>1840</v>
      </c>
      <c r="J2902" t="s">
        <v>14</v>
      </c>
      <c r="K2902" t="str">
        <f>"1F5"</f>
        <v>1F5</v>
      </c>
      <c r="L2902" t="s">
        <v>15</v>
      </c>
    </row>
    <row r="2903" spans="1:12" x14ac:dyDescent="0.25">
      <c r="A2903" t="str">
        <f>"360418443"</f>
        <v>360418443</v>
      </c>
      <c r="B2903" t="str">
        <f t="shared" si="206"/>
        <v>89301000</v>
      </c>
      <c r="C2903" s="1">
        <v>44502</v>
      </c>
      <c r="D2903" s="1">
        <v>44503</v>
      </c>
      <c r="E2903">
        <v>1</v>
      </c>
      <c r="F2903" t="s">
        <v>1842</v>
      </c>
      <c r="G2903" t="str">
        <f>"05-M06-08"</f>
        <v>05-M06-08</v>
      </c>
      <c r="H2903">
        <v>1.4719</v>
      </c>
      <c r="I2903" t="s">
        <v>1602</v>
      </c>
      <c r="J2903" t="s">
        <v>17</v>
      </c>
      <c r="K2903" t="str">
        <f>"1F7"</f>
        <v>1F7</v>
      </c>
      <c r="L2903" t="s">
        <v>15</v>
      </c>
    </row>
    <row r="2904" spans="1:12" x14ac:dyDescent="0.25">
      <c r="A2904" t="str">
        <f>"360418443"</f>
        <v>360418443</v>
      </c>
      <c r="B2904" t="str">
        <f t="shared" si="206"/>
        <v>89301000</v>
      </c>
      <c r="C2904" s="1">
        <v>44482</v>
      </c>
      <c r="D2904" s="1">
        <v>44488</v>
      </c>
      <c r="E2904">
        <v>1</v>
      </c>
      <c r="F2904" t="s">
        <v>1602</v>
      </c>
      <c r="G2904" t="str">
        <f>"05-K07-05"</f>
        <v>05-K07-05</v>
      </c>
      <c r="H2904">
        <v>0.81410000000000005</v>
      </c>
      <c r="I2904" t="s">
        <v>1842</v>
      </c>
      <c r="J2904" t="s">
        <v>14</v>
      </c>
      <c r="K2904" t="str">
        <f>"1F7"</f>
        <v>1F7</v>
      </c>
      <c r="L2904" t="s">
        <v>15</v>
      </c>
    </row>
    <row r="2905" spans="1:12" x14ac:dyDescent="0.25">
      <c r="A2905" t="str">
        <f>"360422420"</f>
        <v>360422420</v>
      </c>
      <c r="B2905" t="str">
        <f t="shared" si="206"/>
        <v>89301000</v>
      </c>
      <c r="C2905" s="1">
        <v>44204</v>
      </c>
      <c r="D2905" s="1">
        <v>44208</v>
      </c>
      <c r="E2905">
        <v>8</v>
      </c>
      <c r="F2905" t="s">
        <v>979</v>
      </c>
      <c r="G2905" t="str">
        <f>"04-K02-03"</f>
        <v>04-K02-03</v>
      </c>
      <c r="H2905">
        <v>1.2859</v>
      </c>
      <c r="I2905" t="s">
        <v>1843</v>
      </c>
      <c r="J2905" t="s">
        <v>14</v>
      </c>
      <c r="K2905" t="str">
        <f>"1F5"</f>
        <v>1F5</v>
      </c>
      <c r="L2905" t="s">
        <v>15</v>
      </c>
    </row>
    <row r="2906" spans="1:12" x14ac:dyDescent="0.25">
      <c r="A2906" t="str">
        <f>"360515452"</f>
        <v>360515452</v>
      </c>
      <c r="B2906" t="str">
        <f t="shared" si="206"/>
        <v>89301000</v>
      </c>
      <c r="C2906" s="1">
        <v>44519</v>
      </c>
      <c r="D2906" s="1">
        <v>44521</v>
      </c>
      <c r="E2906">
        <v>5</v>
      </c>
      <c r="F2906" t="s">
        <v>392</v>
      </c>
      <c r="G2906" t="str">
        <f>"08-I04-02"</f>
        <v>08-I04-02</v>
      </c>
      <c r="H2906">
        <v>1.6718999999999999</v>
      </c>
      <c r="I2906" t="s">
        <v>1844</v>
      </c>
      <c r="J2906" t="s">
        <v>17</v>
      </c>
      <c r="K2906" t="str">
        <f>"5T6"</f>
        <v>5T6</v>
      </c>
      <c r="L2906" t="s">
        <v>15</v>
      </c>
    </row>
    <row r="2907" spans="1:12" x14ac:dyDescent="0.25">
      <c r="A2907" t="str">
        <f>"360622401"</f>
        <v>360622401</v>
      </c>
      <c r="B2907" t="str">
        <f t="shared" si="206"/>
        <v>89301000</v>
      </c>
      <c r="C2907" s="1">
        <v>44401</v>
      </c>
      <c r="D2907" s="1">
        <v>44406</v>
      </c>
      <c r="E2907">
        <v>2</v>
      </c>
      <c r="F2907" t="s">
        <v>1602</v>
      </c>
      <c r="G2907" t="str">
        <f>"05-K07-04"</f>
        <v>05-K07-04</v>
      </c>
      <c r="H2907">
        <v>1.131</v>
      </c>
      <c r="I2907" t="s">
        <v>1845</v>
      </c>
      <c r="J2907" t="s">
        <v>14</v>
      </c>
      <c r="K2907" t="str">
        <f>"1F5"</f>
        <v>1F5</v>
      </c>
      <c r="L2907" t="s">
        <v>15</v>
      </c>
    </row>
    <row r="2908" spans="1:12" x14ac:dyDescent="0.25">
      <c r="A2908" t="str">
        <f>"360622401"</f>
        <v>360622401</v>
      </c>
      <c r="B2908" t="str">
        <f t="shared" si="206"/>
        <v>89301000</v>
      </c>
      <c r="C2908" s="1">
        <v>44473</v>
      </c>
      <c r="D2908" s="1">
        <v>44477</v>
      </c>
      <c r="E2908">
        <v>1</v>
      </c>
      <c r="F2908" t="s">
        <v>1548</v>
      </c>
      <c r="G2908" t="str">
        <f>"05-D01-06"</f>
        <v>05-D01-06</v>
      </c>
      <c r="H2908">
        <v>0.7611</v>
      </c>
      <c r="I2908" t="s">
        <v>1846</v>
      </c>
      <c r="J2908" t="s">
        <v>14</v>
      </c>
      <c r="K2908" t="str">
        <f>"1F1"</f>
        <v>1F1</v>
      </c>
      <c r="L2908" t="s">
        <v>15</v>
      </c>
    </row>
    <row r="2909" spans="1:12" x14ac:dyDescent="0.25">
      <c r="A2909" t="str">
        <f>"360816008"</f>
        <v>360816008</v>
      </c>
      <c r="B2909" t="str">
        <f t="shared" si="206"/>
        <v>89301000</v>
      </c>
      <c r="C2909" s="1">
        <v>44250</v>
      </c>
      <c r="D2909" s="1">
        <v>44252</v>
      </c>
      <c r="E2909">
        <v>8</v>
      </c>
      <c r="F2909" t="s">
        <v>1847</v>
      </c>
      <c r="G2909" t="str">
        <f>"04-K07-03"</f>
        <v>04-K07-03</v>
      </c>
      <c r="H2909">
        <v>0.66259999999999997</v>
      </c>
      <c r="I2909" t="s">
        <v>1848</v>
      </c>
      <c r="J2909" t="s">
        <v>14</v>
      </c>
      <c r="K2909" t="str">
        <f>"1F9"</f>
        <v>1F9</v>
      </c>
      <c r="L2909" t="s">
        <v>15</v>
      </c>
    </row>
    <row r="2910" spans="1:12" x14ac:dyDescent="0.25">
      <c r="A2910" t="str">
        <f>"360816423"</f>
        <v>360816423</v>
      </c>
      <c r="B2910" t="str">
        <f t="shared" si="206"/>
        <v>89301000</v>
      </c>
      <c r="C2910" s="1">
        <v>44514</v>
      </c>
      <c r="D2910" s="1">
        <v>44524</v>
      </c>
      <c r="E2910">
        <v>5</v>
      </c>
      <c r="F2910" t="s">
        <v>48</v>
      </c>
      <c r="G2910" t="str">
        <f>"07-M02-04"</f>
        <v>07-M02-04</v>
      </c>
      <c r="H2910">
        <v>0.79100000000000004</v>
      </c>
      <c r="I2910" t="s">
        <v>1849</v>
      </c>
      <c r="J2910" t="s">
        <v>17</v>
      </c>
      <c r="K2910" t="str">
        <f>"1F5"</f>
        <v>1F5</v>
      </c>
      <c r="L2910" t="s">
        <v>15</v>
      </c>
    </row>
    <row r="2911" spans="1:12" x14ac:dyDescent="0.25">
      <c r="A2911" t="str">
        <f>"360911073"</f>
        <v>360911073</v>
      </c>
      <c r="B2911" t="str">
        <f t="shared" si="206"/>
        <v>89301000</v>
      </c>
      <c r="C2911" s="1">
        <v>44222</v>
      </c>
      <c r="D2911" s="1">
        <v>44231</v>
      </c>
      <c r="E2911">
        <v>4</v>
      </c>
      <c r="F2911" t="s">
        <v>979</v>
      </c>
      <c r="G2911" t="str">
        <f>"04-K02-04"</f>
        <v>04-K02-04</v>
      </c>
      <c r="H2911">
        <v>0.82469999999999999</v>
      </c>
      <c r="I2911" t="s">
        <v>1850</v>
      </c>
      <c r="J2911" t="s">
        <v>14</v>
      </c>
      <c r="K2911" t="str">
        <f>"1F1"</f>
        <v>1F1</v>
      </c>
      <c r="L2911" t="s">
        <v>15</v>
      </c>
    </row>
    <row r="2912" spans="1:12" x14ac:dyDescent="0.25">
      <c r="A2912" t="str">
        <f>"361014406"</f>
        <v>361014406</v>
      </c>
      <c r="B2912" t="str">
        <f t="shared" ref="B2912:B2972" si="207">"89301000"</f>
        <v>89301000</v>
      </c>
      <c r="C2912" s="1">
        <v>44211</v>
      </c>
      <c r="D2912" s="1">
        <v>44216</v>
      </c>
      <c r="E2912">
        <v>8</v>
      </c>
      <c r="F2912" t="s">
        <v>998</v>
      </c>
      <c r="G2912" t="str">
        <f>"18-K01-04"</f>
        <v>18-K01-04</v>
      </c>
      <c r="H2912">
        <v>2.4565000000000001</v>
      </c>
      <c r="I2912" t="s">
        <v>1851</v>
      </c>
      <c r="J2912" t="s">
        <v>14</v>
      </c>
      <c r="K2912" t="str">
        <f>"7T8"</f>
        <v>7T8</v>
      </c>
      <c r="L2912" t="s">
        <v>15</v>
      </c>
    </row>
    <row r="2913" spans="1:12" x14ac:dyDescent="0.25">
      <c r="A2913" t="str">
        <f>"361116411"</f>
        <v>361116411</v>
      </c>
      <c r="B2913" t="str">
        <f t="shared" si="207"/>
        <v>89301000</v>
      </c>
      <c r="C2913" s="1">
        <v>44320</v>
      </c>
      <c r="D2913" s="1">
        <v>44327</v>
      </c>
      <c r="E2913">
        <v>4</v>
      </c>
      <c r="F2913" t="s">
        <v>1852</v>
      </c>
      <c r="G2913" t="str">
        <f>"06-K13-01"</f>
        <v>06-K13-01</v>
      </c>
      <c r="H2913">
        <v>1.0835999999999999</v>
      </c>
      <c r="I2913" t="s">
        <v>1853</v>
      </c>
      <c r="J2913" t="s">
        <v>14</v>
      </c>
      <c r="K2913" t="str">
        <f>"1F1"</f>
        <v>1F1</v>
      </c>
      <c r="L2913" t="s">
        <v>15</v>
      </c>
    </row>
    <row r="2914" spans="1:12" x14ac:dyDescent="0.25">
      <c r="A2914" t="str">
        <f>"361124956"</f>
        <v>361124956</v>
      </c>
      <c r="B2914" t="str">
        <f t="shared" si="207"/>
        <v>89301000</v>
      </c>
      <c r="C2914" s="1">
        <v>44461</v>
      </c>
      <c r="D2914" s="1">
        <v>44468</v>
      </c>
      <c r="E2914">
        <v>1</v>
      </c>
      <c r="F2914" t="s">
        <v>841</v>
      </c>
      <c r="G2914" t="str">
        <f>"04-K03-03"</f>
        <v>04-K03-03</v>
      </c>
      <c r="H2914">
        <v>0.53180000000000005</v>
      </c>
      <c r="I2914" t="s">
        <v>1854</v>
      </c>
      <c r="J2914" t="s">
        <v>14</v>
      </c>
      <c r="K2914" t="str">
        <f>"2F5"</f>
        <v>2F5</v>
      </c>
      <c r="L2914" t="s">
        <v>15</v>
      </c>
    </row>
    <row r="2915" spans="1:12" x14ac:dyDescent="0.25">
      <c r="A2915" t="str">
        <f>"361124956"</f>
        <v>361124956</v>
      </c>
      <c r="B2915" t="str">
        <f t="shared" si="207"/>
        <v>89301000</v>
      </c>
      <c r="C2915" s="1">
        <v>44535</v>
      </c>
      <c r="D2915" s="1">
        <v>44545</v>
      </c>
      <c r="E2915">
        <v>4</v>
      </c>
      <c r="F2915" t="s">
        <v>841</v>
      </c>
      <c r="G2915" t="str">
        <f>"04-K03-02"</f>
        <v>04-K03-02</v>
      </c>
      <c r="H2915">
        <v>0.82599999999999996</v>
      </c>
      <c r="I2915" t="s">
        <v>1855</v>
      </c>
      <c r="J2915" t="s">
        <v>14</v>
      </c>
      <c r="K2915" t="str">
        <f>"1F5"</f>
        <v>1F5</v>
      </c>
      <c r="L2915" t="s">
        <v>15</v>
      </c>
    </row>
    <row r="2916" spans="1:12" x14ac:dyDescent="0.25">
      <c r="A2916" t="str">
        <f>"365119437"</f>
        <v>365119437</v>
      </c>
      <c r="B2916" t="str">
        <f t="shared" si="207"/>
        <v>89301000</v>
      </c>
      <c r="C2916" s="1">
        <v>44499</v>
      </c>
      <c r="D2916" s="1">
        <v>44515</v>
      </c>
      <c r="E2916">
        <v>2</v>
      </c>
      <c r="F2916" t="s">
        <v>67</v>
      </c>
      <c r="G2916" t="str">
        <f>"01-M02-00"</f>
        <v>01-M02-00</v>
      </c>
      <c r="H2916">
        <v>5.3071000000000002</v>
      </c>
      <c r="I2916" t="s">
        <v>1682</v>
      </c>
      <c r="J2916" t="s">
        <v>17</v>
      </c>
      <c r="K2916" t="str">
        <f>"2F9"</f>
        <v>2F9</v>
      </c>
      <c r="L2916" t="s">
        <v>15</v>
      </c>
    </row>
    <row r="2917" spans="1:12" x14ac:dyDescent="0.25">
      <c r="A2917" t="str">
        <f>"365203405"</f>
        <v>365203405</v>
      </c>
      <c r="B2917" t="str">
        <f t="shared" si="207"/>
        <v>89301000</v>
      </c>
      <c r="C2917" s="1">
        <v>44478</v>
      </c>
      <c r="D2917" s="1">
        <v>44482</v>
      </c>
      <c r="E2917">
        <v>4</v>
      </c>
      <c r="F2917" t="s">
        <v>96</v>
      </c>
      <c r="G2917" t="str">
        <f>"11-K01-02"</f>
        <v>11-K01-02</v>
      </c>
      <c r="H2917">
        <v>0.82289999999999996</v>
      </c>
      <c r="I2917" t="s">
        <v>1856</v>
      </c>
      <c r="J2917" t="s">
        <v>14</v>
      </c>
      <c r="K2917" t="str">
        <f>"1F1"</f>
        <v>1F1</v>
      </c>
      <c r="L2917" t="s">
        <v>15</v>
      </c>
    </row>
    <row r="2918" spans="1:12" x14ac:dyDescent="0.25">
      <c r="A2918" t="str">
        <f>"365207425"</f>
        <v>365207425</v>
      </c>
      <c r="B2918" t="str">
        <f t="shared" si="207"/>
        <v>89301000</v>
      </c>
      <c r="C2918" s="1">
        <v>44430</v>
      </c>
      <c r="D2918" s="1">
        <v>44432</v>
      </c>
      <c r="E2918">
        <v>1</v>
      </c>
      <c r="F2918" t="s">
        <v>489</v>
      </c>
      <c r="G2918" t="str">
        <f>"05-K14-03"</f>
        <v>05-K14-03</v>
      </c>
      <c r="H2918">
        <v>0.44159999999999999</v>
      </c>
      <c r="I2918" t="s">
        <v>1857</v>
      </c>
      <c r="J2918" t="s">
        <v>14</v>
      </c>
      <c r="K2918" t="str">
        <f>"1F1"</f>
        <v>1F1</v>
      </c>
      <c r="L2918" t="s">
        <v>15</v>
      </c>
    </row>
    <row r="2919" spans="1:12" x14ac:dyDescent="0.25">
      <c r="A2919" t="str">
        <f>"365208433"</f>
        <v>365208433</v>
      </c>
      <c r="B2919" t="str">
        <f t="shared" si="207"/>
        <v>89301000</v>
      </c>
      <c r="C2919" s="1">
        <v>44482</v>
      </c>
      <c r="D2919" s="1">
        <v>44485</v>
      </c>
      <c r="E2919">
        <v>1</v>
      </c>
      <c r="F2919" t="s">
        <v>1553</v>
      </c>
      <c r="G2919" t="str">
        <f>"04-K05-03"</f>
        <v>04-K05-03</v>
      </c>
      <c r="H2919">
        <v>0.74980000000000002</v>
      </c>
      <c r="I2919" t="s">
        <v>1858</v>
      </c>
      <c r="J2919" t="s">
        <v>14</v>
      </c>
      <c r="K2919" t="str">
        <f>"1F1"</f>
        <v>1F1</v>
      </c>
      <c r="L2919" t="s">
        <v>15</v>
      </c>
    </row>
    <row r="2920" spans="1:12" x14ac:dyDescent="0.25">
      <c r="A2920" t="str">
        <f>"365219416"</f>
        <v>365219416</v>
      </c>
      <c r="B2920" t="str">
        <f t="shared" si="207"/>
        <v>89301000</v>
      </c>
      <c r="C2920" s="1">
        <v>44343</v>
      </c>
      <c r="D2920" s="1">
        <v>44345</v>
      </c>
      <c r="E2920">
        <v>1</v>
      </c>
      <c r="F2920" t="s">
        <v>1859</v>
      </c>
      <c r="G2920" t="str">
        <f>"03-I23-00"</f>
        <v>03-I23-00</v>
      </c>
      <c r="H2920">
        <v>0.47639999999999999</v>
      </c>
      <c r="I2920" t="s">
        <v>1860</v>
      </c>
      <c r="J2920" t="s">
        <v>14</v>
      </c>
      <c r="K2920" t="str">
        <f>"6F5"</f>
        <v>6F5</v>
      </c>
      <c r="L2920" t="s">
        <v>15</v>
      </c>
    </row>
    <row r="2921" spans="1:12" x14ac:dyDescent="0.25">
      <c r="A2921" t="str">
        <f>"365219416"</f>
        <v>365219416</v>
      </c>
      <c r="B2921" t="str">
        <f t="shared" si="207"/>
        <v>89301000</v>
      </c>
      <c r="C2921" s="1">
        <v>44397</v>
      </c>
      <c r="D2921" s="1">
        <v>44399</v>
      </c>
      <c r="E2921">
        <v>1</v>
      </c>
      <c r="F2921" t="s">
        <v>1859</v>
      </c>
      <c r="G2921" t="str">
        <f>"03-I23-00"</f>
        <v>03-I23-00</v>
      </c>
      <c r="H2921">
        <v>0.47639999999999999</v>
      </c>
      <c r="I2921" t="s">
        <v>1860</v>
      </c>
      <c r="J2921" t="s">
        <v>14</v>
      </c>
      <c r="K2921" t="str">
        <f>"6F5"</f>
        <v>6F5</v>
      </c>
      <c r="L2921" t="s">
        <v>15</v>
      </c>
    </row>
    <row r="2922" spans="1:12" x14ac:dyDescent="0.25">
      <c r="A2922" t="str">
        <f>"365228419"</f>
        <v>365228419</v>
      </c>
      <c r="B2922" t="str">
        <f t="shared" si="207"/>
        <v>89301000</v>
      </c>
      <c r="C2922" s="1">
        <v>44445</v>
      </c>
      <c r="D2922" s="1">
        <v>44448</v>
      </c>
      <c r="E2922">
        <v>1</v>
      </c>
      <c r="F2922" t="s">
        <v>1561</v>
      </c>
      <c r="G2922" t="str">
        <f>"07-M02-02"</f>
        <v>07-M02-02</v>
      </c>
      <c r="H2922">
        <v>1.7986</v>
      </c>
      <c r="I2922" t="s">
        <v>1861</v>
      </c>
      <c r="J2922" t="s">
        <v>17</v>
      </c>
      <c r="K2922" t="str">
        <f>"1F1"</f>
        <v>1F1</v>
      </c>
      <c r="L2922" t="s">
        <v>15</v>
      </c>
    </row>
    <row r="2923" spans="1:12" x14ac:dyDescent="0.25">
      <c r="A2923" t="str">
        <f>"365228419"</f>
        <v>365228419</v>
      </c>
      <c r="B2923" t="str">
        <f t="shared" si="207"/>
        <v>89301000</v>
      </c>
      <c r="C2923" s="1">
        <v>44195</v>
      </c>
      <c r="D2923" s="1">
        <v>44201</v>
      </c>
      <c r="E2923">
        <v>1</v>
      </c>
      <c r="F2923" t="s">
        <v>1561</v>
      </c>
      <c r="G2923" t="str">
        <f>"07-M02-04"</f>
        <v>07-M02-04</v>
      </c>
      <c r="H2923">
        <v>0.74739999999999995</v>
      </c>
      <c r="I2923" t="s">
        <v>1862</v>
      </c>
      <c r="J2923" t="s">
        <v>17</v>
      </c>
      <c r="K2923" t="str">
        <f>"1F5"</f>
        <v>1F5</v>
      </c>
      <c r="L2923" t="s">
        <v>15</v>
      </c>
    </row>
    <row r="2924" spans="1:12" x14ac:dyDescent="0.25">
      <c r="A2924" t="str">
        <f>"365228419"</f>
        <v>365228419</v>
      </c>
      <c r="B2924" t="str">
        <f t="shared" si="207"/>
        <v>89301000</v>
      </c>
      <c r="C2924" s="1">
        <v>44477</v>
      </c>
      <c r="D2924" s="1">
        <v>44491</v>
      </c>
      <c r="E2924">
        <v>1</v>
      </c>
      <c r="F2924" t="s">
        <v>1863</v>
      </c>
      <c r="G2924" t="str">
        <f>"07-K07-01"</f>
        <v>07-K07-01</v>
      </c>
      <c r="H2924">
        <v>1.0750999999999999</v>
      </c>
      <c r="I2924" t="s">
        <v>1864</v>
      </c>
      <c r="J2924" t="s">
        <v>14</v>
      </c>
      <c r="K2924" t="str">
        <f>"1F1"</f>
        <v>1F1</v>
      </c>
      <c r="L2924" t="s">
        <v>15</v>
      </c>
    </row>
    <row r="2925" spans="1:12" x14ac:dyDescent="0.25">
      <c r="A2925" t="str">
        <f>"365228419"</f>
        <v>365228419</v>
      </c>
      <c r="B2925" t="str">
        <f t="shared" si="207"/>
        <v>89301000</v>
      </c>
      <c r="C2925" s="1">
        <v>44272</v>
      </c>
      <c r="D2925" s="1">
        <v>44273</v>
      </c>
      <c r="E2925">
        <v>1</v>
      </c>
      <c r="F2925" t="s">
        <v>1561</v>
      </c>
      <c r="G2925" t="str">
        <f>"07-M02-04"</f>
        <v>07-M02-04</v>
      </c>
      <c r="H2925">
        <v>0.73929999999999996</v>
      </c>
      <c r="I2925" t="s">
        <v>1862</v>
      </c>
      <c r="J2925" t="s">
        <v>17</v>
      </c>
      <c r="K2925" t="str">
        <f>"1F5"</f>
        <v>1F5</v>
      </c>
      <c r="L2925" t="s">
        <v>15</v>
      </c>
    </row>
    <row r="2926" spans="1:12" x14ac:dyDescent="0.25">
      <c r="A2926" t="str">
        <f>"365228419"</f>
        <v>365228419</v>
      </c>
      <c r="B2926" t="str">
        <f t="shared" si="207"/>
        <v>89301000</v>
      </c>
      <c r="C2926" s="1">
        <v>44354</v>
      </c>
      <c r="D2926" s="1">
        <v>44355</v>
      </c>
      <c r="E2926">
        <v>1</v>
      </c>
      <c r="F2926" t="s">
        <v>888</v>
      </c>
      <c r="G2926" t="str">
        <f>"07-M02-02"</f>
        <v>07-M02-02</v>
      </c>
      <c r="H2926">
        <v>1.0526</v>
      </c>
      <c r="I2926" t="s">
        <v>1865</v>
      </c>
      <c r="J2926" t="s">
        <v>17</v>
      </c>
      <c r="K2926" t="str">
        <f>"1F1"</f>
        <v>1F1</v>
      </c>
      <c r="L2926" t="s">
        <v>15</v>
      </c>
    </row>
    <row r="2927" spans="1:12" x14ac:dyDescent="0.25">
      <c r="A2927" t="str">
        <f>"365305018"</f>
        <v>365305018</v>
      </c>
      <c r="B2927" t="str">
        <f t="shared" si="207"/>
        <v>89301000</v>
      </c>
      <c r="C2927" s="1">
        <v>44402</v>
      </c>
      <c r="D2927" s="1">
        <v>44426</v>
      </c>
      <c r="E2927">
        <v>2</v>
      </c>
      <c r="F2927" t="s">
        <v>720</v>
      </c>
      <c r="G2927" t="str">
        <f>"06-K02-02"</f>
        <v>06-K02-02</v>
      </c>
      <c r="H2927">
        <v>1.6042000000000001</v>
      </c>
      <c r="I2927" t="s">
        <v>1866</v>
      </c>
      <c r="J2927" t="s">
        <v>14</v>
      </c>
      <c r="K2927" t="str">
        <f>"1F6"</f>
        <v>1F6</v>
      </c>
      <c r="L2927" t="s">
        <v>15</v>
      </c>
    </row>
    <row r="2928" spans="1:12" x14ac:dyDescent="0.25">
      <c r="A2928" t="str">
        <f>"365308428"</f>
        <v>365308428</v>
      </c>
      <c r="B2928" t="str">
        <f t="shared" si="207"/>
        <v>89301000</v>
      </c>
      <c r="C2928" s="1">
        <v>44378</v>
      </c>
      <c r="D2928" s="1">
        <v>44381</v>
      </c>
      <c r="E2928">
        <v>1</v>
      </c>
      <c r="F2928" t="s">
        <v>1867</v>
      </c>
      <c r="G2928" t="str">
        <f>"09-I12-02"</f>
        <v>09-I12-02</v>
      </c>
      <c r="H2928">
        <v>0.78990000000000005</v>
      </c>
      <c r="I2928" t="s">
        <v>1868</v>
      </c>
      <c r="J2928" t="s">
        <v>14</v>
      </c>
      <c r="K2928" t="str">
        <f>"6F1"</f>
        <v>6F1</v>
      </c>
      <c r="L2928" t="s">
        <v>15</v>
      </c>
    </row>
    <row r="2929" spans="1:12" x14ac:dyDescent="0.25">
      <c r="A2929" t="str">
        <f>"365314453"</f>
        <v>365314453</v>
      </c>
      <c r="B2929" t="str">
        <f t="shared" si="207"/>
        <v>89301000</v>
      </c>
      <c r="C2929" s="1">
        <v>44269</v>
      </c>
      <c r="D2929" s="1">
        <v>44277</v>
      </c>
      <c r="E2929">
        <v>1</v>
      </c>
      <c r="F2929" t="s">
        <v>67</v>
      </c>
      <c r="G2929" t="str">
        <f>"01-K10-02"</f>
        <v>01-K10-02</v>
      </c>
      <c r="H2929">
        <v>1.6306</v>
      </c>
      <c r="I2929" t="s">
        <v>1869</v>
      </c>
      <c r="J2929" t="s">
        <v>14</v>
      </c>
      <c r="K2929" t="str">
        <f>"2F9"</f>
        <v>2F9</v>
      </c>
      <c r="L2929" t="s">
        <v>15</v>
      </c>
    </row>
    <row r="2930" spans="1:12" x14ac:dyDescent="0.25">
      <c r="A2930" t="str">
        <f>"365319410"</f>
        <v>365319410</v>
      </c>
      <c r="B2930" t="str">
        <f t="shared" si="207"/>
        <v>89301000</v>
      </c>
      <c r="C2930" s="1">
        <v>44503</v>
      </c>
      <c r="D2930" s="1">
        <v>44504</v>
      </c>
      <c r="E2930">
        <v>5</v>
      </c>
      <c r="F2930" t="s">
        <v>1683</v>
      </c>
      <c r="G2930" t="str">
        <f>"05-M06-06"</f>
        <v>05-M06-06</v>
      </c>
      <c r="H2930">
        <v>1.7652000000000001</v>
      </c>
      <c r="J2930" t="s">
        <v>17</v>
      </c>
      <c r="K2930" t="str">
        <f>"1F1"</f>
        <v>1F1</v>
      </c>
      <c r="L2930" t="s">
        <v>15</v>
      </c>
    </row>
    <row r="2931" spans="1:12" x14ac:dyDescent="0.25">
      <c r="A2931" t="str">
        <f>"365320419"</f>
        <v>365320419</v>
      </c>
      <c r="B2931" t="str">
        <f t="shared" si="207"/>
        <v>89301000</v>
      </c>
      <c r="C2931" s="1">
        <v>44493</v>
      </c>
      <c r="D2931" s="1">
        <v>44494</v>
      </c>
      <c r="E2931">
        <v>5</v>
      </c>
      <c r="F2931" t="s">
        <v>38</v>
      </c>
      <c r="G2931" t="str">
        <f>"05-D01-06"</f>
        <v>05-D01-06</v>
      </c>
      <c r="H2931">
        <v>0.7611</v>
      </c>
      <c r="J2931" t="s">
        <v>14</v>
      </c>
      <c r="K2931" t="str">
        <f>"1F1"</f>
        <v>1F1</v>
      </c>
      <c r="L2931" t="s">
        <v>15</v>
      </c>
    </row>
    <row r="2932" spans="1:12" x14ac:dyDescent="0.25">
      <c r="A2932" t="str">
        <f>"365330418"</f>
        <v>365330418</v>
      </c>
      <c r="B2932" t="str">
        <f t="shared" si="207"/>
        <v>89301000</v>
      </c>
      <c r="C2932" s="1">
        <v>44227</v>
      </c>
      <c r="D2932" s="1">
        <v>44250</v>
      </c>
      <c r="E2932">
        <v>7</v>
      </c>
      <c r="F2932" t="s">
        <v>1870</v>
      </c>
      <c r="G2932" t="str">
        <f>"00-M02-02"</f>
        <v>00-M02-02</v>
      </c>
      <c r="H2932">
        <v>20.237200000000001</v>
      </c>
      <c r="I2932" t="s">
        <v>1871</v>
      </c>
      <c r="J2932" t="s">
        <v>14</v>
      </c>
      <c r="K2932" t="str">
        <f>"5T1"</f>
        <v>5T1</v>
      </c>
      <c r="L2932" t="s">
        <v>15</v>
      </c>
    </row>
    <row r="2933" spans="1:12" x14ac:dyDescent="0.25">
      <c r="A2933" t="str">
        <f>"365410951"</f>
        <v>365410951</v>
      </c>
      <c r="B2933" t="str">
        <f t="shared" si="207"/>
        <v>89301000</v>
      </c>
      <c r="C2933" s="1">
        <v>44293</v>
      </c>
      <c r="D2933" s="1">
        <v>44299</v>
      </c>
      <c r="E2933">
        <v>7</v>
      </c>
      <c r="F2933" t="s">
        <v>962</v>
      </c>
      <c r="G2933" t="str">
        <f>"04-M01-06"</f>
        <v>04-M01-06</v>
      </c>
      <c r="H2933">
        <v>3.5308999999999999</v>
      </c>
      <c r="I2933" t="s">
        <v>1872</v>
      </c>
      <c r="J2933" t="s">
        <v>14</v>
      </c>
      <c r="K2933" t="str">
        <f>"5T1"</f>
        <v>5T1</v>
      </c>
      <c r="L2933" t="s">
        <v>15</v>
      </c>
    </row>
    <row r="2934" spans="1:12" x14ac:dyDescent="0.25">
      <c r="A2934" t="str">
        <f>"365507428"</f>
        <v>365507428</v>
      </c>
      <c r="B2934" t="str">
        <f t="shared" si="207"/>
        <v>89301000</v>
      </c>
      <c r="C2934" s="1">
        <v>44272</v>
      </c>
      <c r="D2934" s="1">
        <v>44274</v>
      </c>
      <c r="E2934">
        <v>1</v>
      </c>
      <c r="F2934" t="s">
        <v>1873</v>
      </c>
      <c r="G2934" t="str">
        <f>"16-K02-01"</f>
        <v>16-K02-01</v>
      </c>
      <c r="H2934">
        <v>1.2647999999999999</v>
      </c>
      <c r="I2934" t="s">
        <v>1874</v>
      </c>
      <c r="J2934" t="s">
        <v>14</v>
      </c>
      <c r="K2934" t="str">
        <f>"1F1"</f>
        <v>1F1</v>
      </c>
      <c r="L2934" t="s">
        <v>15</v>
      </c>
    </row>
    <row r="2935" spans="1:12" x14ac:dyDescent="0.25">
      <c r="A2935" t="str">
        <f>"365510727"</f>
        <v>365510727</v>
      </c>
      <c r="B2935" t="str">
        <f t="shared" si="207"/>
        <v>89301000</v>
      </c>
      <c r="C2935" s="1">
        <v>44521</v>
      </c>
      <c r="D2935" s="1">
        <v>44527</v>
      </c>
      <c r="E2935">
        <v>4</v>
      </c>
      <c r="F2935" t="s">
        <v>1875</v>
      </c>
      <c r="G2935" t="str">
        <f>"05-I25-04"</f>
        <v>05-I25-04</v>
      </c>
      <c r="H2935">
        <v>0.99080000000000001</v>
      </c>
      <c r="I2935" t="s">
        <v>1876</v>
      </c>
      <c r="J2935" t="s">
        <v>17</v>
      </c>
      <c r="K2935" t="str">
        <f>"1T1"</f>
        <v>1T1</v>
      </c>
      <c r="L2935" t="s">
        <v>15</v>
      </c>
    </row>
    <row r="2936" spans="1:12" x14ac:dyDescent="0.25">
      <c r="A2936" t="str">
        <f>"365524462"</f>
        <v>365524462</v>
      </c>
      <c r="B2936" t="str">
        <f t="shared" si="207"/>
        <v>89301000</v>
      </c>
      <c r="C2936" s="1">
        <v>44297</v>
      </c>
      <c r="D2936" s="1">
        <v>44307</v>
      </c>
      <c r="E2936">
        <v>8</v>
      </c>
      <c r="F2936" t="s">
        <v>1660</v>
      </c>
      <c r="G2936" t="str">
        <f>"00-M02-04"</f>
        <v>00-M02-04</v>
      </c>
      <c r="H2936">
        <v>12.071199999999999</v>
      </c>
      <c r="I2936" t="s">
        <v>1877</v>
      </c>
      <c r="J2936" t="s">
        <v>14</v>
      </c>
      <c r="K2936" t="str">
        <f>"7T8"</f>
        <v>7T8</v>
      </c>
      <c r="L2936" t="s">
        <v>15</v>
      </c>
    </row>
    <row r="2937" spans="1:12" x14ac:dyDescent="0.25">
      <c r="A2937" t="str">
        <f>"365525415"</f>
        <v>365525415</v>
      </c>
      <c r="B2937" t="str">
        <f t="shared" si="207"/>
        <v>89301000</v>
      </c>
      <c r="C2937" s="1">
        <v>44465</v>
      </c>
      <c r="D2937" s="1">
        <v>44487</v>
      </c>
      <c r="E2937">
        <v>4</v>
      </c>
      <c r="F2937" t="s">
        <v>1878</v>
      </c>
      <c r="G2937" t="str">
        <f>"10-K12-02"</f>
        <v>10-K12-02</v>
      </c>
      <c r="H2937">
        <v>1.2567999999999999</v>
      </c>
      <c r="I2937" t="s">
        <v>1879</v>
      </c>
      <c r="J2937" t="s">
        <v>14</v>
      </c>
      <c r="K2937" t="str">
        <f>"1F6"</f>
        <v>1F6</v>
      </c>
      <c r="L2937" t="s">
        <v>15</v>
      </c>
    </row>
    <row r="2938" spans="1:12" x14ac:dyDescent="0.25">
      <c r="A2938" t="str">
        <f>"365525415"</f>
        <v>365525415</v>
      </c>
      <c r="B2938" t="str">
        <f t="shared" si="207"/>
        <v>89301000</v>
      </c>
      <c r="C2938" s="1">
        <v>44311</v>
      </c>
      <c r="D2938" s="1">
        <v>44315</v>
      </c>
      <c r="E2938">
        <v>4</v>
      </c>
      <c r="F2938" t="s">
        <v>354</v>
      </c>
      <c r="G2938" t="str">
        <f>"10-K14-03"</f>
        <v>10-K14-03</v>
      </c>
      <c r="H2938">
        <v>0.52410000000000001</v>
      </c>
      <c r="I2938" t="s">
        <v>1880</v>
      </c>
      <c r="J2938" t="s">
        <v>14</v>
      </c>
      <c r="K2938" t="str">
        <f>"1F5"</f>
        <v>1F5</v>
      </c>
      <c r="L2938" t="s">
        <v>15</v>
      </c>
    </row>
    <row r="2939" spans="1:12" x14ac:dyDescent="0.25">
      <c r="A2939" t="str">
        <f>"365527096"</f>
        <v>365527096</v>
      </c>
      <c r="B2939" t="str">
        <f t="shared" si="207"/>
        <v>89301000</v>
      </c>
      <c r="C2939" s="1">
        <v>44253</v>
      </c>
      <c r="D2939" s="1">
        <v>44257</v>
      </c>
      <c r="E2939">
        <v>7</v>
      </c>
      <c r="F2939" t="s">
        <v>67</v>
      </c>
      <c r="G2939" t="str">
        <f>"01-K10-01"</f>
        <v>01-K10-01</v>
      </c>
      <c r="H2939">
        <v>2.0594000000000001</v>
      </c>
      <c r="I2939" t="s">
        <v>1881</v>
      </c>
      <c r="J2939" t="s">
        <v>14</v>
      </c>
      <c r="K2939" t="str">
        <f>"2T9"</f>
        <v>2T9</v>
      </c>
      <c r="L2939" t="s">
        <v>15</v>
      </c>
    </row>
    <row r="2940" spans="1:12" x14ac:dyDescent="0.25">
      <c r="A2940" t="str">
        <f>"365715410"</f>
        <v>365715410</v>
      </c>
      <c r="B2940" t="str">
        <f t="shared" si="207"/>
        <v>89301000</v>
      </c>
      <c r="C2940" s="1">
        <v>44242</v>
      </c>
      <c r="D2940" s="1">
        <v>44256</v>
      </c>
      <c r="E2940">
        <v>8</v>
      </c>
      <c r="F2940" t="s">
        <v>217</v>
      </c>
      <c r="G2940" t="str">
        <f>"04-K02-02"</f>
        <v>04-K02-02</v>
      </c>
      <c r="H2940">
        <v>2.5186000000000002</v>
      </c>
      <c r="I2940" t="s">
        <v>1882</v>
      </c>
      <c r="J2940" t="s">
        <v>14</v>
      </c>
      <c r="K2940" t="str">
        <f>"1F1"</f>
        <v>1F1</v>
      </c>
      <c r="L2940" t="s">
        <v>15</v>
      </c>
    </row>
    <row r="2941" spans="1:12" x14ac:dyDescent="0.25">
      <c r="A2941" t="str">
        <f>"365730438"</f>
        <v>365730438</v>
      </c>
      <c r="B2941" t="str">
        <f t="shared" si="207"/>
        <v>89301000</v>
      </c>
      <c r="C2941" s="1">
        <v>44364</v>
      </c>
      <c r="D2941" s="1">
        <v>44390</v>
      </c>
      <c r="E2941">
        <v>4</v>
      </c>
      <c r="F2941" t="s">
        <v>210</v>
      </c>
      <c r="G2941" t="str">
        <f>"08-I14-01"</f>
        <v>08-I14-01</v>
      </c>
      <c r="H2941">
        <v>3.8473000000000002</v>
      </c>
      <c r="I2941" t="s">
        <v>1883</v>
      </c>
      <c r="J2941" t="s">
        <v>17</v>
      </c>
      <c r="K2941" t="str">
        <f>"1F6"</f>
        <v>1F6</v>
      </c>
      <c r="L2941" t="s">
        <v>15</v>
      </c>
    </row>
    <row r="2942" spans="1:12" x14ac:dyDescent="0.25">
      <c r="A2942" t="str">
        <f>"365730438"</f>
        <v>365730438</v>
      </c>
      <c r="B2942" t="str">
        <f t="shared" si="207"/>
        <v>89301000</v>
      </c>
      <c r="C2942" s="1">
        <v>44463</v>
      </c>
      <c r="D2942" s="1">
        <v>44481</v>
      </c>
      <c r="E2942">
        <v>2</v>
      </c>
      <c r="F2942" t="s">
        <v>1638</v>
      </c>
      <c r="G2942" t="str">
        <f>"11-K01-02"</f>
        <v>11-K01-02</v>
      </c>
      <c r="H2942">
        <v>0.9284</v>
      </c>
      <c r="I2942" t="s">
        <v>1884</v>
      </c>
      <c r="J2942" t="s">
        <v>14</v>
      </c>
      <c r="K2942" t="str">
        <f>"1F6"</f>
        <v>1F6</v>
      </c>
      <c r="L2942" t="s">
        <v>15</v>
      </c>
    </row>
    <row r="2943" spans="1:12" x14ac:dyDescent="0.25">
      <c r="A2943" t="str">
        <f>"365809443"</f>
        <v>365809443</v>
      </c>
      <c r="B2943" t="str">
        <f t="shared" si="207"/>
        <v>89301000</v>
      </c>
      <c r="C2943" s="1">
        <v>44447</v>
      </c>
      <c r="D2943" s="1">
        <v>44449</v>
      </c>
      <c r="E2943">
        <v>4</v>
      </c>
      <c r="F2943" t="s">
        <v>1240</v>
      </c>
      <c r="G2943" t="str">
        <f>"11-K01-03"</f>
        <v>11-K01-03</v>
      </c>
      <c r="H2943">
        <v>0.59489999999999998</v>
      </c>
      <c r="I2943" t="s">
        <v>1885</v>
      </c>
      <c r="J2943" t="s">
        <v>14</v>
      </c>
      <c r="K2943" t="str">
        <f>"1F1"</f>
        <v>1F1</v>
      </c>
      <c r="L2943" t="s">
        <v>15</v>
      </c>
    </row>
    <row r="2944" spans="1:12" x14ac:dyDescent="0.25">
      <c r="A2944" t="str">
        <f>"365818456"</f>
        <v>365818456</v>
      </c>
      <c r="B2944" t="str">
        <f t="shared" si="207"/>
        <v>89301000</v>
      </c>
      <c r="C2944" s="1">
        <v>44398</v>
      </c>
      <c r="D2944" s="1">
        <v>44407</v>
      </c>
      <c r="E2944">
        <v>1</v>
      </c>
      <c r="F2944" t="s">
        <v>1569</v>
      </c>
      <c r="G2944" t="str">
        <f>"09-I04-02"</f>
        <v>09-I04-02</v>
      </c>
      <c r="H2944">
        <v>1.5069999999999999</v>
      </c>
      <c r="I2944" t="s">
        <v>1886</v>
      </c>
      <c r="J2944" t="s">
        <v>17</v>
      </c>
      <c r="K2944" t="str">
        <f>"6F5"</f>
        <v>6F5</v>
      </c>
      <c r="L2944" t="s">
        <v>15</v>
      </c>
    </row>
    <row r="2945" spans="1:12" x14ac:dyDescent="0.25">
      <c r="A2945" t="str">
        <f>"365818456"</f>
        <v>365818456</v>
      </c>
      <c r="B2945" t="str">
        <f t="shared" si="207"/>
        <v>89301000</v>
      </c>
      <c r="C2945" s="1">
        <v>44371</v>
      </c>
      <c r="D2945" s="1">
        <v>44372</v>
      </c>
      <c r="E2945">
        <v>1</v>
      </c>
      <c r="F2945" t="s">
        <v>1569</v>
      </c>
      <c r="G2945" t="str">
        <f>"09-I05-02"</f>
        <v>09-I05-02</v>
      </c>
      <c r="H2945">
        <v>0.94579999999999997</v>
      </c>
      <c r="I2945" t="s">
        <v>1886</v>
      </c>
      <c r="J2945" t="s">
        <v>14</v>
      </c>
      <c r="K2945" t="str">
        <f>"6F5"</f>
        <v>6F5</v>
      </c>
      <c r="L2945" t="s">
        <v>15</v>
      </c>
    </row>
    <row r="2946" spans="1:12" x14ac:dyDescent="0.25">
      <c r="A2946" t="str">
        <f>"365818456"</f>
        <v>365818456</v>
      </c>
      <c r="B2946" t="str">
        <f t="shared" si="207"/>
        <v>89301000</v>
      </c>
      <c r="C2946" s="1">
        <v>44364</v>
      </c>
      <c r="D2946" s="1">
        <v>44365</v>
      </c>
      <c r="E2946">
        <v>1</v>
      </c>
      <c r="F2946" t="s">
        <v>1569</v>
      </c>
      <c r="G2946" t="str">
        <f>"09-I13-05"</f>
        <v>09-I13-05</v>
      </c>
      <c r="H2946">
        <v>0.43659999999999999</v>
      </c>
      <c r="I2946" t="s">
        <v>1887</v>
      </c>
      <c r="J2946" t="s">
        <v>14</v>
      </c>
      <c r="K2946" t="str">
        <f>"6F5"</f>
        <v>6F5</v>
      </c>
      <c r="L2946" t="s">
        <v>15</v>
      </c>
    </row>
    <row r="2947" spans="1:12" x14ac:dyDescent="0.25">
      <c r="A2947" t="str">
        <f>"365818456"</f>
        <v>365818456</v>
      </c>
      <c r="B2947" t="str">
        <f t="shared" si="207"/>
        <v>89301000</v>
      </c>
      <c r="C2947" s="1">
        <v>44462</v>
      </c>
      <c r="D2947" s="1">
        <v>44465</v>
      </c>
      <c r="E2947">
        <v>1</v>
      </c>
      <c r="F2947" t="s">
        <v>1888</v>
      </c>
      <c r="G2947" t="str">
        <f>"09-I13-04"</f>
        <v>09-I13-04</v>
      </c>
      <c r="H2947">
        <v>0.57730000000000004</v>
      </c>
      <c r="I2947" t="s">
        <v>1889</v>
      </c>
      <c r="J2947" t="s">
        <v>14</v>
      </c>
      <c r="K2947" t="str">
        <f>"6F5"</f>
        <v>6F5</v>
      </c>
      <c r="L2947" t="s">
        <v>15</v>
      </c>
    </row>
    <row r="2948" spans="1:12" x14ac:dyDescent="0.25">
      <c r="A2948" t="str">
        <f>"365927416"</f>
        <v>365927416</v>
      </c>
      <c r="B2948" t="str">
        <f t="shared" si="207"/>
        <v>89301000</v>
      </c>
      <c r="C2948" s="1">
        <v>44354</v>
      </c>
      <c r="D2948" s="1">
        <v>44378</v>
      </c>
      <c r="E2948">
        <v>4</v>
      </c>
      <c r="F2948" t="s">
        <v>1643</v>
      </c>
      <c r="G2948" t="str">
        <f>"08-I05-07"</f>
        <v>08-I05-07</v>
      </c>
      <c r="H2948">
        <v>2.3220000000000001</v>
      </c>
      <c r="I2948" t="s">
        <v>1890</v>
      </c>
      <c r="J2948" t="s">
        <v>17</v>
      </c>
      <c r="K2948" t="str">
        <f>"1F6"</f>
        <v>1F6</v>
      </c>
      <c r="L2948" t="s">
        <v>15</v>
      </c>
    </row>
    <row r="2949" spans="1:12" x14ac:dyDescent="0.25">
      <c r="A2949" t="str">
        <f>"366004411"</f>
        <v>366004411</v>
      </c>
      <c r="B2949" t="str">
        <f t="shared" si="207"/>
        <v>89301000</v>
      </c>
      <c r="C2949" s="1">
        <v>44200</v>
      </c>
      <c r="D2949" s="1">
        <v>44203</v>
      </c>
      <c r="E2949">
        <v>1</v>
      </c>
      <c r="F2949" t="s">
        <v>43</v>
      </c>
      <c r="G2949" t="str">
        <f>"06-K05-02"</f>
        <v>06-K05-02</v>
      </c>
      <c r="H2949">
        <v>0.35139999999999999</v>
      </c>
      <c r="J2949" t="s">
        <v>14</v>
      </c>
      <c r="K2949" t="str">
        <f>"5F1"</f>
        <v>5F1</v>
      </c>
      <c r="L2949" t="s">
        <v>15</v>
      </c>
    </row>
    <row r="2950" spans="1:12" x14ac:dyDescent="0.25">
      <c r="A2950" t="str">
        <f>"366008411"</f>
        <v>366008411</v>
      </c>
      <c r="B2950" t="str">
        <f t="shared" si="207"/>
        <v>89301000</v>
      </c>
      <c r="C2950" s="1">
        <v>44529</v>
      </c>
      <c r="D2950" s="1">
        <v>44546</v>
      </c>
      <c r="E2950">
        <v>4</v>
      </c>
      <c r="F2950" t="s">
        <v>1602</v>
      </c>
      <c r="G2950" t="str">
        <f>"05-K07-03"</f>
        <v>05-K07-03</v>
      </c>
      <c r="H2950">
        <v>1.7625999999999999</v>
      </c>
      <c r="I2950" t="s">
        <v>1891</v>
      </c>
      <c r="J2950" t="s">
        <v>14</v>
      </c>
      <c r="K2950" t="str">
        <f>"1F6"</f>
        <v>1F6</v>
      </c>
      <c r="L2950" t="s">
        <v>15</v>
      </c>
    </row>
    <row r="2951" spans="1:12" x14ac:dyDescent="0.25">
      <c r="A2951" t="str">
        <f>"366009411"</f>
        <v>366009411</v>
      </c>
      <c r="B2951" t="str">
        <f t="shared" si="207"/>
        <v>89301000</v>
      </c>
      <c r="C2951" s="1">
        <v>44398</v>
      </c>
      <c r="D2951" s="1">
        <v>44399</v>
      </c>
      <c r="E2951">
        <v>1</v>
      </c>
      <c r="F2951" t="s">
        <v>489</v>
      </c>
      <c r="G2951" t="str">
        <f>"05-D01-08"</f>
        <v>05-D01-08</v>
      </c>
      <c r="H2951">
        <v>0.4093</v>
      </c>
      <c r="I2951" t="s">
        <v>1892</v>
      </c>
      <c r="J2951" t="s">
        <v>14</v>
      </c>
      <c r="K2951" t="str">
        <f>"1F1"</f>
        <v>1F1</v>
      </c>
      <c r="L2951" t="s">
        <v>15</v>
      </c>
    </row>
    <row r="2952" spans="1:12" x14ac:dyDescent="0.25">
      <c r="A2952" t="str">
        <f>"366029429"</f>
        <v>366029429</v>
      </c>
      <c r="B2952" t="str">
        <f t="shared" si="207"/>
        <v>89301000</v>
      </c>
      <c r="C2952" s="1">
        <v>44262</v>
      </c>
      <c r="D2952" s="1">
        <v>44264</v>
      </c>
      <c r="E2952">
        <v>7</v>
      </c>
      <c r="F2952" t="s">
        <v>1894</v>
      </c>
      <c r="G2952" t="str">
        <f>"01-K11-03"</f>
        <v>01-K11-03</v>
      </c>
      <c r="H2952">
        <v>1.5643</v>
      </c>
      <c r="I2952" t="s">
        <v>1895</v>
      </c>
      <c r="J2952" t="s">
        <v>14</v>
      </c>
      <c r="K2952" t="str">
        <f>"2T9"</f>
        <v>2T9</v>
      </c>
      <c r="L2952" t="s">
        <v>15</v>
      </c>
    </row>
    <row r="2953" spans="1:12" x14ac:dyDescent="0.25">
      <c r="A2953" t="str">
        <f>"366107412"</f>
        <v>366107412</v>
      </c>
      <c r="B2953" t="str">
        <f t="shared" si="207"/>
        <v>89301000</v>
      </c>
      <c r="C2953" s="1">
        <v>44243</v>
      </c>
      <c r="D2953" s="1">
        <v>44249</v>
      </c>
      <c r="E2953">
        <v>1</v>
      </c>
      <c r="F2953" t="s">
        <v>1551</v>
      </c>
      <c r="G2953" t="str">
        <f>"09-I06-04"</f>
        <v>09-I06-04</v>
      </c>
      <c r="H2953">
        <v>0.98829999999999996</v>
      </c>
      <c r="J2953" t="s">
        <v>17</v>
      </c>
      <c r="K2953" t="str">
        <f>"5F1"</f>
        <v>5F1</v>
      </c>
      <c r="L2953" t="s">
        <v>15</v>
      </c>
    </row>
    <row r="2954" spans="1:12" x14ac:dyDescent="0.25">
      <c r="A2954" t="str">
        <f t="shared" ref="A2954:A2959" si="208">"366123408"</f>
        <v>366123408</v>
      </c>
      <c r="B2954" t="str">
        <f t="shared" si="207"/>
        <v>89301000</v>
      </c>
      <c r="C2954" s="1">
        <v>44274</v>
      </c>
      <c r="D2954" s="1">
        <v>44289</v>
      </c>
      <c r="E2954">
        <v>1</v>
      </c>
      <c r="F2954" t="s">
        <v>1896</v>
      </c>
      <c r="G2954" t="str">
        <f>"08-K15-00"</f>
        <v>08-K15-00</v>
      </c>
      <c r="H2954">
        <v>0.65249999999999997</v>
      </c>
      <c r="I2954" t="s">
        <v>1897</v>
      </c>
      <c r="J2954" t="s">
        <v>14</v>
      </c>
      <c r="K2954" t="str">
        <f>"1F5"</f>
        <v>1F5</v>
      </c>
      <c r="L2954" t="s">
        <v>15</v>
      </c>
    </row>
    <row r="2955" spans="1:12" x14ac:dyDescent="0.25">
      <c r="A2955" t="str">
        <f t="shared" si="208"/>
        <v>366123408</v>
      </c>
      <c r="B2955" t="str">
        <f t="shared" si="207"/>
        <v>89301000</v>
      </c>
      <c r="C2955" s="1">
        <v>44305</v>
      </c>
      <c r="D2955" s="1">
        <v>44313</v>
      </c>
      <c r="E2955">
        <v>1</v>
      </c>
      <c r="F2955" t="s">
        <v>1896</v>
      </c>
      <c r="G2955" t="str">
        <f>"08-K15-00"</f>
        <v>08-K15-00</v>
      </c>
      <c r="H2955">
        <v>0.44180000000000003</v>
      </c>
      <c r="I2955" t="s">
        <v>1898</v>
      </c>
      <c r="J2955" t="s">
        <v>14</v>
      </c>
      <c r="K2955" t="str">
        <f>"1F5"</f>
        <v>1F5</v>
      </c>
      <c r="L2955" t="s">
        <v>15</v>
      </c>
    </row>
    <row r="2956" spans="1:12" x14ac:dyDescent="0.25">
      <c r="A2956" t="str">
        <f t="shared" si="208"/>
        <v>366123408</v>
      </c>
      <c r="B2956" t="str">
        <f t="shared" si="207"/>
        <v>89301000</v>
      </c>
      <c r="C2956" s="1">
        <v>44333</v>
      </c>
      <c r="D2956" s="1">
        <v>44347</v>
      </c>
      <c r="E2956">
        <v>4</v>
      </c>
      <c r="F2956" t="s">
        <v>1899</v>
      </c>
      <c r="G2956" t="str">
        <f>"08-K08-00"</f>
        <v>08-K08-00</v>
      </c>
      <c r="H2956">
        <v>0.67100000000000004</v>
      </c>
      <c r="I2956" t="s">
        <v>1900</v>
      </c>
      <c r="J2956" t="s">
        <v>14</v>
      </c>
      <c r="K2956" t="str">
        <f>"1F6"</f>
        <v>1F6</v>
      </c>
      <c r="L2956" t="s">
        <v>15</v>
      </c>
    </row>
    <row r="2957" spans="1:12" x14ac:dyDescent="0.25">
      <c r="A2957" t="str">
        <f t="shared" si="208"/>
        <v>366123408</v>
      </c>
      <c r="B2957" t="str">
        <f t="shared" si="207"/>
        <v>89301000</v>
      </c>
      <c r="C2957" s="1">
        <v>44424</v>
      </c>
      <c r="D2957" s="1">
        <v>44427</v>
      </c>
      <c r="E2957">
        <v>4</v>
      </c>
      <c r="F2957" t="s">
        <v>1553</v>
      </c>
      <c r="G2957" t="str">
        <f>"04-K05-03"</f>
        <v>04-K05-03</v>
      </c>
      <c r="H2957">
        <v>0.74980000000000002</v>
      </c>
      <c r="I2957" t="s">
        <v>1901</v>
      </c>
      <c r="J2957" t="s">
        <v>14</v>
      </c>
      <c r="K2957" t="str">
        <f>"1F1"</f>
        <v>1F1</v>
      </c>
      <c r="L2957" t="s">
        <v>15</v>
      </c>
    </row>
    <row r="2958" spans="1:12" x14ac:dyDescent="0.25">
      <c r="A2958" t="str">
        <f t="shared" si="208"/>
        <v>366123408</v>
      </c>
      <c r="B2958" t="str">
        <f t="shared" si="207"/>
        <v>89301000</v>
      </c>
      <c r="C2958" s="1">
        <v>44461</v>
      </c>
      <c r="D2958" s="1">
        <v>44463</v>
      </c>
      <c r="E2958">
        <v>1</v>
      </c>
      <c r="F2958" t="s">
        <v>1902</v>
      </c>
      <c r="G2958" t="str">
        <f>"09-K02-00"</f>
        <v>09-K02-00</v>
      </c>
      <c r="H2958">
        <v>0.85219999999999996</v>
      </c>
      <c r="I2958" t="s">
        <v>1903</v>
      </c>
      <c r="J2958" t="s">
        <v>14</v>
      </c>
      <c r="K2958" t="str">
        <f>"4F4"</f>
        <v>4F4</v>
      </c>
      <c r="L2958" t="s">
        <v>15</v>
      </c>
    </row>
    <row r="2959" spans="1:12" x14ac:dyDescent="0.25">
      <c r="A2959" t="str">
        <f t="shared" si="208"/>
        <v>366123408</v>
      </c>
      <c r="B2959" t="str">
        <f t="shared" si="207"/>
        <v>89301000</v>
      </c>
      <c r="C2959" s="1">
        <v>44319</v>
      </c>
      <c r="D2959" s="1">
        <v>44327</v>
      </c>
      <c r="E2959">
        <v>4</v>
      </c>
      <c r="F2959" t="s">
        <v>1904</v>
      </c>
      <c r="G2959" t="str">
        <f>"08-K08-00"</f>
        <v>08-K08-00</v>
      </c>
      <c r="H2959">
        <v>0.51670000000000005</v>
      </c>
      <c r="I2959" t="s">
        <v>1905</v>
      </c>
      <c r="J2959" t="s">
        <v>14</v>
      </c>
      <c r="K2959" t="str">
        <f>"1F5"</f>
        <v>1F5</v>
      </c>
      <c r="L2959" t="s">
        <v>15</v>
      </c>
    </row>
    <row r="2960" spans="1:12" x14ac:dyDescent="0.25">
      <c r="A2960" t="str">
        <f>"370131439"</f>
        <v>370131439</v>
      </c>
      <c r="B2960" t="str">
        <f t="shared" si="207"/>
        <v>89301000</v>
      </c>
      <c r="C2960" s="1">
        <v>44519</v>
      </c>
      <c r="D2960" s="1">
        <v>44520</v>
      </c>
      <c r="E2960">
        <v>1</v>
      </c>
      <c r="F2960" t="s">
        <v>1906</v>
      </c>
      <c r="G2960" t="str">
        <f>"00-K01-02"</f>
        <v>00-K01-02</v>
      </c>
      <c r="H2960">
        <v>1.1361000000000001</v>
      </c>
      <c r="I2960" t="s">
        <v>1907</v>
      </c>
      <c r="J2960" t="s">
        <v>14</v>
      </c>
      <c r="K2960" t="str">
        <f>"5F3"</f>
        <v>5F3</v>
      </c>
      <c r="L2960" t="s">
        <v>15</v>
      </c>
    </row>
    <row r="2961" spans="1:12" x14ac:dyDescent="0.25">
      <c r="A2961" t="str">
        <f>"370131439"</f>
        <v>370131439</v>
      </c>
      <c r="B2961" t="str">
        <f t="shared" si="207"/>
        <v>89301000</v>
      </c>
      <c r="C2961" s="1">
        <v>44514</v>
      </c>
      <c r="D2961" s="1">
        <v>44516</v>
      </c>
      <c r="E2961">
        <v>1</v>
      </c>
      <c r="F2961" t="s">
        <v>1908</v>
      </c>
      <c r="G2961" t="str">
        <f>"02-I01-00"</f>
        <v>02-I01-00</v>
      </c>
      <c r="H2961">
        <v>1.3759999999999999</v>
      </c>
      <c r="I2961" t="s">
        <v>1909</v>
      </c>
      <c r="J2961" t="s">
        <v>17</v>
      </c>
      <c r="K2961" t="str">
        <f>"5F3"</f>
        <v>5F3</v>
      </c>
      <c r="L2961" t="s">
        <v>15</v>
      </c>
    </row>
    <row r="2962" spans="1:12" x14ac:dyDescent="0.25">
      <c r="A2962" t="str">
        <f>"370217404"</f>
        <v>370217404</v>
      </c>
      <c r="B2962" t="str">
        <f t="shared" si="207"/>
        <v>89301000</v>
      </c>
      <c r="C2962" s="1">
        <v>44321</v>
      </c>
      <c r="D2962" s="1">
        <v>44323</v>
      </c>
      <c r="E2962">
        <v>1</v>
      </c>
      <c r="F2962" t="s">
        <v>92</v>
      </c>
      <c r="G2962" t="str">
        <f>"05-K15-01"</f>
        <v>05-K15-01</v>
      </c>
      <c r="H2962">
        <v>0.83189999999999997</v>
      </c>
      <c r="I2962" t="s">
        <v>1910</v>
      </c>
      <c r="J2962" t="s">
        <v>14</v>
      </c>
      <c r="K2962" t="str">
        <f>"1T1"</f>
        <v>1T1</v>
      </c>
      <c r="L2962" t="s">
        <v>15</v>
      </c>
    </row>
    <row r="2963" spans="1:12" x14ac:dyDescent="0.25">
      <c r="A2963" t="str">
        <f>"370217404"</f>
        <v>370217404</v>
      </c>
      <c r="B2963" t="str">
        <f t="shared" si="207"/>
        <v>89301000</v>
      </c>
      <c r="C2963" s="1">
        <v>44502</v>
      </c>
      <c r="D2963" s="1">
        <v>44503</v>
      </c>
      <c r="E2963">
        <v>1</v>
      </c>
      <c r="F2963" t="s">
        <v>1650</v>
      </c>
      <c r="G2963" t="str">
        <f>"05-I25-02"</f>
        <v>05-I25-02</v>
      </c>
      <c r="H2963">
        <v>2.9081000000000001</v>
      </c>
      <c r="I2963" t="s">
        <v>1658</v>
      </c>
      <c r="J2963" t="s">
        <v>17</v>
      </c>
      <c r="K2963" t="str">
        <f>"1F7"</f>
        <v>1F7</v>
      </c>
      <c r="L2963" t="s">
        <v>15</v>
      </c>
    </row>
    <row r="2964" spans="1:12" x14ac:dyDescent="0.25">
      <c r="A2964" t="str">
        <f>"370218455"</f>
        <v>370218455</v>
      </c>
      <c r="B2964" t="str">
        <f t="shared" si="207"/>
        <v>89301000</v>
      </c>
      <c r="C2964" s="1">
        <v>44281</v>
      </c>
      <c r="D2964" s="1">
        <v>44282</v>
      </c>
      <c r="E2964">
        <v>7</v>
      </c>
      <c r="F2964" t="s">
        <v>1911</v>
      </c>
      <c r="G2964" t="str">
        <f>"05-K10-00"</f>
        <v>05-K10-00</v>
      </c>
      <c r="H2964">
        <v>0.52810000000000001</v>
      </c>
      <c r="I2964" t="s">
        <v>489</v>
      </c>
      <c r="J2964" t="s">
        <v>14</v>
      </c>
      <c r="K2964" t="str">
        <f>"5F5"</f>
        <v>5F5</v>
      </c>
      <c r="L2964" t="s">
        <v>15</v>
      </c>
    </row>
    <row r="2965" spans="1:12" x14ac:dyDescent="0.25">
      <c r="A2965" t="str">
        <f>"370411425"</f>
        <v>370411425</v>
      </c>
      <c r="B2965" t="str">
        <f t="shared" si="207"/>
        <v>89301000</v>
      </c>
      <c r="C2965" s="1">
        <v>44520</v>
      </c>
      <c r="D2965" s="1">
        <v>44522</v>
      </c>
      <c r="E2965">
        <v>5</v>
      </c>
      <c r="F2965" t="s">
        <v>1912</v>
      </c>
      <c r="G2965" t="str">
        <f>"09-K12-00"</f>
        <v>09-K12-00</v>
      </c>
      <c r="H2965">
        <v>0.24349999999999999</v>
      </c>
      <c r="I2965" t="s">
        <v>1913</v>
      </c>
      <c r="J2965" t="s">
        <v>14</v>
      </c>
      <c r="K2965" t="str">
        <f>"1F1"</f>
        <v>1F1</v>
      </c>
      <c r="L2965" t="s">
        <v>15</v>
      </c>
    </row>
    <row r="2966" spans="1:12" x14ac:dyDescent="0.25">
      <c r="A2966" t="str">
        <f>"370423447"</f>
        <v>370423447</v>
      </c>
      <c r="B2966" t="str">
        <f t="shared" si="207"/>
        <v>89301000</v>
      </c>
      <c r="C2966" s="1">
        <v>44339</v>
      </c>
      <c r="D2966" s="1">
        <v>44343</v>
      </c>
      <c r="E2966">
        <v>8</v>
      </c>
      <c r="F2966" t="s">
        <v>1914</v>
      </c>
      <c r="G2966" t="str">
        <f>"04-K09-03"</f>
        <v>04-K09-03</v>
      </c>
      <c r="H2966">
        <v>0.62749999999999995</v>
      </c>
      <c r="I2966" t="s">
        <v>1915</v>
      </c>
      <c r="J2966" t="s">
        <v>14</v>
      </c>
      <c r="K2966" t="str">
        <f>"2F5"</f>
        <v>2F5</v>
      </c>
      <c r="L2966" t="s">
        <v>15</v>
      </c>
    </row>
    <row r="2967" spans="1:12" x14ac:dyDescent="0.25">
      <c r="A2967" t="str">
        <f>"370519439"</f>
        <v>370519439</v>
      </c>
      <c r="B2967" t="str">
        <f t="shared" si="207"/>
        <v>89301000</v>
      </c>
      <c r="C2967" s="1">
        <v>44257</v>
      </c>
      <c r="D2967" s="1">
        <v>44258</v>
      </c>
      <c r="E2967">
        <v>5</v>
      </c>
      <c r="F2967" t="s">
        <v>1240</v>
      </c>
      <c r="G2967" t="str">
        <f>"11-K01-01"</f>
        <v>11-K01-01</v>
      </c>
      <c r="H2967">
        <v>0.66669999999999996</v>
      </c>
      <c r="I2967" t="s">
        <v>1916</v>
      </c>
      <c r="J2967" t="s">
        <v>14</v>
      </c>
      <c r="K2967" t="str">
        <f>"1F6"</f>
        <v>1F6</v>
      </c>
      <c r="L2967" t="s">
        <v>15</v>
      </c>
    </row>
    <row r="2968" spans="1:12" x14ac:dyDescent="0.25">
      <c r="A2968" t="str">
        <f>"370519439"</f>
        <v>370519439</v>
      </c>
      <c r="B2968" t="str">
        <f t="shared" si="207"/>
        <v>89301000</v>
      </c>
      <c r="C2968" s="1">
        <v>44239</v>
      </c>
      <c r="D2968" s="1">
        <v>44249</v>
      </c>
      <c r="E2968">
        <v>1</v>
      </c>
      <c r="F2968" t="s">
        <v>448</v>
      </c>
      <c r="G2968" t="str">
        <f>"11-K01-03"</f>
        <v>11-K01-03</v>
      </c>
      <c r="H2968">
        <v>0.59489999999999998</v>
      </c>
      <c r="I2968" t="s">
        <v>1917</v>
      </c>
      <c r="J2968" t="s">
        <v>14</v>
      </c>
      <c r="K2968" t="str">
        <f>"1F5"</f>
        <v>1F5</v>
      </c>
      <c r="L2968" t="s">
        <v>15</v>
      </c>
    </row>
    <row r="2969" spans="1:12" x14ac:dyDescent="0.25">
      <c r="A2969" t="str">
        <f>"370520464"</f>
        <v>370520464</v>
      </c>
      <c r="B2969" t="str">
        <f t="shared" si="207"/>
        <v>89301000</v>
      </c>
      <c r="C2969" s="1">
        <v>44196</v>
      </c>
      <c r="D2969" s="1">
        <v>44204</v>
      </c>
      <c r="E2969">
        <v>1</v>
      </c>
      <c r="F2969" t="s">
        <v>217</v>
      </c>
      <c r="G2969" t="str">
        <f>"04-K02-03"</f>
        <v>04-K02-03</v>
      </c>
      <c r="H2969">
        <v>1.2859</v>
      </c>
      <c r="I2969" t="s">
        <v>1918</v>
      </c>
      <c r="J2969" t="s">
        <v>14</v>
      </c>
      <c r="K2969" t="str">
        <f>"5F1"</f>
        <v>5F1</v>
      </c>
      <c r="L2969" t="s">
        <v>15</v>
      </c>
    </row>
    <row r="2970" spans="1:12" x14ac:dyDescent="0.25">
      <c r="A2970" t="str">
        <f>"370607423"</f>
        <v>370607423</v>
      </c>
      <c r="B2970" t="str">
        <f t="shared" si="207"/>
        <v>89301000</v>
      </c>
      <c r="C2970" s="1">
        <v>44248</v>
      </c>
      <c r="D2970" s="1">
        <v>44258</v>
      </c>
      <c r="E2970">
        <v>4</v>
      </c>
      <c r="F2970" t="s">
        <v>979</v>
      </c>
      <c r="G2970" t="str">
        <f>"04-K02-04"</f>
        <v>04-K02-04</v>
      </c>
      <c r="H2970">
        <v>0.82469999999999999</v>
      </c>
      <c r="I2970" t="s">
        <v>1919</v>
      </c>
      <c r="J2970" t="s">
        <v>14</v>
      </c>
      <c r="K2970" t="str">
        <f>"1F1"</f>
        <v>1F1</v>
      </c>
      <c r="L2970" t="s">
        <v>15</v>
      </c>
    </row>
    <row r="2971" spans="1:12" x14ac:dyDescent="0.25">
      <c r="A2971" t="str">
        <f>"370715427"</f>
        <v>370715427</v>
      </c>
      <c r="B2971" t="str">
        <f t="shared" si="207"/>
        <v>89301000</v>
      </c>
      <c r="C2971" s="1">
        <v>44220</v>
      </c>
      <c r="D2971" s="1">
        <v>44223</v>
      </c>
      <c r="E2971">
        <v>1</v>
      </c>
      <c r="F2971" t="s">
        <v>1660</v>
      </c>
      <c r="G2971" t="str">
        <f>"01-K12-01"</f>
        <v>01-K12-01</v>
      </c>
      <c r="H2971">
        <v>0.71289999999999998</v>
      </c>
      <c r="I2971" t="s">
        <v>1920</v>
      </c>
      <c r="J2971" t="s">
        <v>14</v>
      </c>
      <c r="K2971" t="str">
        <f>"1F1"</f>
        <v>1F1</v>
      </c>
      <c r="L2971" t="s">
        <v>15</v>
      </c>
    </row>
    <row r="2972" spans="1:12" x14ac:dyDescent="0.25">
      <c r="A2972" t="str">
        <f>"370731449"</f>
        <v>370731449</v>
      </c>
      <c r="B2972" t="str">
        <f t="shared" si="207"/>
        <v>89301000</v>
      </c>
      <c r="C2972" s="1">
        <v>44436</v>
      </c>
      <c r="D2972" s="1">
        <v>44441</v>
      </c>
      <c r="E2972">
        <v>1</v>
      </c>
      <c r="F2972" t="s">
        <v>1132</v>
      </c>
      <c r="G2972" t="str">
        <f>"23-K04-01"</f>
        <v>23-K04-01</v>
      </c>
      <c r="H2972">
        <v>0.51600000000000001</v>
      </c>
      <c r="I2972" t="s">
        <v>1921</v>
      </c>
      <c r="J2972" t="s">
        <v>14</v>
      </c>
      <c r="K2972" t="str">
        <f>"2F9"</f>
        <v>2F9</v>
      </c>
      <c r="L2972" t="s">
        <v>15</v>
      </c>
    </row>
    <row r="2973" spans="1:12" x14ac:dyDescent="0.25">
      <c r="A2973" t="str">
        <f>"370805447"</f>
        <v>370805447</v>
      </c>
      <c r="B2973" t="str">
        <f t="shared" ref="B2973:B3036" si="209">"89301000"</f>
        <v>89301000</v>
      </c>
      <c r="C2973" s="1">
        <v>44250</v>
      </c>
      <c r="D2973" s="1">
        <v>44253</v>
      </c>
      <c r="E2973">
        <v>5</v>
      </c>
      <c r="F2973" t="s">
        <v>217</v>
      </c>
      <c r="G2973" t="str">
        <f>"04-K02-04"</f>
        <v>04-K02-04</v>
      </c>
      <c r="H2973">
        <v>0.82469999999999999</v>
      </c>
      <c r="I2973" t="s">
        <v>274</v>
      </c>
      <c r="J2973" t="s">
        <v>14</v>
      </c>
      <c r="K2973" t="str">
        <f>"1F1"</f>
        <v>1F1</v>
      </c>
      <c r="L2973" t="s">
        <v>15</v>
      </c>
    </row>
    <row r="2974" spans="1:12" x14ac:dyDescent="0.25">
      <c r="A2974" t="str">
        <f>"370805447"</f>
        <v>370805447</v>
      </c>
      <c r="B2974" t="str">
        <f t="shared" si="209"/>
        <v>89301000</v>
      </c>
      <c r="C2974" s="1">
        <v>44328</v>
      </c>
      <c r="D2974" s="1">
        <v>44330</v>
      </c>
      <c r="E2974">
        <v>4</v>
      </c>
      <c r="F2974" t="s">
        <v>1615</v>
      </c>
      <c r="G2974" t="str">
        <f>"08-I13-05"</f>
        <v>08-I13-05</v>
      </c>
      <c r="H2974">
        <v>1.7085999999999999</v>
      </c>
      <c r="I2974" t="s">
        <v>1922</v>
      </c>
      <c r="J2974" t="s">
        <v>17</v>
      </c>
      <c r="K2974" t="str">
        <f>"5T3"</f>
        <v>5T3</v>
      </c>
      <c r="L2974" t="s">
        <v>15</v>
      </c>
    </row>
    <row r="2975" spans="1:12" x14ac:dyDescent="0.25">
      <c r="A2975" t="str">
        <f>"370823445"</f>
        <v>370823445</v>
      </c>
      <c r="B2975" t="str">
        <f t="shared" si="209"/>
        <v>89301000</v>
      </c>
      <c r="C2975" s="1">
        <v>44368</v>
      </c>
      <c r="D2975" s="1">
        <v>44369</v>
      </c>
      <c r="E2975">
        <v>1</v>
      </c>
      <c r="F2975" t="s">
        <v>174</v>
      </c>
      <c r="G2975" t="str">
        <f>"12-I14-00"</f>
        <v>12-I14-00</v>
      </c>
      <c r="H2975">
        <v>0.44350000000000001</v>
      </c>
      <c r="I2975" t="s">
        <v>1923</v>
      </c>
      <c r="J2975" t="s">
        <v>14</v>
      </c>
      <c r="K2975" t="str">
        <f>"7F6"</f>
        <v>7F6</v>
      </c>
      <c r="L2975" t="s">
        <v>15</v>
      </c>
    </row>
    <row r="2976" spans="1:12" x14ac:dyDescent="0.25">
      <c r="A2976" t="str">
        <f>"370915434"</f>
        <v>370915434</v>
      </c>
      <c r="B2976" t="str">
        <f t="shared" si="209"/>
        <v>89301000</v>
      </c>
      <c r="C2976" s="1">
        <v>44528</v>
      </c>
      <c r="D2976" s="1">
        <v>44530</v>
      </c>
      <c r="E2976">
        <v>5</v>
      </c>
      <c r="F2976" t="s">
        <v>1567</v>
      </c>
      <c r="G2976" t="str">
        <f>"05-I14-04"</f>
        <v>05-I14-04</v>
      </c>
      <c r="H2976">
        <v>5.4002999999999997</v>
      </c>
      <c r="J2976" t="s">
        <v>14</v>
      </c>
      <c r="K2976" t="str">
        <f>"1F1"</f>
        <v>1F1</v>
      </c>
      <c r="L2976" t="s">
        <v>15</v>
      </c>
    </row>
    <row r="2977" spans="1:12" x14ac:dyDescent="0.25">
      <c r="A2977" t="str">
        <f>"371015418"</f>
        <v>371015418</v>
      </c>
      <c r="B2977" t="str">
        <f t="shared" si="209"/>
        <v>89301000</v>
      </c>
      <c r="C2977" s="1">
        <v>44480</v>
      </c>
      <c r="D2977" s="1">
        <v>44489</v>
      </c>
      <c r="E2977">
        <v>1</v>
      </c>
      <c r="F2977" t="s">
        <v>1555</v>
      </c>
      <c r="G2977" t="str">
        <f>"05-K12-02"</f>
        <v>05-K12-02</v>
      </c>
      <c r="H2977">
        <v>0.53600000000000003</v>
      </c>
      <c r="I2977" t="s">
        <v>1924</v>
      </c>
      <c r="J2977" t="s">
        <v>14</v>
      </c>
      <c r="K2977" t="str">
        <f>"5F1"</f>
        <v>5F1</v>
      </c>
      <c r="L2977" t="s">
        <v>15</v>
      </c>
    </row>
    <row r="2978" spans="1:12" x14ac:dyDescent="0.25">
      <c r="A2978" t="str">
        <f>"371019445"</f>
        <v>371019445</v>
      </c>
      <c r="B2978" t="str">
        <f t="shared" si="209"/>
        <v>89301000</v>
      </c>
      <c r="C2978" s="1">
        <v>44306</v>
      </c>
      <c r="D2978" s="1">
        <v>44337</v>
      </c>
      <c r="E2978">
        <v>8</v>
      </c>
      <c r="F2978" t="s">
        <v>1925</v>
      </c>
      <c r="G2978" t="str">
        <f>"05-M06-08"</f>
        <v>05-M06-08</v>
      </c>
      <c r="H2978">
        <v>5.1317000000000004</v>
      </c>
      <c r="I2978" t="s">
        <v>1926</v>
      </c>
      <c r="J2978" t="s">
        <v>17</v>
      </c>
      <c r="K2978" t="str">
        <f>"1F1"</f>
        <v>1F1</v>
      </c>
      <c r="L2978" t="s">
        <v>15</v>
      </c>
    </row>
    <row r="2979" spans="1:12" x14ac:dyDescent="0.25">
      <c r="A2979" t="str">
        <f>"371019445"</f>
        <v>371019445</v>
      </c>
      <c r="B2979" t="str">
        <f t="shared" si="209"/>
        <v>89301000</v>
      </c>
      <c r="C2979" s="1">
        <v>44298</v>
      </c>
      <c r="D2979" s="1">
        <v>44300</v>
      </c>
      <c r="E2979">
        <v>1</v>
      </c>
      <c r="F2979" t="s">
        <v>1927</v>
      </c>
      <c r="G2979" t="str">
        <f>"05-I29-03"</f>
        <v>05-I29-03</v>
      </c>
      <c r="H2979">
        <v>0.94369999999999998</v>
      </c>
      <c r="I2979" t="s">
        <v>1928</v>
      </c>
      <c r="J2979" t="s">
        <v>14</v>
      </c>
      <c r="K2979" t="str">
        <f>"5F1"</f>
        <v>5F1</v>
      </c>
      <c r="L2979" t="s">
        <v>15</v>
      </c>
    </row>
    <row r="2980" spans="1:12" x14ac:dyDescent="0.25">
      <c r="A2980" t="str">
        <f>"371208402"</f>
        <v>371208402</v>
      </c>
      <c r="B2980" t="str">
        <f t="shared" si="209"/>
        <v>89301000</v>
      </c>
      <c r="C2980" s="1">
        <v>44469</v>
      </c>
      <c r="D2980" s="1">
        <v>44471</v>
      </c>
      <c r="E2980">
        <v>1</v>
      </c>
      <c r="F2980" t="s">
        <v>1842</v>
      </c>
      <c r="G2980" t="str">
        <f>"05-I14-01"</f>
        <v>05-I14-01</v>
      </c>
      <c r="H2980">
        <v>8.4923999999999999</v>
      </c>
      <c r="I2980" t="s">
        <v>1929</v>
      </c>
      <c r="J2980" t="s">
        <v>14</v>
      </c>
      <c r="K2980" t="str">
        <f>"1F1"</f>
        <v>1F1</v>
      </c>
      <c r="L2980" t="s">
        <v>15</v>
      </c>
    </row>
    <row r="2981" spans="1:12" x14ac:dyDescent="0.25">
      <c r="A2981" t="str">
        <f>"371215757"</f>
        <v>371215757</v>
      </c>
      <c r="B2981" t="str">
        <f t="shared" si="209"/>
        <v>89301000</v>
      </c>
      <c r="C2981" s="1">
        <v>44451</v>
      </c>
      <c r="D2981" s="1">
        <v>44453</v>
      </c>
      <c r="E2981">
        <v>1</v>
      </c>
      <c r="F2981" t="s">
        <v>1599</v>
      </c>
      <c r="G2981" t="str">
        <f>"05-K07-05"</f>
        <v>05-K07-05</v>
      </c>
      <c r="H2981">
        <v>0.81410000000000005</v>
      </c>
      <c r="I2981" t="s">
        <v>1930</v>
      </c>
      <c r="J2981" t="s">
        <v>14</v>
      </c>
      <c r="K2981" t="str">
        <f>"1F7"</f>
        <v>1F7</v>
      </c>
      <c r="L2981" t="s">
        <v>15</v>
      </c>
    </row>
    <row r="2982" spans="1:12" x14ac:dyDescent="0.25">
      <c r="A2982" t="str">
        <f>"371226413"</f>
        <v>371226413</v>
      </c>
      <c r="B2982" t="str">
        <f t="shared" si="209"/>
        <v>89301000</v>
      </c>
      <c r="C2982" s="1">
        <v>44340</v>
      </c>
      <c r="D2982" s="1">
        <v>44347</v>
      </c>
      <c r="E2982">
        <v>1</v>
      </c>
      <c r="F2982" t="s">
        <v>1931</v>
      </c>
      <c r="G2982" t="str">
        <f>"03-K04-01"</f>
        <v>03-K04-01</v>
      </c>
      <c r="H2982">
        <v>0.46660000000000001</v>
      </c>
      <c r="I2982" t="s">
        <v>1932</v>
      </c>
      <c r="J2982" t="s">
        <v>14</v>
      </c>
      <c r="K2982" t="str">
        <f>"7F1"</f>
        <v>7F1</v>
      </c>
      <c r="L2982" t="s">
        <v>15</v>
      </c>
    </row>
    <row r="2983" spans="1:12" x14ac:dyDescent="0.25">
      <c r="A2983" t="str">
        <f>"375102446"</f>
        <v>375102446</v>
      </c>
      <c r="B2983" t="str">
        <f t="shared" si="209"/>
        <v>89301000</v>
      </c>
      <c r="C2983" s="1">
        <v>44284</v>
      </c>
      <c r="D2983" s="1">
        <v>44287</v>
      </c>
      <c r="E2983">
        <v>2</v>
      </c>
      <c r="F2983" t="s">
        <v>452</v>
      </c>
      <c r="G2983" t="str">
        <f>"06-K04-01"</f>
        <v>06-K04-01</v>
      </c>
      <c r="H2983">
        <v>1.9043000000000001</v>
      </c>
      <c r="I2983" t="s">
        <v>1933</v>
      </c>
      <c r="J2983" t="s">
        <v>14</v>
      </c>
      <c r="K2983" t="str">
        <f>"1F1"</f>
        <v>1F1</v>
      </c>
      <c r="L2983" t="s">
        <v>15</v>
      </c>
    </row>
    <row r="2984" spans="1:12" x14ac:dyDescent="0.25">
      <c r="A2984" t="str">
        <f>"375112436"</f>
        <v>375112436</v>
      </c>
      <c r="B2984" t="str">
        <f t="shared" si="209"/>
        <v>89301000</v>
      </c>
      <c r="C2984" s="1">
        <v>44247</v>
      </c>
      <c r="D2984" s="1">
        <v>44250</v>
      </c>
      <c r="E2984">
        <v>1</v>
      </c>
      <c r="F2984" t="s">
        <v>1934</v>
      </c>
      <c r="G2984" t="str">
        <f>"23-K04-01"</f>
        <v>23-K04-01</v>
      </c>
      <c r="H2984">
        <v>0.51600000000000001</v>
      </c>
      <c r="I2984" t="s">
        <v>1935</v>
      </c>
      <c r="J2984" t="s">
        <v>14</v>
      </c>
      <c r="K2984" t="str">
        <f>"1F1"</f>
        <v>1F1</v>
      </c>
      <c r="L2984" t="s">
        <v>15</v>
      </c>
    </row>
    <row r="2985" spans="1:12" x14ac:dyDescent="0.25">
      <c r="A2985" t="str">
        <f>"375406445"</f>
        <v>375406445</v>
      </c>
      <c r="B2985" t="str">
        <f t="shared" si="209"/>
        <v>89301000</v>
      </c>
      <c r="C2985" s="1">
        <v>44375</v>
      </c>
      <c r="D2985" s="1">
        <v>44376</v>
      </c>
      <c r="E2985">
        <v>1</v>
      </c>
      <c r="F2985" t="s">
        <v>1936</v>
      </c>
      <c r="G2985" t="str">
        <f>"05-D01-06"</f>
        <v>05-D01-06</v>
      </c>
      <c r="H2985">
        <v>0.7611</v>
      </c>
      <c r="I2985" t="s">
        <v>1937</v>
      </c>
      <c r="J2985" t="s">
        <v>14</v>
      </c>
      <c r="K2985" t="str">
        <f>"1F7"</f>
        <v>1F7</v>
      </c>
      <c r="L2985" t="s">
        <v>15</v>
      </c>
    </row>
    <row r="2986" spans="1:12" x14ac:dyDescent="0.25">
      <c r="A2986" t="str">
        <f>"375408446"</f>
        <v>375408446</v>
      </c>
      <c r="B2986" t="str">
        <f t="shared" si="209"/>
        <v>89301000</v>
      </c>
      <c r="C2986" s="1">
        <v>44339</v>
      </c>
      <c r="D2986" s="1">
        <v>44346</v>
      </c>
      <c r="E2986">
        <v>1</v>
      </c>
      <c r="F2986" t="s">
        <v>1938</v>
      </c>
      <c r="G2986" t="str">
        <f>"11-I08-03"</f>
        <v>11-I08-03</v>
      </c>
      <c r="H2986">
        <v>2.0676999999999999</v>
      </c>
      <c r="I2986" t="s">
        <v>441</v>
      </c>
      <c r="J2986" t="s">
        <v>17</v>
      </c>
      <c r="K2986" t="str">
        <f>"7F6"</f>
        <v>7F6</v>
      </c>
      <c r="L2986" t="s">
        <v>15</v>
      </c>
    </row>
    <row r="2987" spans="1:12" x14ac:dyDescent="0.25">
      <c r="A2987" t="str">
        <f>"375408446"</f>
        <v>375408446</v>
      </c>
      <c r="B2987" t="str">
        <f t="shared" si="209"/>
        <v>89301000</v>
      </c>
      <c r="C2987" s="1">
        <v>44308</v>
      </c>
      <c r="D2987" s="1">
        <v>44312</v>
      </c>
      <c r="E2987">
        <v>1</v>
      </c>
      <c r="F2987" t="s">
        <v>1679</v>
      </c>
      <c r="G2987" t="str">
        <f>"11-M06-03"</f>
        <v>11-M06-03</v>
      </c>
      <c r="H2987">
        <v>0.61829999999999996</v>
      </c>
      <c r="I2987" t="s">
        <v>1939</v>
      </c>
      <c r="J2987" t="s">
        <v>17</v>
      </c>
      <c r="K2987" t="str">
        <f>"7F6"</f>
        <v>7F6</v>
      </c>
      <c r="L2987" t="s">
        <v>15</v>
      </c>
    </row>
    <row r="2988" spans="1:12" x14ac:dyDescent="0.25">
      <c r="A2988" t="str">
        <f>"375421439"</f>
        <v>375421439</v>
      </c>
      <c r="B2988" t="str">
        <f t="shared" si="209"/>
        <v>89301000</v>
      </c>
      <c r="C2988" s="1">
        <v>44474</v>
      </c>
      <c r="D2988" s="1">
        <v>44498</v>
      </c>
      <c r="E2988">
        <v>1</v>
      </c>
      <c r="F2988" t="s">
        <v>1733</v>
      </c>
      <c r="G2988" t="str">
        <f>"00-M01-04"</f>
        <v>00-M01-04</v>
      </c>
      <c r="H2988">
        <v>6.85</v>
      </c>
      <c r="I2988" t="s">
        <v>1940</v>
      </c>
      <c r="J2988" t="s">
        <v>14</v>
      </c>
      <c r="K2988" t="str">
        <f>"2F5"</f>
        <v>2F5</v>
      </c>
      <c r="L2988" t="s">
        <v>15</v>
      </c>
    </row>
    <row r="2989" spans="1:12" x14ac:dyDescent="0.25">
      <c r="A2989" t="str">
        <f>"375427454"</f>
        <v>375427454</v>
      </c>
      <c r="B2989" t="str">
        <f t="shared" si="209"/>
        <v>89301000</v>
      </c>
      <c r="C2989" s="1">
        <v>44431</v>
      </c>
      <c r="D2989" s="1">
        <v>44434</v>
      </c>
      <c r="E2989">
        <v>1</v>
      </c>
      <c r="F2989" t="s">
        <v>1567</v>
      </c>
      <c r="G2989" t="str">
        <f>"05-I14-04"</f>
        <v>05-I14-04</v>
      </c>
      <c r="H2989">
        <v>5.4002999999999997</v>
      </c>
      <c r="I2989" t="s">
        <v>1941</v>
      </c>
      <c r="J2989" t="s">
        <v>14</v>
      </c>
      <c r="K2989" t="str">
        <f>"1F1"</f>
        <v>1F1</v>
      </c>
      <c r="L2989" t="s">
        <v>15</v>
      </c>
    </row>
    <row r="2990" spans="1:12" x14ac:dyDescent="0.25">
      <c r="A2990" t="str">
        <f>"375513461"</f>
        <v>375513461</v>
      </c>
      <c r="B2990" t="str">
        <f t="shared" si="209"/>
        <v>89301000</v>
      </c>
      <c r="C2990" s="1">
        <v>44523</v>
      </c>
      <c r="D2990" s="1">
        <v>44525</v>
      </c>
      <c r="E2990">
        <v>1</v>
      </c>
      <c r="F2990" t="s">
        <v>1548</v>
      </c>
      <c r="G2990" t="str">
        <f>"05-D01-06"</f>
        <v>05-D01-06</v>
      </c>
      <c r="H2990">
        <v>0.7611</v>
      </c>
      <c r="I2990" t="s">
        <v>1942</v>
      </c>
      <c r="J2990" t="s">
        <v>14</v>
      </c>
      <c r="K2990" t="str">
        <f>"1F1"</f>
        <v>1F1</v>
      </c>
      <c r="L2990" t="s">
        <v>15</v>
      </c>
    </row>
    <row r="2991" spans="1:12" x14ac:dyDescent="0.25">
      <c r="A2991" t="str">
        <f>"375513461"</f>
        <v>375513461</v>
      </c>
      <c r="B2991" t="str">
        <f t="shared" si="209"/>
        <v>89301000</v>
      </c>
      <c r="C2991" s="1">
        <v>44508</v>
      </c>
      <c r="D2991" s="1">
        <v>44510</v>
      </c>
      <c r="E2991">
        <v>1</v>
      </c>
      <c r="F2991" t="s">
        <v>1548</v>
      </c>
      <c r="G2991" t="str">
        <f>"05-K07-04"</f>
        <v>05-K07-04</v>
      </c>
      <c r="H2991">
        <v>0.85160000000000002</v>
      </c>
      <c r="I2991" t="s">
        <v>1942</v>
      </c>
      <c r="J2991" t="s">
        <v>14</v>
      </c>
      <c r="K2991" t="str">
        <f>"1F1"</f>
        <v>1F1</v>
      </c>
      <c r="L2991" t="s">
        <v>15</v>
      </c>
    </row>
    <row r="2992" spans="1:12" x14ac:dyDescent="0.25">
      <c r="A2992" t="str">
        <f>"375515415"</f>
        <v>375515415</v>
      </c>
      <c r="B2992" t="str">
        <f t="shared" si="209"/>
        <v>89301000</v>
      </c>
      <c r="C2992" s="1">
        <v>44522</v>
      </c>
      <c r="D2992" s="1">
        <v>44529</v>
      </c>
      <c r="E2992">
        <v>8</v>
      </c>
      <c r="F2992" t="s">
        <v>217</v>
      </c>
      <c r="G2992" t="str">
        <f>"04-K02-03"</f>
        <v>04-K02-03</v>
      </c>
      <c r="H2992">
        <v>1.2859</v>
      </c>
      <c r="I2992" t="s">
        <v>1943</v>
      </c>
      <c r="J2992" t="s">
        <v>14</v>
      </c>
      <c r="K2992" t="str">
        <f>"1F6"</f>
        <v>1F6</v>
      </c>
      <c r="L2992" t="s">
        <v>15</v>
      </c>
    </row>
    <row r="2993" spans="1:12" x14ac:dyDescent="0.25">
      <c r="A2993" t="str">
        <f>"375515415"</f>
        <v>375515415</v>
      </c>
      <c r="B2993" t="str">
        <f t="shared" si="209"/>
        <v>89301000</v>
      </c>
      <c r="C2993" s="1">
        <v>44229</v>
      </c>
      <c r="D2993" s="1">
        <v>44235</v>
      </c>
      <c r="E2993">
        <v>4</v>
      </c>
      <c r="F2993" t="s">
        <v>1548</v>
      </c>
      <c r="G2993" t="str">
        <f>"05-K07-04"</f>
        <v>05-K07-04</v>
      </c>
      <c r="H2993">
        <v>1.131</v>
      </c>
      <c r="I2993" t="s">
        <v>1944</v>
      </c>
      <c r="J2993" t="s">
        <v>14</v>
      </c>
      <c r="K2993" t="str">
        <f>"1F1"</f>
        <v>1F1</v>
      </c>
      <c r="L2993" t="s">
        <v>15</v>
      </c>
    </row>
    <row r="2994" spans="1:12" x14ac:dyDescent="0.25">
      <c r="A2994" t="str">
        <f>"375515446"</f>
        <v>375515446</v>
      </c>
      <c r="B2994" t="str">
        <f t="shared" si="209"/>
        <v>89301000</v>
      </c>
      <c r="C2994" s="1">
        <v>44507</v>
      </c>
      <c r="D2994" s="1">
        <v>44531</v>
      </c>
      <c r="E2994">
        <v>1</v>
      </c>
      <c r="F2994" t="s">
        <v>217</v>
      </c>
      <c r="G2994" t="str">
        <f>"00-M02-04"</f>
        <v>00-M02-04</v>
      </c>
      <c r="H2994">
        <v>12.071199999999999</v>
      </c>
      <c r="I2994" t="s">
        <v>1945</v>
      </c>
      <c r="J2994" t="s">
        <v>14</v>
      </c>
      <c r="K2994" t="str">
        <f>"2F5"</f>
        <v>2F5</v>
      </c>
      <c r="L2994" t="s">
        <v>15</v>
      </c>
    </row>
    <row r="2995" spans="1:12" x14ac:dyDescent="0.25">
      <c r="A2995" t="str">
        <f>"375703412"</f>
        <v>375703412</v>
      </c>
      <c r="B2995" t="str">
        <f t="shared" si="209"/>
        <v>89301000</v>
      </c>
      <c r="C2995" s="1">
        <v>44301</v>
      </c>
      <c r="D2995" s="1">
        <v>44303</v>
      </c>
      <c r="E2995">
        <v>1</v>
      </c>
      <c r="F2995" t="s">
        <v>1551</v>
      </c>
      <c r="G2995" t="str">
        <f>"09-I06-04"</f>
        <v>09-I06-04</v>
      </c>
      <c r="H2995">
        <v>0.98829999999999996</v>
      </c>
      <c r="J2995" t="s">
        <v>17</v>
      </c>
      <c r="K2995" t="str">
        <f>"5F1"</f>
        <v>5F1</v>
      </c>
      <c r="L2995" t="s">
        <v>15</v>
      </c>
    </row>
    <row r="2996" spans="1:12" x14ac:dyDescent="0.25">
      <c r="A2996" t="str">
        <f>"375705069"</f>
        <v>375705069</v>
      </c>
      <c r="B2996" t="str">
        <f t="shared" si="209"/>
        <v>89301000</v>
      </c>
      <c r="C2996" s="1">
        <v>44220</v>
      </c>
      <c r="D2996" s="1">
        <v>44229</v>
      </c>
      <c r="E2996">
        <v>1</v>
      </c>
      <c r="F2996" t="s">
        <v>217</v>
      </c>
      <c r="G2996" t="str">
        <f>"04-K02-04"</f>
        <v>04-K02-04</v>
      </c>
      <c r="H2996">
        <v>0.82469999999999999</v>
      </c>
      <c r="I2996" t="s">
        <v>248</v>
      </c>
      <c r="J2996" t="s">
        <v>14</v>
      </c>
      <c r="K2996" t="str">
        <f>"5F1"</f>
        <v>5F1</v>
      </c>
      <c r="L2996" t="s">
        <v>15</v>
      </c>
    </row>
    <row r="2997" spans="1:12" x14ac:dyDescent="0.25">
      <c r="A2997" t="str">
        <f>"375705069"</f>
        <v>375705069</v>
      </c>
      <c r="B2997" t="str">
        <f t="shared" si="209"/>
        <v>89301000</v>
      </c>
      <c r="C2997" s="1">
        <v>44249</v>
      </c>
      <c r="D2997" s="1">
        <v>44257</v>
      </c>
      <c r="E2997">
        <v>1</v>
      </c>
      <c r="F2997" t="s">
        <v>1946</v>
      </c>
      <c r="G2997" t="str">
        <f>"07-K05-02"</f>
        <v>07-K05-02</v>
      </c>
      <c r="H2997">
        <v>0.60189999999999999</v>
      </c>
      <c r="I2997" t="s">
        <v>1947</v>
      </c>
      <c r="J2997" t="s">
        <v>14</v>
      </c>
      <c r="K2997" t="str">
        <f>"1F5"</f>
        <v>1F5</v>
      </c>
      <c r="L2997" t="s">
        <v>15</v>
      </c>
    </row>
    <row r="2998" spans="1:12" x14ac:dyDescent="0.25">
      <c r="A2998" t="str">
        <f>"375705724"</f>
        <v>375705724</v>
      </c>
      <c r="B2998" t="str">
        <f t="shared" si="209"/>
        <v>89301000</v>
      </c>
      <c r="C2998" s="1">
        <v>44470</v>
      </c>
      <c r="D2998" s="1">
        <v>44475</v>
      </c>
      <c r="E2998">
        <v>1</v>
      </c>
      <c r="F2998" t="s">
        <v>1948</v>
      </c>
      <c r="G2998" t="str">
        <f>"08-K08-00"</f>
        <v>08-K08-00</v>
      </c>
      <c r="H2998">
        <v>0.51670000000000005</v>
      </c>
      <c r="I2998" t="s">
        <v>1949</v>
      </c>
      <c r="J2998" t="s">
        <v>14</v>
      </c>
      <c r="K2998" t="str">
        <f>"2F9"</f>
        <v>2F9</v>
      </c>
      <c r="L2998" t="s">
        <v>15</v>
      </c>
    </row>
    <row r="2999" spans="1:12" x14ac:dyDescent="0.25">
      <c r="A2999" t="str">
        <f>"375708457"</f>
        <v>375708457</v>
      </c>
      <c r="B2999" t="str">
        <f t="shared" si="209"/>
        <v>89301000</v>
      </c>
      <c r="C2999" s="1">
        <v>44328</v>
      </c>
      <c r="D2999" s="1">
        <v>44329</v>
      </c>
      <c r="E2999">
        <v>1</v>
      </c>
      <c r="F2999" t="s">
        <v>1950</v>
      </c>
      <c r="G2999" t="str">
        <f>"02-I13-02"</f>
        <v>02-I13-02</v>
      </c>
      <c r="H2999">
        <v>0.376</v>
      </c>
      <c r="I2999" t="s">
        <v>168</v>
      </c>
      <c r="J2999" t="s">
        <v>14</v>
      </c>
      <c r="K2999" t="str">
        <f>"7F5"</f>
        <v>7F5</v>
      </c>
      <c r="L2999" t="s">
        <v>15</v>
      </c>
    </row>
    <row r="3000" spans="1:12" x14ac:dyDescent="0.25">
      <c r="A3000" t="str">
        <f>"375728414"</f>
        <v>375728414</v>
      </c>
      <c r="B3000" t="str">
        <f t="shared" si="209"/>
        <v>89301000</v>
      </c>
      <c r="C3000" s="1">
        <v>44514</v>
      </c>
      <c r="D3000" s="1">
        <v>44523</v>
      </c>
      <c r="E3000">
        <v>5</v>
      </c>
      <c r="F3000" t="s">
        <v>1664</v>
      </c>
      <c r="G3000" t="str">
        <f>"08-K12-01"</f>
        <v>08-K12-01</v>
      </c>
      <c r="H3000">
        <v>1.5608</v>
      </c>
      <c r="I3000" t="s">
        <v>1951</v>
      </c>
      <c r="J3000" t="s">
        <v>14</v>
      </c>
      <c r="K3000" t="str">
        <f>"5F3"</f>
        <v>5F3</v>
      </c>
      <c r="L3000" t="s">
        <v>15</v>
      </c>
    </row>
    <row r="3001" spans="1:12" x14ac:dyDescent="0.25">
      <c r="A3001" t="str">
        <f>"376007454"</f>
        <v>376007454</v>
      </c>
      <c r="B3001" t="str">
        <f t="shared" si="209"/>
        <v>89301000</v>
      </c>
      <c r="C3001" s="1">
        <v>44508</v>
      </c>
      <c r="D3001" s="1">
        <v>44518</v>
      </c>
      <c r="E3001">
        <v>8</v>
      </c>
      <c r="F3001" t="s">
        <v>217</v>
      </c>
      <c r="G3001" t="str">
        <f>"04-K02-02"</f>
        <v>04-K02-02</v>
      </c>
      <c r="H3001">
        <v>2.5186000000000002</v>
      </c>
      <c r="I3001" t="s">
        <v>1952</v>
      </c>
      <c r="J3001" t="s">
        <v>14</v>
      </c>
      <c r="K3001" t="str">
        <f>"1T1"</f>
        <v>1T1</v>
      </c>
      <c r="L3001" t="s">
        <v>15</v>
      </c>
    </row>
    <row r="3002" spans="1:12" x14ac:dyDescent="0.25">
      <c r="A3002" t="str">
        <f>"376029078"</f>
        <v>376029078</v>
      </c>
      <c r="B3002" t="str">
        <f t="shared" si="209"/>
        <v>89301000</v>
      </c>
      <c r="C3002" s="1">
        <v>44203</v>
      </c>
      <c r="D3002" s="1">
        <v>44208</v>
      </c>
      <c r="E3002">
        <v>1</v>
      </c>
      <c r="F3002" t="s">
        <v>1953</v>
      </c>
      <c r="G3002" t="str">
        <f>"07-K07-01"</f>
        <v>07-K07-01</v>
      </c>
      <c r="H3002">
        <v>1.0750999999999999</v>
      </c>
      <c r="I3002" t="s">
        <v>1954</v>
      </c>
      <c r="J3002" t="s">
        <v>14</v>
      </c>
      <c r="K3002" t="str">
        <f>"1F5"</f>
        <v>1F5</v>
      </c>
      <c r="L3002" t="s">
        <v>15</v>
      </c>
    </row>
    <row r="3003" spans="1:12" x14ac:dyDescent="0.25">
      <c r="A3003" t="str">
        <f>"376219406"</f>
        <v>376219406</v>
      </c>
      <c r="B3003" t="str">
        <f t="shared" si="209"/>
        <v>89301000</v>
      </c>
      <c r="C3003" s="1">
        <v>44513</v>
      </c>
      <c r="D3003" s="1">
        <v>44519</v>
      </c>
      <c r="E3003">
        <v>1</v>
      </c>
      <c r="F3003" t="s">
        <v>1955</v>
      </c>
      <c r="G3003" t="str">
        <f>"01-K04-02"</f>
        <v>01-K04-02</v>
      </c>
      <c r="H3003">
        <v>0.80059999999999998</v>
      </c>
      <c r="I3003" t="s">
        <v>1956</v>
      </c>
      <c r="J3003" t="s">
        <v>14</v>
      </c>
      <c r="K3003" t="str">
        <f>"2F9"</f>
        <v>2F9</v>
      </c>
      <c r="L3003" t="s">
        <v>15</v>
      </c>
    </row>
    <row r="3004" spans="1:12" x14ac:dyDescent="0.25">
      <c r="A3004" t="str">
        <f>"376221444"</f>
        <v>376221444</v>
      </c>
      <c r="B3004" t="str">
        <f t="shared" si="209"/>
        <v>89301000</v>
      </c>
      <c r="C3004" s="1">
        <v>44294</v>
      </c>
      <c r="D3004" s="1">
        <v>44301</v>
      </c>
      <c r="E3004">
        <v>1</v>
      </c>
      <c r="F3004" t="s">
        <v>1690</v>
      </c>
      <c r="G3004" t="str">
        <f>"07-M02-04"</f>
        <v>07-M02-04</v>
      </c>
      <c r="H3004">
        <v>0.92449999999999999</v>
      </c>
      <c r="I3004" t="s">
        <v>1957</v>
      </c>
      <c r="J3004" t="s">
        <v>17</v>
      </c>
      <c r="K3004" t="str">
        <f>"5F1"</f>
        <v>5F1</v>
      </c>
      <c r="L3004" t="s">
        <v>15</v>
      </c>
    </row>
    <row r="3005" spans="1:12" x14ac:dyDescent="0.25">
      <c r="A3005" t="str">
        <f>"376222734"</f>
        <v>376222734</v>
      </c>
      <c r="B3005" t="str">
        <f t="shared" si="209"/>
        <v>89301000</v>
      </c>
      <c r="C3005" s="1">
        <v>44368</v>
      </c>
      <c r="D3005" s="1">
        <v>44372</v>
      </c>
      <c r="E3005">
        <v>1</v>
      </c>
      <c r="F3005" t="s">
        <v>1553</v>
      </c>
      <c r="G3005" t="str">
        <f>"04-K05-03"</f>
        <v>04-K05-03</v>
      </c>
      <c r="H3005">
        <v>0.74980000000000002</v>
      </c>
      <c r="I3005" t="s">
        <v>1958</v>
      </c>
      <c r="J3005" t="s">
        <v>14</v>
      </c>
      <c r="K3005" t="str">
        <f>"1F1"</f>
        <v>1F1</v>
      </c>
      <c r="L3005" t="s">
        <v>15</v>
      </c>
    </row>
    <row r="3006" spans="1:12" x14ac:dyDescent="0.25">
      <c r="A3006" t="str">
        <f>"376224417"</f>
        <v>376224417</v>
      </c>
      <c r="B3006" t="str">
        <f t="shared" si="209"/>
        <v>89301000</v>
      </c>
      <c r="C3006" s="1">
        <v>44353</v>
      </c>
      <c r="D3006" s="1">
        <v>44355</v>
      </c>
      <c r="E3006">
        <v>1</v>
      </c>
      <c r="F3006" t="s">
        <v>1557</v>
      </c>
      <c r="G3006" t="str">
        <f>"05-I14-04"</f>
        <v>05-I14-04</v>
      </c>
      <c r="H3006">
        <v>5.4002999999999997</v>
      </c>
      <c r="J3006" t="s">
        <v>14</v>
      </c>
      <c r="K3006" t="str">
        <f>"1F1"</f>
        <v>1F1</v>
      </c>
      <c r="L3006" t="s">
        <v>15</v>
      </c>
    </row>
    <row r="3007" spans="1:12" x14ac:dyDescent="0.25">
      <c r="A3007" t="str">
        <f>"380105072"</f>
        <v>380105072</v>
      </c>
      <c r="B3007" t="str">
        <f t="shared" si="209"/>
        <v>89301000</v>
      </c>
      <c r="C3007" s="1">
        <v>44392</v>
      </c>
      <c r="D3007" s="1">
        <v>44393</v>
      </c>
      <c r="E3007">
        <v>1</v>
      </c>
      <c r="F3007" t="s">
        <v>1557</v>
      </c>
      <c r="G3007" t="str">
        <f>"05-M06-08"</f>
        <v>05-M06-08</v>
      </c>
      <c r="H3007">
        <v>1.7346999999999999</v>
      </c>
      <c r="I3007" t="s">
        <v>1959</v>
      </c>
      <c r="J3007" t="s">
        <v>17</v>
      </c>
      <c r="K3007" t="str">
        <f>"1F1"</f>
        <v>1F1</v>
      </c>
      <c r="L3007" t="s">
        <v>15</v>
      </c>
    </row>
    <row r="3008" spans="1:12" x14ac:dyDescent="0.25">
      <c r="A3008" t="str">
        <f>"380129420"</f>
        <v>380129420</v>
      </c>
      <c r="B3008" t="str">
        <f t="shared" si="209"/>
        <v>89301000</v>
      </c>
      <c r="C3008" s="1">
        <v>44374</v>
      </c>
      <c r="D3008" s="1">
        <v>44378</v>
      </c>
      <c r="E3008">
        <v>5</v>
      </c>
      <c r="F3008" t="s">
        <v>67</v>
      </c>
      <c r="G3008" t="str">
        <f>"01-K10-03"</f>
        <v>01-K10-03</v>
      </c>
      <c r="H3008">
        <v>1.0016</v>
      </c>
      <c r="I3008" t="s">
        <v>1960</v>
      </c>
      <c r="J3008" t="s">
        <v>14</v>
      </c>
      <c r="K3008" t="str">
        <f>"2F9"</f>
        <v>2F9</v>
      </c>
      <c r="L3008" t="s">
        <v>15</v>
      </c>
    </row>
    <row r="3009" spans="1:12" x14ac:dyDescent="0.25">
      <c r="A3009" t="str">
        <f>"380215450"</f>
        <v>380215450</v>
      </c>
      <c r="B3009" t="str">
        <f t="shared" si="209"/>
        <v>89301000</v>
      </c>
      <c r="C3009" s="1">
        <v>44345</v>
      </c>
      <c r="D3009" s="1">
        <v>44349</v>
      </c>
      <c r="E3009">
        <v>1</v>
      </c>
      <c r="F3009" t="s">
        <v>1604</v>
      </c>
      <c r="G3009" t="str">
        <f>"05-I25-03"</f>
        <v>05-I25-03</v>
      </c>
      <c r="H3009">
        <v>1.5508</v>
      </c>
      <c r="I3009" t="s">
        <v>1961</v>
      </c>
      <c r="J3009" t="s">
        <v>17</v>
      </c>
      <c r="K3009" t="str">
        <f>"1F1"</f>
        <v>1F1</v>
      </c>
      <c r="L3009" t="s">
        <v>15</v>
      </c>
    </row>
    <row r="3010" spans="1:12" x14ac:dyDescent="0.25">
      <c r="A3010" t="str">
        <f>"380502448"</f>
        <v>380502448</v>
      </c>
      <c r="B3010" t="str">
        <f t="shared" si="209"/>
        <v>89301000</v>
      </c>
      <c r="C3010" s="1">
        <v>44389</v>
      </c>
      <c r="D3010" s="1">
        <v>44390</v>
      </c>
      <c r="E3010">
        <v>1</v>
      </c>
      <c r="F3010" t="s">
        <v>1962</v>
      </c>
      <c r="G3010" t="str">
        <f>"04-K15-03"</f>
        <v>04-K15-03</v>
      </c>
      <c r="H3010">
        <v>0.49009999999999998</v>
      </c>
      <c r="I3010" t="s">
        <v>1963</v>
      </c>
      <c r="J3010" t="s">
        <v>14</v>
      </c>
      <c r="K3010" t="str">
        <f>"1F1"</f>
        <v>1F1</v>
      </c>
      <c r="L3010" t="s">
        <v>15</v>
      </c>
    </row>
    <row r="3011" spans="1:12" x14ac:dyDescent="0.25">
      <c r="A3011" t="str">
        <f>"380529409"</f>
        <v>380529409</v>
      </c>
      <c r="B3011" t="str">
        <f t="shared" si="209"/>
        <v>89301000</v>
      </c>
      <c r="C3011" s="1">
        <v>44223</v>
      </c>
      <c r="D3011" s="1">
        <v>44232</v>
      </c>
      <c r="E3011">
        <v>5</v>
      </c>
      <c r="F3011" t="s">
        <v>217</v>
      </c>
      <c r="G3011" t="str">
        <f>"04-K02-04"</f>
        <v>04-K02-04</v>
      </c>
      <c r="H3011">
        <v>0.82469999999999999</v>
      </c>
      <c r="I3011" t="s">
        <v>1964</v>
      </c>
      <c r="J3011" t="s">
        <v>14</v>
      </c>
      <c r="K3011" t="str">
        <f>"5F1"</f>
        <v>5F1</v>
      </c>
      <c r="L3011" t="s">
        <v>15</v>
      </c>
    </row>
    <row r="3012" spans="1:12" x14ac:dyDescent="0.25">
      <c r="A3012" t="str">
        <f>"380529409"</f>
        <v>380529409</v>
      </c>
      <c r="B3012" t="str">
        <f t="shared" si="209"/>
        <v>89301000</v>
      </c>
      <c r="C3012" s="1">
        <v>44244</v>
      </c>
      <c r="D3012" s="1">
        <v>44248</v>
      </c>
      <c r="E3012">
        <v>8</v>
      </c>
      <c r="F3012" t="s">
        <v>625</v>
      </c>
      <c r="G3012" t="str">
        <f>"04-M01-06"</f>
        <v>04-M01-06</v>
      </c>
      <c r="H3012">
        <v>3.5308999999999999</v>
      </c>
      <c r="I3012" t="s">
        <v>1965</v>
      </c>
      <c r="J3012" t="s">
        <v>14</v>
      </c>
      <c r="K3012" t="str">
        <f>"2T5"</f>
        <v>2T5</v>
      </c>
      <c r="L3012" t="s">
        <v>15</v>
      </c>
    </row>
    <row r="3013" spans="1:12" x14ac:dyDescent="0.25">
      <c r="A3013" t="str">
        <f>"380617032"</f>
        <v>380617032</v>
      </c>
      <c r="B3013" t="str">
        <f t="shared" si="209"/>
        <v>89301000</v>
      </c>
      <c r="C3013" s="1">
        <v>44314</v>
      </c>
      <c r="D3013" s="1">
        <v>44316</v>
      </c>
      <c r="E3013">
        <v>1</v>
      </c>
      <c r="F3013" t="s">
        <v>1548</v>
      </c>
      <c r="G3013" t="str">
        <f>"05-K07-04"</f>
        <v>05-K07-04</v>
      </c>
      <c r="H3013">
        <v>0.85160000000000002</v>
      </c>
      <c r="I3013" t="s">
        <v>1966</v>
      </c>
      <c r="J3013" t="s">
        <v>14</v>
      </c>
      <c r="K3013" t="str">
        <f>"1F1"</f>
        <v>1F1</v>
      </c>
      <c r="L3013" t="s">
        <v>15</v>
      </c>
    </row>
    <row r="3014" spans="1:12" x14ac:dyDescent="0.25">
      <c r="A3014" t="str">
        <f>"380621427"</f>
        <v>380621427</v>
      </c>
      <c r="B3014" t="str">
        <f t="shared" si="209"/>
        <v>89301000</v>
      </c>
      <c r="C3014" s="1">
        <v>44525</v>
      </c>
      <c r="D3014" s="1">
        <v>44526</v>
      </c>
      <c r="E3014">
        <v>1</v>
      </c>
      <c r="F3014" t="s">
        <v>174</v>
      </c>
      <c r="G3014" t="str">
        <f>"12-I14-00"</f>
        <v>12-I14-00</v>
      </c>
      <c r="H3014">
        <v>0.44350000000000001</v>
      </c>
      <c r="I3014" t="s">
        <v>489</v>
      </c>
      <c r="J3014" t="s">
        <v>14</v>
      </c>
      <c r="K3014" t="str">
        <f>"7F6"</f>
        <v>7F6</v>
      </c>
      <c r="L3014" t="s">
        <v>15</v>
      </c>
    </row>
    <row r="3015" spans="1:12" x14ac:dyDescent="0.25">
      <c r="A3015" t="str">
        <f>"380627432"</f>
        <v>380627432</v>
      </c>
      <c r="B3015" t="str">
        <f t="shared" si="209"/>
        <v>89301000</v>
      </c>
      <c r="C3015" s="1">
        <v>44279</v>
      </c>
      <c r="D3015" s="1">
        <v>44281</v>
      </c>
      <c r="E3015">
        <v>5</v>
      </c>
      <c r="F3015" t="s">
        <v>821</v>
      </c>
      <c r="G3015" t="str">
        <f>"05-I21-02"</f>
        <v>05-I21-02</v>
      </c>
      <c r="H3015">
        <v>2.6469999999999998</v>
      </c>
      <c r="I3015" t="s">
        <v>1967</v>
      </c>
      <c r="J3015" t="s">
        <v>14</v>
      </c>
      <c r="K3015" t="str">
        <f>"1F1"</f>
        <v>1F1</v>
      </c>
      <c r="L3015" t="s">
        <v>15</v>
      </c>
    </row>
    <row r="3016" spans="1:12" x14ac:dyDescent="0.25">
      <c r="A3016" t="str">
        <f>"380704446"</f>
        <v>380704446</v>
      </c>
      <c r="B3016" t="str">
        <f t="shared" si="209"/>
        <v>89301000</v>
      </c>
      <c r="C3016" s="1">
        <v>44257</v>
      </c>
      <c r="D3016" s="1">
        <v>44264</v>
      </c>
      <c r="E3016">
        <v>4</v>
      </c>
      <c r="F3016" t="s">
        <v>1968</v>
      </c>
      <c r="G3016" t="str">
        <f>"08-I05-06"</f>
        <v>08-I05-06</v>
      </c>
      <c r="H3016">
        <v>2.0369000000000002</v>
      </c>
      <c r="I3016" t="s">
        <v>1969</v>
      </c>
      <c r="J3016" t="s">
        <v>17</v>
      </c>
      <c r="K3016" t="str">
        <f>"6F6"</f>
        <v>6F6</v>
      </c>
      <c r="L3016" t="s">
        <v>15</v>
      </c>
    </row>
    <row r="3017" spans="1:12" x14ac:dyDescent="0.25">
      <c r="A3017" t="str">
        <f>"380712417"</f>
        <v>380712417</v>
      </c>
      <c r="B3017" t="str">
        <f t="shared" si="209"/>
        <v>89301000</v>
      </c>
      <c r="C3017" s="1">
        <v>44257</v>
      </c>
      <c r="D3017" s="1">
        <v>44266</v>
      </c>
      <c r="E3017">
        <v>1</v>
      </c>
      <c r="F3017" t="s">
        <v>1970</v>
      </c>
      <c r="G3017" t="str">
        <f>"01-K08-01"</f>
        <v>01-K08-01</v>
      </c>
      <c r="H3017">
        <v>1.1733</v>
      </c>
      <c r="I3017" t="s">
        <v>1971</v>
      </c>
      <c r="J3017" t="s">
        <v>14</v>
      </c>
      <c r="K3017" t="str">
        <f>"2F9"</f>
        <v>2F9</v>
      </c>
      <c r="L3017" t="s">
        <v>15</v>
      </c>
    </row>
    <row r="3018" spans="1:12" x14ac:dyDescent="0.25">
      <c r="A3018" t="str">
        <f>"380725061"</f>
        <v>380725061</v>
      </c>
      <c r="B3018" t="str">
        <f t="shared" si="209"/>
        <v>89301000</v>
      </c>
      <c r="C3018" s="1">
        <v>44410</v>
      </c>
      <c r="D3018" s="1">
        <v>44411</v>
      </c>
      <c r="E3018">
        <v>1</v>
      </c>
      <c r="F3018" t="s">
        <v>1557</v>
      </c>
      <c r="G3018" t="str">
        <f>"05-D01-08"</f>
        <v>05-D01-08</v>
      </c>
      <c r="H3018">
        <v>0.4093</v>
      </c>
      <c r="I3018" t="s">
        <v>1602</v>
      </c>
      <c r="J3018" t="s">
        <v>14</v>
      </c>
      <c r="K3018" t="str">
        <f>"1F1"</f>
        <v>1F1</v>
      </c>
      <c r="L3018" t="s">
        <v>15</v>
      </c>
    </row>
    <row r="3019" spans="1:12" x14ac:dyDescent="0.25">
      <c r="A3019" t="str">
        <f>"380830434"</f>
        <v>380830434</v>
      </c>
      <c r="B3019" t="str">
        <f t="shared" si="209"/>
        <v>89301000</v>
      </c>
      <c r="C3019" s="1">
        <v>44235</v>
      </c>
      <c r="D3019" s="1">
        <v>44237</v>
      </c>
      <c r="E3019">
        <v>1</v>
      </c>
      <c r="F3019" t="s">
        <v>1553</v>
      </c>
      <c r="G3019" t="str">
        <f>"04-K05-03"</f>
        <v>04-K05-03</v>
      </c>
      <c r="H3019">
        <v>0.74980000000000002</v>
      </c>
      <c r="I3019" t="s">
        <v>1972</v>
      </c>
      <c r="J3019" t="s">
        <v>14</v>
      </c>
      <c r="K3019" t="str">
        <f>"1F1"</f>
        <v>1F1</v>
      </c>
      <c r="L3019" t="s">
        <v>15</v>
      </c>
    </row>
    <row r="3020" spans="1:12" x14ac:dyDescent="0.25">
      <c r="A3020" t="str">
        <f>"380904467"</f>
        <v>380904467</v>
      </c>
      <c r="B3020" t="str">
        <f t="shared" si="209"/>
        <v>89301000</v>
      </c>
      <c r="C3020" s="1">
        <v>44210</v>
      </c>
      <c r="D3020" s="1">
        <v>44210</v>
      </c>
      <c r="E3020">
        <v>1</v>
      </c>
      <c r="F3020" t="s">
        <v>1936</v>
      </c>
      <c r="G3020" t="str">
        <f>"05-D01-06"</f>
        <v>05-D01-06</v>
      </c>
      <c r="H3020">
        <v>0.40649999999999997</v>
      </c>
      <c r="I3020" t="s">
        <v>1973</v>
      </c>
      <c r="J3020" t="s">
        <v>14</v>
      </c>
      <c r="K3020" t="str">
        <f>"1F1"</f>
        <v>1F1</v>
      </c>
      <c r="L3020" t="s">
        <v>15</v>
      </c>
    </row>
    <row r="3021" spans="1:12" x14ac:dyDescent="0.25">
      <c r="A3021" t="str">
        <f>"380908440"</f>
        <v>380908440</v>
      </c>
      <c r="B3021" t="str">
        <f t="shared" si="209"/>
        <v>89301000</v>
      </c>
      <c r="C3021" s="1">
        <v>44410</v>
      </c>
      <c r="D3021" s="1">
        <v>44411</v>
      </c>
      <c r="E3021">
        <v>1</v>
      </c>
      <c r="F3021" t="s">
        <v>1785</v>
      </c>
      <c r="G3021" t="str">
        <f>"05-M05-03"</f>
        <v>05-M05-03</v>
      </c>
      <c r="H3021">
        <v>1.9503999999999999</v>
      </c>
      <c r="I3021" t="s">
        <v>1974</v>
      </c>
      <c r="J3021" t="s">
        <v>24</v>
      </c>
      <c r="K3021" t="str">
        <f>"1F7"</f>
        <v>1F7</v>
      </c>
      <c r="L3021" t="s">
        <v>15</v>
      </c>
    </row>
    <row r="3022" spans="1:12" x14ac:dyDescent="0.25">
      <c r="A3022" t="str">
        <f>"380908440"</f>
        <v>380908440</v>
      </c>
      <c r="B3022" t="str">
        <f t="shared" si="209"/>
        <v>89301000</v>
      </c>
      <c r="C3022" s="1">
        <v>44349</v>
      </c>
      <c r="D3022" s="1">
        <v>44351</v>
      </c>
      <c r="E3022">
        <v>1</v>
      </c>
      <c r="F3022" t="s">
        <v>1545</v>
      </c>
      <c r="G3022" t="str">
        <f>"05-I14-03"</f>
        <v>05-I14-03</v>
      </c>
      <c r="H3022">
        <v>6.1292</v>
      </c>
      <c r="I3022" t="s">
        <v>1975</v>
      </c>
      <c r="J3022" t="s">
        <v>14</v>
      </c>
      <c r="K3022" t="str">
        <f>"1F1"</f>
        <v>1F1</v>
      </c>
      <c r="L3022" t="s">
        <v>15</v>
      </c>
    </row>
    <row r="3023" spans="1:12" x14ac:dyDescent="0.25">
      <c r="A3023" t="str">
        <f>"380908440"</f>
        <v>380908440</v>
      </c>
      <c r="B3023" t="str">
        <f t="shared" si="209"/>
        <v>89301000</v>
      </c>
      <c r="C3023" s="1">
        <v>44450</v>
      </c>
      <c r="D3023" s="1">
        <v>44455</v>
      </c>
      <c r="E3023">
        <v>1</v>
      </c>
      <c r="F3023" t="s">
        <v>1545</v>
      </c>
      <c r="G3023" t="str">
        <f>"05-M09-00"</f>
        <v>05-M09-00</v>
      </c>
      <c r="H3023">
        <v>1.2437</v>
      </c>
      <c r="I3023" t="s">
        <v>1976</v>
      </c>
      <c r="J3023" t="s">
        <v>14</v>
      </c>
      <c r="K3023" t="str">
        <f>"1F1"</f>
        <v>1F1</v>
      </c>
      <c r="L3023" t="s">
        <v>15</v>
      </c>
    </row>
    <row r="3024" spans="1:12" x14ac:dyDescent="0.25">
      <c r="A3024" t="str">
        <f>"380920440"</f>
        <v>380920440</v>
      </c>
      <c r="B3024" t="str">
        <f t="shared" si="209"/>
        <v>89301000</v>
      </c>
      <c r="C3024" s="1">
        <v>44337</v>
      </c>
      <c r="D3024" s="1">
        <v>44344</v>
      </c>
      <c r="E3024">
        <v>1</v>
      </c>
      <c r="F3024" t="s">
        <v>96</v>
      </c>
      <c r="G3024" t="str">
        <f>"11-I17-01"</f>
        <v>11-I17-01</v>
      </c>
      <c r="H3024">
        <v>1.8375999999999999</v>
      </c>
      <c r="I3024" t="s">
        <v>1977</v>
      </c>
      <c r="J3024" t="s">
        <v>14</v>
      </c>
      <c r="K3024" t="str">
        <f>"1F5"</f>
        <v>1F5</v>
      </c>
      <c r="L3024" t="s">
        <v>15</v>
      </c>
    </row>
    <row r="3025" spans="1:12" x14ac:dyDescent="0.25">
      <c r="A3025" t="str">
        <f>"380925429"</f>
        <v>380925429</v>
      </c>
      <c r="B3025" t="str">
        <f t="shared" si="209"/>
        <v>89301000</v>
      </c>
      <c r="C3025" s="1">
        <v>44463</v>
      </c>
      <c r="D3025" s="1">
        <v>44472</v>
      </c>
      <c r="E3025">
        <v>1</v>
      </c>
      <c r="F3025" t="s">
        <v>1978</v>
      </c>
      <c r="G3025" t="str">
        <f>"02-K05-01"</f>
        <v>02-K05-01</v>
      </c>
      <c r="H3025">
        <v>0.67849999999999999</v>
      </c>
      <c r="I3025" t="s">
        <v>1979</v>
      </c>
      <c r="J3025" t="s">
        <v>14</v>
      </c>
      <c r="K3025" t="str">
        <f>"7F5"</f>
        <v>7F5</v>
      </c>
      <c r="L3025" t="s">
        <v>15</v>
      </c>
    </row>
    <row r="3026" spans="1:12" x14ac:dyDescent="0.25">
      <c r="A3026" t="str">
        <f>"381023433"</f>
        <v>381023433</v>
      </c>
      <c r="B3026" t="str">
        <f t="shared" si="209"/>
        <v>89301000</v>
      </c>
      <c r="C3026" s="1">
        <v>44303</v>
      </c>
      <c r="D3026" s="1">
        <v>44305</v>
      </c>
      <c r="E3026">
        <v>1</v>
      </c>
      <c r="F3026" t="s">
        <v>1980</v>
      </c>
      <c r="G3026" t="str">
        <f>"06-K22-02"</f>
        <v>06-K22-02</v>
      </c>
      <c r="H3026">
        <v>0.58020000000000005</v>
      </c>
      <c r="I3026" t="s">
        <v>1981</v>
      </c>
      <c r="J3026" t="s">
        <v>14</v>
      </c>
      <c r="K3026" t="str">
        <f>"1F1"</f>
        <v>1F1</v>
      </c>
      <c r="L3026" t="s">
        <v>15</v>
      </c>
    </row>
    <row r="3027" spans="1:12" x14ac:dyDescent="0.25">
      <c r="A3027" t="str">
        <f>"381026420"</f>
        <v>381026420</v>
      </c>
      <c r="B3027" t="str">
        <f t="shared" si="209"/>
        <v>89301000</v>
      </c>
      <c r="C3027" s="1">
        <v>44484</v>
      </c>
      <c r="D3027" s="1">
        <v>44485</v>
      </c>
      <c r="E3027">
        <v>1</v>
      </c>
      <c r="F3027" t="s">
        <v>1982</v>
      </c>
      <c r="G3027" t="str">
        <f>"07-K07-02"</f>
        <v>07-K07-02</v>
      </c>
      <c r="H3027">
        <v>0.53259999999999996</v>
      </c>
      <c r="I3027" t="s">
        <v>1983</v>
      </c>
      <c r="J3027" t="s">
        <v>14</v>
      </c>
      <c r="K3027" t="str">
        <f>"1F5"</f>
        <v>1F5</v>
      </c>
      <c r="L3027" t="s">
        <v>15</v>
      </c>
    </row>
    <row r="3028" spans="1:12" x14ac:dyDescent="0.25">
      <c r="A3028" t="str">
        <f>"381026420"</f>
        <v>381026420</v>
      </c>
      <c r="B3028" t="str">
        <f t="shared" si="209"/>
        <v>89301000</v>
      </c>
      <c r="C3028" s="1">
        <v>44473</v>
      </c>
      <c r="D3028" s="1">
        <v>44476</v>
      </c>
      <c r="E3028">
        <v>1</v>
      </c>
      <c r="F3028" t="s">
        <v>1982</v>
      </c>
      <c r="G3028" t="str">
        <f>"07-M02-03"</f>
        <v>07-M02-03</v>
      </c>
      <c r="H3028">
        <v>1.2850999999999999</v>
      </c>
      <c r="I3028" t="s">
        <v>1984</v>
      </c>
      <c r="J3028" t="s">
        <v>17</v>
      </c>
      <c r="K3028" t="str">
        <f>"1F5"</f>
        <v>1F5</v>
      </c>
      <c r="L3028" t="s">
        <v>15</v>
      </c>
    </row>
    <row r="3029" spans="1:12" x14ac:dyDescent="0.25">
      <c r="A3029" t="str">
        <f>"381112417"</f>
        <v>381112417</v>
      </c>
      <c r="B3029" t="str">
        <f t="shared" si="209"/>
        <v>89301000</v>
      </c>
      <c r="C3029" s="1">
        <v>44362</v>
      </c>
      <c r="D3029" s="1">
        <v>44363</v>
      </c>
      <c r="E3029">
        <v>1</v>
      </c>
      <c r="F3029" t="s">
        <v>1548</v>
      </c>
      <c r="G3029" t="str">
        <f>"05-D01-06"</f>
        <v>05-D01-06</v>
      </c>
      <c r="H3029">
        <v>0.7611</v>
      </c>
      <c r="I3029" t="s">
        <v>1985</v>
      </c>
      <c r="J3029" t="s">
        <v>14</v>
      </c>
      <c r="K3029" t="str">
        <f>"1F1"</f>
        <v>1F1</v>
      </c>
      <c r="L3029" t="s">
        <v>15</v>
      </c>
    </row>
    <row r="3030" spans="1:12" x14ac:dyDescent="0.25">
      <c r="A3030" t="str">
        <f>"381112417"</f>
        <v>381112417</v>
      </c>
      <c r="B3030" t="str">
        <f t="shared" si="209"/>
        <v>89301000</v>
      </c>
      <c r="C3030" s="1">
        <v>44438</v>
      </c>
      <c r="D3030" s="1">
        <v>44442</v>
      </c>
      <c r="E3030">
        <v>1</v>
      </c>
      <c r="F3030" t="s">
        <v>1986</v>
      </c>
      <c r="G3030" t="str">
        <f>"01-K12-01"</f>
        <v>01-K12-01</v>
      </c>
      <c r="H3030">
        <v>0.71289999999999998</v>
      </c>
      <c r="I3030" t="s">
        <v>1987</v>
      </c>
      <c r="J3030" t="s">
        <v>14</v>
      </c>
      <c r="K3030" t="str">
        <f>"2F9"</f>
        <v>2F9</v>
      </c>
      <c r="L3030" t="s">
        <v>15</v>
      </c>
    </row>
    <row r="3031" spans="1:12" x14ac:dyDescent="0.25">
      <c r="A3031" t="str">
        <f>"381112417"</f>
        <v>381112417</v>
      </c>
      <c r="B3031" t="str">
        <f t="shared" si="209"/>
        <v>89301000</v>
      </c>
      <c r="C3031" s="1">
        <v>44433</v>
      </c>
      <c r="D3031" s="1">
        <v>44435</v>
      </c>
      <c r="E3031">
        <v>1</v>
      </c>
      <c r="F3031" t="s">
        <v>1986</v>
      </c>
      <c r="G3031" t="str">
        <f>"01-K12-01"</f>
        <v>01-K12-01</v>
      </c>
      <c r="H3031">
        <v>0.71289999999999998</v>
      </c>
      <c r="I3031" t="s">
        <v>1988</v>
      </c>
      <c r="J3031" t="s">
        <v>14</v>
      </c>
      <c r="K3031" t="str">
        <f>"2F9"</f>
        <v>2F9</v>
      </c>
      <c r="L3031" t="s">
        <v>15</v>
      </c>
    </row>
    <row r="3032" spans="1:12" x14ac:dyDescent="0.25">
      <c r="A3032" t="str">
        <f>"381210452"</f>
        <v>381210452</v>
      </c>
      <c r="B3032" t="str">
        <f t="shared" si="209"/>
        <v>89301000</v>
      </c>
      <c r="C3032" s="1">
        <v>44334</v>
      </c>
      <c r="D3032" s="1">
        <v>44339</v>
      </c>
      <c r="E3032">
        <v>1</v>
      </c>
      <c r="F3032" t="s">
        <v>28</v>
      </c>
      <c r="G3032" t="str">
        <f>"03-I12-01"</f>
        <v>03-I12-01</v>
      </c>
      <c r="H3032">
        <v>1.6835</v>
      </c>
      <c r="I3032" t="s">
        <v>1989</v>
      </c>
      <c r="J3032" t="s">
        <v>17</v>
      </c>
      <c r="K3032" t="str">
        <f>"7F1"</f>
        <v>7F1</v>
      </c>
      <c r="L3032" t="s">
        <v>15</v>
      </c>
    </row>
    <row r="3033" spans="1:12" x14ac:dyDescent="0.25">
      <c r="A3033" t="str">
        <f>"381210452"</f>
        <v>381210452</v>
      </c>
      <c r="B3033" t="str">
        <f t="shared" si="209"/>
        <v>89301000</v>
      </c>
      <c r="C3033" s="1">
        <v>44328</v>
      </c>
      <c r="D3033" s="1">
        <v>44329</v>
      </c>
      <c r="E3033">
        <v>1</v>
      </c>
      <c r="F3033" t="s">
        <v>1990</v>
      </c>
      <c r="G3033" t="str">
        <f>"03-K08-00"</f>
        <v>03-K08-00</v>
      </c>
      <c r="H3033">
        <v>0.42749999999999999</v>
      </c>
      <c r="I3033" t="s">
        <v>1991</v>
      </c>
      <c r="J3033" t="s">
        <v>14</v>
      </c>
      <c r="K3033" t="str">
        <f>"7F1"</f>
        <v>7F1</v>
      </c>
      <c r="L3033" t="s">
        <v>15</v>
      </c>
    </row>
    <row r="3034" spans="1:12" x14ac:dyDescent="0.25">
      <c r="A3034" t="str">
        <f>"381223432"</f>
        <v>381223432</v>
      </c>
      <c r="B3034" t="str">
        <f t="shared" si="209"/>
        <v>89301000</v>
      </c>
      <c r="C3034" s="1">
        <v>44238</v>
      </c>
      <c r="D3034" s="1">
        <v>44238</v>
      </c>
      <c r="E3034">
        <v>1</v>
      </c>
      <c r="F3034" t="s">
        <v>1604</v>
      </c>
      <c r="G3034" t="str">
        <f>"05-I25-03"</f>
        <v>05-I25-03</v>
      </c>
      <c r="H3034">
        <v>1.2622</v>
      </c>
      <c r="I3034" t="s">
        <v>1992</v>
      </c>
      <c r="J3034" t="s">
        <v>17</v>
      </c>
      <c r="K3034" t="str">
        <f>"1F1"</f>
        <v>1F1</v>
      </c>
      <c r="L3034" t="s">
        <v>15</v>
      </c>
    </row>
    <row r="3035" spans="1:12" x14ac:dyDescent="0.25">
      <c r="A3035" t="str">
        <f>"385108408"</f>
        <v>385108408</v>
      </c>
      <c r="B3035" t="str">
        <f t="shared" si="209"/>
        <v>89301000</v>
      </c>
      <c r="C3035" s="1">
        <v>44472</v>
      </c>
      <c r="D3035" s="1">
        <v>44487</v>
      </c>
      <c r="E3035">
        <v>1</v>
      </c>
      <c r="F3035" t="s">
        <v>316</v>
      </c>
      <c r="G3035" t="str">
        <f>"01-K16-01"</f>
        <v>01-K16-01</v>
      </c>
      <c r="H3035">
        <v>2.1194999999999999</v>
      </c>
      <c r="I3035" t="s">
        <v>1993</v>
      </c>
      <c r="J3035" t="s">
        <v>14</v>
      </c>
      <c r="K3035" t="str">
        <f>"1F1"</f>
        <v>1F1</v>
      </c>
      <c r="L3035" t="s">
        <v>15</v>
      </c>
    </row>
    <row r="3036" spans="1:12" x14ac:dyDescent="0.25">
      <c r="A3036" t="str">
        <f>"385123459"</f>
        <v>385123459</v>
      </c>
      <c r="B3036" t="str">
        <f t="shared" si="209"/>
        <v>89301000</v>
      </c>
      <c r="C3036" s="1">
        <v>44264</v>
      </c>
      <c r="D3036" s="1">
        <v>44267</v>
      </c>
      <c r="E3036">
        <v>4</v>
      </c>
      <c r="F3036" t="s">
        <v>1581</v>
      </c>
      <c r="G3036" t="str">
        <f>"05-M07-06"</f>
        <v>05-M07-06</v>
      </c>
      <c r="H3036">
        <v>1.2513000000000001</v>
      </c>
      <c r="I3036" t="s">
        <v>168</v>
      </c>
      <c r="J3036" t="s">
        <v>17</v>
      </c>
      <c r="K3036" t="str">
        <f>"7F6"</f>
        <v>7F6</v>
      </c>
      <c r="L3036" t="s">
        <v>15</v>
      </c>
    </row>
    <row r="3037" spans="1:12" x14ac:dyDescent="0.25">
      <c r="A3037" t="str">
        <f>"385124443"</f>
        <v>385124443</v>
      </c>
      <c r="B3037" t="str">
        <f t="shared" ref="B3037:B3100" si="210">"89301000"</f>
        <v>89301000</v>
      </c>
      <c r="C3037" s="1">
        <v>44540</v>
      </c>
      <c r="D3037" s="1">
        <v>44545</v>
      </c>
      <c r="E3037">
        <v>1</v>
      </c>
      <c r="F3037" t="s">
        <v>1994</v>
      </c>
      <c r="G3037" t="str">
        <f>"10-K12-02"</f>
        <v>10-K12-02</v>
      </c>
      <c r="H3037">
        <v>0.94830000000000003</v>
      </c>
      <c r="I3037" t="s">
        <v>1995</v>
      </c>
      <c r="J3037" t="s">
        <v>14</v>
      </c>
      <c r="K3037" t="str">
        <f>"1F6"</f>
        <v>1F6</v>
      </c>
      <c r="L3037" t="s">
        <v>15</v>
      </c>
    </row>
    <row r="3038" spans="1:12" x14ac:dyDescent="0.25">
      <c r="A3038" t="str">
        <f>"385217437"</f>
        <v>385217437</v>
      </c>
      <c r="B3038" t="str">
        <f t="shared" si="210"/>
        <v>89301000</v>
      </c>
      <c r="C3038" s="1">
        <v>44267</v>
      </c>
      <c r="D3038" s="1">
        <v>44270</v>
      </c>
      <c r="E3038">
        <v>4</v>
      </c>
      <c r="F3038" t="s">
        <v>217</v>
      </c>
      <c r="G3038" t="str">
        <f>"04-K02-03"</f>
        <v>04-K02-03</v>
      </c>
      <c r="H3038">
        <v>1.2859</v>
      </c>
      <c r="I3038" t="s">
        <v>1996</v>
      </c>
      <c r="J3038" t="s">
        <v>14</v>
      </c>
      <c r="K3038" t="str">
        <f>"1F6"</f>
        <v>1F6</v>
      </c>
      <c r="L3038" t="s">
        <v>15</v>
      </c>
    </row>
    <row r="3039" spans="1:12" x14ac:dyDescent="0.25">
      <c r="A3039" t="str">
        <f>"385331445"</f>
        <v>385331445</v>
      </c>
      <c r="B3039" t="str">
        <f t="shared" si="210"/>
        <v>89301000</v>
      </c>
      <c r="C3039" s="1">
        <v>44234</v>
      </c>
      <c r="D3039" s="1">
        <v>44242</v>
      </c>
      <c r="E3039">
        <v>4</v>
      </c>
      <c r="F3039" t="s">
        <v>1643</v>
      </c>
      <c r="G3039" t="str">
        <f>"08-I05-06"</f>
        <v>08-I05-06</v>
      </c>
      <c r="H3039">
        <v>2.0369000000000002</v>
      </c>
      <c r="I3039" t="s">
        <v>1997</v>
      </c>
      <c r="J3039" t="s">
        <v>17</v>
      </c>
      <c r="K3039" t="str">
        <f>"6F6"</f>
        <v>6F6</v>
      </c>
      <c r="L3039" t="s">
        <v>15</v>
      </c>
    </row>
    <row r="3040" spans="1:12" x14ac:dyDescent="0.25">
      <c r="A3040" t="str">
        <f>"385403418"</f>
        <v>385403418</v>
      </c>
      <c r="B3040" t="str">
        <f t="shared" si="210"/>
        <v>89301000</v>
      </c>
      <c r="C3040" s="1">
        <v>44501</v>
      </c>
      <c r="D3040" s="1">
        <v>44503</v>
      </c>
      <c r="E3040">
        <v>1</v>
      </c>
      <c r="F3040" t="s">
        <v>1650</v>
      </c>
      <c r="G3040" t="str">
        <f>"05-I14-04"</f>
        <v>05-I14-04</v>
      </c>
      <c r="H3040">
        <v>5.4002999999999997</v>
      </c>
      <c r="I3040" t="s">
        <v>1998</v>
      </c>
      <c r="J3040" t="s">
        <v>14</v>
      </c>
      <c r="K3040" t="str">
        <f>"1F1"</f>
        <v>1F1</v>
      </c>
      <c r="L3040" t="s">
        <v>15</v>
      </c>
    </row>
    <row r="3041" spans="1:12" x14ac:dyDescent="0.25">
      <c r="A3041" t="str">
        <f>"385403418"</f>
        <v>385403418</v>
      </c>
      <c r="B3041" t="str">
        <f t="shared" si="210"/>
        <v>89301000</v>
      </c>
      <c r="C3041" s="1">
        <v>44472</v>
      </c>
      <c r="D3041" s="1">
        <v>44475</v>
      </c>
      <c r="E3041">
        <v>1</v>
      </c>
      <c r="F3041" t="s">
        <v>1602</v>
      </c>
      <c r="G3041" t="str">
        <f>"05-D01-06"</f>
        <v>05-D01-06</v>
      </c>
      <c r="H3041">
        <v>0.7611</v>
      </c>
      <c r="I3041" t="s">
        <v>1936</v>
      </c>
      <c r="J3041" t="s">
        <v>14</v>
      </c>
      <c r="K3041" t="str">
        <f>"1F7"</f>
        <v>1F7</v>
      </c>
      <c r="L3041" t="s">
        <v>15</v>
      </c>
    </row>
    <row r="3042" spans="1:12" x14ac:dyDescent="0.25">
      <c r="A3042" t="str">
        <f>"385405434"</f>
        <v>385405434</v>
      </c>
      <c r="B3042" t="str">
        <f t="shared" si="210"/>
        <v>89301000</v>
      </c>
      <c r="C3042" s="1">
        <v>44377</v>
      </c>
      <c r="D3042" s="1">
        <v>44386</v>
      </c>
      <c r="E3042">
        <v>8</v>
      </c>
      <c r="F3042" t="s">
        <v>448</v>
      </c>
      <c r="G3042" t="str">
        <f>"11-K01-03"</f>
        <v>11-K01-03</v>
      </c>
      <c r="H3042">
        <v>0.59930000000000005</v>
      </c>
      <c r="I3042" t="s">
        <v>1999</v>
      </c>
      <c r="J3042" t="s">
        <v>14</v>
      </c>
      <c r="K3042" t="str">
        <f>"1F1"</f>
        <v>1F1</v>
      </c>
      <c r="L3042" t="s">
        <v>15</v>
      </c>
    </row>
    <row r="3043" spans="1:12" x14ac:dyDescent="0.25">
      <c r="A3043" t="str">
        <f>"385405434"</f>
        <v>385405434</v>
      </c>
      <c r="B3043" t="str">
        <f t="shared" si="210"/>
        <v>89301000</v>
      </c>
      <c r="C3043" s="1">
        <v>44243</v>
      </c>
      <c r="D3043" s="1">
        <v>44250</v>
      </c>
      <c r="E3043">
        <v>4</v>
      </c>
      <c r="F3043" t="s">
        <v>1615</v>
      </c>
      <c r="G3043" t="str">
        <f>"08-I13-05"</f>
        <v>08-I13-05</v>
      </c>
      <c r="H3043">
        <v>2.1778</v>
      </c>
      <c r="I3043" t="s">
        <v>2000</v>
      </c>
      <c r="J3043" t="s">
        <v>17</v>
      </c>
      <c r="K3043" t="str">
        <f>"5F3"</f>
        <v>5F3</v>
      </c>
      <c r="L3043" t="s">
        <v>15</v>
      </c>
    </row>
    <row r="3044" spans="1:12" x14ac:dyDescent="0.25">
      <c r="A3044" t="str">
        <f>"385419430"</f>
        <v>385419430</v>
      </c>
      <c r="B3044" t="str">
        <f t="shared" si="210"/>
        <v>89301000</v>
      </c>
      <c r="C3044" s="1">
        <v>44390</v>
      </c>
      <c r="D3044" s="1">
        <v>44398</v>
      </c>
      <c r="E3044">
        <v>1</v>
      </c>
      <c r="F3044" t="s">
        <v>2001</v>
      </c>
      <c r="G3044" t="str">
        <f>"06-I15-00"</f>
        <v>06-I15-00</v>
      </c>
      <c r="H3044">
        <v>1.9684999999999999</v>
      </c>
      <c r="I3044" t="s">
        <v>2002</v>
      </c>
      <c r="J3044" t="s">
        <v>24</v>
      </c>
      <c r="K3044" t="str">
        <f>"5F1"</f>
        <v>5F1</v>
      </c>
      <c r="L3044" t="s">
        <v>15</v>
      </c>
    </row>
    <row r="3045" spans="1:12" x14ac:dyDescent="0.25">
      <c r="A3045" t="str">
        <f>"385420422"</f>
        <v>385420422</v>
      </c>
      <c r="B3045" t="str">
        <f t="shared" si="210"/>
        <v>89301000</v>
      </c>
      <c r="C3045" s="1">
        <v>44279</v>
      </c>
      <c r="D3045" s="1">
        <v>44287</v>
      </c>
      <c r="E3045">
        <v>4</v>
      </c>
      <c r="F3045" t="s">
        <v>373</v>
      </c>
      <c r="G3045" t="str">
        <f>"04-K03-02"</f>
        <v>04-K03-02</v>
      </c>
      <c r="H3045">
        <v>0.82599999999999996</v>
      </c>
      <c r="I3045" t="s">
        <v>2003</v>
      </c>
      <c r="J3045" t="s">
        <v>14</v>
      </c>
      <c r="K3045" t="str">
        <f>"1F1"</f>
        <v>1F1</v>
      </c>
      <c r="L3045" t="s">
        <v>15</v>
      </c>
    </row>
    <row r="3046" spans="1:12" x14ac:dyDescent="0.25">
      <c r="A3046" t="str">
        <f>"385610449"</f>
        <v>385610449</v>
      </c>
      <c r="B3046" t="str">
        <f t="shared" si="210"/>
        <v>89301000</v>
      </c>
      <c r="C3046" s="1">
        <v>44449</v>
      </c>
      <c r="D3046" s="1">
        <v>44453</v>
      </c>
      <c r="E3046">
        <v>1</v>
      </c>
      <c r="F3046" t="s">
        <v>2004</v>
      </c>
      <c r="G3046" t="str">
        <f>"05-M06-06"</f>
        <v>05-M06-06</v>
      </c>
      <c r="H3046">
        <v>1.7652000000000001</v>
      </c>
      <c r="J3046" t="s">
        <v>17</v>
      </c>
      <c r="K3046" t="str">
        <f>"1F1"</f>
        <v>1F1</v>
      </c>
      <c r="L3046" t="s">
        <v>15</v>
      </c>
    </row>
    <row r="3047" spans="1:12" x14ac:dyDescent="0.25">
      <c r="A3047" t="str">
        <f>"385618438"</f>
        <v>385618438</v>
      </c>
      <c r="B3047" t="str">
        <f t="shared" si="210"/>
        <v>89301000</v>
      </c>
      <c r="C3047" s="1">
        <v>44284</v>
      </c>
      <c r="D3047" s="1">
        <v>44287</v>
      </c>
      <c r="E3047">
        <v>1</v>
      </c>
      <c r="F3047" t="s">
        <v>1878</v>
      </c>
      <c r="G3047" t="str">
        <f>"10-K12-03"</f>
        <v>10-K12-03</v>
      </c>
      <c r="H3047">
        <v>0.50629999999999997</v>
      </c>
      <c r="I3047" t="s">
        <v>2005</v>
      </c>
      <c r="J3047" t="s">
        <v>14</v>
      </c>
      <c r="K3047" t="str">
        <f>"1F1"</f>
        <v>1F1</v>
      </c>
      <c r="L3047" t="s">
        <v>15</v>
      </c>
    </row>
    <row r="3048" spans="1:12" x14ac:dyDescent="0.25">
      <c r="A3048" t="str">
        <f>"385619438"</f>
        <v>385619438</v>
      </c>
      <c r="B3048" t="str">
        <f t="shared" si="210"/>
        <v>89301000</v>
      </c>
      <c r="C3048" s="1">
        <v>44454</v>
      </c>
      <c r="D3048" s="1">
        <v>44462</v>
      </c>
      <c r="E3048">
        <v>1</v>
      </c>
      <c r="F3048" t="s">
        <v>2006</v>
      </c>
      <c r="G3048" t="str">
        <f>"06-K13-01"</f>
        <v>06-K13-01</v>
      </c>
      <c r="H3048">
        <v>1.0835999999999999</v>
      </c>
      <c r="I3048" t="s">
        <v>2007</v>
      </c>
      <c r="J3048" t="s">
        <v>14</v>
      </c>
      <c r="K3048" t="str">
        <f>"4F2"</f>
        <v>4F2</v>
      </c>
      <c r="L3048" t="s">
        <v>15</v>
      </c>
    </row>
    <row r="3049" spans="1:12" x14ac:dyDescent="0.25">
      <c r="A3049" t="str">
        <f>"385628445"</f>
        <v>385628445</v>
      </c>
      <c r="B3049" t="str">
        <f t="shared" si="210"/>
        <v>89301000</v>
      </c>
      <c r="C3049" s="1">
        <v>44489</v>
      </c>
      <c r="D3049" s="1">
        <v>44494</v>
      </c>
      <c r="E3049">
        <v>1</v>
      </c>
      <c r="F3049" t="s">
        <v>2008</v>
      </c>
      <c r="G3049" t="str">
        <f>"13-I11-03"</f>
        <v>13-I11-03</v>
      </c>
      <c r="H3049">
        <v>1.8032999999999999</v>
      </c>
      <c r="I3049" t="s">
        <v>2009</v>
      </c>
      <c r="J3049" t="s">
        <v>24</v>
      </c>
      <c r="K3049" t="str">
        <f>"6F3"</f>
        <v>6F3</v>
      </c>
      <c r="L3049" t="s">
        <v>15</v>
      </c>
    </row>
    <row r="3050" spans="1:12" x14ac:dyDescent="0.25">
      <c r="A3050" t="str">
        <f>"385710442"</f>
        <v>385710442</v>
      </c>
      <c r="B3050" t="str">
        <f t="shared" si="210"/>
        <v>89301000</v>
      </c>
      <c r="C3050" s="1">
        <v>44512</v>
      </c>
      <c r="D3050" s="1">
        <v>44533</v>
      </c>
      <c r="E3050">
        <v>1</v>
      </c>
      <c r="F3050" t="s">
        <v>208</v>
      </c>
      <c r="G3050" t="str">
        <f>"08-K11-02"</f>
        <v>08-K11-02</v>
      </c>
      <c r="H3050">
        <v>1.2426999999999999</v>
      </c>
      <c r="I3050" t="s">
        <v>2010</v>
      </c>
      <c r="J3050" t="s">
        <v>14</v>
      </c>
      <c r="K3050" t="str">
        <f>"1F1"</f>
        <v>1F1</v>
      </c>
      <c r="L3050" t="s">
        <v>15</v>
      </c>
    </row>
    <row r="3051" spans="1:12" x14ac:dyDescent="0.25">
      <c r="A3051" t="str">
        <f>"385805443"</f>
        <v>385805443</v>
      </c>
      <c r="B3051" t="str">
        <f t="shared" si="210"/>
        <v>89301000</v>
      </c>
      <c r="C3051" s="1">
        <v>44474</v>
      </c>
      <c r="D3051" s="1">
        <v>44477</v>
      </c>
      <c r="E3051">
        <v>1</v>
      </c>
      <c r="F3051" t="s">
        <v>699</v>
      </c>
      <c r="G3051" t="str">
        <f>"16-K02-02"</f>
        <v>16-K02-02</v>
      </c>
      <c r="H3051">
        <v>0.77459999999999996</v>
      </c>
      <c r="I3051" t="s">
        <v>2011</v>
      </c>
      <c r="J3051" t="s">
        <v>14</v>
      </c>
      <c r="K3051" t="str">
        <f>"1F1"</f>
        <v>1F1</v>
      </c>
      <c r="L3051" t="s">
        <v>15</v>
      </c>
    </row>
    <row r="3052" spans="1:12" x14ac:dyDescent="0.25">
      <c r="A3052" t="str">
        <f>"385815434"</f>
        <v>385815434</v>
      </c>
      <c r="B3052" t="str">
        <f t="shared" si="210"/>
        <v>89301000</v>
      </c>
      <c r="C3052" s="1">
        <v>44201</v>
      </c>
      <c r="D3052" s="1">
        <v>44207</v>
      </c>
      <c r="E3052">
        <v>1</v>
      </c>
      <c r="F3052" t="s">
        <v>1699</v>
      </c>
      <c r="G3052" t="str">
        <f>"01-K10-03"</f>
        <v>01-K10-03</v>
      </c>
      <c r="H3052">
        <v>1.0016</v>
      </c>
      <c r="I3052" t="s">
        <v>2012</v>
      </c>
      <c r="J3052" t="s">
        <v>14</v>
      </c>
      <c r="K3052" t="str">
        <f>"2F9"</f>
        <v>2F9</v>
      </c>
      <c r="L3052" t="s">
        <v>15</v>
      </c>
    </row>
    <row r="3053" spans="1:12" x14ac:dyDescent="0.25">
      <c r="A3053" t="str">
        <f>"385921440"</f>
        <v>385921440</v>
      </c>
      <c r="B3053" t="str">
        <f t="shared" si="210"/>
        <v>89301000</v>
      </c>
      <c r="C3053" s="1">
        <v>44237</v>
      </c>
      <c r="D3053" s="1">
        <v>44242</v>
      </c>
      <c r="E3053">
        <v>4</v>
      </c>
      <c r="F3053" t="s">
        <v>1615</v>
      </c>
      <c r="G3053" t="str">
        <f>"08-I13-05"</f>
        <v>08-I13-05</v>
      </c>
      <c r="H3053">
        <v>2.1778</v>
      </c>
      <c r="I3053" t="s">
        <v>2013</v>
      </c>
      <c r="J3053" t="s">
        <v>17</v>
      </c>
      <c r="K3053" t="str">
        <f>"5F3"</f>
        <v>5F3</v>
      </c>
      <c r="L3053" t="s">
        <v>15</v>
      </c>
    </row>
    <row r="3054" spans="1:12" x14ac:dyDescent="0.25">
      <c r="A3054" t="str">
        <f>"385921440"</f>
        <v>385921440</v>
      </c>
      <c r="B3054" t="str">
        <f t="shared" si="210"/>
        <v>89301000</v>
      </c>
      <c r="C3054" s="1">
        <v>44409</v>
      </c>
      <c r="D3054" s="1">
        <v>44428</v>
      </c>
      <c r="E3054">
        <v>8</v>
      </c>
      <c r="F3054" t="s">
        <v>998</v>
      </c>
      <c r="G3054" t="str">
        <f>"18-K01-05"</f>
        <v>18-K01-05</v>
      </c>
      <c r="H3054">
        <v>1.6713</v>
      </c>
      <c r="I3054" t="s">
        <v>2014</v>
      </c>
      <c r="J3054" t="s">
        <v>14</v>
      </c>
      <c r="K3054" t="str">
        <f>"1F6"</f>
        <v>1F6</v>
      </c>
      <c r="L3054" t="s">
        <v>15</v>
      </c>
    </row>
    <row r="3055" spans="1:12" x14ac:dyDescent="0.25">
      <c r="A3055" t="str">
        <f>"385921440"</f>
        <v>385921440</v>
      </c>
      <c r="B3055" t="str">
        <f t="shared" si="210"/>
        <v>89301000</v>
      </c>
      <c r="C3055" s="1">
        <v>44204</v>
      </c>
      <c r="D3055" s="1">
        <v>44211</v>
      </c>
      <c r="E3055">
        <v>2</v>
      </c>
      <c r="F3055" t="s">
        <v>489</v>
      </c>
      <c r="G3055" t="str">
        <f>"05-K14-02"</f>
        <v>05-K14-02</v>
      </c>
      <c r="H3055">
        <v>0.8427</v>
      </c>
      <c r="I3055" t="s">
        <v>2015</v>
      </c>
      <c r="J3055" t="s">
        <v>14</v>
      </c>
      <c r="K3055" t="str">
        <f>"1F6"</f>
        <v>1F6</v>
      </c>
      <c r="L3055" t="s">
        <v>15</v>
      </c>
    </row>
    <row r="3056" spans="1:12" x14ac:dyDescent="0.25">
      <c r="A3056" t="str">
        <f>"385924419"</f>
        <v>385924419</v>
      </c>
      <c r="B3056" t="str">
        <f t="shared" si="210"/>
        <v>89301000</v>
      </c>
      <c r="C3056" s="1">
        <v>44291</v>
      </c>
      <c r="D3056" s="1">
        <v>44296</v>
      </c>
      <c r="E3056">
        <v>8</v>
      </c>
      <c r="F3056" t="s">
        <v>962</v>
      </c>
      <c r="G3056" t="str">
        <f>"04-M01-06"</f>
        <v>04-M01-06</v>
      </c>
      <c r="H3056">
        <v>3.5308999999999999</v>
      </c>
      <c r="I3056" t="s">
        <v>2016</v>
      </c>
      <c r="J3056" t="s">
        <v>14</v>
      </c>
      <c r="K3056" t="str">
        <f>"5T1"</f>
        <v>5T1</v>
      </c>
      <c r="L3056" t="s">
        <v>15</v>
      </c>
    </row>
    <row r="3057" spans="1:12" x14ac:dyDescent="0.25">
      <c r="A3057" t="str">
        <f>"386019435"</f>
        <v>386019435</v>
      </c>
      <c r="B3057" t="str">
        <f t="shared" si="210"/>
        <v>89301000</v>
      </c>
      <c r="C3057" s="1">
        <v>44485</v>
      </c>
      <c r="D3057" s="1">
        <v>44490</v>
      </c>
      <c r="E3057">
        <v>4</v>
      </c>
      <c r="F3057" t="s">
        <v>1615</v>
      </c>
      <c r="G3057" t="str">
        <f>"08-I13-05"</f>
        <v>08-I13-05</v>
      </c>
      <c r="H3057">
        <v>2.1778</v>
      </c>
      <c r="I3057" t="s">
        <v>2017</v>
      </c>
      <c r="J3057" t="s">
        <v>17</v>
      </c>
      <c r="K3057" t="str">
        <f>"5T3"</f>
        <v>5T3</v>
      </c>
      <c r="L3057" t="s">
        <v>15</v>
      </c>
    </row>
    <row r="3058" spans="1:12" x14ac:dyDescent="0.25">
      <c r="A3058" t="str">
        <f>"386103437"</f>
        <v>386103437</v>
      </c>
      <c r="B3058" t="str">
        <f t="shared" si="210"/>
        <v>89301000</v>
      </c>
      <c r="C3058" s="1">
        <v>44458</v>
      </c>
      <c r="D3058" s="1">
        <v>44470</v>
      </c>
      <c r="E3058">
        <v>4</v>
      </c>
      <c r="F3058" t="s">
        <v>1543</v>
      </c>
      <c r="G3058" t="str">
        <f>"01-K10-03"</f>
        <v>01-K10-03</v>
      </c>
      <c r="H3058">
        <v>1.0016</v>
      </c>
      <c r="I3058" t="s">
        <v>2018</v>
      </c>
      <c r="J3058" t="s">
        <v>14</v>
      </c>
      <c r="K3058" t="str">
        <f>"2T9"</f>
        <v>2T9</v>
      </c>
      <c r="L3058" t="s">
        <v>15</v>
      </c>
    </row>
    <row r="3059" spans="1:12" x14ac:dyDescent="0.25">
      <c r="A3059" t="str">
        <f>"386109456"</f>
        <v>386109456</v>
      </c>
      <c r="B3059" t="str">
        <f t="shared" si="210"/>
        <v>89301000</v>
      </c>
      <c r="C3059" s="1">
        <v>44377</v>
      </c>
      <c r="D3059" s="1">
        <v>44380</v>
      </c>
      <c r="E3059">
        <v>1</v>
      </c>
      <c r="F3059" t="s">
        <v>1593</v>
      </c>
      <c r="G3059" t="str">
        <f>"11-M06-03"</f>
        <v>11-M06-03</v>
      </c>
      <c r="H3059">
        <v>0.61519999999999997</v>
      </c>
      <c r="I3059" t="s">
        <v>2019</v>
      </c>
      <c r="J3059" t="s">
        <v>17</v>
      </c>
      <c r="K3059" t="str">
        <f>"7F6"</f>
        <v>7F6</v>
      </c>
      <c r="L3059" t="s">
        <v>15</v>
      </c>
    </row>
    <row r="3060" spans="1:12" x14ac:dyDescent="0.25">
      <c r="A3060" t="str">
        <f>"386120417"</f>
        <v>386120417</v>
      </c>
      <c r="B3060" t="str">
        <f t="shared" si="210"/>
        <v>89301000</v>
      </c>
      <c r="C3060" s="1">
        <v>44460</v>
      </c>
      <c r="D3060" s="1">
        <v>44464</v>
      </c>
      <c r="E3060">
        <v>1</v>
      </c>
      <c r="F3060" t="s">
        <v>2020</v>
      </c>
      <c r="G3060" t="str">
        <f>"03-I18-02"</f>
        <v>03-I18-02</v>
      </c>
      <c r="H3060">
        <v>0.84370000000000001</v>
      </c>
      <c r="I3060" t="s">
        <v>2021</v>
      </c>
      <c r="J3060" t="s">
        <v>24</v>
      </c>
      <c r="K3060" t="str">
        <f>"7F1"</f>
        <v>7F1</v>
      </c>
      <c r="L3060" t="s">
        <v>15</v>
      </c>
    </row>
    <row r="3061" spans="1:12" x14ac:dyDescent="0.25">
      <c r="A3061" t="str">
        <f>"386125430"</f>
        <v>386125430</v>
      </c>
      <c r="B3061" t="str">
        <f t="shared" si="210"/>
        <v>89301000</v>
      </c>
      <c r="C3061" s="1">
        <v>44199</v>
      </c>
      <c r="D3061" s="1">
        <v>44200</v>
      </c>
      <c r="E3061">
        <v>1</v>
      </c>
      <c r="F3061" t="s">
        <v>1962</v>
      </c>
      <c r="G3061" t="str">
        <f>"04-K15-03"</f>
        <v>04-K15-03</v>
      </c>
      <c r="H3061">
        <v>0.49009999999999998</v>
      </c>
      <c r="I3061" t="s">
        <v>2022</v>
      </c>
      <c r="J3061" t="s">
        <v>14</v>
      </c>
      <c r="K3061" t="str">
        <f>"5F1"</f>
        <v>5F1</v>
      </c>
      <c r="L3061" t="s">
        <v>15</v>
      </c>
    </row>
    <row r="3062" spans="1:12" x14ac:dyDescent="0.25">
      <c r="A3062" t="str">
        <f>"390114433"</f>
        <v>390114433</v>
      </c>
      <c r="B3062" t="str">
        <f t="shared" si="210"/>
        <v>89301000</v>
      </c>
      <c r="C3062" s="1">
        <v>44270</v>
      </c>
      <c r="D3062" s="1">
        <v>44278</v>
      </c>
      <c r="E3062">
        <v>1</v>
      </c>
      <c r="F3062" t="s">
        <v>2023</v>
      </c>
      <c r="G3062" t="str">
        <f>"08-I03-07"</f>
        <v>08-I03-07</v>
      </c>
      <c r="H3062">
        <v>3.0385</v>
      </c>
      <c r="I3062" t="s">
        <v>2024</v>
      </c>
      <c r="J3062" t="s">
        <v>17</v>
      </c>
      <c r="K3062" t="str">
        <f>"5F6"</f>
        <v>5F6</v>
      </c>
      <c r="L3062" t="s">
        <v>15</v>
      </c>
    </row>
    <row r="3063" spans="1:12" x14ac:dyDescent="0.25">
      <c r="A3063" t="str">
        <f>"390114433"</f>
        <v>390114433</v>
      </c>
      <c r="B3063" t="str">
        <f t="shared" si="210"/>
        <v>89301000</v>
      </c>
      <c r="C3063" s="1">
        <v>44202</v>
      </c>
      <c r="D3063" s="1">
        <v>44208</v>
      </c>
      <c r="E3063">
        <v>1</v>
      </c>
      <c r="F3063" t="s">
        <v>217</v>
      </c>
      <c r="G3063" t="str">
        <f>"04-K02-04"</f>
        <v>04-K02-04</v>
      </c>
      <c r="H3063">
        <v>0.82469999999999999</v>
      </c>
      <c r="I3063" t="s">
        <v>2025</v>
      </c>
      <c r="J3063" t="s">
        <v>14</v>
      </c>
      <c r="K3063" t="str">
        <f>"1F1"</f>
        <v>1F1</v>
      </c>
      <c r="L3063" t="s">
        <v>15</v>
      </c>
    </row>
    <row r="3064" spans="1:12" x14ac:dyDescent="0.25">
      <c r="A3064" t="str">
        <f>"390201421"</f>
        <v>390201421</v>
      </c>
      <c r="B3064" t="str">
        <f t="shared" si="210"/>
        <v>89301000</v>
      </c>
      <c r="C3064" s="1">
        <v>44485</v>
      </c>
      <c r="D3064" s="1">
        <v>44496</v>
      </c>
      <c r="E3064">
        <v>1</v>
      </c>
      <c r="F3064" t="s">
        <v>2026</v>
      </c>
      <c r="G3064" t="str">
        <f>"08-K08-00"</f>
        <v>08-K08-00</v>
      </c>
      <c r="H3064">
        <v>0.51670000000000005</v>
      </c>
      <c r="I3064" t="s">
        <v>2027</v>
      </c>
      <c r="J3064" t="s">
        <v>14</v>
      </c>
      <c r="K3064" t="str">
        <f>"2F9"</f>
        <v>2F9</v>
      </c>
      <c r="L3064" t="s">
        <v>15</v>
      </c>
    </row>
    <row r="3065" spans="1:12" x14ac:dyDescent="0.25">
      <c r="A3065" t="str">
        <f>"390201421"</f>
        <v>390201421</v>
      </c>
      <c r="B3065" t="str">
        <f t="shared" si="210"/>
        <v>89301000</v>
      </c>
      <c r="C3065" s="1">
        <v>44300</v>
      </c>
      <c r="D3065" s="1">
        <v>44300</v>
      </c>
      <c r="E3065">
        <v>1</v>
      </c>
      <c r="F3065" t="s">
        <v>1579</v>
      </c>
      <c r="G3065" t="str">
        <f>"05-I25-03"</f>
        <v>05-I25-03</v>
      </c>
      <c r="H3065">
        <v>1.2622</v>
      </c>
      <c r="J3065" t="s">
        <v>17</v>
      </c>
      <c r="K3065" t="str">
        <f>"1F1"</f>
        <v>1F1</v>
      </c>
      <c r="L3065" t="s">
        <v>15</v>
      </c>
    </row>
    <row r="3066" spans="1:12" x14ac:dyDescent="0.25">
      <c r="A3066" t="str">
        <f>"390305406"</f>
        <v>390305406</v>
      </c>
      <c r="B3066" t="str">
        <f t="shared" si="210"/>
        <v>89301000</v>
      </c>
      <c r="C3066" s="1">
        <v>44376</v>
      </c>
      <c r="D3066" s="1">
        <v>44377</v>
      </c>
      <c r="E3066">
        <v>1</v>
      </c>
      <c r="F3066" t="s">
        <v>1567</v>
      </c>
      <c r="G3066" t="str">
        <f>"05-I25-03"</f>
        <v>05-I25-03</v>
      </c>
      <c r="H3066">
        <v>1.5508</v>
      </c>
      <c r="I3066" t="s">
        <v>1651</v>
      </c>
      <c r="J3066" t="s">
        <v>17</v>
      </c>
      <c r="K3066" t="str">
        <f>"1F7"</f>
        <v>1F7</v>
      </c>
      <c r="L3066" t="s">
        <v>15</v>
      </c>
    </row>
    <row r="3067" spans="1:12" x14ac:dyDescent="0.25">
      <c r="A3067" t="str">
        <f>"390401432"</f>
        <v>390401432</v>
      </c>
      <c r="B3067" t="str">
        <f t="shared" si="210"/>
        <v>89301000</v>
      </c>
      <c r="C3067" s="1">
        <v>44480</v>
      </c>
      <c r="D3067" s="1">
        <v>44481</v>
      </c>
      <c r="E3067">
        <v>1</v>
      </c>
      <c r="F3067" t="s">
        <v>41</v>
      </c>
      <c r="G3067" t="str">
        <f>"01-D01-03"</f>
        <v>01-D01-03</v>
      </c>
      <c r="H3067">
        <v>0.158</v>
      </c>
      <c r="I3067" t="s">
        <v>2028</v>
      </c>
      <c r="J3067" t="s">
        <v>14</v>
      </c>
      <c r="K3067" t="str">
        <f>"2F5"</f>
        <v>2F5</v>
      </c>
      <c r="L3067" t="s">
        <v>15</v>
      </c>
    </row>
    <row r="3068" spans="1:12" x14ac:dyDescent="0.25">
      <c r="A3068" t="str">
        <f>"390401432"</f>
        <v>390401432</v>
      </c>
      <c r="B3068" t="str">
        <f t="shared" si="210"/>
        <v>89301000</v>
      </c>
      <c r="C3068" s="1">
        <v>44533</v>
      </c>
      <c r="D3068" s="1">
        <v>44536</v>
      </c>
      <c r="E3068">
        <v>1</v>
      </c>
      <c r="F3068" t="s">
        <v>41</v>
      </c>
      <c r="G3068" t="str">
        <f>"01-D01-03"</f>
        <v>01-D01-03</v>
      </c>
      <c r="H3068">
        <v>0.2054</v>
      </c>
      <c r="I3068" t="s">
        <v>2029</v>
      </c>
      <c r="J3068" t="s">
        <v>14</v>
      </c>
      <c r="K3068" t="str">
        <f>"2F5"</f>
        <v>2F5</v>
      </c>
      <c r="L3068" t="s">
        <v>15</v>
      </c>
    </row>
    <row r="3069" spans="1:12" x14ac:dyDescent="0.25">
      <c r="A3069" t="str">
        <f t="shared" ref="A3069:A3075" si="211">"390714410"</f>
        <v>390714410</v>
      </c>
      <c r="B3069" t="str">
        <f t="shared" si="210"/>
        <v>89301000</v>
      </c>
      <c r="C3069" s="1">
        <v>44230</v>
      </c>
      <c r="D3069" s="1">
        <v>44232</v>
      </c>
      <c r="E3069">
        <v>1</v>
      </c>
      <c r="F3069" t="s">
        <v>2030</v>
      </c>
      <c r="G3069" t="str">
        <f t="shared" ref="G3069:G3075" si="212">"06-C02-03"</f>
        <v>06-C02-03</v>
      </c>
      <c r="H3069">
        <v>0.25769999999999998</v>
      </c>
      <c r="I3069" t="s">
        <v>541</v>
      </c>
      <c r="J3069" t="s">
        <v>14</v>
      </c>
      <c r="K3069" t="str">
        <f t="shared" ref="K3069:K3075" si="213">"4F2"</f>
        <v>4F2</v>
      </c>
      <c r="L3069" t="s">
        <v>15</v>
      </c>
    </row>
    <row r="3070" spans="1:12" x14ac:dyDescent="0.25">
      <c r="A3070" t="str">
        <f t="shared" si="211"/>
        <v>390714410</v>
      </c>
      <c r="B3070" t="str">
        <f t="shared" si="210"/>
        <v>89301000</v>
      </c>
      <c r="C3070" s="1">
        <v>44286</v>
      </c>
      <c r="D3070" s="1">
        <v>44288</v>
      </c>
      <c r="E3070">
        <v>1</v>
      </c>
      <c r="F3070" t="s">
        <v>2030</v>
      </c>
      <c r="G3070" t="str">
        <f t="shared" si="212"/>
        <v>06-C02-03</v>
      </c>
      <c r="H3070">
        <v>0.25769999999999998</v>
      </c>
      <c r="I3070" t="s">
        <v>541</v>
      </c>
      <c r="J3070" t="s">
        <v>14</v>
      </c>
      <c r="K3070" t="str">
        <f t="shared" si="213"/>
        <v>4F2</v>
      </c>
      <c r="L3070" t="s">
        <v>15</v>
      </c>
    </row>
    <row r="3071" spans="1:12" x14ac:dyDescent="0.25">
      <c r="A3071" t="str">
        <f t="shared" si="211"/>
        <v>390714410</v>
      </c>
      <c r="B3071" t="str">
        <f t="shared" si="210"/>
        <v>89301000</v>
      </c>
      <c r="C3071" s="1">
        <v>44272</v>
      </c>
      <c r="D3071" s="1">
        <v>44274</v>
      </c>
      <c r="E3071">
        <v>1</v>
      </c>
      <c r="F3071" t="s">
        <v>2030</v>
      </c>
      <c r="G3071" t="str">
        <f t="shared" si="212"/>
        <v>06-C02-03</v>
      </c>
      <c r="H3071">
        <v>0.25769999999999998</v>
      </c>
      <c r="I3071" t="s">
        <v>541</v>
      </c>
      <c r="J3071" t="s">
        <v>14</v>
      </c>
      <c r="K3071" t="str">
        <f t="shared" si="213"/>
        <v>4F2</v>
      </c>
      <c r="L3071" t="s">
        <v>15</v>
      </c>
    </row>
    <row r="3072" spans="1:12" x14ac:dyDescent="0.25">
      <c r="A3072" t="str">
        <f t="shared" si="211"/>
        <v>390714410</v>
      </c>
      <c r="B3072" t="str">
        <f t="shared" si="210"/>
        <v>89301000</v>
      </c>
      <c r="C3072" s="1">
        <v>44201</v>
      </c>
      <c r="D3072" s="1">
        <v>44203</v>
      </c>
      <c r="E3072">
        <v>1</v>
      </c>
      <c r="F3072" t="s">
        <v>2030</v>
      </c>
      <c r="G3072" t="str">
        <f t="shared" si="212"/>
        <v>06-C02-03</v>
      </c>
      <c r="H3072">
        <v>0.25769999999999998</v>
      </c>
      <c r="I3072" t="s">
        <v>541</v>
      </c>
      <c r="J3072" t="s">
        <v>14</v>
      </c>
      <c r="K3072" t="str">
        <f t="shared" si="213"/>
        <v>4F2</v>
      </c>
      <c r="L3072" t="s">
        <v>15</v>
      </c>
    </row>
    <row r="3073" spans="1:12" x14ac:dyDescent="0.25">
      <c r="A3073" t="str">
        <f t="shared" si="211"/>
        <v>390714410</v>
      </c>
      <c r="B3073" t="str">
        <f t="shared" si="210"/>
        <v>89301000</v>
      </c>
      <c r="C3073" s="1">
        <v>44216</v>
      </c>
      <c r="D3073" s="1">
        <v>44218</v>
      </c>
      <c r="E3073">
        <v>1</v>
      </c>
      <c r="F3073" t="s">
        <v>2030</v>
      </c>
      <c r="G3073" t="str">
        <f t="shared" si="212"/>
        <v>06-C02-03</v>
      </c>
      <c r="H3073">
        <v>0.25769999999999998</v>
      </c>
      <c r="I3073" t="s">
        <v>541</v>
      </c>
      <c r="J3073" t="s">
        <v>14</v>
      </c>
      <c r="K3073" t="str">
        <f t="shared" si="213"/>
        <v>4F2</v>
      </c>
      <c r="L3073" t="s">
        <v>15</v>
      </c>
    </row>
    <row r="3074" spans="1:12" x14ac:dyDescent="0.25">
      <c r="A3074" t="str">
        <f t="shared" si="211"/>
        <v>390714410</v>
      </c>
      <c r="B3074" t="str">
        <f t="shared" si="210"/>
        <v>89301000</v>
      </c>
      <c r="C3074" s="1">
        <v>44244</v>
      </c>
      <c r="D3074" s="1">
        <v>44246</v>
      </c>
      <c r="E3074">
        <v>1</v>
      </c>
      <c r="F3074" t="s">
        <v>2030</v>
      </c>
      <c r="G3074" t="str">
        <f t="shared" si="212"/>
        <v>06-C02-03</v>
      </c>
      <c r="H3074">
        <v>0.25769999999999998</v>
      </c>
      <c r="I3074" t="s">
        <v>541</v>
      </c>
      <c r="J3074" t="s">
        <v>14</v>
      </c>
      <c r="K3074" t="str">
        <f t="shared" si="213"/>
        <v>4F2</v>
      </c>
      <c r="L3074" t="s">
        <v>15</v>
      </c>
    </row>
    <row r="3075" spans="1:12" x14ac:dyDescent="0.25">
      <c r="A3075" t="str">
        <f t="shared" si="211"/>
        <v>390714410</v>
      </c>
      <c r="B3075" t="str">
        <f t="shared" si="210"/>
        <v>89301000</v>
      </c>
      <c r="C3075" s="1">
        <v>44258</v>
      </c>
      <c r="D3075" s="1">
        <v>44260</v>
      </c>
      <c r="E3075">
        <v>1</v>
      </c>
      <c r="F3075" t="s">
        <v>2030</v>
      </c>
      <c r="G3075" t="str">
        <f t="shared" si="212"/>
        <v>06-C02-03</v>
      </c>
      <c r="H3075">
        <v>0.25769999999999998</v>
      </c>
      <c r="I3075" t="s">
        <v>541</v>
      </c>
      <c r="J3075" t="s">
        <v>14</v>
      </c>
      <c r="K3075" t="str">
        <f t="shared" si="213"/>
        <v>4F2</v>
      </c>
      <c r="L3075" t="s">
        <v>15</v>
      </c>
    </row>
    <row r="3076" spans="1:12" x14ac:dyDescent="0.25">
      <c r="A3076" t="str">
        <f>"390718441"</f>
        <v>390718441</v>
      </c>
      <c r="B3076" t="str">
        <f t="shared" si="210"/>
        <v>89301000</v>
      </c>
      <c r="C3076" s="1">
        <v>44507</v>
      </c>
      <c r="D3076" s="1">
        <v>44519</v>
      </c>
      <c r="E3076">
        <v>1</v>
      </c>
      <c r="F3076" t="s">
        <v>67</v>
      </c>
      <c r="G3076" t="str">
        <f>"01-C02-02"</f>
        <v>01-C02-02</v>
      </c>
      <c r="H3076">
        <v>1.4877</v>
      </c>
      <c r="I3076" t="s">
        <v>2031</v>
      </c>
      <c r="J3076" t="s">
        <v>14</v>
      </c>
      <c r="K3076" t="str">
        <f>"2F9"</f>
        <v>2F9</v>
      </c>
      <c r="L3076" t="s">
        <v>15</v>
      </c>
    </row>
    <row r="3077" spans="1:12" x14ac:dyDescent="0.25">
      <c r="A3077" t="str">
        <f>"390914471"</f>
        <v>390914471</v>
      </c>
      <c r="B3077" t="str">
        <f t="shared" si="210"/>
        <v>89301000</v>
      </c>
      <c r="C3077" s="1">
        <v>44384</v>
      </c>
      <c r="D3077" s="1">
        <v>44385</v>
      </c>
      <c r="E3077">
        <v>1</v>
      </c>
      <c r="F3077" t="s">
        <v>2032</v>
      </c>
      <c r="G3077" t="str">
        <f>"05-M06-03"</f>
        <v>05-M06-03</v>
      </c>
      <c r="H3077">
        <v>2.6726999999999999</v>
      </c>
      <c r="I3077" t="s">
        <v>1892</v>
      </c>
      <c r="J3077" t="s">
        <v>17</v>
      </c>
      <c r="K3077" t="str">
        <f>"1F7"</f>
        <v>1F7</v>
      </c>
      <c r="L3077" t="s">
        <v>15</v>
      </c>
    </row>
    <row r="3078" spans="1:12" x14ac:dyDescent="0.25">
      <c r="A3078" t="str">
        <f>"390918427"</f>
        <v>390918427</v>
      </c>
      <c r="B3078" t="str">
        <f t="shared" si="210"/>
        <v>89301000</v>
      </c>
      <c r="C3078" s="1">
        <v>44529</v>
      </c>
      <c r="D3078" s="1">
        <v>44538</v>
      </c>
      <c r="E3078">
        <v>5</v>
      </c>
      <c r="F3078" t="s">
        <v>38</v>
      </c>
      <c r="G3078" t="str">
        <f>"00-M01-03"</f>
        <v>00-M01-03</v>
      </c>
      <c r="H3078">
        <v>10.0288</v>
      </c>
      <c r="I3078" t="s">
        <v>2033</v>
      </c>
      <c r="J3078" t="s">
        <v>14</v>
      </c>
      <c r="K3078" t="str">
        <f>"1T1"</f>
        <v>1T1</v>
      </c>
      <c r="L3078" t="s">
        <v>15</v>
      </c>
    </row>
    <row r="3079" spans="1:12" x14ac:dyDescent="0.25">
      <c r="A3079" t="str">
        <f>"391001404"</f>
        <v>391001404</v>
      </c>
      <c r="B3079" t="str">
        <f t="shared" si="210"/>
        <v>89301000</v>
      </c>
      <c r="C3079" s="1">
        <v>44391</v>
      </c>
      <c r="D3079" s="1">
        <v>44399</v>
      </c>
      <c r="E3079">
        <v>1</v>
      </c>
      <c r="F3079" t="s">
        <v>1716</v>
      </c>
      <c r="G3079" t="str">
        <f>"11-M05-02"</f>
        <v>11-M05-02</v>
      </c>
      <c r="H3079">
        <v>0.82799999999999996</v>
      </c>
      <c r="I3079" t="s">
        <v>2034</v>
      </c>
      <c r="J3079" t="s">
        <v>17</v>
      </c>
      <c r="K3079" t="str">
        <f>"7F6"</f>
        <v>7F6</v>
      </c>
      <c r="L3079" t="s">
        <v>15</v>
      </c>
    </row>
    <row r="3080" spans="1:12" x14ac:dyDescent="0.25">
      <c r="A3080" t="str">
        <f>"391001404"</f>
        <v>391001404</v>
      </c>
      <c r="B3080" t="str">
        <f t="shared" si="210"/>
        <v>89301000</v>
      </c>
      <c r="C3080" s="1">
        <v>44476</v>
      </c>
      <c r="D3080" s="1">
        <v>44478</v>
      </c>
      <c r="E3080">
        <v>1</v>
      </c>
      <c r="F3080" t="s">
        <v>343</v>
      </c>
      <c r="G3080" t="str">
        <f>"11-M05-02"</f>
        <v>11-M05-02</v>
      </c>
      <c r="H3080">
        <v>0.65690000000000004</v>
      </c>
      <c r="I3080" t="s">
        <v>2035</v>
      </c>
      <c r="J3080" t="s">
        <v>17</v>
      </c>
      <c r="K3080" t="str">
        <f>"7F6"</f>
        <v>7F6</v>
      </c>
      <c r="L3080" t="s">
        <v>15</v>
      </c>
    </row>
    <row r="3081" spans="1:12" x14ac:dyDescent="0.25">
      <c r="A3081" t="str">
        <f>"391001404"</f>
        <v>391001404</v>
      </c>
      <c r="B3081" t="str">
        <f t="shared" si="210"/>
        <v>89301000</v>
      </c>
      <c r="C3081" s="1">
        <v>44368</v>
      </c>
      <c r="D3081" s="1">
        <v>44370</v>
      </c>
      <c r="E3081">
        <v>1</v>
      </c>
      <c r="F3081" t="s">
        <v>343</v>
      </c>
      <c r="G3081" t="str">
        <f>"11-M05-02"</f>
        <v>11-M05-02</v>
      </c>
      <c r="H3081">
        <v>0.65690000000000004</v>
      </c>
      <c r="I3081" t="s">
        <v>2036</v>
      </c>
      <c r="J3081" t="s">
        <v>17</v>
      </c>
      <c r="K3081" t="str">
        <f>"7F6"</f>
        <v>7F6</v>
      </c>
      <c r="L3081" t="s">
        <v>15</v>
      </c>
    </row>
    <row r="3082" spans="1:12" x14ac:dyDescent="0.25">
      <c r="A3082" t="str">
        <f>"391006450"</f>
        <v>391006450</v>
      </c>
      <c r="B3082" t="str">
        <f t="shared" si="210"/>
        <v>89301000</v>
      </c>
      <c r="C3082" s="1">
        <v>44482</v>
      </c>
      <c r="D3082" s="1">
        <v>44488</v>
      </c>
      <c r="E3082">
        <v>1</v>
      </c>
      <c r="F3082" t="s">
        <v>1953</v>
      </c>
      <c r="G3082" t="str">
        <f>"07-M02-03"</f>
        <v>07-M02-03</v>
      </c>
      <c r="H3082">
        <v>1.2850999999999999</v>
      </c>
      <c r="I3082" t="s">
        <v>2037</v>
      </c>
      <c r="J3082" t="s">
        <v>17</v>
      </c>
      <c r="K3082" t="str">
        <f>"1F1"</f>
        <v>1F1</v>
      </c>
      <c r="L3082" t="s">
        <v>15</v>
      </c>
    </row>
    <row r="3083" spans="1:12" x14ac:dyDescent="0.25">
      <c r="A3083" t="str">
        <f>"391103443"</f>
        <v>391103443</v>
      </c>
      <c r="B3083" t="str">
        <f t="shared" si="210"/>
        <v>89301000</v>
      </c>
      <c r="C3083" s="1">
        <v>44453</v>
      </c>
      <c r="D3083" s="1">
        <v>44456</v>
      </c>
      <c r="E3083">
        <v>1</v>
      </c>
      <c r="F3083" t="s">
        <v>1567</v>
      </c>
      <c r="G3083" t="str">
        <f>"05-I25-03"</f>
        <v>05-I25-03</v>
      </c>
      <c r="H3083">
        <v>1.5508</v>
      </c>
      <c r="I3083" t="s">
        <v>1785</v>
      </c>
      <c r="J3083" t="s">
        <v>17</v>
      </c>
      <c r="K3083" t="str">
        <f>"1F1"</f>
        <v>1F1</v>
      </c>
      <c r="L3083" t="s">
        <v>15</v>
      </c>
    </row>
    <row r="3084" spans="1:12" x14ac:dyDescent="0.25">
      <c r="A3084" t="str">
        <f>"391103443"</f>
        <v>391103443</v>
      </c>
      <c r="B3084" t="str">
        <f t="shared" si="210"/>
        <v>89301000</v>
      </c>
      <c r="C3084" s="1">
        <v>44308</v>
      </c>
      <c r="D3084" s="1">
        <v>44313</v>
      </c>
      <c r="E3084">
        <v>1</v>
      </c>
      <c r="F3084" t="s">
        <v>2038</v>
      </c>
      <c r="G3084" t="str">
        <f>"06-M01-02"</f>
        <v>06-M01-02</v>
      </c>
      <c r="H3084">
        <v>1.3254999999999999</v>
      </c>
      <c r="I3084" t="s">
        <v>2039</v>
      </c>
      <c r="J3084" t="s">
        <v>14</v>
      </c>
      <c r="K3084" t="str">
        <f>"1F5"</f>
        <v>1F5</v>
      </c>
      <c r="L3084" t="s">
        <v>15</v>
      </c>
    </row>
    <row r="3085" spans="1:12" x14ac:dyDescent="0.25">
      <c r="A3085" t="str">
        <f>"391103443"</f>
        <v>391103443</v>
      </c>
      <c r="B3085" t="str">
        <f t="shared" si="210"/>
        <v>89301000</v>
      </c>
      <c r="C3085" s="1">
        <v>44231</v>
      </c>
      <c r="D3085" s="1">
        <v>44235</v>
      </c>
      <c r="E3085">
        <v>1</v>
      </c>
      <c r="F3085" t="s">
        <v>1340</v>
      </c>
      <c r="G3085" t="str">
        <f>"16-K02-03"</f>
        <v>16-K02-03</v>
      </c>
      <c r="H3085">
        <v>0.5302</v>
      </c>
      <c r="I3085" t="s">
        <v>2040</v>
      </c>
      <c r="J3085" t="s">
        <v>14</v>
      </c>
      <c r="K3085" t="str">
        <f>"1F5"</f>
        <v>1F5</v>
      </c>
      <c r="L3085" t="s">
        <v>15</v>
      </c>
    </row>
    <row r="3086" spans="1:12" x14ac:dyDescent="0.25">
      <c r="A3086" t="str">
        <f>"391107437"</f>
        <v>391107437</v>
      </c>
      <c r="B3086" t="str">
        <f t="shared" si="210"/>
        <v>89301000</v>
      </c>
      <c r="C3086" s="1">
        <v>44308</v>
      </c>
      <c r="D3086" s="1">
        <v>44309</v>
      </c>
      <c r="E3086">
        <v>1</v>
      </c>
      <c r="F3086" t="s">
        <v>1679</v>
      </c>
      <c r="G3086" t="str">
        <f>"11-K08-02"</f>
        <v>11-K08-02</v>
      </c>
      <c r="H3086">
        <v>0.47389999999999999</v>
      </c>
      <c r="I3086" t="s">
        <v>2041</v>
      </c>
      <c r="J3086" t="s">
        <v>14</v>
      </c>
      <c r="K3086" t="str">
        <f>"7F6"</f>
        <v>7F6</v>
      </c>
      <c r="L3086" t="s">
        <v>15</v>
      </c>
    </row>
    <row r="3087" spans="1:12" x14ac:dyDescent="0.25">
      <c r="A3087" t="str">
        <f>"391107437"</f>
        <v>391107437</v>
      </c>
      <c r="B3087" t="str">
        <f t="shared" si="210"/>
        <v>89301000</v>
      </c>
      <c r="C3087" s="1">
        <v>44328</v>
      </c>
      <c r="D3087" s="1">
        <v>44330</v>
      </c>
      <c r="E3087">
        <v>1</v>
      </c>
      <c r="F3087" t="s">
        <v>1679</v>
      </c>
      <c r="G3087" t="str">
        <f>"11-I17-03"</f>
        <v>11-I17-03</v>
      </c>
      <c r="H3087">
        <v>0.50609999999999999</v>
      </c>
      <c r="I3087" t="s">
        <v>2042</v>
      </c>
      <c r="J3087" t="s">
        <v>14</v>
      </c>
      <c r="K3087" t="str">
        <f>"7F6"</f>
        <v>7F6</v>
      </c>
      <c r="L3087" t="s">
        <v>15</v>
      </c>
    </row>
    <row r="3088" spans="1:12" x14ac:dyDescent="0.25">
      <c r="A3088" t="str">
        <f>"391107437"</f>
        <v>391107437</v>
      </c>
      <c r="B3088" t="str">
        <f t="shared" si="210"/>
        <v>89301000</v>
      </c>
      <c r="C3088" s="1">
        <v>44488</v>
      </c>
      <c r="D3088" s="1">
        <v>44490</v>
      </c>
      <c r="E3088">
        <v>1</v>
      </c>
      <c r="F3088" t="s">
        <v>1679</v>
      </c>
      <c r="G3088" t="str">
        <f>"11-K08-02"</f>
        <v>11-K08-02</v>
      </c>
      <c r="H3088">
        <v>0.47389999999999999</v>
      </c>
      <c r="I3088" t="s">
        <v>475</v>
      </c>
      <c r="J3088" t="s">
        <v>14</v>
      </c>
      <c r="K3088" t="str">
        <f>"7F6"</f>
        <v>7F6</v>
      </c>
      <c r="L3088" t="s">
        <v>15</v>
      </c>
    </row>
    <row r="3089" spans="1:12" x14ac:dyDescent="0.25">
      <c r="A3089" t="str">
        <f>"391114409"</f>
        <v>391114409</v>
      </c>
      <c r="B3089" t="str">
        <f t="shared" si="210"/>
        <v>89301000</v>
      </c>
      <c r="C3089" s="1">
        <v>44285</v>
      </c>
      <c r="D3089" s="1">
        <v>44292</v>
      </c>
      <c r="E3089">
        <v>1</v>
      </c>
      <c r="F3089" t="s">
        <v>2043</v>
      </c>
      <c r="G3089" t="str">
        <f>"16-K02-03"</f>
        <v>16-K02-03</v>
      </c>
      <c r="H3089">
        <v>0.5302</v>
      </c>
      <c r="I3089" t="s">
        <v>2044</v>
      </c>
      <c r="J3089" t="s">
        <v>14</v>
      </c>
      <c r="K3089" t="str">
        <f>"1F5"</f>
        <v>1F5</v>
      </c>
      <c r="L3089" t="s">
        <v>15</v>
      </c>
    </row>
    <row r="3090" spans="1:12" x14ac:dyDescent="0.25">
      <c r="A3090" t="str">
        <f>"391114409"</f>
        <v>391114409</v>
      </c>
      <c r="B3090" t="str">
        <f t="shared" si="210"/>
        <v>89301000</v>
      </c>
      <c r="C3090" s="1">
        <v>44327</v>
      </c>
      <c r="D3090" s="1">
        <v>44327</v>
      </c>
      <c r="E3090">
        <v>1</v>
      </c>
      <c r="F3090" t="s">
        <v>1962</v>
      </c>
      <c r="G3090" t="str">
        <f>"04-K15-03"</f>
        <v>04-K15-03</v>
      </c>
      <c r="H3090">
        <v>0.25090000000000001</v>
      </c>
      <c r="I3090" t="s">
        <v>489</v>
      </c>
      <c r="J3090" t="s">
        <v>14</v>
      </c>
      <c r="K3090" t="str">
        <f>"1F1"</f>
        <v>1F1</v>
      </c>
      <c r="L3090" t="s">
        <v>15</v>
      </c>
    </row>
    <row r="3091" spans="1:12" x14ac:dyDescent="0.25">
      <c r="A3091" t="str">
        <f>"391122448"</f>
        <v>391122448</v>
      </c>
      <c r="B3091" t="str">
        <f t="shared" si="210"/>
        <v>89301000</v>
      </c>
      <c r="C3091" s="1">
        <v>44556</v>
      </c>
      <c r="D3091" s="1">
        <v>44558</v>
      </c>
      <c r="E3091">
        <v>1</v>
      </c>
      <c r="F3091" t="s">
        <v>1553</v>
      </c>
      <c r="G3091" t="str">
        <f>"04-K05-03"</f>
        <v>04-K05-03</v>
      </c>
      <c r="H3091">
        <v>0.74980000000000002</v>
      </c>
      <c r="I3091" t="s">
        <v>2045</v>
      </c>
      <c r="J3091" t="s">
        <v>14</v>
      </c>
      <c r="K3091" t="str">
        <f>"1F1"</f>
        <v>1F1</v>
      </c>
      <c r="L3091" t="s">
        <v>15</v>
      </c>
    </row>
    <row r="3092" spans="1:12" x14ac:dyDescent="0.25">
      <c r="A3092" t="str">
        <f>"391206408"</f>
        <v>391206408</v>
      </c>
      <c r="B3092" t="str">
        <f t="shared" si="210"/>
        <v>89301000</v>
      </c>
      <c r="C3092" s="1">
        <v>44294</v>
      </c>
      <c r="D3092" s="1">
        <v>44294</v>
      </c>
      <c r="E3092">
        <v>1</v>
      </c>
      <c r="F3092" t="s">
        <v>1548</v>
      </c>
      <c r="G3092" t="str">
        <f>"05-I14-03"</f>
        <v>05-I14-03</v>
      </c>
      <c r="H3092">
        <v>5.8045</v>
      </c>
      <c r="J3092" t="s">
        <v>14</v>
      </c>
      <c r="K3092" t="str">
        <f>"1F1"</f>
        <v>1F1</v>
      </c>
      <c r="L3092" t="s">
        <v>15</v>
      </c>
    </row>
    <row r="3093" spans="1:12" x14ac:dyDescent="0.25">
      <c r="A3093" t="str">
        <f>"391209420"</f>
        <v>391209420</v>
      </c>
      <c r="B3093" t="str">
        <f t="shared" si="210"/>
        <v>89301000</v>
      </c>
      <c r="C3093" s="1">
        <v>44214</v>
      </c>
      <c r="D3093" s="1">
        <v>44218</v>
      </c>
      <c r="E3093">
        <v>1</v>
      </c>
      <c r="F3093" t="s">
        <v>473</v>
      </c>
      <c r="G3093" t="str">
        <f>"05-K13-02"</f>
        <v>05-K13-02</v>
      </c>
      <c r="H3093">
        <v>0.60950000000000004</v>
      </c>
      <c r="I3093" t="s">
        <v>2046</v>
      </c>
      <c r="J3093" t="s">
        <v>14</v>
      </c>
      <c r="K3093" t="str">
        <f>"1F1"</f>
        <v>1F1</v>
      </c>
      <c r="L3093" t="s">
        <v>15</v>
      </c>
    </row>
    <row r="3094" spans="1:12" x14ac:dyDescent="0.25">
      <c r="A3094" t="str">
        <f>"391210416"</f>
        <v>391210416</v>
      </c>
      <c r="B3094" t="str">
        <f t="shared" si="210"/>
        <v>89301000</v>
      </c>
      <c r="C3094" s="1">
        <v>44267</v>
      </c>
      <c r="D3094" s="1">
        <v>44274</v>
      </c>
      <c r="E3094">
        <v>1</v>
      </c>
      <c r="F3094" t="s">
        <v>952</v>
      </c>
      <c r="G3094" t="str">
        <f>"04-K15-03"</f>
        <v>04-K15-03</v>
      </c>
      <c r="H3094">
        <v>0.49009999999999998</v>
      </c>
      <c r="I3094" t="s">
        <v>2047</v>
      </c>
      <c r="J3094" t="s">
        <v>14</v>
      </c>
      <c r="K3094" t="str">
        <f>"2F5"</f>
        <v>2F5</v>
      </c>
      <c r="L3094" t="s">
        <v>15</v>
      </c>
    </row>
    <row r="3095" spans="1:12" x14ac:dyDescent="0.25">
      <c r="A3095" t="str">
        <f>"391210738"</f>
        <v>391210738</v>
      </c>
      <c r="B3095" t="str">
        <f t="shared" si="210"/>
        <v>89301000</v>
      </c>
      <c r="C3095" s="1">
        <v>44208</v>
      </c>
      <c r="D3095" s="1">
        <v>44223</v>
      </c>
      <c r="E3095">
        <v>8</v>
      </c>
      <c r="F3095" t="s">
        <v>217</v>
      </c>
      <c r="G3095" t="str">
        <f>"00-M02-04"</f>
        <v>00-M02-04</v>
      </c>
      <c r="H3095">
        <v>12.071199999999999</v>
      </c>
      <c r="I3095" t="s">
        <v>2048</v>
      </c>
      <c r="J3095" t="s">
        <v>14</v>
      </c>
      <c r="K3095" t="str">
        <f>"7T8"</f>
        <v>7T8</v>
      </c>
      <c r="L3095" t="s">
        <v>15</v>
      </c>
    </row>
    <row r="3096" spans="1:12" x14ac:dyDescent="0.25">
      <c r="A3096" t="str">
        <f>"391222446"</f>
        <v>391222446</v>
      </c>
      <c r="B3096" t="str">
        <f t="shared" si="210"/>
        <v>89301000</v>
      </c>
      <c r="C3096" s="1">
        <v>44222</v>
      </c>
      <c r="D3096" s="1">
        <v>44223</v>
      </c>
      <c r="E3096">
        <v>1</v>
      </c>
      <c r="F3096" t="s">
        <v>2049</v>
      </c>
      <c r="G3096" t="str">
        <f>"06-M01-05"</f>
        <v>06-M01-05</v>
      </c>
      <c r="H3096">
        <v>0.41710000000000003</v>
      </c>
      <c r="I3096" t="s">
        <v>2050</v>
      </c>
      <c r="J3096" t="s">
        <v>14</v>
      </c>
      <c r="K3096" t="str">
        <f>"1F5"</f>
        <v>1F5</v>
      </c>
      <c r="L3096" t="s">
        <v>15</v>
      </c>
    </row>
    <row r="3097" spans="1:12" x14ac:dyDescent="0.25">
      <c r="A3097" t="str">
        <f>"391231417"</f>
        <v>391231417</v>
      </c>
      <c r="B3097" t="str">
        <f t="shared" si="210"/>
        <v>89301000</v>
      </c>
      <c r="C3097" s="1">
        <v>44495</v>
      </c>
      <c r="D3097" s="1">
        <v>44512</v>
      </c>
      <c r="E3097">
        <v>1</v>
      </c>
      <c r="F3097" t="s">
        <v>217</v>
      </c>
      <c r="G3097" t="str">
        <f>"04-K02-02"</f>
        <v>04-K02-02</v>
      </c>
      <c r="H3097">
        <v>2.6251000000000002</v>
      </c>
      <c r="I3097" t="s">
        <v>2051</v>
      </c>
      <c r="J3097" t="s">
        <v>14</v>
      </c>
      <c r="K3097" t="str">
        <f>"1T1"</f>
        <v>1T1</v>
      </c>
      <c r="L3097" t="s">
        <v>15</v>
      </c>
    </row>
    <row r="3098" spans="1:12" x14ac:dyDescent="0.25">
      <c r="A3098" t="str">
        <f>"395101469"</f>
        <v>395101469</v>
      </c>
      <c r="B3098" t="str">
        <f t="shared" si="210"/>
        <v>89301000</v>
      </c>
      <c r="C3098" s="1">
        <v>44501</v>
      </c>
      <c r="D3098" s="1">
        <v>44508</v>
      </c>
      <c r="E3098">
        <v>1</v>
      </c>
      <c r="F3098" t="s">
        <v>2052</v>
      </c>
      <c r="G3098" t="str">
        <f>"05-M02-03"</f>
        <v>05-M02-03</v>
      </c>
      <c r="H3098">
        <v>7.3468</v>
      </c>
      <c r="I3098" t="s">
        <v>2053</v>
      </c>
      <c r="J3098" t="s">
        <v>17</v>
      </c>
      <c r="K3098" t="str">
        <f>"5F1"</f>
        <v>5F1</v>
      </c>
      <c r="L3098" t="s">
        <v>15</v>
      </c>
    </row>
    <row r="3099" spans="1:12" x14ac:dyDescent="0.25">
      <c r="A3099" t="str">
        <f>"395119403"</f>
        <v>395119403</v>
      </c>
      <c r="B3099" t="str">
        <f t="shared" si="210"/>
        <v>89301000</v>
      </c>
      <c r="C3099" s="1">
        <v>44503</v>
      </c>
      <c r="D3099" s="1">
        <v>44505</v>
      </c>
      <c r="E3099">
        <v>1</v>
      </c>
      <c r="F3099" t="s">
        <v>1561</v>
      </c>
      <c r="G3099" t="str">
        <f>"07-M02-04"</f>
        <v>07-M02-04</v>
      </c>
      <c r="H3099">
        <v>0.79300000000000004</v>
      </c>
      <c r="I3099" t="s">
        <v>2054</v>
      </c>
      <c r="J3099" t="s">
        <v>17</v>
      </c>
      <c r="K3099" t="str">
        <f>"1F5"</f>
        <v>1F5</v>
      </c>
      <c r="L3099" t="s">
        <v>15</v>
      </c>
    </row>
    <row r="3100" spans="1:12" x14ac:dyDescent="0.25">
      <c r="A3100" t="str">
        <f>"395119403"</f>
        <v>395119403</v>
      </c>
      <c r="B3100" t="str">
        <f t="shared" si="210"/>
        <v>89301000</v>
      </c>
      <c r="C3100" s="1">
        <v>44494</v>
      </c>
      <c r="D3100" s="1">
        <v>44496</v>
      </c>
      <c r="E3100">
        <v>1</v>
      </c>
      <c r="F3100" t="s">
        <v>2055</v>
      </c>
      <c r="G3100" t="str">
        <f>"07-M02-04"</f>
        <v>07-M02-04</v>
      </c>
      <c r="H3100">
        <v>0.73929999999999996</v>
      </c>
      <c r="I3100" t="s">
        <v>2056</v>
      </c>
      <c r="J3100" t="s">
        <v>17</v>
      </c>
      <c r="K3100" t="str">
        <f>"1F5"</f>
        <v>1F5</v>
      </c>
      <c r="L3100" t="s">
        <v>15</v>
      </c>
    </row>
    <row r="3101" spans="1:12" x14ac:dyDescent="0.25">
      <c r="A3101" t="str">
        <f>"395119435"</f>
        <v>395119435</v>
      </c>
      <c r="B3101" t="str">
        <f t="shared" ref="B3101:B3163" si="214">"89301000"</f>
        <v>89301000</v>
      </c>
      <c r="C3101" s="1">
        <v>44343</v>
      </c>
      <c r="D3101" s="1">
        <v>44345</v>
      </c>
      <c r="E3101">
        <v>1</v>
      </c>
      <c r="F3101" t="s">
        <v>2057</v>
      </c>
      <c r="G3101" t="str">
        <f>"05-I14-04"</f>
        <v>05-I14-04</v>
      </c>
      <c r="H3101">
        <v>5.4002999999999997</v>
      </c>
      <c r="I3101" t="s">
        <v>2058</v>
      </c>
      <c r="J3101" t="s">
        <v>14</v>
      </c>
      <c r="K3101" t="str">
        <f>"1F7"</f>
        <v>1F7</v>
      </c>
      <c r="L3101" t="s">
        <v>15</v>
      </c>
    </row>
    <row r="3102" spans="1:12" x14ac:dyDescent="0.25">
      <c r="A3102" t="str">
        <f>"395119435"</f>
        <v>395119435</v>
      </c>
      <c r="B3102" t="str">
        <f t="shared" si="214"/>
        <v>89301000</v>
      </c>
      <c r="C3102" s="1">
        <v>44440</v>
      </c>
      <c r="D3102" s="1">
        <v>44474</v>
      </c>
      <c r="E3102">
        <v>5</v>
      </c>
      <c r="F3102" t="s">
        <v>1548</v>
      </c>
      <c r="G3102" t="str">
        <f>"05-K07-03"</f>
        <v>05-K07-03</v>
      </c>
      <c r="H3102">
        <v>2.4763999999999999</v>
      </c>
      <c r="I3102" t="s">
        <v>2059</v>
      </c>
      <c r="J3102" t="s">
        <v>14</v>
      </c>
      <c r="K3102" t="str">
        <f>"1F6"</f>
        <v>1F6</v>
      </c>
      <c r="L3102" t="s">
        <v>15</v>
      </c>
    </row>
    <row r="3103" spans="1:12" x14ac:dyDescent="0.25">
      <c r="A3103" t="str">
        <f>"395119435"</f>
        <v>395119435</v>
      </c>
      <c r="B3103" t="str">
        <f t="shared" si="214"/>
        <v>89301000</v>
      </c>
      <c r="C3103" s="1">
        <v>44357</v>
      </c>
      <c r="D3103" s="1">
        <v>44372</v>
      </c>
      <c r="E3103">
        <v>1</v>
      </c>
      <c r="F3103" t="s">
        <v>1557</v>
      </c>
      <c r="G3103" t="str">
        <f>"05-I16-04"</f>
        <v>05-I16-04</v>
      </c>
      <c r="H3103">
        <v>5.9733999999999998</v>
      </c>
      <c r="I3103" t="s">
        <v>1606</v>
      </c>
      <c r="J3103" t="s">
        <v>17</v>
      </c>
      <c r="K3103" t="str">
        <f>"5F5"</f>
        <v>5F5</v>
      </c>
      <c r="L3103" t="s">
        <v>15</v>
      </c>
    </row>
    <row r="3104" spans="1:12" x14ac:dyDescent="0.25">
      <c r="A3104" t="str">
        <f>"395119435"</f>
        <v>395119435</v>
      </c>
      <c r="B3104" t="str">
        <f t="shared" si="214"/>
        <v>89301000</v>
      </c>
      <c r="C3104" s="1">
        <v>44323</v>
      </c>
      <c r="D3104" s="1">
        <v>44327</v>
      </c>
      <c r="E3104">
        <v>1</v>
      </c>
      <c r="F3104" t="s">
        <v>1602</v>
      </c>
      <c r="G3104" t="str">
        <f>"05-K07-05"</f>
        <v>05-K07-05</v>
      </c>
      <c r="H3104">
        <v>0.81410000000000005</v>
      </c>
      <c r="I3104" t="s">
        <v>1650</v>
      </c>
      <c r="J3104" t="s">
        <v>14</v>
      </c>
      <c r="K3104" t="str">
        <f>"1F1"</f>
        <v>1F1</v>
      </c>
      <c r="L3104" t="s">
        <v>15</v>
      </c>
    </row>
    <row r="3105" spans="1:12" x14ac:dyDescent="0.25">
      <c r="A3105" t="str">
        <f>"395121443"</f>
        <v>395121443</v>
      </c>
      <c r="B3105" t="str">
        <f t="shared" si="214"/>
        <v>89301000</v>
      </c>
      <c r="C3105" s="1">
        <v>44213</v>
      </c>
      <c r="D3105" s="1">
        <v>44216</v>
      </c>
      <c r="E3105">
        <v>1</v>
      </c>
      <c r="F3105" t="s">
        <v>1555</v>
      </c>
      <c r="G3105" t="str">
        <f>"05-M07-06"</f>
        <v>05-M07-06</v>
      </c>
      <c r="H3105">
        <v>1.2513000000000001</v>
      </c>
      <c r="J3105" t="s">
        <v>17</v>
      </c>
      <c r="K3105" t="str">
        <f>"5F1"</f>
        <v>5F1</v>
      </c>
      <c r="L3105" t="s">
        <v>15</v>
      </c>
    </row>
    <row r="3106" spans="1:12" x14ac:dyDescent="0.25">
      <c r="A3106" t="str">
        <f>"395207429"</f>
        <v>395207429</v>
      </c>
      <c r="B3106" t="str">
        <f t="shared" si="214"/>
        <v>89301000</v>
      </c>
      <c r="C3106" s="1">
        <v>44209</v>
      </c>
      <c r="D3106" s="1">
        <v>44216</v>
      </c>
      <c r="E3106">
        <v>7</v>
      </c>
      <c r="F3106" t="s">
        <v>962</v>
      </c>
      <c r="G3106" t="str">
        <f>"04-M01-06"</f>
        <v>04-M01-06</v>
      </c>
      <c r="H3106">
        <v>3.5308999999999999</v>
      </c>
      <c r="I3106" t="s">
        <v>2060</v>
      </c>
      <c r="J3106" t="s">
        <v>14</v>
      </c>
      <c r="K3106" t="str">
        <f>"7T8"</f>
        <v>7T8</v>
      </c>
      <c r="L3106" t="s">
        <v>15</v>
      </c>
    </row>
    <row r="3107" spans="1:12" x14ac:dyDescent="0.25">
      <c r="A3107" t="str">
        <f>"395212022"</f>
        <v>395212022</v>
      </c>
      <c r="B3107" t="str">
        <f t="shared" si="214"/>
        <v>89301000</v>
      </c>
      <c r="C3107" s="1">
        <v>44415</v>
      </c>
      <c r="D3107" s="1">
        <v>44420</v>
      </c>
      <c r="E3107">
        <v>1</v>
      </c>
      <c r="F3107" t="s">
        <v>1873</v>
      </c>
      <c r="G3107" t="str">
        <f>"16-K02-03"</f>
        <v>16-K02-03</v>
      </c>
      <c r="H3107">
        <v>0.5302</v>
      </c>
      <c r="I3107" t="s">
        <v>2061</v>
      </c>
      <c r="J3107" t="s">
        <v>14</v>
      </c>
      <c r="K3107" t="str">
        <f>"1F1"</f>
        <v>1F1</v>
      </c>
      <c r="L3107" t="s">
        <v>15</v>
      </c>
    </row>
    <row r="3108" spans="1:12" x14ac:dyDescent="0.25">
      <c r="A3108" t="str">
        <f>"395212022"</f>
        <v>395212022</v>
      </c>
      <c r="B3108" t="str">
        <f t="shared" si="214"/>
        <v>89301000</v>
      </c>
      <c r="C3108" s="1">
        <v>44460</v>
      </c>
      <c r="D3108" s="1">
        <v>44474</v>
      </c>
      <c r="E3108">
        <v>1</v>
      </c>
      <c r="F3108" t="s">
        <v>2062</v>
      </c>
      <c r="G3108" t="str">
        <f>"06-M01-02"</f>
        <v>06-M01-02</v>
      </c>
      <c r="H3108">
        <v>2.6366000000000001</v>
      </c>
      <c r="I3108" t="s">
        <v>2063</v>
      </c>
      <c r="J3108" t="s">
        <v>14</v>
      </c>
      <c r="K3108" t="str">
        <f>"1F5"</f>
        <v>1F5</v>
      </c>
      <c r="L3108" t="s">
        <v>15</v>
      </c>
    </row>
    <row r="3109" spans="1:12" x14ac:dyDescent="0.25">
      <c r="A3109" t="str">
        <f>"395217419"</f>
        <v>395217419</v>
      </c>
      <c r="B3109" t="str">
        <f t="shared" si="214"/>
        <v>89301000</v>
      </c>
      <c r="C3109" s="1">
        <v>44264</v>
      </c>
      <c r="D3109" s="1">
        <v>44266</v>
      </c>
      <c r="E3109">
        <v>4</v>
      </c>
      <c r="F3109" t="s">
        <v>354</v>
      </c>
      <c r="G3109" t="str">
        <f>"10-K14-02"</f>
        <v>10-K14-02</v>
      </c>
      <c r="H3109">
        <v>0.70440000000000003</v>
      </c>
      <c r="I3109" t="s">
        <v>2064</v>
      </c>
      <c r="J3109" t="s">
        <v>14</v>
      </c>
      <c r="K3109" t="str">
        <f>"1F1"</f>
        <v>1F1</v>
      </c>
      <c r="L3109" t="s">
        <v>15</v>
      </c>
    </row>
    <row r="3110" spans="1:12" x14ac:dyDescent="0.25">
      <c r="A3110" t="str">
        <f>"395311427"</f>
        <v>395311427</v>
      </c>
      <c r="B3110" t="str">
        <f t="shared" si="214"/>
        <v>89301000</v>
      </c>
      <c r="C3110" s="1">
        <v>44410</v>
      </c>
      <c r="D3110" s="1">
        <v>44432</v>
      </c>
      <c r="E3110">
        <v>4</v>
      </c>
      <c r="F3110" t="s">
        <v>1643</v>
      </c>
      <c r="G3110" t="str">
        <f>"08-I05-07"</f>
        <v>08-I05-07</v>
      </c>
      <c r="H3110">
        <v>2.1379000000000001</v>
      </c>
      <c r="I3110" t="s">
        <v>2065</v>
      </c>
      <c r="J3110" t="s">
        <v>17</v>
      </c>
      <c r="K3110" t="str">
        <f>"1F6"</f>
        <v>1F6</v>
      </c>
      <c r="L3110" t="s">
        <v>15</v>
      </c>
    </row>
    <row r="3111" spans="1:12" x14ac:dyDescent="0.25">
      <c r="A3111" t="str">
        <f>"395329420"</f>
        <v>395329420</v>
      </c>
      <c r="B3111" t="str">
        <f t="shared" si="214"/>
        <v>89301000</v>
      </c>
      <c r="C3111" s="1">
        <v>44452</v>
      </c>
      <c r="D3111" s="1">
        <v>44456</v>
      </c>
      <c r="E3111">
        <v>4</v>
      </c>
      <c r="F3111" t="s">
        <v>1545</v>
      </c>
      <c r="G3111" t="str">
        <f>"05-K01-02"</f>
        <v>05-K01-02</v>
      </c>
      <c r="H3111">
        <v>1.0185999999999999</v>
      </c>
      <c r="I3111" t="s">
        <v>2066</v>
      </c>
      <c r="J3111" t="s">
        <v>14</v>
      </c>
      <c r="K3111" t="str">
        <f>"1F1"</f>
        <v>1F1</v>
      </c>
      <c r="L3111" t="s">
        <v>15</v>
      </c>
    </row>
    <row r="3112" spans="1:12" x14ac:dyDescent="0.25">
      <c r="A3112" t="str">
        <f>"395413462"</f>
        <v>395413462</v>
      </c>
      <c r="B3112" t="str">
        <f t="shared" si="214"/>
        <v>89301000</v>
      </c>
      <c r="C3112" s="1">
        <v>44339</v>
      </c>
      <c r="D3112" s="1">
        <v>44347</v>
      </c>
      <c r="E3112">
        <v>1</v>
      </c>
      <c r="F3112" t="s">
        <v>1553</v>
      </c>
      <c r="G3112" t="str">
        <f>"04-K05-03"</f>
        <v>04-K05-03</v>
      </c>
      <c r="H3112">
        <v>0.74980000000000002</v>
      </c>
      <c r="I3112" t="s">
        <v>2067</v>
      </c>
      <c r="J3112" t="s">
        <v>14</v>
      </c>
      <c r="K3112" t="str">
        <f>"1F1"</f>
        <v>1F1</v>
      </c>
      <c r="L3112" t="s">
        <v>15</v>
      </c>
    </row>
    <row r="3113" spans="1:12" x14ac:dyDescent="0.25">
      <c r="A3113" t="str">
        <f>"395420023"</f>
        <v>395420023</v>
      </c>
      <c r="B3113" t="str">
        <f t="shared" si="214"/>
        <v>89301000</v>
      </c>
      <c r="C3113" s="1">
        <v>44532</v>
      </c>
      <c r="D3113" s="1">
        <v>44533</v>
      </c>
      <c r="E3113">
        <v>1</v>
      </c>
      <c r="F3113" t="s">
        <v>2068</v>
      </c>
      <c r="G3113" t="str">
        <f>"02-I06-02"</f>
        <v>02-I06-02</v>
      </c>
      <c r="H3113">
        <v>0.90300000000000002</v>
      </c>
      <c r="I3113" t="s">
        <v>1959</v>
      </c>
      <c r="J3113" t="s">
        <v>17</v>
      </c>
      <c r="K3113" t="str">
        <f>"5F3"</f>
        <v>5F3</v>
      </c>
      <c r="L3113" t="s">
        <v>15</v>
      </c>
    </row>
    <row r="3114" spans="1:12" x14ac:dyDescent="0.25">
      <c r="A3114" t="str">
        <f>"395502436"</f>
        <v>395502436</v>
      </c>
      <c r="B3114" t="str">
        <f t="shared" si="214"/>
        <v>89301000</v>
      </c>
      <c r="C3114" s="1">
        <v>44190</v>
      </c>
      <c r="D3114" s="1">
        <v>44201</v>
      </c>
      <c r="E3114">
        <v>1</v>
      </c>
      <c r="F3114" t="s">
        <v>1863</v>
      </c>
      <c r="G3114" t="str">
        <f>"07-M02-02"</f>
        <v>07-M02-02</v>
      </c>
      <c r="H3114">
        <v>2.6406999999999998</v>
      </c>
      <c r="I3114" t="s">
        <v>2069</v>
      </c>
      <c r="J3114" t="s">
        <v>17</v>
      </c>
      <c r="K3114" t="str">
        <f>"1F5"</f>
        <v>1F5</v>
      </c>
      <c r="L3114" t="s">
        <v>15</v>
      </c>
    </row>
    <row r="3115" spans="1:12" x14ac:dyDescent="0.25">
      <c r="A3115" t="str">
        <f>"395610435"</f>
        <v>395610435</v>
      </c>
      <c r="B3115" t="str">
        <f t="shared" si="214"/>
        <v>89301000</v>
      </c>
      <c r="C3115" s="1">
        <v>44320</v>
      </c>
      <c r="D3115" s="1">
        <v>44323</v>
      </c>
      <c r="E3115">
        <v>1</v>
      </c>
      <c r="F3115" t="s">
        <v>416</v>
      </c>
      <c r="G3115" t="str">
        <f>"10-K12-03"</f>
        <v>10-K12-03</v>
      </c>
      <c r="H3115">
        <v>0.50629999999999997</v>
      </c>
      <c r="I3115" t="s">
        <v>2070</v>
      </c>
      <c r="J3115" t="s">
        <v>14</v>
      </c>
      <c r="K3115" t="str">
        <f>"1F1"</f>
        <v>1F1</v>
      </c>
      <c r="L3115" t="s">
        <v>15</v>
      </c>
    </row>
    <row r="3116" spans="1:12" x14ac:dyDescent="0.25">
      <c r="A3116" t="str">
        <f>"395621955"</f>
        <v>395621955</v>
      </c>
      <c r="B3116" t="str">
        <f t="shared" si="214"/>
        <v>89301000</v>
      </c>
      <c r="C3116" s="1">
        <v>44478</v>
      </c>
      <c r="D3116" s="1">
        <v>44482</v>
      </c>
      <c r="E3116">
        <v>4</v>
      </c>
      <c r="F3116" t="s">
        <v>1878</v>
      </c>
      <c r="G3116" t="str">
        <f>"10-K12-03"</f>
        <v>10-K12-03</v>
      </c>
      <c r="H3116">
        <v>0.50629999999999997</v>
      </c>
      <c r="I3116" t="s">
        <v>2071</v>
      </c>
      <c r="J3116" t="s">
        <v>14</v>
      </c>
      <c r="K3116" t="str">
        <f>"1F1"</f>
        <v>1F1</v>
      </c>
      <c r="L3116" t="s">
        <v>15</v>
      </c>
    </row>
    <row r="3117" spans="1:12" x14ac:dyDescent="0.25">
      <c r="A3117" t="str">
        <f>"395621955"</f>
        <v>395621955</v>
      </c>
      <c r="B3117" t="str">
        <f t="shared" si="214"/>
        <v>89301000</v>
      </c>
      <c r="C3117" s="1">
        <v>44426</v>
      </c>
      <c r="D3117" s="1">
        <v>44428</v>
      </c>
      <c r="E3117">
        <v>4</v>
      </c>
      <c r="F3117" t="s">
        <v>1878</v>
      </c>
      <c r="G3117" t="str">
        <f>"10-K12-03"</f>
        <v>10-K12-03</v>
      </c>
      <c r="H3117">
        <v>0.50629999999999997</v>
      </c>
      <c r="I3117" t="s">
        <v>2072</v>
      </c>
      <c r="J3117" t="s">
        <v>14</v>
      </c>
      <c r="K3117" t="str">
        <f>"1F1"</f>
        <v>1F1</v>
      </c>
      <c r="L3117" t="s">
        <v>15</v>
      </c>
    </row>
    <row r="3118" spans="1:12" x14ac:dyDescent="0.25">
      <c r="A3118" t="str">
        <f>"395625429"</f>
        <v>395625429</v>
      </c>
      <c r="B3118" t="str">
        <f t="shared" si="214"/>
        <v>89301000</v>
      </c>
      <c r="C3118" s="1">
        <v>44506</v>
      </c>
      <c r="D3118" s="1">
        <v>44511</v>
      </c>
      <c r="E3118">
        <v>5</v>
      </c>
      <c r="F3118" t="s">
        <v>67</v>
      </c>
      <c r="G3118" t="str">
        <f>"01-C02-01"</f>
        <v>01-C02-01</v>
      </c>
      <c r="H3118">
        <v>2.4643000000000002</v>
      </c>
      <c r="I3118" t="s">
        <v>2073</v>
      </c>
      <c r="J3118" t="s">
        <v>14</v>
      </c>
      <c r="K3118" t="str">
        <f>"2T9"</f>
        <v>2T9</v>
      </c>
      <c r="L3118" t="s">
        <v>15</v>
      </c>
    </row>
    <row r="3119" spans="1:12" x14ac:dyDescent="0.25">
      <c r="A3119" t="str">
        <f>"395703427"</f>
        <v>395703427</v>
      </c>
      <c r="B3119" t="str">
        <f t="shared" si="214"/>
        <v>89301000</v>
      </c>
      <c r="C3119" s="1">
        <v>44557</v>
      </c>
      <c r="D3119" s="1">
        <v>44558</v>
      </c>
      <c r="E3119">
        <v>1</v>
      </c>
      <c r="F3119" t="s">
        <v>1579</v>
      </c>
      <c r="G3119" t="str">
        <f>"05-I25-03"</f>
        <v>05-I25-03</v>
      </c>
      <c r="H3119">
        <v>1.5508</v>
      </c>
      <c r="I3119" t="s">
        <v>1959</v>
      </c>
      <c r="J3119" t="s">
        <v>17</v>
      </c>
      <c r="K3119" t="str">
        <f>"1F1"</f>
        <v>1F1</v>
      </c>
      <c r="L3119" t="s">
        <v>15</v>
      </c>
    </row>
    <row r="3120" spans="1:12" x14ac:dyDescent="0.25">
      <c r="A3120" t="str">
        <f>"395719438"</f>
        <v>395719438</v>
      </c>
      <c r="B3120" t="str">
        <f t="shared" si="214"/>
        <v>89301000</v>
      </c>
      <c r="C3120" s="1">
        <v>44424</v>
      </c>
      <c r="D3120" s="1">
        <v>44427</v>
      </c>
      <c r="E3120">
        <v>1</v>
      </c>
      <c r="F3120" t="s">
        <v>1551</v>
      </c>
      <c r="G3120" t="str">
        <f>"09-I06-03"</f>
        <v>09-I06-03</v>
      </c>
      <c r="H3120">
        <v>1.4382999999999999</v>
      </c>
      <c r="I3120" t="s">
        <v>2074</v>
      </c>
      <c r="J3120" t="s">
        <v>17</v>
      </c>
      <c r="K3120" t="str">
        <f>"5F1"</f>
        <v>5F1</v>
      </c>
      <c r="L3120" t="s">
        <v>15</v>
      </c>
    </row>
    <row r="3121" spans="1:12" x14ac:dyDescent="0.25">
      <c r="A3121" t="str">
        <f>"395805458"</f>
        <v>395805458</v>
      </c>
      <c r="B3121" t="str">
        <f t="shared" si="214"/>
        <v>89301000</v>
      </c>
      <c r="C3121" s="1">
        <v>44502</v>
      </c>
      <c r="D3121" s="1">
        <v>44504</v>
      </c>
      <c r="E3121">
        <v>1</v>
      </c>
      <c r="F3121" t="s">
        <v>1928</v>
      </c>
      <c r="G3121" t="str">
        <f>"11-I16-02"</f>
        <v>11-I16-02</v>
      </c>
      <c r="H3121">
        <v>0.49480000000000002</v>
      </c>
      <c r="I3121" t="s">
        <v>2075</v>
      </c>
      <c r="J3121" t="s">
        <v>14</v>
      </c>
      <c r="K3121" t="str">
        <f>"5F1"</f>
        <v>5F1</v>
      </c>
      <c r="L3121" t="s">
        <v>15</v>
      </c>
    </row>
    <row r="3122" spans="1:12" x14ac:dyDescent="0.25">
      <c r="A3122" t="str">
        <f>"395816429"</f>
        <v>395816429</v>
      </c>
      <c r="B3122" t="str">
        <f t="shared" si="214"/>
        <v>89301000</v>
      </c>
      <c r="C3122" s="1">
        <v>44439</v>
      </c>
      <c r="D3122" s="1">
        <v>44447</v>
      </c>
      <c r="E3122">
        <v>1</v>
      </c>
      <c r="F3122" t="s">
        <v>2076</v>
      </c>
      <c r="G3122" t="str">
        <f>"10-K05-01"</f>
        <v>10-K05-01</v>
      </c>
      <c r="H3122">
        <v>0.98480000000000001</v>
      </c>
      <c r="I3122" t="s">
        <v>2077</v>
      </c>
      <c r="J3122" t="s">
        <v>14</v>
      </c>
      <c r="K3122" t="str">
        <f>"1F1"</f>
        <v>1F1</v>
      </c>
      <c r="L3122" t="s">
        <v>15</v>
      </c>
    </row>
    <row r="3123" spans="1:12" x14ac:dyDescent="0.25">
      <c r="A3123" t="str">
        <f>"395816429"</f>
        <v>395816429</v>
      </c>
      <c r="B3123" t="str">
        <f t="shared" si="214"/>
        <v>89301000</v>
      </c>
      <c r="C3123" s="1">
        <v>44242</v>
      </c>
      <c r="D3123" s="1">
        <v>44245</v>
      </c>
      <c r="E3123">
        <v>4</v>
      </c>
      <c r="F3123" t="s">
        <v>354</v>
      </c>
      <c r="G3123" t="str">
        <f>"10-K14-01"</f>
        <v>10-K14-01</v>
      </c>
      <c r="H3123">
        <v>1.4377</v>
      </c>
      <c r="I3123" t="s">
        <v>2078</v>
      </c>
      <c r="J3123" t="s">
        <v>14</v>
      </c>
      <c r="K3123" t="str">
        <f>"1F1"</f>
        <v>1F1</v>
      </c>
      <c r="L3123" t="s">
        <v>15</v>
      </c>
    </row>
    <row r="3124" spans="1:12" x14ac:dyDescent="0.25">
      <c r="A3124" t="str">
        <f>"395904443"</f>
        <v>395904443</v>
      </c>
      <c r="B3124" t="str">
        <f t="shared" si="214"/>
        <v>89301000</v>
      </c>
      <c r="C3124" s="1">
        <v>44239</v>
      </c>
      <c r="D3124" s="1">
        <v>44246</v>
      </c>
      <c r="E3124">
        <v>1</v>
      </c>
      <c r="F3124" t="s">
        <v>2079</v>
      </c>
      <c r="G3124" t="str">
        <f>"01-K03-07"</f>
        <v>01-K03-07</v>
      </c>
      <c r="H3124">
        <v>0.60250000000000004</v>
      </c>
      <c r="I3124" t="s">
        <v>2080</v>
      </c>
      <c r="J3124" t="s">
        <v>14</v>
      </c>
      <c r="K3124" t="str">
        <f>"2F9"</f>
        <v>2F9</v>
      </c>
      <c r="L3124" t="s">
        <v>15</v>
      </c>
    </row>
    <row r="3125" spans="1:12" x14ac:dyDescent="0.25">
      <c r="A3125" t="str">
        <f>"396010426"</f>
        <v>396010426</v>
      </c>
      <c r="B3125" t="str">
        <f t="shared" si="214"/>
        <v>89301000</v>
      </c>
      <c r="C3125" s="1">
        <v>44200</v>
      </c>
      <c r="D3125" s="1">
        <v>44200</v>
      </c>
      <c r="E3125">
        <v>4</v>
      </c>
      <c r="F3125" t="s">
        <v>792</v>
      </c>
      <c r="G3125" t="str">
        <f>"11-K14-03"</f>
        <v>11-K14-03</v>
      </c>
      <c r="H3125">
        <v>0.1565</v>
      </c>
      <c r="I3125" t="s">
        <v>2081</v>
      </c>
      <c r="J3125" t="s">
        <v>14</v>
      </c>
      <c r="K3125" t="str">
        <f>"7F6"</f>
        <v>7F6</v>
      </c>
      <c r="L3125" t="s">
        <v>15</v>
      </c>
    </row>
    <row r="3126" spans="1:12" x14ac:dyDescent="0.25">
      <c r="A3126" t="str">
        <f>"396013469"</f>
        <v>396013469</v>
      </c>
      <c r="B3126" t="str">
        <f t="shared" si="214"/>
        <v>89301000</v>
      </c>
      <c r="C3126" s="1">
        <v>44377</v>
      </c>
      <c r="D3126" s="1">
        <v>44381</v>
      </c>
      <c r="E3126">
        <v>1</v>
      </c>
      <c r="F3126" t="s">
        <v>2082</v>
      </c>
      <c r="G3126" t="str">
        <f>"03-I19-03"</f>
        <v>03-I19-03</v>
      </c>
      <c r="H3126">
        <v>0.60699999999999998</v>
      </c>
      <c r="I3126" t="s">
        <v>2083</v>
      </c>
      <c r="J3126" t="s">
        <v>14</v>
      </c>
      <c r="K3126" t="str">
        <f>"6F5"</f>
        <v>6F5</v>
      </c>
      <c r="L3126" t="s">
        <v>15</v>
      </c>
    </row>
    <row r="3127" spans="1:12" x14ac:dyDescent="0.25">
      <c r="A3127" t="str">
        <f>"396014703"</f>
        <v>396014703</v>
      </c>
      <c r="B3127" t="str">
        <f t="shared" si="214"/>
        <v>89301000</v>
      </c>
      <c r="C3127" s="1">
        <v>44406</v>
      </c>
      <c r="D3127" s="1">
        <v>44407</v>
      </c>
      <c r="E3127">
        <v>1</v>
      </c>
      <c r="F3127" t="s">
        <v>1557</v>
      </c>
      <c r="G3127" t="str">
        <f>"05-D01-08"</f>
        <v>05-D01-08</v>
      </c>
      <c r="H3127">
        <v>0.4093</v>
      </c>
      <c r="J3127" t="s">
        <v>14</v>
      </c>
      <c r="K3127" t="str">
        <f>"1F7"</f>
        <v>1F7</v>
      </c>
      <c r="L3127" t="s">
        <v>15</v>
      </c>
    </row>
    <row r="3128" spans="1:12" x14ac:dyDescent="0.25">
      <c r="A3128" t="str">
        <f>"396023707"</f>
        <v>396023707</v>
      </c>
      <c r="B3128" t="str">
        <f t="shared" si="214"/>
        <v>89301000</v>
      </c>
      <c r="C3128" s="1">
        <v>44230</v>
      </c>
      <c r="D3128" s="1">
        <v>44238</v>
      </c>
      <c r="E3128">
        <v>1</v>
      </c>
      <c r="F3128" t="s">
        <v>144</v>
      </c>
      <c r="G3128" t="str">
        <f>"04-K10-01"</f>
        <v>04-K10-01</v>
      </c>
      <c r="H3128">
        <v>0.876</v>
      </c>
      <c r="I3128" t="s">
        <v>2084</v>
      </c>
      <c r="J3128" t="s">
        <v>14</v>
      </c>
      <c r="K3128" t="str">
        <f>"2F5"</f>
        <v>2F5</v>
      </c>
      <c r="L3128" t="s">
        <v>15</v>
      </c>
    </row>
    <row r="3129" spans="1:12" x14ac:dyDescent="0.25">
      <c r="A3129" t="str">
        <f>"396023707"</f>
        <v>396023707</v>
      </c>
      <c r="B3129" t="str">
        <f t="shared" si="214"/>
        <v>89301000</v>
      </c>
      <c r="C3129" s="1">
        <v>44435</v>
      </c>
      <c r="D3129" s="1">
        <v>44440</v>
      </c>
      <c r="E3129">
        <v>1</v>
      </c>
      <c r="F3129" t="s">
        <v>1914</v>
      </c>
      <c r="G3129" t="str">
        <f>"04-K09-03"</f>
        <v>04-K09-03</v>
      </c>
      <c r="H3129">
        <v>0.62749999999999995</v>
      </c>
      <c r="I3129" t="s">
        <v>2085</v>
      </c>
      <c r="J3129" t="s">
        <v>14</v>
      </c>
      <c r="K3129" t="str">
        <f>"2F5"</f>
        <v>2F5</v>
      </c>
      <c r="L3129" t="s">
        <v>15</v>
      </c>
    </row>
    <row r="3130" spans="1:12" x14ac:dyDescent="0.25">
      <c r="A3130" t="str">
        <f>"396023707"</f>
        <v>396023707</v>
      </c>
      <c r="B3130" t="str">
        <f t="shared" si="214"/>
        <v>89301000</v>
      </c>
      <c r="C3130" s="1">
        <v>44389</v>
      </c>
      <c r="D3130" s="1">
        <v>44393</v>
      </c>
      <c r="E3130">
        <v>1</v>
      </c>
      <c r="F3130" t="s">
        <v>144</v>
      </c>
      <c r="G3130" t="str">
        <f>"04-K10-01"</f>
        <v>04-K10-01</v>
      </c>
      <c r="H3130">
        <v>0.876</v>
      </c>
      <c r="I3130" t="s">
        <v>2084</v>
      </c>
      <c r="J3130" t="s">
        <v>14</v>
      </c>
      <c r="K3130" t="str">
        <f>"2F5"</f>
        <v>2F5</v>
      </c>
      <c r="L3130" t="s">
        <v>15</v>
      </c>
    </row>
    <row r="3131" spans="1:12" x14ac:dyDescent="0.25">
      <c r="A3131" t="str">
        <f>"396024091"</f>
        <v>396024091</v>
      </c>
      <c r="B3131" t="str">
        <f t="shared" si="214"/>
        <v>89301000</v>
      </c>
      <c r="C3131" s="1">
        <v>44541</v>
      </c>
      <c r="D3131" s="1">
        <v>44547</v>
      </c>
      <c r="E3131">
        <v>1</v>
      </c>
      <c r="F3131" t="s">
        <v>1690</v>
      </c>
      <c r="G3131" t="str">
        <f>"07-K05-02"</f>
        <v>07-K05-02</v>
      </c>
      <c r="H3131">
        <v>0.79679999999999995</v>
      </c>
      <c r="I3131" t="s">
        <v>2086</v>
      </c>
      <c r="J3131" t="s">
        <v>14</v>
      </c>
      <c r="K3131" t="str">
        <f>"1F1"</f>
        <v>1F1</v>
      </c>
      <c r="L3131" t="s">
        <v>15</v>
      </c>
    </row>
    <row r="3132" spans="1:12" x14ac:dyDescent="0.25">
      <c r="A3132" t="str">
        <f>"396024091"</f>
        <v>396024091</v>
      </c>
      <c r="B3132" t="str">
        <f t="shared" si="214"/>
        <v>89301000</v>
      </c>
      <c r="C3132" s="1">
        <v>44332</v>
      </c>
      <c r="D3132" s="1">
        <v>44334</v>
      </c>
      <c r="E3132">
        <v>1</v>
      </c>
      <c r="F3132" t="s">
        <v>1553</v>
      </c>
      <c r="G3132" t="str">
        <f>"04-K05-03"</f>
        <v>04-K05-03</v>
      </c>
      <c r="H3132">
        <v>0.74980000000000002</v>
      </c>
      <c r="J3132" t="s">
        <v>14</v>
      </c>
      <c r="K3132" t="str">
        <f>"1F7"</f>
        <v>1F7</v>
      </c>
      <c r="L3132" t="s">
        <v>15</v>
      </c>
    </row>
    <row r="3133" spans="1:12" x14ac:dyDescent="0.25">
      <c r="A3133" t="str">
        <f>"396027401"</f>
        <v>396027401</v>
      </c>
      <c r="B3133" t="str">
        <f t="shared" si="214"/>
        <v>89301000</v>
      </c>
      <c r="C3133" s="1">
        <v>44454</v>
      </c>
      <c r="D3133" s="1">
        <v>44456</v>
      </c>
      <c r="E3133">
        <v>1</v>
      </c>
      <c r="F3133" t="s">
        <v>609</v>
      </c>
      <c r="G3133" t="str">
        <f>"08-I16-02"</f>
        <v>08-I16-02</v>
      </c>
      <c r="H3133">
        <v>1.8051999999999999</v>
      </c>
      <c r="I3133" t="s">
        <v>381</v>
      </c>
      <c r="J3133" t="s">
        <v>17</v>
      </c>
      <c r="K3133" t="str">
        <f>"5F3"</f>
        <v>5F3</v>
      </c>
      <c r="L3133" t="s">
        <v>15</v>
      </c>
    </row>
    <row r="3134" spans="1:12" x14ac:dyDescent="0.25">
      <c r="A3134" t="str">
        <f>"396121417"</f>
        <v>396121417</v>
      </c>
      <c r="B3134" t="str">
        <f t="shared" si="214"/>
        <v>89301000</v>
      </c>
      <c r="C3134" s="1">
        <v>44554</v>
      </c>
      <c r="D3134" s="1">
        <v>44559</v>
      </c>
      <c r="E3134">
        <v>1</v>
      </c>
      <c r="F3134" t="s">
        <v>720</v>
      </c>
      <c r="G3134" t="str">
        <f>"06-K02-04"</f>
        <v>06-K02-04</v>
      </c>
      <c r="H3134">
        <v>0.3634</v>
      </c>
      <c r="I3134" t="s">
        <v>2087</v>
      </c>
      <c r="J3134" t="s">
        <v>14</v>
      </c>
      <c r="K3134" t="str">
        <f>"1F1"</f>
        <v>1F1</v>
      </c>
      <c r="L3134" t="s">
        <v>15</v>
      </c>
    </row>
    <row r="3135" spans="1:12" x14ac:dyDescent="0.25">
      <c r="A3135" t="str">
        <f>"396126430"</f>
        <v>396126430</v>
      </c>
      <c r="B3135" t="str">
        <f t="shared" si="214"/>
        <v>89301000</v>
      </c>
      <c r="C3135" s="1">
        <v>44440</v>
      </c>
      <c r="D3135" s="1">
        <v>44441</v>
      </c>
      <c r="E3135">
        <v>1</v>
      </c>
      <c r="F3135" t="s">
        <v>1557</v>
      </c>
      <c r="G3135" t="str">
        <f>"05-M06-08"</f>
        <v>05-M06-08</v>
      </c>
      <c r="H3135">
        <v>1.4719</v>
      </c>
      <c r="I3135" t="s">
        <v>2088</v>
      </c>
      <c r="J3135" t="s">
        <v>17</v>
      </c>
      <c r="K3135" t="str">
        <f>"1F1"</f>
        <v>1F1</v>
      </c>
      <c r="L3135" t="s">
        <v>15</v>
      </c>
    </row>
    <row r="3136" spans="1:12" x14ac:dyDescent="0.25">
      <c r="A3136" t="str">
        <f>"396126430"</f>
        <v>396126430</v>
      </c>
      <c r="B3136" t="str">
        <f t="shared" si="214"/>
        <v>89301000</v>
      </c>
      <c r="C3136" s="1">
        <v>44361</v>
      </c>
      <c r="D3136" s="1">
        <v>44369</v>
      </c>
      <c r="E3136">
        <v>1</v>
      </c>
      <c r="F3136" t="s">
        <v>2089</v>
      </c>
      <c r="G3136" t="str">
        <f>"08-K08-00"</f>
        <v>08-K08-00</v>
      </c>
      <c r="H3136">
        <v>0.51670000000000005</v>
      </c>
      <c r="I3136" t="s">
        <v>2090</v>
      </c>
      <c r="J3136" t="s">
        <v>14</v>
      </c>
      <c r="K3136" t="str">
        <f>"1F9"</f>
        <v>1F9</v>
      </c>
      <c r="L3136" t="s">
        <v>15</v>
      </c>
    </row>
    <row r="3137" spans="1:12" x14ac:dyDescent="0.25">
      <c r="A3137" t="str">
        <f>"396206437"</f>
        <v>396206437</v>
      </c>
      <c r="B3137" t="str">
        <f t="shared" si="214"/>
        <v>89301000</v>
      </c>
      <c r="C3137" s="1">
        <v>44550</v>
      </c>
      <c r="D3137" s="1">
        <v>44552</v>
      </c>
      <c r="E3137">
        <v>1</v>
      </c>
      <c r="F3137" t="s">
        <v>146</v>
      </c>
      <c r="G3137" t="str">
        <f>"17-K05-02"</f>
        <v>17-K05-02</v>
      </c>
      <c r="H3137">
        <v>0.94220000000000004</v>
      </c>
      <c r="I3137" t="s">
        <v>2091</v>
      </c>
      <c r="J3137" t="s">
        <v>14</v>
      </c>
      <c r="K3137" t="str">
        <f>"2F2"</f>
        <v>2F2</v>
      </c>
      <c r="L3137" t="s">
        <v>15</v>
      </c>
    </row>
    <row r="3138" spans="1:12" x14ac:dyDescent="0.25">
      <c r="A3138" t="str">
        <f>"396222446"</f>
        <v>396222446</v>
      </c>
      <c r="B3138" t="str">
        <f t="shared" si="214"/>
        <v>89301000</v>
      </c>
      <c r="C3138" s="1">
        <v>44205</v>
      </c>
      <c r="D3138" s="1">
        <v>44222</v>
      </c>
      <c r="E3138">
        <v>4</v>
      </c>
      <c r="F3138" t="s">
        <v>1643</v>
      </c>
      <c r="G3138" t="str">
        <f>"08-I05-07"</f>
        <v>08-I05-07</v>
      </c>
      <c r="H3138">
        <v>1.9537</v>
      </c>
      <c r="I3138" t="s">
        <v>2092</v>
      </c>
      <c r="J3138" t="s">
        <v>17</v>
      </c>
      <c r="K3138" t="str">
        <f>"6F6"</f>
        <v>6F6</v>
      </c>
      <c r="L3138" t="s">
        <v>15</v>
      </c>
    </row>
    <row r="3139" spans="1:12" x14ac:dyDescent="0.25">
      <c r="A3139" t="str">
        <f>"396222446"</f>
        <v>396222446</v>
      </c>
      <c r="B3139" t="str">
        <f t="shared" si="214"/>
        <v>89301000</v>
      </c>
      <c r="C3139" s="1">
        <v>44369</v>
      </c>
      <c r="D3139" s="1">
        <v>44372</v>
      </c>
      <c r="E3139">
        <v>1</v>
      </c>
      <c r="F3139" t="s">
        <v>1980</v>
      </c>
      <c r="G3139" t="str">
        <f>"06-K22-02"</f>
        <v>06-K22-02</v>
      </c>
      <c r="H3139">
        <v>0.58020000000000005</v>
      </c>
      <c r="I3139" t="s">
        <v>2093</v>
      </c>
      <c r="J3139" t="s">
        <v>14</v>
      </c>
      <c r="K3139" t="str">
        <f>"2F5"</f>
        <v>2F5</v>
      </c>
      <c r="L3139" t="s">
        <v>15</v>
      </c>
    </row>
    <row r="3140" spans="1:12" x14ac:dyDescent="0.25">
      <c r="A3140" t="str">
        <f>"396230446"</f>
        <v>396230446</v>
      </c>
      <c r="B3140" t="str">
        <f t="shared" si="214"/>
        <v>89301000</v>
      </c>
      <c r="C3140" s="1">
        <v>44333</v>
      </c>
      <c r="D3140" s="1">
        <v>44334</v>
      </c>
      <c r="E3140">
        <v>1</v>
      </c>
      <c r="F3140" t="s">
        <v>1962</v>
      </c>
      <c r="G3140" t="str">
        <f>"04-K15-03"</f>
        <v>04-K15-03</v>
      </c>
      <c r="H3140">
        <v>0.49009999999999998</v>
      </c>
      <c r="I3140" t="s">
        <v>2036</v>
      </c>
      <c r="J3140" t="s">
        <v>14</v>
      </c>
      <c r="K3140" t="str">
        <f>"1F7"</f>
        <v>1F7</v>
      </c>
      <c r="L3140" t="s">
        <v>15</v>
      </c>
    </row>
    <row r="3141" spans="1:12" x14ac:dyDescent="0.25">
      <c r="A3141" t="str">
        <f>"400111468"</f>
        <v>400111468</v>
      </c>
      <c r="B3141" t="str">
        <f t="shared" si="214"/>
        <v>89301000</v>
      </c>
      <c r="C3141" s="1">
        <v>44273</v>
      </c>
      <c r="D3141" s="1">
        <v>44277</v>
      </c>
      <c r="E3141">
        <v>1</v>
      </c>
      <c r="F3141" t="s">
        <v>217</v>
      </c>
      <c r="G3141" t="str">
        <f>"04-K02-03"</f>
        <v>04-K02-03</v>
      </c>
      <c r="H3141">
        <v>1.2859</v>
      </c>
      <c r="I3141" t="s">
        <v>2094</v>
      </c>
      <c r="J3141" t="s">
        <v>14</v>
      </c>
      <c r="K3141" t="str">
        <f>"7F6"</f>
        <v>7F6</v>
      </c>
      <c r="L3141" t="s">
        <v>15</v>
      </c>
    </row>
    <row r="3142" spans="1:12" x14ac:dyDescent="0.25">
      <c r="A3142" t="str">
        <f>"400113075"</f>
        <v>400113075</v>
      </c>
      <c r="B3142" t="str">
        <f t="shared" si="214"/>
        <v>89301000</v>
      </c>
      <c r="C3142" s="1">
        <v>44446</v>
      </c>
      <c r="D3142" s="1">
        <v>44487</v>
      </c>
      <c r="E3142">
        <v>4</v>
      </c>
      <c r="F3142" t="s">
        <v>2095</v>
      </c>
      <c r="G3142" t="str">
        <f>"06-K04-02"</f>
        <v>06-K04-02</v>
      </c>
      <c r="H3142">
        <v>2.8921000000000001</v>
      </c>
      <c r="I3142" t="s">
        <v>2096</v>
      </c>
      <c r="J3142" t="s">
        <v>14</v>
      </c>
      <c r="K3142" t="str">
        <f>"1F5"</f>
        <v>1F5</v>
      </c>
      <c r="L3142" t="s">
        <v>15</v>
      </c>
    </row>
    <row r="3143" spans="1:12" x14ac:dyDescent="0.25">
      <c r="A3143" t="str">
        <f>"400113483"</f>
        <v>400113483</v>
      </c>
      <c r="B3143" t="str">
        <f t="shared" si="214"/>
        <v>89301000</v>
      </c>
      <c r="C3143" s="1">
        <v>44281</v>
      </c>
      <c r="D3143" s="1">
        <v>44295</v>
      </c>
      <c r="E3143">
        <v>4</v>
      </c>
      <c r="F3143" t="s">
        <v>1553</v>
      </c>
      <c r="G3143" t="str">
        <f>"04-K05-03"</f>
        <v>04-K05-03</v>
      </c>
      <c r="H3143">
        <v>0.93689999999999996</v>
      </c>
      <c r="I3143" t="s">
        <v>2097</v>
      </c>
      <c r="J3143" t="s">
        <v>14</v>
      </c>
      <c r="K3143" t="str">
        <f>"1F6"</f>
        <v>1F6</v>
      </c>
      <c r="L3143" t="s">
        <v>15</v>
      </c>
    </row>
    <row r="3144" spans="1:12" x14ac:dyDescent="0.25">
      <c r="A3144" t="str">
        <f>"400117404"</f>
        <v>400117404</v>
      </c>
      <c r="B3144" t="str">
        <f t="shared" si="214"/>
        <v>89301000</v>
      </c>
      <c r="C3144" s="1">
        <v>44326</v>
      </c>
      <c r="D3144" s="1">
        <v>44329</v>
      </c>
      <c r="E3144">
        <v>1</v>
      </c>
      <c r="F3144" t="s">
        <v>2068</v>
      </c>
      <c r="G3144" t="str">
        <f>"02-I06-02"</f>
        <v>02-I06-02</v>
      </c>
      <c r="H3144">
        <v>0.90300000000000002</v>
      </c>
      <c r="I3144" t="s">
        <v>563</v>
      </c>
      <c r="J3144" t="s">
        <v>17</v>
      </c>
      <c r="K3144" t="str">
        <f>"7F5"</f>
        <v>7F5</v>
      </c>
      <c r="L3144" t="s">
        <v>15</v>
      </c>
    </row>
    <row r="3145" spans="1:12" x14ac:dyDescent="0.25">
      <c r="A3145" t="str">
        <f>"400117404"</f>
        <v>400117404</v>
      </c>
      <c r="B3145" t="str">
        <f t="shared" si="214"/>
        <v>89301000</v>
      </c>
      <c r="C3145" s="1">
        <v>44361</v>
      </c>
      <c r="D3145" s="1">
        <v>44363</v>
      </c>
      <c r="E3145">
        <v>1</v>
      </c>
      <c r="F3145" t="s">
        <v>2068</v>
      </c>
      <c r="G3145" t="str">
        <f>"02-I06-02"</f>
        <v>02-I06-02</v>
      </c>
      <c r="H3145">
        <v>0.90300000000000002</v>
      </c>
      <c r="I3145" t="s">
        <v>2098</v>
      </c>
      <c r="J3145" t="s">
        <v>17</v>
      </c>
      <c r="K3145" t="str">
        <f>"7F5"</f>
        <v>7F5</v>
      </c>
      <c r="L3145" t="s">
        <v>15</v>
      </c>
    </row>
    <row r="3146" spans="1:12" x14ac:dyDescent="0.25">
      <c r="A3146" t="str">
        <f>"400117436"</f>
        <v>400117436</v>
      </c>
      <c r="B3146" t="str">
        <f t="shared" si="214"/>
        <v>89301000</v>
      </c>
      <c r="C3146" s="1">
        <v>44396</v>
      </c>
      <c r="D3146" s="1">
        <v>44397</v>
      </c>
      <c r="E3146">
        <v>1</v>
      </c>
      <c r="F3146" t="s">
        <v>1557</v>
      </c>
      <c r="G3146" t="str">
        <f>"05-M06-08"</f>
        <v>05-M06-08</v>
      </c>
      <c r="H3146">
        <v>1.4719</v>
      </c>
      <c r="J3146" t="s">
        <v>17</v>
      </c>
      <c r="K3146" t="str">
        <f>"1F7"</f>
        <v>1F7</v>
      </c>
      <c r="L3146" t="s">
        <v>15</v>
      </c>
    </row>
    <row r="3147" spans="1:12" x14ac:dyDescent="0.25">
      <c r="A3147" t="str">
        <f>"400121434"</f>
        <v>400121434</v>
      </c>
      <c r="B3147" t="str">
        <f t="shared" si="214"/>
        <v>89301000</v>
      </c>
      <c r="C3147" s="1">
        <v>44191</v>
      </c>
      <c r="D3147" s="1">
        <v>44200</v>
      </c>
      <c r="E3147">
        <v>4</v>
      </c>
      <c r="F3147" t="s">
        <v>2099</v>
      </c>
      <c r="G3147" t="str">
        <f>"08-I14-04"</f>
        <v>08-I14-04</v>
      </c>
      <c r="H3147">
        <v>1.0787</v>
      </c>
      <c r="I3147" t="s">
        <v>21</v>
      </c>
      <c r="J3147" t="s">
        <v>17</v>
      </c>
      <c r="K3147" t="str">
        <f>"5F3"</f>
        <v>5F3</v>
      </c>
      <c r="L3147" t="s">
        <v>15</v>
      </c>
    </row>
    <row r="3148" spans="1:12" x14ac:dyDescent="0.25">
      <c r="A3148" t="str">
        <f>"400315491"</f>
        <v>400315491</v>
      </c>
      <c r="B3148" t="str">
        <f t="shared" si="214"/>
        <v>89301000</v>
      </c>
      <c r="C3148" s="1">
        <v>44252</v>
      </c>
      <c r="D3148" s="1">
        <v>44258</v>
      </c>
      <c r="E3148">
        <v>1</v>
      </c>
      <c r="F3148" t="s">
        <v>1842</v>
      </c>
      <c r="G3148" t="str">
        <f>"05-I14-02"</f>
        <v>05-I14-02</v>
      </c>
      <c r="H3148">
        <v>6.3216999999999999</v>
      </c>
      <c r="I3148" t="s">
        <v>2100</v>
      </c>
      <c r="J3148" t="s">
        <v>14</v>
      </c>
      <c r="K3148" t="str">
        <f>"1F1"</f>
        <v>1F1</v>
      </c>
      <c r="L3148" t="s">
        <v>15</v>
      </c>
    </row>
    <row r="3149" spans="1:12" x14ac:dyDescent="0.25">
      <c r="A3149" t="str">
        <f>"400315491"</f>
        <v>400315491</v>
      </c>
      <c r="B3149" t="str">
        <f t="shared" si="214"/>
        <v>89301000</v>
      </c>
      <c r="C3149" s="1">
        <v>44272</v>
      </c>
      <c r="D3149" s="1">
        <v>44278</v>
      </c>
      <c r="E3149">
        <v>1</v>
      </c>
      <c r="F3149" t="s">
        <v>1558</v>
      </c>
      <c r="G3149" t="str">
        <f>"05-M01-03"</f>
        <v>05-M01-03</v>
      </c>
      <c r="H3149">
        <v>12.3805</v>
      </c>
      <c r="J3149" t="s">
        <v>17</v>
      </c>
      <c r="K3149" t="str">
        <f>"1F1"</f>
        <v>1F1</v>
      </c>
      <c r="L3149" t="s">
        <v>15</v>
      </c>
    </row>
    <row r="3150" spans="1:12" x14ac:dyDescent="0.25">
      <c r="A3150" t="str">
        <f>"400316467"</f>
        <v>400316467</v>
      </c>
      <c r="B3150" t="str">
        <f t="shared" si="214"/>
        <v>89301000</v>
      </c>
      <c r="C3150" s="1">
        <v>44455</v>
      </c>
      <c r="D3150" s="1">
        <v>44456</v>
      </c>
      <c r="E3150">
        <v>1</v>
      </c>
      <c r="F3150" t="s">
        <v>1814</v>
      </c>
      <c r="G3150" t="str">
        <f>"05-D01-08"</f>
        <v>05-D01-08</v>
      </c>
      <c r="H3150">
        <v>0.4093</v>
      </c>
      <c r="J3150" t="s">
        <v>14</v>
      </c>
      <c r="K3150" t="str">
        <f>"1F1"</f>
        <v>1F1</v>
      </c>
      <c r="L3150" t="s">
        <v>286</v>
      </c>
    </row>
    <row r="3151" spans="1:12" x14ac:dyDescent="0.25">
      <c r="A3151" t="str">
        <f>"400321425"</f>
        <v>400321425</v>
      </c>
      <c r="B3151" t="str">
        <f t="shared" si="214"/>
        <v>89301000</v>
      </c>
      <c r="C3151" s="1">
        <v>44485</v>
      </c>
      <c r="D3151" s="1">
        <v>44491</v>
      </c>
      <c r="E3151">
        <v>4</v>
      </c>
      <c r="F3151" t="s">
        <v>217</v>
      </c>
      <c r="G3151" t="str">
        <f>"04-K02-04"</f>
        <v>04-K02-04</v>
      </c>
      <c r="H3151">
        <v>0.82469999999999999</v>
      </c>
      <c r="I3151" t="s">
        <v>2101</v>
      </c>
      <c r="J3151" t="s">
        <v>14</v>
      </c>
      <c r="K3151" t="str">
        <f>"1F1"</f>
        <v>1F1</v>
      </c>
      <c r="L3151" t="s">
        <v>15</v>
      </c>
    </row>
    <row r="3152" spans="1:12" x14ac:dyDescent="0.25">
      <c r="A3152" t="str">
        <f>"400403425"</f>
        <v>400403425</v>
      </c>
      <c r="B3152" t="str">
        <f t="shared" si="214"/>
        <v>89301000</v>
      </c>
      <c r="C3152" s="1">
        <v>44440</v>
      </c>
      <c r="D3152" s="1">
        <v>44442</v>
      </c>
      <c r="E3152">
        <v>1</v>
      </c>
      <c r="F3152" t="s">
        <v>1599</v>
      </c>
      <c r="G3152" t="str">
        <f>"05-K07-03"</f>
        <v>05-K07-03</v>
      </c>
      <c r="H3152">
        <v>1.333</v>
      </c>
      <c r="I3152" t="s">
        <v>2102</v>
      </c>
      <c r="J3152" t="s">
        <v>14</v>
      </c>
      <c r="K3152" t="str">
        <f>"1F7"</f>
        <v>1F7</v>
      </c>
      <c r="L3152" t="s">
        <v>15</v>
      </c>
    </row>
    <row r="3153" spans="1:12" x14ac:dyDescent="0.25">
      <c r="A3153" t="str">
        <f>"400428129"</f>
        <v>400428129</v>
      </c>
      <c r="B3153" t="str">
        <f t="shared" si="214"/>
        <v>89301000</v>
      </c>
      <c r="C3153" s="1">
        <v>44320</v>
      </c>
      <c r="D3153" s="1">
        <v>44329</v>
      </c>
      <c r="E3153">
        <v>4</v>
      </c>
      <c r="F3153" t="s">
        <v>1557</v>
      </c>
      <c r="G3153" t="str">
        <f>"05-I16-04"</f>
        <v>05-I16-04</v>
      </c>
      <c r="H3153">
        <v>5.9729000000000001</v>
      </c>
      <c r="I3153" t="s">
        <v>2103</v>
      </c>
      <c r="J3153" t="s">
        <v>17</v>
      </c>
      <c r="K3153" t="str">
        <f>"5F5"</f>
        <v>5F5</v>
      </c>
      <c r="L3153" t="s">
        <v>15</v>
      </c>
    </row>
    <row r="3154" spans="1:12" x14ac:dyDescent="0.25">
      <c r="A3154" t="str">
        <f>"400521404"</f>
        <v>400521404</v>
      </c>
      <c r="B3154" t="str">
        <f t="shared" si="214"/>
        <v>89301000</v>
      </c>
      <c r="C3154" s="1">
        <v>44387</v>
      </c>
      <c r="D3154" s="1">
        <v>44391</v>
      </c>
      <c r="E3154">
        <v>5</v>
      </c>
      <c r="F3154" t="s">
        <v>2104</v>
      </c>
      <c r="G3154" t="str">
        <f>"04-K02-04"</f>
        <v>04-K02-04</v>
      </c>
      <c r="H3154">
        <v>0.82469999999999999</v>
      </c>
      <c r="I3154" t="s">
        <v>2105</v>
      </c>
      <c r="J3154" t="s">
        <v>14</v>
      </c>
      <c r="K3154" t="str">
        <f>"2F5"</f>
        <v>2F5</v>
      </c>
      <c r="L3154" t="s">
        <v>15</v>
      </c>
    </row>
    <row r="3155" spans="1:12" x14ac:dyDescent="0.25">
      <c r="A3155" t="str">
        <f>"400602437"</f>
        <v>400602437</v>
      </c>
      <c r="B3155" t="str">
        <f t="shared" si="214"/>
        <v>89301000</v>
      </c>
      <c r="C3155" s="1">
        <v>44224</v>
      </c>
      <c r="D3155" s="1">
        <v>44227</v>
      </c>
      <c r="E3155">
        <v>1</v>
      </c>
      <c r="F3155" t="s">
        <v>1581</v>
      </c>
      <c r="G3155" t="str">
        <f>"05-M07-06"</f>
        <v>05-M07-06</v>
      </c>
      <c r="H3155">
        <v>1.2513000000000001</v>
      </c>
      <c r="J3155" t="s">
        <v>17</v>
      </c>
      <c r="K3155" t="str">
        <f>"5F1"</f>
        <v>5F1</v>
      </c>
      <c r="L3155" t="s">
        <v>15</v>
      </c>
    </row>
    <row r="3156" spans="1:12" x14ac:dyDescent="0.25">
      <c r="A3156" t="str">
        <f>"400725404"</f>
        <v>400725404</v>
      </c>
      <c r="B3156" t="str">
        <f t="shared" si="214"/>
        <v>89301000</v>
      </c>
      <c r="C3156" s="1">
        <v>44501</v>
      </c>
      <c r="D3156" s="1">
        <v>44504</v>
      </c>
      <c r="E3156">
        <v>1</v>
      </c>
      <c r="F3156" t="s">
        <v>1764</v>
      </c>
      <c r="G3156" t="str">
        <f>"01-K08-02"</f>
        <v>01-K08-02</v>
      </c>
      <c r="H3156">
        <v>0.60519999999999996</v>
      </c>
      <c r="I3156" t="s">
        <v>2106</v>
      </c>
      <c r="J3156" t="s">
        <v>14</v>
      </c>
      <c r="K3156" t="str">
        <f>"1F5"</f>
        <v>1F5</v>
      </c>
      <c r="L3156" t="s">
        <v>15</v>
      </c>
    </row>
    <row r="3157" spans="1:12" x14ac:dyDescent="0.25">
      <c r="A3157" t="str">
        <f>"400727073"</f>
        <v>400727073</v>
      </c>
      <c r="B3157" t="str">
        <f t="shared" si="214"/>
        <v>89301000</v>
      </c>
      <c r="C3157" s="1">
        <v>44511</v>
      </c>
      <c r="D3157" s="1">
        <v>44512</v>
      </c>
      <c r="E3157">
        <v>1</v>
      </c>
      <c r="F3157" t="s">
        <v>174</v>
      </c>
      <c r="G3157" t="str">
        <f>"12-I14-00"</f>
        <v>12-I14-00</v>
      </c>
      <c r="H3157">
        <v>0.44350000000000001</v>
      </c>
      <c r="I3157" t="s">
        <v>2107</v>
      </c>
      <c r="J3157" t="s">
        <v>14</v>
      </c>
      <c r="K3157" t="str">
        <f>"7F6"</f>
        <v>7F6</v>
      </c>
      <c r="L3157" t="s">
        <v>15</v>
      </c>
    </row>
    <row r="3158" spans="1:12" x14ac:dyDescent="0.25">
      <c r="A3158" t="str">
        <f>"400818719"</f>
        <v>400818719</v>
      </c>
      <c r="B3158" t="str">
        <f t="shared" si="214"/>
        <v>89301000</v>
      </c>
      <c r="C3158" s="1">
        <v>44423</v>
      </c>
      <c r="D3158" s="1">
        <v>44433</v>
      </c>
      <c r="E3158">
        <v>1</v>
      </c>
      <c r="F3158" t="s">
        <v>1555</v>
      </c>
      <c r="G3158" t="str">
        <f>"05-I24-02"</f>
        <v>05-I24-02</v>
      </c>
      <c r="H3158">
        <v>4.3616999999999999</v>
      </c>
      <c r="I3158" t="s">
        <v>2108</v>
      </c>
      <c r="J3158" t="s">
        <v>14</v>
      </c>
      <c r="K3158" t="str">
        <f>"5F1"</f>
        <v>5F1</v>
      </c>
      <c r="L3158" t="s">
        <v>15</v>
      </c>
    </row>
    <row r="3159" spans="1:12" x14ac:dyDescent="0.25">
      <c r="A3159" t="str">
        <f>"400925434"</f>
        <v>400925434</v>
      </c>
      <c r="B3159" t="str">
        <f t="shared" si="214"/>
        <v>89301000</v>
      </c>
      <c r="C3159" s="1">
        <v>44400</v>
      </c>
      <c r="D3159" s="1">
        <v>44474</v>
      </c>
      <c r="E3159">
        <v>4</v>
      </c>
      <c r="F3159" t="s">
        <v>2109</v>
      </c>
      <c r="G3159" t="str">
        <f>"07-M02-03"</f>
        <v>07-M02-03</v>
      </c>
      <c r="H3159">
        <v>5.6936999999999998</v>
      </c>
      <c r="I3159" t="s">
        <v>2110</v>
      </c>
      <c r="J3159" t="s">
        <v>17</v>
      </c>
      <c r="K3159" t="str">
        <f>"1F5"</f>
        <v>1F5</v>
      </c>
      <c r="L3159" t="s">
        <v>15</v>
      </c>
    </row>
    <row r="3160" spans="1:12" x14ac:dyDescent="0.25">
      <c r="A3160" t="str">
        <f>"401003465"</f>
        <v>401003465</v>
      </c>
      <c r="B3160" t="str">
        <f t="shared" si="214"/>
        <v>89301000</v>
      </c>
      <c r="C3160" s="1">
        <v>44398</v>
      </c>
      <c r="D3160" s="1">
        <v>44400</v>
      </c>
      <c r="E3160">
        <v>1</v>
      </c>
      <c r="F3160" t="s">
        <v>2111</v>
      </c>
      <c r="G3160" t="str">
        <f>"10-K15-02"</f>
        <v>10-K15-02</v>
      </c>
      <c r="H3160">
        <v>0.77639999999999998</v>
      </c>
      <c r="I3160" t="s">
        <v>2112</v>
      </c>
      <c r="J3160" t="s">
        <v>14</v>
      </c>
      <c r="K3160" t="str">
        <f>"2F5"</f>
        <v>2F5</v>
      </c>
      <c r="L3160" t="s">
        <v>15</v>
      </c>
    </row>
    <row r="3161" spans="1:12" x14ac:dyDescent="0.25">
      <c r="A3161" t="str">
        <f>"401008412"</f>
        <v>401008412</v>
      </c>
      <c r="B3161" t="str">
        <f t="shared" si="214"/>
        <v>89301000</v>
      </c>
      <c r="C3161" s="1">
        <v>44498</v>
      </c>
      <c r="D3161" s="1">
        <v>44509</v>
      </c>
      <c r="E3161">
        <v>1</v>
      </c>
      <c r="F3161" t="s">
        <v>1557</v>
      </c>
      <c r="G3161" t="str">
        <f>"05-I16-06"</f>
        <v>05-I16-06</v>
      </c>
      <c r="H3161">
        <v>5.2988</v>
      </c>
      <c r="J3161" t="s">
        <v>17</v>
      </c>
      <c r="K3161" t="str">
        <f>"5F5"</f>
        <v>5F5</v>
      </c>
      <c r="L3161" t="s">
        <v>15</v>
      </c>
    </row>
    <row r="3162" spans="1:12" x14ac:dyDescent="0.25">
      <c r="A3162" t="str">
        <f>"401008412"</f>
        <v>401008412</v>
      </c>
      <c r="B3162" t="str">
        <f t="shared" si="214"/>
        <v>89301000</v>
      </c>
      <c r="C3162" s="1">
        <v>44454</v>
      </c>
      <c r="D3162" s="1">
        <v>44455</v>
      </c>
      <c r="E3162">
        <v>1</v>
      </c>
      <c r="F3162" t="s">
        <v>1557</v>
      </c>
      <c r="G3162" t="str">
        <f>"05-M06-04"</f>
        <v>05-M06-04</v>
      </c>
      <c r="H3162">
        <v>2.1958000000000002</v>
      </c>
      <c r="I3162" t="s">
        <v>1959</v>
      </c>
      <c r="J3162" t="s">
        <v>17</v>
      </c>
      <c r="K3162" t="str">
        <f>"1F7"</f>
        <v>1F7</v>
      </c>
      <c r="L3162" t="s">
        <v>15</v>
      </c>
    </row>
    <row r="3163" spans="1:12" x14ac:dyDescent="0.25">
      <c r="A3163" t="str">
        <f>"401023472"</f>
        <v>401023472</v>
      </c>
      <c r="B3163" t="str">
        <f t="shared" si="214"/>
        <v>89301000</v>
      </c>
      <c r="C3163" s="1">
        <v>44307</v>
      </c>
      <c r="D3163" s="1">
        <v>44316</v>
      </c>
      <c r="E3163">
        <v>1</v>
      </c>
      <c r="F3163" t="s">
        <v>1606</v>
      </c>
      <c r="G3163" t="str">
        <f>"05-I15-00"</f>
        <v>05-I15-00</v>
      </c>
      <c r="H3163">
        <v>9.3150999999999993</v>
      </c>
      <c r="I3163" t="s">
        <v>1557</v>
      </c>
      <c r="J3163" t="s">
        <v>14</v>
      </c>
      <c r="K3163" t="str">
        <f>"5F5"</f>
        <v>5F5</v>
      </c>
      <c r="L3163" t="s">
        <v>15</v>
      </c>
    </row>
    <row r="3164" spans="1:12" x14ac:dyDescent="0.25">
      <c r="A3164" t="str">
        <f>"401023472"</f>
        <v>401023472</v>
      </c>
      <c r="B3164" t="str">
        <f t="shared" ref="B3164:B3226" si="215">"89301000"</f>
        <v>89301000</v>
      </c>
      <c r="C3164" s="1">
        <v>44236</v>
      </c>
      <c r="D3164" s="1">
        <v>44236</v>
      </c>
      <c r="E3164">
        <v>1</v>
      </c>
      <c r="F3164" t="s">
        <v>1925</v>
      </c>
      <c r="G3164" t="str">
        <f>"05-D01-06"</f>
        <v>05-D01-06</v>
      </c>
      <c r="H3164">
        <v>0.40649999999999997</v>
      </c>
      <c r="I3164" t="s">
        <v>2113</v>
      </c>
      <c r="J3164" t="s">
        <v>14</v>
      </c>
      <c r="K3164" t="str">
        <f>"1F1"</f>
        <v>1F1</v>
      </c>
      <c r="L3164" t="s">
        <v>15</v>
      </c>
    </row>
    <row r="3165" spans="1:12" x14ac:dyDescent="0.25">
      <c r="A3165" t="str">
        <f>"401024438"</f>
        <v>401024438</v>
      </c>
      <c r="B3165" t="str">
        <f t="shared" si="215"/>
        <v>89301000</v>
      </c>
      <c r="C3165" s="1">
        <v>44454</v>
      </c>
      <c r="D3165" s="1">
        <v>44457</v>
      </c>
      <c r="E3165">
        <v>1</v>
      </c>
      <c r="F3165" t="s">
        <v>447</v>
      </c>
      <c r="G3165" t="str">
        <f>"11-I17-03"</f>
        <v>11-I17-03</v>
      </c>
      <c r="H3165">
        <v>0.50609999999999999</v>
      </c>
      <c r="I3165" t="s">
        <v>2114</v>
      </c>
      <c r="J3165" t="s">
        <v>14</v>
      </c>
      <c r="K3165" t="str">
        <f>"7F6"</f>
        <v>7F6</v>
      </c>
      <c r="L3165" t="s">
        <v>15</v>
      </c>
    </row>
    <row r="3166" spans="1:12" x14ac:dyDescent="0.25">
      <c r="A3166" t="str">
        <f>"401105452"</f>
        <v>401105452</v>
      </c>
      <c r="B3166" t="str">
        <f t="shared" si="215"/>
        <v>89301000</v>
      </c>
      <c r="C3166" s="1">
        <v>44509</v>
      </c>
      <c r="D3166" s="1">
        <v>44512</v>
      </c>
      <c r="E3166">
        <v>5</v>
      </c>
      <c r="F3166" t="s">
        <v>290</v>
      </c>
      <c r="G3166" t="str">
        <f>"05-K06-01"</f>
        <v>05-K06-01</v>
      </c>
      <c r="H3166">
        <v>2.5053000000000001</v>
      </c>
      <c r="I3166" t="s">
        <v>2115</v>
      </c>
      <c r="J3166" t="s">
        <v>14</v>
      </c>
      <c r="K3166" t="str">
        <f>"1T1"</f>
        <v>1T1</v>
      </c>
      <c r="L3166" t="s">
        <v>15</v>
      </c>
    </row>
    <row r="3167" spans="1:12" x14ac:dyDescent="0.25">
      <c r="A3167" t="str">
        <f>"401114444"</f>
        <v>401114444</v>
      </c>
      <c r="B3167" t="str">
        <f t="shared" si="215"/>
        <v>89301000</v>
      </c>
      <c r="C3167" s="1">
        <v>44487</v>
      </c>
      <c r="D3167" s="1">
        <v>44489</v>
      </c>
      <c r="E3167">
        <v>1</v>
      </c>
      <c r="F3167" t="s">
        <v>2116</v>
      </c>
      <c r="G3167" t="str">
        <f>"05-D01-06"</f>
        <v>05-D01-06</v>
      </c>
      <c r="H3167">
        <v>0.7611</v>
      </c>
      <c r="J3167" t="s">
        <v>14</v>
      </c>
      <c r="K3167" t="str">
        <f>"1F1"</f>
        <v>1F1</v>
      </c>
      <c r="L3167" t="s">
        <v>15</v>
      </c>
    </row>
    <row r="3168" spans="1:12" x14ac:dyDescent="0.25">
      <c r="A3168" t="str">
        <f>"401117401"</f>
        <v>401117401</v>
      </c>
      <c r="B3168" t="str">
        <f t="shared" si="215"/>
        <v>89301000</v>
      </c>
      <c r="C3168" s="1">
        <v>44313</v>
      </c>
      <c r="D3168" s="1">
        <v>44315</v>
      </c>
      <c r="E3168">
        <v>1</v>
      </c>
      <c r="F3168" t="s">
        <v>1679</v>
      </c>
      <c r="G3168" t="str">
        <f>"11-M06-02"</f>
        <v>11-M06-02</v>
      </c>
      <c r="H3168">
        <v>0.90400000000000003</v>
      </c>
      <c r="I3168" t="s">
        <v>2117</v>
      </c>
      <c r="J3168" t="s">
        <v>17</v>
      </c>
      <c r="K3168" t="str">
        <f>"7F6"</f>
        <v>7F6</v>
      </c>
      <c r="L3168" t="s">
        <v>15</v>
      </c>
    </row>
    <row r="3169" spans="1:12" x14ac:dyDescent="0.25">
      <c r="A3169" t="str">
        <f>"401121415"</f>
        <v>401121415</v>
      </c>
      <c r="B3169" t="str">
        <f t="shared" si="215"/>
        <v>89301000</v>
      </c>
      <c r="C3169" s="1">
        <v>44389</v>
      </c>
      <c r="D3169" s="1">
        <v>44392</v>
      </c>
      <c r="E3169">
        <v>5</v>
      </c>
      <c r="F3169" t="s">
        <v>2118</v>
      </c>
      <c r="G3169" t="str">
        <f>"08-I03-06"</f>
        <v>08-I03-06</v>
      </c>
      <c r="H3169">
        <v>3.3738000000000001</v>
      </c>
      <c r="I3169" t="s">
        <v>2119</v>
      </c>
      <c r="J3169" t="s">
        <v>17</v>
      </c>
      <c r="K3169" t="str">
        <f>"5F6"</f>
        <v>5F6</v>
      </c>
      <c r="L3169" t="s">
        <v>15</v>
      </c>
    </row>
    <row r="3170" spans="1:12" x14ac:dyDescent="0.25">
      <c r="A3170" t="str">
        <f>"401214426"</f>
        <v>401214426</v>
      </c>
      <c r="B3170" t="str">
        <f t="shared" si="215"/>
        <v>89301000</v>
      </c>
      <c r="C3170" s="1">
        <v>44229</v>
      </c>
      <c r="D3170" s="1">
        <v>44231</v>
      </c>
      <c r="E3170">
        <v>1</v>
      </c>
      <c r="F3170" t="s">
        <v>2120</v>
      </c>
      <c r="G3170" t="str">
        <f>"06-M01-05"</f>
        <v>06-M01-05</v>
      </c>
      <c r="H3170">
        <v>0.41710000000000003</v>
      </c>
      <c r="I3170" t="s">
        <v>2121</v>
      </c>
      <c r="J3170" t="s">
        <v>14</v>
      </c>
      <c r="K3170" t="str">
        <f>"1F9"</f>
        <v>1F9</v>
      </c>
      <c r="L3170" t="s">
        <v>15</v>
      </c>
    </row>
    <row r="3171" spans="1:12" x14ac:dyDescent="0.25">
      <c r="A3171" t="str">
        <f>"401214426"</f>
        <v>401214426</v>
      </c>
      <c r="B3171" t="str">
        <f t="shared" si="215"/>
        <v>89301000</v>
      </c>
      <c r="C3171" s="1">
        <v>44243</v>
      </c>
      <c r="D3171" s="1">
        <v>44246</v>
      </c>
      <c r="E3171">
        <v>1</v>
      </c>
      <c r="F3171" t="s">
        <v>2049</v>
      </c>
      <c r="G3171" t="str">
        <f>"06-M01-02"</f>
        <v>06-M01-02</v>
      </c>
      <c r="H3171">
        <v>1.2572000000000001</v>
      </c>
      <c r="I3171" t="s">
        <v>2122</v>
      </c>
      <c r="J3171" t="s">
        <v>14</v>
      </c>
      <c r="K3171" t="str">
        <f>"1F5"</f>
        <v>1F5</v>
      </c>
      <c r="L3171" t="s">
        <v>15</v>
      </c>
    </row>
    <row r="3172" spans="1:12" x14ac:dyDescent="0.25">
      <c r="A3172" t="str">
        <f>"401221453"</f>
        <v>401221453</v>
      </c>
      <c r="B3172" t="str">
        <f t="shared" si="215"/>
        <v>89301000</v>
      </c>
      <c r="C3172" s="1">
        <v>44530</v>
      </c>
      <c r="D3172" s="1">
        <v>44531</v>
      </c>
      <c r="E3172">
        <v>1</v>
      </c>
      <c r="F3172" t="s">
        <v>1602</v>
      </c>
      <c r="G3172" t="str">
        <f>"05-I14-03"</f>
        <v>05-I14-03</v>
      </c>
      <c r="H3172">
        <v>6.1292</v>
      </c>
      <c r="I3172" t="s">
        <v>2123</v>
      </c>
      <c r="J3172" t="s">
        <v>14</v>
      </c>
      <c r="K3172" t="str">
        <f>"1F1"</f>
        <v>1F1</v>
      </c>
      <c r="L3172" t="s">
        <v>15</v>
      </c>
    </row>
    <row r="3173" spans="1:12" x14ac:dyDescent="0.25">
      <c r="A3173" t="str">
        <f>"401223402"</f>
        <v>401223402</v>
      </c>
      <c r="B3173" t="str">
        <f t="shared" si="215"/>
        <v>89301000</v>
      </c>
      <c r="C3173" s="1">
        <v>44264</v>
      </c>
      <c r="D3173" s="1">
        <v>44275</v>
      </c>
      <c r="E3173">
        <v>8</v>
      </c>
      <c r="F3173" t="s">
        <v>217</v>
      </c>
      <c r="G3173" t="str">
        <f>"00-M02-04"</f>
        <v>00-M02-04</v>
      </c>
      <c r="H3173">
        <v>12.071199999999999</v>
      </c>
      <c r="I3173" t="s">
        <v>2124</v>
      </c>
      <c r="J3173" t="s">
        <v>14</v>
      </c>
      <c r="K3173" t="str">
        <f>"7T8"</f>
        <v>7T8</v>
      </c>
      <c r="L3173" t="s">
        <v>15</v>
      </c>
    </row>
    <row r="3174" spans="1:12" x14ac:dyDescent="0.25">
      <c r="A3174" t="str">
        <f>"401226416"</f>
        <v>401226416</v>
      </c>
      <c r="B3174" t="str">
        <f t="shared" si="215"/>
        <v>89301000</v>
      </c>
      <c r="C3174" s="1">
        <v>44507</v>
      </c>
      <c r="D3174" s="1">
        <v>44516</v>
      </c>
      <c r="E3174">
        <v>4</v>
      </c>
      <c r="F3174" t="s">
        <v>2125</v>
      </c>
      <c r="G3174" t="str">
        <f>"01-K10-02"</f>
        <v>01-K10-02</v>
      </c>
      <c r="H3174">
        <v>1.6306</v>
      </c>
      <c r="I3174" t="s">
        <v>2126</v>
      </c>
      <c r="J3174" t="s">
        <v>14</v>
      </c>
      <c r="K3174" t="str">
        <f>"2T9"</f>
        <v>2T9</v>
      </c>
      <c r="L3174" t="s">
        <v>15</v>
      </c>
    </row>
    <row r="3175" spans="1:12" x14ac:dyDescent="0.25">
      <c r="A3175" t="str">
        <f>"401229458"</f>
        <v>401229458</v>
      </c>
      <c r="B3175" t="str">
        <f t="shared" si="215"/>
        <v>89301000</v>
      </c>
      <c r="C3175" s="1">
        <v>44388</v>
      </c>
      <c r="D3175" s="1">
        <v>44391</v>
      </c>
      <c r="E3175">
        <v>1</v>
      </c>
      <c r="F3175" t="s">
        <v>1776</v>
      </c>
      <c r="G3175" t="str">
        <f>"04-K13-01"</f>
        <v>04-K13-01</v>
      </c>
      <c r="H3175">
        <v>0.64270000000000005</v>
      </c>
      <c r="I3175" t="s">
        <v>2127</v>
      </c>
      <c r="J3175" t="s">
        <v>14</v>
      </c>
      <c r="K3175" t="str">
        <f>"5F3"</f>
        <v>5F3</v>
      </c>
      <c r="L3175" t="s">
        <v>15</v>
      </c>
    </row>
    <row r="3176" spans="1:12" x14ac:dyDescent="0.25">
      <c r="A3176" t="str">
        <f>"405103014"</f>
        <v>405103014</v>
      </c>
      <c r="B3176" t="str">
        <f t="shared" si="215"/>
        <v>89301000</v>
      </c>
      <c r="C3176" s="1">
        <v>44527</v>
      </c>
      <c r="D3176" s="1">
        <v>44537</v>
      </c>
      <c r="E3176">
        <v>8</v>
      </c>
      <c r="F3176" t="s">
        <v>962</v>
      </c>
      <c r="G3176" t="str">
        <f>"04-K08-03"</f>
        <v>04-K08-03</v>
      </c>
      <c r="H3176">
        <v>1.5965</v>
      </c>
      <c r="I3176" t="s">
        <v>2128</v>
      </c>
      <c r="J3176" t="s">
        <v>14</v>
      </c>
      <c r="K3176" t="str">
        <f>"1T1"</f>
        <v>1T1</v>
      </c>
      <c r="L3176" t="s">
        <v>15</v>
      </c>
    </row>
    <row r="3177" spans="1:12" x14ac:dyDescent="0.25">
      <c r="A3177" t="str">
        <f>"405103014"</f>
        <v>405103014</v>
      </c>
      <c r="B3177" t="str">
        <f t="shared" si="215"/>
        <v>89301000</v>
      </c>
      <c r="C3177" s="1">
        <v>44207</v>
      </c>
      <c r="D3177" s="1">
        <v>44217</v>
      </c>
      <c r="E3177">
        <v>1</v>
      </c>
      <c r="F3177" t="s">
        <v>217</v>
      </c>
      <c r="G3177" t="str">
        <f>"04-K02-04"</f>
        <v>04-K02-04</v>
      </c>
      <c r="H3177">
        <v>0.82469999999999999</v>
      </c>
      <c r="I3177" t="s">
        <v>2129</v>
      </c>
      <c r="J3177" t="s">
        <v>14</v>
      </c>
      <c r="K3177" t="str">
        <f>"1F1"</f>
        <v>1F1</v>
      </c>
      <c r="L3177" t="s">
        <v>15</v>
      </c>
    </row>
    <row r="3178" spans="1:12" x14ac:dyDescent="0.25">
      <c r="A3178" t="str">
        <f>"405103014"</f>
        <v>405103014</v>
      </c>
      <c r="B3178" t="str">
        <f t="shared" si="215"/>
        <v>89301000</v>
      </c>
      <c r="C3178" s="1">
        <v>44409</v>
      </c>
      <c r="D3178" s="1">
        <v>44411</v>
      </c>
      <c r="E3178">
        <v>5</v>
      </c>
      <c r="F3178" t="s">
        <v>479</v>
      </c>
      <c r="G3178" t="str">
        <f>"18-I01-02"</f>
        <v>18-I01-02</v>
      </c>
      <c r="H3178">
        <v>1.9469000000000001</v>
      </c>
      <c r="I3178" t="s">
        <v>2130</v>
      </c>
      <c r="J3178" t="s">
        <v>14</v>
      </c>
      <c r="K3178" t="str">
        <f>"1T1"</f>
        <v>1T1</v>
      </c>
      <c r="L3178" t="s">
        <v>15</v>
      </c>
    </row>
    <row r="3179" spans="1:12" x14ac:dyDescent="0.25">
      <c r="A3179" t="str">
        <f>"405115429"</f>
        <v>405115429</v>
      </c>
      <c r="B3179" t="str">
        <f t="shared" si="215"/>
        <v>89301000</v>
      </c>
      <c r="C3179" s="1">
        <v>44396</v>
      </c>
      <c r="D3179" s="1">
        <v>44397</v>
      </c>
      <c r="E3179">
        <v>1</v>
      </c>
      <c r="F3179" t="s">
        <v>1557</v>
      </c>
      <c r="G3179" t="str">
        <f>"05-D01-08"</f>
        <v>05-D01-08</v>
      </c>
      <c r="H3179">
        <v>0.7016</v>
      </c>
      <c r="J3179" t="s">
        <v>14</v>
      </c>
      <c r="K3179" t="str">
        <f>"1F7"</f>
        <v>1F7</v>
      </c>
      <c r="L3179" t="s">
        <v>15</v>
      </c>
    </row>
    <row r="3180" spans="1:12" x14ac:dyDescent="0.25">
      <c r="A3180" t="str">
        <f>"405115429"</f>
        <v>405115429</v>
      </c>
      <c r="B3180" t="str">
        <f t="shared" si="215"/>
        <v>89301000</v>
      </c>
      <c r="C3180" s="1">
        <v>44250</v>
      </c>
      <c r="D3180" s="1">
        <v>44250</v>
      </c>
      <c r="E3180">
        <v>1</v>
      </c>
      <c r="F3180" t="s">
        <v>1557</v>
      </c>
      <c r="G3180" t="str">
        <f>"05-I14-04"</f>
        <v>05-I14-04</v>
      </c>
      <c r="H3180">
        <v>5.1692</v>
      </c>
      <c r="J3180" t="s">
        <v>14</v>
      </c>
      <c r="K3180" t="str">
        <f>"1F1"</f>
        <v>1F1</v>
      </c>
      <c r="L3180" t="s">
        <v>15</v>
      </c>
    </row>
    <row r="3181" spans="1:12" x14ac:dyDescent="0.25">
      <c r="A3181" t="str">
        <f>"405115429"</f>
        <v>405115429</v>
      </c>
      <c r="B3181" t="str">
        <f t="shared" si="215"/>
        <v>89301000</v>
      </c>
      <c r="C3181" s="1">
        <v>44367</v>
      </c>
      <c r="D3181" s="1">
        <v>44368</v>
      </c>
      <c r="E3181">
        <v>1</v>
      </c>
      <c r="F3181" t="s">
        <v>1557</v>
      </c>
      <c r="G3181" t="str">
        <f>"05-M06-08"</f>
        <v>05-M06-08</v>
      </c>
      <c r="H3181">
        <v>1.4719</v>
      </c>
      <c r="J3181" t="s">
        <v>17</v>
      </c>
      <c r="K3181" t="str">
        <f>"1F7"</f>
        <v>1F7</v>
      </c>
      <c r="L3181" t="s">
        <v>15</v>
      </c>
    </row>
    <row r="3182" spans="1:12" x14ac:dyDescent="0.25">
      <c r="A3182" t="str">
        <f>"405115429"</f>
        <v>405115429</v>
      </c>
      <c r="B3182" t="str">
        <f t="shared" si="215"/>
        <v>89301000</v>
      </c>
      <c r="C3182" s="1">
        <v>44315</v>
      </c>
      <c r="D3182" s="1">
        <v>44315</v>
      </c>
      <c r="E3182">
        <v>1</v>
      </c>
      <c r="F3182" t="s">
        <v>1557</v>
      </c>
      <c r="G3182" t="str">
        <f>"05-D01-08"</f>
        <v>05-D01-08</v>
      </c>
      <c r="H3182">
        <v>0.21890000000000001</v>
      </c>
      <c r="J3182" t="s">
        <v>14</v>
      </c>
      <c r="K3182" t="str">
        <f>"1F1"</f>
        <v>1F1</v>
      </c>
      <c r="L3182" t="s">
        <v>15</v>
      </c>
    </row>
    <row r="3183" spans="1:12" x14ac:dyDescent="0.25">
      <c r="A3183" t="str">
        <f>"405120409"</f>
        <v>405120409</v>
      </c>
      <c r="B3183" t="str">
        <f t="shared" si="215"/>
        <v>89301000</v>
      </c>
      <c r="C3183" s="1">
        <v>44549</v>
      </c>
      <c r="D3183" s="1">
        <v>44552</v>
      </c>
      <c r="E3183">
        <v>1</v>
      </c>
      <c r="F3183" t="s">
        <v>2131</v>
      </c>
      <c r="G3183" t="str">
        <f>"10-K03-04"</f>
        <v>10-K03-04</v>
      </c>
      <c r="H3183">
        <v>0.65159999999999996</v>
      </c>
      <c r="I3183" t="s">
        <v>2132</v>
      </c>
      <c r="J3183" t="s">
        <v>14</v>
      </c>
      <c r="K3183" t="str">
        <f>"1F1"</f>
        <v>1F1</v>
      </c>
      <c r="L3183" t="s">
        <v>15</v>
      </c>
    </row>
    <row r="3184" spans="1:12" x14ac:dyDescent="0.25">
      <c r="A3184" t="str">
        <f>"405208702"</f>
        <v>405208702</v>
      </c>
      <c r="B3184" t="str">
        <f t="shared" si="215"/>
        <v>89301000</v>
      </c>
      <c r="C3184" s="1">
        <v>44397</v>
      </c>
      <c r="D3184" s="1">
        <v>44411</v>
      </c>
      <c r="E3184">
        <v>5</v>
      </c>
      <c r="F3184" t="s">
        <v>2133</v>
      </c>
      <c r="G3184" t="str">
        <f>"04-K06-03"</f>
        <v>04-K06-03</v>
      </c>
      <c r="H3184">
        <v>0.66259999999999997</v>
      </c>
      <c r="I3184" t="s">
        <v>2134</v>
      </c>
      <c r="J3184" t="s">
        <v>14</v>
      </c>
      <c r="K3184" t="str">
        <f>"2F5"</f>
        <v>2F5</v>
      </c>
      <c r="L3184" t="s">
        <v>15</v>
      </c>
    </row>
    <row r="3185" spans="1:12" x14ac:dyDescent="0.25">
      <c r="A3185" t="str">
        <f>"405208702"</f>
        <v>405208702</v>
      </c>
      <c r="B3185" t="str">
        <f t="shared" si="215"/>
        <v>89301000</v>
      </c>
      <c r="C3185" s="1">
        <v>44452</v>
      </c>
      <c r="D3185" s="1">
        <v>44480</v>
      </c>
      <c r="E3185">
        <v>4</v>
      </c>
      <c r="F3185" t="s">
        <v>1615</v>
      </c>
      <c r="G3185" t="str">
        <f>"08-I13-05"</f>
        <v>08-I13-05</v>
      </c>
      <c r="H3185">
        <v>3.0991</v>
      </c>
      <c r="I3185" t="s">
        <v>2135</v>
      </c>
      <c r="J3185" t="s">
        <v>17</v>
      </c>
      <c r="K3185" t="str">
        <f>"1F6"</f>
        <v>1F6</v>
      </c>
      <c r="L3185" t="s">
        <v>15</v>
      </c>
    </row>
    <row r="3186" spans="1:12" x14ac:dyDescent="0.25">
      <c r="A3186" t="str">
        <f>"405209446"</f>
        <v>405209446</v>
      </c>
      <c r="B3186" t="str">
        <f t="shared" si="215"/>
        <v>89301000</v>
      </c>
      <c r="C3186" s="1">
        <v>44555</v>
      </c>
      <c r="D3186" s="1">
        <v>44560</v>
      </c>
      <c r="E3186">
        <v>2</v>
      </c>
      <c r="F3186" t="s">
        <v>2136</v>
      </c>
      <c r="G3186" t="str">
        <f>"08-K04-01"</f>
        <v>08-K04-01</v>
      </c>
      <c r="H3186">
        <v>1.0062</v>
      </c>
      <c r="I3186" t="s">
        <v>2137</v>
      </c>
      <c r="J3186" t="s">
        <v>14</v>
      </c>
      <c r="K3186" t="str">
        <f>"1F1"</f>
        <v>1F1</v>
      </c>
      <c r="L3186" t="s">
        <v>15</v>
      </c>
    </row>
    <row r="3187" spans="1:12" x14ac:dyDescent="0.25">
      <c r="A3187" t="str">
        <f>"405211406"</f>
        <v>405211406</v>
      </c>
      <c r="B3187" t="str">
        <f t="shared" si="215"/>
        <v>89301000</v>
      </c>
      <c r="C3187" s="1">
        <v>44232</v>
      </c>
      <c r="D3187" s="1">
        <v>44232</v>
      </c>
      <c r="E3187">
        <v>1</v>
      </c>
      <c r="F3187" t="s">
        <v>1557</v>
      </c>
      <c r="G3187" t="str">
        <f>"05-M06-07"</f>
        <v>05-M06-07</v>
      </c>
      <c r="H3187">
        <v>1.5166999999999999</v>
      </c>
      <c r="I3187" t="s">
        <v>2138</v>
      </c>
      <c r="J3187" t="s">
        <v>17</v>
      </c>
      <c r="K3187" t="str">
        <f>"1F1"</f>
        <v>1F1</v>
      </c>
      <c r="L3187" t="s">
        <v>15</v>
      </c>
    </row>
    <row r="3188" spans="1:12" x14ac:dyDescent="0.25">
      <c r="A3188" t="str">
        <f>"405226427"</f>
        <v>405226427</v>
      </c>
      <c r="B3188" t="str">
        <f t="shared" si="215"/>
        <v>89301000</v>
      </c>
      <c r="C3188" s="1">
        <v>44480</v>
      </c>
      <c r="D3188" s="1">
        <v>44482</v>
      </c>
      <c r="E3188">
        <v>1</v>
      </c>
      <c r="F3188" t="s">
        <v>2139</v>
      </c>
      <c r="G3188" t="str">
        <f>"05-D01-06"</f>
        <v>05-D01-06</v>
      </c>
      <c r="H3188">
        <v>0.7611</v>
      </c>
      <c r="I3188" t="s">
        <v>2140</v>
      </c>
      <c r="J3188" t="s">
        <v>14</v>
      </c>
      <c r="K3188" t="str">
        <f>"1F7"</f>
        <v>1F7</v>
      </c>
      <c r="L3188" t="s">
        <v>15</v>
      </c>
    </row>
    <row r="3189" spans="1:12" x14ac:dyDescent="0.25">
      <c r="A3189" t="str">
        <f>"405227469"</f>
        <v>405227469</v>
      </c>
      <c r="B3189" t="str">
        <f t="shared" si="215"/>
        <v>89301000</v>
      </c>
      <c r="C3189" s="1">
        <v>44543</v>
      </c>
      <c r="D3189" s="1">
        <v>44545</v>
      </c>
      <c r="E3189">
        <v>1</v>
      </c>
      <c r="F3189" t="s">
        <v>1914</v>
      </c>
      <c r="G3189" t="str">
        <f>"04-C02-02"</f>
        <v>04-C02-02</v>
      </c>
      <c r="H3189">
        <v>0.3589</v>
      </c>
      <c r="I3189" t="s">
        <v>2141</v>
      </c>
      <c r="J3189" t="s">
        <v>14</v>
      </c>
      <c r="K3189" t="str">
        <f>"2F5"</f>
        <v>2F5</v>
      </c>
      <c r="L3189" t="s">
        <v>15</v>
      </c>
    </row>
    <row r="3190" spans="1:12" x14ac:dyDescent="0.25">
      <c r="A3190" t="str">
        <f>"405227469"</f>
        <v>405227469</v>
      </c>
      <c r="B3190" t="str">
        <f t="shared" si="215"/>
        <v>89301000</v>
      </c>
      <c r="C3190" s="1">
        <v>44515</v>
      </c>
      <c r="D3190" s="1">
        <v>44519</v>
      </c>
      <c r="E3190">
        <v>1</v>
      </c>
      <c r="F3190" t="s">
        <v>1914</v>
      </c>
      <c r="G3190" t="str">
        <f>"04-C02-02"</f>
        <v>04-C02-02</v>
      </c>
      <c r="H3190">
        <v>0.3589</v>
      </c>
      <c r="I3190" t="s">
        <v>2141</v>
      </c>
      <c r="J3190" t="s">
        <v>14</v>
      </c>
      <c r="K3190" t="str">
        <f>"2F5"</f>
        <v>2F5</v>
      </c>
      <c r="L3190" t="s">
        <v>15</v>
      </c>
    </row>
    <row r="3191" spans="1:12" x14ac:dyDescent="0.25">
      <c r="A3191" t="str">
        <f>"405228405"</f>
        <v>405228405</v>
      </c>
      <c r="B3191" t="str">
        <f t="shared" si="215"/>
        <v>89301000</v>
      </c>
      <c r="C3191" s="1">
        <v>44198</v>
      </c>
      <c r="D3191" s="1">
        <v>44204</v>
      </c>
      <c r="E3191">
        <v>5</v>
      </c>
      <c r="F3191" t="s">
        <v>217</v>
      </c>
      <c r="G3191" t="str">
        <f>"04-K02-03"</f>
        <v>04-K02-03</v>
      </c>
      <c r="H3191">
        <v>1.2859</v>
      </c>
      <c r="I3191" t="s">
        <v>2142</v>
      </c>
      <c r="J3191" t="s">
        <v>14</v>
      </c>
      <c r="K3191" t="str">
        <f>"1F6"</f>
        <v>1F6</v>
      </c>
      <c r="L3191" t="s">
        <v>15</v>
      </c>
    </row>
    <row r="3192" spans="1:12" x14ac:dyDescent="0.25">
      <c r="A3192" t="str">
        <f>"405302457"</f>
        <v>405302457</v>
      </c>
      <c r="B3192" t="str">
        <f t="shared" si="215"/>
        <v>89301000</v>
      </c>
      <c r="C3192" s="1">
        <v>44237</v>
      </c>
      <c r="D3192" s="1">
        <v>44257</v>
      </c>
      <c r="E3192">
        <v>4</v>
      </c>
      <c r="F3192" t="s">
        <v>1581</v>
      </c>
      <c r="G3192" t="str">
        <f>"05-M07-02"</f>
        <v>05-M07-02</v>
      </c>
      <c r="H3192">
        <v>3.3319000000000001</v>
      </c>
      <c r="I3192" t="s">
        <v>2143</v>
      </c>
      <c r="J3192" t="s">
        <v>17</v>
      </c>
      <c r="K3192" t="str">
        <f>"1F9"</f>
        <v>1F9</v>
      </c>
      <c r="L3192" t="s">
        <v>15</v>
      </c>
    </row>
    <row r="3193" spans="1:12" x14ac:dyDescent="0.25">
      <c r="A3193" t="str">
        <f>"405302457"</f>
        <v>405302457</v>
      </c>
      <c r="B3193" t="str">
        <f t="shared" si="215"/>
        <v>89301000</v>
      </c>
      <c r="C3193" s="1">
        <v>44286</v>
      </c>
      <c r="D3193" s="1">
        <v>44287</v>
      </c>
      <c r="E3193">
        <v>8</v>
      </c>
      <c r="F3193" t="s">
        <v>479</v>
      </c>
      <c r="G3193" t="str">
        <f>"18-K01-06"</f>
        <v>18-K01-06</v>
      </c>
      <c r="H3193">
        <v>0.73560000000000003</v>
      </c>
      <c r="I3193" t="s">
        <v>2144</v>
      </c>
      <c r="J3193" t="s">
        <v>14</v>
      </c>
      <c r="K3193" t="str">
        <f>"1F1"</f>
        <v>1F1</v>
      </c>
      <c r="L3193" t="s">
        <v>15</v>
      </c>
    </row>
    <row r="3194" spans="1:12" x14ac:dyDescent="0.25">
      <c r="A3194" t="str">
        <f>"405306405"</f>
        <v>405306405</v>
      </c>
      <c r="B3194" t="str">
        <f t="shared" si="215"/>
        <v>89301000</v>
      </c>
      <c r="C3194" s="1">
        <v>44363</v>
      </c>
      <c r="D3194" s="1">
        <v>44366</v>
      </c>
      <c r="E3194">
        <v>1</v>
      </c>
      <c r="F3194" t="s">
        <v>1225</v>
      </c>
      <c r="G3194" t="str">
        <f>"01-K16-02"</f>
        <v>01-K16-02</v>
      </c>
      <c r="H3194">
        <v>1.0797000000000001</v>
      </c>
      <c r="I3194" t="s">
        <v>2145</v>
      </c>
      <c r="J3194" t="s">
        <v>14</v>
      </c>
      <c r="K3194" t="str">
        <f>"5F6"</f>
        <v>5F6</v>
      </c>
      <c r="L3194" t="s">
        <v>15</v>
      </c>
    </row>
    <row r="3195" spans="1:12" x14ac:dyDescent="0.25">
      <c r="A3195" t="str">
        <f>"405323406"</f>
        <v>405323406</v>
      </c>
      <c r="B3195" t="str">
        <f t="shared" si="215"/>
        <v>89301000</v>
      </c>
      <c r="C3195" s="1">
        <v>44232</v>
      </c>
      <c r="D3195" s="1">
        <v>44234</v>
      </c>
      <c r="E3195">
        <v>1</v>
      </c>
      <c r="F3195" t="s">
        <v>287</v>
      </c>
      <c r="G3195" t="str">
        <f>"01-K16-06"</f>
        <v>01-K16-06</v>
      </c>
      <c r="H3195">
        <v>0.26469999999999999</v>
      </c>
      <c r="I3195" t="s">
        <v>211</v>
      </c>
      <c r="J3195" t="s">
        <v>14</v>
      </c>
      <c r="K3195" t="str">
        <f>"5F3"</f>
        <v>5F3</v>
      </c>
      <c r="L3195" t="s">
        <v>15</v>
      </c>
    </row>
    <row r="3196" spans="1:12" x14ac:dyDescent="0.25">
      <c r="A3196" t="str">
        <f>"405323446"</f>
        <v>405323446</v>
      </c>
      <c r="B3196" t="str">
        <f t="shared" si="215"/>
        <v>89301000</v>
      </c>
      <c r="C3196" s="1">
        <v>44544</v>
      </c>
      <c r="D3196" s="1">
        <v>44546</v>
      </c>
      <c r="E3196">
        <v>1</v>
      </c>
      <c r="F3196" t="s">
        <v>2146</v>
      </c>
      <c r="G3196" t="str">
        <f>"06-M01-02"</f>
        <v>06-M01-02</v>
      </c>
      <c r="H3196">
        <v>1.3166</v>
      </c>
      <c r="I3196" t="s">
        <v>2147</v>
      </c>
      <c r="J3196" t="s">
        <v>14</v>
      </c>
      <c r="K3196" t="str">
        <f>"1F1"</f>
        <v>1F1</v>
      </c>
      <c r="L3196" t="s">
        <v>15</v>
      </c>
    </row>
    <row r="3197" spans="1:12" x14ac:dyDescent="0.25">
      <c r="A3197" t="str">
        <f>"405324422"</f>
        <v>405324422</v>
      </c>
      <c r="B3197" t="str">
        <f t="shared" si="215"/>
        <v>89301000</v>
      </c>
      <c r="C3197" s="1">
        <v>44199</v>
      </c>
      <c r="D3197" s="1">
        <v>44214</v>
      </c>
      <c r="E3197">
        <v>1</v>
      </c>
      <c r="F3197" t="s">
        <v>2148</v>
      </c>
      <c r="G3197" t="str">
        <f>"08-K08-00"</f>
        <v>08-K08-00</v>
      </c>
      <c r="H3197">
        <v>0.72240000000000004</v>
      </c>
      <c r="I3197" t="s">
        <v>2149</v>
      </c>
      <c r="J3197" t="s">
        <v>14</v>
      </c>
      <c r="K3197" t="str">
        <f>"2F9"</f>
        <v>2F9</v>
      </c>
      <c r="L3197" t="s">
        <v>15</v>
      </c>
    </row>
    <row r="3198" spans="1:12" x14ac:dyDescent="0.25">
      <c r="A3198" t="str">
        <f>"405406415"</f>
        <v>405406415</v>
      </c>
      <c r="B3198" t="str">
        <f t="shared" si="215"/>
        <v>89301000</v>
      </c>
      <c r="C3198" s="1">
        <v>44440</v>
      </c>
      <c r="D3198" s="1">
        <v>44447</v>
      </c>
      <c r="E3198">
        <v>1</v>
      </c>
      <c r="F3198" t="s">
        <v>1558</v>
      </c>
      <c r="G3198" t="str">
        <f>"05-M01-03"</f>
        <v>05-M01-03</v>
      </c>
      <c r="H3198">
        <v>12.3805</v>
      </c>
      <c r="I3198" t="s">
        <v>2150</v>
      </c>
      <c r="J3198" t="s">
        <v>17</v>
      </c>
      <c r="K3198" t="str">
        <f>"1F7"</f>
        <v>1F7</v>
      </c>
      <c r="L3198" t="s">
        <v>15</v>
      </c>
    </row>
    <row r="3199" spans="1:12" x14ac:dyDescent="0.25">
      <c r="A3199" t="str">
        <f>"405406415"</f>
        <v>405406415</v>
      </c>
      <c r="B3199" t="str">
        <f t="shared" si="215"/>
        <v>89301000</v>
      </c>
      <c r="C3199" s="1">
        <v>44411</v>
      </c>
      <c r="D3199" s="1">
        <v>44413</v>
      </c>
      <c r="E3199">
        <v>1</v>
      </c>
      <c r="F3199" t="s">
        <v>1558</v>
      </c>
      <c r="G3199" t="str">
        <f>"05-D01-05"</f>
        <v>05-D01-05</v>
      </c>
      <c r="H3199">
        <v>1.1738</v>
      </c>
      <c r="I3199" t="s">
        <v>2151</v>
      </c>
      <c r="J3199" t="s">
        <v>14</v>
      </c>
      <c r="K3199" t="str">
        <f>"1F1"</f>
        <v>1F1</v>
      </c>
      <c r="L3199" t="s">
        <v>15</v>
      </c>
    </row>
    <row r="3200" spans="1:12" x14ac:dyDescent="0.25">
      <c r="A3200" t="str">
        <f>"405408466"</f>
        <v>405408466</v>
      </c>
      <c r="B3200" t="str">
        <f t="shared" si="215"/>
        <v>89301000</v>
      </c>
      <c r="C3200" s="1">
        <v>44469</v>
      </c>
      <c r="D3200" s="1">
        <v>44473</v>
      </c>
      <c r="E3200">
        <v>1</v>
      </c>
      <c r="F3200" t="s">
        <v>420</v>
      </c>
      <c r="G3200" t="str">
        <f>"10-K03-03"</f>
        <v>10-K03-03</v>
      </c>
      <c r="H3200">
        <v>1.3075000000000001</v>
      </c>
      <c r="I3200" t="s">
        <v>2152</v>
      </c>
      <c r="J3200" t="s">
        <v>14</v>
      </c>
      <c r="K3200" t="str">
        <f>"1F1"</f>
        <v>1F1</v>
      </c>
      <c r="L3200" t="s">
        <v>15</v>
      </c>
    </row>
    <row r="3201" spans="1:12" x14ac:dyDescent="0.25">
      <c r="A3201" t="str">
        <f>"405408466"</f>
        <v>405408466</v>
      </c>
      <c r="B3201" t="str">
        <f t="shared" si="215"/>
        <v>89301000</v>
      </c>
      <c r="C3201" s="1">
        <v>44405</v>
      </c>
      <c r="D3201" s="1">
        <v>44407</v>
      </c>
      <c r="E3201">
        <v>2</v>
      </c>
      <c r="F3201" t="s">
        <v>247</v>
      </c>
      <c r="G3201" t="str">
        <f>"10-K13-02"</f>
        <v>10-K13-02</v>
      </c>
      <c r="H3201">
        <v>1.0143</v>
      </c>
      <c r="I3201" t="s">
        <v>2153</v>
      </c>
      <c r="J3201" t="s">
        <v>14</v>
      </c>
      <c r="K3201" t="str">
        <f>"1F1"</f>
        <v>1F1</v>
      </c>
      <c r="L3201" t="s">
        <v>15</v>
      </c>
    </row>
    <row r="3202" spans="1:12" x14ac:dyDescent="0.25">
      <c r="A3202" t="str">
        <f>"405408466"</f>
        <v>405408466</v>
      </c>
      <c r="B3202" t="str">
        <f t="shared" si="215"/>
        <v>89301000</v>
      </c>
      <c r="C3202" s="1">
        <v>44354</v>
      </c>
      <c r="D3202" s="1">
        <v>44357</v>
      </c>
      <c r="E3202">
        <v>2</v>
      </c>
      <c r="F3202" t="s">
        <v>2154</v>
      </c>
      <c r="G3202" t="str">
        <f>"10-K16-03"</f>
        <v>10-K16-03</v>
      </c>
      <c r="H3202">
        <v>0.37969999999999998</v>
      </c>
      <c r="I3202" t="s">
        <v>2155</v>
      </c>
      <c r="J3202" t="s">
        <v>14</v>
      </c>
      <c r="K3202" t="str">
        <f>"1F1"</f>
        <v>1F1</v>
      </c>
      <c r="L3202" t="s">
        <v>15</v>
      </c>
    </row>
    <row r="3203" spans="1:12" x14ac:dyDescent="0.25">
      <c r="A3203" t="str">
        <f>"405417475"</f>
        <v>405417475</v>
      </c>
      <c r="B3203" t="str">
        <f t="shared" si="215"/>
        <v>89301000</v>
      </c>
      <c r="C3203" s="1">
        <v>44244</v>
      </c>
      <c r="D3203" s="1">
        <v>44253</v>
      </c>
      <c r="E3203">
        <v>1</v>
      </c>
      <c r="F3203" t="s">
        <v>2026</v>
      </c>
      <c r="G3203" t="str">
        <f>"08-K08-00"</f>
        <v>08-K08-00</v>
      </c>
      <c r="H3203">
        <v>0.51670000000000005</v>
      </c>
      <c r="I3203" t="s">
        <v>2156</v>
      </c>
      <c r="J3203" t="s">
        <v>14</v>
      </c>
      <c r="K3203" t="str">
        <f>"2F9"</f>
        <v>2F9</v>
      </c>
      <c r="L3203" t="s">
        <v>15</v>
      </c>
    </row>
    <row r="3204" spans="1:12" x14ac:dyDescent="0.25">
      <c r="A3204" t="str">
        <f>"405417475"</f>
        <v>405417475</v>
      </c>
      <c r="B3204" t="str">
        <f t="shared" si="215"/>
        <v>89301000</v>
      </c>
      <c r="C3204" s="1">
        <v>44433</v>
      </c>
      <c r="D3204" s="1">
        <v>44439</v>
      </c>
      <c r="E3204">
        <v>1</v>
      </c>
      <c r="F3204" t="s">
        <v>1599</v>
      </c>
      <c r="G3204" t="str">
        <f>"05-K07-04"</f>
        <v>05-K07-04</v>
      </c>
      <c r="H3204">
        <v>1.131</v>
      </c>
      <c r="I3204" t="s">
        <v>2157</v>
      </c>
      <c r="J3204" t="s">
        <v>14</v>
      </c>
      <c r="K3204" t="str">
        <f>"1F1"</f>
        <v>1F1</v>
      </c>
      <c r="L3204" t="s">
        <v>15</v>
      </c>
    </row>
    <row r="3205" spans="1:12" x14ac:dyDescent="0.25">
      <c r="A3205" t="str">
        <f>"405418455"</f>
        <v>405418455</v>
      </c>
      <c r="B3205" t="str">
        <f t="shared" si="215"/>
        <v>89301000</v>
      </c>
      <c r="C3205" s="1">
        <v>44537</v>
      </c>
      <c r="D3205" s="1">
        <v>44546</v>
      </c>
      <c r="E3205">
        <v>1</v>
      </c>
      <c r="F3205" t="s">
        <v>1602</v>
      </c>
      <c r="G3205" t="str">
        <f>"05-K07-04"</f>
        <v>05-K07-04</v>
      </c>
      <c r="H3205">
        <v>1.131</v>
      </c>
      <c r="I3205" t="s">
        <v>2158</v>
      </c>
      <c r="J3205" t="s">
        <v>14</v>
      </c>
      <c r="K3205" t="str">
        <f>"1F1"</f>
        <v>1F1</v>
      </c>
      <c r="L3205" t="s">
        <v>15</v>
      </c>
    </row>
    <row r="3206" spans="1:12" x14ac:dyDescent="0.25">
      <c r="A3206" t="str">
        <f>"405419422"</f>
        <v>405419422</v>
      </c>
      <c r="B3206" t="str">
        <f t="shared" si="215"/>
        <v>89301000</v>
      </c>
      <c r="C3206" s="1">
        <v>44430</v>
      </c>
      <c r="D3206" s="1">
        <v>44432</v>
      </c>
      <c r="E3206">
        <v>1</v>
      </c>
      <c r="F3206" t="s">
        <v>1683</v>
      </c>
      <c r="G3206" t="str">
        <f>"05-M06-06"</f>
        <v>05-M06-06</v>
      </c>
      <c r="H3206">
        <v>1.7652000000000001</v>
      </c>
      <c r="J3206" t="s">
        <v>17</v>
      </c>
      <c r="K3206" t="str">
        <f>"1F1"</f>
        <v>1F1</v>
      </c>
      <c r="L3206" t="s">
        <v>15</v>
      </c>
    </row>
    <row r="3207" spans="1:12" x14ac:dyDescent="0.25">
      <c r="A3207" t="str">
        <f>"405424448"</f>
        <v>405424448</v>
      </c>
      <c r="B3207" t="str">
        <f t="shared" si="215"/>
        <v>89301000</v>
      </c>
      <c r="C3207" s="1">
        <v>44364</v>
      </c>
      <c r="D3207" s="1">
        <v>44366</v>
      </c>
      <c r="E3207">
        <v>1</v>
      </c>
      <c r="F3207" t="s">
        <v>2159</v>
      </c>
      <c r="G3207" t="str">
        <f>"14-I08-03"</f>
        <v>14-I08-03</v>
      </c>
      <c r="H3207">
        <v>0.21099999999999999</v>
      </c>
      <c r="J3207" t="s">
        <v>14</v>
      </c>
      <c r="K3207" t="str">
        <f>"6F3"</f>
        <v>6F3</v>
      </c>
      <c r="L3207" t="s">
        <v>15</v>
      </c>
    </row>
    <row r="3208" spans="1:12" x14ac:dyDescent="0.25">
      <c r="A3208" t="str">
        <f>"405501401"</f>
        <v>405501401</v>
      </c>
      <c r="B3208" t="str">
        <f t="shared" si="215"/>
        <v>89301000</v>
      </c>
      <c r="C3208" s="1">
        <v>44514</v>
      </c>
      <c r="D3208" s="1">
        <v>44526</v>
      </c>
      <c r="E3208">
        <v>5</v>
      </c>
      <c r="F3208" t="s">
        <v>217</v>
      </c>
      <c r="G3208" t="str">
        <f>"04-K02-03"</f>
        <v>04-K02-03</v>
      </c>
      <c r="H3208">
        <v>1.2859</v>
      </c>
      <c r="I3208" t="s">
        <v>2160</v>
      </c>
      <c r="J3208" t="s">
        <v>14</v>
      </c>
      <c r="K3208" t="str">
        <f>"1F6"</f>
        <v>1F6</v>
      </c>
      <c r="L3208" t="s">
        <v>15</v>
      </c>
    </row>
    <row r="3209" spans="1:12" x14ac:dyDescent="0.25">
      <c r="A3209" t="str">
        <f>"405508410"</f>
        <v>405508410</v>
      </c>
      <c r="B3209" t="str">
        <f t="shared" si="215"/>
        <v>89301000</v>
      </c>
      <c r="C3209" s="1">
        <v>44397</v>
      </c>
      <c r="D3209" s="1">
        <v>44399</v>
      </c>
      <c r="E3209">
        <v>7</v>
      </c>
      <c r="F3209" t="s">
        <v>1894</v>
      </c>
      <c r="G3209" t="str">
        <f>"01-K11-03"</f>
        <v>01-K11-03</v>
      </c>
      <c r="H3209">
        <v>1.5643</v>
      </c>
      <c r="I3209" t="s">
        <v>2161</v>
      </c>
      <c r="J3209" t="s">
        <v>14</v>
      </c>
      <c r="K3209" t="str">
        <f>"2T9"</f>
        <v>2T9</v>
      </c>
      <c r="L3209" t="s">
        <v>15</v>
      </c>
    </row>
    <row r="3210" spans="1:12" x14ac:dyDescent="0.25">
      <c r="A3210" t="str">
        <f>"405509458"</f>
        <v>405509458</v>
      </c>
      <c r="B3210" t="str">
        <f t="shared" si="215"/>
        <v>89301000</v>
      </c>
      <c r="C3210" s="1">
        <v>44252</v>
      </c>
      <c r="D3210" s="1">
        <v>44254</v>
      </c>
      <c r="E3210">
        <v>1</v>
      </c>
      <c r="F3210" t="s">
        <v>2162</v>
      </c>
      <c r="G3210" t="str">
        <f>"01-K01-02"</f>
        <v>01-K01-02</v>
      </c>
      <c r="H3210">
        <v>0.50700000000000001</v>
      </c>
      <c r="I3210" t="s">
        <v>2163</v>
      </c>
      <c r="J3210" t="s">
        <v>14</v>
      </c>
      <c r="K3210" t="str">
        <f>"2F9"</f>
        <v>2F9</v>
      </c>
      <c r="L3210" t="s">
        <v>15</v>
      </c>
    </row>
    <row r="3211" spans="1:12" x14ac:dyDescent="0.25">
      <c r="A3211" t="str">
        <f>"405510426"</f>
        <v>405510426</v>
      </c>
      <c r="B3211" t="str">
        <f t="shared" si="215"/>
        <v>89301000</v>
      </c>
      <c r="C3211" s="1">
        <v>44292</v>
      </c>
      <c r="D3211" s="1">
        <v>44292</v>
      </c>
      <c r="E3211">
        <v>1</v>
      </c>
      <c r="F3211" t="s">
        <v>1557</v>
      </c>
      <c r="G3211" t="str">
        <f>"05-D01-08"</f>
        <v>05-D01-08</v>
      </c>
      <c r="H3211">
        <v>0.21890000000000001</v>
      </c>
      <c r="I3211" t="s">
        <v>2164</v>
      </c>
      <c r="J3211" t="s">
        <v>14</v>
      </c>
      <c r="K3211" t="str">
        <f>"1F1"</f>
        <v>1F1</v>
      </c>
      <c r="L3211" t="s">
        <v>15</v>
      </c>
    </row>
    <row r="3212" spans="1:12" x14ac:dyDescent="0.25">
      <c r="A3212" t="str">
        <f>"405517429"</f>
        <v>405517429</v>
      </c>
      <c r="B3212" t="str">
        <f t="shared" si="215"/>
        <v>89301000</v>
      </c>
      <c r="C3212" s="1">
        <v>44460</v>
      </c>
      <c r="D3212" s="1">
        <v>44474</v>
      </c>
      <c r="E3212">
        <v>4</v>
      </c>
      <c r="F3212" t="s">
        <v>2165</v>
      </c>
      <c r="G3212" t="str">
        <f>"08-I14-01"</f>
        <v>08-I14-01</v>
      </c>
      <c r="H3212">
        <v>3.8473000000000002</v>
      </c>
      <c r="I3212" t="s">
        <v>2166</v>
      </c>
      <c r="J3212" t="s">
        <v>17</v>
      </c>
      <c r="K3212" t="str">
        <f>"5F3"</f>
        <v>5F3</v>
      </c>
      <c r="L3212" t="s">
        <v>15</v>
      </c>
    </row>
    <row r="3213" spans="1:12" x14ac:dyDescent="0.25">
      <c r="A3213" t="str">
        <f>"405525439"</f>
        <v>405525439</v>
      </c>
      <c r="B3213" t="str">
        <f t="shared" si="215"/>
        <v>89301000</v>
      </c>
      <c r="C3213" s="1">
        <v>44549</v>
      </c>
      <c r="D3213" s="1">
        <v>44552</v>
      </c>
      <c r="E3213">
        <v>1</v>
      </c>
      <c r="F3213" t="s">
        <v>1340</v>
      </c>
      <c r="G3213" t="str">
        <f>"16-K02-03"</f>
        <v>16-K02-03</v>
      </c>
      <c r="H3213">
        <v>0.5302</v>
      </c>
      <c r="I3213" t="s">
        <v>2167</v>
      </c>
      <c r="J3213" t="s">
        <v>14</v>
      </c>
      <c r="K3213" t="str">
        <f>"1F5"</f>
        <v>1F5</v>
      </c>
      <c r="L3213" t="s">
        <v>15</v>
      </c>
    </row>
    <row r="3214" spans="1:12" x14ac:dyDescent="0.25">
      <c r="A3214" t="str">
        <f>"405526401"</f>
        <v>405526401</v>
      </c>
      <c r="B3214" t="str">
        <f t="shared" si="215"/>
        <v>89301000</v>
      </c>
      <c r="C3214" s="1">
        <v>44213</v>
      </c>
      <c r="D3214" s="1">
        <v>44214</v>
      </c>
      <c r="E3214">
        <v>8</v>
      </c>
      <c r="F3214" t="s">
        <v>962</v>
      </c>
      <c r="G3214" t="str">
        <f>"04-K08-01"</f>
        <v>04-K08-01</v>
      </c>
      <c r="H3214">
        <v>0.52829999999999999</v>
      </c>
      <c r="I3214" t="s">
        <v>2168</v>
      </c>
      <c r="J3214" t="s">
        <v>14</v>
      </c>
      <c r="K3214" t="str">
        <f>"7T8"</f>
        <v>7T8</v>
      </c>
      <c r="L3214" t="s">
        <v>15</v>
      </c>
    </row>
    <row r="3215" spans="1:12" x14ac:dyDescent="0.25">
      <c r="A3215" t="str">
        <f>"405531067"</f>
        <v>405531067</v>
      </c>
      <c r="B3215" t="str">
        <f t="shared" si="215"/>
        <v>89301000</v>
      </c>
      <c r="C3215" s="1">
        <v>44464</v>
      </c>
      <c r="D3215" s="1">
        <v>44468</v>
      </c>
      <c r="E3215">
        <v>1</v>
      </c>
      <c r="F3215" t="s">
        <v>354</v>
      </c>
      <c r="G3215" t="str">
        <f>"10-K14-03"</f>
        <v>10-K14-03</v>
      </c>
      <c r="H3215">
        <v>0.50439999999999996</v>
      </c>
      <c r="I3215" t="s">
        <v>2169</v>
      </c>
      <c r="J3215" t="s">
        <v>14</v>
      </c>
      <c r="K3215" t="str">
        <f>"1F1"</f>
        <v>1F1</v>
      </c>
      <c r="L3215" t="s">
        <v>15</v>
      </c>
    </row>
    <row r="3216" spans="1:12" x14ac:dyDescent="0.25">
      <c r="A3216" t="str">
        <f>"405609477"</f>
        <v>405609477</v>
      </c>
      <c r="B3216" t="str">
        <f t="shared" si="215"/>
        <v>89301000</v>
      </c>
      <c r="C3216" s="1">
        <v>44444</v>
      </c>
      <c r="D3216" s="1">
        <v>44454</v>
      </c>
      <c r="E3216">
        <v>2</v>
      </c>
      <c r="F3216" t="s">
        <v>1240</v>
      </c>
      <c r="G3216" t="str">
        <f>"11-K01-02"</f>
        <v>11-K01-02</v>
      </c>
      <c r="H3216">
        <v>0.82289999999999996</v>
      </c>
      <c r="I3216" t="s">
        <v>2170</v>
      </c>
      <c r="J3216" t="s">
        <v>14</v>
      </c>
      <c r="K3216" t="str">
        <f>"1F5"</f>
        <v>1F5</v>
      </c>
      <c r="L3216" t="s">
        <v>15</v>
      </c>
    </row>
    <row r="3217" spans="1:12" x14ac:dyDescent="0.25">
      <c r="A3217" t="str">
        <f>"405610404"</f>
        <v>405610404</v>
      </c>
      <c r="B3217" t="str">
        <f t="shared" si="215"/>
        <v>89301000</v>
      </c>
      <c r="C3217" s="1">
        <v>44412</v>
      </c>
      <c r="D3217" s="1">
        <v>44418</v>
      </c>
      <c r="E3217">
        <v>1</v>
      </c>
      <c r="F3217" t="s">
        <v>2171</v>
      </c>
      <c r="G3217" t="str">
        <f>"19-K01-03"</f>
        <v>19-K01-03</v>
      </c>
      <c r="H3217">
        <v>0.60250000000000004</v>
      </c>
      <c r="I3217" t="s">
        <v>2172</v>
      </c>
      <c r="J3217" t="s">
        <v>27</v>
      </c>
      <c r="K3217" t="str">
        <f>"2F9"</f>
        <v>2F9</v>
      </c>
      <c r="L3217" t="s">
        <v>15</v>
      </c>
    </row>
    <row r="3218" spans="1:12" x14ac:dyDescent="0.25">
      <c r="A3218" t="str">
        <f>"405701438"</f>
        <v>405701438</v>
      </c>
      <c r="B3218" t="str">
        <f t="shared" si="215"/>
        <v>89301000</v>
      </c>
      <c r="C3218" s="1">
        <v>44524</v>
      </c>
      <c r="D3218" s="1">
        <v>44525</v>
      </c>
      <c r="E3218">
        <v>7</v>
      </c>
      <c r="F3218" t="s">
        <v>2173</v>
      </c>
      <c r="G3218" t="str">
        <f>"01-K18-01"</f>
        <v>01-K18-01</v>
      </c>
      <c r="H3218">
        <v>1.2774000000000001</v>
      </c>
      <c r="I3218" t="s">
        <v>2174</v>
      </c>
      <c r="J3218" t="s">
        <v>14</v>
      </c>
      <c r="K3218" t="str">
        <f>"1T1"</f>
        <v>1T1</v>
      </c>
      <c r="L3218" t="s">
        <v>15</v>
      </c>
    </row>
    <row r="3219" spans="1:12" x14ac:dyDescent="0.25">
      <c r="A3219" t="str">
        <f>"405702472"</f>
        <v>405702472</v>
      </c>
      <c r="B3219" t="str">
        <f t="shared" si="215"/>
        <v>89301000</v>
      </c>
      <c r="C3219" s="1">
        <v>44472</v>
      </c>
      <c r="D3219" s="1">
        <v>44487</v>
      </c>
      <c r="E3219">
        <v>1</v>
      </c>
      <c r="F3219" t="s">
        <v>699</v>
      </c>
      <c r="G3219" t="str">
        <f>"16-K02-03"</f>
        <v>16-K02-03</v>
      </c>
      <c r="H3219">
        <v>0.91500000000000004</v>
      </c>
      <c r="I3219" t="s">
        <v>2175</v>
      </c>
      <c r="J3219" t="s">
        <v>14</v>
      </c>
      <c r="K3219" t="str">
        <f>"1F1"</f>
        <v>1F1</v>
      </c>
      <c r="L3219" t="s">
        <v>15</v>
      </c>
    </row>
    <row r="3220" spans="1:12" x14ac:dyDescent="0.25">
      <c r="A3220" t="str">
        <f>"405810445"</f>
        <v>405810445</v>
      </c>
      <c r="B3220" t="str">
        <f t="shared" si="215"/>
        <v>89301000</v>
      </c>
      <c r="C3220" s="1">
        <v>44231</v>
      </c>
      <c r="D3220" s="1">
        <v>44235</v>
      </c>
      <c r="E3220">
        <v>1</v>
      </c>
      <c r="F3220" t="s">
        <v>2068</v>
      </c>
      <c r="G3220" t="str">
        <f>"02-I06-02"</f>
        <v>02-I06-02</v>
      </c>
      <c r="H3220">
        <v>0.90300000000000002</v>
      </c>
      <c r="I3220" t="s">
        <v>2176</v>
      </c>
      <c r="J3220" t="s">
        <v>17</v>
      </c>
      <c r="K3220" t="str">
        <f>"7F5"</f>
        <v>7F5</v>
      </c>
      <c r="L3220" t="s">
        <v>15</v>
      </c>
    </row>
    <row r="3221" spans="1:12" x14ac:dyDescent="0.25">
      <c r="A3221" t="str">
        <f>"405822455"</f>
        <v>405822455</v>
      </c>
      <c r="B3221" t="str">
        <f t="shared" si="215"/>
        <v>89301000</v>
      </c>
      <c r="C3221" s="1">
        <v>44355</v>
      </c>
      <c r="D3221" s="1">
        <v>44365</v>
      </c>
      <c r="E3221">
        <v>4</v>
      </c>
      <c r="F3221" t="s">
        <v>2177</v>
      </c>
      <c r="G3221" t="str">
        <f>"01-K04-02"</f>
        <v>01-K04-02</v>
      </c>
      <c r="H3221">
        <v>0.80059999999999998</v>
      </c>
      <c r="I3221" t="s">
        <v>2178</v>
      </c>
      <c r="J3221" t="s">
        <v>14</v>
      </c>
      <c r="K3221" t="str">
        <f>"3F5"</f>
        <v>3F5</v>
      </c>
      <c r="L3221" t="s">
        <v>15</v>
      </c>
    </row>
    <row r="3222" spans="1:12" x14ac:dyDescent="0.25">
      <c r="A3222" t="str">
        <f>"405825415"</f>
        <v>405825415</v>
      </c>
      <c r="B3222" t="str">
        <f t="shared" si="215"/>
        <v>89301000</v>
      </c>
      <c r="C3222" s="1">
        <v>44545</v>
      </c>
      <c r="D3222" s="1">
        <v>44551</v>
      </c>
      <c r="E3222">
        <v>1</v>
      </c>
      <c r="F3222" t="s">
        <v>1558</v>
      </c>
      <c r="G3222" t="str">
        <f>"05-M01-03"</f>
        <v>05-M01-03</v>
      </c>
      <c r="H3222">
        <v>12.3805</v>
      </c>
      <c r="I3222" t="s">
        <v>2179</v>
      </c>
      <c r="J3222" t="s">
        <v>17</v>
      </c>
      <c r="K3222" t="str">
        <f>"1F1"</f>
        <v>1F1</v>
      </c>
      <c r="L3222" t="s">
        <v>15</v>
      </c>
    </row>
    <row r="3223" spans="1:12" x14ac:dyDescent="0.25">
      <c r="A3223" t="str">
        <f>"405825415"</f>
        <v>405825415</v>
      </c>
      <c r="B3223" t="str">
        <f t="shared" si="215"/>
        <v>89301000</v>
      </c>
      <c r="C3223" s="1">
        <v>44481</v>
      </c>
      <c r="D3223" s="1">
        <v>44491</v>
      </c>
      <c r="E3223">
        <v>1</v>
      </c>
      <c r="F3223" t="s">
        <v>1558</v>
      </c>
      <c r="G3223" t="str">
        <f>"05-D01-06"</f>
        <v>05-D01-06</v>
      </c>
      <c r="H3223">
        <v>0.97389999999999999</v>
      </c>
      <c r="I3223" t="s">
        <v>2180</v>
      </c>
      <c r="J3223" t="s">
        <v>14</v>
      </c>
      <c r="K3223" t="str">
        <f>"1F7"</f>
        <v>1F7</v>
      </c>
      <c r="L3223" t="s">
        <v>15</v>
      </c>
    </row>
    <row r="3224" spans="1:12" x14ac:dyDescent="0.25">
      <c r="A3224" t="str">
        <f>"405825415"</f>
        <v>405825415</v>
      </c>
      <c r="B3224" t="str">
        <f t="shared" si="215"/>
        <v>89301000</v>
      </c>
      <c r="C3224" s="1">
        <v>44497</v>
      </c>
      <c r="D3224" s="1">
        <v>44502</v>
      </c>
      <c r="E3224">
        <v>1</v>
      </c>
      <c r="F3224" t="s">
        <v>1558</v>
      </c>
      <c r="G3224" t="str">
        <f>"05-K09-03"</f>
        <v>05-K09-03</v>
      </c>
      <c r="H3224">
        <v>0.51200000000000001</v>
      </c>
      <c r="I3224" t="s">
        <v>2181</v>
      </c>
      <c r="J3224" t="s">
        <v>14</v>
      </c>
      <c r="K3224" t="str">
        <f>"1F7"</f>
        <v>1F7</v>
      </c>
      <c r="L3224" t="s">
        <v>15</v>
      </c>
    </row>
    <row r="3225" spans="1:12" x14ac:dyDescent="0.25">
      <c r="A3225" t="str">
        <f>"405828463"</f>
        <v>405828463</v>
      </c>
      <c r="B3225" t="str">
        <f t="shared" si="215"/>
        <v>89301000</v>
      </c>
      <c r="C3225" s="1">
        <v>44406</v>
      </c>
      <c r="D3225" s="1">
        <v>44428</v>
      </c>
      <c r="E3225">
        <v>1</v>
      </c>
      <c r="F3225" t="s">
        <v>109</v>
      </c>
      <c r="G3225" t="str">
        <f>"24-M08-01"</f>
        <v>24-M08-01</v>
      </c>
      <c r="H3225">
        <v>2.5592999999999999</v>
      </c>
      <c r="I3225" t="s">
        <v>2182</v>
      </c>
      <c r="J3225" t="s">
        <v>14</v>
      </c>
      <c r="K3225" t="str">
        <f>"2F1"</f>
        <v>2F1</v>
      </c>
      <c r="L3225" t="s">
        <v>15</v>
      </c>
    </row>
    <row r="3226" spans="1:12" x14ac:dyDescent="0.25">
      <c r="A3226" t="str">
        <f>"405828463"</f>
        <v>405828463</v>
      </c>
      <c r="B3226" t="str">
        <f t="shared" si="215"/>
        <v>89301000</v>
      </c>
      <c r="C3226" s="1">
        <v>44399</v>
      </c>
      <c r="D3226" s="1">
        <v>44406</v>
      </c>
      <c r="E3226">
        <v>3</v>
      </c>
      <c r="F3226" t="s">
        <v>67</v>
      </c>
      <c r="G3226" t="str">
        <f>"01-K10-03"</f>
        <v>01-K10-03</v>
      </c>
      <c r="H3226">
        <v>1.0016</v>
      </c>
      <c r="I3226" t="s">
        <v>2183</v>
      </c>
      <c r="J3226" t="s">
        <v>14</v>
      </c>
      <c r="K3226" t="str">
        <f>"2F9"</f>
        <v>2F9</v>
      </c>
      <c r="L3226" t="s">
        <v>15</v>
      </c>
    </row>
    <row r="3227" spans="1:12" x14ac:dyDescent="0.25">
      <c r="A3227" t="str">
        <f>"405917463"</f>
        <v>405917463</v>
      </c>
      <c r="B3227" t="str">
        <f t="shared" ref="B3227:B3290" si="216">"89301000"</f>
        <v>89301000</v>
      </c>
      <c r="C3227" s="1">
        <v>44536</v>
      </c>
      <c r="D3227" s="1">
        <v>44543</v>
      </c>
      <c r="E3227">
        <v>1</v>
      </c>
      <c r="F3227" t="s">
        <v>217</v>
      </c>
      <c r="G3227" t="str">
        <f>"04-K02-04"</f>
        <v>04-K02-04</v>
      </c>
      <c r="H3227">
        <v>0.82469999999999999</v>
      </c>
      <c r="I3227" t="s">
        <v>2184</v>
      </c>
      <c r="J3227" t="s">
        <v>14</v>
      </c>
      <c r="K3227" t="str">
        <f>"1F6"</f>
        <v>1F6</v>
      </c>
      <c r="L3227" t="s">
        <v>15</v>
      </c>
    </row>
    <row r="3228" spans="1:12" x14ac:dyDescent="0.25">
      <c r="A3228" t="str">
        <f>"405919405"</f>
        <v>405919405</v>
      </c>
      <c r="B3228" t="str">
        <f t="shared" si="216"/>
        <v>89301000</v>
      </c>
      <c r="C3228" s="1">
        <v>44358</v>
      </c>
      <c r="D3228" s="1">
        <v>44359</v>
      </c>
      <c r="E3228">
        <v>1</v>
      </c>
      <c r="F3228" t="s">
        <v>2185</v>
      </c>
      <c r="G3228" t="str">
        <f>"07-K07-02"</f>
        <v>07-K07-02</v>
      </c>
      <c r="H3228">
        <v>0.53259999999999996</v>
      </c>
      <c r="I3228" t="s">
        <v>2186</v>
      </c>
      <c r="J3228" t="s">
        <v>14</v>
      </c>
      <c r="K3228" t="str">
        <f>"1F1"</f>
        <v>1F1</v>
      </c>
      <c r="L3228" t="s">
        <v>15</v>
      </c>
    </row>
    <row r="3229" spans="1:12" x14ac:dyDescent="0.25">
      <c r="A3229" t="str">
        <f>"405920952"</f>
        <v>405920952</v>
      </c>
      <c r="B3229" t="str">
        <f t="shared" si="216"/>
        <v>89301000</v>
      </c>
      <c r="C3229" s="1">
        <v>44438</v>
      </c>
      <c r="D3229" s="1">
        <v>44446</v>
      </c>
      <c r="E3229">
        <v>5</v>
      </c>
      <c r="F3229" t="s">
        <v>146</v>
      </c>
      <c r="G3229" t="str">
        <f>"17-C05-04"</f>
        <v>17-C05-04</v>
      </c>
      <c r="H3229">
        <v>0.7712</v>
      </c>
      <c r="I3229" t="s">
        <v>2187</v>
      </c>
      <c r="J3229" t="s">
        <v>14</v>
      </c>
      <c r="K3229" t="str">
        <f>"2F2"</f>
        <v>2F2</v>
      </c>
      <c r="L3229" t="s">
        <v>15</v>
      </c>
    </row>
    <row r="3230" spans="1:12" x14ac:dyDescent="0.25">
      <c r="A3230" t="str">
        <f>"406008412"</f>
        <v>406008412</v>
      </c>
      <c r="B3230" t="str">
        <f t="shared" si="216"/>
        <v>89301000</v>
      </c>
      <c r="C3230" s="1">
        <v>44389</v>
      </c>
      <c r="D3230" s="1">
        <v>44397</v>
      </c>
      <c r="E3230">
        <v>7</v>
      </c>
      <c r="F3230" t="s">
        <v>979</v>
      </c>
      <c r="G3230" t="str">
        <f>"04-K02-04"</f>
        <v>04-K02-04</v>
      </c>
      <c r="H3230">
        <v>0.82469999999999999</v>
      </c>
      <c r="I3230" t="s">
        <v>2188</v>
      </c>
      <c r="J3230" t="s">
        <v>14</v>
      </c>
      <c r="K3230" t="str">
        <f>"1F1"</f>
        <v>1F1</v>
      </c>
      <c r="L3230" t="s">
        <v>15</v>
      </c>
    </row>
    <row r="3231" spans="1:12" x14ac:dyDescent="0.25">
      <c r="A3231" t="str">
        <f>"406016454"</f>
        <v>406016454</v>
      </c>
      <c r="B3231" t="str">
        <f t="shared" si="216"/>
        <v>89301000</v>
      </c>
      <c r="C3231" s="1">
        <v>44305</v>
      </c>
      <c r="D3231" s="1">
        <v>44309</v>
      </c>
      <c r="E3231">
        <v>1</v>
      </c>
      <c r="F3231" t="s">
        <v>1558</v>
      </c>
      <c r="G3231" t="str">
        <f>"05-D01-06"</f>
        <v>05-D01-06</v>
      </c>
      <c r="H3231">
        <v>0.7611</v>
      </c>
      <c r="I3231" t="s">
        <v>2189</v>
      </c>
      <c r="J3231" t="s">
        <v>14</v>
      </c>
      <c r="K3231" t="str">
        <f>"1F1"</f>
        <v>1F1</v>
      </c>
      <c r="L3231" t="s">
        <v>15</v>
      </c>
    </row>
    <row r="3232" spans="1:12" x14ac:dyDescent="0.25">
      <c r="A3232" t="str">
        <f>"406016454"</f>
        <v>406016454</v>
      </c>
      <c r="B3232" t="str">
        <f t="shared" si="216"/>
        <v>89301000</v>
      </c>
      <c r="C3232" s="1">
        <v>44335</v>
      </c>
      <c r="D3232" s="1">
        <v>44342</v>
      </c>
      <c r="E3232">
        <v>1</v>
      </c>
      <c r="F3232" t="s">
        <v>1558</v>
      </c>
      <c r="G3232" t="str">
        <f>"05-M01-01"</f>
        <v>05-M01-01</v>
      </c>
      <c r="H3232">
        <v>15.029299999999999</v>
      </c>
      <c r="I3232" t="s">
        <v>2190</v>
      </c>
      <c r="J3232" t="s">
        <v>17</v>
      </c>
      <c r="K3232" t="str">
        <f>"1F7"</f>
        <v>1F7</v>
      </c>
      <c r="L3232" t="s">
        <v>15</v>
      </c>
    </row>
    <row r="3233" spans="1:12" x14ac:dyDescent="0.25">
      <c r="A3233" t="str">
        <f>"406016454"</f>
        <v>406016454</v>
      </c>
      <c r="B3233" t="str">
        <f t="shared" si="216"/>
        <v>89301000</v>
      </c>
      <c r="C3233" s="1">
        <v>44249</v>
      </c>
      <c r="D3233" s="1">
        <v>44251</v>
      </c>
      <c r="E3233">
        <v>5</v>
      </c>
      <c r="F3233" t="s">
        <v>2191</v>
      </c>
      <c r="G3233" t="str">
        <f>"06-K10-02"</f>
        <v>06-K10-02</v>
      </c>
      <c r="H3233">
        <v>0.88419999999999999</v>
      </c>
      <c r="I3233" t="s">
        <v>2192</v>
      </c>
      <c r="J3233" t="s">
        <v>14</v>
      </c>
      <c r="K3233" t="str">
        <f>"1F1"</f>
        <v>1F1</v>
      </c>
      <c r="L3233" t="s">
        <v>15</v>
      </c>
    </row>
    <row r="3234" spans="1:12" x14ac:dyDescent="0.25">
      <c r="A3234" t="str">
        <f>"406018423"</f>
        <v>406018423</v>
      </c>
      <c r="B3234" t="str">
        <f t="shared" si="216"/>
        <v>89301000</v>
      </c>
      <c r="C3234" s="1">
        <v>44323</v>
      </c>
      <c r="D3234" s="1">
        <v>44323</v>
      </c>
      <c r="E3234">
        <v>1</v>
      </c>
      <c r="F3234" t="s">
        <v>1567</v>
      </c>
      <c r="G3234" t="str">
        <f>"05-I25-03"</f>
        <v>05-I25-03</v>
      </c>
      <c r="H3234">
        <v>1.2622</v>
      </c>
      <c r="I3234" t="s">
        <v>489</v>
      </c>
      <c r="J3234" t="s">
        <v>17</v>
      </c>
      <c r="K3234" t="str">
        <f>"1F1"</f>
        <v>1F1</v>
      </c>
      <c r="L3234" t="s">
        <v>15</v>
      </c>
    </row>
    <row r="3235" spans="1:12" x14ac:dyDescent="0.25">
      <c r="A3235" t="str">
        <f>"406020416"</f>
        <v>406020416</v>
      </c>
      <c r="B3235" t="str">
        <f t="shared" si="216"/>
        <v>89301000</v>
      </c>
      <c r="C3235" s="1">
        <v>44426</v>
      </c>
      <c r="D3235" s="1">
        <v>44434</v>
      </c>
      <c r="E3235">
        <v>1</v>
      </c>
      <c r="F3235" t="s">
        <v>1899</v>
      </c>
      <c r="G3235" t="str">
        <f>"08-K08-00"</f>
        <v>08-K08-00</v>
      </c>
      <c r="H3235">
        <v>0.51670000000000005</v>
      </c>
      <c r="I3235" t="s">
        <v>2193</v>
      </c>
      <c r="J3235" t="s">
        <v>14</v>
      </c>
      <c r="K3235" t="str">
        <f>"2F9"</f>
        <v>2F9</v>
      </c>
      <c r="L3235" t="s">
        <v>15</v>
      </c>
    </row>
    <row r="3236" spans="1:12" x14ac:dyDescent="0.25">
      <c r="A3236" t="str">
        <f>"406020416"</f>
        <v>406020416</v>
      </c>
      <c r="B3236" t="str">
        <f t="shared" si="216"/>
        <v>89301000</v>
      </c>
      <c r="C3236" s="1">
        <v>44507</v>
      </c>
      <c r="D3236" s="1">
        <v>44509</v>
      </c>
      <c r="E3236">
        <v>5</v>
      </c>
      <c r="F3236" t="s">
        <v>217</v>
      </c>
      <c r="G3236" t="str">
        <f>"04-K02-04"</f>
        <v>04-K02-04</v>
      </c>
      <c r="H3236">
        <v>0.82469999999999999</v>
      </c>
      <c r="I3236" t="s">
        <v>2194</v>
      </c>
      <c r="J3236" t="s">
        <v>14</v>
      </c>
      <c r="K3236" t="str">
        <f>"1F1"</f>
        <v>1F1</v>
      </c>
      <c r="L3236" t="s">
        <v>15</v>
      </c>
    </row>
    <row r="3237" spans="1:12" x14ac:dyDescent="0.25">
      <c r="A3237" t="str">
        <f>"406023723"</f>
        <v>406023723</v>
      </c>
      <c r="B3237" t="str">
        <f t="shared" si="216"/>
        <v>89301000</v>
      </c>
      <c r="C3237" s="1">
        <v>44386</v>
      </c>
      <c r="D3237" s="1">
        <v>44390</v>
      </c>
      <c r="E3237">
        <v>5</v>
      </c>
      <c r="F3237" t="s">
        <v>2195</v>
      </c>
      <c r="G3237" t="str">
        <f>"08-I04-02"</f>
        <v>08-I04-02</v>
      </c>
      <c r="H3237">
        <v>1.6718999999999999</v>
      </c>
      <c r="I3237" t="s">
        <v>2196</v>
      </c>
      <c r="J3237" t="s">
        <v>17</v>
      </c>
      <c r="K3237" t="str">
        <f>"5T6"</f>
        <v>5T6</v>
      </c>
      <c r="L3237" t="s">
        <v>15</v>
      </c>
    </row>
    <row r="3238" spans="1:12" x14ac:dyDescent="0.25">
      <c r="A3238" t="str">
        <f>"406024047"</f>
        <v>406024047</v>
      </c>
      <c r="B3238" t="str">
        <f t="shared" si="216"/>
        <v>89301000</v>
      </c>
      <c r="C3238" s="1">
        <v>44252</v>
      </c>
      <c r="D3238" s="1">
        <v>44256</v>
      </c>
      <c r="E3238">
        <v>1</v>
      </c>
      <c r="F3238" t="s">
        <v>2197</v>
      </c>
      <c r="G3238" t="str">
        <f>"04-K07-03"</f>
        <v>04-K07-03</v>
      </c>
      <c r="H3238">
        <v>0.66259999999999997</v>
      </c>
      <c r="I3238" t="s">
        <v>2198</v>
      </c>
      <c r="J3238" t="s">
        <v>14</v>
      </c>
      <c r="K3238" t="str">
        <f>"2F5"</f>
        <v>2F5</v>
      </c>
      <c r="L3238" t="s">
        <v>15</v>
      </c>
    </row>
    <row r="3239" spans="1:12" x14ac:dyDescent="0.25">
      <c r="A3239" t="str">
        <f>"406114402"</f>
        <v>406114402</v>
      </c>
      <c r="B3239" t="str">
        <f t="shared" si="216"/>
        <v>89301000</v>
      </c>
      <c r="C3239" s="1">
        <v>44490</v>
      </c>
      <c r="D3239" s="1">
        <v>44491</v>
      </c>
      <c r="E3239">
        <v>1</v>
      </c>
      <c r="F3239" t="s">
        <v>1558</v>
      </c>
      <c r="G3239" t="str">
        <f>"05-D01-06"</f>
        <v>05-D01-06</v>
      </c>
      <c r="H3239">
        <v>0.7611</v>
      </c>
      <c r="J3239" t="s">
        <v>14</v>
      </c>
      <c r="K3239" t="str">
        <f>"1F7"</f>
        <v>1F7</v>
      </c>
      <c r="L3239" t="s">
        <v>15</v>
      </c>
    </row>
    <row r="3240" spans="1:12" x14ac:dyDescent="0.25">
      <c r="A3240" t="str">
        <f>"406125418"</f>
        <v>406125418</v>
      </c>
      <c r="B3240" t="str">
        <f t="shared" si="216"/>
        <v>89301000</v>
      </c>
      <c r="C3240" s="1">
        <v>44190</v>
      </c>
      <c r="D3240" s="1">
        <v>44211</v>
      </c>
      <c r="E3240">
        <v>5</v>
      </c>
      <c r="F3240" t="s">
        <v>1557</v>
      </c>
      <c r="G3240" t="str">
        <f>"05-M06-04"</f>
        <v>05-M06-04</v>
      </c>
      <c r="H3240">
        <v>4.7736999999999998</v>
      </c>
      <c r="I3240" t="s">
        <v>2199</v>
      </c>
      <c r="J3240" t="s">
        <v>17</v>
      </c>
      <c r="K3240" t="str">
        <f>"1F1"</f>
        <v>1F1</v>
      </c>
      <c r="L3240" t="s">
        <v>15</v>
      </c>
    </row>
    <row r="3241" spans="1:12" x14ac:dyDescent="0.25">
      <c r="A3241" t="str">
        <f>"406128402"</f>
        <v>406128402</v>
      </c>
      <c r="B3241" t="str">
        <f t="shared" si="216"/>
        <v>89301000</v>
      </c>
      <c r="C3241" s="1">
        <v>44509</v>
      </c>
      <c r="D3241" s="1">
        <v>44510</v>
      </c>
      <c r="E3241">
        <v>1</v>
      </c>
      <c r="F3241" t="s">
        <v>2200</v>
      </c>
      <c r="G3241" t="str">
        <f>"02-I13-02"</f>
        <v>02-I13-02</v>
      </c>
      <c r="H3241">
        <v>0.376</v>
      </c>
      <c r="I3241" t="s">
        <v>2201</v>
      </c>
      <c r="J3241" t="s">
        <v>14</v>
      </c>
      <c r="K3241" t="str">
        <f>"7F5"</f>
        <v>7F5</v>
      </c>
      <c r="L3241" t="s">
        <v>15</v>
      </c>
    </row>
    <row r="3242" spans="1:12" x14ac:dyDescent="0.25">
      <c r="A3242" t="str">
        <f>"406130405"</f>
        <v>406130405</v>
      </c>
      <c r="B3242" t="str">
        <f t="shared" si="216"/>
        <v>89301000</v>
      </c>
      <c r="C3242" s="1">
        <v>44470</v>
      </c>
      <c r="D3242" s="1">
        <v>44471</v>
      </c>
      <c r="E3242">
        <v>1</v>
      </c>
      <c r="F3242" t="s">
        <v>1561</v>
      </c>
      <c r="G3242" t="str">
        <f>"07-M02-04"</f>
        <v>07-M02-04</v>
      </c>
      <c r="H3242">
        <v>0.73929999999999996</v>
      </c>
      <c r="I3242" t="s">
        <v>2202</v>
      </c>
      <c r="J3242" t="s">
        <v>17</v>
      </c>
      <c r="K3242" t="str">
        <f>"1F5"</f>
        <v>1F5</v>
      </c>
      <c r="L3242" t="s">
        <v>15</v>
      </c>
    </row>
    <row r="3243" spans="1:12" x14ac:dyDescent="0.25">
      <c r="A3243" t="str">
        <f>"406130405"</f>
        <v>406130405</v>
      </c>
      <c r="B3243" t="str">
        <f t="shared" si="216"/>
        <v>89301000</v>
      </c>
      <c r="C3243" s="1">
        <v>44346</v>
      </c>
      <c r="D3243" s="1">
        <v>44365</v>
      </c>
      <c r="E3243">
        <v>1</v>
      </c>
      <c r="F3243" t="s">
        <v>593</v>
      </c>
      <c r="G3243" t="str">
        <f>"07-I10-03"</f>
        <v>07-I10-03</v>
      </c>
      <c r="H3243">
        <v>2.3481000000000001</v>
      </c>
      <c r="I3243" t="s">
        <v>2203</v>
      </c>
      <c r="J3243" t="s">
        <v>17</v>
      </c>
      <c r="K3243" t="str">
        <f>"5F1"</f>
        <v>5F1</v>
      </c>
      <c r="L3243" t="s">
        <v>15</v>
      </c>
    </row>
    <row r="3244" spans="1:12" x14ac:dyDescent="0.25">
      <c r="A3244" t="str">
        <f>"406130405"</f>
        <v>406130405</v>
      </c>
      <c r="B3244" t="str">
        <f t="shared" si="216"/>
        <v>89301000</v>
      </c>
      <c r="C3244" s="1">
        <v>44268</v>
      </c>
      <c r="D3244" s="1">
        <v>44278</v>
      </c>
      <c r="E3244">
        <v>1</v>
      </c>
      <c r="F3244" t="s">
        <v>424</v>
      </c>
      <c r="G3244" t="str">
        <f>"07-M02-04"</f>
        <v>07-M02-04</v>
      </c>
      <c r="H3244">
        <v>0.80879999999999996</v>
      </c>
      <c r="I3244" t="s">
        <v>2204</v>
      </c>
      <c r="J3244" t="s">
        <v>17</v>
      </c>
      <c r="K3244" t="str">
        <f>"1F5"</f>
        <v>1F5</v>
      </c>
      <c r="L3244" t="s">
        <v>15</v>
      </c>
    </row>
    <row r="3245" spans="1:12" x14ac:dyDescent="0.25">
      <c r="A3245" t="str">
        <f>"406216438"</f>
        <v>406216438</v>
      </c>
      <c r="B3245" t="str">
        <f t="shared" si="216"/>
        <v>89301000</v>
      </c>
      <c r="C3245" s="1">
        <v>44301</v>
      </c>
      <c r="D3245" s="1">
        <v>44309</v>
      </c>
      <c r="E3245">
        <v>1</v>
      </c>
      <c r="F3245" t="s">
        <v>2026</v>
      </c>
      <c r="G3245" t="str">
        <f>"08-K08-00"</f>
        <v>08-K08-00</v>
      </c>
      <c r="H3245">
        <v>0.51670000000000005</v>
      </c>
      <c r="I3245" t="s">
        <v>2205</v>
      </c>
      <c r="J3245" t="s">
        <v>14</v>
      </c>
      <c r="K3245" t="str">
        <f>"2F9"</f>
        <v>2F9</v>
      </c>
      <c r="L3245" t="s">
        <v>15</v>
      </c>
    </row>
    <row r="3246" spans="1:12" x14ac:dyDescent="0.25">
      <c r="A3246" t="str">
        <f>"406221406"</f>
        <v>406221406</v>
      </c>
      <c r="B3246" t="str">
        <f t="shared" si="216"/>
        <v>89301000</v>
      </c>
      <c r="C3246" s="1">
        <v>44470</v>
      </c>
      <c r="D3246" s="1">
        <v>44476</v>
      </c>
      <c r="E3246">
        <v>1</v>
      </c>
      <c r="F3246" t="s">
        <v>1555</v>
      </c>
      <c r="G3246" t="str">
        <f>"05-K12-02"</f>
        <v>05-K12-02</v>
      </c>
      <c r="H3246">
        <v>0.53600000000000003</v>
      </c>
      <c r="I3246" t="s">
        <v>2206</v>
      </c>
      <c r="J3246" t="s">
        <v>14</v>
      </c>
      <c r="K3246" t="str">
        <f>"5F1"</f>
        <v>5F1</v>
      </c>
      <c r="L3246" t="s">
        <v>15</v>
      </c>
    </row>
    <row r="3247" spans="1:12" x14ac:dyDescent="0.25">
      <c r="A3247" t="str">
        <f>"406222416"</f>
        <v>406222416</v>
      </c>
      <c r="B3247" t="str">
        <f t="shared" si="216"/>
        <v>89301000</v>
      </c>
      <c r="C3247" s="1">
        <v>44252</v>
      </c>
      <c r="D3247" s="1">
        <v>44270</v>
      </c>
      <c r="E3247">
        <v>4</v>
      </c>
      <c r="F3247" t="s">
        <v>217</v>
      </c>
      <c r="G3247" t="str">
        <f>"04-K02-03"</f>
        <v>04-K02-03</v>
      </c>
      <c r="H3247">
        <v>1.2859</v>
      </c>
      <c r="I3247" t="s">
        <v>2207</v>
      </c>
      <c r="J3247" t="s">
        <v>14</v>
      </c>
      <c r="K3247" t="str">
        <f>"1F1"</f>
        <v>1F1</v>
      </c>
      <c r="L3247" t="s">
        <v>15</v>
      </c>
    </row>
    <row r="3248" spans="1:12" x14ac:dyDescent="0.25">
      <c r="A3248" t="str">
        <f>"410204413"</f>
        <v>410204413</v>
      </c>
      <c r="B3248" t="str">
        <f t="shared" si="216"/>
        <v>89301000</v>
      </c>
      <c r="C3248" s="1">
        <v>44292</v>
      </c>
      <c r="D3248" s="1">
        <v>44309</v>
      </c>
      <c r="E3248">
        <v>4</v>
      </c>
      <c r="F3248" t="s">
        <v>1643</v>
      </c>
      <c r="G3248" t="str">
        <f>"08-I05-07"</f>
        <v>08-I05-07</v>
      </c>
      <c r="H3248">
        <v>1.9537</v>
      </c>
      <c r="I3248" t="s">
        <v>2208</v>
      </c>
      <c r="J3248" t="s">
        <v>17</v>
      </c>
      <c r="K3248" t="str">
        <f>"6F6"</f>
        <v>6F6</v>
      </c>
      <c r="L3248" t="s">
        <v>15</v>
      </c>
    </row>
    <row r="3249" spans="1:12" x14ac:dyDescent="0.25">
      <c r="A3249" t="str">
        <f>"410217461"</f>
        <v>410217461</v>
      </c>
      <c r="B3249" t="str">
        <f t="shared" si="216"/>
        <v>89301000</v>
      </c>
      <c r="C3249" s="1">
        <v>44220</v>
      </c>
      <c r="D3249" s="1">
        <v>44228</v>
      </c>
      <c r="E3249">
        <v>4</v>
      </c>
      <c r="F3249" t="s">
        <v>354</v>
      </c>
      <c r="G3249" t="str">
        <f>"10-K14-03"</f>
        <v>10-K14-03</v>
      </c>
      <c r="H3249">
        <v>0.50439999999999996</v>
      </c>
      <c r="I3249" t="s">
        <v>274</v>
      </c>
      <c r="J3249" t="s">
        <v>14</v>
      </c>
      <c r="K3249" t="str">
        <f>"1F1"</f>
        <v>1F1</v>
      </c>
      <c r="L3249" t="s">
        <v>15</v>
      </c>
    </row>
    <row r="3250" spans="1:12" x14ac:dyDescent="0.25">
      <c r="A3250" t="str">
        <f>"410218432"</f>
        <v>410218432</v>
      </c>
      <c r="B3250" t="str">
        <f t="shared" si="216"/>
        <v>89301000</v>
      </c>
      <c r="C3250" s="1">
        <v>44290</v>
      </c>
      <c r="D3250" s="1">
        <v>44300</v>
      </c>
      <c r="E3250">
        <v>1</v>
      </c>
      <c r="F3250" t="s">
        <v>67</v>
      </c>
      <c r="G3250" t="str">
        <f>"01-K10-02"</f>
        <v>01-K10-02</v>
      </c>
      <c r="H3250">
        <v>1.6306</v>
      </c>
      <c r="I3250" t="s">
        <v>2209</v>
      </c>
      <c r="J3250" t="s">
        <v>14</v>
      </c>
      <c r="K3250" t="str">
        <f>"2F9"</f>
        <v>2F9</v>
      </c>
      <c r="L3250" t="s">
        <v>15</v>
      </c>
    </row>
    <row r="3251" spans="1:12" x14ac:dyDescent="0.25">
      <c r="A3251" t="str">
        <f>"410218432"</f>
        <v>410218432</v>
      </c>
      <c r="B3251" t="str">
        <f t="shared" si="216"/>
        <v>89301000</v>
      </c>
      <c r="C3251" s="1">
        <v>44513</v>
      </c>
      <c r="D3251" s="1">
        <v>44519</v>
      </c>
      <c r="E3251">
        <v>1</v>
      </c>
      <c r="F3251" t="s">
        <v>720</v>
      </c>
      <c r="G3251" t="str">
        <f>"06-K02-02"</f>
        <v>06-K02-02</v>
      </c>
      <c r="H3251">
        <v>0.79910000000000003</v>
      </c>
      <c r="I3251" t="s">
        <v>2210</v>
      </c>
      <c r="J3251" t="s">
        <v>14</v>
      </c>
      <c r="K3251" t="str">
        <f>"1F1"</f>
        <v>1F1</v>
      </c>
      <c r="L3251" t="s">
        <v>15</v>
      </c>
    </row>
    <row r="3252" spans="1:12" x14ac:dyDescent="0.25">
      <c r="A3252" t="str">
        <f>"410314406"</f>
        <v>410314406</v>
      </c>
      <c r="B3252" t="str">
        <f t="shared" si="216"/>
        <v>89301000</v>
      </c>
      <c r="C3252" s="1">
        <v>44194</v>
      </c>
      <c r="D3252" s="1">
        <v>44208</v>
      </c>
      <c r="E3252">
        <v>4</v>
      </c>
      <c r="F3252" t="s">
        <v>79</v>
      </c>
      <c r="G3252" t="str">
        <f>"10-K06-00"</f>
        <v>10-K06-00</v>
      </c>
      <c r="H3252">
        <v>0.89990000000000003</v>
      </c>
      <c r="I3252" t="s">
        <v>2211</v>
      </c>
      <c r="J3252" t="s">
        <v>14</v>
      </c>
      <c r="K3252" t="str">
        <f>"7F1"</f>
        <v>7F1</v>
      </c>
      <c r="L3252" t="s">
        <v>15</v>
      </c>
    </row>
    <row r="3253" spans="1:12" x14ac:dyDescent="0.25">
      <c r="A3253" t="str">
        <f>"410403404"</f>
        <v>410403404</v>
      </c>
      <c r="B3253" t="str">
        <f t="shared" si="216"/>
        <v>89301000</v>
      </c>
      <c r="C3253" s="1">
        <v>44214</v>
      </c>
      <c r="D3253" s="1">
        <v>44218</v>
      </c>
      <c r="E3253">
        <v>1</v>
      </c>
      <c r="F3253" t="s">
        <v>448</v>
      </c>
      <c r="G3253" t="str">
        <f>"11-K01-03"</f>
        <v>11-K01-03</v>
      </c>
      <c r="H3253">
        <v>0.59489999999999998</v>
      </c>
      <c r="I3253" t="s">
        <v>2212</v>
      </c>
      <c r="J3253" t="s">
        <v>14</v>
      </c>
      <c r="K3253" t="str">
        <f>"1F1"</f>
        <v>1F1</v>
      </c>
      <c r="L3253" t="s">
        <v>15</v>
      </c>
    </row>
    <row r="3254" spans="1:12" x14ac:dyDescent="0.25">
      <c r="A3254" t="str">
        <f>"410403404"</f>
        <v>410403404</v>
      </c>
      <c r="B3254" t="str">
        <f t="shared" si="216"/>
        <v>89301000</v>
      </c>
      <c r="C3254" s="1">
        <v>44337</v>
      </c>
      <c r="D3254" s="1">
        <v>44352</v>
      </c>
      <c r="E3254">
        <v>8</v>
      </c>
      <c r="F3254" t="s">
        <v>1914</v>
      </c>
      <c r="G3254" t="str">
        <f>"04-K09-02"</f>
        <v>04-K09-02</v>
      </c>
      <c r="H3254">
        <v>1.2861</v>
      </c>
      <c r="I3254" t="s">
        <v>2213</v>
      </c>
      <c r="J3254" t="s">
        <v>14</v>
      </c>
      <c r="K3254" t="str">
        <f>"2F5"</f>
        <v>2F5</v>
      </c>
      <c r="L3254" t="s">
        <v>15</v>
      </c>
    </row>
    <row r="3255" spans="1:12" x14ac:dyDescent="0.25">
      <c r="A3255" t="str">
        <f>"410409416"</f>
        <v>410409416</v>
      </c>
      <c r="B3255" t="str">
        <f t="shared" si="216"/>
        <v>89301000</v>
      </c>
      <c r="C3255" s="1">
        <v>44284</v>
      </c>
      <c r="D3255" s="1">
        <v>44295</v>
      </c>
      <c r="E3255">
        <v>1</v>
      </c>
      <c r="F3255" t="s">
        <v>1683</v>
      </c>
      <c r="G3255" t="str">
        <f>"05-I16-04"</f>
        <v>05-I16-04</v>
      </c>
      <c r="H3255">
        <v>6.1497999999999999</v>
      </c>
      <c r="I3255" t="s">
        <v>2214</v>
      </c>
      <c r="J3255" t="s">
        <v>17</v>
      </c>
      <c r="K3255" t="str">
        <f>"5F5"</f>
        <v>5F5</v>
      </c>
      <c r="L3255" t="s">
        <v>15</v>
      </c>
    </row>
    <row r="3256" spans="1:12" x14ac:dyDescent="0.25">
      <c r="A3256" t="str">
        <f>"410409416"</f>
        <v>410409416</v>
      </c>
      <c r="B3256" t="str">
        <f t="shared" si="216"/>
        <v>89301000</v>
      </c>
      <c r="C3256" s="1">
        <v>44336</v>
      </c>
      <c r="D3256" s="1">
        <v>44338</v>
      </c>
      <c r="E3256">
        <v>1</v>
      </c>
      <c r="F3256" t="s">
        <v>1548</v>
      </c>
      <c r="G3256" t="str">
        <f>"05-I14-03"</f>
        <v>05-I14-03</v>
      </c>
      <c r="H3256">
        <v>6.1292</v>
      </c>
      <c r="J3256" t="s">
        <v>14</v>
      </c>
      <c r="K3256" t="str">
        <f>"1F1"</f>
        <v>1F1</v>
      </c>
      <c r="L3256" t="s">
        <v>15</v>
      </c>
    </row>
    <row r="3257" spans="1:12" x14ac:dyDescent="0.25">
      <c r="A3257" t="str">
        <f>"410416414"</f>
        <v>410416414</v>
      </c>
      <c r="B3257" t="str">
        <f t="shared" si="216"/>
        <v>89301000</v>
      </c>
      <c r="C3257" s="1">
        <v>44298</v>
      </c>
      <c r="D3257" s="1">
        <v>44306</v>
      </c>
      <c r="E3257">
        <v>1</v>
      </c>
      <c r="F3257" t="s">
        <v>888</v>
      </c>
      <c r="G3257" t="str">
        <f>"07-M02-04"</f>
        <v>07-M02-04</v>
      </c>
      <c r="H3257">
        <v>0.73929999999999996</v>
      </c>
      <c r="I3257" t="s">
        <v>1561</v>
      </c>
      <c r="J3257" t="s">
        <v>17</v>
      </c>
      <c r="K3257" t="str">
        <f>"5F1"</f>
        <v>5F1</v>
      </c>
      <c r="L3257" t="s">
        <v>15</v>
      </c>
    </row>
    <row r="3258" spans="1:12" x14ac:dyDescent="0.25">
      <c r="A3258" t="str">
        <f>"410416414"</f>
        <v>410416414</v>
      </c>
      <c r="B3258" t="str">
        <f t="shared" si="216"/>
        <v>89301000</v>
      </c>
      <c r="C3258" s="1">
        <v>44390</v>
      </c>
      <c r="D3258" s="1">
        <v>44396</v>
      </c>
      <c r="E3258">
        <v>1</v>
      </c>
      <c r="F3258" t="s">
        <v>2215</v>
      </c>
      <c r="G3258" t="str">
        <f>"07-M02-04"</f>
        <v>07-M02-04</v>
      </c>
      <c r="H3258">
        <v>0.73929999999999996</v>
      </c>
      <c r="J3258" t="s">
        <v>17</v>
      </c>
      <c r="K3258" t="str">
        <f>"5F1"</f>
        <v>5F1</v>
      </c>
      <c r="L3258" t="s">
        <v>15</v>
      </c>
    </row>
    <row r="3259" spans="1:12" x14ac:dyDescent="0.25">
      <c r="A3259" t="str">
        <f>"410416414"</f>
        <v>410416414</v>
      </c>
      <c r="B3259" t="str">
        <f t="shared" si="216"/>
        <v>89301000</v>
      </c>
      <c r="C3259" s="1">
        <v>44480</v>
      </c>
      <c r="D3259" s="1">
        <v>44482</v>
      </c>
      <c r="E3259">
        <v>1</v>
      </c>
      <c r="F3259" t="s">
        <v>2215</v>
      </c>
      <c r="G3259" t="str">
        <f>"07-K11-03"</f>
        <v>07-K11-03</v>
      </c>
      <c r="H3259">
        <v>0.41060000000000002</v>
      </c>
      <c r="I3259" t="s">
        <v>2216</v>
      </c>
      <c r="J3259" t="s">
        <v>14</v>
      </c>
      <c r="K3259" t="str">
        <f>"5F1"</f>
        <v>5F1</v>
      </c>
      <c r="L3259" t="s">
        <v>15</v>
      </c>
    </row>
    <row r="3260" spans="1:12" x14ac:dyDescent="0.25">
      <c r="A3260" t="str">
        <f>"410416414"</f>
        <v>410416414</v>
      </c>
      <c r="B3260" t="str">
        <f t="shared" si="216"/>
        <v>89301000</v>
      </c>
      <c r="C3260" s="1">
        <v>44292</v>
      </c>
      <c r="D3260" s="1">
        <v>44295</v>
      </c>
      <c r="E3260">
        <v>1</v>
      </c>
      <c r="F3260" t="s">
        <v>2215</v>
      </c>
      <c r="G3260" t="str">
        <f>"07-M02-04"</f>
        <v>07-M02-04</v>
      </c>
      <c r="H3260">
        <v>0.73929999999999996</v>
      </c>
      <c r="J3260" t="s">
        <v>17</v>
      </c>
      <c r="K3260" t="str">
        <f>"5F1"</f>
        <v>5F1</v>
      </c>
      <c r="L3260" t="s">
        <v>15</v>
      </c>
    </row>
    <row r="3261" spans="1:12" x14ac:dyDescent="0.25">
      <c r="A3261" t="str">
        <f>"410416454"</f>
        <v>410416454</v>
      </c>
      <c r="B3261" t="str">
        <f t="shared" si="216"/>
        <v>89301000</v>
      </c>
      <c r="C3261" s="1">
        <v>44545</v>
      </c>
      <c r="D3261" s="1">
        <v>44552</v>
      </c>
      <c r="E3261">
        <v>1</v>
      </c>
      <c r="F3261" t="s">
        <v>2217</v>
      </c>
      <c r="G3261" t="str">
        <f>"07-I06-02"</f>
        <v>07-I06-02</v>
      </c>
      <c r="H3261">
        <v>1.9837</v>
      </c>
      <c r="I3261" t="s">
        <v>541</v>
      </c>
      <c r="J3261" t="s">
        <v>17</v>
      </c>
      <c r="K3261" t="str">
        <f>"4F2"</f>
        <v>4F2</v>
      </c>
      <c r="L3261" t="s">
        <v>15</v>
      </c>
    </row>
    <row r="3262" spans="1:12" x14ac:dyDescent="0.25">
      <c r="A3262" t="str">
        <f>"410503470"</f>
        <v>410503470</v>
      </c>
      <c r="B3262" t="str">
        <f t="shared" si="216"/>
        <v>89301000</v>
      </c>
      <c r="C3262" s="1">
        <v>44318</v>
      </c>
      <c r="D3262" s="1">
        <v>44322</v>
      </c>
      <c r="E3262">
        <v>1</v>
      </c>
      <c r="F3262" t="s">
        <v>67</v>
      </c>
      <c r="G3262" t="str">
        <f>"01-M02-00"</f>
        <v>01-M02-00</v>
      </c>
      <c r="H3262">
        <v>5.4023000000000003</v>
      </c>
      <c r="I3262" t="s">
        <v>2218</v>
      </c>
      <c r="J3262" t="s">
        <v>17</v>
      </c>
      <c r="K3262" t="str">
        <f>"2F9"</f>
        <v>2F9</v>
      </c>
      <c r="L3262" t="s">
        <v>15</v>
      </c>
    </row>
    <row r="3263" spans="1:12" x14ac:dyDescent="0.25">
      <c r="A3263" t="str">
        <f>"410518443"</f>
        <v>410518443</v>
      </c>
      <c r="B3263" t="str">
        <f t="shared" si="216"/>
        <v>89301000</v>
      </c>
      <c r="C3263" s="1">
        <v>44341</v>
      </c>
      <c r="D3263" s="1">
        <v>44355</v>
      </c>
      <c r="E3263">
        <v>1</v>
      </c>
      <c r="F3263" t="s">
        <v>507</v>
      </c>
      <c r="G3263" t="str">
        <f>"18-K01-07"</f>
        <v>18-K01-07</v>
      </c>
      <c r="H3263">
        <v>1.0324</v>
      </c>
      <c r="I3263" t="s">
        <v>2219</v>
      </c>
      <c r="J3263" t="s">
        <v>14</v>
      </c>
      <c r="K3263" t="str">
        <f>"1F5"</f>
        <v>1F5</v>
      </c>
      <c r="L3263" t="s">
        <v>15</v>
      </c>
    </row>
    <row r="3264" spans="1:12" x14ac:dyDescent="0.25">
      <c r="A3264" t="str">
        <f>"410518443"</f>
        <v>410518443</v>
      </c>
      <c r="B3264" t="str">
        <f t="shared" si="216"/>
        <v>89301000</v>
      </c>
      <c r="C3264" s="1">
        <v>44317</v>
      </c>
      <c r="D3264" s="1">
        <v>44320</v>
      </c>
      <c r="E3264">
        <v>5</v>
      </c>
      <c r="F3264" t="s">
        <v>1683</v>
      </c>
      <c r="G3264" t="str">
        <f>"05-M06-06"</f>
        <v>05-M06-06</v>
      </c>
      <c r="H3264">
        <v>1.7652000000000001</v>
      </c>
      <c r="I3264" t="s">
        <v>2220</v>
      </c>
      <c r="J3264" t="s">
        <v>17</v>
      </c>
      <c r="K3264" t="str">
        <f>"1F7"</f>
        <v>1F7</v>
      </c>
      <c r="L3264" t="s">
        <v>15</v>
      </c>
    </row>
    <row r="3265" spans="1:12" x14ac:dyDescent="0.25">
      <c r="A3265" t="str">
        <f>"410522417"</f>
        <v>410522417</v>
      </c>
      <c r="B3265" t="str">
        <f t="shared" si="216"/>
        <v>89301000</v>
      </c>
      <c r="C3265" s="1">
        <v>44347</v>
      </c>
      <c r="D3265" s="1">
        <v>44350</v>
      </c>
      <c r="E3265">
        <v>1</v>
      </c>
      <c r="F3265" t="s">
        <v>2221</v>
      </c>
      <c r="G3265" t="str">
        <f>"06-C02-03"</f>
        <v>06-C02-03</v>
      </c>
      <c r="H3265">
        <v>0.25769999999999998</v>
      </c>
      <c r="I3265" t="s">
        <v>541</v>
      </c>
      <c r="J3265" t="s">
        <v>14</v>
      </c>
      <c r="K3265" t="str">
        <f>"4F2"</f>
        <v>4F2</v>
      </c>
      <c r="L3265" t="s">
        <v>15</v>
      </c>
    </row>
    <row r="3266" spans="1:12" x14ac:dyDescent="0.25">
      <c r="A3266" t="str">
        <f>"410522417"</f>
        <v>410522417</v>
      </c>
      <c r="B3266" t="str">
        <f t="shared" si="216"/>
        <v>89301000</v>
      </c>
      <c r="C3266" s="1">
        <v>44362</v>
      </c>
      <c r="D3266" s="1">
        <v>44371</v>
      </c>
      <c r="E3266">
        <v>1</v>
      </c>
      <c r="F3266" t="s">
        <v>2030</v>
      </c>
      <c r="G3266" t="str">
        <f>"06-K14-01"</f>
        <v>06-K14-01</v>
      </c>
      <c r="H3266">
        <v>1.17</v>
      </c>
      <c r="I3266" t="s">
        <v>2222</v>
      </c>
      <c r="J3266" t="s">
        <v>14</v>
      </c>
      <c r="K3266" t="str">
        <f>"4F2"</f>
        <v>4F2</v>
      </c>
      <c r="L3266" t="s">
        <v>15</v>
      </c>
    </row>
    <row r="3267" spans="1:12" x14ac:dyDescent="0.25">
      <c r="A3267" t="str">
        <f>"410522417"</f>
        <v>410522417</v>
      </c>
      <c r="B3267" t="str">
        <f t="shared" si="216"/>
        <v>89301000</v>
      </c>
      <c r="C3267" s="1">
        <v>44270</v>
      </c>
      <c r="D3267" s="1">
        <v>44283</v>
      </c>
      <c r="E3267">
        <v>1</v>
      </c>
      <c r="F3267" t="s">
        <v>2221</v>
      </c>
      <c r="G3267" t="str">
        <f>"06-I07-03"</f>
        <v>06-I07-03</v>
      </c>
      <c r="H3267">
        <v>5.3483000000000001</v>
      </c>
      <c r="I3267" t="s">
        <v>2223</v>
      </c>
      <c r="J3267" t="s">
        <v>17</v>
      </c>
      <c r="K3267" t="str">
        <f>"5F1"</f>
        <v>5F1</v>
      </c>
      <c r="L3267" t="s">
        <v>15</v>
      </c>
    </row>
    <row r="3268" spans="1:12" x14ac:dyDescent="0.25">
      <c r="A3268" t="str">
        <f>"410527427"</f>
        <v>410527427</v>
      </c>
      <c r="B3268" t="str">
        <f t="shared" si="216"/>
        <v>89301000</v>
      </c>
      <c r="C3268" s="1">
        <v>44542</v>
      </c>
      <c r="D3268" s="1">
        <v>44544</v>
      </c>
      <c r="E3268">
        <v>1</v>
      </c>
      <c r="F3268" t="s">
        <v>1557</v>
      </c>
      <c r="G3268" t="str">
        <f>"05-D01-08"</f>
        <v>05-D01-08</v>
      </c>
      <c r="H3268">
        <v>0.4093</v>
      </c>
      <c r="I3268" t="s">
        <v>1198</v>
      </c>
      <c r="J3268" t="s">
        <v>14</v>
      </c>
      <c r="K3268" t="str">
        <f>"1F1"</f>
        <v>1F1</v>
      </c>
      <c r="L3268" t="s">
        <v>15</v>
      </c>
    </row>
    <row r="3269" spans="1:12" x14ac:dyDescent="0.25">
      <c r="A3269" t="str">
        <f>"410528460"</f>
        <v>410528460</v>
      </c>
      <c r="B3269" t="str">
        <f t="shared" si="216"/>
        <v>89301000</v>
      </c>
      <c r="C3269" s="1">
        <v>44483</v>
      </c>
      <c r="D3269" s="1">
        <v>44484</v>
      </c>
      <c r="E3269">
        <v>1</v>
      </c>
      <c r="F3269" t="s">
        <v>1936</v>
      </c>
      <c r="G3269" t="str">
        <f>"05-I14-04"</f>
        <v>05-I14-04</v>
      </c>
      <c r="H3269">
        <v>5.4002999999999997</v>
      </c>
      <c r="I3269" t="s">
        <v>2224</v>
      </c>
      <c r="J3269" t="s">
        <v>14</v>
      </c>
      <c r="K3269" t="str">
        <f>"1F7"</f>
        <v>1F7</v>
      </c>
      <c r="L3269" t="s">
        <v>15</v>
      </c>
    </row>
    <row r="3270" spans="1:12" x14ac:dyDescent="0.25">
      <c r="A3270" t="str">
        <f>"410528460"</f>
        <v>410528460</v>
      </c>
      <c r="B3270" t="str">
        <f t="shared" si="216"/>
        <v>89301000</v>
      </c>
      <c r="C3270" s="1">
        <v>44426</v>
      </c>
      <c r="D3270" s="1">
        <v>44428</v>
      </c>
      <c r="E3270">
        <v>1</v>
      </c>
      <c r="F3270" t="s">
        <v>1548</v>
      </c>
      <c r="G3270" t="str">
        <f>"05-K07-05"</f>
        <v>05-K07-05</v>
      </c>
      <c r="H3270">
        <v>0.81410000000000005</v>
      </c>
      <c r="I3270" t="s">
        <v>2225</v>
      </c>
      <c r="J3270" t="s">
        <v>14</v>
      </c>
      <c r="K3270" t="str">
        <f>"1F1"</f>
        <v>1F1</v>
      </c>
      <c r="L3270" t="s">
        <v>15</v>
      </c>
    </row>
    <row r="3271" spans="1:12" x14ac:dyDescent="0.25">
      <c r="A3271" t="str">
        <f>"410528460"</f>
        <v>410528460</v>
      </c>
      <c r="B3271" t="str">
        <f t="shared" si="216"/>
        <v>89301000</v>
      </c>
      <c r="C3271" s="1">
        <v>44439</v>
      </c>
      <c r="D3271" s="1">
        <v>44440</v>
      </c>
      <c r="E3271">
        <v>1</v>
      </c>
      <c r="F3271" t="s">
        <v>1599</v>
      </c>
      <c r="G3271" t="str">
        <f>"05-D01-06"</f>
        <v>05-D01-06</v>
      </c>
      <c r="H3271">
        <v>0.7611</v>
      </c>
      <c r="I3271" t="s">
        <v>2226</v>
      </c>
      <c r="J3271" t="s">
        <v>14</v>
      </c>
      <c r="K3271" t="str">
        <f>"1F7"</f>
        <v>1F7</v>
      </c>
      <c r="L3271" t="s">
        <v>15</v>
      </c>
    </row>
    <row r="3272" spans="1:12" x14ac:dyDescent="0.25">
      <c r="A3272" t="str">
        <f t="shared" ref="A3272:A3277" si="217">"410702136"</f>
        <v>410702136</v>
      </c>
      <c r="B3272" t="str">
        <f t="shared" si="216"/>
        <v>89301000</v>
      </c>
      <c r="C3272" s="1">
        <v>44272</v>
      </c>
      <c r="D3272" s="1">
        <v>44274</v>
      </c>
      <c r="E3272">
        <v>1</v>
      </c>
      <c r="F3272" t="s">
        <v>2221</v>
      </c>
      <c r="G3272" t="str">
        <f t="shared" ref="G3272:G3277" si="218">"06-C02-03"</f>
        <v>06-C02-03</v>
      </c>
      <c r="H3272">
        <v>0.25769999999999998</v>
      </c>
      <c r="I3272" t="s">
        <v>2227</v>
      </c>
      <c r="J3272" t="s">
        <v>14</v>
      </c>
      <c r="K3272" t="str">
        <f t="shared" ref="K3272:K3277" si="219">"4F2"</f>
        <v>4F2</v>
      </c>
      <c r="L3272" t="s">
        <v>15</v>
      </c>
    </row>
    <row r="3273" spans="1:12" x14ac:dyDescent="0.25">
      <c r="A3273" t="str">
        <f t="shared" si="217"/>
        <v>410702136</v>
      </c>
      <c r="B3273" t="str">
        <f t="shared" si="216"/>
        <v>89301000</v>
      </c>
      <c r="C3273" s="1">
        <v>44244</v>
      </c>
      <c r="D3273" s="1">
        <v>44246</v>
      </c>
      <c r="E3273">
        <v>1</v>
      </c>
      <c r="F3273" t="s">
        <v>2228</v>
      </c>
      <c r="G3273" t="str">
        <f t="shared" si="218"/>
        <v>06-C02-03</v>
      </c>
      <c r="H3273">
        <v>0.25769999999999998</v>
      </c>
      <c r="I3273" t="s">
        <v>2229</v>
      </c>
      <c r="J3273" t="s">
        <v>14</v>
      </c>
      <c r="K3273" t="str">
        <f t="shared" si="219"/>
        <v>4F2</v>
      </c>
      <c r="L3273" t="s">
        <v>15</v>
      </c>
    </row>
    <row r="3274" spans="1:12" x14ac:dyDescent="0.25">
      <c r="A3274" t="str">
        <f t="shared" si="217"/>
        <v>410702136</v>
      </c>
      <c r="B3274" t="str">
        <f t="shared" si="216"/>
        <v>89301000</v>
      </c>
      <c r="C3274" s="1">
        <v>44231</v>
      </c>
      <c r="D3274" s="1">
        <v>44233</v>
      </c>
      <c r="E3274">
        <v>1</v>
      </c>
      <c r="F3274" t="s">
        <v>2221</v>
      </c>
      <c r="G3274" t="str">
        <f t="shared" si="218"/>
        <v>06-C02-03</v>
      </c>
      <c r="H3274">
        <v>0.25769999999999998</v>
      </c>
      <c r="I3274" t="s">
        <v>541</v>
      </c>
      <c r="J3274" t="s">
        <v>14</v>
      </c>
      <c r="K3274" t="str">
        <f t="shared" si="219"/>
        <v>4F2</v>
      </c>
      <c r="L3274" t="s">
        <v>15</v>
      </c>
    </row>
    <row r="3275" spans="1:12" x14ac:dyDescent="0.25">
      <c r="A3275" t="str">
        <f t="shared" si="217"/>
        <v>410702136</v>
      </c>
      <c r="B3275" t="str">
        <f t="shared" si="216"/>
        <v>89301000</v>
      </c>
      <c r="C3275" s="1">
        <v>44217</v>
      </c>
      <c r="D3275" s="1">
        <v>44219</v>
      </c>
      <c r="E3275">
        <v>1</v>
      </c>
      <c r="F3275" t="s">
        <v>2228</v>
      </c>
      <c r="G3275" t="str">
        <f t="shared" si="218"/>
        <v>06-C02-03</v>
      </c>
      <c r="H3275">
        <v>0.25769999999999998</v>
      </c>
      <c r="I3275" t="s">
        <v>2230</v>
      </c>
      <c r="J3275" t="s">
        <v>14</v>
      </c>
      <c r="K3275" t="str">
        <f t="shared" si="219"/>
        <v>4F2</v>
      </c>
      <c r="L3275" t="s">
        <v>15</v>
      </c>
    </row>
    <row r="3276" spans="1:12" x14ac:dyDescent="0.25">
      <c r="A3276" t="str">
        <f t="shared" si="217"/>
        <v>410702136</v>
      </c>
      <c r="B3276" t="str">
        <f t="shared" si="216"/>
        <v>89301000</v>
      </c>
      <c r="C3276" s="1">
        <v>44202</v>
      </c>
      <c r="D3276" s="1">
        <v>44204</v>
      </c>
      <c r="E3276">
        <v>1</v>
      </c>
      <c r="F3276" t="s">
        <v>2221</v>
      </c>
      <c r="G3276" t="str">
        <f t="shared" si="218"/>
        <v>06-C02-03</v>
      </c>
      <c r="H3276">
        <v>0.25769999999999998</v>
      </c>
      <c r="I3276" t="s">
        <v>2231</v>
      </c>
      <c r="J3276" t="s">
        <v>14</v>
      </c>
      <c r="K3276" t="str">
        <f t="shared" si="219"/>
        <v>4F2</v>
      </c>
      <c r="L3276" t="s">
        <v>15</v>
      </c>
    </row>
    <row r="3277" spans="1:12" x14ac:dyDescent="0.25">
      <c r="A3277" t="str">
        <f t="shared" si="217"/>
        <v>410702136</v>
      </c>
      <c r="B3277" t="str">
        <f t="shared" si="216"/>
        <v>89301000</v>
      </c>
      <c r="C3277" s="1">
        <v>44258</v>
      </c>
      <c r="D3277" s="1">
        <v>44260</v>
      </c>
      <c r="E3277">
        <v>1</v>
      </c>
      <c r="F3277" t="s">
        <v>2221</v>
      </c>
      <c r="G3277" t="str">
        <f t="shared" si="218"/>
        <v>06-C02-03</v>
      </c>
      <c r="H3277">
        <v>0.25769999999999998</v>
      </c>
      <c r="I3277" t="s">
        <v>541</v>
      </c>
      <c r="J3277" t="s">
        <v>14</v>
      </c>
      <c r="K3277" t="str">
        <f t="shared" si="219"/>
        <v>4F2</v>
      </c>
      <c r="L3277" t="s">
        <v>15</v>
      </c>
    </row>
    <row r="3278" spans="1:12" x14ac:dyDescent="0.25">
      <c r="A3278" t="str">
        <f>"410721434"</f>
        <v>410721434</v>
      </c>
      <c r="B3278" t="str">
        <f t="shared" si="216"/>
        <v>89301000</v>
      </c>
      <c r="C3278" s="1">
        <v>44405</v>
      </c>
      <c r="D3278" s="1">
        <v>44412</v>
      </c>
      <c r="E3278">
        <v>1</v>
      </c>
      <c r="F3278" t="s">
        <v>2232</v>
      </c>
      <c r="G3278" t="str">
        <f>"11-I07-04"</f>
        <v>11-I07-04</v>
      </c>
      <c r="H3278">
        <v>1.9005000000000001</v>
      </c>
      <c r="I3278" t="s">
        <v>2233</v>
      </c>
      <c r="J3278" t="s">
        <v>24</v>
      </c>
      <c r="K3278" t="str">
        <f>"7F6"</f>
        <v>7F6</v>
      </c>
      <c r="L3278" t="s">
        <v>15</v>
      </c>
    </row>
    <row r="3279" spans="1:12" x14ac:dyDescent="0.25">
      <c r="A3279" t="str">
        <f>"410724474"</f>
        <v>410724474</v>
      </c>
      <c r="B3279" t="str">
        <f t="shared" si="216"/>
        <v>89301000</v>
      </c>
      <c r="C3279" s="1">
        <v>44549</v>
      </c>
      <c r="D3279" s="1">
        <v>44552</v>
      </c>
      <c r="E3279">
        <v>1</v>
      </c>
      <c r="F3279" t="s">
        <v>1978</v>
      </c>
      <c r="G3279" t="str">
        <f>"02-K05-01"</f>
        <v>02-K05-01</v>
      </c>
      <c r="H3279">
        <v>0.67849999999999999</v>
      </c>
      <c r="I3279" t="s">
        <v>2234</v>
      </c>
      <c r="J3279" t="s">
        <v>14</v>
      </c>
      <c r="K3279" t="str">
        <f>"5F3"</f>
        <v>5F3</v>
      </c>
      <c r="L3279" t="s">
        <v>15</v>
      </c>
    </row>
    <row r="3280" spans="1:12" x14ac:dyDescent="0.25">
      <c r="A3280" t="str">
        <f>"410730458"</f>
        <v>410730458</v>
      </c>
      <c r="B3280" t="str">
        <f t="shared" si="216"/>
        <v>89301000</v>
      </c>
      <c r="C3280" s="1">
        <v>44290</v>
      </c>
      <c r="D3280" s="1">
        <v>44301</v>
      </c>
      <c r="E3280">
        <v>1</v>
      </c>
      <c r="F3280" t="s">
        <v>424</v>
      </c>
      <c r="G3280" t="str">
        <f>"07-M02-02"</f>
        <v>07-M02-02</v>
      </c>
      <c r="H3280">
        <v>2.1716000000000002</v>
      </c>
      <c r="I3280" t="s">
        <v>2235</v>
      </c>
      <c r="J3280" t="s">
        <v>17</v>
      </c>
      <c r="K3280" t="str">
        <f>"1F1"</f>
        <v>1F1</v>
      </c>
      <c r="L3280" t="s">
        <v>15</v>
      </c>
    </row>
    <row r="3281" spans="1:12" x14ac:dyDescent="0.25">
      <c r="A3281" t="str">
        <f>"410730458"</f>
        <v>410730458</v>
      </c>
      <c r="B3281" t="str">
        <f t="shared" si="216"/>
        <v>89301000</v>
      </c>
      <c r="C3281" s="1">
        <v>44322</v>
      </c>
      <c r="D3281" s="1">
        <v>44323</v>
      </c>
      <c r="E3281">
        <v>1</v>
      </c>
      <c r="F3281" t="s">
        <v>2236</v>
      </c>
      <c r="G3281" t="str">
        <f>"10-K04-04"</f>
        <v>10-K04-04</v>
      </c>
      <c r="H3281">
        <v>0.81559999999999999</v>
      </c>
      <c r="I3281" t="s">
        <v>2237</v>
      </c>
      <c r="J3281" t="s">
        <v>14</v>
      </c>
      <c r="K3281" t="str">
        <f>"1F5"</f>
        <v>1F5</v>
      </c>
      <c r="L3281" t="s">
        <v>15</v>
      </c>
    </row>
    <row r="3282" spans="1:12" x14ac:dyDescent="0.25">
      <c r="A3282" t="str">
        <f>"410730458"</f>
        <v>410730458</v>
      </c>
      <c r="B3282" t="str">
        <f t="shared" si="216"/>
        <v>89301000</v>
      </c>
      <c r="C3282" s="1">
        <v>44426</v>
      </c>
      <c r="D3282" s="1">
        <v>44427</v>
      </c>
      <c r="E3282">
        <v>1</v>
      </c>
      <c r="F3282" t="s">
        <v>1557</v>
      </c>
      <c r="G3282" t="str">
        <f>"05-M06-07"</f>
        <v>05-M06-07</v>
      </c>
      <c r="H3282">
        <v>1.8717999999999999</v>
      </c>
      <c r="I3282" t="s">
        <v>2238</v>
      </c>
      <c r="J3282" t="s">
        <v>17</v>
      </c>
      <c r="K3282" t="str">
        <f>"1F1"</f>
        <v>1F1</v>
      </c>
      <c r="L3282" t="s">
        <v>15</v>
      </c>
    </row>
    <row r="3283" spans="1:12" x14ac:dyDescent="0.25">
      <c r="A3283" t="str">
        <f>"410811439"</f>
        <v>410811439</v>
      </c>
      <c r="B3283" t="str">
        <f t="shared" si="216"/>
        <v>89301000</v>
      </c>
      <c r="C3283" s="1">
        <v>44304</v>
      </c>
      <c r="D3283" s="1">
        <v>44306</v>
      </c>
      <c r="E3283">
        <v>1</v>
      </c>
      <c r="F3283" t="s">
        <v>1604</v>
      </c>
      <c r="G3283" t="str">
        <f>"05-I21-02"</f>
        <v>05-I21-02</v>
      </c>
      <c r="H3283">
        <v>3.3795000000000002</v>
      </c>
      <c r="I3283" t="s">
        <v>2239</v>
      </c>
      <c r="J3283" t="s">
        <v>14</v>
      </c>
      <c r="K3283" t="str">
        <f>"1F7"</f>
        <v>1F7</v>
      </c>
      <c r="L3283" t="s">
        <v>15</v>
      </c>
    </row>
    <row r="3284" spans="1:12" x14ac:dyDescent="0.25">
      <c r="A3284" t="str">
        <f>"410919449"</f>
        <v>410919449</v>
      </c>
      <c r="B3284" t="str">
        <f t="shared" si="216"/>
        <v>89301000</v>
      </c>
      <c r="C3284" s="1">
        <v>44386</v>
      </c>
      <c r="D3284" s="1">
        <v>44392</v>
      </c>
      <c r="E3284">
        <v>1</v>
      </c>
      <c r="F3284" t="s">
        <v>1555</v>
      </c>
      <c r="G3284" t="str">
        <f>"05-K12-02"</f>
        <v>05-K12-02</v>
      </c>
      <c r="H3284">
        <v>0.53600000000000003</v>
      </c>
      <c r="I3284" t="s">
        <v>1959</v>
      </c>
      <c r="J3284" t="s">
        <v>14</v>
      </c>
      <c r="K3284" t="str">
        <f>"5F1"</f>
        <v>5F1</v>
      </c>
      <c r="L3284" t="s">
        <v>15</v>
      </c>
    </row>
    <row r="3285" spans="1:12" x14ac:dyDescent="0.25">
      <c r="A3285" t="str">
        <f>"411010954"</f>
        <v>411010954</v>
      </c>
      <c r="B3285" t="str">
        <f t="shared" si="216"/>
        <v>89301000</v>
      </c>
      <c r="C3285" s="1">
        <v>44360</v>
      </c>
      <c r="D3285" s="1">
        <v>44377</v>
      </c>
      <c r="E3285">
        <v>2</v>
      </c>
      <c r="F3285" t="s">
        <v>97</v>
      </c>
      <c r="G3285" t="str">
        <f>"01-K03-07"</f>
        <v>01-K03-07</v>
      </c>
      <c r="H3285">
        <v>1.252</v>
      </c>
      <c r="I3285" t="s">
        <v>2240</v>
      </c>
      <c r="J3285" t="s">
        <v>14</v>
      </c>
      <c r="K3285" t="str">
        <f>"2F9"</f>
        <v>2F9</v>
      </c>
      <c r="L3285" t="s">
        <v>15</v>
      </c>
    </row>
    <row r="3286" spans="1:12" x14ac:dyDescent="0.25">
      <c r="A3286" t="str">
        <f>"411015100"</f>
        <v>411015100</v>
      </c>
      <c r="B3286" t="str">
        <f t="shared" si="216"/>
        <v>89301000</v>
      </c>
      <c r="C3286" s="1">
        <v>44393</v>
      </c>
      <c r="D3286" s="1">
        <v>44394</v>
      </c>
      <c r="E3286">
        <v>1</v>
      </c>
      <c r="F3286" t="s">
        <v>1557</v>
      </c>
      <c r="G3286" t="str">
        <f>"05-M06-08"</f>
        <v>05-M06-08</v>
      </c>
      <c r="H3286">
        <v>1.4719</v>
      </c>
      <c r="I3286" t="s">
        <v>2241</v>
      </c>
      <c r="J3286" t="s">
        <v>17</v>
      </c>
      <c r="K3286" t="str">
        <f>"1F1"</f>
        <v>1F1</v>
      </c>
      <c r="L3286" t="s">
        <v>15</v>
      </c>
    </row>
    <row r="3287" spans="1:12" x14ac:dyDescent="0.25">
      <c r="A3287" t="str">
        <f>"411015100"</f>
        <v>411015100</v>
      </c>
      <c r="B3287" t="str">
        <f t="shared" si="216"/>
        <v>89301000</v>
      </c>
      <c r="C3287" s="1">
        <v>44406</v>
      </c>
      <c r="D3287" s="1">
        <v>44408</v>
      </c>
      <c r="E3287">
        <v>1</v>
      </c>
      <c r="F3287" t="s">
        <v>1842</v>
      </c>
      <c r="G3287" t="str">
        <f>"05-I14-03"</f>
        <v>05-I14-03</v>
      </c>
      <c r="H3287">
        <v>6.1292</v>
      </c>
      <c r="I3287" t="s">
        <v>1602</v>
      </c>
      <c r="J3287" t="s">
        <v>14</v>
      </c>
      <c r="K3287" t="str">
        <f>"1F7"</f>
        <v>1F7</v>
      </c>
      <c r="L3287" t="s">
        <v>15</v>
      </c>
    </row>
    <row r="3288" spans="1:12" x14ac:dyDescent="0.25">
      <c r="A3288" t="str">
        <f>"411021453"</f>
        <v>411021453</v>
      </c>
      <c r="B3288" t="str">
        <f t="shared" si="216"/>
        <v>89301000</v>
      </c>
      <c r="C3288" s="1">
        <v>44428</v>
      </c>
      <c r="D3288" s="1">
        <v>44429</v>
      </c>
      <c r="E3288">
        <v>1</v>
      </c>
      <c r="F3288" t="s">
        <v>390</v>
      </c>
      <c r="G3288" t="str">
        <f>"12-I13-02"</f>
        <v>12-I13-02</v>
      </c>
      <c r="H3288">
        <v>0.57240000000000002</v>
      </c>
      <c r="I3288" t="s">
        <v>2242</v>
      </c>
      <c r="J3288" t="s">
        <v>24</v>
      </c>
      <c r="K3288" t="str">
        <f>"7F6"</f>
        <v>7F6</v>
      </c>
      <c r="L3288" t="s">
        <v>15</v>
      </c>
    </row>
    <row r="3289" spans="1:12" x14ac:dyDescent="0.25">
      <c r="A3289" t="str">
        <f>"411025418"</f>
        <v>411025418</v>
      </c>
      <c r="B3289" t="str">
        <f t="shared" si="216"/>
        <v>89301000</v>
      </c>
      <c r="C3289" s="1">
        <v>44453</v>
      </c>
      <c r="D3289" s="1">
        <v>44456</v>
      </c>
      <c r="E3289">
        <v>1</v>
      </c>
      <c r="F3289" t="s">
        <v>2243</v>
      </c>
      <c r="G3289" t="str">
        <f>"06-M01-05"</f>
        <v>06-M01-05</v>
      </c>
      <c r="H3289">
        <v>0.53949999999999998</v>
      </c>
      <c r="I3289" t="s">
        <v>2244</v>
      </c>
      <c r="J3289" t="s">
        <v>14</v>
      </c>
      <c r="K3289" t="str">
        <f>"1F1"</f>
        <v>1F1</v>
      </c>
      <c r="L3289" t="s">
        <v>15</v>
      </c>
    </row>
    <row r="3290" spans="1:12" x14ac:dyDescent="0.25">
      <c r="A3290" t="str">
        <f>"411025418"</f>
        <v>411025418</v>
      </c>
      <c r="B3290" t="str">
        <f t="shared" si="216"/>
        <v>89301000</v>
      </c>
      <c r="C3290" s="1">
        <v>44438</v>
      </c>
      <c r="D3290" s="1">
        <v>44440</v>
      </c>
      <c r="E3290">
        <v>1</v>
      </c>
      <c r="F3290" t="s">
        <v>2243</v>
      </c>
      <c r="G3290" t="str">
        <f>"06-K13-02"</f>
        <v>06-K13-02</v>
      </c>
      <c r="H3290">
        <v>0.60880000000000001</v>
      </c>
      <c r="I3290" t="s">
        <v>2245</v>
      </c>
      <c r="J3290" t="s">
        <v>14</v>
      </c>
      <c r="K3290" t="str">
        <f>"1F5"</f>
        <v>1F5</v>
      </c>
      <c r="L3290" t="s">
        <v>15</v>
      </c>
    </row>
    <row r="3291" spans="1:12" x14ac:dyDescent="0.25">
      <c r="A3291" t="str">
        <f>"411101433"</f>
        <v>411101433</v>
      </c>
      <c r="B3291" t="str">
        <f t="shared" ref="B3291:B3353" si="220">"89301000"</f>
        <v>89301000</v>
      </c>
      <c r="C3291" s="1">
        <v>44355</v>
      </c>
      <c r="D3291" s="1">
        <v>44356</v>
      </c>
      <c r="E3291">
        <v>1</v>
      </c>
      <c r="F3291" t="s">
        <v>1545</v>
      </c>
      <c r="G3291" t="str">
        <f>"05-I25-02"</f>
        <v>05-I25-02</v>
      </c>
      <c r="H3291">
        <v>2.9081000000000001</v>
      </c>
      <c r="I3291" t="s">
        <v>2246</v>
      </c>
      <c r="J3291" t="s">
        <v>17</v>
      </c>
      <c r="K3291" t="str">
        <f>"1F7"</f>
        <v>1F7</v>
      </c>
      <c r="L3291" t="s">
        <v>15</v>
      </c>
    </row>
    <row r="3292" spans="1:12" x14ac:dyDescent="0.25">
      <c r="A3292" t="str">
        <f>"411125405"</f>
        <v>411125405</v>
      </c>
      <c r="B3292" t="str">
        <f t="shared" si="220"/>
        <v>89301000</v>
      </c>
      <c r="C3292" s="1">
        <v>44229</v>
      </c>
      <c r="D3292" s="1">
        <v>44236</v>
      </c>
      <c r="E3292">
        <v>1</v>
      </c>
      <c r="F3292" t="s">
        <v>23</v>
      </c>
      <c r="G3292" t="str">
        <f>"06-I18-04"</f>
        <v>06-I18-04</v>
      </c>
      <c r="H3292">
        <v>1.1514</v>
      </c>
      <c r="I3292" t="s">
        <v>2247</v>
      </c>
      <c r="J3292" t="s">
        <v>24</v>
      </c>
      <c r="K3292" t="str">
        <f>"5F1"</f>
        <v>5F1</v>
      </c>
      <c r="L3292" t="s">
        <v>15</v>
      </c>
    </row>
    <row r="3293" spans="1:12" x14ac:dyDescent="0.25">
      <c r="A3293" t="str">
        <f>"411125430"</f>
        <v>411125430</v>
      </c>
      <c r="B3293" t="str">
        <f t="shared" si="220"/>
        <v>89301000</v>
      </c>
      <c r="C3293" s="1">
        <v>44429</v>
      </c>
      <c r="D3293" s="1">
        <v>44434</v>
      </c>
      <c r="E3293">
        <v>3</v>
      </c>
      <c r="F3293" t="s">
        <v>67</v>
      </c>
      <c r="G3293" t="str">
        <f>"01-K10-03"</f>
        <v>01-K10-03</v>
      </c>
      <c r="H3293">
        <v>1.0016</v>
      </c>
      <c r="I3293" t="s">
        <v>2248</v>
      </c>
      <c r="J3293" t="s">
        <v>14</v>
      </c>
      <c r="K3293" t="str">
        <f>"2F9"</f>
        <v>2F9</v>
      </c>
      <c r="L3293" t="s">
        <v>15</v>
      </c>
    </row>
    <row r="3294" spans="1:12" x14ac:dyDescent="0.25">
      <c r="A3294" t="str">
        <f>"411125430"</f>
        <v>411125430</v>
      </c>
      <c r="B3294" t="str">
        <f t="shared" si="220"/>
        <v>89301000</v>
      </c>
      <c r="C3294" s="1">
        <v>44434</v>
      </c>
      <c r="D3294" s="1">
        <v>44448</v>
      </c>
      <c r="E3294">
        <v>1</v>
      </c>
      <c r="F3294" t="s">
        <v>109</v>
      </c>
      <c r="G3294" t="str">
        <f>"24-M07-01"</f>
        <v>24-M07-01</v>
      </c>
      <c r="H3294">
        <v>1.7399</v>
      </c>
      <c r="I3294" t="s">
        <v>2249</v>
      </c>
      <c r="J3294" t="s">
        <v>14</v>
      </c>
      <c r="K3294" t="str">
        <f>"2F1"</f>
        <v>2F1</v>
      </c>
      <c r="L3294" t="s">
        <v>15</v>
      </c>
    </row>
    <row r="3295" spans="1:12" x14ac:dyDescent="0.25">
      <c r="A3295" t="str">
        <f>"411125430"</f>
        <v>411125430</v>
      </c>
      <c r="B3295" t="str">
        <f t="shared" si="220"/>
        <v>89301000</v>
      </c>
      <c r="C3295" s="1">
        <v>44386</v>
      </c>
      <c r="D3295" s="1">
        <v>44387</v>
      </c>
      <c r="E3295">
        <v>1</v>
      </c>
      <c r="F3295" t="s">
        <v>1557</v>
      </c>
      <c r="G3295" t="str">
        <f>"05-D01-08"</f>
        <v>05-D01-08</v>
      </c>
      <c r="H3295">
        <v>0.4093</v>
      </c>
      <c r="I3295" t="s">
        <v>2250</v>
      </c>
      <c r="J3295" t="s">
        <v>14</v>
      </c>
      <c r="K3295" t="str">
        <f>"1F1"</f>
        <v>1F1</v>
      </c>
      <c r="L3295" t="s">
        <v>15</v>
      </c>
    </row>
    <row r="3296" spans="1:12" x14ac:dyDescent="0.25">
      <c r="A3296" t="str">
        <f>"411209106"</f>
        <v>411209106</v>
      </c>
      <c r="B3296" t="str">
        <f t="shared" si="220"/>
        <v>89301000</v>
      </c>
      <c r="C3296" s="1">
        <v>44265</v>
      </c>
      <c r="D3296" s="1">
        <v>44270</v>
      </c>
      <c r="E3296">
        <v>1</v>
      </c>
      <c r="F3296" t="s">
        <v>316</v>
      </c>
      <c r="G3296" t="str">
        <f>"01-I08-03"</f>
        <v>01-I08-03</v>
      </c>
      <c r="H3296">
        <v>2.8306</v>
      </c>
      <c r="I3296" t="s">
        <v>2251</v>
      </c>
      <c r="J3296" t="s">
        <v>17</v>
      </c>
      <c r="K3296" t="str">
        <f>"5F6"</f>
        <v>5F6</v>
      </c>
      <c r="L3296" t="s">
        <v>15</v>
      </c>
    </row>
    <row r="3297" spans="1:12" x14ac:dyDescent="0.25">
      <c r="A3297" t="str">
        <f>"411209106"</f>
        <v>411209106</v>
      </c>
      <c r="B3297" t="str">
        <f t="shared" si="220"/>
        <v>89301000</v>
      </c>
      <c r="C3297" s="1">
        <v>44336</v>
      </c>
      <c r="D3297" s="1">
        <v>44338</v>
      </c>
      <c r="E3297">
        <v>1</v>
      </c>
      <c r="F3297" t="s">
        <v>1716</v>
      </c>
      <c r="G3297" t="str">
        <f>"11-M05-02"</f>
        <v>11-M05-02</v>
      </c>
      <c r="H3297">
        <v>0.65690000000000004</v>
      </c>
      <c r="I3297" t="s">
        <v>2252</v>
      </c>
      <c r="J3297" t="s">
        <v>17</v>
      </c>
      <c r="K3297" t="str">
        <f>"7F6"</f>
        <v>7F6</v>
      </c>
      <c r="L3297" t="s">
        <v>15</v>
      </c>
    </row>
    <row r="3298" spans="1:12" x14ac:dyDescent="0.25">
      <c r="A3298" t="str">
        <f>"411219432"</f>
        <v>411219432</v>
      </c>
      <c r="B3298" t="str">
        <f t="shared" si="220"/>
        <v>89301000</v>
      </c>
      <c r="C3298" s="1">
        <v>44376</v>
      </c>
      <c r="D3298" s="1">
        <v>44379</v>
      </c>
      <c r="E3298">
        <v>1</v>
      </c>
      <c r="F3298" t="s">
        <v>1553</v>
      </c>
      <c r="G3298" t="str">
        <f>"04-K05-03"</f>
        <v>04-K05-03</v>
      </c>
      <c r="H3298">
        <v>0.74980000000000002</v>
      </c>
      <c r="I3298" t="s">
        <v>2253</v>
      </c>
      <c r="J3298" t="s">
        <v>14</v>
      </c>
      <c r="K3298" t="str">
        <f>"1F1"</f>
        <v>1F1</v>
      </c>
      <c r="L3298" t="s">
        <v>15</v>
      </c>
    </row>
    <row r="3299" spans="1:12" x14ac:dyDescent="0.25">
      <c r="A3299" t="str">
        <f>"411225426"</f>
        <v>411225426</v>
      </c>
      <c r="B3299" t="str">
        <f t="shared" si="220"/>
        <v>89301000</v>
      </c>
      <c r="C3299" s="1">
        <v>44558</v>
      </c>
      <c r="D3299" s="1">
        <v>44560</v>
      </c>
      <c r="E3299">
        <v>1</v>
      </c>
      <c r="F3299" t="s">
        <v>635</v>
      </c>
      <c r="G3299" t="str">
        <f>"01-K16-06"</f>
        <v>01-K16-06</v>
      </c>
      <c r="H3299">
        <v>0.26469999999999999</v>
      </c>
      <c r="I3299" t="s">
        <v>381</v>
      </c>
      <c r="J3299" t="s">
        <v>14</v>
      </c>
      <c r="K3299" t="str">
        <f>"5F3"</f>
        <v>5F3</v>
      </c>
      <c r="L3299" t="s">
        <v>15</v>
      </c>
    </row>
    <row r="3300" spans="1:12" x14ac:dyDescent="0.25">
      <c r="A3300" t="str">
        <f>"415103433"</f>
        <v>415103433</v>
      </c>
      <c r="B3300" t="str">
        <f t="shared" si="220"/>
        <v>89301000</v>
      </c>
      <c r="C3300" s="1">
        <v>44300</v>
      </c>
      <c r="D3300" s="1">
        <v>44305</v>
      </c>
      <c r="E3300">
        <v>1</v>
      </c>
      <c r="F3300" t="s">
        <v>2254</v>
      </c>
      <c r="G3300" t="str">
        <f>"13-C01-02"</f>
        <v>13-C01-02</v>
      </c>
      <c r="H3300">
        <v>0.27100000000000002</v>
      </c>
      <c r="I3300" t="s">
        <v>541</v>
      </c>
      <c r="J3300" t="s">
        <v>14</v>
      </c>
      <c r="K3300" t="str">
        <f>"4F2"</f>
        <v>4F2</v>
      </c>
      <c r="L3300" t="s">
        <v>15</v>
      </c>
    </row>
    <row r="3301" spans="1:12" x14ac:dyDescent="0.25">
      <c r="A3301" t="str">
        <f>"415103433"</f>
        <v>415103433</v>
      </c>
      <c r="B3301" t="str">
        <f t="shared" si="220"/>
        <v>89301000</v>
      </c>
      <c r="C3301" s="1">
        <v>44309</v>
      </c>
      <c r="D3301" s="1">
        <v>44312</v>
      </c>
      <c r="E3301">
        <v>1</v>
      </c>
      <c r="F3301" t="s">
        <v>2254</v>
      </c>
      <c r="G3301" t="str">
        <f>"13-C01-02"</f>
        <v>13-C01-02</v>
      </c>
      <c r="H3301">
        <v>0.2349</v>
      </c>
      <c r="I3301" t="s">
        <v>2255</v>
      </c>
      <c r="J3301" t="s">
        <v>14</v>
      </c>
      <c r="K3301" t="str">
        <f>"4F2"</f>
        <v>4F2</v>
      </c>
      <c r="L3301" t="s">
        <v>15</v>
      </c>
    </row>
    <row r="3302" spans="1:12" x14ac:dyDescent="0.25">
      <c r="A3302" t="str">
        <f>"415103433"</f>
        <v>415103433</v>
      </c>
      <c r="B3302" t="str">
        <f t="shared" si="220"/>
        <v>89301000</v>
      </c>
      <c r="C3302" s="1">
        <v>44316</v>
      </c>
      <c r="D3302" s="1">
        <v>44323</v>
      </c>
      <c r="E3302">
        <v>2</v>
      </c>
      <c r="F3302" t="s">
        <v>2254</v>
      </c>
      <c r="G3302" t="str">
        <f>"13-K09-01"</f>
        <v>13-K09-01</v>
      </c>
      <c r="H3302">
        <v>1.1842999999999999</v>
      </c>
      <c r="I3302" t="s">
        <v>2256</v>
      </c>
      <c r="J3302" t="s">
        <v>14</v>
      </c>
      <c r="K3302" t="str">
        <f>"4F2"</f>
        <v>4F2</v>
      </c>
      <c r="L3302" t="s">
        <v>15</v>
      </c>
    </row>
    <row r="3303" spans="1:12" x14ac:dyDescent="0.25">
      <c r="A3303" t="str">
        <f>"415104450"</f>
        <v>415104450</v>
      </c>
      <c r="B3303" t="str">
        <f t="shared" si="220"/>
        <v>89301000</v>
      </c>
      <c r="C3303" s="1">
        <v>44476</v>
      </c>
      <c r="D3303" s="1">
        <v>44477</v>
      </c>
      <c r="E3303">
        <v>1</v>
      </c>
      <c r="F3303" t="s">
        <v>2257</v>
      </c>
      <c r="G3303" t="str">
        <f>"04-K06-03"</f>
        <v>04-K06-03</v>
      </c>
      <c r="H3303">
        <v>0.44409999999999999</v>
      </c>
      <c r="I3303" t="s">
        <v>2258</v>
      </c>
      <c r="J3303" t="s">
        <v>14</v>
      </c>
      <c r="K3303" t="str">
        <f>"2F5"</f>
        <v>2F5</v>
      </c>
      <c r="L3303" t="s">
        <v>15</v>
      </c>
    </row>
    <row r="3304" spans="1:12" x14ac:dyDescent="0.25">
      <c r="A3304" t="str">
        <f>"415112427"</f>
        <v>415112427</v>
      </c>
      <c r="B3304" t="str">
        <f t="shared" si="220"/>
        <v>89301000</v>
      </c>
      <c r="C3304" s="1">
        <v>44394</v>
      </c>
      <c r="D3304" s="1">
        <v>44411</v>
      </c>
      <c r="E3304">
        <v>1</v>
      </c>
      <c r="F3304" t="s">
        <v>588</v>
      </c>
      <c r="G3304" t="str">
        <f>"07-M02-03"</f>
        <v>07-M02-03</v>
      </c>
      <c r="H3304">
        <v>1.3574999999999999</v>
      </c>
      <c r="I3304" t="s">
        <v>489</v>
      </c>
      <c r="J3304" t="s">
        <v>17</v>
      </c>
      <c r="K3304" t="str">
        <f>"1F5"</f>
        <v>1F5</v>
      </c>
      <c r="L3304" t="s">
        <v>15</v>
      </c>
    </row>
    <row r="3305" spans="1:12" x14ac:dyDescent="0.25">
      <c r="A3305" t="str">
        <f>"415116084"</f>
        <v>415116084</v>
      </c>
      <c r="B3305" t="str">
        <f t="shared" si="220"/>
        <v>89301000</v>
      </c>
      <c r="C3305" s="1">
        <v>44432</v>
      </c>
      <c r="D3305" s="1">
        <v>44433</v>
      </c>
      <c r="E3305">
        <v>1</v>
      </c>
      <c r="F3305" t="s">
        <v>1599</v>
      </c>
      <c r="G3305" t="str">
        <f>"05-D01-06"</f>
        <v>05-D01-06</v>
      </c>
      <c r="H3305">
        <v>0.7611</v>
      </c>
      <c r="I3305" t="s">
        <v>1780</v>
      </c>
      <c r="J3305" t="s">
        <v>14</v>
      </c>
      <c r="K3305" t="str">
        <f>"1F1"</f>
        <v>1F1</v>
      </c>
      <c r="L3305" t="s">
        <v>15</v>
      </c>
    </row>
    <row r="3306" spans="1:12" x14ac:dyDescent="0.25">
      <c r="A3306" t="str">
        <f>"415123460"</f>
        <v>415123460</v>
      </c>
      <c r="B3306" t="str">
        <f t="shared" si="220"/>
        <v>89301000</v>
      </c>
      <c r="C3306" s="1">
        <v>44419</v>
      </c>
      <c r="D3306" s="1">
        <v>44420</v>
      </c>
      <c r="E3306">
        <v>1</v>
      </c>
      <c r="F3306" t="s">
        <v>1604</v>
      </c>
      <c r="G3306" t="str">
        <f>"05-M05-03"</f>
        <v>05-M05-03</v>
      </c>
      <c r="H3306">
        <v>1.9048</v>
      </c>
      <c r="I3306" t="s">
        <v>2259</v>
      </c>
      <c r="J3306" t="s">
        <v>24</v>
      </c>
      <c r="K3306" t="str">
        <f>"1F1"</f>
        <v>1F1</v>
      </c>
      <c r="L3306" t="s">
        <v>15</v>
      </c>
    </row>
    <row r="3307" spans="1:12" x14ac:dyDescent="0.25">
      <c r="A3307" t="str">
        <f>"415128080"</f>
        <v>415128080</v>
      </c>
      <c r="B3307" t="str">
        <f t="shared" si="220"/>
        <v>89301000</v>
      </c>
      <c r="C3307" s="1">
        <v>44257</v>
      </c>
      <c r="D3307" s="1">
        <v>44259</v>
      </c>
      <c r="E3307">
        <v>1</v>
      </c>
      <c r="F3307" t="s">
        <v>1785</v>
      </c>
      <c r="G3307" t="str">
        <f>"05-I25-04"</f>
        <v>05-I25-04</v>
      </c>
      <c r="H3307">
        <v>0.99080000000000001</v>
      </c>
      <c r="I3307" t="s">
        <v>2250</v>
      </c>
      <c r="J3307" t="s">
        <v>17</v>
      </c>
      <c r="K3307" t="str">
        <f>"1F1"</f>
        <v>1F1</v>
      </c>
      <c r="L3307" t="s">
        <v>15</v>
      </c>
    </row>
    <row r="3308" spans="1:12" x14ac:dyDescent="0.25">
      <c r="A3308" t="str">
        <f>"415128445"</f>
        <v>415128445</v>
      </c>
      <c r="B3308" t="str">
        <f t="shared" si="220"/>
        <v>89301000</v>
      </c>
      <c r="C3308" s="1">
        <v>44298</v>
      </c>
      <c r="D3308" s="1">
        <v>44309</v>
      </c>
      <c r="E3308">
        <v>5</v>
      </c>
      <c r="F3308" t="s">
        <v>1581</v>
      </c>
      <c r="G3308" t="str">
        <f>"05-I24-04"</f>
        <v>05-I24-04</v>
      </c>
      <c r="H3308">
        <v>2.2437</v>
      </c>
      <c r="I3308" t="s">
        <v>2260</v>
      </c>
      <c r="J3308" t="s">
        <v>14</v>
      </c>
      <c r="K3308" t="str">
        <f>"5F1"</f>
        <v>5F1</v>
      </c>
      <c r="L3308" t="s">
        <v>15</v>
      </c>
    </row>
    <row r="3309" spans="1:12" x14ac:dyDescent="0.25">
      <c r="A3309" t="str">
        <f>"415130444"</f>
        <v>415130444</v>
      </c>
      <c r="B3309" t="str">
        <f t="shared" si="220"/>
        <v>89301000</v>
      </c>
      <c r="C3309" s="1">
        <v>44191</v>
      </c>
      <c r="D3309" s="1">
        <v>44201</v>
      </c>
      <c r="E3309">
        <v>1</v>
      </c>
      <c r="F3309" t="s">
        <v>2261</v>
      </c>
      <c r="G3309" t="str">
        <f>"02-K01-02"</f>
        <v>02-K01-02</v>
      </c>
      <c r="H3309">
        <v>0.77749999999999997</v>
      </c>
      <c r="I3309" t="s">
        <v>2262</v>
      </c>
      <c r="J3309" t="s">
        <v>14</v>
      </c>
      <c r="K3309" t="str">
        <f>"7F5"</f>
        <v>7F5</v>
      </c>
      <c r="L3309" t="s">
        <v>15</v>
      </c>
    </row>
    <row r="3310" spans="1:12" x14ac:dyDescent="0.25">
      <c r="A3310" t="str">
        <f>"415216409"</f>
        <v>415216409</v>
      </c>
      <c r="B3310" t="str">
        <f t="shared" si="220"/>
        <v>89301000</v>
      </c>
      <c r="C3310" s="1">
        <v>44446</v>
      </c>
      <c r="D3310" s="1">
        <v>44447</v>
      </c>
      <c r="E3310">
        <v>1</v>
      </c>
      <c r="F3310" t="s">
        <v>2263</v>
      </c>
      <c r="G3310" t="str">
        <f>"13-I19-00"</f>
        <v>13-I19-00</v>
      </c>
      <c r="H3310">
        <v>0.24679999999999999</v>
      </c>
      <c r="J3310" t="s">
        <v>14</v>
      </c>
      <c r="K3310" t="str">
        <f>"6F3"</f>
        <v>6F3</v>
      </c>
      <c r="L3310" t="s">
        <v>15</v>
      </c>
    </row>
    <row r="3311" spans="1:12" x14ac:dyDescent="0.25">
      <c r="A3311" t="str">
        <f>"415227402"</f>
        <v>415227402</v>
      </c>
      <c r="B3311" t="str">
        <f t="shared" si="220"/>
        <v>89301000</v>
      </c>
      <c r="C3311" s="1">
        <v>44431</v>
      </c>
      <c r="D3311" s="1">
        <v>44433</v>
      </c>
      <c r="E3311">
        <v>1</v>
      </c>
      <c r="F3311" t="s">
        <v>2264</v>
      </c>
      <c r="G3311" t="str">
        <f>"11-I17-02"</f>
        <v>11-I17-02</v>
      </c>
      <c r="H3311">
        <v>0.78900000000000003</v>
      </c>
      <c r="I3311" t="s">
        <v>2265</v>
      </c>
      <c r="J3311" t="s">
        <v>14</v>
      </c>
      <c r="K3311" t="str">
        <f>"7F6"</f>
        <v>7F6</v>
      </c>
      <c r="L3311" t="s">
        <v>15</v>
      </c>
    </row>
    <row r="3312" spans="1:12" x14ac:dyDescent="0.25">
      <c r="A3312" t="str">
        <f>"415302401"</f>
        <v>415302401</v>
      </c>
      <c r="B3312" t="str">
        <f t="shared" si="220"/>
        <v>89301000</v>
      </c>
      <c r="C3312" s="1">
        <v>44236</v>
      </c>
      <c r="D3312" s="1">
        <v>44236</v>
      </c>
      <c r="E3312">
        <v>1</v>
      </c>
      <c r="F3312" t="s">
        <v>1842</v>
      </c>
      <c r="G3312" t="str">
        <f>"05-I14-04"</f>
        <v>05-I14-04</v>
      </c>
      <c r="H3312">
        <v>5.1692</v>
      </c>
      <c r="I3312" t="s">
        <v>2266</v>
      </c>
      <c r="J3312" t="s">
        <v>14</v>
      </c>
      <c r="K3312" t="str">
        <f>"1F1"</f>
        <v>1F1</v>
      </c>
      <c r="L3312" t="s">
        <v>15</v>
      </c>
    </row>
    <row r="3313" spans="1:12" x14ac:dyDescent="0.25">
      <c r="A3313" t="str">
        <f>"415302401"</f>
        <v>415302401</v>
      </c>
      <c r="B3313" t="str">
        <f t="shared" si="220"/>
        <v>89301000</v>
      </c>
      <c r="C3313" s="1">
        <v>44224</v>
      </c>
      <c r="D3313" s="1">
        <v>44225</v>
      </c>
      <c r="E3313">
        <v>1</v>
      </c>
      <c r="F3313" t="s">
        <v>1558</v>
      </c>
      <c r="G3313" t="str">
        <f>"05-D01-05"</f>
        <v>05-D01-05</v>
      </c>
      <c r="H3313">
        <v>1.1738</v>
      </c>
      <c r="I3313" t="s">
        <v>2267</v>
      </c>
      <c r="J3313" t="s">
        <v>14</v>
      </c>
      <c r="K3313" t="str">
        <f>"1F7"</f>
        <v>1F7</v>
      </c>
      <c r="L3313" t="s">
        <v>15</v>
      </c>
    </row>
    <row r="3314" spans="1:12" x14ac:dyDescent="0.25">
      <c r="A3314" t="str">
        <f>"415314408"</f>
        <v>415314408</v>
      </c>
      <c r="B3314" t="str">
        <f t="shared" si="220"/>
        <v>89301000</v>
      </c>
      <c r="C3314" s="1">
        <v>44432</v>
      </c>
      <c r="D3314" s="1">
        <v>44447</v>
      </c>
      <c r="E3314">
        <v>1</v>
      </c>
      <c r="F3314" t="s">
        <v>2268</v>
      </c>
      <c r="G3314" t="str">
        <f>"05-K07-03"</f>
        <v>05-K07-03</v>
      </c>
      <c r="H3314">
        <v>1.7625999999999999</v>
      </c>
      <c r="I3314" t="s">
        <v>2269</v>
      </c>
      <c r="J3314" t="s">
        <v>14</v>
      </c>
      <c r="K3314" t="str">
        <f>"2F5"</f>
        <v>2F5</v>
      </c>
      <c r="L3314" t="s">
        <v>15</v>
      </c>
    </row>
    <row r="3315" spans="1:12" x14ac:dyDescent="0.25">
      <c r="A3315" t="str">
        <f>"415321437"</f>
        <v>415321437</v>
      </c>
      <c r="B3315" t="str">
        <f t="shared" si="220"/>
        <v>89301000</v>
      </c>
      <c r="C3315" s="1">
        <v>44222</v>
      </c>
      <c r="D3315" s="1">
        <v>44229</v>
      </c>
      <c r="E3315">
        <v>4</v>
      </c>
      <c r="F3315" t="s">
        <v>2270</v>
      </c>
      <c r="G3315" t="str">
        <f>"09-K03-01"</f>
        <v>09-K03-01</v>
      </c>
      <c r="H3315">
        <v>1.4508000000000001</v>
      </c>
      <c r="I3315" t="s">
        <v>2271</v>
      </c>
      <c r="J3315" t="s">
        <v>14</v>
      </c>
      <c r="K3315" t="str">
        <f>"4F4"</f>
        <v>4F4</v>
      </c>
      <c r="L3315" t="s">
        <v>15</v>
      </c>
    </row>
    <row r="3316" spans="1:12" x14ac:dyDescent="0.25">
      <c r="A3316" t="str">
        <f>"415329423"</f>
        <v>415329423</v>
      </c>
      <c r="B3316" t="str">
        <f t="shared" si="220"/>
        <v>89301000</v>
      </c>
      <c r="C3316" s="1">
        <v>44214</v>
      </c>
      <c r="D3316" s="1">
        <v>44223</v>
      </c>
      <c r="E3316">
        <v>4</v>
      </c>
      <c r="F3316" t="s">
        <v>1614</v>
      </c>
      <c r="G3316" t="str">
        <f>"08-I05-02"</f>
        <v>08-I05-02</v>
      </c>
      <c r="H3316">
        <v>3.6882000000000001</v>
      </c>
      <c r="I3316" t="s">
        <v>2272</v>
      </c>
      <c r="J3316" t="s">
        <v>17</v>
      </c>
      <c r="K3316" t="str">
        <f>"6F6"</f>
        <v>6F6</v>
      </c>
      <c r="L3316" t="s">
        <v>15</v>
      </c>
    </row>
    <row r="3317" spans="1:12" x14ac:dyDescent="0.25">
      <c r="A3317" t="str">
        <f>"415412427"</f>
        <v>415412427</v>
      </c>
      <c r="B3317" t="str">
        <f t="shared" si="220"/>
        <v>89301000</v>
      </c>
      <c r="C3317" s="1">
        <v>44388</v>
      </c>
      <c r="D3317" s="1">
        <v>44393</v>
      </c>
      <c r="E3317">
        <v>1</v>
      </c>
      <c r="F3317" t="s">
        <v>2273</v>
      </c>
      <c r="G3317" t="str">
        <f>"01-K13-02"</f>
        <v>01-K13-02</v>
      </c>
      <c r="H3317">
        <v>0.7954</v>
      </c>
      <c r="I3317" t="s">
        <v>2274</v>
      </c>
      <c r="J3317" t="s">
        <v>14</v>
      </c>
      <c r="K3317" t="str">
        <f>"1F1"</f>
        <v>1F1</v>
      </c>
      <c r="L3317" t="s">
        <v>15</v>
      </c>
    </row>
    <row r="3318" spans="1:12" x14ac:dyDescent="0.25">
      <c r="A3318" t="str">
        <f>"415412427"</f>
        <v>415412427</v>
      </c>
      <c r="B3318" t="str">
        <f t="shared" si="220"/>
        <v>89301000</v>
      </c>
      <c r="C3318" s="1">
        <v>44446</v>
      </c>
      <c r="D3318" s="1">
        <v>44456</v>
      </c>
      <c r="E3318">
        <v>1</v>
      </c>
      <c r="F3318" t="s">
        <v>164</v>
      </c>
      <c r="G3318" t="str">
        <f>"01-I06-04"</f>
        <v>01-I06-04</v>
      </c>
      <c r="H3318">
        <v>3.6231</v>
      </c>
      <c r="I3318" t="s">
        <v>489</v>
      </c>
      <c r="J3318" t="s">
        <v>17</v>
      </c>
      <c r="K3318" t="str">
        <f>"5F6"</f>
        <v>5F6</v>
      </c>
      <c r="L3318" t="s">
        <v>15</v>
      </c>
    </row>
    <row r="3319" spans="1:12" x14ac:dyDescent="0.25">
      <c r="A3319" t="str">
        <f>"415426437"</f>
        <v>415426437</v>
      </c>
      <c r="B3319" t="str">
        <f t="shared" si="220"/>
        <v>89301000</v>
      </c>
      <c r="C3319" s="1">
        <v>44323</v>
      </c>
      <c r="D3319" s="1">
        <v>44355</v>
      </c>
      <c r="E3319">
        <v>8</v>
      </c>
      <c r="F3319" t="s">
        <v>1548</v>
      </c>
      <c r="G3319" t="str">
        <f>"00-M03-04"</f>
        <v>00-M03-04</v>
      </c>
      <c r="H3319">
        <v>24.863900000000001</v>
      </c>
      <c r="I3319" t="s">
        <v>2275</v>
      </c>
      <c r="J3319" t="s">
        <v>14</v>
      </c>
      <c r="K3319" t="str">
        <f>"1T1"</f>
        <v>1T1</v>
      </c>
      <c r="L3319" t="s">
        <v>15</v>
      </c>
    </row>
    <row r="3320" spans="1:12" x14ac:dyDescent="0.25">
      <c r="A3320" t="str">
        <f>"415426437"</f>
        <v>415426437</v>
      </c>
      <c r="B3320" t="str">
        <f t="shared" si="220"/>
        <v>89301000</v>
      </c>
      <c r="C3320" s="1">
        <v>44259</v>
      </c>
      <c r="D3320" s="1">
        <v>44270</v>
      </c>
      <c r="E3320">
        <v>1</v>
      </c>
      <c r="F3320" t="s">
        <v>217</v>
      </c>
      <c r="G3320" t="str">
        <f>"04-K02-04"</f>
        <v>04-K02-04</v>
      </c>
      <c r="H3320">
        <v>0.82469999999999999</v>
      </c>
      <c r="I3320" t="s">
        <v>2276</v>
      </c>
      <c r="J3320" t="s">
        <v>14</v>
      </c>
      <c r="K3320" t="str">
        <f>"1F1"</f>
        <v>1F1</v>
      </c>
      <c r="L3320" t="s">
        <v>15</v>
      </c>
    </row>
    <row r="3321" spans="1:12" x14ac:dyDescent="0.25">
      <c r="A3321" t="str">
        <f>"415502465"</f>
        <v>415502465</v>
      </c>
      <c r="B3321" t="str">
        <f t="shared" si="220"/>
        <v>89301000</v>
      </c>
      <c r="C3321" s="1">
        <v>44194</v>
      </c>
      <c r="D3321" s="1">
        <v>44216</v>
      </c>
      <c r="E3321">
        <v>4</v>
      </c>
      <c r="F3321" t="s">
        <v>1955</v>
      </c>
      <c r="G3321" t="str">
        <f>"01-K04-02"</f>
        <v>01-K04-02</v>
      </c>
      <c r="H3321">
        <v>1.159</v>
      </c>
      <c r="I3321" t="s">
        <v>2277</v>
      </c>
      <c r="J3321" t="s">
        <v>14</v>
      </c>
      <c r="K3321" t="str">
        <f>"3F5"</f>
        <v>3F5</v>
      </c>
      <c r="L3321" t="s">
        <v>15</v>
      </c>
    </row>
    <row r="3322" spans="1:12" x14ac:dyDescent="0.25">
      <c r="A3322" t="str">
        <f>"415507413"</f>
        <v>415507413</v>
      </c>
      <c r="B3322" t="str">
        <f t="shared" si="220"/>
        <v>89301000</v>
      </c>
      <c r="C3322" s="1">
        <v>44309</v>
      </c>
      <c r="D3322" s="1">
        <v>44315</v>
      </c>
      <c r="E3322">
        <v>1</v>
      </c>
      <c r="F3322" t="s">
        <v>448</v>
      </c>
      <c r="G3322" t="str">
        <f>"11-K01-03"</f>
        <v>11-K01-03</v>
      </c>
      <c r="H3322">
        <v>0.59489999999999998</v>
      </c>
      <c r="I3322" t="s">
        <v>2278</v>
      </c>
      <c r="J3322" t="s">
        <v>14</v>
      </c>
      <c r="K3322" t="str">
        <f>"7F6"</f>
        <v>7F6</v>
      </c>
      <c r="L3322" t="s">
        <v>15</v>
      </c>
    </row>
    <row r="3323" spans="1:12" x14ac:dyDescent="0.25">
      <c r="A3323" t="str">
        <f>"415507413"</f>
        <v>415507413</v>
      </c>
      <c r="B3323" t="str">
        <f t="shared" si="220"/>
        <v>89301000</v>
      </c>
      <c r="C3323" s="1">
        <v>44244</v>
      </c>
      <c r="D3323" s="1">
        <v>44250</v>
      </c>
      <c r="E3323">
        <v>1</v>
      </c>
      <c r="F3323" t="s">
        <v>448</v>
      </c>
      <c r="G3323" t="str">
        <f>"11-K01-03"</f>
        <v>11-K01-03</v>
      </c>
      <c r="H3323">
        <v>0.59489999999999998</v>
      </c>
      <c r="I3323" t="s">
        <v>2279</v>
      </c>
      <c r="J3323" t="s">
        <v>14</v>
      </c>
      <c r="K3323" t="str">
        <f>"7F6"</f>
        <v>7F6</v>
      </c>
      <c r="L3323" t="s">
        <v>15</v>
      </c>
    </row>
    <row r="3324" spans="1:12" x14ac:dyDescent="0.25">
      <c r="A3324" t="str">
        <f>"415526406"</f>
        <v>415526406</v>
      </c>
      <c r="B3324" t="str">
        <f t="shared" si="220"/>
        <v>89301000</v>
      </c>
      <c r="C3324" s="1">
        <v>44364</v>
      </c>
      <c r="D3324" s="1">
        <v>44377</v>
      </c>
      <c r="E3324">
        <v>1</v>
      </c>
      <c r="F3324" t="s">
        <v>1096</v>
      </c>
      <c r="G3324" t="str">
        <f>"04-K02-03"</f>
        <v>04-K02-03</v>
      </c>
      <c r="H3324">
        <v>1.2859</v>
      </c>
      <c r="I3324" t="s">
        <v>2280</v>
      </c>
      <c r="J3324" t="s">
        <v>14</v>
      </c>
      <c r="K3324" t="str">
        <f>"2F5"</f>
        <v>2F5</v>
      </c>
      <c r="L3324" t="s">
        <v>15</v>
      </c>
    </row>
    <row r="3325" spans="1:12" x14ac:dyDescent="0.25">
      <c r="A3325" t="str">
        <f>"415527411"</f>
        <v>415527411</v>
      </c>
      <c r="B3325" t="str">
        <f t="shared" si="220"/>
        <v>89301000</v>
      </c>
      <c r="C3325" s="1">
        <v>44368</v>
      </c>
      <c r="D3325" s="1">
        <v>44371</v>
      </c>
      <c r="E3325">
        <v>4</v>
      </c>
      <c r="F3325" t="s">
        <v>2281</v>
      </c>
      <c r="G3325" t="str">
        <f>"19-K02-03"</f>
        <v>19-K02-03</v>
      </c>
      <c r="H3325">
        <v>0.67269999999999996</v>
      </c>
      <c r="J3325" t="s">
        <v>27</v>
      </c>
      <c r="K3325" t="str">
        <f>"3F5"</f>
        <v>3F5</v>
      </c>
      <c r="L3325" t="s">
        <v>15</v>
      </c>
    </row>
    <row r="3326" spans="1:12" x14ac:dyDescent="0.25">
      <c r="A3326" t="str">
        <f>"415530422"</f>
        <v>415530422</v>
      </c>
      <c r="B3326" t="str">
        <f t="shared" si="220"/>
        <v>89301000</v>
      </c>
      <c r="C3326" s="1">
        <v>44437</v>
      </c>
      <c r="D3326" s="1">
        <v>44439</v>
      </c>
      <c r="E3326">
        <v>1</v>
      </c>
      <c r="F3326" t="s">
        <v>529</v>
      </c>
      <c r="G3326" t="str">
        <f>"06-K04-03"</f>
        <v>06-K04-03</v>
      </c>
      <c r="H3326">
        <v>0.38250000000000001</v>
      </c>
      <c r="J3326" t="s">
        <v>14</v>
      </c>
      <c r="K3326" t="str">
        <f>"1F5"</f>
        <v>1F5</v>
      </c>
      <c r="L3326" t="s">
        <v>15</v>
      </c>
    </row>
    <row r="3327" spans="1:12" x14ac:dyDescent="0.25">
      <c r="A3327" t="str">
        <f>"415531421"</f>
        <v>415531421</v>
      </c>
      <c r="B3327" t="str">
        <f t="shared" si="220"/>
        <v>89301000</v>
      </c>
      <c r="C3327" s="1">
        <v>44216</v>
      </c>
      <c r="D3327" s="1">
        <v>44218</v>
      </c>
      <c r="E3327">
        <v>1</v>
      </c>
      <c r="F3327" t="s">
        <v>550</v>
      </c>
      <c r="G3327" t="str">
        <f>"07-M02-04"</f>
        <v>07-M02-04</v>
      </c>
      <c r="H3327">
        <v>0.73929999999999996</v>
      </c>
      <c r="I3327" t="s">
        <v>2282</v>
      </c>
      <c r="J3327" t="s">
        <v>17</v>
      </c>
      <c r="K3327" t="str">
        <f>"1F1"</f>
        <v>1F1</v>
      </c>
      <c r="L3327" t="s">
        <v>15</v>
      </c>
    </row>
    <row r="3328" spans="1:12" x14ac:dyDescent="0.25">
      <c r="A3328" t="str">
        <f>"415602426"</f>
        <v>415602426</v>
      </c>
      <c r="B3328" t="str">
        <f t="shared" si="220"/>
        <v>89301000</v>
      </c>
      <c r="C3328" s="1">
        <v>44329</v>
      </c>
      <c r="D3328" s="1">
        <v>44335</v>
      </c>
      <c r="E3328">
        <v>1</v>
      </c>
      <c r="F3328" t="s">
        <v>67</v>
      </c>
      <c r="G3328" t="str">
        <f>"01-C02-02"</f>
        <v>01-C02-02</v>
      </c>
      <c r="H3328">
        <v>1.4877</v>
      </c>
      <c r="I3328" t="s">
        <v>2283</v>
      </c>
      <c r="J3328" t="s">
        <v>14</v>
      </c>
      <c r="K3328" t="str">
        <f>"2F9"</f>
        <v>2F9</v>
      </c>
      <c r="L3328" t="s">
        <v>15</v>
      </c>
    </row>
    <row r="3329" spans="1:12" x14ac:dyDescent="0.25">
      <c r="A3329" t="str">
        <f>"415605439"</f>
        <v>415605439</v>
      </c>
      <c r="B3329" t="str">
        <f t="shared" si="220"/>
        <v>89301000</v>
      </c>
      <c r="C3329" s="1">
        <v>44352</v>
      </c>
      <c r="D3329" s="1">
        <v>44358</v>
      </c>
      <c r="E3329">
        <v>4</v>
      </c>
      <c r="F3329" t="s">
        <v>67</v>
      </c>
      <c r="G3329" t="str">
        <f>"01-M02-00"</f>
        <v>01-M02-00</v>
      </c>
      <c r="H3329">
        <v>5.4023000000000003</v>
      </c>
      <c r="I3329" t="s">
        <v>2284</v>
      </c>
      <c r="J3329" t="s">
        <v>17</v>
      </c>
      <c r="K3329" t="str">
        <f>"2F9"</f>
        <v>2F9</v>
      </c>
      <c r="L3329" t="s">
        <v>15</v>
      </c>
    </row>
    <row r="3330" spans="1:12" x14ac:dyDescent="0.25">
      <c r="A3330" t="str">
        <f>"415622051"</f>
        <v>415622051</v>
      </c>
      <c r="B3330" t="str">
        <f t="shared" si="220"/>
        <v>89301000</v>
      </c>
      <c r="C3330" s="1">
        <v>44524</v>
      </c>
      <c r="D3330" s="1">
        <v>44525</v>
      </c>
      <c r="E3330">
        <v>1</v>
      </c>
      <c r="F3330" t="s">
        <v>2062</v>
      </c>
      <c r="G3330" t="str">
        <f>"06-M01-02"</f>
        <v>06-M01-02</v>
      </c>
      <c r="H3330">
        <v>1.2623</v>
      </c>
      <c r="I3330" t="s">
        <v>1959</v>
      </c>
      <c r="J3330" t="s">
        <v>14</v>
      </c>
      <c r="K3330" t="str">
        <f>"1F1"</f>
        <v>1F1</v>
      </c>
      <c r="L3330" t="s">
        <v>15</v>
      </c>
    </row>
    <row r="3331" spans="1:12" x14ac:dyDescent="0.25">
      <c r="A3331" t="str">
        <f>"415625412"</f>
        <v>415625412</v>
      </c>
      <c r="B3331" t="str">
        <f t="shared" si="220"/>
        <v>89301000</v>
      </c>
      <c r="C3331" s="1">
        <v>44481</v>
      </c>
      <c r="D3331" s="1">
        <v>44489</v>
      </c>
      <c r="E3331">
        <v>1</v>
      </c>
      <c r="F3331" t="s">
        <v>2285</v>
      </c>
      <c r="G3331" t="str">
        <f>"01-K11-02"</f>
        <v>01-K11-02</v>
      </c>
      <c r="H3331">
        <v>1.9453</v>
      </c>
      <c r="I3331" t="s">
        <v>2286</v>
      </c>
      <c r="J3331" t="s">
        <v>14</v>
      </c>
      <c r="K3331" t="str">
        <f>"2F9"</f>
        <v>2F9</v>
      </c>
      <c r="L3331" t="s">
        <v>15</v>
      </c>
    </row>
    <row r="3332" spans="1:12" x14ac:dyDescent="0.25">
      <c r="A3332" t="str">
        <f>"415625412"</f>
        <v>415625412</v>
      </c>
      <c r="B3332" t="str">
        <f t="shared" si="220"/>
        <v>89301000</v>
      </c>
      <c r="C3332" s="1">
        <v>44300</v>
      </c>
      <c r="D3332" s="1">
        <v>44302</v>
      </c>
      <c r="E3332">
        <v>1</v>
      </c>
      <c r="F3332" t="s">
        <v>1553</v>
      </c>
      <c r="G3332" t="str">
        <f>"04-K05-03"</f>
        <v>04-K05-03</v>
      </c>
      <c r="H3332">
        <v>0.74980000000000002</v>
      </c>
      <c r="I3332" t="s">
        <v>2287</v>
      </c>
      <c r="J3332" t="s">
        <v>14</v>
      </c>
      <c r="K3332" t="str">
        <f>"1F1"</f>
        <v>1F1</v>
      </c>
      <c r="L3332" t="s">
        <v>15</v>
      </c>
    </row>
    <row r="3333" spans="1:12" x14ac:dyDescent="0.25">
      <c r="A3333" t="str">
        <f>"415702447"</f>
        <v>415702447</v>
      </c>
      <c r="B3333" t="str">
        <f t="shared" si="220"/>
        <v>89301000</v>
      </c>
      <c r="C3333" s="1">
        <v>44264</v>
      </c>
      <c r="D3333" s="1">
        <v>44266</v>
      </c>
      <c r="E3333">
        <v>1</v>
      </c>
      <c r="F3333" t="s">
        <v>1132</v>
      </c>
      <c r="G3333" t="str">
        <f>"23-K04-02"</f>
        <v>23-K04-02</v>
      </c>
      <c r="H3333">
        <v>0.38690000000000002</v>
      </c>
      <c r="I3333" t="s">
        <v>2288</v>
      </c>
      <c r="J3333" t="s">
        <v>14</v>
      </c>
      <c r="K3333" t="str">
        <f>"7F1"</f>
        <v>7F1</v>
      </c>
      <c r="L3333" t="s">
        <v>15</v>
      </c>
    </row>
    <row r="3334" spans="1:12" x14ac:dyDescent="0.25">
      <c r="A3334" t="str">
        <f>"415709436"</f>
        <v>415709436</v>
      </c>
      <c r="B3334" t="str">
        <f t="shared" si="220"/>
        <v>89301000</v>
      </c>
      <c r="C3334" s="1">
        <v>44376</v>
      </c>
      <c r="D3334" s="1">
        <v>44390</v>
      </c>
      <c r="E3334">
        <v>1</v>
      </c>
      <c r="F3334" t="s">
        <v>2026</v>
      </c>
      <c r="G3334" t="str">
        <f>"08-K08-00"</f>
        <v>08-K08-00</v>
      </c>
      <c r="H3334">
        <v>0.67100000000000004</v>
      </c>
      <c r="I3334" t="s">
        <v>2289</v>
      </c>
      <c r="J3334" t="s">
        <v>14</v>
      </c>
      <c r="K3334" t="str">
        <f>"1F6"</f>
        <v>1F6</v>
      </c>
      <c r="L3334" t="s">
        <v>15</v>
      </c>
    </row>
    <row r="3335" spans="1:12" x14ac:dyDescent="0.25">
      <c r="A3335" t="str">
        <f>"415710449"</f>
        <v>415710449</v>
      </c>
      <c r="B3335" t="str">
        <f t="shared" si="220"/>
        <v>89301000</v>
      </c>
      <c r="C3335" s="1">
        <v>44320</v>
      </c>
      <c r="D3335" s="1">
        <v>44327</v>
      </c>
      <c r="E3335">
        <v>1</v>
      </c>
      <c r="F3335" t="s">
        <v>2290</v>
      </c>
      <c r="G3335" t="str">
        <f>"08-K02-02"</f>
        <v>08-K02-02</v>
      </c>
      <c r="H3335">
        <v>1.2081999999999999</v>
      </c>
      <c r="I3335" t="s">
        <v>2291</v>
      </c>
      <c r="J3335" t="s">
        <v>14</v>
      </c>
      <c r="K3335" t="str">
        <f>"1F9"</f>
        <v>1F9</v>
      </c>
      <c r="L3335" t="s">
        <v>15</v>
      </c>
    </row>
    <row r="3336" spans="1:12" x14ac:dyDescent="0.25">
      <c r="A3336" t="str">
        <f>"415714413"</f>
        <v>415714413</v>
      </c>
      <c r="B3336" t="str">
        <f t="shared" si="220"/>
        <v>89301000</v>
      </c>
      <c r="C3336" s="1">
        <v>44522</v>
      </c>
      <c r="D3336" s="1">
        <v>44526</v>
      </c>
      <c r="E3336">
        <v>1</v>
      </c>
      <c r="F3336" t="s">
        <v>1548</v>
      </c>
      <c r="G3336" t="str">
        <f>"05-K07-04"</f>
        <v>05-K07-04</v>
      </c>
      <c r="H3336">
        <v>1.131</v>
      </c>
      <c r="I3336" t="s">
        <v>2292</v>
      </c>
      <c r="J3336" t="s">
        <v>14</v>
      </c>
      <c r="K3336" t="str">
        <f>"1F1"</f>
        <v>1F1</v>
      </c>
      <c r="L3336" t="s">
        <v>15</v>
      </c>
    </row>
    <row r="3337" spans="1:12" x14ac:dyDescent="0.25">
      <c r="A3337" t="str">
        <f>"415716461"</f>
        <v>415716461</v>
      </c>
      <c r="B3337" t="str">
        <f t="shared" si="220"/>
        <v>89301000</v>
      </c>
      <c r="C3337" s="1">
        <v>44191</v>
      </c>
      <c r="D3337" s="1">
        <v>44198</v>
      </c>
      <c r="E3337">
        <v>1</v>
      </c>
      <c r="F3337" t="s">
        <v>217</v>
      </c>
      <c r="G3337" t="str">
        <f>"04-K02-03"</f>
        <v>04-K02-03</v>
      </c>
      <c r="H3337">
        <v>1.2859</v>
      </c>
      <c r="I3337" t="s">
        <v>2293</v>
      </c>
      <c r="J3337" t="s">
        <v>14</v>
      </c>
      <c r="K3337" t="str">
        <f>"5F1"</f>
        <v>5F1</v>
      </c>
      <c r="L3337" t="s">
        <v>15</v>
      </c>
    </row>
    <row r="3338" spans="1:12" x14ac:dyDescent="0.25">
      <c r="A3338" t="str">
        <f>"415803409"</f>
        <v>415803409</v>
      </c>
      <c r="B3338" t="str">
        <f t="shared" si="220"/>
        <v>89301000</v>
      </c>
      <c r="C3338" s="1">
        <v>44280</v>
      </c>
      <c r="D3338" s="1">
        <v>44281</v>
      </c>
      <c r="E3338">
        <v>1</v>
      </c>
      <c r="F3338" t="s">
        <v>2111</v>
      </c>
      <c r="G3338" t="str">
        <f>"10-K15-01"</f>
        <v>10-K15-01</v>
      </c>
      <c r="H3338">
        <v>0.7641</v>
      </c>
      <c r="I3338" t="s">
        <v>2294</v>
      </c>
      <c r="J3338" t="s">
        <v>14</v>
      </c>
      <c r="K3338" t="str">
        <f>"2F5"</f>
        <v>2F5</v>
      </c>
      <c r="L3338" t="s">
        <v>15</v>
      </c>
    </row>
    <row r="3339" spans="1:12" x14ac:dyDescent="0.25">
      <c r="A3339" t="str">
        <f>"415803409"</f>
        <v>415803409</v>
      </c>
      <c r="B3339" t="str">
        <f t="shared" si="220"/>
        <v>89301000</v>
      </c>
      <c r="C3339" s="1">
        <v>44344</v>
      </c>
      <c r="D3339" s="1">
        <v>44350</v>
      </c>
      <c r="E3339">
        <v>1</v>
      </c>
      <c r="F3339" t="s">
        <v>2111</v>
      </c>
      <c r="G3339" t="str">
        <f>"10-K15-02"</f>
        <v>10-K15-02</v>
      </c>
      <c r="H3339">
        <v>1.0346</v>
      </c>
      <c r="I3339" t="s">
        <v>2295</v>
      </c>
      <c r="J3339" t="s">
        <v>14</v>
      </c>
      <c r="K3339" t="str">
        <f>"2F5"</f>
        <v>2F5</v>
      </c>
      <c r="L3339" t="s">
        <v>15</v>
      </c>
    </row>
    <row r="3340" spans="1:12" x14ac:dyDescent="0.25">
      <c r="A3340" t="str">
        <f>"415803422"</f>
        <v>415803422</v>
      </c>
      <c r="B3340" t="str">
        <f t="shared" si="220"/>
        <v>89301000</v>
      </c>
      <c r="C3340" s="1">
        <v>44551</v>
      </c>
      <c r="D3340" s="1">
        <v>44559</v>
      </c>
      <c r="E3340">
        <v>4</v>
      </c>
      <c r="F3340" t="s">
        <v>1614</v>
      </c>
      <c r="G3340" t="str">
        <f>"08-I05-02"</f>
        <v>08-I05-02</v>
      </c>
      <c r="H3340">
        <v>3.6882000000000001</v>
      </c>
      <c r="I3340" t="s">
        <v>2296</v>
      </c>
      <c r="J3340" t="s">
        <v>17</v>
      </c>
      <c r="K3340" t="str">
        <f>"6F6"</f>
        <v>6F6</v>
      </c>
      <c r="L3340" t="s">
        <v>15</v>
      </c>
    </row>
    <row r="3341" spans="1:12" x14ac:dyDescent="0.25">
      <c r="A3341" t="str">
        <f>"415814444"</f>
        <v>415814444</v>
      </c>
      <c r="B3341" t="str">
        <f t="shared" si="220"/>
        <v>89301000</v>
      </c>
      <c r="C3341" s="1">
        <v>44460</v>
      </c>
      <c r="D3341" s="1">
        <v>44463</v>
      </c>
      <c r="E3341">
        <v>1</v>
      </c>
      <c r="F3341" t="s">
        <v>2297</v>
      </c>
      <c r="G3341" t="str">
        <f>"03-I19-02"</f>
        <v>03-I19-02</v>
      </c>
      <c r="H3341">
        <v>0.88829999999999998</v>
      </c>
      <c r="I3341" t="s">
        <v>2298</v>
      </c>
      <c r="J3341" t="s">
        <v>14</v>
      </c>
      <c r="K3341" t="str">
        <f>"6F5"</f>
        <v>6F5</v>
      </c>
      <c r="L3341" t="s">
        <v>15</v>
      </c>
    </row>
    <row r="3342" spans="1:12" x14ac:dyDescent="0.25">
      <c r="A3342" t="str">
        <f>"415829455"</f>
        <v>415829455</v>
      </c>
      <c r="B3342" t="str">
        <f t="shared" si="220"/>
        <v>89301000</v>
      </c>
      <c r="C3342" s="1">
        <v>44259</v>
      </c>
      <c r="D3342" s="1">
        <v>44261</v>
      </c>
      <c r="E3342">
        <v>1</v>
      </c>
      <c r="F3342" t="s">
        <v>2299</v>
      </c>
      <c r="G3342" t="str">
        <f>"01-K04-02"</f>
        <v>01-K04-02</v>
      </c>
      <c r="H3342">
        <v>0.80059999999999998</v>
      </c>
      <c r="I3342" t="s">
        <v>2300</v>
      </c>
      <c r="J3342" t="s">
        <v>14</v>
      </c>
      <c r="K3342" t="str">
        <f>"2F9"</f>
        <v>2F9</v>
      </c>
      <c r="L3342" t="s">
        <v>15</v>
      </c>
    </row>
    <row r="3343" spans="1:12" x14ac:dyDescent="0.25">
      <c r="A3343" t="str">
        <f>"415910066"</f>
        <v>415910066</v>
      </c>
      <c r="B3343" t="str">
        <f t="shared" si="220"/>
        <v>89301000</v>
      </c>
      <c r="C3343" s="1">
        <v>44356</v>
      </c>
      <c r="D3343" s="1">
        <v>44363</v>
      </c>
      <c r="E3343">
        <v>5</v>
      </c>
      <c r="F3343" t="s">
        <v>67</v>
      </c>
      <c r="G3343" t="str">
        <f>"01-C02-02"</f>
        <v>01-C02-02</v>
      </c>
      <c r="H3343">
        <v>1.4877</v>
      </c>
      <c r="I3343" t="s">
        <v>2301</v>
      </c>
      <c r="J3343" t="s">
        <v>14</v>
      </c>
      <c r="K3343" t="str">
        <f>"2F9"</f>
        <v>2F9</v>
      </c>
      <c r="L3343" t="s">
        <v>15</v>
      </c>
    </row>
    <row r="3344" spans="1:12" x14ac:dyDescent="0.25">
      <c r="A3344" t="str">
        <f>"415919404"</f>
        <v>415919404</v>
      </c>
      <c r="B3344" t="str">
        <f t="shared" si="220"/>
        <v>89301000</v>
      </c>
      <c r="C3344" s="1">
        <v>44445</v>
      </c>
      <c r="D3344" s="1">
        <v>44460</v>
      </c>
      <c r="E3344">
        <v>1</v>
      </c>
      <c r="F3344" t="s">
        <v>1631</v>
      </c>
      <c r="G3344" t="str">
        <f>"17-R01-05"</f>
        <v>17-R01-05</v>
      </c>
      <c r="H3344">
        <v>2.1766999999999999</v>
      </c>
      <c r="I3344" t="s">
        <v>2302</v>
      </c>
      <c r="J3344" t="s">
        <v>14</v>
      </c>
      <c r="K3344" t="str">
        <f>"4F2"</f>
        <v>4F2</v>
      </c>
      <c r="L3344" t="s">
        <v>15</v>
      </c>
    </row>
    <row r="3345" spans="1:12" x14ac:dyDescent="0.25">
      <c r="A3345" t="str">
        <f>"415926473"</f>
        <v>415926473</v>
      </c>
      <c r="B3345" t="str">
        <f t="shared" si="220"/>
        <v>89301000</v>
      </c>
      <c r="C3345" s="1">
        <v>44509</v>
      </c>
      <c r="D3345" s="1">
        <v>44511</v>
      </c>
      <c r="E3345">
        <v>1</v>
      </c>
      <c r="F3345" t="s">
        <v>2303</v>
      </c>
      <c r="G3345" t="str">
        <f>"13-I19-00"</f>
        <v>13-I19-00</v>
      </c>
      <c r="H3345">
        <v>0.24679999999999999</v>
      </c>
      <c r="J3345" t="s">
        <v>14</v>
      </c>
      <c r="K3345" t="str">
        <f>"6F3"</f>
        <v>6F3</v>
      </c>
      <c r="L3345" t="s">
        <v>15</v>
      </c>
    </row>
    <row r="3346" spans="1:12" x14ac:dyDescent="0.25">
      <c r="A3346" t="str">
        <f>"416002468"</f>
        <v>416002468</v>
      </c>
      <c r="B3346" t="str">
        <f t="shared" si="220"/>
        <v>89301000</v>
      </c>
      <c r="C3346" s="1">
        <v>44204</v>
      </c>
      <c r="D3346" s="1">
        <v>44207</v>
      </c>
      <c r="E3346">
        <v>1</v>
      </c>
      <c r="F3346" t="s">
        <v>2068</v>
      </c>
      <c r="G3346" t="str">
        <f>"02-I06-02"</f>
        <v>02-I06-02</v>
      </c>
      <c r="H3346">
        <v>0.90300000000000002</v>
      </c>
      <c r="I3346" t="s">
        <v>2304</v>
      </c>
      <c r="J3346" t="s">
        <v>17</v>
      </c>
      <c r="K3346" t="str">
        <f>"7F5"</f>
        <v>7F5</v>
      </c>
      <c r="L3346" t="s">
        <v>15</v>
      </c>
    </row>
    <row r="3347" spans="1:12" x14ac:dyDescent="0.25">
      <c r="A3347" t="str">
        <f>"416009404"</f>
        <v>416009404</v>
      </c>
      <c r="B3347" t="str">
        <f t="shared" si="220"/>
        <v>89301000</v>
      </c>
      <c r="C3347" s="1">
        <v>44454</v>
      </c>
      <c r="D3347" s="1">
        <v>44455</v>
      </c>
      <c r="E3347">
        <v>1</v>
      </c>
      <c r="F3347" t="s">
        <v>1557</v>
      </c>
      <c r="G3347" t="str">
        <f>"05-D01-08"</f>
        <v>05-D01-08</v>
      </c>
      <c r="H3347">
        <v>0.4093</v>
      </c>
      <c r="J3347" t="s">
        <v>14</v>
      </c>
      <c r="K3347" t="str">
        <f>"1F7"</f>
        <v>1F7</v>
      </c>
      <c r="L3347" t="s">
        <v>15</v>
      </c>
    </row>
    <row r="3348" spans="1:12" x14ac:dyDescent="0.25">
      <c r="A3348" t="str">
        <f>"416010405"</f>
        <v>416010405</v>
      </c>
      <c r="B3348" t="str">
        <f t="shared" si="220"/>
        <v>89301000</v>
      </c>
      <c r="C3348" s="1">
        <v>44202</v>
      </c>
      <c r="D3348" s="1">
        <v>44210</v>
      </c>
      <c r="E3348">
        <v>2</v>
      </c>
      <c r="F3348" t="s">
        <v>67</v>
      </c>
      <c r="G3348" t="str">
        <f>"01-K10-03"</f>
        <v>01-K10-03</v>
      </c>
      <c r="H3348">
        <v>1.0016</v>
      </c>
      <c r="I3348" t="s">
        <v>2305</v>
      </c>
      <c r="J3348" t="s">
        <v>14</v>
      </c>
      <c r="K3348" t="str">
        <f>"2F9"</f>
        <v>2F9</v>
      </c>
      <c r="L3348" t="s">
        <v>15</v>
      </c>
    </row>
    <row r="3349" spans="1:12" x14ac:dyDescent="0.25">
      <c r="A3349" t="str">
        <f>"416016405"</f>
        <v>416016405</v>
      </c>
      <c r="B3349" t="str">
        <f t="shared" si="220"/>
        <v>89301000</v>
      </c>
      <c r="C3349" s="1">
        <v>44447</v>
      </c>
      <c r="D3349" s="1">
        <v>44481</v>
      </c>
      <c r="E3349">
        <v>4</v>
      </c>
      <c r="F3349" t="s">
        <v>1699</v>
      </c>
      <c r="G3349" t="str">
        <f>"01-K10-03"</f>
        <v>01-K10-03</v>
      </c>
      <c r="H3349">
        <v>2.7831000000000001</v>
      </c>
      <c r="I3349" t="s">
        <v>2306</v>
      </c>
      <c r="J3349" t="s">
        <v>14</v>
      </c>
      <c r="K3349" t="str">
        <f>"1F6"</f>
        <v>1F6</v>
      </c>
      <c r="L3349" t="s">
        <v>15</v>
      </c>
    </row>
    <row r="3350" spans="1:12" x14ac:dyDescent="0.25">
      <c r="A3350" t="str">
        <f>"416026413"</f>
        <v>416026413</v>
      </c>
      <c r="B3350" t="str">
        <f t="shared" si="220"/>
        <v>89301000</v>
      </c>
      <c r="C3350" s="1">
        <v>44543</v>
      </c>
      <c r="D3350" s="1">
        <v>44546</v>
      </c>
      <c r="E3350">
        <v>4</v>
      </c>
      <c r="F3350" t="s">
        <v>1548</v>
      </c>
      <c r="G3350" t="str">
        <f>"05-K07-04"</f>
        <v>05-K07-04</v>
      </c>
      <c r="H3350">
        <v>1.131</v>
      </c>
      <c r="I3350" t="s">
        <v>2307</v>
      </c>
      <c r="J3350" t="s">
        <v>14</v>
      </c>
      <c r="K3350" t="str">
        <f>"1F1"</f>
        <v>1F1</v>
      </c>
      <c r="L3350" t="s">
        <v>15</v>
      </c>
    </row>
    <row r="3351" spans="1:12" x14ac:dyDescent="0.25">
      <c r="A3351" t="str">
        <f>"416026413"</f>
        <v>416026413</v>
      </c>
      <c r="B3351" t="str">
        <f t="shared" si="220"/>
        <v>89301000</v>
      </c>
      <c r="C3351" s="1">
        <v>44462</v>
      </c>
      <c r="D3351" s="1">
        <v>44466</v>
      </c>
      <c r="E3351">
        <v>1</v>
      </c>
      <c r="F3351" t="s">
        <v>1545</v>
      </c>
      <c r="G3351" t="str">
        <f>"05-I14-03"</f>
        <v>05-I14-03</v>
      </c>
      <c r="H3351">
        <v>6.1292</v>
      </c>
      <c r="I3351" t="s">
        <v>2308</v>
      </c>
      <c r="J3351" t="s">
        <v>14</v>
      </c>
      <c r="K3351" t="str">
        <f>"1F1"</f>
        <v>1F1</v>
      </c>
      <c r="L3351" t="s">
        <v>15</v>
      </c>
    </row>
    <row r="3352" spans="1:12" x14ac:dyDescent="0.25">
      <c r="A3352" t="str">
        <f>"416101402"</f>
        <v>416101402</v>
      </c>
      <c r="B3352" t="str">
        <f t="shared" si="220"/>
        <v>89301000</v>
      </c>
      <c r="C3352" s="1">
        <v>44427</v>
      </c>
      <c r="D3352" s="1">
        <v>44435</v>
      </c>
      <c r="E3352">
        <v>1</v>
      </c>
      <c r="F3352" t="s">
        <v>2026</v>
      </c>
      <c r="G3352" t="str">
        <f>"08-K08-00"</f>
        <v>08-K08-00</v>
      </c>
      <c r="H3352">
        <v>0.51670000000000005</v>
      </c>
      <c r="I3352" t="s">
        <v>2309</v>
      </c>
      <c r="J3352" t="s">
        <v>14</v>
      </c>
      <c r="K3352" t="str">
        <f>"2F9"</f>
        <v>2F9</v>
      </c>
      <c r="L3352" t="s">
        <v>15</v>
      </c>
    </row>
    <row r="3353" spans="1:12" x14ac:dyDescent="0.25">
      <c r="A3353" t="str">
        <f>"416115404"</f>
        <v>416115404</v>
      </c>
      <c r="B3353" t="str">
        <f t="shared" si="220"/>
        <v>89301000</v>
      </c>
      <c r="C3353" s="1">
        <v>44531</v>
      </c>
      <c r="D3353" s="1">
        <v>44535</v>
      </c>
      <c r="E3353">
        <v>1</v>
      </c>
      <c r="F3353" t="s">
        <v>1927</v>
      </c>
      <c r="G3353" t="str">
        <f>"05-I24-04"</f>
        <v>05-I24-04</v>
      </c>
      <c r="H3353">
        <v>2.5373999999999999</v>
      </c>
      <c r="I3353" t="s">
        <v>2310</v>
      </c>
      <c r="J3353" t="s">
        <v>14</v>
      </c>
      <c r="K3353" t="str">
        <f>"5F1"</f>
        <v>5F1</v>
      </c>
      <c r="L3353" t="s">
        <v>15</v>
      </c>
    </row>
    <row r="3354" spans="1:12" x14ac:dyDescent="0.25">
      <c r="A3354" t="str">
        <f>"416119001"</f>
        <v>416119001</v>
      </c>
      <c r="B3354" t="str">
        <f t="shared" ref="B3354:B3417" si="221">"89301000"</f>
        <v>89301000</v>
      </c>
      <c r="C3354" s="1">
        <v>44475</v>
      </c>
      <c r="D3354" s="1">
        <v>44484</v>
      </c>
      <c r="E3354">
        <v>1</v>
      </c>
      <c r="F3354" t="s">
        <v>2052</v>
      </c>
      <c r="G3354" t="str">
        <f>"05-M02-02"</f>
        <v>05-M02-02</v>
      </c>
      <c r="H3354">
        <v>9.4244000000000003</v>
      </c>
      <c r="I3354" t="s">
        <v>1556</v>
      </c>
      <c r="J3354" t="s">
        <v>17</v>
      </c>
      <c r="K3354" t="str">
        <f>"5F1"</f>
        <v>5F1</v>
      </c>
      <c r="L3354" t="s">
        <v>15</v>
      </c>
    </row>
    <row r="3355" spans="1:12" x14ac:dyDescent="0.25">
      <c r="A3355" t="str">
        <f>"416127434"</f>
        <v>416127434</v>
      </c>
      <c r="B3355" t="str">
        <f t="shared" si="221"/>
        <v>89301000</v>
      </c>
      <c r="C3355" s="1">
        <v>44515</v>
      </c>
      <c r="D3355" s="1">
        <v>44518</v>
      </c>
      <c r="E3355">
        <v>1</v>
      </c>
      <c r="F3355" t="s">
        <v>2311</v>
      </c>
      <c r="G3355" t="str">
        <f>"08-I03-08"</f>
        <v>08-I03-08</v>
      </c>
      <c r="H3355">
        <v>2.0605000000000002</v>
      </c>
      <c r="I3355" t="s">
        <v>1586</v>
      </c>
      <c r="J3355" t="s">
        <v>17</v>
      </c>
      <c r="K3355" t="str">
        <f>"5F6"</f>
        <v>5F6</v>
      </c>
      <c r="L3355" t="s">
        <v>15</v>
      </c>
    </row>
    <row r="3356" spans="1:12" x14ac:dyDescent="0.25">
      <c r="A3356" t="str">
        <f>"416127713"</f>
        <v>416127713</v>
      </c>
      <c r="B3356" t="str">
        <f t="shared" si="221"/>
        <v>89301000</v>
      </c>
      <c r="C3356" s="1">
        <v>44540</v>
      </c>
      <c r="D3356" s="1">
        <v>44541</v>
      </c>
      <c r="E3356">
        <v>1</v>
      </c>
      <c r="F3356" t="s">
        <v>1650</v>
      </c>
      <c r="G3356" t="str">
        <f>"05-I14-04"</f>
        <v>05-I14-04</v>
      </c>
      <c r="H3356">
        <v>5.4002999999999997</v>
      </c>
      <c r="I3356" t="s">
        <v>2312</v>
      </c>
      <c r="J3356" t="s">
        <v>14</v>
      </c>
      <c r="K3356" t="str">
        <f>"1F1"</f>
        <v>1F1</v>
      </c>
      <c r="L3356" t="s">
        <v>15</v>
      </c>
    </row>
    <row r="3357" spans="1:12" x14ac:dyDescent="0.25">
      <c r="A3357" t="str">
        <f>"416203441"</f>
        <v>416203441</v>
      </c>
      <c r="B3357" t="str">
        <f t="shared" si="221"/>
        <v>89301000</v>
      </c>
      <c r="C3357" s="1">
        <v>44502</v>
      </c>
      <c r="D3357" s="1">
        <v>44503</v>
      </c>
      <c r="E3357">
        <v>1</v>
      </c>
      <c r="F3357" t="s">
        <v>1567</v>
      </c>
      <c r="G3357" t="str">
        <f>"05-I25-03"</f>
        <v>05-I25-03</v>
      </c>
      <c r="H3357">
        <v>1.5508</v>
      </c>
      <c r="I3357" t="s">
        <v>2119</v>
      </c>
      <c r="J3357" t="s">
        <v>17</v>
      </c>
      <c r="K3357" t="str">
        <f>"1F7"</f>
        <v>1F7</v>
      </c>
      <c r="L3357" t="s">
        <v>15</v>
      </c>
    </row>
    <row r="3358" spans="1:12" x14ac:dyDescent="0.25">
      <c r="A3358" t="str">
        <f>"416209477"</f>
        <v>416209477</v>
      </c>
      <c r="B3358" t="str">
        <f t="shared" si="221"/>
        <v>89301000</v>
      </c>
      <c r="C3358" s="1">
        <v>44344</v>
      </c>
      <c r="D3358" s="1">
        <v>44347</v>
      </c>
      <c r="E3358">
        <v>1</v>
      </c>
      <c r="F3358" t="s">
        <v>1604</v>
      </c>
      <c r="G3358" t="str">
        <f>"05-I25-03"</f>
        <v>05-I25-03</v>
      </c>
      <c r="H3358">
        <v>1.5508</v>
      </c>
      <c r="I3358" t="s">
        <v>1605</v>
      </c>
      <c r="J3358" t="s">
        <v>17</v>
      </c>
      <c r="K3358" t="str">
        <f>"1F1"</f>
        <v>1F1</v>
      </c>
      <c r="L3358" t="s">
        <v>15</v>
      </c>
    </row>
    <row r="3359" spans="1:12" x14ac:dyDescent="0.25">
      <c r="A3359" t="str">
        <f>"416213421"</f>
        <v>416213421</v>
      </c>
      <c r="B3359" t="str">
        <f t="shared" si="221"/>
        <v>89301000</v>
      </c>
      <c r="C3359" s="1">
        <v>44271</v>
      </c>
      <c r="D3359" s="1">
        <v>44271</v>
      </c>
      <c r="E3359">
        <v>1</v>
      </c>
      <c r="F3359" t="s">
        <v>489</v>
      </c>
      <c r="G3359" t="str">
        <f>"05-D01-08"</f>
        <v>05-D01-08</v>
      </c>
      <c r="H3359">
        <v>0.21890000000000001</v>
      </c>
      <c r="I3359" t="s">
        <v>2313</v>
      </c>
      <c r="J3359" t="s">
        <v>14</v>
      </c>
      <c r="K3359" t="str">
        <f>"1F1"</f>
        <v>1F1</v>
      </c>
      <c r="L3359" t="s">
        <v>15</v>
      </c>
    </row>
    <row r="3360" spans="1:12" x14ac:dyDescent="0.25">
      <c r="A3360" t="str">
        <f>"416216457"</f>
        <v>416216457</v>
      </c>
      <c r="B3360" t="str">
        <f t="shared" si="221"/>
        <v>89301000</v>
      </c>
      <c r="C3360" s="1">
        <v>44526</v>
      </c>
      <c r="D3360" s="1">
        <v>44532</v>
      </c>
      <c r="E3360">
        <v>1</v>
      </c>
      <c r="F3360" t="s">
        <v>81</v>
      </c>
      <c r="G3360" t="str">
        <f>"10-K01-03"</f>
        <v>10-K01-03</v>
      </c>
      <c r="H3360">
        <v>0.44679999999999997</v>
      </c>
      <c r="I3360" t="s">
        <v>2314</v>
      </c>
      <c r="J3360" t="s">
        <v>14</v>
      </c>
      <c r="K3360" t="str">
        <f>"5F1"</f>
        <v>5F1</v>
      </c>
      <c r="L3360" t="s">
        <v>15</v>
      </c>
    </row>
    <row r="3361" spans="1:12" x14ac:dyDescent="0.25">
      <c r="A3361" t="str">
        <f>"416224424"</f>
        <v>416224424</v>
      </c>
      <c r="B3361" t="str">
        <f t="shared" si="221"/>
        <v>89301000</v>
      </c>
      <c r="C3361" s="1">
        <v>44363</v>
      </c>
      <c r="D3361" s="1">
        <v>44364</v>
      </c>
      <c r="E3361">
        <v>1</v>
      </c>
      <c r="F3361" t="s">
        <v>1950</v>
      </c>
      <c r="G3361" t="str">
        <f>"02-I13-02"</f>
        <v>02-I13-02</v>
      </c>
      <c r="H3361">
        <v>0.376</v>
      </c>
      <c r="I3361" t="s">
        <v>2315</v>
      </c>
      <c r="J3361" t="s">
        <v>14</v>
      </c>
      <c r="K3361" t="str">
        <f>"7F5"</f>
        <v>7F5</v>
      </c>
      <c r="L3361" t="s">
        <v>15</v>
      </c>
    </row>
    <row r="3362" spans="1:12" x14ac:dyDescent="0.25">
      <c r="A3362" t="str">
        <f>"420117468"</f>
        <v>420117468</v>
      </c>
      <c r="B3362" t="str">
        <f t="shared" si="221"/>
        <v>89301000</v>
      </c>
      <c r="C3362" s="1">
        <v>44413</v>
      </c>
      <c r="D3362" s="1">
        <v>44417</v>
      </c>
      <c r="E3362">
        <v>1</v>
      </c>
      <c r="F3362" t="s">
        <v>2316</v>
      </c>
      <c r="G3362" t="str">
        <f>"17-C05-04"</f>
        <v>17-C05-04</v>
      </c>
      <c r="H3362">
        <v>0.7712</v>
      </c>
      <c r="I3362" t="s">
        <v>2317</v>
      </c>
      <c r="J3362" t="s">
        <v>14</v>
      </c>
      <c r="K3362" t="str">
        <f>"2F2"</f>
        <v>2F2</v>
      </c>
      <c r="L3362" t="s">
        <v>15</v>
      </c>
    </row>
    <row r="3363" spans="1:12" x14ac:dyDescent="0.25">
      <c r="A3363" t="str">
        <f>"420123423"</f>
        <v>420123423</v>
      </c>
      <c r="B3363" t="str">
        <f t="shared" si="221"/>
        <v>89301000</v>
      </c>
      <c r="C3363" s="1">
        <v>44279</v>
      </c>
      <c r="D3363" s="1">
        <v>44283</v>
      </c>
      <c r="E3363">
        <v>8</v>
      </c>
      <c r="F3363" t="s">
        <v>217</v>
      </c>
      <c r="G3363" t="str">
        <f>"04-K02-02"</f>
        <v>04-K02-02</v>
      </c>
      <c r="H3363">
        <v>2.5186000000000002</v>
      </c>
      <c r="I3363" t="s">
        <v>2318</v>
      </c>
      <c r="J3363" t="s">
        <v>14</v>
      </c>
      <c r="K3363" t="str">
        <f>"5T1"</f>
        <v>5T1</v>
      </c>
      <c r="L3363" t="s">
        <v>15</v>
      </c>
    </row>
    <row r="3364" spans="1:12" x14ac:dyDescent="0.25">
      <c r="A3364" t="str">
        <f>"420210453"</f>
        <v>420210453</v>
      </c>
      <c r="B3364" t="str">
        <f t="shared" si="221"/>
        <v>89301000</v>
      </c>
      <c r="C3364" s="1">
        <v>44313</v>
      </c>
      <c r="D3364" s="1">
        <v>44319</v>
      </c>
      <c r="E3364">
        <v>1</v>
      </c>
      <c r="F3364" t="s">
        <v>1776</v>
      </c>
      <c r="G3364" t="str">
        <f>"04-K13-01"</f>
        <v>04-K13-01</v>
      </c>
      <c r="H3364">
        <v>0.68379999999999996</v>
      </c>
      <c r="I3364" t="s">
        <v>2319</v>
      </c>
      <c r="J3364" t="s">
        <v>14</v>
      </c>
      <c r="K3364" t="str">
        <f>"5F3"</f>
        <v>5F3</v>
      </c>
      <c r="L3364" t="s">
        <v>15</v>
      </c>
    </row>
    <row r="3365" spans="1:12" x14ac:dyDescent="0.25">
      <c r="A3365" t="str">
        <f>"420212468"</f>
        <v>420212468</v>
      </c>
      <c r="B3365" t="str">
        <f t="shared" si="221"/>
        <v>89301000</v>
      </c>
      <c r="C3365" s="1">
        <v>44210</v>
      </c>
      <c r="D3365" s="1">
        <v>44226</v>
      </c>
      <c r="E3365">
        <v>8</v>
      </c>
      <c r="F3365" t="s">
        <v>217</v>
      </c>
      <c r="G3365" t="str">
        <f>"00-M01-04"</f>
        <v>00-M01-04</v>
      </c>
      <c r="H3365">
        <v>6.85</v>
      </c>
      <c r="I3365" t="s">
        <v>2320</v>
      </c>
      <c r="J3365" t="s">
        <v>14</v>
      </c>
      <c r="K3365" t="str">
        <f>"7T8"</f>
        <v>7T8</v>
      </c>
      <c r="L3365" t="s">
        <v>15</v>
      </c>
    </row>
    <row r="3366" spans="1:12" x14ac:dyDescent="0.25">
      <c r="A3366" t="str">
        <f>"420213469"</f>
        <v>420213469</v>
      </c>
      <c r="B3366" t="str">
        <f t="shared" si="221"/>
        <v>89301000</v>
      </c>
      <c r="C3366" s="1">
        <v>44543</v>
      </c>
      <c r="D3366" s="1">
        <v>44543</v>
      </c>
      <c r="E3366">
        <v>1</v>
      </c>
      <c r="F3366" t="s">
        <v>1558</v>
      </c>
      <c r="G3366" t="str">
        <f>"05-D01-06"</f>
        <v>05-D01-06</v>
      </c>
      <c r="H3366">
        <v>0.40649999999999997</v>
      </c>
      <c r="I3366" t="s">
        <v>1605</v>
      </c>
      <c r="J3366" t="s">
        <v>14</v>
      </c>
      <c r="K3366" t="str">
        <f>"1F1"</f>
        <v>1F1</v>
      </c>
      <c r="L3366" t="s">
        <v>15</v>
      </c>
    </row>
    <row r="3367" spans="1:12" x14ac:dyDescent="0.25">
      <c r="A3367" t="str">
        <f>"420216407"</f>
        <v>420216407</v>
      </c>
      <c r="B3367" t="str">
        <f t="shared" si="221"/>
        <v>89301000</v>
      </c>
      <c r="C3367" s="1">
        <v>44355</v>
      </c>
      <c r="D3367" s="1">
        <v>44361</v>
      </c>
      <c r="E3367">
        <v>1</v>
      </c>
      <c r="F3367" t="s">
        <v>2232</v>
      </c>
      <c r="G3367" t="str">
        <f>"11-I07-01"</f>
        <v>11-I07-01</v>
      </c>
      <c r="H3367">
        <v>2.5975999999999999</v>
      </c>
      <c r="I3367" t="s">
        <v>2321</v>
      </c>
      <c r="J3367" t="s">
        <v>14</v>
      </c>
      <c r="K3367" t="str">
        <f>"7F6"</f>
        <v>7F6</v>
      </c>
      <c r="L3367" t="s">
        <v>15</v>
      </c>
    </row>
    <row r="3368" spans="1:12" x14ac:dyDescent="0.25">
      <c r="A3368" t="str">
        <f>"420216407"</f>
        <v>420216407</v>
      </c>
      <c r="B3368" t="str">
        <f t="shared" si="221"/>
        <v>89301000</v>
      </c>
      <c r="C3368" s="1">
        <v>44399</v>
      </c>
      <c r="D3368" s="1">
        <v>44405</v>
      </c>
      <c r="E3368">
        <v>1</v>
      </c>
      <c r="F3368" t="s">
        <v>2232</v>
      </c>
      <c r="G3368" t="str">
        <f>"11-I08-03"</f>
        <v>11-I08-03</v>
      </c>
      <c r="H3368">
        <v>2.0676999999999999</v>
      </c>
      <c r="I3368" t="s">
        <v>2322</v>
      </c>
      <c r="J3368" t="s">
        <v>17</v>
      </c>
      <c r="K3368" t="str">
        <f>"7F6"</f>
        <v>7F6</v>
      </c>
      <c r="L3368" t="s">
        <v>15</v>
      </c>
    </row>
    <row r="3369" spans="1:12" x14ac:dyDescent="0.25">
      <c r="A3369" t="str">
        <f>"420219449"</f>
        <v>420219449</v>
      </c>
      <c r="B3369" t="str">
        <f t="shared" si="221"/>
        <v>89301000</v>
      </c>
      <c r="C3369" s="1">
        <v>44509</v>
      </c>
      <c r="D3369" s="1">
        <v>44515</v>
      </c>
      <c r="E3369">
        <v>1</v>
      </c>
      <c r="F3369" t="s">
        <v>31</v>
      </c>
      <c r="G3369" t="str">
        <f>"08-I04-02"</f>
        <v>08-I04-02</v>
      </c>
      <c r="H3369">
        <v>1.6718999999999999</v>
      </c>
      <c r="I3369" t="s">
        <v>2119</v>
      </c>
      <c r="J3369" t="s">
        <v>17</v>
      </c>
      <c r="K3369" t="str">
        <f>"5F6"</f>
        <v>5F6</v>
      </c>
      <c r="L3369" t="s">
        <v>15</v>
      </c>
    </row>
    <row r="3370" spans="1:12" x14ac:dyDescent="0.25">
      <c r="A3370" t="str">
        <f>"420219714"</f>
        <v>420219714</v>
      </c>
      <c r="B3370" t="str">
        <f t="shared" si="221"/>
        <v>89301000</v>
      </c>
      <c r="C3370" s="1">
        <v>44314</v>
      </c>
      <c r="D3370" s="1">
        <v>44314</v>
      </c>
      <c r="E3370">
        <v>1</v>
      </c>
      <c r="F3370" t="s">
        <v>1567</v>
      </c>
      <c r="G3370" t="str">
        <f>"05-I25-03"</f>
        <v>05-I25-03</v>
      </c>
      <c r="H3370">
        <v>1.2622</v>
      </c>
      <c r="J3370" t="s">
        <v>17</v>
      </c>
      <c r="K3370" t="str">
        <f>"1F1"</f>
        <v>1F1</v>
      </c>
      <c r="L3370" t="s">
        <v>15</v>
      </c>
    </row>
    <row r="3371" spans="1:12" x14ac:dyDescent="0.25">
      <c r="A3371" t="str">
        <f>"420227447"</f>
        <v>420227447</v>
      </c>
      <c r="B3371" t="str">
        <f t="shared" si="221"/>
        <v>89301000</v>
      </c>
      <c r="C3371" s="1">
        <v>44437</v>
      </c>
      <c r="D3371" s="1">
        <v>44447</v>
      </c>
      <c r="E3371">
        <v>1</v>
      </c>
      <c r="F3371" t="s">
        <v>1991</v>
      </c>
      <c r="G3371" t="str">
        <f>"12-I03-04"</f>
        <v>12-I03-04</v>
      </c>
      <c r="H3371">
        <v>1.8419000000000001</v>
      </c>
      <c r="I3371" t="s">
        <v>2323</v>
      </c>
      <c r="J3371" t="s">
        <v>24</v>
      </c>
      <c r="K3371" t="str">
        <f>"7F6"</f>
        <v>7F6</v>
      </c>
      <c r="L3371" t="s">
        <v>15</v>
      </c>
    </row>
    <row r="3372" spans="1:12" x14ac:dyDescent="0.25">
      <c r="A3372" t="str">
        <f>"420303413"</f>
        <v>420303413</v>
      </c>
      <c r="B3372" t="str">
        <f t="shared" si="221"/>
        <v>89301000</v>
      </c>
      <c r="C3372" s="1">
        <v>44466</v>
      </c>
      <c r="D3372" s="1">
        <v>44469</v>
      </c>
      <c r="E3372">
        <v>1</v>
      </c>
      <c r="F3372" t="s">
        <v>1132</v>
      </c>
      <c r="G3372" t="str">
        <f>"23-K04-02"</f>
        <v>23-K04-02</v>
      </c>
      <c r="H3372">
        <v>0.38690000000000002</v>
      </c>
      <c r="I3372" t="s">
        <v>2324</v>
      </c>
      <c r="J3372" t="s">
        <v>14</v>
      </c>
      <c r="K3372" t="str">
        <f>"2F9"</f>
        <v>2F9</v>
      </c>
      <c r="L3372" t="s">
        <v>15</v>
      </c>
    </row>
    <row r="3373" spans="1:12" x14ac:dyDescent="0.25">
      <c r="A3373" t="str">
        <f>"420310453"</f>
        <v>420310453</v>
      </c>
      <c r="B3373" t="str">
        <f t="shared" si="221"/>
        <v>89301000</v>
      </c>
      <c r="C3373" s="1">
        <v>44470</v>
      </c>
      <c r="D3373" s="1">
        <v>44482</v>
      </c>
      <c r="E3373">
        <v>5</v>
      </c>
      <c r="F3373" t="s">
        <v>2325</v>
      </c>
      <c r="G3373" t="str">
        <f>"09-K07-01"</f>
        <v>09-K07-01</v>
      </c>
      <c r="H3373">
        <v>1.0827</v>
      </c>
      <c r="I3373" t="s">
        <v>2326</v>
      </c>
      <c r="J3373" t="s">
        <v>14</v>
      </c>
      <c r="K3373" t="str">
        <f>"4F2"</f>
        <v>4F2</v>
      </c>
      <c r="L3373" t="s">
        <v>15</v>
      </c>
    </row>
    <row r="3374" spans="1:12" x14ac:dyDescent="0.25">
      <c r="A3374" t="str">
        <f>"420313122"</f>
        <v>420313122</v>
      </c>
      <c r="B3374" t="str">
        <f t="shared" si="221"/>
        <v>89301000</v>
      </c>
      <c r="C3374" s="1">
        <v>44349</v>
      </c>
      <c r="D3374" s="1">
        <v>44351</v>
      </c>
      <c r="E3374">
        <v>5</v>
      </c>
      <c r="F3374" t="s">
        <v>1567</v>
      </c>
      <c r="G3374" t="str">
        <f>"05-I21-02"</f>
        <v>05-I21-02</v>
      </c>
      <c r="H3374">
        <v>3.8517000000000001</v>
      </c>
      <c r="I3374" t="s">
        <v>2327</v>
      </c>
      <c r="J3374" t="s">
        <v>14</v>
      </c>
      <c r="K3374" t="str">
        <f>"1F7"</f>
        <v>1F7</v>
      </c>
      <c r="L3374" t="s">
        <v>15</v>
      </c>
    </row>
    <row r="3375" spans="1:12" x14ac:dyDescent="0.25">
      <c r="A3375" t="str">
        <f>"420323443"</f>
        <v>420323443</v>
      </c>
      <c r="B3375" t="str">
        <f t="shared" si="221"/>
        <v>89301000</v>
      </c>
      <c r="C3375" s="1">
        <v>44349</v>
      </c>
      <c r="D3375" s="1">
        <v>44376</v>
      </c>
      <c r="E3375">
        <v>1</v>
      </c>
      <c r="F3375" t="s">
        <v>2328</v>
      </c>
      <c r="G3375" t="str">
        <f>"08-I26-01"</f>
        <v>08-I26-01</v>
      </c>
      <c r="H3375">
        <v>2.2734999999999999</v>
      </c>
      <c r="I3375" t="s">
        <v>2329</v>
      </c>
      <c r="J3375" t="s">
        <v>14</v>
      </c>
      <c r="K3375" t="str">
        <f>"6F6"</f>
        <v>6F6</v>
      </c>
      <c r="L3375" t="s">
        <v>15</v>
      </c>
    </row>
    <row r="3376" spans="1:12" x14ac:dyDescent="0.25">
      <c r="A3376" t="str">
        <f>"420324415"</f>
        <v>420324415</v>
      </c>
      <c r="B3376" t="str">
        <f t="shared" si="221"/>
        <v>89301000</v>
      </c>
      <c r="C3376" s="1">
        <v>44508</v>
      </c>
      <c r="D3376" s="1">
        <v>44512</v>
      </c>
      <c r="E3376">
        <v>1</v>
      </c>
      <c r="F3376" t="s">
        <v>316</v>
      </c>
      <c r="G3376" t="str">
        <f>"01-I08-04"</f>
        <v>01-I08-04</v>
      </c>
      <c r="H3376">
        <v>1.6155999999999999</v>
      </c>
      <c r="I3376" t="s">
        <v>2330</v>
      </c>
      <c r="J3376" t="s">
        <v>17</v>
      </c>
      <c r="K3376" t="str">
        <f>"5F6"</f>
        <v>5F6</v>
      </c>
      <c r="L3376" t="s">
        <v>15</v>
      </c>
    </row>
    <row r="3377" spans="1:12" x14ac:dyDescent="0.25">
      <c r="A3377" t="str">
        <f>"420324415"</f>
        <v>420324415</v>
      </c>
      <c r="B3377" t="str">
        <f t="shared" si="221"/>
        <v>89301000</v>
      </c>
      <c r="C3377" s="1">
        <v>44299</v>
      </c>
      <c r="D3377" s="1">
        <v>44354</v>
      </c>
      <c r="E3377">
        <v>1</v>
      </c>
      <c r="F3377" t="s">
        <v>2331</v>
      </c>
      <c r="G3377" t="str">
        <f>"01-I06-01"</f>
        <v>01-I06-01</v>
      </c>
      <c r="H3377">
        <v>11.501300000000001</v>
      </c>
      <c r="I3377" t="s">
        <v>2332</v>
      </c>
      <c r="J3377" t="s">
        <v>17</v>
      </c>
      <c r="K3377" t="str">
        <f>"1F6"</f>
        <v>1F6</v>
      </c>
      <c r="L3377" t="s">
        <v>15</v>
      </c>
    </row>
    <row r="3378" spans="1:12" x14ac:dyDescent="0.25">
      <c r="A3378" t="str">
        <f>"420406422"</f>
        <v>420406422</v>
      </c>
      <c r="B3378" t="str">
        <f t="shared" si="221"/>
        <v>89301000</v>
      </c>
      <c r="C3378" s="1">
        <v>44192</v>
      </c>
      <c r="D3378" s="1">
        <v>44201</v>
      </c>
      <c r="E3378">
        <v>8</v>
      </c>
      <c r="F3378" t="s">
        <v>979</v>
      </c>
      <c r="G3378" t="str">
        <f>"00-M01-04"</f>
        <v>00-M01-04</v>
      </c>
      <c r="H3378">
        <v>6.85</v>
      </c>
      <c r="I3378" t="s">
        <v>2333</v>
      </c>
      <c r="J3378" t="s">
        <v>14</v>
      </c>
      <c r="K3378" t="str">
        <f>"1T1"</f>
        <v>1T1</v>
      </c>
      <c r="L3378" t="s">
        <v>15</v>
      </c>
    </row>
    <row r="3379" spans="1:12" x14ac:dyDescent="0.25">
      <c r="A3379" t="str">
        <f>"420411416"</f>
        <v>420411416</v>
      </c>
      <c r="B3379" t="str">
        <f t="shared" si="221"/>
        <v>89301000</v>
      </c>
      <c r="C3379" s="1">
        <v>44243</v>
      </c>
      <c r="D3379" s="1">
        <v>44262</v>
      </c>
      <c r="E3379">
        <v>7</v>
      </c>
      <c r="F3379" t="s">
        <v>962</v>
      </c>
      <c r="G3379" t="str">
        <f>"04-M01-06"</f>
        <v>04-M01-06</v>
      </c>
      <c r="H3379">
        <v>3.5308999999999999</v>
      </c>
      <c r="I3379" t="s">
        <v>2334</v>
      </c>
      <c r="J3379" t="s">
        <v>14</v>
      </c>
      <c r="K3379" t="str">
        <f>"7T8"</f>
        <v>7T8</v>
      </c>
      <c r="L3379" t="s">
        <v>15</v>
      </c>
    </row>
    <row r="3380" spans="1:12" x14ac:dyDescent="0.25">
      <c r="A3380" t="str">
        <f>"420423416"</f>
        <v>420423416</v>
      </c>
      <c r="B3380" t="str">
        <f t="shared" si="221"/>
        <v>89301000</v>
      </c>
      <c r="C3380" s="1">
        <v>44208</v>
      </c>
      <c r="D3380" s="1">
        <v>44210</v>
      </c>
      <c r="E3380">
        <v>4</v>
      </c>
      <c r="F3380" t="s">
        <v>1548</v>
      </c>
      <c r="G3380" t="str">
        <f>"05-K07-05"</f>
        <v>05-K07-05</v>
      </c>
      <c r="H3380">
        <v>0.81410000000000005</v>
      </c>
      <c r="I3380" t="s">
        <v>2335</v>
      </c>
      <c r="J3380" t="s">
        <v>14</v>
      </c>
      <c r="K3380" t="str">
        <f>"1F9"</f>
        <v>1F9</v>
      </c>
      <c r="L3380" t="s">
        <v>15</v>
      </c>
    </row>
    <row r="3381" spans="1:12" x14ac:dyDescent="0.25">
      <c r="A3381" t="str">
        <f>"420511410"</f>
        <v>420511410</v>
      </c>
      <c r="B3381" t="str">
        <f t="shared" si="221"/>
        <v>89301000</v>
      </c>
      <c r="C3381" s="1">
        <v>44487</v>
      </c>
      <c r="D3381" s="1">
        <v>44490</v>
      </c>
      <c r="E3381">
        <v>1</v>
      </c>
      <c r="F3381" t="s">
        <v>335</v>
      </c>
      <c r="G3381" t="str">
        <f>"07-I10-06"</f>
        <v>07-I10-06</v>
      </c>
      <c r="H3381">
        <v>1.0149999999999999</v>
      </c>
      <c r="I3381" t="s">
        <v>489</v>
      </c>
      <c r="J3381" t="s">
        <v>17</v>
      </c>
      <c r="K3381" t="str">
        <f>"5F1"</f>
        <v>5F1</v>
      </c>
      <c r="L3381" t="s">
        <v>15</v>
      </c>
    </row>
    <row r="3382" spans="1:12" x14ac:dyDescent="0.25">
      <c r="A3382" t="str">
        <f>"420511432"</f>
        <v>420511432</v>
      </c>
      <c r="B3382" t="str">
        <f t="shared" si="221"/>
        <v>89301000</v>
      </c>
      <c r="C3382" s="1">
        <v>44221</v>
      </c>
      <c r="D3382" s="1">
        <v>44232</v>
      </c>
      <c r="E3382">
        <v>1</v>
      </c>
      <c r="F3382" t="s">
        <v>1953</v>
      </c>
      <c r="G3382" t="str">
        <f>"07-M02-03"</f>
        <v>07-M02-03</v>
      </c>
      <c r="H3382">
        <v>1.3556999999999999</v>
      </c>
      <c r="I3382" t="s">
        <v>2336</v>
      </c>
      <c r="J3382" t="s">
        <v>17</v>
      </c>
      <c r="K3382" t="str">
        <f>"1F5"</f>
        <v>1F5</v>
      </c>
      <c r="L3382" t="s">
        <v>15</v>
      </c>
    </row>
    <row r="3383" spans="1:12" x14ac:dyDescent="0.25">
      <c r="A3383" t="str">
        <f>"420607701"</f>
        <v>420607701</v>
      </c>
      <c r="B3383" t="str">
        <f t="shared" si="221"/>
        <v>89301000</v>
      </c>
      <c r="C3383" s="1">
        <v>44375</v>
      </c>
      <c r="D3383" s="1">
        <v>44378</v>
      </c>
      <c r="E3383">
        <v>1</v>
      </c>
      <c r="F3383" t="s">
        <v>92</v>
      </c>
      <c r="G3383" t="str">
        <f>"05-K15-02"</f>
        <v>05-K15-02</v>
      </c>
      <c r="H3383">
        <v>0.47510000000000002</v>
      </c>
      <c r="I3383" t="s">
        <v>2337</v>
      </c>
      <c r="J3383" t="s">
        <v>14</v>
      </c>
      <c r="K3383" t="str">
        <f>"2F9"</f>
        <v>2F9</v>
      </c>
      <c r="L3383" t="s">
        <v>15</v>
      </c>
    </row>
    <row r="3384" spans="1:12" x14ac:dyDescent="0.25">
      <c r="A3384" t="str">
        <f>"420607701"</f>
        <v>420607701</v>
      </c>
      <c r="B3384" t="str">
        <f t="shared" si="221"/>
        <v>89301000</v>
      </c>
      <c r="C3384" s="1">
        <v>44244</v>
      </c>
      <c r="D3384" s="1">
        <v>44253</v>
      </c>
      <c r="E3384">
        <v>1</v>
      </c>
      <c r="F3384" t="s">
        <v>217</v>
      </c>
      <c r="G3384" t="str">
        <f>"04-K02-04"</f>
        <v>04-K02-04</v>
      </c>
      <c r="H3384">
        <v>0.82469999999999999</v>
      </c>
      <c r="I3384" t="s">
        <v>2338</v>
      </c>
      <c r="J3384" t="s">
        <v>14</v>
      </c>
      <c r="K3384" t="str">
        <f>"5F1"</f>
        <v>5F1</v>
      </c>
      <c r="L3384" t="s">
        <v>15</v>
      </c>
    </row>
    <row r="3385" spans="1:12" x14ac:dyDescent="0.25">
      <c r="A3385" t="str">
        <f>"420612446"</f>
        <v>420612446</v>
      </c>
      <c r="B3385" t="str">
        <f t="shared" si="221"/>
        <v>89301000</v>
      </c>
      <c r="C3385" s="1">
        <v>44279</v>
      </c>
      <c r="D3385" s="1">
        <v>44282</v>
      </c>
      <c r="E3385">
        <v>1</v>
      </c>
      <c r="F3385" t="s">
        <v>320</v>
      </c>
      <c r="G3385" t="str">
        <f>"03-I23-00"</f>
        <v>03-I23-00</v>
      </c>
      <c r="H3385">
        <v>0.47639999999999999</v>
      </c>
      <c r="I3385" t="s">
        <v>2339</v>
      </c>
      <c r="J3385" t="s">
        <v>14</v>
      </c>
      <c r="K3385" t="str">
        <f>"6F5"</f>
        <v>6F5</v>
      </c>
      <c r="L3385" t="s">
        <v>15</v>
      </c>
    </row>
    <row r="3386" spans="1:12" x14ac:dyDescent="0.25">
      <c r="A3386" t="str">
        <f>"420614442"</f>
        <v>420614442</v>
      </c>
      <c r="B3386" t="str">
        <f t="shared" si="221"/>
        <v>89301000</v>
      </c>
      <c r="C3386" s="1">
        <v>44495</v>
      </c>
      <c r="D3386" s="1">
        <v>44496</v>
      </c>
      <c r="E3386">
        <v>1</v>
      </c>
      <c r="F3386" t="s">
        <v>1557</v>
      </c>
      <c r="G3386" t="str">
        <f>"05-D01-08"</f>
        <v>05-D01-08</v>
      </c>
      <c r="H3386">
        <v>0.4093</v>
      </c>
      <c r="I3386" t="s">
        <v>1959</v>
      </c>
      <c r="J3386" t="s">
        <v>14</v>
      </c>
      <c r="K3386" t="str">
        <f>"1F7"</f>
        <v>1F7</v>
      </c>
      <c r="L3386" t="s">
        <v>15</v>
      </c>
    </row>
    <row r="3387" spans="1:12" x14ac:dyDescent="0.25">
      <c r="A3387" t="str">
        <f>"420619458"</f>
        <v>420619458</v>
      </c>
      <c r="B3387" t="str">
        <f t="shared" si="221"/>
        <v>89301000</v>
      </c>
      <c r="C3387" s="1">
        <v>44293</v>
      </c>
      <c r="D3387" s="1">
        <v>44296</v>
      </c>
      <c r="E3387">
        <v>1</v>
      </c>
      <c r="F3387" t="s">
        <v>1555</v>
      </c>
      <c r="G3387" t="str">
        <f>"05-M07-04"</f>
        <v>05-M07-04</v>
      </c>
      <c r="H3387">
        <v>1.7799</v>
      </c>
      <c r="I3387" t="s">
        <v>2340</v>
      </c>
      <c r="J3387" t="s">
        <v>17</v>
      </c>
      <c r="K3387" t="str">
        <f>"7F6"</f>
        <v>7F6</v>
      </c>
      <c r="L3387" t="s">
        <v>15</v>
      </c>
    </row>
    <row r="3388" spans="1:12" x14ac:dyDescent="0.25">
      <c r="A3388" t="str">
        <f>"420624414"</f>
        <v>420624414</v>
      </c>
      <c r="B3388" t="str">
        <f t="shared" si="221"/>
        <v>89301000</v>
      </c>
      <c r="C3388" s="1">
        <v>44289</v>
      </c>
      <c r="D3388" s="1">
        <v>44293</v>
      </c>
      <c r="E3388">
        <v>4</v>
      </c>
      <c r="F3388" t="s">
        <v>1553</v>
      </c>
      <c r="G3388" t="str">
        <f>"04-K05-03"</f>
        <v>04-K05-03</v>
      </c>
      <c r="H3388">
        <v>0.74980000000000002</v>
      </c>
      <c r="I3388" t="s">
        <v>2341</v>
      </c>
      <c r="J3388" t="s">
        <v>14</v>
      </c>
      <c r="K3388" t="str">
        <f>"1F1"</f>
        <v>1F1</v>
      </c>
      <c r="L3388" t="s">
        <v>15</v>
      </c>
    </row>
    <row r="3389" spans="1:12" x14ac:dyDescent="0.25">
      <c r="A3389" t="str">
        <f>"420705429"</f>
        <v>420705429</v>
      </c>
      <c r="B3389" t="str">
        <f t="shared" si="221"/>
        <v>89301000</v>
      </c>
      <c r="C3389" s="1">
        <v>44276</v>
      </c>
      <c r="D3389" s="1">
        <v>44281</v>
      </c>
      <c r="E3389">
        <v>5</v>
      </c>
      <c r="F3389" t="s">
        <v>2342</v>
      </c>
      <c r="G3389" t="str">
        <f>"08-K12-01"</f>
        <v>08-K12-01</v>
      </c>
      <c r="H3389">
        <v>1.5763</v>
      </c>
      <c r="I3389" t="s">
        <v>2343</v>
      </c>
      <c r="J3389" t="s">
        <v>14</v>
      </c>
      <c r="K3389" t="str">
        <f>"5T3"</f>
        <v>5T3</v>
      </c>
      <c r="L3389" t="s">
        <v>15</v>
      </c>
    </row>
    <row r="3390" spans="1:12" x14ac:dyDescent="0.25">
      <c r="A3390" t="str">
        <f>"420710402"</f>
        <v>420710402</v>
      </c>
      <c r="B3390" t="str">
        <f t="shared" si="221"/>
        <v>89301000</v>
      </c>
      <c r="C3390" s="1">
        <v>44496</v>
      </c>
      <c r="D3390" s="1">
        <v>44512</v>
      </c>
      <c r="E3390">
        <v>4</v>
      </c>
      <c r="F3390" t="s">
        <v>1776</v>
      </c>
      <c r="G3390" t="str">
        <f>"25-K01-02"</f>
        <v>25-K01-02</v>
      </c>
      <c r="H3390">
        <v>3.0158999999999998</v>
      </c>
      <c r="I3390" t="s">
        <v>2344</v>
      </c>
      <c r="J3390" t="s">
        <v>17</v>
      </c>
      <c r="K3390" t="str">
        <f>"5F3"</f>
        <v>5F3</v>
      </c>
      <c r="L3390" t="s">
        <v>15</v>
      </c>
    </row>
    <row r="3391" spans="1:12" x14ac:dyDescent="0.25">
      <c r="A3391" t="str">
        <f>"420711421"</f>
        <v>420711421</v>
      </c>
      <c r="B3391" t="str">
        <f t="shared" si="221"/>
        <v>89301000</v>
      </c>
      <c r="C3391" s="1">
        <v>44385</v>
      </c>
      <c r="D3391" s="1">
        <v>44386</v>
      </c>
      <c r="E3391">
        <v>1</v>
      </c>
      <c r="F3391" t="s">
        <v>1545</v>
      </c>
      <c r="G3391" t="str">
        <f>"05-I14-03"</f>
        <v>05-I14-03</v>
      </c>
      <c r="H3391">
        <v>6.1292</v>
      </c>
      <c r="I3391" t="s">
        <v>2345</v>
      </c>
      <c r="J3391" t="s">
        <v>14</v>
      </c>
      <c r="K3391" t="str">
        <f>"1F7"</f>
        <v>1F7</v>
      </c>
      <c r="L3391" t="s">
        <v>15</v>
      </c>
    </row>
    <row r="3392" spans="1:12" x14ac:dyDescent="0.25">
      <c r="A3392" t="str">
        <f>"420711421"</f>
        <v>420711421</v>
      </c>
      <c r="B3392" t="str">
        <f t="shared" si="221"/>
        <v>89301000</v>
      </c>
      <c r="C3392" s="1">
        <v>44405</v>
      </c>
      <c r="D3392" s="1">
        <v>44406</v>
      </c>
      <c r="E3392">
        <v>1</v>
      </c>
      <c r="F3392" t="s">
        <v>2032</v>
      </c>
      <c r="G3392" t="str">
        <f>"05-M06-08"</f>
        <v>05-M06-08</v>
      </c>
      <c r="H3392">
        <v>1.4719</v>
      </c>
      <c r="I3392" t="s">
        <v>2346</v>
      </c>
      <c r="J3392" t="s">
        <v>17</v>
      </c>
      <c r="K3392" t="str">
        <f>"1F1"</f>
        <v>1F1</v>
      </c>
      <c r="L3392" t="s">
        <v>15</v>
      </c>
    </row>
    <row r="3393" spans="1:12" x14ac:dyDescent="0.25">
      <c r="A3393" t="str">
        <f>"420711421"</f>
        <v>420711421</v>
      </c>
      <c r="B3393" t="str">
        <f t="shared" si="221"/>
        <v>89301000</v>
      </c>
      <c r="C3393" s="1">
        <v>44433</v>
      </c>
      <c r="D3393" s="1">
        <v>44441</v>
      </c>
      <c r="E3393">
        <v>1</v>
      </c>
      <c r="F3393" t="s">
        <v>1567</v>
      </c>
      <c r="G3393" t="str">
        <f>"05-I21-01"</f>
        <v>05-I21-01</v>
      </c>
      <c r="H3393">
        <v>4.1814</v>
      </c>
      <c r="J3393" t="s">
        <v>14</v>
      </c>
      <c r="K3393" t="str">
        <f>"5F5"</f>
        <v>5F5</v>
      </c>
      <c r="L3393" t="s">
        <v>15</v>
      </c>
    </row>
    <row r="3394" spans="1:12" x14ac:dyDescent="0.25">
      <c r="A3394" t="str">
        <f>"420713417"</f>
        <v>420713417</v>
      </c>
      <c r="B3394" t="str">
        <f t="shared" si="221"/>
        <v>89301000</v>
      </c>
      <c r="C3394" s="1">
        <v>44259</v>
      </c>
      <c r="D3394" s="1">
        <v>44270</v>
      </c>
      <c r="E3394">
        <v>7</v>
      </c>
      <c r="F3394" t="s">
        <v>217</v>
      </c>
      <c r="G3394" t="str">
        <f>"04-K02-02"</f>
        <v>04-K02-02</v>
      </c>
      <c r="H3394">
        <v>2.5186000000000002</v>
      </c>
      <c r="I3394" t="s">
        <v>2347</v>
      </c>
      <c r="J3394" t="s">
        <v>14</v>
      </c>
      <c r="K3394" t="str">
        <f>"1T1"</f>
        <v>1T1</v>
      </c>
      <c r="L3394" t="s">
        <v>15</v>
      </c>
    </row>
    <row r="3395" spans="1:12" x14ac:dyDescent="0.25">
      <c r="A3395" t="str">
        <f>"420715106"</f>
        <v>420715106</v>
      </c>
      <c r="B3395" t="str">
        <f t="shared" si="221"/>
        <v>89301000</v>
      </c>
      <c r="C3395" s="1">
        <v>44540</v>
      </c>
      <c r="D3395" s="1">
        <v>44547</v>
      </c>
      <c r="E3395">
        <v>1</v>
      </c>
      <c r="F3395" t="s">
        <v>2348</v>
      </c>
      <c r="G3395" t="str">
        <f>"04-K06-03"</f>
        <v>04-K06-03</v>
      </c>
      <c r="H3395">
        <v>0.66259999999999997</v>
      </c>
      <c r="I3395" t="s">
        <v>2349</v>
      </c>
      <c r="J3395" t="s">
        <v>14</v>
      </c>
      <c r="K3395" t="str">
        <f>"2F5"</f>
        <v>2F5</v>
      </c>
      <c r="L3395" t="s">
        <v>15</v>
      </c>
    </row>
    <row r="3396" spans="1:12" x14ac:dyDescent="0.25">
      <c r="A3396" t="str">
        <f>"420725043"</f>
        <v>420725043</v>
      </c>
      <c r="B3396" t="str">
        <f t="shared" si="221"/>
        <v>89301000</v>
      </c>
      <c r="C3396" s="1">
        <v>44495</v>
      </c>
      <c r="D3396" s="1">
        <v>44499</v>
      </c>
      <c r="E3396">
        <v>1</v>
      </c>
      <c r="F3396" t="s">
        <v>2350</v>
      </c>
      <c r="G3396" t="str">
        <f>"01-I09-02"</f>
        <v>01-I09-02</v>
      </c>
      <c r="H3396">
        <v>1.5302</v>
      </c>
      <c r="I3396" t="s">
        <v>2351</v>
      </c>
      <c r="J3396" t="s">
        <v>17</v>
      </c>
      <c r="K3396" t="str">
        <f>"5F6"</f>
        <v>5F6</v>
      </c>
      <c r="L3396" t="s">
        <v>15</v>
      </c>
    </row>
    <row r="3397" spans="1:12" x14ac:dyDescent="0.25">
      <c r="A3397" t="str">
        <f>"420726477"</f>
        <v>420726477</v>
      </c>
      <c r="B3397" t="str">
        <f t="shared" si="221"/>
        <v>89301000</v>
      </c>
      <c r="C3397" s="1">
        <v>44411</v>
      </c>
      <c r="D3397" s="1">
        <v>44414</v>
      </c>
      <c r="E3397">
        <v>5</v>
      </c>
      <c r="F3397" t="s">
        <v>316</v>
      </c>
      <c r="G3397" t="str">
        <f>"01-I08-04"</f>
        <v>01-I08-04</v>
      </c>
      <c r="H3397">
        <v>1.6155999999999999</v>
      </c>
      <c r="I3397" t="s">
        <v>2352</v>
      </c>
      <c r="J3397" t="s">
        <v>17</v>
      </c>
      <c r="K3397" t="str">
        <f>"5T6"</f>
        <v>5T6</v>
      </c>
      <c r="L3397" t="s">
        <v>15</v>
      </c>
    </row>
    <row r="3398" spans="1:12" x14ac:dyDescent="0.25">
      <c r="A3398" t="str">
        <f>"420731437"</f>
        <v>420731437</v>
      </c>
      <c r="B3398" t="str">
        <f t="shared" si="221"/>
        <v>89301000</v>
      </c>
      <c r="C3398" s="1">
        <v>44322</v>
      </c>
      <c r="D3398" s="1">
        <v>44333</v>
      </c>
      <c r="E3398">
        <v>1</v>
      </c>
      <c r="F3398" t="s">
        <v>38</v>
      </c>
      <c r="G3398" t="str">
        <f>"05-M06-06"</f>
        <v>05-M06-06</v>
      </c>
      <c r="H3398">
        <v>2.2221000000000002</v>
      </c>
      <c r="I3398" t="s">
        <v>2353</v>
      </c>
      <c r="J3398" t="s">
        <v>17</v>
      </c>
      <c r="K3398" t="str">
        <f>"1F1"</f>
        <v>1F1</v>
      </c>
      <c r="L3398" t="s">
        <v>15</v>
      </c>
    </row>
    <row r="3399" spans="1:12" x14ac:dyDescent="0.25">
      <c r="A3399" t="str">
        <f>"420804418"</f>
        <v>420804418</v>
      </c>
      <c r="B3399" t="str">
        <f t="shared" si="221"/>
        <v>89301000</v>
      </c>
      <c r="C3399" s="1">
        <v>44350</v>
      </c>
      <c r="D3399" s="1">
        <v>44371</v>
      </c>
      <c r="E3399">
        <v>5</v>
      </c>
      <c r="F3399" t="s">
        <v>67</v>
      </c>
      <c r="G3399" t="str">
        <f>"01-K10-03"</f>
        <v>01-K10-03</v>
      </c>
      <c r="H3399">
        <v>1.9176</v>
      </c>
      <c r="I3399" t="s">
        <v>2354</v>
      </c>
      <c r="J3399" t="s">
        <v>14</v>
      </c>
      <c r="K3399" t="str">
        <f>"2F9"</f>
        <v>2F9</v>
      </c>
      <c r="L3399" t="s">
        <v>15</v>
      </c>
    </row>
    <row r="3400" spans="1:12" x14ac:dyDescent="0.25">
      <c r="A3400" t="str">
        <f>"420807441"</f>
        <v>420807441</v>
      </c>
      <c r="B3400" t="str">
        <f t="shared" si="221"/>
        <v>89301000</v>
      </c>
      <c r="C3400" s="1">
        <v>44396</v>
      </c>
      <c r="D3400" s="1">
        <v>44399</v>
      </c>
      <c r="E3400">
        <v>8</v>
      </c>
      <c r="F3400" t="s">
        <v>2355</v>
      </c>
      <c r="G3400" t="str">
        <f>"04-K09-02"</f>
        <v>04-K09-02</v>
      </c>
      <c r="H3400">
        <v>1.2861</v>
      </c>
      <c r="I3400" t="s">
        <v>2356</v>
      </c>
      <c r="J3400" t="s">
        <v>14</v>
      </c>
      <c r="K3400" t="str">
        <f>"2T5"</f>
        <v>2T5</v>
      </c>
      <c r="L3400" t="s">
        <v>15</v>
      </c>
    </row>
    <row r="3401" spans="1:12" x14ac:dyDescent="0.25">
      <c r="A3401" t="str">
        <f>"420807730"</f>
        <v>420807730</v>
      </c>
      <c r="B3401" t="str">
        <f t="shared" si="221"/>
        <v>89301000</v>
      </c>
      <c r="C3401" s="1">
        <v>44363</v>
      </c>
      <c r="D3401" s="1">
        <v>44365</v>
      </c>
      <c r="E3401">
        <v>1</v>
      </c>
      <c r="F3401" t="s">
        <v>1606</v>
      </c>
      <c r="G3401" t="str">
        <f>"05-M05-02"</f>
        <v>05-M05-02</v>
      </c>
      <c r="H3401">
        <v>3.516</v>
      </c>
      <c r="I3401" t="s">
        <v>2357</v>
      </c>
      <c r="J3401" t="s">
        <v>24</v>
      </c>
      <c r="K3401" t="str">
        <f>"1F7"</f>
        <v>1F7</v>
      </c>
      <c r="L3401" t="s">
        <v>15</v>
      </c>
    </row>
    <row r="3402" spans="1:12" x14ac:dyDescent="0.25">
      <c r="A3402" t="str">
        <f>"420807730"</f>
        <v>420807730</v>
      </c>
      <c r="B3402" t="str">
        <f t="shared" si="221"/>
        <v>89301000</v>
      </c>
      <c r="C3402" s="1">
        <v>44455</v>
      </c>
      <c r="D3402" s="1">
        <v>44457</v>
      </c>
      <c r="E3402">
        <v>1</v>
      </c>
      <c r="F3402" t="s">
        <v>1604</v>
      </c>
      <c r="G3402" t="str">
        <f>"05-I25-02"</f>
        <v>05-I25-02</v>
      </c>
      <c r="H3402">
        <v>2.9081000000000001</v>
      </c>
      <c r="I3402" t="s">
        <v>1606</v>
      </c>
      <c r="J3402" t="s">
        <v>17</v>
      </c>
      <c r="K3402" t="str">
        <f>"1F7"</f>
        <v>1F7</v>
      </c>
      <c r="L3402" t="s">
        <v>15</v>
      </c>
    </row>
    <row r="3403" spans="1:12" x14ac:dyDescent="0.25">
      <c r="A3403" t="str">
        <f>"420904457"</f>
        <v>420904457</v>
      </c>
      <c r="B3403" t="str">
        <f t="shared" si="221"/>
        <v>89301000</v>
      </c>
      <c r="C3403" s="1">
        <v>44299</v>
      </c>
      <c r="D3403" s="1">
        <v>44302</v>
      </c>
      <c r="E3403">
        <v>1</v>
      </c>
      <c r="F3403" t="s">
        <v>1683</v>
      </c>
      <c r="G3403" t="str">
        <f>"05-M06-06"</f>
        <v>05-M06-06</v>
      </c>
      <c r="H3403">
        <v>1.7652000000000001</v>
      </c>
      <c r="I3403" t="s">
        <v>2358</v>
      </c>
      <c r="J3403" t="s">
        <v>17</v>
      </c>
      <c r="K3403" t="str">
        <f>"1F1"</f>
        <v>1F1</v>
      </c>
      <c r="L3403" t="s">
        <v>15</v>
      </c>
    </row>
    <row r="3404" spans="1:12" x14ac:dyDescent="0.25">
      <c r="A3404" t="str">
        <f>"420904457"</f>
        <v>420904457</v>
      </c>
      <c r="B3404" t="str">
        <f t="shared" si="221"/>
        <v>89301000</v>
      </c>
      <c r="C3404" s="1">
        <v>44333</v>
      </c>
      <c r="D3404" s="1">
        <v>44335</v>
      </c>
      <c r="E3404">
        <v>1</v>
      </c>
      <c r="F3404" t="s">
        <v>1548</v>
      </c>
      <c r="G3404" t="str">
        <f>"05-I14-01"</f>
        <v>05-I14-01</v>
      </c>
      <c r="H3404">
        <v>8.4923999999999999</v>
      </c>
      <c r="I3404" t="s">
        <v>2359</v>
      </c>
      <c r="J3404" t="s">
        <v>14</v>
      </c>
      <c r="K3404" t="str">
        <f>"1F1"</f>
        <v>1F1</v>
      </c>
      <c r="L3404" t="s">
        <v>15</v>
      </c>
    </row>
    <row r="3405" spans="1:12" x14ac:dyDescent="0.25">
      <c r="A3405" t="str">
        <f>"420915453"</f>
        <v>420915453</v>
      </c>
      <c r="B3405" t="str">
        <f t="shared" si="221"/>
        <v>89301000</v>
      </c>
      <c r="C3405" s="1">
        <v>44328</v>
      </c>
      <c r="D3405" s="1">
        <v>44328</v>
      </c>
      <c r="E3405">
        <v>1</v>
      </c>
      <c r="F3405" t="s">
        <v>1604</v>
      </c>
      <c r="G3405" t="str">
        <f>"05-I25-03"</f>
        <v>05-I25-03</v>
      </c>
      <c r="H3405">
        <v>1.2622</v>
      </c>
      <c r="J3405" t="s">
        <v>17</v>
      </c>
      <c r="K3405" t="str">
        <f>"1F1"</f>
        <v>1F1</v>
      </c>
      <c r="L3405" t="s">
        <v>15</v>
      </c>
    </row>
    <row r="3406" spans="1:12" x14ac:dyDescent="0.25">
      <c r="A3406" t="str">
        <f>"420919450"</f>
        <v>420919450</v>
      </c>
      <c r="B3406" t="str">
        <f t="shared" si="221"/>
        <v>89301000</v>
      </c>
      <c r="C3406" s="1">
        <v>44322</v>
      </c>
      <c r="D3406" s="1">
        <v>44326</v>
      </c>
      <c r="E3406">
        <v>1</v>
      </c>
      <c r="F3406" t="s">
        <v>2360</v>
      </c>
      <c r="G3406" t="str">
        <f>"06-M01-02"</f>
        <v>06-M01-02</v>
      </c>
      <c r="H3406">
        <v>1.2191000000000001</v>
      </c>
      <c r="I3406" t="s">
        <v>2361</v>
      </c>
      <c r="J3406" t="s">
        <v>14</v>
      </c>
      <c r="K3406" t="str">
        <f>"1F5"</f>
        <v>1F5</v>
      </c>
      <c r="L3406" t="s">
        <v>15</v>
      </c>
    </row>
    <row r="3407" spans="1:12" x14ac:dyDescent="0.25">
      <c r="A3407" t="str">
        <f>"420928428"</f>
        <v>420928428</v>
      </c>
      <c r="B3407" t="str">
        <f t="shared" si="221"/>
        <v>89301000</v>
      </c>
      <c r="C3407" s="1">
        <v>44531</v>
      </c>
      <c r="D3407" s="1">
        <v>44532</v>
      </c>
      <c r="E3407">
        <v>1</v>
      </c>
      <c r="F3407" t="s">
        <v>2232</v>
      </c>
      <c r="G3407" t="str">
        <f>"11-I15-00"</f>
        <v>11-I15-00</v>
      </c>
      <c r="H3407">
        <v>0.82330000000000003</v>
      </c>
      <c r="I3407" t="s">
        <v>2362</v>
      </c>
      <c r="J3407" t="s">
        <v>14</v>
      </c>
      <c r="K3407" t="str">
        <f>"7F6"</f>
        <v>7F6</v>
      </c>
      <c r="L3407" t="s">
        <v>15</v>
      </c>
    </row>
    <row r="3408" spans="1:12" x14ac:dyDescent="0.25">
      <c r="A3408" t="str">
        <f>"420929416"</f>
        <v>420929416</v>
      </c>
      <c r="B3408" t="str">
        <f t="shared" si="221"/>
        <v>89301000</v>
      </c>
      <c r="C3408" s="1">
        <v>44382</v>
      </c>
      <c r="D3408" s="1">
        <v>44398</v>
      </c>
      <c r="E3408">
        <v>1</v>
      </c>
      <c r="F3408" t="s">
        <v>67</v>
      </c>
      <c r="G3408" t="str">
        <f>"01-K10-03"</f>
        <v>01-K10-03</v>
      </c>
      <c r="H3408">
        <v>1.2561</v>
      </c>
      <c r="I3408" t="s">
        <v>2363</v>
      </c>
      <c r="J3408" t="s">
        <v>14</v>
      </c>
      <c r="K3408" t="str">
        <f>"2F9"</f>
        <v>2F9</v>
      </c>
      <c r="L3408" t="s">
        <v>15</v>
      </c>
    </row>
    <row r="3409" spans="1:12" x14ac:dyDescent="0.25">
      <c r="A3409" t="str">
        <f>"420929416"</f>
        <v>420929416</v>
      </c>
      <c r="B3409" t="str">
        <f t="shared" si="221"/>
        <v>89301000</v>
      </c>
      <c r="C3409" s="1">
        <v>44545</v>
      </c>
      <c r="D3409" s="1">
        <v>44550</v>
      </c>
      <c r="E3409">
        <v>1</v>
      </c>
      <c r="F3409" t="s">
        <v>985</v>
      </c>
      <c r="G3409" t="str">
        <f>"04-K02-04"</f>
        <v>04-K02-04</v>
      </c>
      <c r="H3409">
        <v>0.82469999999999999</v>
      </c>
      <c r="I3409" t="s">
        <v>2364</v>
      </c>
      <c r="J3409" t="s">
        <v>14</v>
      </c>
      <c r="K3409" t="str">
        <f>"1F1"</f>
        <v>1F1</v>
      </c>
      <c r="L3409" t="s">
        <v>15</v>
      </c>
    </row>
    <row r="3410" spans="1:12" x14ac:dyDescent="0.25">
      <c r="A3410" t="str">
        <f>"421023442"</f>
        <v>421023442</v>
      </c>
      <c r="B3410" t="str">
        <f t="shared" si="221"/>
        <v>89301000</v>
      </c>
      <c r="C3410" s="1">
        <v>44369</v>
      </c>
      <c r="D3410" s="1">
        <v>44370</v>
      </c>
      <c r="E3410">
        <v>1</v>
      </c>
      <c r="F3410" t="s">
        <v>2365</v>
      </c>
      <c r="G3410" t="str">
        <f>"05-D01-08"</f>
        <v>05-D01-08</v>
      </c>
      <c r="H3410">
        <v>0.4093</v>
      </c>
      <c r="J3410" t="s">
        <v>14</v>
      </c>
      <c r="K3410" t="str">
        <f>"1F7"</f>
        <v>1F7</v>
      </c>
      <c r="L3410" t="s">
        <v>15</v>
      </c>
    </row>
    <row r="3411" spans="1:12" x14ac:dyDescent="0.25">
      <c r="A3411" t="str">
        <f>"421101471"</f>
        <v>421101471</v>
      </c>
      <c r="B3411" t="str">
        <f t="shared" si="221"/>
        <v>89301000</v>
      </c>
      <c r="C3411" s="1">
        <v>44475</v>
      </c>
      <c r="D3411" s="1">
        <v>44477</v>
      </c>
      <c r="E3411">
        <v>1</v>
      </c>
      <c r="F3411" t="s">
        <v>2366</v>
      </c>
      <c r="G3411" t="str">
        <f>"02-I09-03"</f>
        <v>02-I09-03</v>
      </c>
      <c r="H3411">
        <v>0.92979999999999996</v>
      </c>
      <c r="I3411" t="s">
        <v>2367</v>
      </c>
      <c r="J3411" t="s">
        <v>14</v>
      </c>
      <c r="K3411" t="str">
        <f>"7F5"</f>
        <v>7F5</v>
      </c>
      <c r="L3411" t="s">
        <v>15</v>
      </c>
    </row>
    <row r="3412" spans="1:12" x14ac:dyDescent="0.25">
      <c r="A3412" t="str">
        <f>"421102416"</f>
        <v>421102416</v>
      </c>
      <c r="B3412" t="str">
        <f t="shared" si="221"/>
        <v>89301000</v>
      </c>
      <c r="C3412" s="1">
        <v>44244</v>
      </c>
      <c r="D3412" s="1">
        <v>44244</v>
      </c>
      <c r="E3412">
        <v>1</v>
      </c>
      <c r="F3412" t="s">
        <v>1579</v>
      </c>
      <c r="G3412" t="str">
        <f>"05-I25-03"</f>
        <v>05-I25-03</v>
      </c>
      <c r="H3412">
        <v>1.2622</v>
      </c>
      <c r="J3412" t="s">
        <v>17</v>
      </c>
      <c r="K3412" t="str">
        <f>"1F1"</f>
        <v>1F1</v>
      </c>
      <c r="L3412" t="s">
        <v>15</v>
      </c>
    </row>
    <row r="3413" spans="1:12" x14ac:dyDescent="0.25">
      <c r="A3413" t="str">
        <f>"421104467"</f>
        <v>421104467</v>
      </c>
      <c r="B3413" t="str">
        <f t="shared" si="221"/>
        <v>89301000</v>
      </c>
      <c r="C3413" s="1">
        <v>44331</v>
      </c>
      <c r="D3413" s="1">
        <v>44342</v>
      </c>
      <c r="E3413">
        <v>1</v>
      </c>
      <c r="F3413" t="s">
        <v>2368</v>
      </c>
      <c r="G3413" t="str">
        <f>"08-K09-02"</f>
        <v>08-K09-02</v>
      </c>
      <c r="H3413">
        <v>1.0061</v>
      </c>
      <c r="I3413" t="s">
        <v>2369</v>
      </c>
      <c r="J3413" t="s">
        <v>14</v>
      </c>
      <c r="K3413" t="str">
        <f>"4F2"</f>
        <v>4F2</v>
      </c>
      <c r="L3413" t="s">
        <v>15</v>
      </c>
    </row>
    <row r="3414" spans="1:12" x14ac:dyDescent="0.25">
      <c r="A3414" t="str">
        <f>"421119415"</f>
        <v>421119415</v>
      </c>
      <c r="B3414" t="str">
        <f t="shared" si="221"/>
        <v>89301000</v>
      </c>
      <c r="C3414" s="1">
        <v>44260</v>
      </c>
      <c r="D3414" s="1">
        <v>44275</v>
      </c>
      <c r="E3414">
        <v>1</v>
      </c>
      <c r="F3414" t="s">
        <v>1557</v>
      </c>
      <c r="G3414" t="str">
        <f>"05-I16-04"</f>
        <v>05-I16-04</v>
      </c>
      <c r="H3414">
        <v>5.9809000000000001</v>
      </c>
      <c r="I3414" t="s">
        <v>1606</v>
      </c>
      <c r="J3414" t="s">
        <v>17</v>
      </c>
      <c r="K3414" t="str">
        <f>"5F5"</f>
        <v>5F5</v>
      </c>
      <c r="L3414" t="s">
        <v>15</v>
      </c>
    </row>
    <row r="3415" spans="1:12" x14ac:dyDescent="0.25">
      <c r="A3415" t="str">
        <f>"421123440"</f>
        <v>421123440</v>
      </c>
      <c r="B3415" t="str">
        <f t="shared" si="221"/>
        <v>89301000</v>
      </c>
      <c r="C3415" s="1">
        <v>44484</v>
      </c>
      <c r="D3415" s="1">
        <v>44488</v>
      </c>
      <c r="E3415">
        <v>1</v>
      </c>
      <c r="F3415" t="s">
        <v>1553</v>
      </c>
      <c r="G3415" t="str">
        <f>"04-K05-03"</f>
        <v>04-K05-03</v>
      </c>
      <c r="H3415">
        <v>0.74980000000000002</v>
      </c>
      <c r="I3415" t="s">
        <v>2370</v>
      </c>
      <c r="J3415" t="s">
        <v>14</v>
      </c>
      <c r="K3415" t="str">
        <f>"1F1"</f>
        <v>1F1</v>
      </c>
      <c r="L3415" t="s">
        <v>15</v>
      </c>
    </row>
    <row r="3416" spans="1:12" x14ac:dyDescent="0.25">
      <c r="A3416" t="str">
        <f>"421124052"</f>
        <v>421124052</v>
      </c>
      <c r="B3416" t="str">
        <f t="shared" si="221"/>
        <v>89301000</v>
      </c>
      <c r="C3416" s="1">
        <v>44411</v>
      </c>
      <c r="D3416" s="1">
        <v>44419</v>
      </c>
      <c r="E3416">
        <v>8</v>
      </c>
      <c r="F3416" t="s">
        <v>985</v>
      </c>
      <c r="G3416" t="str">
        <f>"04-K02-04"</f>
        <v>04-K02-04</v>
      </c>
      <c r="H3416">
        <v>0.82469999999999999</v>
      </c>
      <c r="I3416" t="s">
        <v>2371</v>
      </c>
      <c r="J3416" t="s">
        <v>14</v>
      </c>
      <c r="K3416" t="str">
        <f>"2F5"</f>
        <v>2F5</v>
      </c>
      <c r="L3416" t="s">
        <v>15</v>
      </c>
    </row>
    <row r="3417" spans="1:12" x14ac:dyDescent="0.25">
      <c r="A3417" t="str">
        <f>"421130426"</f>
        <v>421130426</v>
      </c>
      <c r="B3417" t="str">
        <f t="shared" si="221"/>
        <v>89301000</v>
      </c>
      <c r="C3417" s="1">
        <v>44555</v>
      </c>
      <c r="D3417" s="1">
        <v>44560</v>
      </c>
      <c r="E3417">
        <v>1</v>
      </c>
      <c r="F3417" t="s">
        <v>96</v>
      </c>
      <c r="G3417" t="str">
        <f>"11-K01-03"</f>
        <v>11-K01-03</v>
      </c>
      <c r="H3417">
        <v>0.59489999999999998</v>
      </c>
      <c r="I3417" t="s">
        <v>2372</v>
      </c>
      <c r="J3417" t="s">
        <v>14</v>
      </c>
      <c r="K3417" t="str">
        <f>"1F9"</f>
        <v>1F9</v>
      </c>
      <c r="L3417" t="s">
        <v>15</v>
      </c>
    </row>
    <row r="3418" spans="1:12" x14ac:dyDescent="0.25">
      <c r="A3418" t="str">
        <f>"421130455"</f>
        <v>421130455</v>
      </c>
      <c r="B3418" t="str">
        <f t="shared" ref="B3418:B3480" si="222">"89301000"</f>
        <v>89301000</v>
      </c>
      <c r="C3418" s="1">
        <v>44537</v>
      </c>
      <c r="D3418" s="1">
        <v>44541</v>
      </c>
      <c r="E3418">
        <v>1</v>
      </c>
      <c r="F3418" t="s">
        <v>2373</v>
      </c>
      <c r="G3418" t="str">
        <f>"06-I21-03"</f>
        <v>06-I21-03</v>
      </c>
      <c r="H3418">
        <v>0.47820000000000001</v>
      </c>
      <c r="I3418" t="s">
        <v>2374</v>
      </c>
      <c r="J3418" t="s">
        <v>17</v>
      </c>
      <c r="K3418" t="str">
        <f>"5F1"</f>
        <v>5F1</v>
      </c>
      <c r="L3418" t="s">
        <v>15</v>
      </c>
    </row>
    <row r="3419" spans="1:12" x14ac:dyDescent="0.25">
      <c r="A3419" t="str">
        <f>"421202455"</f>
        <v>421202455</v>
      </c>
      <c r="B3419" t="str">
        <f t="shared" si="222"/>
        <v>89301000</v>
      </c>
      <c r="C3419" s="1">
        <v>44399</v>
      </c>
      <c r="D3419" s="1">
        <v>44407</v>
      </c>
      <c r="E3419">
        <v>1</v>
      </c>
      <c r="F3419" t="s">
        <v>2270</v>
      </c>
      <c r="G3419" t="str">
        <f>"09-K03-01"</f>
        <v>09-K03-01</v>
      </c>
      <c r="H3419">
        <v>1.4508000000000001</v>
      </c>
      <c r="I3419" t="s">
        <v>2375</v>
      </c>
      <c r="J3419" t="s">
        <v>14</v>
      </c>
      <c r="K3419" t="str">
        <f>"4F4"</f>
        <v>4F4</v>
      </c>
      <c r="L3419" t="s">
        <v>15</v>
      </c>
    </row>
    <row r="3420" spans="1:12" x14ac:dyDescent="0.25">
      <c r="A3420" t="str">
        <f>"421221426"</f>
        <v>421221426</v>
      </c>
      <c r="B3420" t="str">
        <f t="shared" si="222"/>
        <v>89301000</v>
      </c>
      <c r="C3420" s="1">
        <v>44494</v>
      </c>
      <c r="D3420" s="1">
        <v>44497</v>
      </c>
      <c r="E3420">
        <v>1</v>
      </c>
      <c r="F3420" t="s">
        <v>786</v>
      </c>
      <c r="G3420" t="str">
        <f>"04-K07-03"</f>
        <v>04-K07-03</v>
      </c>
      <c r="H3420">
        <v>0.66259999999999997</v>
      </c>
      <c r="I3420" t="s">
        <v>2376</v>
      </c>
      <c r="J3420" t="s">
        <v>14</v>
      </c>
      <c r="K3420" t="str">
        <f>"2F5"</f>
        <v>2F5</v>
      </c>
      <c r="L3420" t="s">
        <v>15</v>
      </c>
    </row>
    <row r="3421" spans="1:12" x14ac:dyDescent="0.25">
      <c r="A3421" t="str">
        <f>"421222451"</f>
        <v>421222451</v>
      </c>
      <c r="B3421" t="str">
        <f t="shared" si="222"/>
        <v>89301000</v>
      </c>
      <c r="C3421" s="1">
        <v>44364</v>
      </c>
      <c r="D3421" s="1">
        <v>44365</v>
      </c>
      <c r="E3421">
        <v>1</v>
      </c>
      <c r="F3421" t="s">
        <v>1557</v>
      </c>
      <c r="G3421" t="str">
        <f>"05-D01-08"</f>
        <v>05-D01-08</v>
      </c>
      <c r="H3421">
        <v>0.4093</v>
      </c>
      <c r="J3421" t="s">
        <v>14</v>
      </c>
      <c r="K3421" t="str">
        <f>"1F7"</f>
        <v>1F7</v>
      </c>
      <c r="L3421" t="s">
        <v>15</v>
      </c>
    </row>
    <row r="3422" spans="1:12" x14ac:dyDescent="0.25">
      <c r="A3422" t="str">
        <f>"421222451"</f>
        <v>421222451</v>
      </c>
      <c r="B3422" t="str">
        <f t="shared" si="222"/>
        <v>89301000</v>
      </c>
      <c r="C3422" s="1">
        <v>44384</v>
      </c>
      <c r="D3422" s="1">
        <v>44386</v>
      </c>
      <c r="E3422">
        <v>1</v>
      </c>
      <c r="F3422" t="s">
        <v>1567</v>
      </c>
      <c r="G3422" t="str">
        <f>"05-M09-00"</f>
        <v>05-M09-00</v>
      </c>
      <c r="H3422">
        <v>1.2437</v>
      </c>
      <c r="I3422" t="s">
        <v>2377</v>
      </c>
      <c r="J3422" t="s">
        <v>14</v>
      </c>
      <c r="K3422" t="str">
        <f>"1F7"</f>
        <v>1F7</v>
      </c>
      <c r="L3422" t="s">
        <v>15</v>
      </c>
    </row>
    <row r="3423" spans="1:12" x14ac:dyDescent="0.25">
      <c r="A3423" t="str">
        <f>"421231426"</f>
        <v>421231426</v>
      </c>
      <c r="B3423" t="str">
        <f t="shared" si="222"/>
        <v>89301000</v>
      </c>
      <c r="C3423" s="1">
        <v>44319</v>
      </c>
      <c r="D3423" s="1">
        <v>44320</v>
      </c>
      <c r="E3423">
        <v>1</v>
      </c>
      <c r="F3423" t="s">
        <v>1785</v>
      </c>
      <c r="G3423" t="str">
        <f>"05-M05-03"</f>
        <v>05-M05-03</v>
      </c>
      <c r="H3423">
        <v>1.9991000000000001</v>
      </c>
      <c r="I3423" t="s">
        <v>2378</v>
      </c>
      <c r="J3423" t="s">
        <v>24</v>
      </c>
      <c r="K3423" t="str">
        <f>"1F7"</f>
        <v>1F7</v>
      </c>
      <c r="L3423" t="s">
        <v>15</v>
      </c>
    </row>
    <row r="3424" spans="1:12" x14ac:dyDescent="0.25">
      <c r="A3424" t="str">
        <f>"421231426"</f>
        <v>421231426</v>
      </c>
      <c r="B3424" t="str">
        <f t="shared" si="222"/>
        <v>89301000</v>
      </c>
      <c r="C3424" s="1">
        <v>44332</v>
      </c>
      <c r="D3424" s="1">
        <v>44344</v>
      </c>
      <c r="E3424">
        <v>1</v>
      </c>
      <c r="F3424" t="s">
        <v>2379</v>
      </c>
      <c r="G3424" t="str">
        <f>"08-K02-01"</f>
        <v>08-K02-01</v>
      </c>
      <c r="H3424">
        <v>1.5983000000000001</v>
      </c>
      <c r="I3424" t="s">
        <v>2380</v>
      </c>
      <c r="J3424" t="s">
        <v>14</v>
      </c>
      <c r="K3424" t="str">
        <f>"1F9"</f>
        <v>1F9</v>
      </c>
      <c r="L3424" t="s">
        <v>15</v>
      </c>
    </row>
    <row r="3425" spans="1:12" x14ac:dyDescent="0.25">
      <c r="A3425" t="str">
        <f>"421231436"</f>
        <v>421231436</v>
      </c>
      <c r="B3425" t="str">
        <f t="shared" si="222"/>
        <v>89301000</v>
      </c>
      <c r="C3425" s="1">
        <v>44480</v>
      </c>
      <c r="D3425" s="1">
        <v>44482</v>
      </c>
      <c r="E3425">
        <v>1</v>
      </c>
      <c r="F3425" t="s">
        <v>1679</v>
      </c>
      <c r="G3425" t="str">
        <f>"11-M06-03"</f>
        <v>11-M06-03</v>
      </c>
      <c r="H3425">
        <v>0.61519999999999997</v>
      </c>
      <c r="I3425" t="s">
        <v>2381</v>
      </c>
      <c r="J3425" t="s">
        <v>17</v>
      </c>
      <c r="K3425" t="str">
        <f>"7F6"</f>
        <v>7F6</v>
      </c>
      <c r="L3425" t="s">
        <v>15</v>
      </c>
    </row>
    <row r="3426" spans="1:12" x14ac:dyDescent="0.25">
      <c r="A3426" t="str">
        <f>"425118083"</f>
        <v>425118083</v>
      </c>
      <c r="B3426" t="str">
        <f t="shared" si="222"/>
        <v>89301000</v>
      </c>
      <c r="C3426" s="1">
        <v>44525</v>
      </c>
      <c r="D3426" s="1">
        <v>44526</v>
      </c>
      <c r="E3426">
        <v>1</v>
      </c>
      <c r="F3426" t="s">
        <v>1780</v>
      </c>
      <c r="G3426" t="str">
        <f>"05-D01-06"</f>
        <v>05-D01-06</v>
      </c>
      <c r="H3426">
        <v>0.7611</v>
      </c>
      <c r="I3426" t="s">
        <v>2382</v>
      </c>
      <c r="J3426" t="s">
        <v>14</v>
      </c>
      <c r="K3426" t="str">
        <f>"1F1"</f>
        <v>1F1</v>
      </c>
      <c r="L3426" t="s">
        <v>15</v>
      </c>
    </row>
    <row r="3427" spans="1:12" x14ac:dyDescent="0.25">
      <c r="A3427" t="str">
        <f>"425118083"</f>
        <v>425118083</v>
      </c>
      <c r="B3427" t="str">
        <f t="shared" si="222"/>
        <v>89301000</v>
      </c>
      <c r="C3427" s="1">
        <v>44508</v>
      </c>
      <c r="D3427" s="1">
        <v>44510</v>
      </c>
      <c r="E3427">
        <v>1</v>
      </c>
      <c r="F3427" t="s">
        <v>1548</v>
      </c>
      <c r="G3427" t="str">
        <f>"05-K07-04"</f>
        <v>05-K07-04</v>
      </c>
      <c r="H3427">
        <v>0.85160000000000002</v>
      </c>
      <c r="I3427" t="s">
        <v>2383</v>
      </c>
      <c r="J3427" t="s">
        <v>14</v>
      </c>
      <c r="K3427" t="str">
        <f>"1F1"</f>
        <v>1F1</v>
      </c>
      <c r="L3427" t="s">
        <v>15</v>
      </c>
    </row>
    <row r="3428" spans="1:12" x14ac:dyDescent="0.25">
      <c r="A3428" t="str">
        <f>"425118083"</f>
        <v>425118083</v>
      </c>
      <c r="B3428" t="str">
        <f t="shared" si="222"/>
        <v>89301000</v>
      </c>
      <c r="C3428" s="1">
        <v>44232</v>
      </c>
      <c r="D3428" s="1">
        <v>44237</v>
      </c>
      <c r="E3428">
        <v>1</v>
      </c>
      <c r="F3428" t="s">
        <v>1606</v>
      </c>
      <c r="G3428" t="str">
        <f>"05-K05-05"</f>
        <v>05-K05-05</v>
      </c>
      <c r="H3428">
        <v>0.37819999999999998</v>
      </c>
      <c r="I3428" t="s">
        <v>2384</v>
      </c>
      <c r="J3428" t="s">
        <v>14</v>
      </c>
      <c r="K3428" t="str">
        <f>"1F1"</f>
        <v>1F1</v>
      </c>
      <c r="L3428" t="s">
        <v>15</v>
      </c>
    </row>
    <row r="3429" spans="1:12" x14ac:dyDescent="0.25">
      <c r="A3429" t="str">
        <f>"425120411"</f>
        <v>425120411</v>
      </c>
      <c r="B3429" t="str">
        <f t="shared" si="222"/>
        <v>89301000</v>
      </c>
      <c r="C3429" s="1">
        <v>44438</v>
      </c>
      <c r="D3429" s="1">
        <v>44440</v>
      </c>
      <c r="E3429">
        <v>1</v>
      </c>
      <c r="F3429" t="s">
        <v>1679</v>
      </c>
      <c r="G3429" t="str">
        <f>"11-M06-03"</f>
        <v>11-M06-03</v>
      </c>
      <c r="H3429">
        <v>0.61519999999999997</v>
      </c>
      <c r="I3429" t="s">
        <v>2385</v>
      </c>
      <c r="J3429" t="s">
        <v>17</v>
      </c>
      <c r="K3429" t="str">
        <f>"7F6"</f>
        <v>7F6</v>
      </c>
      <c r="L3429" t="s">
        <v>15</v>
      </c>
    </row>
    <row r="3430" spans="1:12" x14ac:dyDescent="0.25">
      <c r="A3430" t="str">
        <f>"425120411"</f>
        <v>425120411</v>
      </c>
      <c r="B3430" t="str">
        <f t="shared" si="222"/>
        <v>89301000</v>
      </c>
      <c r="C3430" s="1">
        <v>44305</v>
      </c>
      <c r="D3430" s="1">
        <v>44306</v>
      </c>
      <c r="E3430">
        <v>1</v>
      </c>
      <c r="F3430" t="s">
        <v>1593</v>
      </c>
      <c r="G3430" t="str">
        <f>"11-I17-03"</f>
        <v>11-I17-03</v>
      </c>
      <c r="H3430">
        <v>0.50609999999999999</v>
      </c>
      <c r="I3430" t="s">
        <v>2386</v>
      </c>
      <c r="J3430" t="s">
        <v>14</v>
      </c>
      <c r="K3430" t="str">
        <f>"7F6"</f>
        <v>7F6</v>
      </c>
      <c r="L3430" t="s">
        <v>15</v>
      </c>
    </row>
    <row r="3431" spans="1:12" x14ac:dyDescent="0.25">
      <c r="A3431" t="str">
        <f>"425128443"</f>
        <v>425128443</v>
      </c>
      <c r="B3431" t="str">
        <f t="shared" si="222"/>
        <v>89301000</v>
      </c>
      <c r="C3431" s="1">
        <v>44230</v>
      </c>
      <c r="D3431" s="1">
        <v>44233</v>
      </c>
      <c r="E3431">
        <v>1</v>
      </c>
      <c r="F3431" t="s">
        <v>473</v>
      </c>
      <c r="G3431" t="str">
        <f>"05-K13-02"</f>
        <v>05-K13-02</v>
      </c>
      <c r="H3431">
        <v>0.60950000000000004</v>
      </c>
      <c r="I3431" t="s">
        <v>2387</v>
      </c>
      <c r="J3431" t="s">
        <v>14</v>
      </c>
      <c r="K3431" t="str">
        <f>"1F1"</f>
        <v>1F1</v>
      </c>
      <c r="L3431" t="s">
        <v>15</v>
      </c>
    </row>
    <row r="3432" spans="1:12" x14ac:dyDescent="0.25">
      <c r="A3432" t="str">
        <f>"425214491"</f>
        <v>425214491</v>
      </c>
      <c r="B3432" t="str">
        <f t="shared" si="222"/>
        <v>89301000</v>
      </c>
      <c r="C3432" s="1">
        <v>44480</v>
      </c>
      <c r="D3432" s="1">
        <v>44483</v>
      </c>
      <c r="E3432">
        <v>1</v>
      </c>
      <c r="F3432" t="s">
        <v>1551</v>
      </c>
      <c r="G3432" t="str">
        <f>"09-I06-04"</f>
        <v>09-I06-04</v>
      </c>
      <c r="H3432">
        <v>0.98829999999999996</v>
      </c>
      <c r="J3432" t="s">
        <v>17</v>
      </c>
      <c r="K3432" t="str">
        <f>"5F1"</f>
        <v>5F1</v>
      </c>
      <c r="L3432" t="s">
        <v>15</v>
      </c>
    </row>
    <row r="3433" spans="1:12" x14ac:dyDescent="0.25">
      <c r="A3433" t="str">
        <f>"425217731"</f>
        <v>425217731</v>
      </c>
      <c r="B3433" t="str">
        <f t="shared" si="222"/>
        <v>89301000</v>
      </c>
      <c r="C3433" s="1">
        <v>44324</v>
      </c>
      <c r="D3433" s="1">
        <v>44326</v>
      </c>
      <c r="E3433">
        <v>1</v>
      </c>
      <c r="F3433" t="s">
        <v>1683</v>
      </c>
      <c r="G3433" t="str">
        <f>"05-M06-06"</f>
        <v>05-M06-06</v>
      </c>
      <c r="H3433">
        <v>1.7652000000000001</v>
      </c>
      <c r="J3433" t="s">
        <v>17</v>
      </c>
      <c r="K3433" t="str">
        <f>"1F1"</f>
        <v>1F1</v>
      </c>
      <c r="L3433" t="s">
        <v>15</v>
      </c>
    </row>
    <row r="3434" spans="1:12" x14ac:dyDescent="0.25">
      <c r="A3434" t="str">
        <f>"425228434"</f>
        <v>425228434</v>
      </c>
      <c r="B3434" t="str">
        <f t="shared" si="222"/>
        <v>89301000</v>
      </c>
      <c r="C3434" s="1">
        <v>44303</v>
      </c>
      <c r="D3434" s="1">
        <v>44307</v>
      </c>
      <c r="E3434">
        <v>1</v>
      </c>
      <c r="F3434" t="s">
        <v>67</v>
      </c>
      <c r="G3434" t="str">
        <f>"01-K10-03"</f>
        <v>01-K10-03</v>
      </c>
      <c r="H3434">
        <v>1.0016</v>
      </c>
      <c r="I3434" t="s">
        <v>2321</v>
      </c>
      <c r="J3434" t="s">
        <v>14</v>
      </c>
      <c r="K3434" t="str">
        <f>"2F9"</f>
        <v>2F9</v>
      </c>
      <c r="L3434" t="s">
        <v>15</v>
      </c>
    </row>
    <row r="3435" spans="1:12" x14ac:dyDescent="0.25">
      <c r="A3435" t="str">
        <f>"425305424"</f>
        <v>425305424</v>
      </c>
      <c r="B3435" t="str">
        <f t="shared" si="222"/>
        <v>89301000</v>
      </c>
      <c r="C3435" s="1">
        <v>44483</v>
      </c>
      <c r="D3435" s="1">
        <v>44508</v>
      </c>
      <c r="E3435">
        <v>4</v>
      </c>
      <c r="F3435" t="s">
        <v>96</v>
      </c>
      <c r="G3435" t="str">
        <f>"11-K01-02"</f>
        <v>11-K01-02</v>
      </c>
      <c r="H3435">
        <v>1.6256999999999999</v>
      </c>
      <c r="I3435" t="s">
        <v>2388</v>
      </c>
      <c r="J3435" t="s">
        <v>14</v>
      </c>
      <c r="K3435" t="str">
        <f>"1F1"</f>
        <v>1F1</v>
      </c>
      <c r="L3435" t="s">
        <v>15</v>
      </c>
    </row>
    <row r="3436" spans="1:12" x14ac:dyDescent="0.25">
      <c r="A3436" t="str">
        <f>"425305447"</f>
        <v>425305447</v>
      </c>
      <c r="B3436" t="str">
        <f t="shared" si="222"/>
        <v>89301000</v>
      </c>
      <c r="C3436" s="1">
        <v>44473</v>
      </c>
      <c r="D3436" s="1">
        <v>44475</v>
      </c>
      <c r="E3436">
        <v>1</v>
      </c>
      <c r="F3436" t="s">
        <v>2197</v>
      </c>
      <c r="G3436" t="str">
        <f>"04-K07-02"</f>
        <v>04-K07-02</v>
      </c>
      <c r="H3436">
        <v>1.1432</v>
      </c>
      <c r="I3436" t="s">
        <v>2389</v>
      </c>
      <c r="J3436" t="s">
        <v>14</v>
      </c>
      <c r="K3436" t="str">
        <f>"2F5"</f>
        <v>2F5</v>
      </c>
      <c r="L3436" t="s">
        <v>15</v>
      </c>
    </row>
    <row r="3437" spans="1:12" x14ac:dyDescent="0.25">
      <c r="A3437" t="str">
        <f>"425305447"</f>
        <v>425305447</v>
      </c>
      <c r="B3437" t="str">
        <f t="shared" si="222"/>
        <v>89301000</v>
      </c>
      <c r="C3437" s="1">
        <v>44357</v>
      </c>
      <c r="D3437" s="1">
        <v>44369</v>
      </c>
      <c r="E3437">
        <v>1</v>
      </c>
      <c r="F3437" t="s">
        <v>2197</v>
      </c>
      <c r="G3437" t="str">
        <f>"04-K07-02"</f>
        <v>04-K07-02</v>
      </c>
      <c r="H3437">
        <v>1.1432</v>
      </c>
      <c r="I3437" t="s">
        <v>2389</v>
      </c>
      <c r="J3437" t="s">
        <v>14</v>
      </c>
      <c r="K3437" t="str">
        <f>"2F5"</f>
        <v>2F5</v>
      </c>
      <c r="L3437" t="s">
        <v>15</v>
      </c>
    </row>
    <row r="3438" spans="1:12" x14ac:dyDescent="0.25">
      <c r="A3438" t="str">
        <f>"425314405"</f>
        <v>425314405</v>
      </c>
      <c r="B3438" t="str">
        <f t="shared" si="222"/>
        <v>89301000</v>
      </c>
      <c r="C3438" s="1">
        <v>44240</v>
      </c>
      <c r="D3438" s="1">
        <v>44245</v>
      </c>
      <c r="E3438">
        <v>1</v>
      </c>
      <c r="F3438" t="s">
        <v>67</v>
      </c>
      <c r="G3438" t="str">
        <f>"01-K10-03"</f>
        <v>01-K10-03</v>
      </c>
      <c r="H3438">
        <v>1.0016</v>
      </c>
      <c r="I3438" t="s">
        <v>1959</v>
      </c>
      <c r="J3438" t="s">
        <v>14</v>
      </c>
      <c r="K3438" t="str">
        <f>"2F9"</f>
        <v>2F9</v>
      </c>
      <c r="L3438" t="s">
        <v>15</v>
      </c>
    </row>
    <row r="3439" spans="1:12" x14ac:dyDescent="0.25">
      <c r="A3439" t="str">
        <f>"425320454"</f>
        <v>425320454</v>
      </c>
      <c r="B3439" t="str">
        <f t="shared" si="222"/>
        <v>89301000</v>
      </c>
      <c r="C3439" s="1">
        <v>44488</v>
      </c>
      <c r="D3439" s="1">
        <v>44490</v>
      </c>
      <c r="E3439">
        <v>1</v>
      </c>
      <c r="F3439" t="s">
        <v>2390</v>
      </c>
      <c r="G3439" t="str">
        <f>"17-I10-02"</f>
        <v>17-I10-02</v>
      </c>
      <c r="H3439">
        <v>0.99039999999999995</v>
      </c>
      <c r="I3439" t="s">
        <v>1551</v>
      </c>
      <c r="J3439" t="s">
        <v>14</v>
      </c>
      <c r="K3439" t="str">
        <f>"5F1"</f>
        <v>5F1</v>
      </c>
      <c r="L3439" t="s">
        <v>15</v>
      </c>
    </row>
    <row r="3440" spans="1:12" x14ac:dyDescent="0.25">
      <c r="A3440" t="str">
        <f>"425320719"</f>
        <v>425320719</v>
      </c>
      <c r="B3440" t="str">
        <f t="shared" si="222"/>
        <v>89301000</v>
      </c>
      <c r="C3440" s="1">
        <v>44210</v>
      </c>
      <c r="D3440" s="1">
        <v>44215</v>
      </c>
      <c r="E3440">
        <v>1</v>
      </c>
      <c r="F3440" t="s">
        <v>2350</v>
      </c>
      <c r="G3440" t="str">
        <f>"01-I09-02"</f>
        <v>01-I09-02</v>
      </c>
      <c r="H3440">
        <v>1.6266</v>
      </c>
      <c r="I3440" t="s">
        <v>2250</v>
      </c>
      <c r="J3440" t="s">
        <v>17</v>
      </c>
      <c r="K3440" t="str">
        <f>"5F5"</f>
        <v>5F5</v>
      </c>
      <c r="L3440" t="s">
        <v>15</v>
      </c>
    </row>
    <row r="3441" spans="1:12" x14ac:dyDescent="0.25">
      <c r="A3441" t="str">
        <f>"425330448"</f>
        <v>425330448</v>
      </c>
      <c r="B3441" t="str">
        <f t="shared" si="222"/>
        <v>89301000</v>
      </c>
      <c r="C3441" s="1">
        <v>44283</v>
      </c>
      <c r="D3441" s="1">
        <v>44287</v>
      </c>
      <c r="E3441">
        <v>1</v>
      </c>
      <c r="F3441" t="s">
        <v>2391</v>
      </c>
      <c r="G3441" t="str">
        <f>"05-K05-05"</f>
        <v>05-K05-05</v>
      </c>
      <c r="H3441">
        <v>0.37819999999999998</v>
      </c>
      <c r="I3441" t="s">
        <v>2392</v>
      </c>
      <c r="J3441" t="s">
        <v>14</v>
      </c>
      <c r="K3441" t="str">
        <f>"1F1"</f>
        <v>1F1</v>
      </c>
      <c r="L3441" t="s">
        <v>15</v>
      </c>
    </row>
    <row r="3442" spans="1:12" x14ac:dyDescent="0.25">
      <c r="A3442" t="str">
        <f>"425330448"</f>
        <v>425330448</v>
      </c>
      <c r="B3442" t="str">
        <f t="shared" si="222"/>
        <v>89301000</v>
      </c>
      <c r="C3442" s="1">
        <v>44463</v>
      </c>
      <c r="D3442" s="1">
        <v>44464</v>
      </c>
      <c r="E3442">
        <v>1</v>
      </c>
      <c r="F3442" t="s">
        <v>1785</v>
      </c>
      <c r="G3442" t="str">
        <f>"05-M05-03"</f>
        <v>05-M05-03</v>
      </c>
      <c r="H3442">
        <v>1.9048</v>
      </c>
      <c r="I3442" t="s">
        <v>2393</v>
      </c>
      <c r="J3442" t="s">
        <v>24</v>
      </c>
      <c r="K3442" t="str">
        <f>"1F7"</f>
        <v>1F7</v>
      </c>
      <c r="L3442" t="s">
        <v>15</v>
      </c>
    </row>
    <row r="3443" spans="1:12" x14ac:dyDescent="0.25">
      <c r="A3443" t="str">
        <f>"425330448"</f>
        <v>425330448</v>
      </c>
      <c r="B3443" t="str">
        <f t="shared" si="222"/>
        <v>89301000</v>
      </c>
      <c r="C3443" s="1">
        <v>44292</v>
      </c>
      <c r="D3443" s="1">
        <v>44298</v>
      </c>
      <c r="E3443">
        <v>1</v>
      </c>
      <c r="F3443" t="s">
        <v>1604</v>
      </c>
      <c r="G3443" t="str">
        <f>"05-I25-03"</f>
        <v>05-I25-03</v>
      </c>
      <c r="H3443">
        <v>1.5508</v>
      </c>
      <c r="I3443" t="s">
        <v>2394</v>
      </c>
      <c r="J3443" t="s">
        <v>17</v>
      </c>
      <c r="K3443" t="str">
        <f>"1F1"</f>
        <v>1F1</v>
      </c>
      <c r="L3443" t="s">
        <v>15</v>
      </c>
    </row>
    <row r="3444" spans="1:12" x14ac:dyDescent="0.25">
      <c r="A3444" t="str">
        <f>"425402409"</f>
        <v>425402409</v>
      </c>
      <c r="B3444" t="str">
        <f t="shared" si="222"/>
        <v>89301000</v>
      </c>
      <c r="C3444" s="1">
        <v>44201</v>
      </c>
      <c r="D3444" s="1">
        <v>44207</v>
      </c>
      <c r="E3444">
        <v>1</v>
      </c>
      <c r="F3444" t="s">
        <v>217</v>
      </c>
      <c r="G3444" t="str">
        <f>"04-K02-04"</f>
        <v>04-K02-04</v>
      </c>
      <c r="H3444">
        <v>0.82469999999999999</v>
      </c>
      <c r="I3444" t="s">
        <v>2395</v>
      </c>
      <c r="J3444" t="s">
        <v>14</v>
      </c>
      <c r="K3444" t="str">
        <f>"5F1"</f>
        <v>5F1</v>
      </c>
      <c r="L3444" t="s">
        <v>15</v>
      </c>
    </row>
    <row r="3445" spans="1:12" x14ac:dyDescent="0.25">
      <c r="A3445" t="str">
        <f>"425406706"</f>
        <v>425406706</v>
      </c>
      <c r="B3445" t="str">
        <f t="shared" si="222"/>
        <v>89301000</v>
      </c>
      <c r="C3445" s="1">
        <v>44281</v>
      </c>
      <c r="D3445" s="1">
        <v>44284</v>
      </c>
      <c r="E3445">
        <v>1</v>
      </c>
      <c r="F3445" t="s">
        <v>831</v>
      </c>
      <c r="G3445" t="str">
        <f>"02-I06-03"</f>
        <v>02-I06-03</v>
      </c>
      <c r="H3445">
        <v>0.63690000000000002</v>
      </c>
      <c r="I3445" t="s">
        <v>2396</v>
      </c>
      <c r="J3445" t="s">
        <v>17</v>
      </c>
      <c r="K3445" t="str">
        <f>"7F5"</f>
        <v>7F5</v>
      </c>
      <c r="L3445" t="s">
        <v>15</v>
      </c>
    </row>
    <row r="3446" spans="1:12" x14ac:dyDescent="0.25">
      <c r="A3446" t="str">
        <f>"425409419"</f>
        <v>425409419</v>
      </c>
      <c r="B3446" t="str">
        <f t="shared" si="222"/>
        <v>89301000</v>
      </c>
      <c r="C3446" s="1">
        <v>44371</v>
      </c>
      <c r="D3446" s="1">
        <v>44373</v>
      </c>
      <c r="E3446">
        <v>1</v>
      </c>
      <c r="F3446" t="s">
        <v>1545</v>
      </c>
      <c r="G3446" t="str">
        <f>"05-I14-03"</f>
        <v>05-I14-03</v>
      </c>
      <c r="H3446">
        <v>6.1292</v>
      </c>
      <c r="I3446" t="s">
        <v>2397</v>
      </c>
      <c r="J3446" t="s">
        <v>14</v>
      </c>
      <c r="K3446" t="str">
        <f>"1F1"</f>
        <v>1F1</v>
      </c>
      <c r="L3446" t="s">
        <v>15</v>
      </c>
    </row>
    <row r="3447" spans="1:12" x14ac:dyDescent="0.25">
      <c r="A3447" t="str">
        <f>"425415956"</f>
        <v>425415956</v>
      </c>
      <c r="B3447" t="str">
        <f t="shared" si="222"/>
        <v>89301000</v>
      </c>
      <c r="C3447" s="1">
        <v>44528</v>
      </c>
      <c r="D3447" s="1">
        <v>44540</v>
      </c>
      <c r="E3447">
        <v>1</v>
      </c>
      <c r="F3447" t="s">
        <v>217</v>
      </c>
      <c r="G3447" t="str">
        <f>"04-K02-02"</f>
        <v>04-K02-02</v>
      </c>
      <c r="H3447">
        <v>2.5186000000000002</v>
      </c>
      <c r="I3447" t="s">
        <v>2398</v>
      </c>
      <c r="J3447" t="s">
        <v>14</v>
      </c>
      <c r="K3447" t="str">
        <f>"1F6"</f>
        <v>1F6</v>
      </c>
      <c r="L3447" t="s">
        <v>15</v>
      </c>
    </row>
    <row r="3448" spans="1:12" x14ac:dyDescent="0.25">
      <c r="A3448" t="str">
        <f>"425419478"</f>
        <v>425419478</v>
      </c>
      <c r="B3448" t="str">
        <f t="shared" si="222"/>
        <v>89301000</v>
      </c>
      <c r="C3448" s="1">
        <v>44437</v>
      </c>
      <c r="D3448" s="1">
        <v>44462</v>
      </c>
      <c r="E3448">
        <v>4</v>
      </c>
      <c r="F3448" t="s">
        <v>1699</v>
      </c>
      <c r="G3448" t="str">
        <f>"01-K10-02"</f>
        <v>01-K10-02</v>
      </c>
      <c r="H3448">
        <v>2.0706000000000002</v>
      </c>
      <c r="I3448" t="s">
        <v>2399</v>
      </c>
      <c r="J3448" t="s">
        <v>14</v>
      </c>
      <c r="K3448" t="str">
        <f>"1F6"</f>
        <v>1F6</v>
      </c>
      <c r="L3448" t="s">
        <v>15</v>
      </c>
    </row>
    <row r="3449" spans="1:12" x14ac:dyDescent="0.25">
      <c r="A3449" t="str">
        <f>"425419478"</f>
        <v>425419478</v>
      </c>
      <c r="B3449" t="str">
        <f t="shared" si="222"/>
        <v>89301000</v>
      </c>
      <c r="C3449" s="1">
        <v>44363</v>
      </c>
      <c r="D3449" s="1">
        <v>44368</v>
      </c>
      <c r="E3449">
        <v>1</v>
      </c>
      <c r="F3449" t="s">
        <v>354</v>
      </c>
      <c r="G3449" t="str">
        <f>"10-K14-03"</f>
        <v>10-K14-03</v>
      </c>
      <c r="H3449">
        <v>0.50439999999999996</v>
      </c>
      <c r="I3449" t="s">
        <v>2400</v>
      </c>
      <c r="J3449" t="s">
        <v>14</v>
      </c>
      <c r="K3449" t="str">
        <f>"1F1"</f>
        <v>1F1</v>
      </c>
      <c r="L3449" t="s">
        <v>15</v>
      </c>
    </row>
    <row r="3450" spans="1:12" x14ac:dyDescent="0.25">
      <c r="A3450" t="str">
        <f>"425424460"</f>
        <v>425424460</v>
      </c>
      <c r="B3450" t="str">
        <f t="shared" si="222"/>
        <v>89301000</v>
      </c>
      <c r="C3450" s="1">
        <v>44548</v>
      </c>
      <c r="D3450" s="1">
        <v>44553</v>
      </c>
      <c r="E3450">
        <v>1</v>
      </c>
      <c r="F3450" t="s">
        <v>2264</v>
      </c>
      <c r="G3450" t="str">
        <f>"11-K08-01"</f>
        <v>11-K08-01</v>
      </c>
      <c r="H3450">
        <v>0.82140000000000002</v>
      </c>
      <c r="I3450" t="s">
        <v>2401</v>
      </c>
      <c r="J3450" t="s">
        <v>14</v>
      </c>
      <c r="K3450" t="str">
        <f>"7F6"</f>
        <v>7F6</v>
      </c>
      <c r="L3450" t="s">
        <v>15</v>
      </c>
    </row>
    <row r="3451" spans="1:12" x14ac:dyDescent="0.25">
      <c r="A3451" t="str">
        <f>"425424460"</f>
        <v>425424460</v>
      </c>
      <c r="B3451" t="str">
        <f t="shared" si="222"/>
        <v>89301000</v>
      </c>
      <c r="C3451" s="1">
        <v>44474</v>
      </c>
      <c r="D3451" s="1">
        <v>44477</v>
      </c>
      <c r="E3451">
        <v>1</v>
      </c>
      <c r="F3451" t="s">
        <v>1679</v>
      </c>
      <c r="G3451" t="str">
        <f>"11-M06-03"</f>
        <v>11-M06-03</v>
      </c>
      <c r="H3451">
        <v>0.70269999999999999</v>
      </c>
      <c r="I3451" t="s">
        <v>2402</v>
      </c>
      <c r="J3451" t="s">
        <v>17</v>
      </c>
      <c r="K3451" t="str">
        <f>"7F6"</f>
        <v>7F6</v>
      </c>
      <c r="L3451" t="s">
        <v>15</v>
      </c>
    </row>
    <row r="3452" spans="1:12" x14ac:dyDescent="0.25">
      <c r="A3452" t="str">
        <f>"425426404"</f>
        <v>425426404</v>
      </c>
      <c r="B3452" t="str">
        <f t="shared" si="222"/>
        <v>89301000</v>
      </c>
      <c r="C3452" s="1">
        <v>44305</v>
      </c>
      <c r="D3452" s="1">
        <v>44308</v>
      </c>
      <c r="E3452">
        <v>1</v>
      </c>
      <c r="F3452" t="s">
        <v>1551</v>
      </c>
      <c r="G3452" t="str">
        <f>"09-I06-04"</f>
        <v>09-I06-04</v>
      </c>
      <c r="H3452">
        <v>0.98829999999999996</v>
      </c>
      <c r="J3452" t="s">
        <v>17</v>
      </c>
      <c r="K3452" t="str">
        <f>"5F1"</f>
        <v>5F1</v>
      </c>
      <c r="L3452" t="s">
        <v>15</v>
      </c>
    </row>
    <row r="3453" spans="1:12" x14ac:dyDescent="0.25">
      <c r="A3453" t="str">
        <f>"425426454"</f>
        <v>425426454</v>
      </c>
      <c r="B3453" t="str">
        <f t="shared" si="222"/>
        <v>89301000</v>
      </c>
      <c r="C3453" s="1">
        <v>44341</v>
      </c>
      <c r="D3453" s="1">
        <v>44351</v>
      </c>
      <c r="E3453">
        <v>1</v>
      </c>
      <c r="F3453" t="s">
        <v>2403</v>
      </c>
      <c r="G3453" t="str">
        <f>"05-I06-04"</f>
        <v>05-I06-04</v>
      </c>
      <c r="H3453">
        <v>8.3698999999999995</v>
      </c>
      <c r="I3453" t="s">
        <v>2404</v>
      </c>
      <c r="J3453" t="s">
        <v>17</v>
      </c>
      <c r="K3453" t="str">
        <f>"5F5"</f>
        <v>5F5</v>
      </c>
      <c r="L3453" t="s">
        <v>15</v>
      </c>
    </row>
    <row r="3454" spans="1:12" x14ac:dyDescent="0.25">
      <c r="A3454" t="str">
        <f>"425426454"</f>
        <v>425426454</v>
      </c>
      <c r="B3454" t="str">
        <f t="shared" si="222"/>
        <v>89301000</v>
      </c>
      <c r="C3454" s="1">
        <v>44256</v>
      </c>
      <c r="D3454" s="1">
        <v>44256</v>
      </c>
      <c r="E3454">
        <v>1</v>
      </c>
      <c r="F3454" t="s">
        <v>1780</v>
      </c>
      <c r="G3454" t="str">
        <f>"05-D01-05"</f>
        <v>05-D01-05</v>
      </c>
      <c r="H3454">
        <v>0.62350000000000005</v>
      </c>
      <c r="I3454" t="s">
        <v>2405</v>
      </c>
      <c r="J3454" t="s">
        <v>14</v>
      </c>
      <c r="K3454" t="str">
        <f>"1F1"</f>
        <v>1F1</v>
      </c>
      <c r="L3454" t="s">
        <v>15</v>
      </c>
    </row>
    <row r="3455" spans="1:12" x14ac:dyDescent="0.25">
      <c r="A3455" t="str">
        <f>"425427407"</f>
        <v>425427407</v>
      </c>
      <c r="B3455" t="str">
        <f t="shared" si="222"/>
        <v>89301000</v>
      </c>
      <c r="C3455" s="1">
        <v>44193</v>
      </c>
      <c r="D3455" s="1">
        <v>44203</v>
      </c>
      <c r="E3455">
        <v>1</v>
      </c>
      <c r="F3455" t="s">
        <v>1978</v>
      </c>
      <c r="G3455" t="str">
        <f>"02-K05-01"</f>
        <v>02-K05-01</v>
      </c>
      <c r="H3455">
        <v>0.75970000000000004</v>
      </c>
      <c r="I3455" t="s">
        <v>2366</v>
      </c>
      <c r="J3455" t="s">
        <v>14</v>
      </c>
      <c r="K3455" t="str">
        <f>"7F5"</f>
        <v>7F5</v>
      </c>
      <c r="L3455" t="s">
        <v>15</v>
      </c>
    </row>
    <row r="3456" spans="1:12" x14ac:dyDescent="0.25">
      <c r="A3456" t="str">
        <f>"425601406"</f>
        <v>425601406</v>
      </c>
      <c r="B3456" t="str">
        <f t="shared" si="222"/>
        <v>89301000</v>
      </c>
      <c r="C3456" s="1">
        <v>44216</v>
      </c>
      <c r="D3456" s="1">
        <v>44222</v>
      </c>
      <c r="E3456">
        <v>1</v>
      </c>
      <c r="F3456" t="s">
        <v>217</v>
      </c>
      <c r="G3456" t="str">
        <f>"04-K02-04"</f>
        <v>04-K02-04</v>
      </c>
      <c r="H3456">
        <v>0.82469999999999999</v>
      </c>
      <c r="I3456" t="s">
        <v>274</v>
      </c>
      <c r="J3456" t="s">
        <v>14</v>
      </c>
      <c r="K3456" t="str">
        <f>"1F1"</f>
        <v>1F1</v>
      </c>
      <c r="L3456" t="s">
        <v>15</v>
      </c>
    </row>
    <row r="3457" spans="1:12" x14ac:dyDescent="0.25">
      <c r="A3457" t="str">
        <f>"425613951"</f>
        <v>425613951</v>
      </c>
      <c r="B3457" t="str">
        <f t="shared" si="222"/>
        <v>89301000</v>
      </c>
      <c r="C3457" s="1">
        <v>44228</v>
      </c>
      <c r="D3457" s="1">
        <v>44234</v>
      </c>
      <c r="E3457">
        <v>1</v>
      </c>
      <c r="F3457" t="s">
        <v>1679</v>
      </c>
      <c r="G3457" t="str">
        <f>"11-M06-03"</f>
        <v>11-M06-03</v>
      </c>
      <c r="H3457">
        <v>0.69379999999999997</v>
      </c>
      <c r="I3457" t="s">
        <v>2406</v>
      </c>
      <c r="J3457" t="s">
        <v>17</v>
      </c>
      <c r="K3457" t="str">
        <f>"7F6"</f>
        <v>7F6</v>
      </c>
      <c r="L3457" t="s">
        <v>15</v>
      </c>
    </row>
    <row r="3458" spans="1:12" x14ac:dyDescent="0.25">
      <c r="A3458" t="str">
        <f>"425625476"</f>
        <v>425625476</v>
      </c>
      <c r="B3458" t="str">
        <f t="shared" si="222"/>
        <v>89301000</v>
      </c>
      <c r="C3458" s="1">
        <v>44332</v>
      </c>
      <c r="D3458" s="1">
        <v>44340</v>
      </c>
      <c r="E3458">
        <v>4</v>
      </c>
      <c r="F3458" t="s">
        <v>2407</v>
      </c>
      <c r="G3458" t="str">
        <f>"08-I06-04"</f>
        <v>08-I06-04</v>
      </c>
      <c r="H3458">
        <v>2.4260000000000002</v>
      </c>
      <c r="I3458" t="s">
        <v>2408</v>
      </c>
      <c r="J3458" t="s">
        <v>24</v>
      </c>
      <c r="K3458" t="str">
        <f>"6F6"</f>
        <v>6F6</v>
      </c>
      <c r="L3458" t="s">
        <v>15</v>
      </c>
    </row>
    <row r="3459" spans="1:12" x14ac:dyDescent="0.25">
      <c r="A3459" t="str">
        <f>"425707740"</f>
        <v>425707740</v>
      </c>
      <c r="B3459" t="str">
        <f t="shared" si="222"/>
        <v>89301000</v>
      </c>
      <c r="C3459" s="1">
        <v>44190</v>
      </c>
      <c r="D3459" s="1">
        <v>44202</v>
      </c>
      <c r="E3459">
        <v>1</v>
      </c>
      <c r="F3459" t="s">
        <v>979</v>
      </c>
      <c r="G3459" t="str">
        <f>"04-K02-04"</f>
        <v>04-K02-04</v>
      </c>
      <c r="H3459">
        <v>0.82469999999999999</v>
      </c>
      <c r="I3459" t="s">
        <v>2409</v>
      </c>
      <c r="J3459" t="s">
        <v>14</v>
      </c>
      <c r="K3459" t="str">
        <f>"1F5"</f>
        <v>1F5</v>
      </c>
      <c r="L3459" t="s">
        <v>15</v>
      </c>
    </row>
    <row r="3460" spans="1:12" x14ac:dyDescent="0.25">
      <c r="A3460" t="str">
        <f>"425707740"</f>
        <v>425707740</v>
      </c>
      <c r="B3460" t="str">
        <f t="shared" si="222"/>
        <v>89301000</v>
      </c>
      <c r="C3460" s="1">
        <v>44215</v>
      </c>
      <c r="D3460" s="1">
        <v>44221</v>
      </c>
      <c r="E3460">
        <v>1</v>
      </c>
      <c r="F3460" t="s">
        <v>448</v>
      </c>
      <c r="G3460" t="str">
        <f>"11-K01-03"</f>
        <v>11-K01-03</v>
      </c>
      <c r="H3460">
        <v>0.59489999999999998</v>
      </c>
      <c r="I3460" t="s">
        <v>2410</v>
      </c>
      <c r="J3460" t="s">
        <v>14</v>
      </c>
      <c r="K3460" t="str">
        <f>"1F1"</f>
        <v>1F1</v>
      </c>
      <c r="L3460" t="s">
        <v>15</v>
      </c>
    </row>
    <row r="3461" spans="1:12" x14ac:dyDescent="0.25">
      <c r="A3461" t="str">
        <f>"425712439"</f>
        <v>425712439</v>
      </c>
      <c r="B3461" t="str">
        <f t="shared" si="222"/>
        <v>89301000</v>
      </c>
      <c r="C3461" s="1">
        <v>44368</v>
      </c>
      <c r="D3461" s="1">
        <v>44369</v>
      </c>
      <c r="E3461">
        <v>1</v>
      </c>
      <c r="F3461" t="s">
        <v>2303</v>
      </c>
      <c r="G3461" t="str">
        <f>"13-I19-00"</f>
        <v>13-I19-00</v>
      </c>
      <c r="H3461">
        <v>0.24679999999999999</v>
      </c>
      <c r="J3461" t="s">
        <v>14</v>
      </c>
      <c r="K3461" t="str">
        <f>"6F3"</f>
        <v>6F3</v>
      </c>
      <c r="L3461" t="s">
        <v>15</v>
      </c>
    </row>
    <row r="3462" spans="1:12" x14ac:dyDescent="0.25">
      <c r="A3462" t="str">
        <f>"425717443"</f>
        <v>425717443</v>
      </c>
      <c r="B3462" t="str">
        <f t="shared" si="222"/>
        <v>89301000</v>
      </c>
      <c r="C3462" s="1">
        <v>44312</v>
      </c>
      <c r="D3462" s="1">
        <v>44316</v>
      </c>
      <c r="E3462">
        <v>1</v>
      </c>
      <c r="F3462" t="s">
        <v>1466</v>
      </c>
      <c r="G3462" t="str">
        <f>"09-K04-02"</f>
        <v>09-K04-02</v>
      </c>
      <c r="H3462">
        <v>0.68279999999999996</v>
      </c>
      <c r="I3462" t="s">
        <v>2411</v>
      </c>
      <c r="J3462" t="s">
        <v>14</v>
      </c>
      <c r="K3462" t="str">
        <f>"4F4"</f>
        <v>4F4</v>
      </c>
      <c r="L3462" t="s">
        <v>15</v>
      </c>
    </row>
    <row r="3463" spans="1:12" x14ac:dyDescent="0.25">
      <c r="A3463" t="str">
        <f>"425807422"</f>
        <v>425807422</v>
      </c>
      <c r="B3463" t="str">
        <f t="shared" si="222"/>
        <v>89301000</v>
      </c>
      <c r="C3463" s="1">
        <v>44488</v>
      </c>
      <c r="D3463" s="1">
        <v>44498</v>
      </c>
      <c r="E3463">
        <v>1</v>
      </c>
      <c r="F3463" t="s">
        <v>1240</v>
      </c>
      <c r="G3463" t="str">
        <f>"11-K01-03"</f>
        <v>11-K01-03</v>
      </c>
      <c r="H3463">
        <v>0.59489999999999998</v>
      </c>
      <c r="I3463" t="s">
        <v>2412</v>
      </c>
      <c r="J3463" t="s">
        <v>14</v>
      </c>
      <c r="K3463" t="str">
        <f>"1F5"</f>
        <v>1F5</v>
      </c>
      <c r="L3463" t="s">
        <v>15</v>
      </c>
    </row>
    <row r="3464" spans="1:12" x14ac:dyDescent="0.25">
      <c r="A3464" t="str">
        <f>"425808431"</f>
        <v>425808431</v>
      </c>
      <c r="B3464" t="str">
        <f t="shared" si="222"/>
        <v>89301000</v>
      </c>
      <c r="C3464" s="1">
        <v>44358</v>
      </c>
      <c r="D3464" s="1">
        <v>44365</v>
      </c>
      <c r="E3464">
        <v>1</v>
      </c>
      <c r="F3464" t="s">
        <v>373</v>
      </c>
      <c r="G3464" t="str">
        <f>"04-K03-03"</f>
        <v>04-K03-03</v>
      </c>
      <c r="H3464">
        <v>0.53180000000000005</v>
      </c>
      <c r="I3464" t="s">
        <v>2413</v>
      </c>
      <c r="J3464" t="s">
        <v>14</v>
      </c>
      <c r="K3464" t="str">
        <f>"1F5"</f>
        <v>1F5</v>
      </c>
      <c r="L3464" t="s">
        <v>15</v>
      </c>
    </row>
    <row r="3465" spans="1:12" x14ac:dyDescent="0.25">
      <c r="A3465" t="str">
        <f>"425901488"</f>
        <v>425901488</v>
      </c>
      <c r="B3465" t="str">
        <f t="shared" si="222"/>
        <v>89301000</v>
      </c>
      <c r="C3465" s="1">
        <v>44390</v>
      </c>
      <c r="D3465" s="1">
        <v>44404</v>
      </c>
      <c r="E3465">
        <v>1</v>
      </c>
      <c r="F3465" t="s">
        <v>67</v>
      </c>
      <c r="G3465" t="str">
        <f>"01-K10-03"</f>
        <v>01-K10-03</v>
      </c>
      <c r="H3465">
        <v>1.0864</v>
      </c>
      <c r="I3465" t="s">
        <v>2414</v>
      </c>
      <c r="J3465" t="s">
        <v>14</v>
      </c>
      <c r="K3465" t="str">
        <f>"2F9"</f>
        <v>2F9</v>
      </c>
      <c r="L3465" t="s">
        <v>15</v>
      </c>
    </row>
    <row r="3466" spans="1:12" x14ac:dyDescent="0.25">
      <c r="A3466" t="str">
        <f>"425906425"</f>
        <v>425906425</v>
      </c>
      <c r="B3466" t="str">
        <f t="shared" si="222"/>
        <v>89301000</v>
      </c>
      <c r="C3466" s="1">
        <v>44377</v>
      </c>
      <c r="D3466" s="1">
        <v>44385</v>
      </c>
      <c r="E3466">
        <v>4</v>
      </c>
      <c r="F3466" t="s">
        <v>1822</v>
      </c>
      <c r="G3466" t="str">
        <f>"08-K01-02"</f>
        <v>08-K01-02</v>
      </c>
      <c r="H3466">
        <v>1.1327</v>
      </c>
      <c r="I3466" t="s">
        <v>2415</v>
      </c>
      <c r="J3466" t="s">
        <v>14</v>
      </c>
      <c r="K3466" t="str">
        <f>"1F9"</f>
        <v>1F9</v>
      </c>
      <c r="L3466" t="s">
        <v>15</v>
      </c>
    </row>
    <row r="3467" spans="1:12" x14ac:dyDescent="0.25">
      <c r="A3467" t="str">
        <f>"425912406"</f>
        <v>425912406</v>
      </c>
      <c r="B3467" t="str">
        <f t="shared" si="222"/>
        <v>89301000</v>
      </c>
      <c r="C3467" s="1">
        <v>44476</v>
      </c>
      <c r="D3467" s="1">
        <v>44477</v>
      </c>
      <c r="E3467">
        <v>1</v>
      </c>
      <c r="F3467" t="s">
        <v>1557</v>
      </c>
      <c r="G3467" t="str">
        <f>"05-D01-08"</f>
        <v>05-D01-08</v>
      </c>
      <c r="H3467">
        <v>0.4093</v>
      </c>
      <c r="I3467" t="s">
        <v>2250</v>
      </c>
      <c r="J3467" t="s">
        <v>14</v>
      </c>
      <c r="K3467" t="str">
        <f>"1F1"</f>
        <v>1F1</v>
      </c>
      <c r="L3467" t="s">
        <v>15</v>
      </c>
    </row>
    <row r="3468" spans="1:12" x14ac:dyDescent="0.25">
      <c r="A3468" t="str">
        <f>"425915464"</f>
        <v>425915464</v>
      </c>
      <c r="B3468" t="str">
        <f t="shared" si="222"/>
        <v>89301000</v>
      </c>
      <c r="C3468" s="1">
        <v>44520</v>
      </c>
      <c r="D3468" s="1">
        <v>44533</v>
      </c>
      <c r="E3468">
        <v>1</v>
      </c>
      <c r="F3468" t="s">
        <v>699</v>
      </c>
      <c r="G3468" t="str">
        <f>"16-K02-01"</f>
        <v>16-K02-01</v>
      </c>
      <c r="H3468">
        <v>1.2647999999999999</v>
      </c>
      <c r="I3468" t="s">
        <v>2416</v>
      </c>
      <c r="J3468" t="s">
        <v>14</v>
      </c>
      <c r="K3468" t="str">
        <f>"1F5"</f>
        <v>1F5</v>
      </c>
      <c r="L3468" t="s">
        <v>15</v>
      </c>
    </row>
    <row r="3469" spans="1:12" x14ac:dyDescent="0.25">
      <c r="A3469" t="str">
        <f>"425922422"</f>
        <v>425922422</v>
      </c>
      <c r="B3469" t="str">
        <f t="shared" si="222"/>
        <v>89301000</v>
      </c>
      <c r="C3469" s="1">
        <v>44472</v>
      </c>
      <c r="D3469" s="1">
        <v>44477</v>
      </c>
      <c r="E3469">
        <v>2</v>
      </c>
      <c r="F3469" t="s">
        <v>1602</v>
      </c>
      <c r="G3469" t="str">
        <f>"05-K07-04"</f>
        <v>05-K07-04</v>
      </c>
      <c r="H3469">
        <v>1.131</v>
      </c>
      <c r="I3469" t="s">
        <v>2417</v>
      </c>
      <c r="J3469" t="s">
        <v>14</v>
      </c>
      <c r="K3469" t="str">
        <f>"1F5"</f>
        <v>1F5</v>
      </c>
      <c r="L3469" t="s">
        <v>15</v>
      </c>
    </row>
    <row r="3470" spans="1:12" x14ac:dyDescent="0.25">
      <c r="A3470" t="str">
        <f>"425927443"</f>
        <v>425927443</v>
      </c>
      <c r="B3470" t="str">
        <f t="shared" si="222"/>
        <v>89301000</v>
      </c>
      <c r="C3470" s="1">
        <v>44193</v>
      </c>
      <c r="D3470" s="1">
        <v>44203</v>
      </c>
      <c r="E3470">
        <v>1</v>
      </c>
      <c r="F3470" t="s">
        <v>1420</v>
      </c>
      <c r="G3470" t="str">
        <f>"03-K02-02"</f>
        <v>03-K02-02</v>
      </c>
      <c r="H3470">
        <v>0.56889999999999996</v>
      </c>
      <c r="I3470" t="s">
        <v>2418</v>
      </c>
      <c r="J3470" t="s">
        <v>14</v>
      </c>
      <c r="K3470" t="str">
        <f>"5F1"</f>
        <v>5F1</v>
      </c>
      <c r="L3470" t="s">
        <v>15</v>
      </c>
    </row>
    <row r="3471" spans="1:12" x14ac:dyDescent="0.25">
      <c r="A3471" t="str">
        <f>"426004416"</f>
        <v>426004416</v>
      </c>
      <c r="B3471" t="str">
        <f t="shared" si="222"/>
        <v>89301000</v>
      </c>
      <c r="C3471" s="1">
        <v>44265</v>
      </c>
      <c r="D3471" s="1">
        <v>44265</v>
      </c>
      <c r="E3471">
        <v>1</v>
      </c>
      <c r="F3471" t="s">
        <v>1545</v>
      </c>
      <c r="G3471" t="str">
        <f>"05-I14-04"</f>
        <v>05-I14-04</v>
      </c>
      <c r="H3471">
        <v>5.1692</v>
      </c>
      <c r="I3471" t="s">
        <v>2419</v>
      </c>
      <c r="J3471" t="s">
        <v>14</v>
      </c>
      <c r="K3471" t="str">
        <f>"1F1"</f>
        <v>1F1</v>
      </c>
      <c r="L3471" t="s">
        <v>15</v>
      </c>
    </row>
    <row r="3472" spans="1:12" x14ac:dyDescent="0.25">
      <c r="A3472" t="str">
        <f>"426004416"</f>
        <v>426004416</v>
      </c>
      <c r="B3472" t="str">
        <f t="shared" si="222"/>
        <v>89301000</v>
      </c>
      <c r="C3472" s="1">
        <v>44251</v>
      </c>
      <c r="D3472" s="1">
        <v>44251</v>
      </c>
      <c r="E3472">
        <v>1</v>
      </c>
      <c r="F3472" t="s">
        <v>1545</v>
      </c>
      <c r="G3472" t="str">
        <f>"05-D01-06"</f>
        <v>05-D01-06</v>
      </c>
      <c r="H3472">
        <v>0.40649999999999997</v>
      </c>
      <c r="I3472" t="s">
        <v>2420</v>
      </c>
      <c r="J3472" t="s">
        <v>14</v>
      </c>
      <c r="K3472" t="str">
        <f>"1F7"</f>
        <v>1F7</v>
      </c>
      <c r="L3472" t="s">
        <v>15</v>
      </c>
    </row>
    <row r="3473" spans="1:12" x14ac:dyDescent="0.25">
      <c r="A3473" t="str">
        <f>"426009434"</f>
        <v>426009434</v>
      </c>
      <c r="B3473" t="str">
        <f t="shared" si="222"/>
        <v>89301000</v>
      </c>
      <c r="C3473" s="1">
        <v>44339</v>
      </c>
      <c r="D3473" s="1">
        <v>44344</v>
      </c>
      <c r="E3473">
        <v>1</v>
      </c>
      <c r="F3473" t="s">
        <v>97</v>
      </c>
      <c r="G3473" t="str">
        <f>"01-K03-07"</f>
        <v>01-K03-07</v>
      </c>
      <c r="H3473">
        <v>0.60250000000000004</v>
      </c>
      <c r="I3473" t="s">
        <v>2421</v>
      </c>
      <c r="J3473" t="s">
        <v>14</v>
      </c>
      <c r="K3473" t="str">
        <f>"2F9"</f>
        <v>2F9</v>
      </c>
      <c r="L3473" t="s">
        <v>15</v>
      </c>
    </row>
    <row r="3474" spans="1:12" x14ac:dyDescent="0.25">
      <c r="A3474" t="str">
        <f>"426011403"</f>
        <v>426011403</v>
      </c>
      <c r="B3474" t="str">
        <f t="shared" si="222"/>
        <v>89301000</v>
      </c>
      <c r="C3474" s="1">
        <v>44386</v>
      </c>
      <c r="D3474" s="1">
        <v>44387</v>
      </c>
      <c r="E3474">
        <v>1</v>
      </c>
      <c r="F3474" t="s">
        <v>1599</v>
      </c>
      <c r="G3474" t="str">
        <f>"05-D01-06"</f>
        <v>05-D01-06</v>
      </c>
      <c r="H3474">
        <v>0.7611</v>
      </c>
      <c r="I3474" t="s">
        <v>2423</v>
      </c>
      <c r="J3474" t="s">
        <v>14</v>
      </c>
      <c r="K3474" t="str">
        <f>"1F1"</f>
        <v>1F1</v>
      </c>
      <c r="L3474" t="s">
        <v>15</v>
      </c>
    </row>
    <row r="3475" spans="1:12" x14ac:dyDescent="0.25">
      <c r="A3475" t="str">
        <f>"426023468"</f>
        <v>426023468</v>
      </c>
      <c r="B3475" t="str">
        <f t="shared" si="222"/>
        <v>89301000</v>
      </c>
      <c r="C3475" s="1">
        <v>44236</v>
      </c>
      <c r="D3475" s="1">
        <v>44239</v>
      </c>
      <c r="E3475">
        <v>5</v>
      </c>
      <c r="F3475" t="s">
        <v>208</v>
      </c>
      <c r="G3475" t="str">
        <f>"08-I03-03"</f>
        <v>08-I03-03</v>
      </c>
      <c r="H3475">
        <v>4.7013999999999996</v>
      </c>
      <c r="I3475" t="s">
        <v>2424</v>
      </c>
      <c r="J3475" t="s">
        <v>17</v>
      </c>
      <c r="K3475" t="str">
        <f>"5F6"</f>
        <v>5F6</v>
      </c>
      <c r="L3475" t="s">
        <v>15</v>
      </c>
    </row>
    <row r="3476" spans="1:12" x14ac:dyDescent="0.25">
      <c r="A3476" t="str">
        <f>"426025009"</f>
        <v>426025009</v>
      </c>
      <c r="B3476" t="str">
        <f t="shared" si="222"/>
        <v>89301000</v>
      </c>
      <c r="C3476" s="1">
        <v>44282</v>
      </c>
      <c r="D3476" s="1">
        <v>44286</v>
      </c>
      <c r="E3476">
        <v>7</v>
      </c>
      <c r="F3476" t="s">
        <v>962</v>
      </c>
      <c r="G3476" t="str">
        <f>"04-M01-05"</f>
        <v>04-M01-05</v>
      </c>
      <c r="H3476">
        <v>6.2100999999999997</v>
      </c>
      <c r="I3476" t="s">
        <v>2425</v>
      </c>
      <c r="J3476" t="s">
        <v>14</v>
      </c>
      <c r="K3476" t="str">
        <f>"5T1"</f>
        <v>5T1</v>
      </c>
      <c r="L3476" t="s">
        <v>15</v>
      </c>
    </row>
    <row r="3477" spans="1:12" x14ac:dyDescent="0.25">
      <c r="A3477" t="str">
        <f>"426025070"</f>
        <v>426025070</v>
      </c>
      <c r="B3477" t="str">
        <f t="shared" si="222"/>
        <v>89301000</v>
      </c>
      <c r="C3477" s="1">
        <v>44217</v>
      </c>
      <c r="D3477" s="1">
        <v>44231</v>
      </c>
      <c r="E3477">
        <v>2</v>
      </c>
      <c r="F3477" t="s">
        <v>349</v>
      </c>
      <c r="G3477" t="str">
        <f>"06-K21-01"</f>
        <v>06-K21-01</v>
      </c>
      <c r="H3477">
        <v>1.4296</v>
      </c>
      <c r="I3477" t="s">
        <v>2426</v>
      </c>
      <c r="J3477" t="s">
        <v>14</v>
      </c>
      <c r="K3477" t="str">
        <f>"1F1"</f>
        <v>1F1</v>
      </c>
      <c r="L3477" t="s">
        <v>15</v>
      </c>
    </row>
    <row r="3478" spans="1:12" x14ac:dyDescent="0.25">
      <c r="A3478" t="str">
        <f>"426101461"</f>
        <v>426101461</v>
      </c>
      <c r="B3478" t="str">
        <f t="shared" si="222"/>
        <v>89301000</v>
      </c>
      <c r="C3478" s="1">
        <v>44320</v>
      </c>
      <c r="D3478" s="1">
        <v>44326</v>
      </c>
      <c r="E3478">
        <v>1</v>
      </c>
      <c r="F3478" t="s">
        <v>1553</v>
      </c>
      <c r="G3478" t="str">
        <f>"04-K05-03"</f>
        <v>04-K05-03</v>
      </c>
      <c r="H3478">
        <v>0.74980000000000002</v>
      </c>
      <c r="I3478" t="s">
        <v>2427</v>
      </c>
      <c r="J3478" t="s">
        <v>14</v>
      </c>
      <c r="K3478" t="str">
        <f>"1F1"</f>
        <v>1F1</v>
      </c>
      <c r="L3478" t="s">
        <v>15</v>
      </c>
    </row>
    <row r="3479" spans="1:12" x14ac:dyDescent="0.25">
      <c r="A3479" t="str">
        <f>"426111401"</f>
        <v>426111401</v>
      </c>
      <c r="B3479" t="str">
        <f t="shared" si="222"/>
        <v>89301000</v>
      </c>
      <c r="C3479" s="1">
        <v>44345</v>
      </c>
      <c r="D3479" s="1">
        <v>44346</v>
      </c>
      <c r="E3479">
        <v>1</v>
      </c>
      <c r="F3479" t="s">
        <v>2032</v>
      </c>
      <c r="G3479" t="str">
        <f>"05-M06-08"</f>
        <v>05-M06-08</v>
      </c>
      <c r="H3479">
        <v>1.4719</v>
      </c>
      <c r="I3479" t="s">
        <v>2428</v>
      </c>
      <c r="J3479" t="s">
        <v>17</v>
      </c>
      <c r="K3479" t="str">
        <f>"1F1"</f>
        <v>1F1</v>
      </c>
      <c r="L3479" t="s">
        <v>15</v>
      </c>
    </row>
    <row r="3480" spans="1:12" x14ac:dyDescent="0.25">
      <c r="A3480" t="str">
        <f>"426115432"</f>
        <v>426115432</v>
      </c>
      <c r="B3480" t="str">
        <f t="shared" si="222"/>
        <v>89301000</v>
      </c>
      <c r="C3480" s="1">
        <v>44258</v>
      </c>
      <c r="D3480" s="1">
        <v>44260</v>
      </c>
      <c r="E3480">
        <v>5</v>
      </c>
      <c r="F3480" t="s">
        <v>217</v>
      </c>
      <c r="G3480" t="str">
        <f>"04-K02-04"</f>
        <v>04-K02-04</v>
      </c>
      <c r="H3480">
        <v>0.82469999999999999</v>
      </c>
      <c r="I3480" t="s">
        <v>2429</v>
      </c>
      <c r="J3480" t="s">
        <v>14</v>
      </c>
      <c r="K3480" t="str">
        <f>"1F6"</f>
        <v>1F6</v>
      </c>
      <c r="L3480" t="s">
        <v>15</v>
      </c>
    </row>
    <row r="3481" spans="1:12" x14ac:dyDescent="0.25">
      <c r="A3481" t="str">
        <f>"426123460"</f>
        <v>426123460</v>
      </c>
      <c r="B3481" t="str">
        <f t="shared" ref="B3481:B3543" si="223">"89301000"</f>
        <v>89301000</v>
      </c>
      <c r="C3481" s="1">
        <v>44243</v>
      </c>
      <c r="D3481" s="1">
        <v>44249</v>
      </c>
      <c r="E3481">
        <v>4</v>
      </c>
      <c r="F3481" t="s">
        <v>1968</v>
      </c>
      <c r="G3481" t="str">
        <f>"08-I05-06"</f>
        <v>08-I05-06</v>
      </c>
      <c r="H3481">
        <v>2.0369000000000002</v>
      </c>
      <c r="I3481" t="s">
        <v>2430</v>
      </c>
      <c r="J3481" t="s">
        <v>17</v>
      </c>
      <c r="K3481" t="str">
        <f>"6F6"</f>
        <v>6F6</v>
      </c>
      <c r="L3481" t="s">
        <v>15</v>
      </c>
    </row>
    <row r="3482" spans="1:12" x14ac:dyDescent="0.25">
      <c r="A3482" t="str">
        <f>"426127023"</f>
        <v>426127023</v>
      </c>
      <c r="B3482" t="str">
        <f t="shared" si="223"/>
        <v>89301000</v>
      </c>
      <c r="C3482" s="1">
        <v>44488</v>
      </c>
      <c r="D3482" s="1">
        <v>44492</v>
      </c>
      <c r="E3482">
        <v>1</v>
      </c>
      <c r="F3482" t="s">
        <v>2431</v>
      </c>
      <c r="G3482" t="str">
        <f>"06-I21-03"</f>
        <v>06-I21-03</v>
      </c>
      <c r="H3482">
        <v>0.47820000000000001</v>
      </c>
      <c r="I3482" t="s">
        <v>2374</v>
      </c>
      <c r="J3482" t="s">
        <v>17</v>
      </c>
      <c r="K3482" t="str">
        <f>"5F1"</f>
        <v>5F1</v>
      </c>
      <c r="L3482" t="s">
        <v>15</v>
      </c>
    </row>
    <row r="3483" spans="1:12" x14ac:dyDescent="0.25">
      <c r="A3483" t="str">
        <f>"426202063"</f>
        <v>426202063</v>
      </c>
      <c r="B3483" t="str">
        <f t="shared" si="223"/>
        <v>89301000</v>
      </c>
      <c r="C3483" s="1">
        <v>44505</v>
      </c>
      <c r="D3483" s="1">
        <v>44508</v>
      </c>
      <c r="E3483">
        <v>1</v>
      </c>
      <c r="F3483" t="s">
        <v>2432</v>
      </c>
      <c r="G3483" t="str">
        <f>"08-I17-01"</f>
        <v>08-I17-01</v>
      </c>
      <c r="H3483">
        <v>1.7847999999999999</v>
      </c>
      <c r="I3483" t="s">
        <v>381</v>
      </c>
      <c r="J3483" t="s">
        <v>14</v>
      </c>
      <c r="K3483" t="str">
        <f>"5F3"</f>
        <v>5F3</v>
      </c>
      <c r="L3483" t="s">
        <v>15</v>
      </c>
    </row>
    <row r="3484" spans="1:12" x14ac:dyDescent="0.25">
      <c r="A3484" t="str">
        <f>"426205435"</f>
        <v>426205435</v>
      </c>
      <c r="B3484" t="str">
        <f t="shared" si="223"/>
        <v>89301000</v>
      </c>
      <c r="C3484" s="1">
        <v>44399</v>
      </c>
      <c r="D3484" s="1">
        <v>44410</v>
      </c>
      <c r="E3484">
        <v>1</v>
      </c>
      <c r="F3484" t="s">
        <v>2433</v>
      </c>
      <c r="G3484" t="str">
        <f>"09-K04-02"</f>
        <v>09-K04-02</v>
      </c>
      <c r="H3484">
        <v>0.68279999999999996</v>
      </c>
      <c r="I3484" t="s">
        <v>1959</v>
      </c>
      <c r="J3484" t="s">
        <v>14</v>
      </c>
      <c r="K3484" t="str">
        <f>"4F4"</f>
        <v>4F4</v>
      </c>
      <c r="L3484" t="s">
        <v>15</v>
      </c>
    </row>
    <row r="3485" spans="1:12" x14ac:dyDescent="0.25">
      <c r="A3485" t="str">
        <f>"426205435"</f>
        <v>426205435</v>
      </c>
      <c r="B3485" t="str">
        <f t="shared" si="223"/>
        <v>89301000</v>
      </c>
      <c r="C3485" s="1">
        <v>44259</v>
      </c>
      <c r="D3485" s="1">
        <v>44265</v>
      </c>
      <c r="E3485">
        <v>1</v>
      </c>
      <c r="F3485" t="s">
        <v>2434</v>
      </c>
      <c r="G3485" t="str">
        <f>"04-K09-02"</f>
        <v>04-K09-02</v>
      </c>
      <c r="H3485">
        <v>1.2861</v>
      </c>
      <c r="I3485" t="s">
        <v>2435</v>
      </c>
      <c r="J3485" t="s">
        <v>14</v>
      </c>
      <c r="K3485" t="str">
        <f>"2F5"</f>
        <v>2F5</v>
      </c>
      <c r="L3485" t="s">
        <v>15</v>
      </c>
    </row>
    <row r="3486" spans="1:12" x14ac:dyDescent="0.25">
      <c r="A3486" t="str">
        <f>"426209470"</f>
        <v>426209470</v>
      </c>
      <c r="B3486" t="str">
        <f t="shared" si="223"/>
        <v>89301000</v>
      </c>
      <c r="C3486" s="1">
        <v>44449</v>
      </c>
      <c r="D3486" s="1">
        <v>44473</v>
      </c>
      <c r="E3486">
        <v>1</v>
      </c>
      <c r="F3486" t="s">
        <v>2120</v>
      </c>
      <c r="G3486" t="str">
        <f>"06-I07-05"</f>
        <v>06-I07-05</v>
      </c>
      <c r="H3486">
        <v>3.5011000000000001</v>
      </c>
      <c r="I3486" t="s">
        <v>2436</v>
      </c>
      <c r="J3486" t="s">
        <v>17</v>
      </c>
      <c r="K3486" t="str">
        <f>"5F1"</f>
        <v>5F1</v>
      </c>
      <c r="L3486" t="s">
        <v>15</v>
      </c>
    </row>
    <row r="3487" spans="1:12" x14ac:dyDescent="0.25">
      <c r="A3487" t="str">
        <f>"426209470"</f>
        <v>426209470</v>
      </c>
      <c r="B3487" t="str">
        <f t="shared" si="223"/>
        <v>89301000</v>
      </c>
      <c r="C3487" s="1">
        <v>44412</v>
      </c>
      <c r="D3487" s="1">
        <v>44421</v>
      </c>
      <c r="E3487">
        <v>1</v>
      </c>
      <c r="F3487" t="s">
        <v>2437</v>
      </c>
      <c r="G3487" t="str">
        <f>"06-K07-02"</f>
        <v>06-K07-02</v>
      </c>
      <c r="H3487">
        <v>0.48530000000000001</v>
      </c>
      <c r="I3487" t="s">
        <v>2183</v>
      </c>
      <c r="J3487" t="s">
        <v>14</v>
      </c>
      <c r="K3487" t="str">
        <f>"1F5"</f>
        <v>1F5</v>
      </c>
      <c r="L3487" t="s">
        <v>15</v>
      </c>
    </row>
    <row r="3488" spans="1:12" x14ac:dyDescent="0.25">
      <c r="A3488" t="str">
        <f>"426210469"</f>
        <v>426210469</v>
      </c>
      <c r="B3488" t="str">
        <f t="shared" si="223"/>
        <v>89301000</v>
      </c>
      <c r="C3488" s="1">
        <v>44322</v>
      </c>
      <c r="D3488" s="1">
        <v>44324</v>
      </c>
      <c r="E3488">
        <v>1</v>
      </c>
      <c r="F3488" t="s">
        <v>1551</v>
      </c>
      <c r="G3488" t="str">
        <f>"09-I06-04"</f>
        <v>09-I06-04</v>
      </c>
      <c r="H3488">
        <v>0.98829999999999996</v>
      </c>
      <c r="I3488" t="s">
        <v>489</v>
      </c>
      <c r="J3488" t="s">
        <v>17</v>
      </c>
      <c r="K3488" t="str">
        <f>"5F1"</f>
        <v>5F1</v>
      </c>
      <c r="L3488" t="s">
        <v>15</v>
      </c>
    </row>
    <row r="3489" spans="1:12" x14ac:dyDescent="0.25">
      <c r="A3489" t="str">
        <f>"426210469"</f>
        <v>426210469</v>
      </c>
      <c r="B3489" t="str">
        <f t="shared" si="223"/>
        <v>89301000</v>
      </c>
      <c r="C3489" s="1">
        <v>44354</v>
      </c>
      <c r="D3489" s="1">
        <v>44358</v>
      </c>
      <c r="E3489">
        <v>1</v>
      </c>
      <c r="F3489" t="s">
        <v>1551</v>
      </c>
      <c r="G3489" t="str">
        <f>"09-I10-02"</f>
        <v>09-I10-02</v>
      </c>
      <c r="H3489">
        <v>0.98380000000000001</v>
      </c>
      <c r="I3489" t="s">
        <v>489</v>
      </c>
      <c r="J3489" t="s">
        <v>17</v>
      </c>
      <c r="K3489" t="str">
        <f>"5F1"</f>
        <v>5F1</v>
      </c>
      <c r="L3489" t="s">
        <v>15</v>
      </c>
    </row>
    <row r="3490" spans="1:12" x14ac:dyDescent="0.25">
      <c r="A3490" t="str">
        <f>"426217406"</f>
        <v>426217406</v>
      </c>
      <c r="B3490" t="str">
        <f t="shared" si="223"/>
        <v>89301000</v>
      </c>
      <c r="C3490" s="1">
        <v>44545</v>
      </c>
      <c r="D3490" s="1">
        <v>44546</v>
      </c>
      <c r="E3490">
        <v>1</v>
      </c>
      <c r="F3490" t="s">
        <v>1780</v>
      </c>
      <c r="G3490" t="str">
        <f>"05-D01-06"</f>
        <v>05-D01-06</v>
      </c>
      <c r="H3490">
        <v>0.7611</v>
      </c>
      <c r="I3490" t="s">
        <v>2438</v>
      </c>
      <c r="J3490" t="s">
        <v>14</v>
      </c>
      <c r="K3490" t="str">
        <f>"1F7"</f>
        <v>1F7</v>
      </c>
      <c r="L3490" t="s">
        <v>15</v>
      </c>
    </row>
    <row r="3491" spans="1:12" x14ac:dyDescent="0.25">
      <c r="A3491" t="str">
        <f>"426218451"</f>
        <v>426218451</v>
      </c>
      <c r="B3491" t="str">
        <f t="shared" si="223"/>
        <v>89301000</v>
      </c>
      <c r="C3491" s="1">
        <v>44228</v>
      </c>
      <c r="D3491" s="1">
        <v>44232</v>
      </c>
      <c r="E3491">
        <v>1</v>
      </c>
      <c r="F3491" t="s">
        <v>328</v>
      </c>
      <c r="G3491" t="str">
        <f>"05-K13-02"</f>
        <v>05-K13-02</v>
      </c>
      <c r="H3491">
        <v>0.60950000000000004</v>
      </c>
      <c r="I3491" t="s">
        <v>2439</v>
      </c>
      <c r="J3491" t="s">
        <v>14</v>
      </c>
      <c r="K3491" t="str">
        <f>"1F1"</f>
        <v>1F1</v>
      </c>
      <c r="L3491" t="s">
        <v>15</v>
      </c>
    </row>
    <row r="3492" spans="1:12" x14ac:dyDescent="0.25">
      <c r="A3492" t="str">
        <f>"426221131"</f>
        <v>426221131</v>
      </c>
      <c r="B3492" t="str">
        <f t="shared" si="223"/>
        <v>89301000</v>
      </c>
      <c r="C3492" s="1">
        <v>44400</v>
      </c>
      <c r="D3492" s="1">
        <v>44401</v>
      </c>
      <c r="E3492">
        <v>1</v>
      </c>
      <c r="F3492" t="s">
        <v>1557</v>
      </c>
      <c r="G3492" t="str">
        <f>"05-D01-08"</f>
        <v>05-D01-08</v>
      </c>
      <c r="H3492">
        <v>0.4093</v>
      </c>
      <c r="J3492" t="s">
        <v>14</v>
      </c>
      <c r="K3492" t="str">
        <f>"1F7"</f>
        <v>1F7</v>
      </c>
      <c r="L3492" t="s">
        <v>15</v>
      </c>
    </row>
    <row r="3493" spans="1:12" x14ac:dyDescent="0.25">
      <c r="A3493" t="str">
        <f>"426221448"</f>
        <v>426221448</v>
      </c>
      <c r="B3493" t="str">
        <f t="shared" si="223"/>
        <v>89301000</v>
      </c>
      <c r="C3493" s="1">
        <v>44405</v>
      </c>
      <c r="D3493" s="1">
        <v>44417</v>
      </c>
      <c r="E3493">
        <v>8</v>
      </c>
      <c r="F3493" t="s">
        <v>1595</v>
      </c>
      <c r="G3493" t="str">
        <f>"00-M01-02"</f>
        <v>00-M01-02</v>
      </c>
      <c r="H3493">
        <v>13.3348</v>
      </c>
      <c r="I3493" t="s">
        <v>2440</v>
      </c>
      <c r="J3493" t="s">
        <v>14</v>
      </c>
      <c r="K3493" t="str">
        <f>"7T8"</f>
        <v>7T8</v>
      </c>
      <c r="L3493" t="s">
        <v>15</v>
      </c>
    </row>
    <row r="3494" spans="1:12" x14ac:dyDescent="0.25">
      <c r="A3494" t="str">
        <f>"426225412"</f>
        <v>426225412</v>
      </c>
      <c r="B3494" t="str">
        <f t="shared" si="223"/>
        <v>89301000</v>
      </c>
      <c r="C3494" s="1">
        <v>44409</v>
      </c>
      <c r="D3494" s="1">
        <v>44411</v>
      </c>
      <c r="E3494">
        <v>5</v>
      </c>
      <c r="F3494" t="s">
        <v>354</v>
      </c>
      <c r="G3494" t="str">
        <f>"10-K14-03"</f>
        <v>10-K14-03</v>
      </c>
      <c r="H3494">
        <v>0.50439999999999996</v>
      </c>
      <c r="I3494" t="s">
        <v>2441</v>
      </c>
      <c r="J3494" t="s">
        <v>14</v>
      </c>
      <c r="K3494" t="str">
        <f>"1F1"</f>
        <v>1F1</v>
      </c>
      <c r="L3494" t="s">
        <v>15</v>
      </c>
    </row>
    <row r="3495" spans="1:12" x14ac:dyDescent="0.25">
      <c r="A3495" t="str">
        <f>"430101473"</f>
        <v>430101473</v>
      </c>
      <c r="B3495" t="str">
        <f t="shared" si="223"/>
        <v>89301000</v>
      </c>
      <c r="C3495" s="1">
        <v>44246</v>
      </c>
      <c r="D3495" s="1">
        <v>44250</v>
      </c>
      <c r="E3495">
        <v>4</v>
      </c>
      <c r="F3495" t="s">
        <v>1731</v>
      </c>
      <c r="G3495" t="str">
        <f>"08-K09-02"</f>
        <v>08-K09-02</v>
      </c>
      <c r="H3495">
        <v>1.0061</v>
      </c>
      <c r="I3495" t="s">
        <v>2442</v>
      </c>
      <c r="J3495" t="s">
        <v>14</v>
      </c>
      <c r="K3495" t="str">
        <f>"1F9"</f>
        <v>1F9</v>
      </c>
      <c r="L3495" t="s">
        <v>15</v>
      </c>
    </row>
    <row r="3496" spans="1:12" x14ac:dyDescent="0.25">
      <c r="A3496" t="str">
        <f>"430102712"</f>
        <v>430102712</v>
      </c>
      <c r="B3496" t="str">
        <f t="shared" si="223"/>
        <v>89301000</v>
      </c>
      <c r="C3496" s="1">
        <v>44322</v>
      </c>
      <c r="D3496" s="1">
        <v>44334</v>
      </c>
      <c r="E3496">
        <v>4</v>
      </c>
      <c r="F3496" t="s">
        <v>109</v>
      </c>
      <c r="G3496" t="str">
        <f>"24-M07-01"</f>
        <v>24-M07-01</v>
      </c>
      <c r="H3496">
        <v>1.7399</v>
      </c>
      <c r="I3496" t="s">
        <v>2443</v>
      </c>
      <c r="J3496" t="s">
        <v>14</v>
      </c>
      <c r="K3496" t="str">
        <f>"2F1"</f>
        <v>2F1</v>
      </c>
      <c r="L3496" t="s">
        <v>15</v>
      </c>
    </row>
    <row r="3497" spans="1:12" x14ac:dyDescent="0.25">
      <c r="A3497" t="str">
        <f>"430102712"</f>
        <v>430102712</v>
      </c>
      <c r="B3497" t="str">
        <f t="shared" si="223"/>
        <v>89301000</v>
      </c>
      <c r="C3497" s="1">
        <v>44312</v>
      </c>
      <c r="D3497" s="1">
        <v>44322</v>
      </c>
      <c r="E3497">
        <v>3</v>
      </c>
      <c r="F3497" t="s">
        <v>67</v>
      </c>
      <c r="G3497" t="str">
        <f>"01-C02-02"</f>
        <v>01-C02-02</v>
      </c>
      <c r="H3497">
        <v>1.4877</v>
      </c>
      <c r="I3497" t="s">
        <v>2444</v>
      </c>
      <c r="J3497" t="s">
        <v>14</v>
      </c>
      <c r="K3497" t="str">
        <f>"2F9"</f>
        <v>2F9</v>
      </c>
      <c r="L3497" t="s">
        <v>15</v>
      </c>
    </row>
    <row r="3498" spans="1:12" x14ac:dyDescent="0.25">
      <c r="A3498" t="str">
        <f>"430103453"</f>
        <v>430103453</v>
      </c>
      <c r="B3498" t="str">
        <f t="shared" si="223"/>
        <v>89301000</v>
      </c>
      <c r="C3498" s="1">
        <v>44221</v>
      </c>
      <c r="D3498" s="1">
        <v>44229</v>
      </c>
      <c r="E3498">
        <v>1</v>
      </c>
      <c r="F3498" t="s">
        <v>2445</v>
      </c>
      <c r="G3498" t="str">
        <f>"04-K08-04"</f>
        <v>04-K08-04</v>
      </c>
      <c r="H3498">
        <v>0.92730000000000001</v>
      </c>
      <c r="I3498" t="s">
        <v>2446</v>
      </c>
      <c r="J3498" t="s">
        <v>14</v>
      </c>
      <c r="K3498" t="str">
        <f>"2F5"</f>
        <v>2F5</v>
      </c>
      <c r="L3498" t="s">
        <v>15</v>
      </c>
    </row>
    <row r="3499" spans="1:12" x14ac:dyDescent="0.25">
      <c r="A3499" t="str">
        <f>"430106444"</f>
        <v>430106444</v>
      </c>
      <c r="B3499" t="str">
        <f t="shared" si="223"/>
        <v>89301000</v>
      </c>
      <c r="C3499" s="1">
        <v>44558</v>
      </c>
      <c r="D3499" s="1">
        <v>44561</v>
      </c>
      <c r="E3499">
        <v>1</v>
      </c>
      <c r="F3499" t="s">
        <v>1581</v>
      </c>
      <c r="G3499" t="str">
        <f>"05-M04-04"</f>
        <v>05-M04-04</v>
      </c>
      <c r="H3499">
        <v>2.4672999999999998</v>
      </c>
      <c r="I3499" t="s">
        <v>2321</v>
      </c>
      <c r="J3499" t="s">
        <v>17</v>
      </c>
      <c r="K3499" t="str">
        <f>"5F1"</f>
        <v>5F1</v>
      </c>
      <c r="L3499" t="s">
        <v>15</v>
      </c>
    </row>
    <row r="3500" spans="1:12" x14ac:dyDescent="0.25">
      <c r="A3500" t="str">
        <f>"430205431"</f>
        <v>430205431</v>
      </c>
      <c r="B3500" t="str">
        <f t="shared" si="223"/>
        <v>89301000</v>
      </c>
      <c r="C3500" s="1">
        <v>44367</v>
      </c>
      <c r="D3500" s="1">
        <v>44379</v>
      </c>
      <c r="E3500">
        <v>1</v>
      </c>
      <c r="F3500" t="s">
        <v>2052</v>
      </c>
      <c r="G3500" t="str">
        <f>"05-M02-02"</f>
        <v>05-M02-02</v>
      </c>
      <c r="H3500">
        <v>9.4244000000000003</v>
      </c>
      <c r="J3500" t="s">
        <v>17</v>
      </c>
      <c r="K3500" t="str">
        <f>"5F1"</f>
        <v>5F1</v>
      </c>
      <c r="L3500" t="s">
        <v>15</v>
      </c>
    </row>
    <row r="3501" spans="1:12" x14ac:dyDescent="0.25">
      <c r="A3501" t="str">
        <f>"430211443"</f>
        <v>430211443</v>
      </c>
      <c r="B3501" t="str">
        <f t="shared" si="223"/>
        <v>89301000</v>
      </c>
      <c r="C3501" s="1">
        <v>44518</v>
      </c>
      <c r="D3501" s="1">
        <v>44533</v>
      </c>
      <c r="E3501">
        <v>1</v>
      </c>
      <c r="F3501" t="s">
        <v>109</v>
      </c>
      <c r="G3501" t="str">
        <f>"24-M07-02"</f>
        <v>24-M07-02</v>
      </c>
      <c r="H3501">
        <v>1.5094000000000001</v>
      </c>
      <c r="I3501" t="s">
        <v>2447</v>
      </c>
      <c r="J3501" t="s">
        <v>14</v>
      </c>
      <c r="K3501" t="str">
        <f>"2F1"</f>
        <v>2F1</v>
      </c>
      <c r="L3501" t="s">
        <v>15</v>
      </c>
    </row>
    <row r="3502" spans="1:12" x14ac:dyDescent="0.25">
      <c r="A3502" t="str">
        <f>"430217411"</f>
        <v>430217411</v>
      </c>
      <c r="B3502" t="str">
        <f t="shared" si="223"/>
        <v>89301000</v>
      </c>
      <c r="C3502" s="1">
        <v>44276</v>
      </c>
      <c r="D3502" s="1">
        <v>44279</v>
      </c>
      <c r="E3502">
        <v>1</v>
      </c>
      <c r="F3502" t="s">
        <v>151</v>
      </c>
      <c r="G3502" t="str">
        <f>"06-I16-04"</f>
        <v>06-I16-04</v>
      </c>
      <c r="H3502">
        <v>0.67620000000000002</v>
      </c>
      <c r="J3502" t="s">
        <v>24</v>
      </c>
      <c r="K3502" t="str">
        <f>"5F1"</f>
        <v>5F1</v>
      </c>
      <c r="L3502" t="s">
        <v>15</v>
      </c>
    </row>
    <row r="3503" spans="1:12" x14ac:dyDescent="0.25">
      <c r="A3503" t="str">
        <f>"430307463"</f>
        <v>430307463</v>
      </c>
      <c r="B3503" t="str">
        <f t="shared" si="223"/>
        <v>89301000</v>
      </c>
      <c r="C3503" s="1">
        <v>44354</v>
      </c>
      <c r="D3503" s="1">
        <v>44356</v>
      </c>
      <c r="E3503">
        <v>1</v>
      </c>
      <c r="F3503" t="s">
        <v>1842</v>
      </c>
      <c r="G3503" t="str">
        <f>"05-I14-03"</f>
        <v>05-I14-03</v>
      </c>
      <c r="H3503">
        <v>6.1292</v>
      </c>
      <c r="I3503" t="s">
        <v>2448</v>
      </c>
      <c r="J3503" t="s">
        <v>14</v>
      </c>
      <c r="K3503" t="str">
        <f>"1F1"</f>
        <v>1F1</v>
      </c>
      <c r="L3503" t="s">
        <v>15</v>
      </c>
    </row>
    <row r="3504" spans="1:12" x14ac:dyDescent="0.25">
      <c r="A3504" t="str">
        <f>"430312413"</f>
        <v>430312413</v>
      </c>
      <c r="B3504" t="str">
        <f t="shared" si="223"/>
        <v>89301000</v>
      </c>
      <c r="C3504" s="1">
        <v>44196</v>
      </c>
      <c r="D3504" s="1">
        <v>44209</v>
      </c>
      <c r="E3504">
        <v>1</v>
      </c>
      <c r="F3504" t="s">
        <v>1420</v>
      </c>
      <c r="G3504" t="str">
        <f>"03-K02-02"</f>
        <v>03-K02-02</v>
      </c>
      <c r="H3504">
        <v>0.68110000000000004</v>
      </c>
      <c r="I3504" t="s">
        <v>2449</v>
      </c>
      <c r="J3504" t="s">
        <v>14</v>
      </c>
      <c r="K3504" t="str">
        <f>"1F6"</f>
        <v>1F6</v>
      </c>
      <c r="L3504" t="s">
        <v>15</v>
      </c>
    </row>
    <row r="3505" spans="1:12" x14ac:dyDescent="0.25">
      <c r="A3505" t="str">
        <f>"430321406"</f>
        <v>430321406</v>
      </c>
      <c r="B3505" t="str">
        <f t="shared" si="223"/>
        <v>89301000</v>
      </c>
      <c r="C3505" s="1">
        <v>44324</v>
      </c>
      <c r="D3505" s="1">
        <v>44324</v>
      </c>
      <c r="E3505">
        <v>1</v>
      </c>
      <c r="F3505" t="s">
        <v>1962</v>
      </c>
      <c r="G3505" t="str">
        <f>"04-K15-03"</f>
        <v>04-K15-03</v>
      </c>
      <c r="H3505">
        <v>0.25090000000000001</v>
      </c>
      <c r="I3505" t="s">
        <v>489</v>
      </c>
      <c r="J3505" t="s">
        <v>14</v>
      </c>
      <c r="K3505" t="str">
        <f>"1F7"</f>
        <v>1F7</v>
      </c>
      <c r="L3505" t="s">
        <v>15</v>
      </c>
    </row>
    <row r="3506" spans="1:12" x14ac:dyDescent="0.25">
      <c r="A3506" t="str">
        <f>"430324408"</f>
        <v>430324408</v>
      </c>
      <c r="B3506" t="str">
        <f t="shared" si="223"/>
        <v>89301000</v>
      </c>
      <c r="C3506" s="1">
        <v>44441</v>
      </c>
      <c r="D3506" s="1">
        <v>44447</v>
      </c>
      <c r="E3506">
        <v>4</v>
      </c>
      <c r="F3506" t="s">
        <v>1581</v>
      </c>
      <c r="G3506" t="str">
        <f>"05-M07-04"</f>
        <v>05-M07-04</v>
      </c>
      <c r="H3506">
        <v>1.7799</v>
      </c>
      <c r="I3506" t="s">
        <v>2450</v>
      </c>
      <c r="J3506" t="s">
        <v>17</v>
      </c>
      <c r="K3506" t="str">
        <f>"5F1"</f>
        <v>5F1</v>
      </c>
      <c r="L3506" t="s">
        <v>15</v>
      </c>
    </row>
    <row r="3507" spans="1:12" x14ac:dyDescent="0.25">
      <c r="A3507" t="str">
        <f>"430324408"</f>
        <v>430324408</v>
      </c>
      <c r="B3507" t="str">
        <f t="shared" si="223"/>
        <v>89301000</v>
      </c>
      <c r="C3507" s="1">
        <v>44505</v>
      </c>
      <c r="D3507" s="1">
        <v>44510</v>
      </c>
      <c r="E3507">
        <v>5</v>
      </c>
      <c r="F3507" t="s">
        <v>1581</v>
      </c>
      <c r="G3507" t="str">
        <f>"05-M07-06"</f>
        <v>05-M07-06</v>
      </c>
      <c r="H3507">
        <v>1.2513000000000001</v>
      </c>
      <c r="I3507" t="s">
        <v>2451</v>
      </c>
      <c r="J3507" t="s">
        <v>17</v>
      </c>
      <c r="K3507" t="str">
        <f>"5F1"</f>
        <v>5F1</v>
      </c>
      <c r="L3507" t="s">
        <v>15</v>
      </c>
    </row>
    <row r="3508" spans="1:12" x14ac:dyDescent="0.25">
      <c r="A3508" t="str">
        <f>"430324408"</f>
        <v>430324408</v>
      </c>
      <c r="B3508" t="str">
        <f t="shared" si="223"/>
        <v>89301000</v>
      </c>
      <c r="C3508" s="1">
        <v>44453</v>
      </c>
      <c r="D3508" s="1">
        <v>44456</v>
      </c>
      <c r="E3508">
        <v>1</v>
      </c>
      <c r="F3508" t="s">
        <v>1581</v>
      </c>
      <c r="G3508" t="str">
        <f>"05-M07-06"</f>
        <v>05-M07-06</v>
      </c>
      <c r="H3508">
        <v>1.2513000000000001</v>
      </c>
      <c r="I3508" t="s">
        <v>2452</v>
      </c>
      <c r="J3508" t="s">
        <v>17</v>
      </c>
      <c r="K3508" t="str">
        <f>"5F1"</f>
        <v>5F1</v>
      </c>
      <c r="L3508" t="s">
        <v>15</v>
      </c>
    </row>
    <row r="3509" spans="1:12" x14ac:dyDescent="0.25">
      <c r="A3509" t="str">
        <f>"430324468"</f>
        <v>430324468</v>
      </c>
      <c r="B3509" t="str">
        <f t="shared" si="223"/>
        <v>89301000</v>
      </c>
      <c r="C3509" s="1">
        <v>44465</v>
      </c>
      <c r="D3509" s="1">
        <v>44466</v>
      </c>
      <c r="E3509">
        <v>1</v>
      </c>
      <c r="F3509" t="s">
        <v>1991</v>
      </c>
      <c r="G3509" t="str">
        <f>"12-K02-02"</f>
        <v>12-K02-02</v>
      </c>
      <c r="H3509">
        <v>0.3281</v>
      </c>
      <c r="I3509" t="s">
        <v>2453</v>
      </c>
      <c r="J3509" t="s">
        <v>14</v>
      </c>
      <c r="K3509" t="str">
        <f>"7F6"</f>
        <v>7F6</v>
      </c>
      <c r="L3509" t="s">
        <v>15</v>
      </c>
    </row>
    <row r="3510" spans="1:12" x14ac:dyDescent="0.25">
      <c r="A3510" t="str">
        <f>"430324468"</f>
        <v>430324468</v>
      </c>
      <c r="B3510" t="str">
        <f t="shared" si="223"/>
        <v>89301000</v>
      </c>
      <c r="C3510" s="1">
        <v>44501</v>
      </c>
      <c r="D3510" s="1">
        <v>44505</v>
      </c>
      <c r="E3510">
        <v>1</v>
      </c>
      <c r="F3510" t="s">
        <v>1991</v>
      </c>
      <c r="G3510" t="str">
        <f>"12-M02-02"</f>
        <v>12-M02-02</v>
      </c>
      <c r="H3510">
        <v>0.995</v>
      </c>
      <c r="I3510" t="s">
        <v>2454</v>
      </c>
      <c r="J3510" t="s">
        <v>24</v>
      </c>
      <c r="K3510" t="str">
        <f>"7F6"</f>
        <v>7F6</v>
      </c>
      <c r="L3510" t="s">
        <v>15</v>
      </c>
    </row>
    <row r="3511" spans="1:12" x14ac:dyDescent="0.25">
      <c r="A3511" t="str">
        <f>"430330403"</f>
        <v>430330403</v>
      </c>
      <c r="B3511" t="str">
        <f t="shared" si="223"/>
        <v>89301000</v>
      </c>
      <c r="C3511" s="1">
        <v>44320</v>
      </c>
      <c r="D3511" s="1">
        <v>44322</v>
      </c>
      <c r="E3511">
        <v>1</v>
      </c>
      <c r="F3511" t="s">
        <v>174</v>
      </c>
      <c r="G3511" t="str">
        <f>"12-I14-00"</f>
        <v>12-I14-00</v>
      </c>
      <c r="H3511">
        <v>0.44350000000000001</v>
      </c>
      <c r="I3511" t="s">
        <v>2455</v>
      </c>
      <c r="J3511" t="s">
        <v>14</v>
      </c>
      <c r="K3511" t="str">
        <f>"7F6"</f>
        <v>7F6</v>
      </c>
      <c r="L3511" t="s">
        <v>15</v>
      </c>
    </row>
    <row r="3512" spans="1:12" x14ac:dyDescent="0.25">
      <c r="A3512" t="str">
        <f>"430430420"</f>
        <v>430430420</v>
      </c>
      <c r="B3512" t="str">
        <f t="shared" si="223"/>
        <v>89301000</v>
      </c>
      <c r="C3512" s="1">
        <v>44375</v>
      </c>
      <c r="D3512" s="1">
        <v>44376</v>
      </c>
      <c r="E3512">
        <v>1</v>
      </c>
      <c r="F3512" t="s">
        <v>1557</v>
      </c>
      <c r="G3512" t="str">
        <f>"05-M06-08"</f>
        <v>05-M06-08</v>
      </c>
      <c r="H3512">
        <v>1.4719</v>
      </c>
      <c r="J3512" t="s">
        <v>17</v>
      </c>
      <c r="K3512" t="str">
        <f>"1F7"</f>
        <v>1F7</v>
      </c>
      <c r="L3512" t="s">
        <v>15</v>
      </c>
    </row>
    <row r="3513" spans="1:12" x14ac:dyDescent="0.25">
      <c r="A3513" t="str">
        <f>"430504452"</f>
        <v>430504452</v>
      </c>
      <c r="B3513" t="str">
        <f t="shared" si="223"/>
        <v>89301000</v>
      </c>
      <c r="C3513" s="1">
        <v>44377</v>
      </c>
      <c r="D3513" s="1">
        <v>44380</v>
      </c>
      <c r="E3513">
        <v>1</v>
      </c>
      <c r="F3513" t="s">
        <v>1555</v>
      </c>
      <c r="G3513" t="str">
        <f>"05-M04-04"</f>
        <v>05-M04-04</v>
      </c>
      <c r="H3513">
        <v>2.4672999999999998</v>
      </c>
      <c r="J3513" t="s">
        <v>17</v>
      </c>
      <c r="K3513" t="str">
        <f>"5F1"</f>
        <v>5F1</v>
      </c>
      <c r="L3513" t="s">
        <v>15</v>
      </c>
    </row>
    <row r="3514" spans="1:12" x14ac:dyDescent="0.25">
      <c r="A3514" t="str">
        <f>"430509459"</f>
        <v>430509459</v>
      </c>
      <c r="B3514" t="str">
        <f t="shared" si="223"/>
        <v>89301000</v>
      </c>
      <c r="C3514" s="1">
        <v>44544</v>
      </c>
      <c r="D3514" s="1">
        <v>44547</v>
      </c>
      <c r="E3514">
        <v>1</v>
      </c>
      <c r="F3514" t="s">
        <v>1581</v>
      </c>
      <c r="G3514" t="str">
        <f>"05-M07-06"</f>
        <v>05-M07-06</v>
      </c>
      <c r="H3514">
        <v>1.2513000000000001</v>
      </c>
      <c r="I3514" t="s">
        <v>2456</v>
      </c>
      <c r="J3514" t="s">
        <v>17</v>
      </c>
      <c r="K3514" t="str">
        <f>"5F1"</f>
        <v>5F1</v>
      </c>
      <c r="L3514" t="s">
        <v>15</v>
      </c>
    </row>
    <row r="3515" spans="1:12" x14ac:dyDescent="0.25">
      <c r="A3515" t="str">
        <f>"430512472"</f>
        <v>430512472</v>
      </c>
      <c r="B3515" t="str">
        <f t="shared" si="223"/>
        <v>89301000</v>
      </c>
      <c r="C3515" s="1">
        <v>44375</v>
      </c>
      <c r="D3515" s="1">
        <v>44388</v>
      </c>
      <c r="E3515">
        <v>1</v>
      </c>
      <c r="F3515" t="s">
        <v>1555</v>
      </c>
      <c r="G3515" t="str">
        <f>"05-M07-04"</f>
        <v>05-M07-04</v>
      </c>
      <c r="H3515">
        <v>2.5476999999999999</v>
      </c>
      <c r="J3515" t="s">
        <v>17</v>
      </c>
      <c r="K3515" t="str">
        <f>"5F1"</f>
        <v>5F1</v>
      </c>
      <c r="L3515" t="s">
        <v>15</v>
      </c>
    </row>
    <row r="3516" spans="1:12" x14ac:dyDescent="0.25">
      <c r="A3516" t="str">
        <f>"430525430"</f>
        <v>430525430</v>
      </c>
      <c r="B3516" t="str">
        <f t="shared" si="223"/>
        <v>89301000</v>
      </c>
      <c r="C3516" s="1">
        <v>44438</v>
      </c>
      <c r="D3516" s="1">
        <v>44440</v>
      </c>
      <c r="E3516">
        <v>5</v>
      </c>
      <c r="F3516" t="s">
        <v>1683</v>
      </c>
      <c r="G3516" t="str">
        <f>"05-M06-06"</f>
        <v>05-M06-06</v>
      </c>
      <c r="H3516">
        <v>1.7652000000000001</v>
      </c>
      <c r="J3516" t="s">
        <v>17</v>
      </c>
      <c r="K3516" t="str">
        <f>"1F7"</f>
        <v>1F7</v>
      </c>
      <c r="L3516" t="s">
        <v>15</v>
      </c>
    </row>
    <row r="3517" spans="1:12" x14ac:dyDescent="0.25">
      <c r="A3517" t="str">
        <f>"430531411"</f>
        <v>430531411</v>
      </c>
      <c r="B3517" t="str">
        <f t="shared" si="223"/>
        <v>89301000</v>
      </c>
      <c r="C3517" s="1">
        <v>44473</v>
      </c>
      <c r="D3517" s="1">
        <v>44474</v>
      </c>
      <c r="E3517">
        <v>1</v>
      </c>
      <c r="F3517" t="s">
        <v>2457</v>
      </c>
      <c r="G3517" t="str">
        <f>"05-D01-08"</f>
        <v>05-D01-08</v>
      </c>
      <c r="H3517">
        <v>0.4093</v>
      </c>
      <c r="I3517" t="s">
        <v>2458</v>
      </c>
      <c r="J3517" t="s">
        <v>14</v>
      </c>
      <c r="K3517" t="str">
        <f>"1F7"</f>
        <v>1F7</v>
      </c>
      <c r="L3517" t="s">
        <v>15</v>
      </c>
    </row>
    <row r="3518" spans="1:12" x14ac:dyDescent="0.25">
      <c r="A3518" t="str">
        <f>"430605442"</f>
        <v>430605442</v>
      </c>
      <c r="B3518" t="str">
        <f t="shared" si="223"/>
        <v>89301000</v>
      </c>
      <c r="C3518" s="1">
        <v>44491</v>
      </c>
      <c r="D3518" s="1">
        <v>44502</v>
      </c>
      <c r="E3518">
        <v>4</v>
      </c>
      <c r="F3518" t="s">
        <v>1968</v>
      </c>
      <c r="G3518" t="str">
        <f>"08-I05-06"</f>
        <v>08-I05-06</v>
      </c>
      <c r="H3518">
        <v>2.0369000000000002</v>
      </c>
      <c r="I3518" t="s">
        <v>2459</v>
      </c>
      <c r="J3518" t="s">
        <v>17</v>
      </c>
      <c r="K3518" t="str">
        <f>"6F6"</f>
        <v>6F6</v>
      </c>
      <c r="L3518" t="s">
        <v>15</v>
      </c>
    </row>
    <row r="3519" spans="1:12" x14ac:dyDescent="0.25">
      <c r="A3519" t="str">
        <f>"430605442"</f>
        <v>430605442</v>
      </c>
      <c r="B3519" t="str">
        <f t="shared" si="223"/>
        <v>89301000</v>
      </c>
      <c r="C3519" s="1">
        <v>44251</v>
      </c>
      <c r="D3519" s="1">
        <v>44257</v>
      </c>
      <c r="E3519">
        <v>4</v>
      </c>
      <c r="F3519" t="s">
        <v>1968</v>
      </c>
      <c r="G3519" t="str">
        <f>"08-I05-06"</f>
        <v>08-I05-06</v>
      </c>
      <c r="H3519">
        <v>2.0369000000000002</v>
      </c>
      <c r="I3519" t="s">
        <v>2460</v>
      </c>
      <c r="J3519" t="s">
        <v>17</v>
      </c>
      <c r="K3519" t="str">
        <f>"6F6"</f>
        <v>6F6</v>
      </c>
      <c r="L3519" t="s">
        <v>15</v>
      </c>
    </row>
    <row r="3520" spans="1:12" x14ac:dyDescent="0.25">
      <c r="A3520" t="str">
        <f>"430620449"</f>
        <v>430620449</v>
      </c>
      <c r="B3520" t="str">
        <f t="shared" si="223"/>
        <v>89301000</v>
      </c>
      <c r="C3520" s="1">
        <v>44363</v>
      </c>
      <c r="D3520" s="1">
        <v>44365</v>
      </c>
      <c r="E3520">
        <v>1</v>
      </c>
      <c r="F3520" t="s">
        <v>2049</v>
      </c>
      <c r="G3520" t="str">
        <f>"06-M01-02"</f>
        <v>06-M01-02</v>
      </c>
      <c r="H3520">
        <v>1.3877999999999999</v>
      </c>
      <c r="I3520" t="s">
        <v>2216</v>
      </c>
      <c r="J3520" t="s">
        <v>14</v>
      </c>
      <c r="K3520" t="str">
        <f>"1F5"</f>
        <v>1F5</v>
      </c>
      <c r="L3520" t="s">
        <v>15</v>
      </c>
    </row>
    <row r="3521" spans="1:12" x14ac:dyDescent="0.25">
      <c r="A3521" t="str">
        <f>"430630454"</f>
        <v>430630454</v>
      </c>
      <c r="B3521" t="str">
        <f t="shared" si="223"/>
        <v>89301000</v>
      </c>
      <c r="C3521" s="1">
        <v>44417</v>
      </c>
      <c r="D3521" s="1">
        <v>44426</v>
      </c>
      <c r="E3521">
        <v>1</v>
      </c>
      <c r="F3521" t="s">
        <v>979</v>
      </c>
      <c r="G3521" t="str">
        <f>"04-K02-04"</f>
        <v>04-K02-04</v>
      </c>
      <c r="H3521">
        <v>0.82469999999999999</v>
      </c>
      <c r="I3521" t="s">
        <v>2461</v>
      </c>
      <c r="J3521" t="s">
        <v>14</v>
      </c>
      <c r="K3521" t="str">
        <f>"1F1"</f>
        <v>1F1</v>
      </c>
      <c r="L3521" t="s">
        <v>15</v>
      </c>
    </row>
    <row r="3522" spans="1:12" x14ac:dyDescent="0.25">
      <c r="A3522" t="str">
        <f>"430706410"</f>
        <v>430706410</v>
      </c>
      <c r="B3522" t="str">
        <f t="shared" si="223"/>
        <v>89301000</v>
      </c>
      <c r="C3522" s="1">
        <v>44202</v>
      </c>
      <c r="D3522" s="1">
        <v>44215</v>
      </c>
      <c r="E3522">
        <v>1</v>
      </c>
      <c r="F3522" t="s">
        <v>2462</v>
      </c>
      <c r="G3522" t="str">
        <f>"06-I07-05"</f>
        <v>06-I07-05</v>
      </c>
      <c r="H3522">
        <v>2.8466999999999998</v>
      </c>
      <c r="J3522" t="s">
        <v>17</v>
      </c>
      <c r="K3522" t="str">
        <f>"5F1"</f>
        <v>5F1</v>
      </c>
      <c r="L3522" t="s">
        <v>15</v>
      </c>
    </row>
    <row r="3523" spans="1:12" x14ac:dyDescent="0.25">
      <c r="A3523" t="str">
        <f>"430707458"</f>
        <v>430707458</v>
      </c>
      <c r="B3523" t="str">
        <f t="shared" si="223"/>
        <v>89301000</v>
      </c>
      <c r="C3523" s="1">
        <v>44286</v>
      </c>
      <c r="D3523" s="1">
        <v>44288</v>
      </c>
      <c r="E3523">
        <v>1</v>
      </c>
      <c r="F3523" t="s">
        <v>1679</v>
      </c>
      <c r="G3523" t="str">
        <f>"11-M06-02"</f>
        <v>11-M06-02</v>
      </c>
      <c r="H3523">
        <v>0.90400000000000003</v>
      </c>
      <c r="I3523" t="s">
        <v>2463</v>
      </c>
      <c r="J3523" t="s">
        <v>17</v>
      </c>
      <c r="K3523" t="str">
        <f>"7F6"</f>
        <v>7F6</v>
      </c>
      <c r="L3523" t="s">
        <v>15</v>
      </c>
    </row>
    <row r="3524" spans="1:12" x14ac:dyDescent="0.25">
      <c r="A3524" t="str">
        <f>"430715439"</f>
        <v>430715439</v>
      </c>
      <c r="B3524" t="str">
        <f t="shared" si="223"/>
        <v>89301000</v>
      </c>
      <c r="C3524" s="1">
        <v>44213</v>
      </c>
      <c r="D3524" s="1">
        <v>44221</v>
      </c>
      <c r="E3524">
        <v>1</v>
      </c>
      <c r="F3524" t="s">
        <v>151</v>
      </c>
      <c r="G3524" t="str">
        <f>"06-I16-04"</f>
        <v>06-I16-04</v>
      </c>
      <c r="H3524">
        <v>0.87360000000000004</v>
      </c>
      <c r="I3524" t="s">
        <v>2464</v>
      </c>
      <c r="J3524" t="s">
        <v>24</v>
      </c>
      <c r="K3524" t="str">
        <f>"5F1"</f>
        <v>5F1</v>
      </c>
      <c r="L3524" t="s">
        <v>15</v>
      </c>
    </row>
    <row r="3525" spans="1:12" x14ac:dyDescent="0.25">
      <c r="A3525" t="str">
        <f>"430720449"</f>
        <v>430720449</v>
      </c>
      <c r="B3525" t="str">
        <f t="shared" si="223"/>
        <v>89301000</v>
      </c>
      <c r="C3525" s="1">
        <v>44493</v>
      </c>
      <c r="D3525" s="1">
        <v>44495</v>
      </c>
      <c r="E3525">
        <v>1</v>
      </c>
      <c r="F3525" t="s">
        <v>1604</v>
      </c>
      <c r="G3525" t="str">
        <f>"05-I25-03"</f>
        <v>05-I25-03</v>
      </c>
      <c r="H3525">
        <v>1.5508</v>
      </c>
      <c r="I3525" t="s">
        <v>1785</v>
      </c>
      <c r="J3525" t="s">
        <v>17</v>
      </c>
      <c r="K3525" t="str">
        <f>"1F7"</f>
        <v>1F7</v>
      </c>
      <c r="L3525" t="s">
        <v>15</v>
      </c>
    </row>
    <row r="3526" spans="1:12" x14ac:dyDescent="0.25">
      <c r="A3526" t="str">
        <f>"430723464"</f>
        <v>430723464</v>
      </c>
      <c r="B3526" t="str">
        <f t="shared" si="223"/>
        <v>89301000</v>
      </c>
      <c r="C3526" s="1">
        <v>44459</v>
      </c>
      <c r="D3526" s="1">
        <v>44460</v>
      </c>
      <c r="E3526">
        <v>1</v>
      </c>
      <c r="F3526" t="s">
        <v>261</v>
      </c>
      <c r="G3526" t="str">
        <f>"23-K04-02"</f>
        <v>23-K04-02</v>
      </c>
      <c r="H3526">
        <v>0.38690000000000002</v>
      </c>
      <c r="I3526" t="s">
        <v>2465</v>
      </c>
      <c r="J3526" t="s">
        <v>14</v>
      </c>
      <c r="K3526" t="str">
        <f>"7F1"</f>
        <v>7F1</v>
      </c>
      <c r="L3526" t="s">
        <v>15</v>
      </c>
    </row>
    <row r="3527" spans="1:12" x14ac:dyDescent="0.25">
      <c r="A3527" t="str">
        <f>"430731446"</f>
        <v>430731446</v>
      </c>
      <c r="B3527" t="str">
        <f t="shared" si="223"/>
        <v>89301000</v>
      </c>
      <c r="C3527" s="1">
        <v>44391</v>
      </c>
      <c r="D3527" s="1">
        <v>44392</v>
      </c>
      <c r="E3527">
        <v>1</v>
      </c>
      <c r="F3527" t="s">
        <v>1557</v>
      </c>
      <c r="G3527" t="str">
        <f>"05-D01-08"</f>
        <v>05-D01-08</v>
      </c>
      <c r="H3527">
        <v>0.4093</v>
      </c>
      <c r="J3527" t="s">
        <v>14</v>
      </c>
      <c r="K3527" t="str">
        <f>"1F1"</f>
        <v>1F1</v>
      </c>
      <c r="L3527" t="s">
        <v>15</v>
      </c>
    </row>
    <row r="3528" spans="1:12" x14ac:dyDescent="0.25">
      <c r="A3528" t="str">
        <f>"430817416"</f>
        <v>430817416</v>
      </c>
      <c r="B3528" t="str">
        <f t="shared" si="223"/>
        <v>89301000</v>
      </c>
      <c r="C3528" s="1">
        <v>44433</v>
      </c>
      <c r="D3528" s="1">
        <v>44434</v>
      </c>
      <c r="E3528">
        <v>1</v>
      </c>
      <c r="F3528" t="s">
        <v>1579</v>
      </c>
      <c r="G3528" t="str">
        <f>"05-I25-03"</f>
        <v>05-I25-03</v>
      </c>
      <c r="H3528">
        <v>1.5508</v>
      </c>
      <c r="I3528" t="s">
        <v>1959</v>
      </c>
      <c r="J3528" t="s">
        <v>17</v>
      </c>
      <c r="K3528" t="str">
        <f>"1F1"</f>
        <v>1F1</v>
      </c>
      <c r="L3528" t="s">
        <v>15</v>
      </c>
    </row>
    <row r="3529" spans="1:12" x14ac:dyDescent="0.25">
      <c r="A3529" t="str">
        <f>"430902421"</f>
        <v>430902421</v>
      </c>
      <c r="B3529" t="str">
        <f t="shared" si="223"/>
        <v>89301000</v>
      </c>
      <c r="C3529" s="1">
        <v>44417</v>
      </c>
      <c r="D3529" s="1">
        <v>44419</v>
      </c>
      <c r="E3529">
        <v>1</v>
      </c>
      <c r="F3529" t="s">
        <v>1928</v>
      </c>
      <c r="G3529" t="str">
        <f>"11-M02-07"</f>
        <v>11-M02-07</v>
      </c>
      <c r="H3529">
        <v>0.53769999999999996</v>
      </c>
      <c r="I3529" t="s">
        <v>2216</v>
      </c>
      <c r="J3529" t="s">
        <v>14</v>
      </c>
      <c r="K3529" t="str">
        <f>"5F1"</f>
        <v>5F1</v>
      </c>
      <c r="L3529" t="s">
        <v>15</v>
      </c>
    </row>
    <row r="3530" spans="1:12" x14ac:dyDescent="0.25">
      <c r="A3530" t="str">
        <f>"430902421"</f>
        <v>430902421</v>
      </c>
      <c r="B3530" t="str">
        <f t="shared" si="223"/>
        <v>89301000</v>
      </c>
      <c r="C3530" s="1">
        <v>44439</v>
      </c>
      <c r="D3530" s="1">
        <v>44441</v>
      </c>
      <c r="E3530">
        <v>1</v>
      </c>
      <c r="F3530" t="s">
        <v>1928</v>
      </c>
      <c r="G3530" t="str">
        <f>"11-M02-06"</f>
        <v>11-M02-06</v>
      </c>
      <c r="H3530">
        <v>0.98209999999999997</v>
      </c>
      <c r="I3530" t="s">
        <v>2466</v>
      </c>
      <c r="J3530" t="s">
        <v>14</v>
      </c>
      <c r="K3530" t="str">
        <f>"5F1"</f>
        <v>5F1</v>
      </c>
      <c r="L3530" t="s">
        <v>15</v>
      </c>
    </row>
    <row r="3531" spans="1:12" x14ac:dyDescent="0.25">
      <c r="A3531" t="str">
        <f>"430902421"</f>
        <v>430902421</v>
      </c>
      <c r="B3531" t="str">
        <f t="shared" si="223"/>
        <v>89301000</v>
      </c>
      <c r="C3531" s="1">
        <v>44448</v>
      </c>
      <c r="D3531" s="1">
        <v>44451</v>
      </c>
      <c r="E3531">
        <v>1</v>
      </c>
      <c r="F3531" t="s">
        <v>1927</v>
      </c>
      <c r="G3531" t="str">
        <f>"05-I29-02"</f>
        <v>05-I29-02</v>
      </c>
      <c r="H3531">
        <v>1.2306999999999999</v>
      </c>
      <c r="I3531" t="s">
        <v>2467</v>
      </c>
      <c r="J3531" t="s">
        <v>14</v>
      </c>
      <c r="K3531" t="str">
        <f>"5F1"</f>
        <v>5F1</v>
      </c>
      <c r="L3531" t="s">
        <v>15</v>
      </c>
    </row>
    <row r="3532" spans="1:12" x14ac:dyDescent="0.25">
      <c r="A3532" t="str">
        <f>"430909489"</f>
        <v>430909489</v>
      </c>
      <c r="B3532" t="str">
        <f t="shared" si="223"/>
        <v>89301000</v>
      </c>
      <c r="C3532" s="1">
        <v>44245</v>
      </c>
      <c r="D3532" s="1">
        <v>44253</v>
      </c>
      <c r="E3532">
        <v>1</v>
      </c>
      <c r="F3532" t="s">
        <v>953</v>
      </c>
      <c r="G3532" t="str">
        <f>"03-I19-03"</f>
        <v>03-I19-03</v>
      </c>
      <c r="H3532">
        <v>0.7208</v>
      </c>
      <c r="I3532" t="s">
        <v>2468</v>
      </c>
      <c r="J3532" t="s">
        <v>14</v>
      </c>
      <c r="K3532" t="str">
        <f>"6F5"</f>
        <v>6F5</v>
      </c>
      <c r="L3532" t="s">
        <v>15</v>
      </c>
    </row>
    <row r="3533" spans="1:12" x14ac:dyDescent="0.25">
      <c r="A3533" t="str">
        <f>"430922145"</f>
        <v>430922145</v>
      </c>
      <c r="B3533" t="str">
        <f t="shared" si="223"/>
        <v>89301000</v>
      </c>
      <c r="C3533" s="1">
        <v>44474</v>
      </c>
      <c r="D3533" s="1">
        <v>44478</v>
      </c>
      <c r="E3533">
        <v>1</v>
      </c>
      <c r="F3533" t="s">
        <v>1240</v>
      </c>
      <c r="G3533" t="str">
        <f>"11-K01-03"</f>
        <v>11-K01-03</v>
      </c>
      <c r="H3533">
        <v>0.59489999999999998</v>
      </c>
      <c r="I3533" t="s">
        <v>2469</v>
      </c>
      <c r="J3533" t="s">
        <v>14</v>
      </c>
      <c r="K3533" t="str">
        <f>"1F1"</f>
        <v>1F1</v>
      </c>
      <c r="L3533" t="s">
        <v>15</v>
      </c>
    </row>
    <row r="3534" spans="1:12" x14ac:dyDescent="0.25">
      <c r="A3534" t="str">
        <f>"430925171"</f>
        <v>430925171</v>
      </c>
      <c r="B3534" t="str">
        <f t="shared" si="223"/>
        <v>89301000</v>
      </c>
      <c r="C3534" s="1">
        <v>44453</v>
      </c>
      <c r="D3534" s="1">
        <v>44456</v>
      </c>
      <c r="E3534">
        <v>1</v>
      </c>
      <c r="F3534" t="s">
        <v>2139</v>
      </c>
      <c r="G3534" t="str">
        <f>"05-D01-06"</f>
        <v>05-D01-06</v>
      </c>
      <c r="H3534">
        <v>0.7611</v>
      </c>
      <c r="I3534" t="s">
        <v>2470</v>
      </c>
      <c r="J3534" t="s">
        <v>14</v>
      </c>
      <c r="K3534" t="str">
        <f>"1F7"</f>
        <v>1F7</v>
      </c>
      <c r="L3534" t="s">
        <v>15</v>
      </c>
    </row>
    <row r="3535" spans="1:12" x14ac:dyDescent="0.25">
      <c r="A3535" t="str">
        <f>"430929429"</f>
        <v>430929429</v>
      </c>
      <c r="B3535" t="str">
        <f t="shared" si="223"/>
        <v>89301000</v>
      </c>
      <c r="C3535" s="1">
        <v>44460</v>
      </c>
      <c r="D3535" s="1">
        <v>44470</v>
      </c>
      <c r="E3535">
        <v>1</v>
      </c>
      <c r="F3535" t="s">
        <v>1557</v>
      </c>
      <c r="G3535" t="str">
        <f>"05-M06-02"</f>
        <v>05-M06-02</v>
      </c>
      <c r="H3535">
        <v>3.8521999999999998</v>
      </c>
      <c r="I3535" t="s">
        <v>1558</v>
      </c>
      <c r="J3535" t="s">
        <v>17</v>
      </c>
      <c r="K3535" t="str">
        <f>"1F1"</f>
        <v>1F1</v>
      </c>
      <c r="L3535" t="s">
        <v>15</v>
      </c>
    </row>
    <row r="3536" spans="1:12" x14ac:dyDescent="0.25">
      <c r="A3536" t="str">
        <f>"430929429"</f>
        <v>430929429</v>
      </c>
      <c r="B3536" t="str">
        <f t="shared" si="223"/>
        <v>89301000</v>
      </c>
      <c r="C3536" s="1">
        <v>44517</v>
      </c>
      <c r="D3536" s="1">
        <v>44517</v>
      </c>
      <c r="E3536">
        <v>1</v>
      </c>
      <c r="F3536" t="s">
        <v>1558</v>
      </c>
      <c r="G3536" t="str">
        <f>"05-K09-03"</f>
        <v>05-K09-03</v>
      </c>
      <c r="H3536">
        <v>0.21529999999999999</v>
      </c>
      <c r="J3536" t="s">
        <v>14</v>
      </c>
      <c r="K3536" t="str">
        <f>"1F1"</f>
        <v>1F1</v>
      </c>
      <c r="L3536" t="s">
        <v>15</v>
      </c>
    </row>
    <row r="3537" spans="1:12" x14ac:dyDescent="0.25">
      <c r="A3537" t="str">
        <f>"430929429"</f>
        <v>430929429</v>
      </c>
      <c r="B3537" t="str">
        <f t="shared" si="223"/>
        <v>89301000</v>
      </c>
      <c r="C3537" s="1">
        <v>44488</v>
      </c>
      <c r="D3537" s="1">
        <v>44490</v>
      </c>
      <c r="E3537">
        <v>1</v>
      </c>
      <c r="F3537" t="s">
        <v>1557</v>
      </c>
      <c r="G3537" t="str">
        <f>"05-M06-08"</f>
        <v>05-M06-08</v>
      </c>
      <c r="H3537">
        <v>1.4719</v>
      </c>
      <c r="I3537" t="s">
        <v>2471</v>
      </c>
      <c r="J3537" t="s">
        <v>17</v>
      </c>
      <c r="K3537" t="str">
        <f>"1F7"</f>
        <v>1F7</v>
      </c>
      <c r="L3537" t="s">
        <v>15</v>
      </c>
    </row>
    <row r="3538" spans="1:12" x14ac:dyDescent="0.25">
      <c r="A3538" t="str">
        <f>"430930442"</f>
        <v>430930442</v>
      </c>
      <c r="B3538" t="str">
        <f t="shared" si="223"/>
        <v>89301000</v>
      </c>
      <c r="C3538" s="1">
        <v>44200</v>
      </c>
      <c r="D3538" s="1">
        <v>44201</v>
      </c>
      <c r="E3538">
        <v>5</v>
      </c>
      <c r="F3538" t="s">
        <v>217</v>
      </c>
      <c r="G3538" t="str">
        <f>"04-K02-03"</f>
        <v>04-K02-03</v>
      </c>
      <c r="H3538">
        <v>0.6724</v>
      </c>
      <c r="I3538" t="s">
        <v>2472</v>
      </c>
      <c r="J3538" t="s">
        <v>14</v>
      </c>
      <c r="K3538" t="str">
        <f>"1F1"</f>
        <v>1F1</v>
      </c>
      <c r="L3538" t="s">
        <v>15</v>
      </c>
    </row>
    <row r="3539" spans="1:12" x14ac:dyDescent="0.25">
      <c r="A3539" t="str">
        <f>"431001490"</f>
        <v>431001490</v>
      </c>
      <c r="B3539" t="str">
        <f t="shared" si="223"/>
        <v>89301000</v>
      </c>
      <c r="C3539" s="1">
        <v>44278</v>
      </c>
      <c r="D3539" s="1">
        <v>44288</v>
      </c>
      <c r="E3539">
        <v>1</v>
      </c>
      <c r="F3539" t="s">
        <v>217</v>
      </c>
      <c r="G3539" t="str">
        <f>"04-K02-03"</f>
        <v>04-K02-03</v>
      </c>
      <c r="H3539">
        <v>1.2859</v>
      </c>
      <c r="I3539" t="s">
        <v>2473</v>
      </c>
      <c r="J3539" t="s">
        <v>14</v>
      </c>
      <c r="K3539" t="str">
        <f>"7F6"</f>
        <v>7F6</v>
      </c>
      <c r="L3539" t="s">
        <v>15</v>
      </c>
    </row>
    <row r="3540" spans="1:12" x14ac:dyDescent="0.25">
      <c r="A3540" t="str">
        <f>"431001490"</f>
        <v>431001490</v>
      </c>
      <c r="B3540" t="str">
        <f t="shared" si="223"/>
        <v>89301000</v>
      </c>
      <c r="C3540" s="1">
        <v>44391</v>
      </c>
      <c r="D3540" s="1">
        <v>44400</v>
      </c>
      <c r="E3540">
        <v>1</v>
      </c>
      <c r="F3540" t="s">
        <v>2474</v>
      </c>
      <c r="G3540" t="str">
        <f>"11-K08-02"</f>
        <v>11-K08-02</v>
      </c>
      <c r="H3540">
        <v>0.54120000000000001</v>
      </c>
      <c r="I3540" t="s">
        <v>2475</v>
      </c>
      <c r="J3540" t="s">
        <v>14</v>
      </c>
      <c r="K3540" t="str">
        <f>"4F2"</f>
        <v>4F2</v>
      </c>
      <c r="L3540" t="s">
        <v>15</v>
      </c>
    </row>
    <row r="3541" spans="1:12" x14ac:dyDescent="0.25">
      <c r="A3541" t="str">
        <f>"431004404"</f>
        <v>431004404</v>
      </c>
      <c r="B3541" t="str">
        <f t="shared" si="223"/>
        <v>89301000</v>
      </c>
      <c r="C3541" s="1">
        <v>44266</v>
      </c>
      <c r="D3541" s="1">
        <v>44270</v>
      </c>
      <c r="E3541">
        <v>1</v>
      </c>
      <c r="F3541" t="s">
        <v>146</v>
      </c>
      <c r="G3541" t="str">
        <f>"17-C05-04"</f>
        <v>17-C05-04</v>
      </c>
      <c r="H3541">
        <v>0.7712</v>
      </c>
      <c r="I3541" t="s">
        <v>2476</v>
      </c>
      <c r="J3541" t="s">
        <v>14</v>
      </c>
      <c r="K3541" t="str">
        <f>"2F2"</f>
        <v>2F2</v>
      </c>
      <c r="L3541" t="s">
        <v>15</v>
      </c>
    </row>
    <row r="3542" spans="1:12" x14ac:dyDescent="0.25">
      <c r="A3542" t="str">
        <f>"431004404"</f>
        <v>431004404</v>
      </c>
      <c r="B3542" t="str">
        <f t="shared" si="223"/>
        <v>89301000</v>
      </c>
      <c r="C3542" s="1">
        <v>44232</v>
      </c>
      <c r="D3542" s="1">
        <v>44233</v>
      </c>
      <c r="E3542">
        <v>1</v>
      </c>
      <c r="F3542" t="s">
        <v>2477</v>
      </c>
      <c r="G3542" t="str">
        <f>"17-K05-02"</f>
        <v>17-K05-02</v>
      </c>
      <c r="H3542">
        <v>0.94220000000000004</v>
      </c>
      <c r="I3542" t="s">
        <v>2478</v>
      </c>
      <c r="J3542" t="s">
        <v>14</v>
      </c>
      <c r="K3542" t="str">
        <f>"2F2"</f>
        <v>2F2</v>
      </c>
      <c r="L3542" t="s">
        <v>15</v>
      </c>
    </row>
    <row r="3543" spans="1:12" x14ac:dyDescent="0.25">
      <c r="A3543" t="str">
        <f>"431029423"</f>
        <v>431029423</v>
      </c>
      <c r="B3543" t="str">
        <f t="shared" si="223"/>
        <v>89301000</v>
      </c>
      <c r="C3543" s="1">
        <v>44400</v>
      </c>
      <c r="D3543" s="1">
        <v>44405</v>
      </c>
      <c r="E3543">
        <v>1</v>
      </c>
      <c r="F3543" t="s">
        <v>67</v>
      </c>
      <c r="G3543" t="str">
        <f>"01-M02-00"</f>
        <v>01-M02-00</v>
      </c>
      <c r="H3543">
        <v>5.4023000000000003</v>
      </c>
      <c r="I3543" t="s">
        <v>2479</v>
      </c>
      <c r="J3543" t="s">
        <v>17</v>
      </c>
      <c r="K3543" t="str">
        <f>"2F9"</f>
        <v>2F9</v>
      </c>
      <c r="L3543" t="s">
        <v>15</v>
      </c>
    </row>
    <row r="3544" spans="1:12" x14ac:dyDescent="0.25">
      <c r="A3544" t="str">
        <f>"431107443"</f>
        <v>431107443</v>
      </c>
      <c r="B3544" t="str">
        <f t="shared" ref="B3544:B3607" si="224">"89301000"</f>
        <v>89301000</v>
      </c>
      <c r="C3544" s="1">
        <v>44315</v>
      </c>
      <c r="D3544" s="1">
        <v>44317</v>
      </c>
      <c r="E3544">
        <v>1</v>
      </c>
      <c r="F3544" t="s">
        <v>1679</v>
      </c>
      <c r="G3544" t="str">
        <f>"11-M06-03"</f>
        <v>11-M06-03</v>
      </c>
      <c r="H3544">
        <v>0.61519999999999997</v>
      </c>
      <c r="I3544" t="s">
        <v>2480</v>
      </c>
      <c r="J3544" t="s">
        <v>17</v>
      </c>
      <c r="K3544" t="str">
        <f>"7F6"</f>
        <v>7F6</v>
      </c>
      <c r="L3544" t="s">
        <v>15</v>
      </c>
    </row>
    <row r="3545" spans="1:12" x14ac:dyDescent="0.25">
      <c r="A3545" t="str">
        <f>"431119448"</f>
        <v>431119448</v>
      </c>
      <c r="B3545" t="str">
        <f t="shared" si="224"/>
        <v>89301000</v>
      </c>
      <c r="C3545" s="1">
        <v>44434</v>
      </c>
      <c r="D3545" s="1">
        <v>44436</v>
      </c>
      <c r="E3545">
        <v>1</v>
      </c>
      <c r="F3545" t="s">
        <v>2325</v>
      </c>
      <c r="G3545" t="str">
        <f>"09-I13-04"</f>
        <v>09-I13-04</v>
      </c>
      <c r="H3545">
        <v>0.57730000000000004</v>
      </c>
      <c r="I3545" t="s">
        <v>489</v>
      </c>
      <c r="J3545" t="s">
        <v>14</v>
      </c>
      <c r="K3545" t="str">
        <f>"6F1"</f>
        <v>6F1</v>
      </c>
      <c r="L3545" t="s">
        <v>15</v>
      </c>
    </row>
    <row r="3546" spans="1:12" x14ac:dyDescent="0.25">
      <c r="A3546" t="str">
        <f>"431119448"</f>
        <v>431119448</v>
      </c>
      <c r="B3546" t="str">
        <f t="shared" si="224"/>
        <v>89301000</v>
      </c>
      <c r="C3546" s="1">
        <v>44522</v>
      </c>
      <c r="D3546" s="1">
        <v>44526</v>
      </c>
      <c r="E3546">
        <v>1</v>
      </c>
      <c r="F3546" t="s">
        <v>2232</v>
      </c>
      <c r="G3546" t="str">
        <f>"11-K07-02"</f>
        <v>11-K07-02</v>
      </c>
      <c r="H3546">
        <v>0.4869</v>
      </c>
      <c r="I3546" t="s">
        <v>2481</v>
      </c>
      <c r="J3546" t="s">
        <v>14</v>
      </c>
      <c r="K3546" t="str">
        <f>"7F6"</f>
        <v>7F6</v>
      </c>
      <c r="L3546" t="s">
        <v>15</v>
      </c>
    </row>
    <row r="3547" spans="1:12" x14ac:dyDescent="0.25">
      <c r="A3547" t="str">
        <f>"431202463"</f>
        <v>431202463</v>
      </c>
      <c r="B3547" t="str">
        <f t="shared" si="224"/>
        <v>89301000</v>
      </c>
      <c r="C3547" s="1">
        <v>44314</v>
      </c>
      <c r="D3547" s="1">
        <v>44319</v>
      </c>
      <c r="E3547">
        <v>1</v>
      </c>
      <c r="F3547" t="s">
        <v>2482</v>
      </c>
      <c r="G3547" t="str">
        <f>"02-M01-02"</f>
        <v>02-M01-02</v>
      </c>
      <c r="H3547">
        <v>0.58299999999999996</v>
      </c>
      <c r="I3547" t="s">
        <v>2483</v>
      </c>
      <c r="J3547" t="s">
        <v>14</v>
      </c>
      <c r="K3547" t="str">
        <f>"7F5"</f>
        <v>7F5</v>
      </c>
      <c r="L3547" t="s">
        <v>15</v>
      </c>
    </row>
    <row r="3548" spans="1:12" x14ac:dyDescent="0.25">
      <c r="A3548" t="str">
        <f>"431206445"</f>
        <v>431206445</v>
      </c>
      <c r="B3548" t="str">
        <f t="shared" si="224"/>
        <v>89301000</v>
      </c>
      <c r="C3548" s="1">
        <v>44289</v>
      </c>
      <c r="D3548" s="1">
        <v>44293</v>
      </c>
      <c r="E3548">
        <v>1</v>
      </c>
      <c r="F3548" t="s">
        <v>1567</v>
      </c>
      <c r="G3548" t="str">
        <f>"05-I25-03"</f>
        <v>05-I25-03</v>
      </c>
      <c r="H3548">
        <v>1.5508</v>
      </c>
      <c r="I3548" t="s">
        <v>2119</v>
      </c>
      <c r="J3548" t="s">
        <v>17</v>
      </c>
      <c r="K3548" t="str">
        <f>"1F7"</f>
        <v>1F7</v>
      </c>
      <c r="L3548" t="s">
        <v>15</v>
      </c>
    </row>
    <row r="3549" spans="1:12" x14ac:dyDescent="0.25">
      <c r="A3549" t="str">
        <f>"431210440"</f>
        <v>431210440</v>
      </c>
      <c r="B3549" t="str">
        <f t="shared" si="224"/>
        <v>89301000</v>
      </c>
      <c r="C3549" s="1">
        <v>44445</v>
      </c>
      <c r="D3549" s="1">
        <v>44468</v>
      </c>
      <c r="E3549">
        <v>8</v>
      </c>
      <c r="F3549" t="s">
        <v>1914</v>
      </c>
      <c r="G3549" t="str">
        <f>"04-R02-07"</f>
        <v>04-R02-07</v>
      </c>
      <c r="H3549">
        <v>1.7944</v>
      </c>
      <c r="I3549" t="s">
        <v>2484</v>
      </c>
      <c r="J3549" t="s">
        <v>14</v>
      </c>
      <c r="K3549" t="str">
        <f>"2F5"</f>
        <v>2F5</v>
      </c>
      <c r="L3549" t="s">
        <v>15</v>
      </c>
    </row>
    <row r="3550" spans="1:12" x14ac:dyDescent="0.25">
      <c r="A3550" t="str">
        <f>"431211445"</f>
        <v>431211445</v>
      </c>
      <c r="B3550" t="str">
        <f t="shared" si="224"/>
        <v>89301000</v>
      </c>
      <c r="C3550" s="1">
        <v>44273</v>
      </c>
      <c r="D3550" s="1">
        <v>44275</v>
      </c>
      <c r="E3550">
        <v>1</v>
      </c>
      <c r="F3550" t="s">
        <v>1842</v>
      </c>
      <c r="G3550" t="str">
        <f>"05-I14-04"</f>
        <v>05-I14-04</v>
      </c>
      <c r="H3550">
        <v>6.6458000000000004</v>
      </c>
      <c r="J3550" t="s">
        <v>14</v>
      </c>
      <c r="K3550" t="str">
        <f>"1F1"</f>
        <v>1F1</v>
      </c>
      <c r="L3550" t="s">
        <v>15</v>
      </c>
    </row>
    <row r="3551" spans="1:12" x14ac:dyDescent="0.25">
      <c r="A3551" t="str">
        <f>"431211445"</f>
        <v>431211445</v>
      </c>
      <c r="B3551" t="str">
        <f t="shared" si="224"/>
        <v>89301000</v>
      </c>
      <c r="C3551" s="1">
        <v>44306</v>
      </c>
      <c r="D3551" s="1">
        <v>44307</v>
      </c>
      <c r="E3551">
        <v>1</v>
      </c>
      <c r="F3551" t="s">
        <v>1557</v>
      </c>
      <c r="G3551" t="str">
        <f>"05-M06-08"</f>
        <v>05-M06-08</v>
      </c>
      <c r="H3551">
        <v>1.4719</v>
      </c>
      <c r="I3551" t="s">
        <v>2485</v>
      </c>
      <c r="J3551" t="s">
        <v>17</v>
      </c>
      <c r="K3551" t="str">
        <f>"1F1"</f>
        <v>1F1</v>
      </c>
      <c r="L3551" t="s">
        <v>15</v>
      </c>
    </row>
    <row r="3552" spans="1:12" x14ac:dyDescent="0.25">
      <c r="A3552" t="str">
        <f>"431211445"</f>
        <v>431211445</v>
      </c>
      <c r="B3552" t="str">
        <f t="shared" si="224"/>
        <v>89301000</v>
      </c>
      <c r="C3552" s="1">
        <v>44265</v>
      </c>
      <c r="D3552" s="1">
        <v>44268</v>
      </c>
      <c r="E3552">
        <v>1</v>
      </c>
      <c r="F3552" t="s">
        <v>1567</v>
      </c>
      <c r="G3552" t="str">
        <f>"05-I25-01"</f>
        <v>05-I25-01</v>
      </c>
      <c r="H3552">
        <v>4.3022</v>
      </c>
      <c r="I3552" t="s">
        <v>2486</v>
      </c>
      <c r="J3552" t="s">
        <v>17</v>
      </c>
      <c r="K3552" t="str">
        <f>"1F7"</f>
        <v>1F7</v>
      </c>
      <c r="L3552" t="s">
        <v>15</v>
      </c>
    </row>
    <row r="3553" spans="1:12" x14ac:dyDescent="0.25">
      <c r="A3553" t="str">
        <f>"431216442"</f>
        <v>431216442</v>
      </c>
      <c r="B3553" t="str">
        <f t="shared" si="224"/>
        <v>89301000</v>
      </c>
      <c r="C3553" s="1">
        <v>44347</v>
      </c>
      <c r="D3553" s="1">
        <v>44355</v>
      </c>
      <c r="E3553">
        <v>1</v>
      </c>
      <c r="F3553" t="s">
        <v>2118</v>
      </c>
      <c r="G3553" t="str">
        <f>"08-I03-06"</f>
        <v>08-I03-06</v>
      </c>
      <c r="H3553">
        <v>3.3107000000000002</v>
      </c>
      <c r="I3553" t="s">
        <v>489</v>
      </c>
      <c r="J3553" t="s">
        <v>17</v>
      </c>
      <c r="K3553" t="str">
        <f>"5F6"</f>
        <v>5F6</v>
      </c>
      <c r="L3553" t="s">
        <v>15</v>
      </c>
    </row>
    <row r="3554" spans="1:12" x14ac:dyDescent="0.25">
      <c r="A3554" t="str">
        <f>"431219456"</f>
        <v>431219456</v>
      </c>
      <c r="B3554" t="str">
        <f t="shared" si="224"/>
        <v>89301000</v>
      </c>
      <c r="C3554" s="1">
        <v>44283</v>
      </c>
      <c r="D3554" s="1">
        <v>44285</v>
      </c>
      <c r="E3554">
        <v>1</v>
      </c>
      <c r="F3554" t="s">
        <v>776</v>
      </c>
      <c r="G3554" t="str">
        <f>"11-I17-03"</f>
        <v>11-I17-03</v>
      </c>
      <c r="H3554">
        <v>0.50609999999999999</v>
      </c>
      <c r="I3554" t="s">
        <v>2487</v>
      </c>
      <c r="J3554" t="s">
        <v>14</v>
      </c>
      <c r="K3554" t="str">
        <f>"7F6"</f>
        <v>7F6</v>
      </c>
      <c r="L3554" t="s">
        <v>15</v>
      </c>
    </row>
    <row r="3555" spans="1:12" x14ac:dyDescent="0.25">
      <c r="A3555" t="str">
        <f>"431219456"</f>
        <v>431219456</v>
      </c>
      <c r="B3555" t="str">
        <f t="shared" si="224"/>
        <v>89301000</v>
      </c>
      <c r="C3555" s="1">
        <v>44441</v>
      </c>
      <c r="D3555" s="1">
        <v>44445</v>
      </c>
      <c r="E3555">
        <v>1</v>
      </c>
      <c r="F3555" t="s">
        <v>2488</v>
      </c>
      <c r="G3555" t="str">
        <f>"09-I13-03"</f>
        <v>09-I13-03</v>
      </c>
      <c r="H3555">
        <v>0.77380000000000004</v>
      </c>
      <c r="I3555" t="s">
        <v>2489</v>
      </c>
      <c r="J3555" t="s">
        <v>14</v>
      </c>
      <c r="K3555" t="str">
        <f>"6F1"</f>
        <v>6F1</v>
      </c>
      <c r="L3555" t="s">
        <v>15</v>
      </c>
    </row>
    <row r="3556" spans="1:12" x14ac:dyDescent="0.25">
      <c r="A3556" t="str">
        <f>"431220415"</f>
        <v>431220415</v>
      </c>
      <c r="B3556" t="str">
        <f t="shared" si="224"/>
        <v>89301000</v>
      </c>
      <c r="C3556" s="1">
        <v>44293</v>
      </c>
      <c r="D3556" s="1">
        <v>44334</v>
      </c>
      <c r="E3556">
        <v>1</v>
      </c>
      <c r="F3556" t="s">
        <v>2490</v>
      </c>
      <c r="G3556" t="str">
        <f>"17-C05-01"</f>
        <v>17-C05-01</v>
      </c>
      <c r="H3556">
        <v>6.1252000000000004</v>
      </c>
      <c r="I3556" t="s">
        <v>2491</v>
      </c>
      <c r="J3556" t="s">
        <v>14</v>
      </c>
      <c r="K3556" t="str">
        <f>"2F2"</f>
        <v>2F2</v>
      </c>
      <c r="L3556" t="s">
        <v>15</v>
      </c>
    </row>
    <row r="3557" spans="1:12" x14ac:dyDescent="0.25">
      <c r="A3557" t="str">
        <f>"431223479"</f>
        <v>431223479</v>
      </c>
      <c r="B3557" t="str">
        <f t="shared" si="224"/>
        <v>89301000</v>
      </c>
      <c r="C3557" s="1">
        <v>44332</v>
      </c>
      <c r="D3557" s="1">
        <v>44333</v>
      </c>
      <c r="E3557">
        <v>1</v>
      </c>
      <c r="F3557" t="s">
        <v>1842</v>
      </c>
      <c r="G3557" t="str">
        <f>"05-M06-08"</f>
        <v>05-M06-08</v>
      </c>
      <c r="H3557">
        <v>1.4719</v>
      </c>
      <c r="I3557" t="s">
        <v>2492</v>
      </c>
      <c r="J3557" t="s">
        <v>17</v>
      </c>
      <c r="K3557" t="str">
        <f>"1F7"</f>
        <v>1F7</v>
      </c>
      <c r="L3557" t="s">
        <v>15</v>
      </c>
    </row>
    <row r="3558" spans="1:12" x14ac:dyDescent="0.25">
      <c r="A3558" t="str">
        <f>"431225450"</f>
        <v>431225450</v>
      </c>
      <c r="B3558" t="str">
        <f t="shared" si="224"/>
        <v>89301000</v>
      </c>
      <c r="C3558" s="1">
        <v>44544</v>
      </c>
      <c r="D3558" s="1">
        <v>44545</v>
      </c>
      <c r="E3558">
        <v>1</v>
      </c>
      <c r="F3558" t="s">
        <v>1557</v>
      </c>
      <c r="G3558" t="str">
        <f>"05-M06-08"</f>
        <v>05-M06-08</v>
      </c>
      <c r="H3558">
        <v>1.4719</v>
      </c>
      <c r="I3558" t="s">
        <v>1959</v>
      </c>
      <c r="J3558" t="s">
        <v>17</v>
      </c>
      <c r="K3558" t="str">
        <f>"1F1"</f>
        <v>1F1</v>
      </c>
      <c r="L3558" t="s">
        <v>15</v>
      </c>
    </row>
    <row r="3559" spans="1:12" x14ac:dyDescent="0.25">
      <c r="A3559" t="str">
        <f>"431227011"</f>
        <v>431227011</v>
      </c>
      <c r="B3559" t="str">
        <f t="shared" si="224"/>
        <v>89301000</v>
      </c>
      <c r="C3559" s="1">
        <v>44236</v>
      </c>
      <c r="D3559" s="1">
        <v>44236</v>
      </c>
      <c r="E3559">
        <v>1</v>
      </c>
      <c r="F3559" t="s">
        <v>1842</v>
      </c>
      <c r="G3559" t="str">
        <f>"05-I14-04"</f>
        <v>05-I14-04</v>
      </c>
      <c r="H3559">
        <v>5.1692</v>
      </c>
      <c r="I3559" t="s">
        <v>2493</v>
      </c>
      <c r="J3559" t="s">
        <v>14</v>
      </c>
      <c r="K3559" t="str">
        <f>"1F1"</f>
        <v>1F1</v>
      </c>
      <c r="L3559" t="s">
        <v>15</v>
      </c>
    </row>
    <row r="3560" spans="1:12" x14ac:dyDescent="0.25">
      <c r="A3560" t="str">
        <f>"431227011"</f>
        <v>431227011</v>
      </c>
      <c r="B3560" t="str">
        <f t="shared" si="224"/>
        <v>89301000</v>
      </c>
      <c r="C3560" s="1">
        <v>44225</v>
      </c>
      <c r="D3560" s="1">
        <v>44225</v>
      </c>
      <c r="E3560">
        <v>1</v>
      </c>
      <c r="F3560" t="s">
        <v>1557</v>
      </c>
      <c r="G3560" t="str">
        <f>"05-M06-08"</f>
        <v>05-M06-08</v>
      </c>
      <c r="H3560">
        <v>1.1200000000000001</v>
      </c>
      <c r="I3560" t="s">
        <v>2494</v>
      </c>
      <c r="J3560" t="s">
        <v>17</v>
      </c>
      <c r="K3560" t="str">
        <f>"1F7"</f>
        <v>1F7</v>
      </c>
      <c r="L3560" t="s">
        <v>15</v>
      </c>
    </row>
    <row r="3561" spans="1:12" x14ac:dyDescent="0.25">
      <c r="A3561" t="str">
        <f>"435101423"</f>
        <v>435101423</v>
      </c>
      <c r="B3561" t="str">
        <f t="shared" si="224"/>
        <v>89301000</v>
      </c>
      <c r="C3561" s="1">
        <v>44495</v>
      </c>
      <c r="D3561" s="1">
        <v>44500</v>
      </c>
      <c r="E3561">
        <v>1</v>
      </c>
      <c r="F3561" t="s">
        <v>2495</v>
      </c>
      <c r="G3561" t="str">
        <f>"13-I11-03"</f>
        <v>13-I11-03</v>
      </c>
      <c r="H3561">
        <v>1.3809</v>
      </c>
      <c r="I3561" t="s">
        <v>2496</v>
      </c>
      <c r="J3561" t="s">
        <v>24</v>
      </c>
      <c r="K3561" t="str">
        <f>"6F3"</f>
        <v>6F3</v>
      </c>
      <c r="L3561" t="s">
        <v>15</v>
      </c>
    </row>
    <row r="3562" spans="1:12" x14ac:dyDescent="0.25">
      <c r="A3562" t="str">
        <f>"435101423"</f>
        <v>435101423</v>
      </c>
      <c r="B3562" t="str">
        <f t="shared" si="224"/>
        <v>89301000</v>
      </c>
      <c r="C3562" s="1">
        <v>44549</v>
      </c>
      <c r="D3562" s="1">
        <v>44556</v>
      </c>
      <c r="E3562">
        <v>1</v>
      </c>
      <c r="F3562" t="s">
        <v>2497</v>
      </c>
      <c r="G3562" t="str">
        <f>"13-I07-01"</f>
        <v>13-I07-01</v>
      </c>
      <c r="H3562">
        <v>2.2431999999999999</v>
      </c>
      <c r="J3562" t="s">
        <v>106</v>
      </c>
      <c r="K3562" t="str">
        <f>"6F3"</f>
        <v>6F3</v>
      </c>
      <c r="L3562" t="s">
        <v>15</v>
      </c>
    </row>
    <row r="3563" spans="1:12" x14ac:dyDescent="0.25">
      <c r="A3563" t="str">
        <f>"435105458"</f>
        <v>435105458</v>
      </c>
      <c r="B3563" t="str">
        <f t="shared" si="224"/>
        <v>89301000</v>
      </c>
      <c r="C3563" s="1">
        <v>44255</v>
      </c>
      <c r="D3563" s="1">
        <v>44258</v>
      </c>
      <c r="E3563">
        <v>5</v>
      </c>
      <c r="F3563" t="s">
        <v>38</v>
      </c>
      <c r="G3563" t="str">
        <f>"05-M06-05"</f>
        <v>05-M06-05</v>
      </c>
      <c r="H3563">
        <v>2.3010000000000002</v>
      </c>
      <c r="J3563" t="s">
        <v>17</v>
      </c>
      <c r="K3563" t="str">
        <f>"1T1"</f>
        <v>1T1</v>
      </c>
      <c r="L3563" t="s">
        <v>15</v>
      </c>
    </row>
    <row r="3564" spans="1:12" x14ac:dyDescent="0.25">
      <c r="A3564" t="str">
        <f>"435105458"</f>
        <v>435105458</v>
      </c>
      <c r="B3564" t="str">
        <f t="shared" si="224"/>
        <v>89301000</v>
      </c>
      <c r="C3564" s="1">
        <v>44214</v>
      </c>
      <c r="D3564" s="1">
        <v>44219</v>
      </c>
      <c r="E3564">
        <v>1</v>
      </c>
      <c r="F3564" t="s">
        <v>2498</v>
      </c>
      <c r="G3564" t="str">
        <f>"08-K01-03"</f>
        <v>08-K01-03</v>
      </c>
      <c r="H3564">
        <v>0.65310000000000001</v>
      </c>
      <c r="I3564" t="s">
        <v>2499</v>
      </c>
      <c r="J3564" t="s">
        <v>14</v>
      </c>
      <c r="K3564" t="str">
        <f>"1F9"</f>
        <v>1F9</v>
      </c>
      <c r="L3564" t="s">
        <v>15</v>
      </c>
    </row>
    <row r="3565" spans="1:12" x14ac:dyDescent="0.25">
      <c r="A3565" t="str">
        <f>"435109124"</f>
        <v>435109124</v>
      </c>
      <c r="B3565" t="str">
        <f t="shared" si="224"/>
        <v>89301000</v>
      </c>
      <c r="C3565" s="1">
        <v>44305</v>
      </c>
      <c r="D3565" s="1">
        <v>44315</v>
      </c>
      <c r="E3565">
        <v>5</v>
      </c>
      <c r="F3565" t="s">
        <v>920</v>
      </c>
      <c r="G3565" t="str">
        <f>"01-I06-02"</f>
        <v>01-I06-02</v>
      </c>
      <c r="H3565">
        <v>5.1687000000000003</v>
      </c>
      <c r="I3565" t="s">
        <v>2500</v>
      </c>
      <c r="J3565" t="s">
        <v>17</v>
      </c>
      <c r="K3565" t="str">
        <f>"5T6"</f>
        <v>5T6</v>
      </c>
      <c r="L3565" t="s">
        <v>15</v>
      </c>
    </row>
    <row r="3566" spans="1:12" x14ac:dyDescent="0.25">
      <c r="A3566" t="str">
        <f>"435109124"</f>
        <v>435109124</v>
      </c>
      <c r="B3566" t="str">
        <f t="shared" si="224"/>
        <v>89301000</v>
      </c>
      <c r="C3566" s="1">
        <v>44368</v>
      </c>
      <c r="D3566" s="1">
        <v>44370</v>
      </c>
      <c r="E3566">
        <v>1</v>
      </c>
      <c r="F3566" t="s">
        <v>920</v>
      </c>
      <c r="G3566" t="str">
        <f>"01-K13-02"</f>
        <v>01-K13-02</v>
      </c>
      <c r="H3566">
        <v>0.7954</v>
      </c>
      <c r="J3566" t="s">
        <v>14</v>
      </c>
      <c r="K3566" t="str">
        <f>"5F6"</f>
        <v>5F6</v>
      </c>
      <c r="L3566" t="s">
        <v>15</v>
      </c>
    </row>
    <row r="3567" spans="1:12" x14ac:dyDescent="0.25">
      <c r="A3567" t="str">
        <f>"435117439"</f>
        <v>435117439</v>
      </c>
      <c r="B3567" t="str">
        <f t="shared" si="224"/>
        <v>89301000</v>
      </c>
      <c r="C3567" s="1">
        <v>44495</v>
      </c>
      <c r="D3567" s="1">
        <v>44499</v>
      </c>
      <c r="E3567">
        <v>8</v>
      </c>
      <c r="F3567" t="s">
        <v>237</v>
      </c>
      <c r="G3567" t="str">
        <f>"05-D01-05"</f>
        <v>05-D01-05</v>
      </c>
      <c r="H3567">
        <v>1.1738</v>
      </c>
      <c r="I3567" t="s">
        <v>2501</v>
      </c>
      <c r="J3567" t="s">
        <v>14</v>
      </c>
      <c r="K3567" t="str">
        <f>"1T1"</f>
        <v>1T1</v>
      </c>
      <c r="L3567" t="s">
        <v>15</v>
      </c>
    </row>
    <row r="3568" spans="1:12" x14ac:dyDescent="0.25">
      <c r="A3568" t="str">
        <f>"435127074"</f>
        <v>435127074</v>
      </c>
      <c r="B3568" t="str">
        <f t="shared" si="224"/>
        <v>89301000</v>
      </c>
      <c r="C3568" s="1">
        <v>44235</v>
      </c>
      <c r="D3568" s="1">
        <v>44236</v>
      </c>
      <c r="E3568">
        <v>1</v>
      </c>
      <c r="F3568" t="s">
        <v>1557</v>
      </c>
      <c r="G3568" t="str">
        <f>"05-M06-03"</f>
        <v>05-M06-03</v>
      </c>
      <c r="H3568">
        <v>2.6726999999999999</v>
      </c>
      <c r="I3568" t="s">
        <v>2502</v>
      </c>
      <c r="J3568" t="s">
        <v>17</v>
      </c>
      <c r="K3568" t="str">
        <f>"1F7"</f>
        <v>1F7</v>
      </c>
      <c r="L3568" t="s">
        <v>15</v>
      </c>
    </row>
    <row r="3569" spans="1:12" x14ac:dyDescent="0.25">
      <c r="A3569" t="str">
        <f>"435129432"</f>
        <v>435129432</v>
      </c>
      <c r="B3569" t="str">
        <f t="shared" si="224"/>
        <v>89301000</v>
      </c>
      <c r="C3569" s="1">
        <v>44191</v>
      </c>
      <c r="D3569" s="1">
        <v>44204</v>
      </c>
      <c r="E3569">
        <v>8</v>
      </c>
      <c r="F3569" t="s">
        <v>217</v>
      </c>
      <c r="G3569" t="str">
        <f>"00-M02-04"</f>
        <v>00-M02-04</v>
      </c>
      <c r="H3569">
        <v>12.071199999999999</v>
      </c>
      <c r="I3569" t="s">
        <v>2503</v>
      </c>
      <c r="J3569" t="s">
        <v>14</v>
      </c>
      <c r="K3569" t="str">
        <f>"1T1"</f>
        <v>1T1</v>
      </c>
      <c r="L3569" t="s">
        <v>15</v>
      </c>
    </row>
    <row r="3570" spans="1:12" x14ac:dyDescent="0.25">
      <c r="A3570" t="str">
        <f>"435210442"</f>
        <v>435210442</v>
      </c>
      <c r="B3570" t="str">
        <f t="shared" si="224"/>
        <v>89301000</v>
      </c>
      <c r="C3570" s="1">
        <v>44237</v>
      </c>
      <c r="D3570" s="1">
        <v>44246</v>
      </c>
      <c r="E3570">
        <v>1</v>
      </c>
      <c r="F3570" t="s">
        <v>2504</v>
      </c>
      <c r="G3570" t="str">
        <f>"03-I04-02"</f>
        <v>03-I04-02</v>
      </c>
      <c r="H3570">
        <v>3.2845</v>
      </c>
      <c r="I3570" t="s">
        <v>2505</v>
      </c>
      <c r="J3570" t="s">
        <v>14</v>
      </c>
      <c r="K3570" t="str">
        <f>"6F5"</f>
        <v>6F5</v>
      </c>
      <c r="L3570" t="s">
        <v>15</v>
      </c>
    </row>
    <row r="3571" spans="1:12" x14ac:dyDescent="0.25">
      <c r="A3571" t="str">
        <f>"435210442"</f>
        <v>435210442</v>
      </c>
      <c r="B3571" t="str">
        <f t="shared" si="224"/>
        <v>89301000</v>
      </c>
      <c r="C3571" s="1">
        <v>44267</v>
      </c>
      <c r="D3571" s="1">
        <v>44272</v>
      </c>
      <c r="E3571">
        <v>1</v>
      </c>
      <c r="F3571" t="s">
        <v>2504</v>
      </c>
      <c r="G3571" t="str">
        <f>"03-I19-02"</f>
        <v>03-I19-02</v>
      </c>
      <c r="H3571">
        <v>0.88829999999999998</v>
      </c>
      <c r="I3571" t="s">
        <v>2506</v>
      </c>
      <c r="J3571" t="s">
        <v>14</v>
      </c>
      <c r="K3571" t="str">
        <f>"6F5"</f>
        <v>6F5</v>
      </c>
      <c r="L3571" t="s">
        <v>15</v>
      </c>
    </row>
    <row r="3572" spans="1:12" x14ac:dyDescent="0.25">
      <c r="A3572" t="str">
        <f>"435210442"</f>
        <v>435210442</v>
      </c>
      <c r="B3572" t="str">
        <f t="shared" si="224"/>
        <v>89301000</v>
      </c>
      <c r="C3572" s="1">
        <v>44372</v>
      </c>
      <c r="D3572" s="1">
        <v>44379</v>
      </c>
      <c r="E3572">
        <v>1</v>
      </c>
      <c r="F3572" t="s">
        <v>2507</v>
      </c>
      <c r="G3572" t="str">
        <f>"03-K09-01"</f>
        <v>03-K09-01</v>
      </c>
      <c r="H3572">
        <v>0.59919999999999995</v>
      </c>
      <c r="I3572" t="s">
        <v>2508</v>
      </c>
      <c r="J3572" t="s">
        <v>14</v>
      </c>
      <c r="K3572" t="str">
        <f>"4F2"</f>
        <v>4F2</v>
      </c>
      <c r="L3572" t="s">
        <v>15</v>
      </c>
    </row>
    <row r="3573" spans="1:12" x14ac:dyDescent="0.25">
      <c r="A3573" t="str">
        <f>"435210442"</f>
        <v>435210442</v>
      </c>
      <c r="B3573" t="str">
        <f t="shared" si="224"/>
        <v>89301000</v>
      </c>
      <c r="C3573" s="1">
        <v>44222</v>
      </c>
      <c r="D3573" s="1">
        <v>44225</v>
      </c>
      <c r="E3573">
        <v>1</v>
      </c>
      <c r="F3573" t="s">
        <v>407</v>
      </c>
      <c r="G3573" t="str">
        <f>"03-K03-02"</f>
        <v>03-K03-02</v>
      </c>
      <c r="H3573">
        <v>0.49249999999999999</v>
      </c>
      <c r="I3573" t="s">
        <v>2509</v>
      </c>
      <c r="J3573" t="s">
        <v>14</v>
      </c>
      <c r="K3573" t="str">
        <f>"6F5"</f>
        <v>6F5</v>
      </c>
      <c r="L3573" t="s">
        <v>15</v>
      </c>
    </row>
    <row r="3574" spans="1:12" x14ac:dyDescent="0.25">
      <c r="A3574" t="str">
        <f>"435219406"</f>
        <v>435219406</v>
      </c>
      <c r="B3574" t="str">
        <f t="shared" si="224"/>
        <v>89301000</v>
      </c>
      <c r="C3574" s="1">
        <v>44469</v>
      </c>
      <c r="D3574" s="1">
        <v>44475</v>
      </c>
      <c r="E3574">
        <v>1</v>
      </c>
      <c r="F3574" t="s">
        <v>31</v>
      </c>
      <c r="G3574" t="str">
        <f>"08-I03-04"</f>
        <v>08-I03-04</v>
      </c>
      <c r="H3574">
        <v>4.4446000000000003</v>
      </c>
      <c r="I3574" t="s">
        <v>2257</v>
      </c>
      <c r="J3574" t="s">
        <v>17</v>
      </c>
      <c r="K3574" t="str">
        <f>"5F6"</f>
        <v>5F6</v>
      </c>
      <c r="L3574" t="s">
        <v>15</v>
      </c>
    </row>
    <row r="3575" spans="1:12" x14ac:dyDescent="0.25">
      <c r="A3575" t="str">
        <f>"435224450"</f>
        <v>435224450</v>
      </c>
      <c r="B3575" t="str">
        <f t="shared" si="224"/>
        <v>89301000</v>
      </c>
      <c r="C3575" s="1">
        <v>44519</v>
      </c>
      <c r="D3575" s="1">
        <v>44522</v>
      </c>
      <c r="E3575">
        <v>1</v>
      </c>
      <c r="F3575" t="s">
        <v>1548</v>
      </c>
      <c r="G3575" t="str">
        <f>"05-D01-05"</f>
        <v>05-D01-05</v>
      </c>
      <c r="H3575">
        <v>1.1738</v>
      </c>
      <c r="I3575" t="s">
        <v>2510</v>
      </c>
      <c r="J3575" t="s">
        <v>14</v>
      </c>
      <c r="K3575" t="str">
        <f>"1F1"</f>
        <v>1F1</v>
      </c>
      <c r="L3575" t="s">
        <v>15</v>
      </c>
    </row>
    <row r="3576" spans="1:12" x14ac:dyDescent="0.25">
      <c r="A3576" t="str">
        <f>"435225425"</f>
        <v>435225425</v>
      </c>
      <c r="B3576" t="str">
        <f t="shared" si="224"/>
        <v>89301000</v>
      </c>
      <c r="C3576" s="1">
        <v>44449</v>
      </c>
      <c r="D3576" s="1">
        <v>44454</v>
      </c>
      <c r="E3576">
        <v>1</v>
      </c>
      <c r="F3576" t="s">
        <v>2511</v>
      </c>
      <c r="G3576" t="str">
        <f>"17-K10-01"</f>
        <v>17-K10-01</v>
      </c>
      <c r="H3576">
        <v>1.6901999999999999</v>
      </c>
      <c r="I3576" t="s">
        <v>2512</v>
      </c>
      <c r="J3576" t="s">
        <v>14</v>
      </c>
      <c r="K3576" t="str">
        <f>"1F1"</f>
        <v>1F1</v>
      </c>
      <c r="L3576" t="s">
        <v>15</v>
      </c>
    </row>
    <row r="3577" spans="1:12" x14ac:dyDescent="0.25">
      <c r="A3577" t="str">
        <f>"435305461"</f>
        <v>435305461</v>
      </c>
      <c r="B3577" t="str">
        <f t="shared" si="224"/>
        <v>89301000</v>
      </c>
      <c r="C3577" s="1">
        <v>44370</v>
      </c>
      <c r="D3577" s="1">
        <v>44382</v>
      </c>
      <c r="E3577">
        <v>1</v>
      </c>
      <c r="F3577" t="s">
        <v>2513</v>
      </c>
      <c r="G3577" t="str">
        <f>"06-I07-05"</f>
        <v>06-I07-05</v>
      </c>
      <c r="H3577">
        <v>2.8466999999999998</v>
      </c>
      <c r="I3577" t="s">
        <v>2514</v>
      </c>
      <c r="J3577" t="s">
        <v>17</v>
      </c>
      <c r="K3577" t="str">
        <f>"5F1"</f>
        <v>5F1</v>
      </c>
      <c r="L3577" t="s">
        <v>15</v>
      </c>
    </row>
    <row r="3578" spans="1:12" x14ac:dyDescent="0.25">
      <c r="A3578" t="str">
        <f>"435306430"</f>
        <v>435306430</v>
      </c>
      <c r="B3578" t="str">
        <f t="shared" si="224"/>
        <v>89301000</v>
      </c>
      <c r="C3578" s="1">
        <v>44254</v>
      </c>
      <c r="D3578" s="1">
        <v>44273</v>
      </c>
      <c r="E3578">
        <v>4</v>
      </c>
      <c r="F3578" t="s">
        <v>217</v>
      </c>
      <c r="G3578" t="str">
        <f>"04-K02-02"</f>
        <v>04-K02-02</v>
      </c>
      <c r="H3578">
        <v>2.5186000000000002</v>
      </c>
      <c r="I3578" t="s">
        <v>2515</v>
      </c>
      <c r="J3578" t="s">
        <v>14</v>
      </c>
      <c r="K3578" t="str">
        <f>"1F1"</f>
        <v>1F1</v>
      </c>
      <c r="L3578" t="s">
        <v>15</v>
      </c>
    </row>
    <row r="3579" spans="1:12" x14ac:dyDescent="0.25">
      <c r="A3579" t="str">
        <f>"435326437"</f>
        <v>435326437</v>
      </c>
      <c r="B3579" t="str">
        <f t="shared" si="224"/>
        <v>89301000</v>
      </c>
      <c r="C3579" s="1">
        <v>44497</v>
      </c>
      <c r="D3579" s="1">
        <v>44501</v>
      </c>
      <c r="E3579">
        <v>1</v>
      </c>
      <c r="F3579" t="s">
        <v>1842</v>
      </c>
      <c r="G3579" t="str">
        <f>"05-I14-04"</f>
        <v>05-I14-04</v>
      </c>
      <c r="H3579">
        <v>5.4002999999999997</v>
      </c>
      <c r="I3579" t="s">
        <v>1602</v>
      </c>
      <c r="J3579" t="s">
        <v>14</v>
      </c>
      <c r="K3579" t="str">
        <f>"1F1"</f>
        <v>1F1</v>
      </c>
      <c r="L3579" t="s">
        <v>15</v>
      </c>
    </row>
    <row r="3580" spans="1:12" x14ac:dyDescent="0.25">
      <c r="A3580" t="str">
        <f>"435330451"</f>
        <v>435330451</v>
      </c>
      <c r="B3580" t="str">
        <f t="shared" si="224"/>
        <v>89301000</v>
      </c>
      <c r="C3580" s="1">
        <v>44202</v>
      </c>
      <c r="D3580" s="1">
        <v>44210</v>
      </c>
      <c r="E3580">
        <v>7</v>
      </c>
      <c r="F3580" t="s">
        <v>217</v>
      </c>
      <c r="G3580" t="str">
        <f>"00-M01-04"</f>
        <v>00-M01-04</v>
      </c>
      <c r="H3580">
        <v>6.85</v>
      </c>
      <c r="I3580" t="s">
        <v>2516</v>
      </c>
      <c r="J3580" t="s">
        <v>14</v>
      </c>
      <c r="K3580" t="str">
        <f>"5T1"</f>
        <v>5T1</v>
      </c>
      <c r="L3580" t="s">
        <v>15</v>
      </c>
    </row>
    <row r="3581" spans="1:12" x14ac:dyDescent="0.25">
      <c r="A3581" t="str">
        <f>"435401456"</f>
        <v>435401456</v>
      </c>
      <c r="B3581" t="str">
        <f t="shared" si="224"/>
        <v>89301000</v>
      </c>
      <c r="C3581" s="1">
        <v>44207</v>
      </c>
      <c r="D3581" s="1">
        <v>44208</v>
      </c>
      <c r="E3581">
        <v>1</v>
      </c>
      <c r="F3581" t="s">
        <v>1650</v>
      </c>
      <c r="G3581" t="str">
        <f>"05-I14-03"</f>
        <v>05-I14-03</v>
      </c>
      <c r="H3581">
        <v>6.1292</v>
      </c>
      <c r="I3581" t="s">
        <v>2517</v>
      </c>
      <c r="J3581" t="s">
        <v>14</v>
      </c>
      <c r="K3581" t="str">
        <f>"1F7"</f>
        <v>1F7</v>
      </c>
      <c r="L3581" t="s">
        <v>15</v>
      </c>
    </row>
    <row r="3582" spans="1:12" x14ac:dyDescent="0.25">
      <c r="A3582" t="str">
        <f>"435402162"</f>
        <v>435402162</v>
      </c>
      <c r="B3582" t="str">
        <f t="shared" si="224"/>
        <v>89301000</v>
      </c>
      <c r="C3582" s="1">
        <v>44492</v>
      </c>
      <c r="D3582" s="1">
        <v>44504</v>
      </c>
      <c r="E3582">
        <v>1</v>
      </c>
      <c r="F3582" t="s">
        <v>2236</v>
      </c>
      <c r="G3582" t="str">
        <f>"10-K04-02"</f>
        <v>10-K04-02</v>
      </c>
      <c r="H3582">
        <v>1.0504</v>
      </c>
      <c r="I3582" t="s">
        <v>2518</v>
      </c>
      <c r="J3582" t="s">
        <v>14</v>
      </c>
      <c r="K3582" t="str">
        <f>"1F1"</f>
        <v>1F1</v>
      </c>
      <c r="L3582" t="s">
        <v>15</v>
      </c>
    </row>
    <row r="3583" spans="1:12" x14ac:dyDescent="0.25">
      <c r="A3583" t="str">
        <f>"435408050"</f>
        <v>435408050</v>
      </c>
      <c r="B3583" t="str">
        <f t="shared" si="224"/>
        <v>89301000</v>
      </c>
      <c r="C3583" s="1">
        <v>44503</v>
      </c>
      <c r="D3583" s="1">
        <v>44511</v>
      </c>
      <c r="E3583">
        <v>1</v>
      </c>
      <c r="F3583" t="s">
        <v>2519</v>
      </c>
      <c r="G3583" t="str">
        <f>"09-K01-04"</f>
        <v>09-K01-04</v>
      </c>
      <c r="H3583">
        <v>0.57820000000000005</v>
      </c>
      <c r="I3583" t="s">
        <v>2520</v>
      </c>
      <c r="J3583" t="s">
        <v>14</v>
      </c>
      <c r="K3583" t="str">
        <f>"4F4"</f>
        <v>4F4</v>
      </c>
      <c r="L3583" t="s">
        <v>15</v>
      </c>
    </row>
    <row r="3584" spans="1:12" x14ac:dyDescent="0.25">
      <c r="A3584" t="str">
        <f>"435419159"</f>
        <v>435419159</v>
      </c>
      <c r="B3584" t="str">
        <f t="shared" si="224"/>
        <v>89301000</v>
      </c>
      <c r="C3584" s="1">
        <v>44429</v>
      </c>
      <c r="D3584" s="1">
        <v>44433</v>
      </c>
      <c r="E3584">
        <v>1</v>
      </c>
      <c r="F3584" t="s">
        <v>96</v>
      </c>
      <c r="G3584" t="str">
        <f>"11-K01-03"</f>
        <v>11-K01-03</v>
      </c>
      <c r="H3584">
        <v>0.59489999999999998</v>
      </c>
      <c r="I3584" t="s">
        <v>2521</v>
      </c>
      <c r="J3584" t="s">
        <v>14</v>
      </c>
      <c r="K3584" t="str">
        <f>"1F1"</f>
        <v>1F1</v>
      </c>
      <c r="L3584" t="s">
        <v>15</v>
      </c>
    </row>
    <row r="3585" spans="1:12" x14ac:dyDescent="0.25">
      <c r="A3585" t="str">
        <f>"435419429"</f>
        <v>435419429</v>
      </c>
      <c r="B3585" t="str">
        <f t="shared" si="224"/>
        <v>89301000</v>
      </c>
      <c r="C3585" s="1">
        <v>44423</v>
      </c>
      <c r="D3585" s="1">
        <v>44428</v>
      </c>
      <c r="E3585">
        <v>7</v>
      </c>
      <c r="F3585" t="s">
        <v>2004</v>
      </c>
      <c r="G3585" t="str">
        <f>"05-I13-02"</f>
        <v>05-I13-02</v>
      </c>
      <c r="H3585">
        <v>9.2362000000000002</v>
      </c>
      <c r="I3585" t="s">
        <v>2522</v>
      </c>
      <c r="J3585" t="s">
        <v>17</v>
      </c>
      <c r="K3585" t="str">
        <f>"5F5"</f>
        <v>5F5</v>
      </c>
      <c r="L3585" t="s">
        <v>15</v>
      </c>
    </row>
    <row r="3586" spans="1:12" x14ac:dyDescent="0.25">
      <c r="A3586" t="str">
        <f>"435424427"</f>
        <v>435424427</v>
      </c>
      <c r="B3586" t="str">
        <f t="shared" si="224"/>
        <v>89301000</v>
      </c>
      <c r="C3586" s="1">
        <v>44537</v>
      </c>
      <c r="D3586" s="1">
        <v>44545</v>
      </c>
      <c r="E3586">
        <v>1</v>
      </c>
      <c r="F3586" t="s">
        <v>96</v>
      </c>
      <c r="G3586" t="str">
        <f>"11-K01-02"</f>
        <v>11-K01-02</v>
      </c>
      <c r="H3586">
        <v>0.82289999999999996</v>
      </c>
      <c r="I3586" t="s">
        <v>2523</v>
      </c>
      <c r="J3586" t="s">
        <v>14</v>
      </c>
      <c r="K3586" t="str">
        <f>"1F9"</f>
        <v>1F9</v>
      </c>
      <c r="L3586" t="s">
        <v>15</v>
      </c>
    </row>
    <row r="3587" spans="1:12" x14ac:dyDescent="0.25">
      <c r="A3587" t="str">
        <f>"435425011"</f>
        <v>435425011</v>
      </c>
      <c r="B3587" t="str">
        <f t="shared" si="224"/>
        <v>89301000</v>
      </c>
      <c r="C3587" s="1">
        <v>44319</v>
      </c>
      <c r="D3587" s="1">
        <v>44320</v>
      </c>
      <c r="E3587">
        <v>1</v>
      </c>
      <c r="F3587" t="s">
        <v>2524</v>
      </c>
      <c r="G3587" t="str">
        <f>"88-I02-00"</f>
        <v>88-I02-00</v>
      </c>
      <c r="H3587">
        <v>0.11459999999999999</v>
      </c>
      <c r="I3587" t="s">
        <v>2525</v>
      </c>
      <c r="J3587" t="s">
        <v>14</v>
      </c>
      <c r="K3587" t="str">
        <f>"7F5"</f>
        <v>7F5</v>
      </c>
      <c r="L3587" t="s">
        <v>15</v>
      </c>
    </row>
    <row r="3588" spans="1:12" x14ac:dyDescent="0.25">
      <c r="A3588" t="str">
        <f>"435425011"</f>
        <v>435425011</v>
      </c>
      <c r="B3588" t="str">
        <f t="shared" si="224"/>
        <v>89301000</v>
      </c>
      <c r="C3588" s="1">
        <v>44249</v>
      </c>
      <c r="D3588" s="1">
        <v>44250</v>
      </c>
      <c r="E3588">
        <v>1</v>
      </c>
      <c r="F3588" t="s">
        <v>2524</v>
      </c>
      <c r="G3588" t="str">
        <f>"02-I08-02"</f>
        <v>02-I08-02</v>
      </c>
      <c r="H3588">
        <v>0.55269999999999997</v>
      </c>
      <c r="I3588" t="s">
        <v>2526</v>
      </c>
      <c r="J3588" t="s">
        <v>17</v>
      </c>
      <c r="K3588" t="str">
        <f>"7F5"</f>
        <v>7F5</v>
      </c>
      <c r="L3588" t="s">
        <v>15</v>
      </c>
    </row>
    <row r="3589" spans="1:12" x14ac:dyDescent="0.25">
      <c r="A3589" t="str">
        <f>"435501421"</f>
        <v>435501421</v>
      </c>
      <c r="B3589" t="str">
        <f t="shared" si="224"/>
        <v>89301000</v>
      </c>
      <c r="C3589" s="1">
        <v>44222</v>
      </c>
      <c r="D3589" s="1">
        <v>44225</v>
      </c>
      <c r="E3589">
        <v>1</v>
      </c>
      <c r="F3589" t="s">
        <v>2527</v>
      </c>
      <c r="G3589" t="str">
        <f>"13-I14-03"</f>
        <v>13-I14-03</v>
      </c>
      <c r="H3589">
        <v>0.83199999999999996</v>
      </c>
      <c r="J3589" t="s">
        <v>24</v>
      </c>
      <c r="K3589" t="str">
        <f>"6F3"</f>
        <v>6F3</v>
      </c>
      <c r="L3589" t="s">
        <v>15</v>
      </c>
    </row>
    <row r="3590" spans="1:12" x14ac:dyDescent="0.25">
      <c r="A3590" t="str">
        <f>"435511414"</f>
        <v>435511414</v>
      </c>
      <c r="B3590" t="str">
        <f t="shared" si="224"/>
        <v>89301000</v>
      </c>
      <c r="C3590" s="1">
        <v>44230</v>
      </c>
      <c r="D3590" s="1">
        <v>44231</v>
      </c>
      <c r="E3590">
        <v>1</v>
      </c>
      <c r="F3590" t="s">
        <v>1561</v>
      </c>
      <c r="G3590" t="str">
        <f>"07-M02-04"</f>
        <v>07-M02-04</v>
      </c>
      <c r="H3590">
        <v>0.7681</v>
      </c>
      <c r="I3590" t="s">
        <v>2528</v>
      </c>
      <c r="J3590" t="s">
        <v>17</v>
      </c>
      <c r="K3590" t="str">
        <f>"1F5"</f>
        <v>1F5</v>
      </c>
      <c r="L3590" t="s">
        <v>15</v>
      </c>
    </row>
    <row r="3591" spans="1:12" x14ac:dyDescent="0.25">
      <c r="A3591" t="str">
        <f>"435516422"</f>
        <v>435516422</v>
      </c>
      <c r="B3591" t="str">
        <f t="shared" si="224"/>
        <v>89301000</v>
      </c>
      <c r="C3591" s="1">
        <v>44221</v>
      </c>
      <c r="D3591" s="1">
        <v>44229</v>
      </c>
      <c r="E3591">
        <v>1</v>
      </c>
      <c r="F3591" t="s">
        <v>2008</v>
      </c>
      <c r="G3591" t="str">
        <f>"13-I13-02"</f>
        <v>13-I13-02</v>
      </c>
      <c r="H3591">
        <v>1.0749</v>
      </c>
      <c r="J3591" t="s">
        <v>17</v>
      </c>
      <c r="K3591" t="str">
        <f>"6F3"</f>
        <v>6F3</v>
      </c>
      <c r="L3591" t="s">
        <v>15</v>
      </c>
    </row>
    <row r="3592" spans="1:12" x14ac:dyDescent="0.25">
      <c r="A3592" t="str">
        <f>"435528441"</f>
        <v>435528441</v>
      </c>
      <c r="B3592" t="str">
        <f t="shared" si="224"/>
        <v>89301000</v>
      </c>
      <c r="C3592" s="1">
        <v>44517</v>
      </c>
      <c r="D3592" s="1">
        <v>44521</v>
      </c>
      <c r="E3592">
        <v>6</v>
      </c>
      <c r="F3592" t="s">
        <v>2350</v>
      </c>
      <c r="G3592" t="str">
        <f>"01-I09-02"</f>
        <v>01-I09-02</v>
      </c>
      <c r="H3592">
        <v>1.5302</v>
      </c>
      <c r="I3592" t="s">
        <v>2428</v>
      </c>
      <c r="J3592" t="s">
        <v>17</v>
      </c>
      <c r="K3592" t="str">
        <f>"5T1"</f>
        <v>5T1</v>
      </c>
      <c r="L3592" t="s">
        <v>15</v>
      </c>
    </row>
    <row r="3593" spans="1:12" x14ac:dyDescent="0.25">
      <c r="A3593" t="str">
        <f>"435609447"</f>
        <v>435609447</v>
      </c>
      <c r="B3593" t="str">
        <f t="shared" si="224"/>
        <v>89301000</v>
      </c>
      <c r="C3593" s="1">
        <v>44360</v>
      </c>
      <c r="D3593" s="1">
        <v>44363</v>
      </c>
      <c r="E3593">
        <v>1</v>
      </c>
      <c r="F3593" t="s">
        <v>1555</v>
      </c>
      <c r="G3593" t="str">
        <f>"05-M04-04"</f>
        <v>05-M04-04</v>
      </c>
      <c r="H3593">
        <v>2.4672999999999998</v>
      </c>
      <c r="I3593" t="s">
        <v>2529</v>
      </c>
      <c r="J3593" t="s">
        <v>17</v>
      </c>
      <c r="K3593" t="str">
        <f>"5F1"</f>
        <v>5F1</v>
      </c>
      <c r="L3593" t="s">
        <v>15</v>
      </c>
    </row>
    <row r="3594" spans="1:12" x14ac:dyDescent="0.25">
      <c r="A3594" t="str">
        <f>"435705101"</f>
        <v>435705101</v>
      </c>
      <c r="B3594" t="str">
        <f t="shared" si="224"/>
        <v>89301000</v>
      </c>
      <c r="C3594" s="1">
        <v>44215</v>
      </c>
      <c r="D3594" s="1">
        <v>44218</v>
      </c>
      <c r="E3594">
        <v>1</v>
      </c>
      <c r="F3594" t="s">
        <v>2530</v>
      </c>
      <c r="G3594" t="str">
        <f>"08-I23-02"</f>
        <v>08-I23-02</v>
      </c>
      <c r="H3594">
        <v>0.93840000000000001</v>
      </c>
      <c r="J3594" t="s">
        <v>17</v>
      </c>
      <c r="K3594" t="str">
        <f>"6F6"</f>
        <v>6F6</v>
      </c>
      <c r="L3594" t="s">
        <v>15</v>
      </c>
    </row>
    <row r="3595" spans="1:12" x14ac:dyDescent="0.25">
      <c r="A3595" t="str">
        <f>"435705441"</f>
        <v>435705441</v>
      </c>
      <c r="B3595" t="str">
        <f t="shared" si="224"/>
        <v>89301000</v>
      </c>
      <c r="C3595" s="1">
        <v>44495</v>
      </c>
      <c r="D3595" s="1">
        <v>44496</v>
      </c>
      <c r="E3595">
        <v>1</v>
      </c>
      <c r="F3595" t="s">
        <v>1567</v>
      </c>
      <c r="G3595" t="str">
        <f>"05-I25-03"</f>
        <v>05-I25-03</v>
      </c>
      <c r="H3595">
        <v>1.5508</v>
      </c>
      <c r="I3595" t="s">
        <v>2531</v>
      </c>
      <c r="J3595" t="s">
        <v>17</v>
      </c>
      <c r="K3595" t="str">
        <f>"1F7"</f>
        <v>1F7</v>
      </c>
      <c r="L3595" t="s">
        <v>15</v>
      </c>
    </row>
    <row r="3596" spans="1:12" x14ac:dyDescent="0.25">
      <c r="A3596" t="str">
        <f>"435713429"</f>
        <v>435713429</v>
      </c>
      <c r="B3596" t="str">
        <f t="shared" si="224"/>
        <v>89301000</v>
      </c>
      <c r="C3596" s="1">
        <v>44442</v>
      </c>
      <c r="D3596" s="1">
        <v>44443</v>
      </c>
      <c r="E3596">
        <v>1</v>
      </c>
      <c r="F3596" t="s">
        <v>1557</v>
      </c>
      <c r="G3596" t="str">
        <f>"05-M06-08"</f>
        <v>05-M06-08</v>
      </c>
      <c r="H3596">
        <v>1.4719</v>
      </c>
      <c r="I3596" t="s">
        <v>2532</v>
      </c>
      <c r="J3596" t="s">
        <v>17</v>
      </c>
      <c r="K3596" t="str">
        <f>"1F1"</f>
        <v>1F1</v>
      </c>
      <c r="L3596" t="s">
        <v>15</v>
      </c>
    </row>
    <row r="3597" spans="1:12" x14ac:dyDescent="0.25">
      <c r="A3597" t="str">
        <f>"435720436"</f>
        <v>435720436</v>
      </c>
      <c r="B3597" t="str">
        <f t="shared" si="224"/>
        <v>89301000</v>
      </c>
      <c r="C3597" s="1">
        <v>44402</v>
      </c>
      <c r="D3597" s="1">
        <v>44421</v>
      </c>
      <c r="E3597">
        <v>5</v>
      </c>
      <c r="F3597" t="s">
        <v>1875</v>
      </c>
      <c r="G3597" t="str">
        <f>"05-K05-01"</f>
        <v>05-K05-01</v>
      </c>
      <c r="H3597">
        <v>1.8922000000000001</v>
      </c>
      <c r="I3597" t="s">
        <v>2533</v>
      </c>
      <c r="J3597" t="s">
        <v>14</v>
      </c>
      <c r="K3597" t="str">
        <f>"1F6"</f>
        <v>1F6</v>
      </c>
      <c r="L3597" t="s">
        <v>15</v>
      </c>
    </row>
    <row r="3598" spans="1:12" x14ac:dyDescent="0.25">
      <c r="A3598" t="str">
        <f>"435720442"</f>
        <v>435720442</v>
      </c>
      <c r="B3598" t="str">
        <f t="shared" si="224"/>
        <v>89301000</v>
      </c>
      <c r="C3598" s="1">
        <v>44487</v>
      </c>
      <c r="D3598" s="1">
        <v>44490</v>
      </c>
      <c r="E3598">
        <v>2</v>
      </c>
      <c r="F3598" t="s">
        <v>94</v>
      </c>
      <c r="G3598" t="str">
        <f>"21-K05-03"</f>
        <v>21-K05-03</v>
      </c>
      <c r="H3598">
        <v>0.46750000000000003</v>
      </c>
      <c r="I3598" t="s">
        <v>2534</v>
      </c>
      <c r="J3598" t="s">
        <v>14</v>
      </c>
      <c r="K3598" t="str">
        <f>"1F1"</f>
        <v>1F1</v>
      </c>
      <c r="L3598" t="s">
        <v>15</v>
      </c>
    </row>
    <row r="3599" spans="1:12" x14ac:dyDescent="0.25">
      <c r="A3599" t="str">
        <f>"435720442"</f>
        <v>435720442</v>
      </c>
      <c r="B3599" t="str">
        <f t="shared" si="224"/>
        <v>89301000</v>
      </c>
      <c r="C3599" s="1">
        <v>44466</v>
      </c>
      <c r="D3599" s="1">
        <v>44473</v>
      </c>
      <c r="E3599">
        <v>1</v>
      </c>
      <c r="F3599" t="s">
        <v>1660</v>
      </c>
      <c r="G3599" t="str">
        <f>"01-K12-01"</f>
        <v>01-K12-01</v>
      </c>
      <c r="H3599">
        <v>0.71289999999999998</v>
      </c>
      <c r="I3599" t="s">
        <v>2535</v>
      </c>
      <c r="J3599" t="s">
        <v>14</v>
      </c>
      <c r="K3599" t="str">
        <f>"2F9"</f>
        <v>2F9</v>
      </c>
      <c r="L3599" t="s">
        <v>15</v>
      </c>
    </row>
    <row r="3600" spans="1:12" x14ac:dyDescent="0.25">
      <c r="A3600" t="str">
        <f>"435727432"</f>
        <v>435727432</v>
      </c>
      <c r="B3600" t="str">
        <f t="shared" si="224"/>
        <v>89301000</v>
      </c>
      <c r="C3600" s="1">
        <v>44198</v>
      </c>
      <c r="D3600" s="1">
        <v>44206</v>
      </c>
      <c r="E3600">
        <v>1</v>
      </c>
      <c r="F3600" t="s">
        <v>217</v>
      </c>
      <c r="G3600" t="str">
        <f>"04-K02-04"</f>
        <v>04-K02-04</v>
      </c>
      <c r="H3600">
        <v>0.82469999999999999</v>
      </c>
      <c r="I3600" t="s">
        <v>2536</v>
      </c>
      <c r="J3600" t="s">
        <v>14</v>
      </c>
      <c r="K3600" t="str">
        <f>"5F1"</f>
        <v>5F1</v>
      </c>
      <c r="L3600" t="s">
        <v>15</v>
      </c>
    </row>
    <row r="3601" spans="1:12" x14ac:dyDescent="0.25">
      <c r="A3601" t="str">
        <f>"435727432"</f>
        <v>435727432</v>
      </c>
      <c r="B3601" t="str">
        <f t="shared" si="224"/>
        <v>89301000</v>
      </c>
      <c r="C3601" s="1">
        <v>44426</v>
      </c>
      <c r="D3601" s="1">
        <v>44440</v>
      </c>
      <c r="E3601">
        <v>1</v>
      </c>
      <c r="F3601" t="s">
        <v>2537</v>
      </c>
      <c r="G3601" t="str">
        <f>"19-K04-02"</f>
        <v>19-K04-02</v>
      </c>
      <c r="H3601">
        <v>1.4597</v>
      </c>
      <c r="I3601" t="s">
        <v>2538</v>
      </c>
      <c r="J3601" t="s">
        <v>27</v>
      </c>
      <c r="K3601" t="str">
        <f>"3F5"</f>
        <v>3F5</v>
      </c>
      <c r="L3601" t="s">
        <v>15</v>
      </c>
    </row>
    <row r="3602" spans="1:12" x14ac:dyDescent="0.25">
      <c r="A3602" t="str">
        <f>"435801458"</f>
        <v>435801458</v>
      </c>
      <c r="B3602" t="str">
        <f t="shared" si="224"/>
        <v>89301000</v>
      </c>
      <c r="C3602" s="1">
        <v>44211</v>
      </c>
      <c r="D3602" s="1">
        <v>44214</v>
      </c>
      <c r="E3602">
        <v>1</v>
      </c>
      <c r="F3602" t="s">
        <v>146</v>
      </c>
      <c r="G3602" t="str">
        <f>"17-K05-02"</f>
        <v>17-K05-02</v>
      </c>
      <c r="H3602">
        <v>0.94220000000000004</v>
      </c>
      <c r="I3602" t="s">
        <v>2539</v>
      </c>
      <c r="J3602" t="s">
        <v>14</v>
      </c>
      <c r="K3602" t="str">
        <f>"2F2"</f>
        <v>2F2</v>
      </c>
      <c r="L3602" t="s">
        <v>15</v>
      </c>
    </row>
    <row r="3603" spans="1:12" x14ac:dyDescent="0.25">
      <c r="A3603" t="str">
        <f>"435801458"</f>
        <v>435801458</v>
      </c>
      <c r="B3603" t="str">
        <f t="shared" si="224"/>
        <v>89301000</v>
      </c>
      <c r="C3603" s="1">
        <v>44295</v>
      </c>
      <c r="D3603" s="1">
        <v>44313</v>
      </c>
      <c r="E3603">
        <v>7</v>
      </c>
      <c r="F3603" t="s">
        <v>962</v>
      </c>
      <c r="G3603" t="str">
        <f>"04-K08-02"</f>
        <v>04-K08-02</v>
      </c>
      <c r="H3603">
        <v>2.6110000000000002</v>
      </c>
      <c r="I3603" t="s">
        <v>2540</v>
      </c>
      <c r="J3603" t="s">
        <v>14</v>
      </c>
      <c r="K3603" t="str">
        <f>"5T1"</f>
        <v>5T1</v>
      </c>
      <c r="L3603" t="s">
        <v>15</v>
      </c>
    </row>
    <row r="3604" spans="1:12" x14ac:dyDescent="0.25">
      <c r="A3604" t="str">
        <f>"435801458"</f>
        <v>435801458</v>
      </c>
      <c r="B3604" t="str">
        <f t="shared" si="224"/>
        <v>89301000</v>
      </c>
      <c r="C3604" s="1">
        <v>44251</v>
      </c>
      <c r="D3604" s="1">
        <v>44253</v>
      </c>
      <c r="E3604">
        <v>1</v>
      </c>
      <c r="F3604" t="s">
        <v>2541</v>
      </c>
      <c r="G3604" t="str">
        <f>"13-I19-00"</f>
        <v>13-I19-00</v>
      </c>
      <c r="H3604">
        <v>0.24679999999999999</v>
      </c>
      <c r="J3604" t="s">
        <v>14</v>
      </c>
      <c r="K3604" t="str">
        <f>"6F3"</f>
        <v>6F3</v>
      </c>
      <c r="L3604" t="s">
        <v>15</v>
      </c>
    </row>
    <row r="3605" spans="1:12" x14ac:dyDescent="0.25">
      <c r="A3605" t="str">
        <f>"435824454"</f>
        <v>435824454</v>
      </c>
      <c r="B3605" t="str">
        <f t="shared" si="224"/>
        <v>89301000</v>
      </c>
      <c r="C3605" s="1">
        <v>44470</v>
      </c>
      <c r="D3605" s="1">
        <v>44476</v>
      </c>
      <c r="E3605">
        <v>1</v>
      </c>
      <c r="F3605" t="s">
        <v>1553</v>
      </c>
      <c r="G3605" t="str">
        <f>"04-K05-02"</f>
        <v>04-K05-02</v>
      </c>
      <c r="H3605">
        <v>1.2657</v>
      </c>
      <c r="I3605" t="s">
        <v>2542</v>
      </c>
      <c r="J3605" t="s">
        <v>14</v>
      </c>
      <c r="K3605" t="str">
        <f>"1F5"</f>
        <v>1F5</v>
      </c>
      <c r="L3605" t="s">
        <v>15</v>
      </c>
    </row>
    <row r="3606" spans="1:12" x14ac:dyDescent="0.25">
      <c r="A3606" t="str">
        <f>"435925429"</f>
        <v>435925429</v>
      </c>
      <c r="B3606" t="str">
        <f t="shared" si="224"/>
        <v>89301000</v>
      </c>
      <c r="C3606" s="1">
        <v>44360</v>
      </c>
      <c r="D3606" s="1">
        <v>44362</v>
      </c>
      <c r="E3606">
        <v>1</v>
      </c>
      <c r="F3606" t="s">
        <v>831</v>
      </c>
      <c r="G3606" t="str">
        <f>"02-I06-03"</f>
        <v>02-I06-03</v>
      </c>
      <c r="H3606">
        <v>0.63690000000000002</v>
      </c>
      <c r="I3606" t="s">
        <v>2543</v>
      </c>
      <c r="J3606" t="s">
        <v>17</v>
      </c>
      <c r="K3606" t="str">
        <f>"7F5"</f>
        <v>7F5</v>
      </c>
      <c r="L3606" t="s">
        <v>15</v>
      </c>
    </row>
    <row r="3607" spans="1:12" x14ac:dyDescent="0.25">
      <c r="A3607" t="str">
        <f t="shared" ref="A3607:A3631" si="225">"436003453"</f>
        <v>436003453</v>
      </c>
      <c r="B3607" t="str">
        <f t="shared" si="224"/>
        <v>89301000</v>
      </c>
      <c r="C3607" s="1">
        <v>44200</v>
      </c>
      <c r="D3607" s="1">
        <v>44201</v>
      </c>
      <c r="E3607">
        <v>1</v>
      </c>
      <c r="F3607" t="s">
        <v>2544</v>
      </c>
      <c r="G3607" t="str">
        <f>"04-C02-02"</f>
        <v>04-C02-02</v>
      </c>
      <c r="H3607">
        <v>0.3589</v>
      </c>
      <c r="I3607" t="s">
        <v>541</v>
      </c>
      <c r="J3607" t="s">
        <v>14</v>
      </c>
      <c r="K3607" t="str">
        <f t="shared" ref="K3607:K3631" si="226">"4F2"</f>
        <v>4F2</v>
      </c>
      <c r="L3607" t="s">
        <v>15</v>
      </c>
    </row>
    <row r="3608" spans="1:12" x14ac:dyDescent="0.25">
      <c r="A3608" t="str">
        <f t="shared" si="225"/>
        <v>436003453</v>
      </c>
      <c r="B3608" t="str">
        <f t="shared" ref="B3608:B3671" si="227">"89301000"</f>
        <v>89301000</v>
      </c>
      <c r="C3608" s="1">
        <v>44221</v>
      </c>
      <c r="D3608" s="1">
        <v>44222</v>
      </c>
      <c r="E3608">
        <v>1</v>
      </c>
      <c r="F3608" t="s">
        <v>2544</v>
      </c>
      <c r="G3608" t="str">
        <f>"04-C02-02"</f>
        <v>04-C02-02</v>
      </c>
      <c r="H3608">
        <v>0.3589</v>
      </c>
      <c r="I3608" t="s">
        <v>2545</v>
      </c>
      <c r="J3608" t="s">
        <v>14</v>
      </c>
      <c r="K3608" t="str">
        <f t="shared" si="226"/>
        <v>4F2</v>
      </c>
      <c r="L3608" t="s">
        <v>15</v>
      </c>
    </row>
    <row r="3609" spans="1:12" x14ac:dyDescent="0.25">
      <c r="A3609" t="str">
        <f t="shared" si="225"/>
        <v>436003453</v>
      </c>
      <c r="B3609" t="str">
        <f t="shared" si="227"/>
        <v>89301000</v>
      </c>
      <c r="C3609" s="1">
        <v>44246</v>
      </c>
      <c r="D3609" s="1">
        <v>44247</v>
      </c>
      <c r="E3609">
        <v>1</v>
      </c>
      <c r="F3609" t="s">
        <v>2544</v>
      </c>
      <c r="G3609" t="str">
        <f>"04-C02-02"</f>
        <v>04-C02-02</v>
      </c>
      <c r="H3609">
        <v>0.3589</v>
      </c>
      <c r="I3609" t="s">
        <v>2545</v>
      </c>
      <c r="J3609" t="s">
        <v>14</v>
      </c>
      <c r="K3609" t="str">
        <f t="shared" si="226"/>
        <v>4F2</v>
      </c>
      <c r="L3609" t="s">
        <v>15</v>
      </c>
    </row>
    <row r="3610" spans="1:12" x14ac:dyDescent="0.25">
      <c r="A3610" t="str">
        <f t="shared" si="225"/>
        <v>436003453</v>
      </c>
      <c r="B3610" t="str">
        <f t="shared" si="227"/>
        <v>89301000</v>
      </c>
      <c r="C3610" s="1">
        <v>44267</v>
      </c>
      <c r="D3610" s="1">
        <v>44268</v>
      </c>
      <c r="E3610">
        <v>1</v>
      </c>
      <c r="F3610" t="s">
        <v>2544</v>
      </c>
      <c r="G3610" t="str">
        <f>"04-C02-02"</f>
        <v>04-C02-02</v>
      </c>
      <c r="H3610">
        <v>0.3589</v>
      </c>
      <c r="I3610" t="s">
        <v>2546</v>
      </c>
      <c r="J3610" t="s">
        <v>14</v>
      </c>
      <c r="K3610" t="str">
        <f t="shared" si="226"/>
        <v>4F2</v>
      </c>
      <c r="L3610" t="s">
        <v>15</v>
      </c>
    </row>
    <row r="3611" spans="1:12" x14ac:dyDescent="0.25">
      <c r="A3611" t="str">
        <f t="shared" si="225"/>
        <v>436003453</v>
      </c>
      <c r="B3611" t="str">
        <f t="shared" si="227"/>
        <v>89301000</v>
      </c>
      <c r="C3611" s="1">
        <v>44277</v>
      </c>
      <c r="D3611" s="1">
        <v>44280</v>
      </c>
      <c r="E3611">
        <v>1</v>
      </c>
      <c r="F3611" t="s">
        <v>2544</v>
      </c>
      <c r="G3611" t="str">
        <f>"04-K09-03"</f>
        <v>04-K09-03</v>
      </c>
      <c r="H3611">
        <v>0.62749999999999995</v>
      </c>
      <c r="I3611" t="s">
        <v>145</v>
      </c>
      <c r="J3611" t="s">
        <v>14</v>
      </c>
      <c r="K3611" t="str">
        <f t="shared" si="226"/>
        <v>4F2</v>
      </c>
      <c r="L3611" t="s">
        <v>15</v>
      </c>
    </row>
    <row r="3612" spans="1:12" x14ac:dyDescent="0.25">
      <c r="A3612" t="str">
        <f t="shared" si="225"/>
        <v>436003453</v>
      </c>
      <c r="B3612" t="str">
        <f t="shared" si="227"/>
        <v>89301000</v>
      </c>
      <c r="C3612" s="1">
        <v>44292</v>
      </c>
      <c r="D3612" s="1">
        <v>44293</v>
      </c>
      <c r="E3612">
        <v>1</v>
      </c>
      <c r="F3612" t="s">
        <v>2544</v>
      </c>
      <c r="G3612" t="str">
        <f>"04-K09-03"</f>
        <v>04-K09-03</v>
      </c>
      <c r="H3612">
        <v>0.62749999999999995</v>
      </c>
      <c r="I3612" t="s">
        <v>2545</v>
      </c>
      <c r="J3612" t="s">
        <v>14</v>
      </c>
      <c r="K3612" t="str">
        <f t="shared" si="226"/>
        <v>4F2</v>
      </c>
      <c r="L3612" t="s">
        <v>15</v>
      </c>
    </row>
    <row r="3613" spans="1:12" x14ac:dyDescent="0.25">
      <c r="A3613" t="str">
        <f t="shared" si="225"/>
        <v>436003453</v>
      </c>
      <c r="B3613" t="str">
        <f t="shared" si="227"/>
        <v>89301000</v>
      </c>
      <c r="C3613" s="1">
        <v>44313</v>
      </c>
      <c r="D3613" s="1">
        <v>44316</v>
      </c>
      <c r="E3613">
        <v>1</v>
      </c>
      <c r="F3613" t="s">
        <v>2544</v>
      </c>
      <c r="G3613" t="str">
        <f t="shared" ref="G3613:G3624" si="228">"04-C02-02"</f>
        <v>04-C02-02</v>
      </c>
      <c r="H3613">
        <v>0.3589</v>
      </c>
      <c r="I3613" t="s">
        <v>2545</v>
      </c>
      <c r="J3613" t="s">
        <v>14</v>
      </c>
      <c r="K3613" t="str">
        <f t="shared" si="226"/>
        <v>4F2</v>
      </c>
      <c r="L3613" t="s">
        <v>15</v>
      </c>
    </row>
    <row r="3614" spans="1:12" x14ac:dyDescent="0.25">
      <c r="A3614" t="str">
        <f t="shared" si="225"/>
        <v>436003453</v>
      </c>
      <c r="B3614" t="str">
        <f t="shared" si="227"/>
        <v>89301000</v>
      </c>
      <c r="C3614" s="1">
        <v>44333</v>
      </c>
      <c r="D3614" s="1">
        <v>44334</v>
      </c>
      <c r="E3614">
        <v>1</v>
      </c>
      <c r="F3614" t="s">
        <v>2544</v>
      </c>
      <c r="G3614" t="str">
        <f t="shared" si="228"/>
        <v>04-C02-02</v>
      </c>
      <c r="H3614">
        <v>0.3589</v>
      </c>
      <c r="I3614" t="s">
        <v>2545</v>
      </c>
      <c r="J3614" t="s">
        <v>14</v>
      </c>
      <c r="K3614" t="str">
        <f t="shared" si="226"/>
        <v>4F2</v>
      </c>
      <c r="L3614" t="s">
        <v>15</v>
      </c>
    </row>
    <row r="3615" spans="1:12" x14ac:dyDescent="0.25">
      <c r="A3615" t="str">
        <f t="shared" si="225"/>
        <v>436003453</v>
      </c>
      <c r="B3615" t="str">
        <f t="shared" si="227"/>
        <v>89301000</v>
      </c>
      <c r="C3615" s="1">
        <v>44343</v>
      </c>
      <c r="D3615" s="1">
        <v>44344</v>
      </c>
      <c r="E3615">
        <v>1</v>
      </c>
      <c r="F3615" t="s">
        <v>2544</v>
      </c>
      <c r="G3615" t="str">
        <f t="shared" si="228"/>
        <v>04-C02-02</v>
      </c>
      <c r="H3615">
        <v>0.3589</v>
      </c>
      <c r="I3615" t="s">
        <v>541</v>
      </c>
      <c r="J3615" t="s">
        <v>14</v>
      </c>
      <c r="K3615" t="str">
        <f t="shared" si="226"/>
        <v>4F2</v>
      </c>
      <c r="L3615" t="s">
        <v>15</v>
      </c>
    </row>
    <row r="3616" spans="1:12" x14ac:dyDescent="0.25">
      <c r="A3616" t="str">
        <f t="shared" si="225"/>
        <v>436003453</v>
      </c>
      <c r="B3616" t="str">
        <f t="shared" si="227"/>
        <v>89301000</v>
      </c>
      <c r="C3616" s="1">
        <v>44350</v>
      </c>
      <c r="D3616" s="1">
        <v>44351</v>
      </c>
      <c r="E3616">
        <v>1</v>
      </c>
      <c r="F3616" t="s">
        <v>2544</v>
      </c>
      <c r="G3616" t="str">
        <f t="shared" si="228"/>
        <v>04-C02-02</v>
      </c>
      <c r="H3616">
        <v>0.3589</v>
      </c>
      <c r="I3616" t="s">
        <v>2545</v>
      </c>
      <c r="J3616" t="s">
        <v>14</v>
      </c>
      <c r="K3616" t="str">
        <f t="shared" si="226"/>
        <v>4F2</v>
      </c>
      <c r="L3616" t="s">
        <v>15</v>
      </c>
    </row>
    <row r="3617" spans="1:12" x14ac:dyDescent="0.25">
      <c r="A3617" t="str">
        <f t="shared" si="225"/>
        <v>436003453</v>
      </c>
      <c r="B3617" t="str">
        <f t="shared" si="227"/>
        <v>89301000</v>
      </c>
      <c r="C3617" s="1">
        <v>44357</v>
      </c>
      <c r="D3617" s="1">
        <v>44358</v>
      </c>
      <c r="E3617">
        <v>1</v>
      </c>
      <c r="F3617" t="s">
        <v>2544</v>
      </c>
      <c r="G3617" t="str">
        <f t="shared" si="228"/>
        <v>04-C02-02</v>
      </c>
      <c r="H3617">
        <v>0.3589</v>
      </c>
      <c r="I3617" t="s">
        <v>2545</v>
      </c>
      <c r="J3617" t="s">
        <v>14</v>
      </c>
      <c r="K3617" t="str">
        <f t="shared" si="226"/>
        <v>4F2</v>
      </c>
      <c r="L3617" t="s">
        <v>15</v>
      </c>
    </row>
    <row r="3618" spans="1:12" x14ac:dyDescent="0.25">
      <c r="A3618" t="str">
        <f t="shared" si="225"/>
        <v>436003453</v>
      </c>
      <c r="B3618" t="str">
        <f t="shared" si="227"/>
        <v>89301000</v>
      </c>
      <c r="C3618" s="1">
        <v>44365</v>
      </c>
      <c r="D3618" s="1">
        <v>44366</v>
      </c>
      <c r="E3618">
        <v>1</v>
      </c>
      <c r="F3618" t="s">
        <v>2544</v>
      </c>
      <c r="G3618" t="str">
        <f t="shared" si="228"/>
        <v>04-C02-02</v>
      </c>
      <c r="H3618">
        <v>0.3589</v>
      </c>
      <c r="I3618" t="s">
        <v>541</v>
      </c>
      <c r="J3618" t="s">
        <v>14</v>
      </c>
      <c r="K3618" t="str">
        <f t="shared" si="226"/>
        <v>4F2</v>
      </c>
      <c r="L3618" t="s">
        <v>15</v>
      </c>
    </row>
    <row r="3619" spans="1:12" x14ac:dyDescent="0.25">
      <c r="A3619" t="str">
        <f t="shared" si="225"/>
        <v>436003453</v>
      </c>
      <c r="B3619" t="str">
        <f t="shared" si="227"/>
        <v>89301000</v>
      </c>
      <c r="C3619" s="1">
        <v>44375</v>
      </c>
      <c r="D3619" s="1">
        <v>44376</v>
      </c>
      <c r="E3619">
        <v>1</v>
      </c>
      <c r="F3619" t="s">
        <v>2544</v>
      </c>
      <c r="G3619" t="str">
        <f t="shared" si="228"/>
        <v>04-C02-02</v>
      </c>
      <c r="H3619">
        <v>0.3589</v>
      </c>
      <c r="I3619" t="s">
        <v>2545</v>
      </c>
      <c r="J3619" t="s">
        <v>14</v>
      </c>
      <c r="K3619" t="str">
        <f t="shared" si="226"/>
        <v>4F2</v>
      </c>
      <c r="L3619" t="s">
        <v>15</v>
      </c>
    </row>
    <row r="3620" spans="1:12" x14ac:dyDescent="0.25">
      <c r="A3620" t="str">
        <f t="shared" si="225"/>
        <v>436003453</v>
      </c>
      <c r="B3620" t="str">
        <f t="shared" si="227"/>
        <v>89301000</v>
      </c>
      <c r="C3620" s="1">
        <v>44385</v>
      </c>
      <c r="D3620" s="1">
        <v>44386</v>
      </c>
      <c r="E3620">
        <v>1</v>
      </c>
      <c r="F3620" t="s">
        <v>2544</v>
      </c>
      <c r="G3620" t="str">
        <f t="shared" si="228"/>
        <v>04-C02-02</v>
      </c>
      <c r="H3620">
        <v>0.3589</v>
      </c>
      <c r="I3620" t="s">
        <v>2545</v>
      </c>
      <c r="J3620" t="s">
        <v>14</v>
      </c>
      <c r="K3620" t="str">
        <f t="shared" si="226"/>
        <v>4F2</v>
      </c>
      <c r="L3620" t="s">
        <v>15</v>
      </c>
    </row>
    <row r="3621" spans="1:12" x14ac:dyDescent="0.25">
      <c r="A3621" t="str">
        <f t="shared" si="225"/>
        <v>436003453</v>
      </c>
      <c r="B3621" t="str">
        <f t="shared" si="227"/>
        <v>89301000</v>
      </c>
      <c r="C3621" s="1">
        <v>44392</v>
      </c>
      <c r="D3621" s="1">
        <v>44393</v>
      </c>
      <c r="E3621">
        <v>1</v>
      </c>
      <c r="F3621" t="s">
        <v>2544</v>
      </c>
      <c r="G3621" t="str">
        <f t="shared" si="228"/>
        <v>04-C02-02</v>
      </c>
      <c r="H3621">
        <v>0.3589</v>
      </c>
      <c r="I3621" t="s">
        <v>2545</v>
      </c>
      <c r="J3621" t="s">
        <v>14</v>
      </c>
      <c r="K3621" t="str">
        <f t="shared" si="226"/>
        <v>4F2</v>
      </c>
      <c r="L3621" t="s">
        <v>15</v>
      </c>
    </row>
    <row r="3622" spans="1:12" x14ac:dyDescent="0.25">
      <c r="A3622" t="str">
        <f t="shared" si="225"/>
        <v>436003453</v>
      </c>
      <c r="B3622" t="str">
        <f t="shared" si="227"/>
        <v>89301000</v>
      </c>
      <c r="C3622" s="1">
        <v>44399</v>
      </c>
      <c r="D3622" s="1">
        <v>44400</v>
      </c>
      <c r="E3622">
        <v>1</v>
      </c>
      <c r="F3622" t="s">
        <v>2544</v>
      </c>
      <c r="G3622" t="str">
        <f t="shared" si="228"/>
        <v>04-C02-02</v>
      </c>
      <c r="H3622">
        <v>0.3589</v>
      </c>
      <c r="I3622" t="s">
        <v>2545</v>
      </c>
      <c r="J3622" t="s">
        <v>14</v>
      </c>
      <c r="K3622" t="str">
        <f t="shared" si="226"/>
        <v>4F2</v>
      </c>
      <c r="L3622" t="s">
        <v>15</v>
      </c>
    </row>
    <row r="3623" spans="1:12" x14ac:dyDescent="0.25">
      <c r="A3623" t="str">
        <f t="shared" si="225"/>
        <v>436003453</v>
      </c>
      <c r="B3623" t="str">
        <f t="shared" si="227"/>
        <v>89301000</v>
      </c>
      <c r="C3623" s="1">
        <v>44406</v>
      </c>
      <c r="D3623" s="1">
        <v>44407</v>
      </c>
      <c r="E3623">
        <v>1</v>
      </c>
      <c r="F3623" t="s">
        <v>2544</v>
      </c>
      <c r="G3623" t="str">
        <f t="shared" si="228"/>
        <v>04-C02-02</v>
      </c>
      <c r="H3623">
        <v>0.3589</v>
      </c>
      <c r="I3623" t="s">
        <v>2545</v>
      </c>
      <c r="J3623" t="s">
        <v>14</v>
      </c>
      <c r="K3623" t="str">
        <f t="shared" si="226"/>
        <v>4F2</v>
      </c>
      <c r="L3623" t="s">
        <v>15</v>
      </c>
    </row>
    <row r="3624" spans="1:12" x14ac:dyDescent="0.25">
      <c r="A3624" t="str">
        <f t="shared" si="225"/>
        <v>436003453</v>
      </c>
      <c r="B3624" t="str">
        <f t="shared" si="227"/>
        <v>89301000</v>
      </c>
      <c r="C3624" s="1">
        <v>44414</v>
      </c>
      <c r="D3624" s="1">
        <v>44415</v>
      </c>
      <c r="E3624">
        <v>1</v>
      </c>
      <c r="F3624" t="s">
        <v>2544</v>
      </c>
      <c r="G3624" t="str">
        <f t="shared" si="228"/>
        <v>04-C02-02</v>
      </c>
      <c r="H3624">
        <v>0.3589</v>
      </c>
      <c r="I3624" t="s">
        <v>2545</v>
      </c>
      <c r="J3624" t="s">
        <v>14</v>
      </c>
      <c r="K3624" t="str">
        <f t="shared" si="226"/>
        <v>4F2</v>
      </c>
      <c r="L3624" t="s">
        <v>15</v>
      </c>
    </row>
    <row r="3625" spans="1:12" x14ac:dyDescent="0.25">
      <c r="A3625" t="str">
        <f t="shared" si="225"/>
        <v>436003453</v>
      </c>
      <c r="B3625" t="str">
        <f t="shared" si="227"/>
        <v>89301000</v>
      </c>
      <c r="C3625" s="1">
        <v>44421</v>
      </c>
      <c r="D3625" s="1">
        <v>44422</v>
      </c>
      <c r="E3625">
        <v>1</v>
      </c>
      <c r="F3625" t="s">
        <v>2544</v>
      </c>
      <c r="G3625" t="str">
        <f>"04-K09-02"</f>
        <v>04-K09-02</v>
      </c>
      <c r="H3625">
        <v>0.67520000000000002</v>
      </c>
      <c r="I3625" t="s">
        <v>2547</v>
      </c>
      <c r="J3625" t="s">
        <v>14</v>
      </c>
      <c r="K3625" t="str">
        <f t="shared" si="226"/>
        <v>4F2</v>
      </c>
      <c r="L3625" t="s">
        <v>15</v>
      </c>
    </row>
    <row r="3626" spans="1:12" x14ac:dyDescent="0.25">
      <c r="A3626" t="str">
        <f t="shared" si="225"/>
        <v>436003453</v>
      </c>
      <c r="B3626" t="str">
        <f t="shared" si="227"/>
        <v>89301000</v>
      </c>
      <c r="C3626" s="1">
        <v>44438</v>
      </c>
      <c r="D3626" s="1">
        <v>44439</v>
      </c>
      <c r="E3626">
        <v>1</v>
      </c>
      <c r="F3626" t="s">
        <v>2544</v>
      </c>
      <c r="G3626" t="str">
        <f t="shared" ref="G3626:G3631" si="229">"04-C02-02"</f>
        <v>04-C02-02</v>
      </c>
      <c r="H3626">
        <v>0.3589</v>
      </c>
      <c r="I3626" t="s">
        <v>2548</v>
      </c>
      <c r="J3626" t="s">
        <v>14</v>
      </c>
      <c r="K3626" t="str">
        <f t="shared" si="226"/>
        <v>4F2</v>
      </c>
      <c r="L3626" t="s">
        <v>15</v>
      </c>
    </row>
    <row r="3627" spans="1:12" x14ac:dyDescent="0.25">
      <c r="A3627" t="str">
        <f t="shared" si="225"/>
        <v>436003453</v>
      </c>
      <c r="B3627" t="str">
        <f t="shared" si="227"/>
        <v>89301000</v>
      </c>
      <c r="C3627" s="1">
        <v>44448</v>
      </c>
      <c r="D3627" s="1">
        <v>44449</v>
      </c>
      <c r="E3627">
        <v>1</v>
      </c>
      <c r="F3627" t="s">
        <v>2544</v>
      </c>
      <c r="G3627" t="str">
        <f t="shared" si="229"/>
        <v>04-C02-02</v>
      </c>
      <c r="H3627">
        <v>0.3589</v>
      </c>
      <c r="I3627" t="s">
        <v>541</v>
      </c>
      <c r="J3627" t="s">
        <v>14</v>
      </c>
      <c r="K3627" t="str">
        <f t="shared" si="226"/>
        <v>4F2</v>
      </c>
      <c r="L3627" t="s">
        <v>15</v>
      </c>
    </row>
    <row r="3628" spans="1:12" x14ac:dyDescent="0.25">
      <c r="A3628" t="str">
        <f t="shared" si="225"/>
        <v>436003453</v>
      </c>
      <c r="B3628" t="str">
        <f t="shared" si="227"/>
        <v>89301000</v>
      </c>
      <c r="C3628" s="1">
        <v>44455</v>
      </c>
      <c r="D3628" s="1">
        <v>44456</v>
      </c>
      <c r="E3628">
        <v>1</v>
      </c>
      <c r="F3628" t="s">
        <v>2544</v>
      </c>
      <c r="G3628" t="str">
        <f t="shared" si="229"/>
        <v>04-C02-02</v>
      </c>
      <c r="H3628">
        <v>0.3589</v>
      </c>
      <c r="I3628" t="s">
        <v>541</v>
      </c>
      <c r="J3628" t="s">
        <v>14</v>
      </c>
      <c r="K3628" t="str">
        <f t="shared" si="226"/>
        <v>4F2</v>
      </c>
      <c r="L3628" t="s">
        <v>15</v>
      </c>
    </row>
    <row r="3629" spans="1:12" x14ac:dyDescent="0.25">
      <c r="A3629" t="str">
        <f t="shared" si="225"/>
        <v>436003453</v>
      </c>
      <c r="B3629" t="str">
        <f t="shared" si="227"/>
        <v>89301000</v>
      </c>
      <c r="C3629" s="1">
        <v>44463</v>
      </c>
      <c r="D3629" s="1">
        <v>44464</v>
      </c>
      <c r="E3629">
        <v>1</v>
      </c>
      <c r="F3629" t="s">
        <v>2544</v>
      </c>
      <c r="G3629" t="str">
        <f t="shared" si="229"/>
        <v>04-C02-02</v>
      </c>
      <c r="H3629">
        <v>0.3589</v>
      </c>
      <c r="I3629" t="s">
        <v>541</v>
      </c>
      <c r="J3629" t="s">
        <v>14</v>
      </c>
      <c r="K3629" t="str">
        <f t="shared" si="226"/>
        <v>4F2</v>
      </c>
      <c r="L3629" t="s">
        <v>15</v>
      </c>
    </row>
    <row r="3630" spans="1:12" x14ac:dyDescent="0.25">
      <c r="A3630" t="str">
        <f t="shared" si="225"/>
        <v>436003453</v>
      </c>
      <c r="B3630" t="str">
        <f t="shared" si="227"/>
        <v>89301000</v>
      </c>
      <c r="C3630" s="1">
        <v>44469</v>
      </c>
      <c r="D3630" s="1">
        <v>44470</v>
      </c>
      <c r="E3630">
        <v>1</v>
      </c>
      <c r="F3630" t="s">
        <v>2544</v>
      </c>
      <c r="G3630" t="str">
        <f t="shared" si="229"/>
        <v>04-C02-02</v>
      </c>
      <c r="H3630">
        <v>0.3589</v>
      </c>
      <c r="I3630" t="s">
        <v>2545</v>
      </c>
      <c r="J3630" t="s">
        <v>14</v>
      </c>
      <c r="K3630" t="str">
        <f t="shared" si="226"/>
        <v>4F2</v>
      </c>
      <c r="L3630" t="s">
        <v>15</v>
      </c>
    </row>
    <row r="3631" spans="1:12" x14ac:dyDescent="0.25">
      <c r="A3631" t="str">
        <f t="shared" si="225"/>
        <v>436003453</v>
      </c>
      <c r="B3631" t="str">
        <f t="shared" si="227"/>
        <v>89301000</v>
      </c>
      <c r="C3631" s="1">
        <v>44483</v>
      </c>
      <c r="D3631" s="1">
        <v>44484</v>
      </c>
      <c r="E3631">
        <v>1</v>
      </c>
      <c r="F3631" t="s">
        <v>2544</v>
      </c>
      <c r="G3631" t="str">
        <f t="shared" si="229"/>
        <v>04-C02-02</v>
      </c>
      <c r="H3631">
        <v>0.3589</v>
      </c>
      <c r="I3631" t="s">
        <v>2545</v>
      </c>
      <c r="J3631" t="s">
        <v>14</v>
      </c>
      <c r="K3631" t="str">
        <f t="shared" si="226"/>
        <v>4F2</v>
      </c>
      <c r="L3631" t="s">
        <v>15</v>
      </c>
    </row>
    <row r="3632" spans="1:12" x14ac:dyDescent="0.25">
      <c r="A3632" t="str">
        <f>"436011112"</f>
        <v>436011112</v>
      </c>
      <c r="B3632" t="str">
        <f t="shared" si="227"/>
        <v>89301000</v>
      </c>
      <c r="C3632" s="1">
        <v>44481</v>
      </c>
      <c r="D3632" s="1">
        <v>44484</v>
      </c>
      <c r="E3632">
        <v>1</v>
      </c>
      <c r="F3632" t="s">
        <v>1602</v>
      </c>
      <c r="G3632" t="str">
        <f>"05-K07-05"</f>
        <v>05-K07-05</v>
      </c>
      <c r="H3632">
        <v>0.81410000000000005</v>
      </c>
      <c r="I3632" t="s">
        <v>2496</v>
      </c>
      <c r="J3632" t="s">
        <v>14</v>
      </c>
      <c r="K3632" t="str">
        <f>"1F1"</f>
        <v>1F1</v>
      </c>
      <c r="L3632" t="s">
        <v>15</v>
      </c>
    </row>
    <row r="3633" spans="1:12" x14ac:dyDescent="0.25">
      <c r="A3633" t="str">
        <f>"436013455"</f>
        <v>436013455</v>
      </c>
      <c r="B3633" t="str">
        <f t="shared" si="227"/>
        <v>89301000</v>
      </c>
      <c r="C3633" s="1">
        <v>44318</v>
      </c>
      <c r="D3633" s="1">
        <v>44326</v>
      </c>
      <c r="E3633">
        <v>1</v>
      </c>
      <c r="F3633" t="s">
        <v>2549</v>
      </c>
      <c r="G3633" t="str">
        <f>"10-I03-01"</f>
        <v>10-I03-01</v>
      </c>
      <c r="H3633">
        <v>3.3294999999999999</v>
      </c>
      <c r="I3633" t="s">
        <v>2550</v>
      </c>
      <c r="J3633" t="s">
        <v>14</v>
      </c>
      <c r="K3633" t="str">
        <f>"5F1"</f>
        <v>5F1</v>
      </c>
      <c r="L3633" t="s">
        <v>15</v>
      </c>
    </row>
    <row r="3634" spans="1:12" x14ac:dyDescent="0.25">
      <c r="A3634" t="str">
        <f>"436017449"</f>
        <v>436017449</v>
      </c>
      <c r="B3634" t="str">
        <f t="shared" si="227"/>
        <v>89301000</v>
      </c>
      <c r="C3634" s="1">
        <v>44466</v>
      </c>
      <c r="D3634" s="1">
        <v>44467</v>
      </c>
      <c r="E3634">
        <v>1</v>
      </c>
      <c r="F3634" t="s">
        <v>1785</v>
      </c>
      <c r="G3634" t="str">
        <f>"05-D01-06"</f>
        <v>05-D01-06</v>
      </c>
      <c r="H3634">
        <v>0.7611</v>
      </c>
      <c r="I3634" t="s">
        <v>2551</v>
      </c>
      <c r="J3634" t="s">
        <v>14</v>
      </c>
      <c r="K3634" t="str">
        <f>"1F1"</f>
        <v>1F1</v>
      </c>
      <c r="L3634" t="s">
        <v>15</v>
      </c>
    </row>
    <row r="3635" spans="1:12" x14ac:dyDescent="0.25">
      <c r="A3635" t="str">
        <f>"436017449"</f>
        <v>436017449</v>
      </c>
      <c r="B3635" t="str">
        <f t="shared" si="227"/>
        <v>89301000</v>
      </c>
      <c r="C3635" s="1">
        <v>44323</v>
      </c>
      <c r="D3635" s="1">
        <v>44326</v>
      </c>
      <c r="E3635">
        <v>1</v>
      </c>
      <c r="F3635" t="s">
        <v>41</v>
      </c>
      <c r="G3635" t="str">
        <f>"01-D01-03"</f>
        <v>01-D01-03</v>
      </c>
      <c r="H3635">
        <v>0.2054</v>
      </c>
      <c r="I3635" t="s">
        <v>2552</v>
      </c>
      <c r="J3635" t="s">
        <v>14</v>
      </c>
      <c r="K3635" t="str">
        <f>"2F5"</f>
        <v>2F5</v>
      </c>
      <c r="L3635" t="s">
        <v>15</v>
      </c>
    </row>
    <row r="3636" spans="1:12" x14ac:dyDescent="0.25">
      <c r="A3636" t="str">
        <f>"436017449"</f>
        <v>436017449</v>
      </c>
      <c r="B3636" t="str">
        <f t="shared" si="227"/>
        <v>89301000</v>
      </c>
      <c r="C3636" s="1">
        <v>44277</v>
      </c>
      <c r="D3636" s="1">
        <v>44278</v>
      </c>
      <c r="E3636">
        <v>1</v>
      </c>
      <c r="F3636" t="s">
        <v>41</v>
      </c>
      <c r="G3636" t="str">
        <f>"01-D01-03"</f>
        <v>01-D01-03</v>
      </c>
      <c r="H3636">
        <v>0.158</v>
      </c>
      <c r="I3636" t="s">
        <v>2552</v>
      </c>
      <c r="J3636" t="s">
        <v>14</v>
      </c>
      <c r="K3636" t="str">
        <f>"2F5"</f>
        <v>2F5</v>
      </c>
      <c r="L3636" t="s">
        <v>15</v>
      </c>
    </row>
    <row r="3637" spans="1:12" x14ac:dyDescent="0.25">
      <c r="A3637" t="str">
        <f t="shared" ref="A3637:A3651" si="230">"436022401"</f>
        <v>436022401</v>
      </c>
      <c r="B3637" t="str">
        <f t="shared" si="227"/>
        <v>89301000</v>
      </c>
      <c r="C3637" s="1">
        <v>44536</v>
      </c>
      <c r="D3637" s="1">
        <v>44538</v>
      </c>
      <c r="E3637">
        <v>1</v>
      </c>
      <c r="F3637" t="s">
        <v>2553</v>
      </c>
      <c r="G3637" t="str">
        <f>"17-C06-02"</f>
        <v>17-C06-02</v>
      </c>
      <c r="H3637">
        <v>0.3826</v>
      </c>
      <c r="I3637" t="s">
        <v>2554</v>
      </c>
      <c r="J3637" t="s">
        <v>14</v>
      </c>
      <c r="K3637" t="str">
        <f t="shared" ref="K3637:K3651" si="231">"4F2"</f>
        <v>4F2</v>
      </c>
      <c r="L3637" t="s">
        <v>15</v>
      </c>
    </row>
    <row r="3638" spans="1:12" x14ac:dyDescent="0.25">
      <c r="A3638" t="str">
        <f t="shared" si="230"/>
        <v>436022401</v>
      </c>
      <c r="B3638" t="str">
        <f t="shared" si="227"/>
        <v>89301000</v>
      </c>
      <c r="C3638" s="1">
        <v>44363</v>
      </c>
      <c r="D3638" s="1">
        <v>44365</v>
      </c>
      <c r="E3638">
        <v>1</v>
      </c>
      <c r="F3638" t="s">
        <v>2030</v>
      </c>
      <c r="G3638" t="str">
        <f t="shared" ref="G3638:G3646" si="232">"06-C02-01"</f>
        <v>06-C02-01</v>
      </c>
      <c r="H3638">
        <v>0.27229999999999999</v>
      </c>
      <c r="I3638" t="s">
        <v>2555</v>
      </c>
      <c r="J3638" t="s">
        <v>14</v>
      </c>
      <c r="K3638" t="str">
        <f t="shared" si="231"/>
        <v>4F2</v>
      </c>
      <c r="L3638" t="s">
        <v>15</v>
      </c>
    </row>
    <row r="3639" spans="1:12" x14ac:dyDescent="0.25">
      <c r="A3639" t="str">
        <f t="shared" si="230"/>
        <v>436022401</v>
      </c>
      <c r="B3639" t="str">
        <f t="shared" si="227"/>
        <v>89301000</v>
      </c>
      <c r="C3639" s="1">
        <v>44349</v>
      </c>
      <c r="D3639" s="1">
        <v>44351</v>
      </c>
      <c r="E3639">
        <v>1</v>
      </c>
      <c r="F3639" t="s">
        <v>2030</v>
      </c>
      <c r="G3639" t="str">
        <f t="shared" si="232"/>
        <v>06-C02-01</v>
      </c>
      <c r="H3639">
        <v>0.27229999999999999</v>
      </c>
      <c r="I3639" t="s">
        <v>2555</v>
      </c>
      <c r="J3639" t="s">
        <v>14</v>
      </c>
      <c r="K3639" t="str">
        <f t="shared" si="231"/>
        <v>4F2</v>
      </c>
      <c r="L3639" t="s">
        <v>15</v>
      </c>
    </row>
    <row r="3640" spans="1:12" x14ac:dyDescent="0.25">
      <c r="A3640" t="str">
        <f t="shared" si="230"/>
        <v>436022401</v>
      </c>
      <c r="B3640" t="str">
        <f t="shared" si="227"/>
        <v>89301000</v>
      </c>
      <c r="C3640" s="1">
        <v>44335</v>
      </c>
      <c r="D3640" s="1">
        <v>44337</v>
      </c>
      <c r="E3640">
        <v>1</v>
      </c>
      <c r="F3640" t="s">
        <v>2030</v>
      </c>
      <c r="G3640" t="str">
        <f t="shared" si="232"/>
        <v>06-C02-01</v>
      </c>
      <c r="H3640">
        <v>0.27229999999999999</v>
      </c>
      <c r="I3640" t="s">
        <v>2555</v>
      </c>
      <c r="J3640" t="s">
        <v>14</v>
      </c>
      <c r="K3640" t="str">
        <f t="shared" si="231"/>
        <v>4F2</v>
      </c>
      <c r="L3640" t="s">
        <v>15</v>
      </c>
    </row>
    <row r="3641" spans="1:12" x14ac:dyDescent="0.25">
      <c r="A3641" t="str">
        <f t="shared" si="230"/>
        <v>436022401</v>
      </c>
      <c r="B3641" t="str">
        <f t="shared" si="227"/>
        <v>89301000</v>
      </c>
      <c r="C3641" s="1">
        <v>44321</v>
      </c>
      <c r="D3641" s="1">
        <v>44323</v>
      </c>
      <c r="E3641">
        <v>1</v>
      </c>
      <c r="F3641" t="s">
        <v>2030</v>
      </c>
      <c r="G3641" t="str">
        <f t="shared" si="232"/>
        <v>06-C02-01</v>
      </c>
      <c r="H3641">
        <v>0.27229999999999999</v>
      </c>
      <c r="I3641" t="s">
        <v>2555</v>
      </c>
      <c r="J3641" t="s">
        <v>14</v>
      </c>
      <c r="K3641" t="str">
        <f t="shared" si="231"/>
        <v>4F2</v>
      </c>
      <c r="L3641" t="s">
        <v>15</v>
      </c>
    </row>
    <row r="3642" spans="1:12" x14ac:dyDescent="0.25">
      <c r="A3642" t="str">
        <f t="shared" si="230"/>
        <v>436022401</v>
      </c>
      <c r="B3642" t="str">
        <f t="shared" si="227"/>
        <v>89301000</v>
      </c>
      <c r="C3642" s="1">
        <v>44307</v>
      </c>
      <c r="D3642" s="1">
        <v>44310</v>
      </c>
      <c r="E3642">
        <v>1</v>
      </c>
      <c r="F3642" t="s">
        <v>2030</v>
      </c>
      <c r="G3642" t="str">
        <f t="shared" si="232"/>
        <v>06-C02-01</v>
      </c>
      <c r="H3642">
        <v>0.27229999999999999</v>
      </c>
      <c r="I3642" t="s">
        <v>2556</v>
      </c>
      <c r="J3642" t="s">
        <v>14</v>
      </c>
      <c r="K3642" t="str">
        <f t="shared" si="231"/>
        <v>4F2</v>
      </c>
      <c r="L3642" t="s">
        <v>15</v>
      </c>
    </row>
    <row r="3643" spans="1:12" x14ac:dyDescent="0.25">
      <c r="A3643" t="str">
        <f t="shared" si="230"/>
        <v>436022401</v>
      </c>
      <c r="B3643" t="str">
        <f t="shared" si="227"/>
        <v>89301000</v>
      </c>
      <c r="C3643" s="1">
        <v>44480</v>
      </c>
      <c r="D3643" s="1">
        <v>44482</v>
      </c>
      <c r="E3643">
        <v>1</v>
      </c>
      <c r="F3643" t="s">
        <v>2030</v>
      </c>
      <c r="G3643" t="str">
        <f t="shared" si="232"/>
        <v>06-C02-01</v>
      </c>
      <c r="H3643">
        <v>0.27229999999999999</v>
      </c>
      <c r="I3643" t="s">
        <v>2557</v>
      </c>
      <c r="J3643" t="s">
        <v>14</v>
      </c>
      <c r="K3643" t="str">
        <f t="shared" si="231"/>
        <v>4F2</v>
      </c>
      <c r="L3643" t="s">
        <v>15</v>
      </c>
    </row>
    <row r="3644" spans="1:12" x14ac:dyDescent="0.25">
      <c r="A3644" t="str">
        <f t="shared" si="230"/>
        <v>436022401</v>
      </c>
      <c r="B3644" t="str">
        <f t="shared" si="227"/>
        <v>89301000</v>
      </c>
      <c r="C3644" s="1">
        <v>44466</v>
      </c>
      <c r="D3644" s="1">
        <v>44469</v>
      </c>
      <c r="E3644">
        <v>1</v>
      </c>
      <c r="F3644" t="s">
        <v>2030</v>
      </c>
      <c r="G3644" t="str">
        <f t="shared" si="232"/>
        <v>06-C02-01</v>
      </c>
      <c r="H3644">
        <v>0.27229999999999999</v>
      </c>
      <c r="I3644" t="s">
        <v>2558</v>
      </c>
      <c r="J3644" t="s">
        <v>14</v>
      </c>
      <c r="K3644" t="str">
        <f t="shared" si="231"/>
        <v>4F2</v>
      </c>
      <c r="L3644" t="s">
        <v>15</v>
      </c>
    </row>
    <row r="3645" spans="1:12" x14ac:dyDescent="0.25">
      <c r="A3645" t="str">
        <f t="shared" si="230"/>
        <v>436022401</v>
      </c>
      <c r="B3645" t="str">
        <f t="shared" si="227"/>
        <v>89301000</v>
      </c>
      <c r="C3645" s="1">
        <v>44452</v>
      </c>
      <c r="D3645" s="1">
        <v>44454</v>
      </c>
      <c r="E3645">
        <v>1</v>
      </c>
      <c r="F3645" t="s">
        <v>2030</v>
      </c>
      <c r="G3645" t="str">
        <f t="shared" si="232"/>
        <v>06-C02-01</v>
      </c>
      <c r="H3645">
        <v>0.27229999999999999</v>
      </c>
      <c r="I3645" t="s">
        <v>2557</v>
      </c>
      <c r="J3645" t="s">
        <v>14</v>
      </c>
      <c r="K3645" t="str">
        <f t="shared" si="231"/>
        <v>4F2</v>
      </c>
      <c r="L3645" t="s">
        <v>15</v>
      </c>
    </row>
    <row r="3646" spans="1:12" x14ac:dyDescent="0.25">
      <c r="A3646" t="str">
        <f t="shared" si="230"/>
        <v>436022401</v>
      </c>
      <c r="B3646" t="str">
        <f t="shared" si="227"/>
        <v>89301000</v>
      </c>
      <c r="C3646" s="1">
        <v>44438</v>
      </c>
      <c r="D3646" s="1">
        <v>44440</v>
      </c>
      <c r="E3646">
        <v>1</v>
      </c>
      <c r="F3646" t="s">
        <v>2030</v>
      </c>
      <c r="G3646" t="str">
        <f t="shared" si="232"/>
        <v>06-C02-01</v>
      </c>
      <c r="H3646">
        <v>0.27229999999999999</v>
      </c>
      <c r="I3646" t="s">
        <v>2557</v>
      </c>
      <c r="J3646" t="s">
        <v>14</v>
      </c>
      <c r="K3646" t="str">
        <f t="shared" si="231"/>
        <v>4F2</v>
      </c>
      <c r="L3646" t="s">
        <v>15</v>
      </c>
    </row>
    <row r="3647" spans="1:12" x14ac:dyDescent="0.25">
      <c r="A3647" t="str">
        <f t="shared" si="230"/>
        <v>436022401</v>
      </c>
      <c r="B3647" t="str">
        <f t="shared" si="227"/>
        <v>89301000</v>
      </c>
      <c r="C3647" s="1">
        <v>44392</v>
      </c>
      <c r="D3647" s="1">
        <v>44393</v>
      </c>
      <c r="E3647">
        <v>1</v>
      </c>
      <c r="F3647" t="s">
        <v>2030</v>
      </c>
      <c r="G3647" t="str">
        <f>"06-K14-02"</f>
        <v>06-K14-02</v>
      </c>
      <c r="H3647">
        <v>0.57279999999999998</v>
      </c>
      <c r="I3647" t="s">
        <v>2559</v>
      </c>
      <c r="J3647" t="s">
        <v>14</v>
      </c>
      <c r="K3647" t="str">
        <f t="shared" si="231"/>
        <v>4F2</v>
      </c>
      <c r="L3647" t="s">
        <v>15</v>
      </c>
    </row>
    <row r="3648" spans="1:12" x14ac:dyDescent="0.25">
      <c r="A3648" t="str">
        <f t="shared" si="230"/>
        <v>436022401</v>
      </c>
      <c r="B3648" t="str">
        <f t="shared" si="227"/>
        <v>89301000</v>
      </c>
      <c r="C3648" s="1">
        <v>44377</v>
      </c>
      <c r="D3648" s="1">
        <v>44379</v>
      </c>
      <c r="E3648">
        <v>1</v>
      </c>
      <c r="F3648" t="s">
        <v>2030</v>
      </c>
      <c r="G3648" t="str">
        <f>"06-C02-01"</f>
        <v>06-C02-01</v>
      </c>
      <c r="H3648">
        <v>0.27229999999999999</v>
      </c>
      <c r="I3648" t="s">
        <v>2556</v>
      </c>
      <c r="J3648" t="s">
        <v>14</v>
      </c>
      <c r="K3648" t="str">
        <f t="shared" si="231"/>
        <v>4F2</v>
      </c>
      <c r="L3648" t="s">
        <v>15</v>
      </c>
    </row>
    <row r="3649" spans="1:12" x14ac:dyDescent="0.25">
      <c r="A3649" t="str">
        <f t="shared" si="230"/>
        <v>436022401</v>
      </c>
      <c r="B3649" t="str">
        <f t="shared" si="227"/>
        <v>89301000</v>
      </c>
      <c r="C3649" s="1">
        <v>44522</v>
      </c>
      <c r="D3649" s="1">
        <v>44525</v>
      </c>
      <c r="E3649">
        <v>1</v>
      </c>
      <c r="F3649" t="s">
        <v>2560</v>
      </c>
      <c r="G3649" t="str">
        <f>"17-C06-02"</f>
        <v>17-C06-02</v>
      </c>
      <c r="H3649">
        <v>0.3826</v>
      </c>
      <c r="I3649" t="s">
        <v>2561</v>
      </c>
      <c r="J3649" t="s">
        <v>14</v>
      </c>
      <c r="K3649" t="str">
        <f t="shared" si="231"/>
        <v>4F2</v>
      </c>
      <c r="L3649" t="s">
        <v>15</v>
      </c>
    </row>
    <row r="3650" spans="1:12" x14ac:dyDescent="0.25">
      <c r="A3650" t="str">
        <f t="shared" si="230"/>
        <v>436022401</v>
      </c>
      <c r="B3650" t="str">
        <f t="shared" si="227"/>
        <v>89301000</v>
      </c>
      <c r="C3650" s="1">
        <v>44508</v>
      </c>
      <c r="D3650" s="1">
        <v>44510</v>
      </c>
      <c r="E3650">
        <v>1</v>
      </c>
      <c r="F3650" t="s">
        <v>2030</v>
      </c>
      <c r="G3650" t="str">
        <f>"06-C02-01"</f>
        <v>06-C02-01</v>
      </c>
      <c r="H3650">
        <v>0.27229999999999999</v>
      </c>
      <c r="I3650" t="s">
        <v>2562</v>
      </c>
      <c r="J3650" t="s">
        <v>14</v>
      </c>
      <c r="K3650" t="str">
        <f t="shared" si="231"/>
        <v>4F2</v>
      </c>
      <c r="L3650" t="s">
        <v>15</v>
      </c>
    </row>
    <row r="3651" spans="1:12" x14ac:dyDescent="0.25">
      <c r="A3651" t="str">
        <f t="shared" si="230"/>
        <v>436022401</v>
      </c>
      <c r="B3651" t="str">
        <f t="shared" si="227"/>
        <v>89301000</v>
      </c>
      <c r="C3651" s="1">
        <v>44494</v>
      </c>
      <c r="D3651" s="1">
        <v>44496</v>
      </c>
      <c r="E3651">
        <v>1</v>
      </c>
      <c r="F3651" t="s">
        <v>2030</v>
      </c>
      <c r="G3651" t="str">
        <f>"06-C02-01"</f>
        <v>06-C02-01</v>
      </c>
      <c r="H3651">
        <v>0.27229999999999999</v>
      </c>
      <c r="I3651" t="s">
        <v>2557</v>
      </c>
      <c r="J3651" t="s">
        <v>14</v>
      </c>
      <c r="K3651" t="str">
        <f t="shared" si="231"/>
        <v>4F2</v>
      </c>
      <c r="L3651" t="s">
        <v>15</v>
      </c>
    </row>
    <row r="3652" spans="1:12" x14ac:dyDescent="0.25">
      <c r="A3652" t="str">
        <f>"436022428"</f>
        <v>436022428</v>
      </c>
      <c r="B3652" t="str">
        <f t="shared" si="227"/>
        <v>89301000</v>
      </c>
      <c r="C3652" s="1">
        <v>44330</v>
      </c>
      <c r="D3652" s="1">
        <v>44340</v>
      </c>
      <c r="E3652">
        <v>1</v>
      </c>
      <c r="F3652" t="s">
        <v>1683</v>
      </c>
      <c r="G3652" t="str">
        <f>"05-M06-06"</f>
        <v>05-M06-06</v>
      </c>
      <c r="H3652">
        <v>2.0697999999999999</v>
      </c>
      <c r="I3652" t="s">
        <v>2563</v>
      </c>
      <c r="J3652" t="s">
        <v>17</v>
      </c>
      <c r="K3652" t="str">
        <f>"1F1"</f>
        <v>1F1</v>
      </c>
      <c r="L3652" t="s">
        <v>15</v>
      </c>
    </row>
    <row r="3653" spans="1:12" x14ac:dyDescent="0.25">
      <c r="A3653" t="str">
        <f>"436022428"</f>
        <v>436022428</v>
      </c>
      <c r="B3653" t="str">
        <f t="shared" si="227"/>
        <v>89301000</v>
      </c>
      <c r="C3653" s="1">
        <v>44306</v>
      </c>
      <c r="D3653" s="1">
        <v>44307</v>
      </c>
      <c r="E3653">
        <v>1</v>
      </c>
      <c r="F3653" t="s">
        <v>1579</v>
      </c>
      <c r="G3653" t="str">
        <f>"05-I25-03"</f>
        <v>05-I25-03</v>
      </c>
      <c r="H3653">
        <v>1.5508</v>
      </c>
      <c r="I3653" t="s">
        <v>1548</v>
      </c>
      <c r="J3653" t="s">
        <v>17</v>
      </c>
      <c r="K3653" t="str">
        <f>"1F1"</f>
        <v>1F1</v>
      </c>
      <c r="L3653" t="s">
        <v>15</v>
      </c>
    </row>
    <row r="3654" spans="1:12" x14ac:dyDescent="0.25">
      <c r="A3654" t="str">
        <f>"436106459"</f>
        <v>436106459</v>
      </c>
      <c r="B3654" t="str">
        <f t="shared" si="227"/>
        <v>89301000</v>
      </c>
      <c r="C3654" s="1">
        <v>44551</v>
      </c>
      <c r="D3654" s="1">
        <v>44553</v>
      </c>
      <c r="E3654">
        <v>1</v>
      </c>
      <c r="F3654" t="s">
        <v>2564</v>
      </c>
      <c r="G3654" t="str">
        <f>"06-K21-03"</f>
        <v>06-K21-03</v>
      </c>
      <c r="H3654">
        <v>0.44429999999999997</v>
      </c>
      <c r="I3654" t="s">
        <v>2565</v>
      </c>
      <c r="J3654" t="s">
        <v>14</v>
      </c>
      <c r="K3654" t="str">
        <f>"1F1"</f>
        <v>1F1</v>
      </c>
      <c r="L3654" t="s">
        <v>15</v>
      </c>
    </row>
    <row r="3655" spans="1:12" x14ac:dyDescent="0.25">
      <c r="A3655" t="str">
        <f>"436114143"</f>
        <v>436114143</v>
      </c>
      <c r="B3655" t="str">
        <f t="shared" si="227"/>
        <v>89301000</v>
      </c>
      <c r="C3655" s="1">
        <v>44529</v>
      </c>
      <c r="D3655" s="1">
        <v>44532</v>
      </c>
      <c r="E3655">
        <v>7</v>
      </c>
      <c r="F3655" t="s">
        <v>217</v>
      </c>
      <c r="G3655" t="str">
        <f>"04-K02-02"</f>
        <v>04-K02-02</v>
      </c>
      <c r="H3655">
        <v>2.0499999999999998</v>
      </c>
      <c r="I3655" t="s">
        <v>274</v>
      </c>
      <c r="J3655" t="s">
        <v>14</v>
      </c>
      <c r="K3655" t="str">
        <f>"1T1"</f>
        <v>1T1</v>
      </c>
      <c r="L3655" t="s">
        <v>15</v>
      </c>
    </row>
    <row r="3656" spans="1:12" x14ac:dyDescent="0.25">
      <c r="A3656" t="str">
        <f>"436114470"</f>
        <v>436114470</v>
      </c>
      <c r="B3656" t="str">
        <f t="shared" si="227"/>
        <v>89301000</v>
      </c>
      <c r="C3656" s="1">
        <v>44454</v>
      </c>
      <c r="D3656" s="1">
        <v>44460</v>
      </c>
      <c r="E3656">
        <v>1</v>
      </c>
      <c r="F3656" t="s">
        <v>448</v>
      </c>
      <c r="G3656" t="str">
        <f>"11-K01-03"</f>
        <v>11-K01-03</v>
      </c>
      <c r="H3656">
        <v>0.59489999999999998</v>
      </c>
      <c r="I3656" t="s">
        <v>2566</v>
      </c>
      <c r="J3656" t="s">
        <v>14</v>
      </c>
      <c r="K3656" t="str">
        <f>"7F6"</f>
        <v>7F6</v>
      </c>
      <c r="L3656" t="s">
        <v>15</v>
      </c>
    </row>
    <row r="3657" spans="1:12" x14ac:dyDescent="0.25">
      <c r="A3657" t="str">
        <f>"436115444"</f>
        <v>436115444</v>
      </c>
      <c r="B3657" t="str">
        <f t="shared" si="227"/>
        <v>89301000</v>
      </c>
      <c r="C3657" s="1">
        <v>44329</v>
      </c>
      <c r="D3657" s="1">
        <v>44332</v>
      </c>
      <c r="E3657">
        <v>1</v>
      </c>
      <c r="F3657" t="s">
        <v>749</v>
      </c>
      <c r="G3657" t="str">
        <f>"03-I14-02"</f>
        <v>03-I14-02</v>
      </c>
      <c r="H3657">
        <v>1.1086</v>
      </c>
      <c r="I3657" t="s">
        <v>2567</v>
      </c>
      <c r="J3657" t="s">
        <v>14</v>
      </c>
      <c r="K3657" t="str">
        <f>"7F1"</f>
        <v>7F1</v>
      </c>
      <c r="L3657" t="s">
        <v>15</v>
      </c>
    </row>
    <row r="3658" spans="1:12" x14ac:dyDescent="0.25">
      <c r="A3658" t="str">
        <f>"436115444"</f>
        <v>436115444</v>
      </c>
      <c r="B3658" t="str">
        <f t="shared" si="227"/>
        <v>89301000</v>
      </c>
      <c r="C3658" s="1">
        <v>44335</v>
      </c>
      <c r="D3658" s="1">
        <v>44338</v>
      </c>
      <c r="E3658">
        <v>1</v>
      </c>
      <c r="F3658" t="s">
        <v>1132</v>
      </c>
      <c r="G3658" t="str">
        <f>"23-K04-02"</f>
        <v>23-K04-02</v>
      </c>
      <c r="H3658">
        <v>0.38690000000000002</v>
      </c>
      <c r="I3658" t="s">
        <v>1931</v>
      </c>
      <c r="J3658" t="s">
        <v>14</v>
      </c>
      <c r="K3658" t="str">
        <f>"7F1"</f>
        <v>7F1</v>
      </c>
      <c r="L3658" t="s">
        <v>15</v>
      </c>
    </row>
    <row r="3659" spans="1:12" x14ac:dyDescent="0.25">
      <c r="A3659" t="str">
        <f>"436115444"</f>
        <v>436115444</v>
      </c>
      <c r="B3659" t="str">
        <f t="shared" si="227"/>
        <v>89301000</v>
      </c>
      <c r="C3659" s="1">
        <v>44413</v>
      </c>
      <c r="D3659" s="1">
        <v>44416</v>
      </c>
      <c r="E3659">
        <v>1</v>
      </c>
      <c r="F3659" t="s">
        <v>311</v>
      </c>
      <c r="G3659" t="str">
        <f>"03-I14-02"</f>
        <v>03-I14-02</v>
      </c>
      <c r="H3659">
        <v>1.1086</v>
      </c>
      <c r="I3659" t="s">
        <v>2568</v>
      </c>
      <c r="J3659" t="s">
        <v>14</v>
      </c>
      <c r="K3659" t="str">
        <f>"7F1"</f>
        <v>7F1</v>
      </c>
      <c r="L3659" t="s">
        <v>15</v>
      </c>
    </row>
    <row r="3660" spans="1:12" x14ac:dyDescent="0.25">
      <c r="A3660" t="str">
        <f>"436121402"</f>
        <v>436121402</v>
      </c>
      <c r="B3660" t="str">
        <f t="shared" si="227"/>
        <v>89301000</v>
      </c>
      <c r="C3660" s="1">
        <v>44374</v>
      </c>
      <c r="D3660" s="1">
        <v>44390</v>
      </c>
      <c r="E3660">
        <v>4</v>
      </c>
      <c r="F3660" t="s">
        <v>2236</v>
      </c>
      <c r="G3660" t="str">
        <f>"10-K04-02"</f>
        <v>10-K04-02</v>
      </c>
      <c r="H3660">
        <v>1.2902</v>
      </c>
      <c r="I3660" t="s">
        <v>2569</v>
      </c>
      <c r="J3660" t="s">
        <v>14</v>
      </c>
      <c r="K3660" t="str">
        <f>"1F5"</f>
        <v>1F5</v>
      </c>
      <c r="L3660" t="s">
        <v>15</v>
      </c>
    </row>
    <row r="3661" spans="1:12" x14ac:dyDescent="0.25">
      <c r="A3661" t="str">
        <f>"436124411"</f>
        <v>436124411</v>
      </c>
      <c r="B3661" t="str">
        <f t="shared" si="227"/>
        <v>89301000</v>
      </c>
      <c r="C3661" s="1">
        <v>44416</v>
      </c>
      <c r="D3661" s="1">
        <v>44428</v>
      </c>
      <c r="E3661">
        <v>1</v>
      </c>
      <c r="F3661" t="s">
        <v>1555</v>
      </c>
      <c r="G3661" t="str">
        <f>"05-I24-01"</f>
        <v>05-I24-01</v>
      </c>
      <c r="H3661">
        <v>5.1612999999999998</v>
      </c>
      <c r="I3661" t="s">
        <v>2570</v>
      </c>
      <c r="J3661" t="s">
        <v>14</v>
      </c>
      <c r="K3661" t="str">
        <f>"5F1"</f>
        <v>5F1</v>
      </c>
      <c r="L3661" t="s">
        <v>15</v>
      </c>
    </row>
    <row r="3662" spans="1:12" x14ac:dyDescent="0.25">
      <c r="A3662" t="str">
        <f>"436125443"</f>
        <v>436125443</v>
      </c>
      <c r="B3662" t="str">
        <f t="shared" si="227"/>
        <v>89301000</v>
      </c>
      <c r="C3662" s="1">
        <v>44298</v>
      </c>
      <c r="D3662" s="1">
        <v>44308</v>
      </c>
      <c r="E3662">
        <v>1</v>
      </c>
      <c r="F3662" t="s">
        <v>67</v>
      </c>
      <c r="G3662" t="str">
        <f>"01-M02-00"</f>
        <v>01-M02-00</v>
      </c>
      <c r="H3662">
        <v>5.4023000000000003</v>
      </c>
      <c r="I3662" t="s">
        <v>2571</v>
      </c>
      <c r="J3662" t="s">
        <v>17</v>
      </c>
      <c r="K3662" t="str">
        <f>"2F9"</f>
        <v>2F9</v>
      </c>
      <c r="L3662" t="s">
        <v>15</v>
      </c>
    </row>
    <row r="3663" spans="1:12" x14ac:dyDescent="0.25">
      <c r="A3663" t="str">
        <f>"436128493"</f>
        <v>436128493</v>
      </c>
      <c r="B3663" t="str">
        <f t="shared" si="227"/>
        <v>89301000</v>
      </c>
      <c r="C3663" s="1">
        <v>44477</v>
      </c>
      <c r="D3663" s="1">
        <v>44483</v>
      </c>
      <c r="E3663">
        <v>1</v>
      </c>
      <c r="F3663" t="s">
        <v>475</v>
      </c>
      <c r="G3663" t="str">
        <f>"10-K04-04"</f>
        <v>10-K04-04</v>
      </c>
      <c r="H3663">
        <v>0.56330000000000002</v>
      </c>
      <c r="I3663" t="s">
        <v>2572</v>
      </c>
      <c r="J3663" t="s">
        <v>14</v>
      </c>
      <c r="K3663" t="str">
        <f>"1F1"</f>
        <v>1F1</v>
      </c>
      <c r="L3663" t="s">
        <v>15</v>
      </c>
    </row>
    <row r="3664" spans="1:12" x14ac:dyDescent="0.25">
      <c r="A3664" t="str">
        <f>"436128493"</f>
        <v>436128493</v>
      </c>
      <c r="B3664" t="str">
        <f t="shared" si="227"/>
        <v>89301000</v>
      </c>
      <c r="C3664" s="1">
        <v>44291</v>
      </c>
      <c r="D3664" s="1">
        <v>44293</v>
      </c>
      <c r="E3664">
        <v>1</v>
      </c>
      <c r="F3664" t="s">
        <v>2573</v>
      </c>
      <c r="G3664" t="str">
        <f>"13-I19-00"</f>
        <v>13-I19-00</v>
      </c>
      <c r="H3664">
        <v>0.24679999999999999</v>
      </c>
      <c r="J3664" t="s">
        <v>14</v>
      </c>
      <c r="K3664" t="str">
        <f>"6F3"</f>
        <v>6F3</v>
      </c>
      <c r="L3664" t="s">
        <v>15</v>
      </c>
    </row>
    <row r="3665" spans="1:12" x14ac:dyDescent="0.25">
      <c r="A3665" t="str">
        <f>"436206478"</f>
        <v>436206478</v>
      </c>
      <c r="B3665" t="str">
        <f t="shared" si="227"/>
        <v>89301000</v>
      </c>
      <c r="C3665" s="1">
        <v>44462</v>
      </c>
      <c r="D3665" s="1">
        <v>44464</v>
      </c>
      <c r="E3665">
        <v>1</v>
      </c>
      <c r="F3665" t="s">
        <v>2574</v>
      </c>
      <c r="G3665" t="str">
        <f>"01-I03-02"</f>
        <v>01-I03-02</v>
      </c>
      <c r="H3665">
        <v>6.6407999999999996</v>
      </c>
      <c r="J3665" t="s">
        <v>24</v>
      </c>
      <c r="K3665" t="str">
        <f>"5F6"</f>
        <v>5F6</v>
      </c>
      <c r="L3665" t="s">
        <v>15</v>
      </c>
    </row>
    <row r="3666" spans="1:12" x14ac:dyDescent="0.25">
      <c r="A3666" t="str">
        <f>"436206478"</f>
        <v>436206478</v>
      </c>
      <c r="B3666" t="str">
        <f t="shared" si="227"/>
        <v>89301000</v>
      </c>
      <c r="C3666" s="1">
        <v>44511</v>
      </c>
      <c r="D3666" s="1">
        <v>44514</v>
      </c>
      <c r="E3666">
        <v>1</v>
      </c>
      <c r="F3666" t="s">
        <v>2574</v>
      </c>
      <c r="G3666" t="str">
        <f>"01-K18-04"</f>
        <v>01-K18-04</v>
      </c>
      <c r="H3666">
        <v>5.3349000000000002</v>
      </c>
      <c r="J3666" t="s">
        <v>14</v>
      </c>
      <c r="K3666" t="str">
        <f>"5F6"</f>
        <v>5F6</v>
      </c>
      <c r="L3666" t="s">
        <v>15</v>
      </c>
    </row>
    <row r="3667" spans="1:12" x14ac:dyDescent="0.25">
      <c r="A3667" t="str">
        <f>"436213439"</f>
        <v>436213439</v>
      </c>
      <c r="B3667" t="str">
        <f t="shared" si="227"/>
        <v>89301000</v>
      </c>
      <c r="C3667" s="1">
        <v>44217</v>
      </c>
      <c r="D3667" s="1">
        <v>44231</v>
      </c>
      <c r="E3667">
        <v>1</v>
      </c>
      <c r="F3667" t="s">
        <v>1955</v>
      </c>
      <c r="G3667" t="str">
        <f>"01-K04-02"</f>
        <v>01-K04-02</v>
      </c>
      <c r="H3667">
        <v>0.80059999999999998</v>
      </c>
      <c r="J3667" t="s">
        <v>14</v>
      </c>
      <c r="K3667" t="str">
        <f>"2F9"</f>
        <v>2F9</v>
      </c>
      <c r="L3667" t="s">
        <v>15</v>
      </c>
    </row>
    <row r="3668" spans="1:12" x14ac:dyDescent="0.25">
      <c r="A3668" t="str">
        <f>"436214442"</f>
        <v>436214442</v>
      </c>
      <c r="B3668" t="str">
        <f t="shared" si="227"/>
        <v>89301000</v>
      </c>
      <c r="C3668" s="1">
        <v>44211</v>
      </c>
      <c r="D3668" s="1">
        <v>44216</v>
      </c>
      <c r="E3668">
        <v>4</v>
      </c>
      <c r="F3668" t="s">
        <v>1643</v>
      </c>
      <c r="G3668" t="str">
        <f>"08-I05-06"</f>
        <v>08-I05-06</v>
      </c>
      <c r="H3668">
        <v>2.0369000000000002</v>
      </c>
      <c r="I3668" t="s">
        <v>2575</v>
      </c>
      <c r="J3668" t="s">
        <v>17</v>
      </c>
      <c r="K3668" t="str">
        <f>"6F6"</f>
        <v>6F6</v>
      </c>
      <c r="L3668" t="s">
        <v>15</v>
      </c>
    </row>
    <row r="3669" spans="1:12" x14ac:dyDescent="0.25">
      <c r="A3669" t="str">
        <f>"436223106"</f>
        <v>436223106</v>
      </c>
      <c r="B3669" t="str">
        <f t="shared" si="227"/>
        <v>89301000</v>
      </c>
      <c r="C3669" s="1">
        <v>44501</v>
      </c>
      <c r="D3669" s="1">
        <v>44505</v>
      </c>
      <c r="E3669">
        <v>1</v>
      </c>
      <c r="F3669" t="s">
        <v>2576</v>
      </c>
      <c r="G3669" t="str">
        <f>"11-K05-00"</f>
        <v>11-K05-00</v>
      </c>
      <c r="H3669">
        <v>0.36730000000000002</v>
      </c>
      <c r="J3669" t="s">
        <v>14</v>
      </c>
      <c r="K3669" t="str">
        <f>"6F3"</f>
        <v>6F3</v>
      </c>
      <c r="L3669" t="s">
        <v>15</v>
      </c>
    </row>
    <row r="3670" spans="1:12" x14ac:dyDescent="0.25">
      <c r="A3670" t="str">
        <f>"440101201"</f>
        <v>440101201</v>
      </c>
      <c r="B3670" t="str">
        <f t="shared" si="227"/>
        <v>89301000</v>
      </c>
      <c r="C3670" s="1">
        <v>44439</v>
      </c>
      <c r="D3670" s="1">
        <v>44445</v>
      </c>
      <c r="E3670">
        <v>1</v>
      </c>
      <c r="F3670" t="s">
        <v>1545</v>
      </c>
      <c r="G3670" t="str">
        <f>"05-I14-02"</f>
        <v>05-I14-02</v>
      </c>
      <c r="H3670">
        <v>6.3216999999999999</v>
      </c>
      <c r="I3670" t="s">
        <v>2577</v>
      </c>
      <c r="J3670" t="s">
        <v>14</v>
      </c>
      <c r="K3670" t="str">
        <f>"1F1"</f>
        <v>1F1</v>
      </c>
      <c r="L3670" t="s">
        <v>15</v>
      </c>
    </row>
    <row r="3671" spans="1:12" x14ac:dyDescent="0.25">
      <c r="A3671" t="str">
        <f>"440101413"</f>
        <v>440101413</v>
      </c>
      <c r="B3671" t="str">
        <f t="shared" si="227"/>
        <v>89301000</v>
      </c>
      <c r="C3671" s="1">
        <v>44456</v>
      </c>
      <c r="D3671" s="1">
        <v>44462</v>
      </c>
      <c r="E3671">
        <v>1</v>
      </c>
      <c r="F3671" t="s">
        <v>1555</v>
      </c>
      <c r="G3671" t="str">
        <f>"05-K12-02"</f>
        <v>05-K12-02</v>
      </c>
      <c r="H3671">
        <v>0.53600000000000003</v>
      </c>
      <c r="I3671" t="s">
        <v>2578</v>
      </c>
      <c r="J3671" t="s">
        <v>14</v>
      </c>
      <c r="K3671" t="str">
        <f>"5F1"</f>
        <v>5F1</v>
      </c>
      <c r="L3671" t="s">
        <v>15</v>
      </c>
    </row>
    <row r="3672" spans="1:12" x14ac:dyDescent="0.25">
      <c r="A3672" t="str">
        <f>"440112138"</f>
        <v>440112138</v>
      </c>
      <c r="B3672" t="str">
        <f t="shared" ref="B3672:B3734" si="233">"89301000"</f>
        <v>89301000</v>
      </c>
      <c r="C3672" s="1">
        <v>44481</v>
      </c>
      <c r="D3672" s="1">
        <v>44482</v>
      </c>
      <c r="E3672">
        <v>1</v>
      </c>
      <c r="F3672" t="s">
        <v>1950</v>
      </c>
      <c r="G3672" t="str">
        <f>"02-I13-02"</f>
        <v>02-I13-02</v>
      </c>
      <c r="H3672">
        <v>0.376</v>
      </c>
      <c r="I3672" t="s">
        <v>2579</v>
      </c>
      <c r="J3672" t="s">
        <v>14</v>
      </c>
      <c r="K3672" t="str">
        <f>"7F5"</f>
        <v>7F5</v>
      </c>
      <c r="L3672" t="s">
        <v>15</v>
      </c>
    </row>
    <row r="3673" spans="1:12" x14ac:dyDescent="0.25">
      <c r="A3673" t="str">
        <f>"440113439"</f>
        <v>440113439</v>
      </c>
      <c r="B3673" t="str">
        <f t="shared" si="233"/>
        <v>89301000</v>
      </c>
      <c r="C3673" s="1">
        <v>44327</v>
      </c>
      <c r="D3673" s="1">
        <v>44333</v>
      </c>
      <c r="E3673">
        <v>1</v>
      </c>
      <c r="F3673" t="s">
        <v>1557</v>
      </c>
      <c r="G3673" t="str">
        <f>"05-M06-08"</f>
        <v>05-M06-08</v>
      </c>
      <c r="H3673">
        <v>1.6127</v>
      </c>
      <c r="I3673" t="s">
        <v>2580</v>
      </c>
      <c r="J3673" t="s">
        <v>17</v>
      </c>
      <c r="K3673" t="str">
        <f>"1F1"</f>
        <v>1F1</v>
      </c>
      <c r="L3673" t="s">
        <v>15</v>
      </c>
    </row>
    <row r="3674" spans="1:12" x14ac:dyDescent="0.25">
      <c r="A3674" t="str">
        <f>"440113439"</f>
        <v>440113439</v>
      </c>
      <c r="B3674" t="str">
        <f t="shared" si="233"/>
        <v>89301000</v>
      </c>
      <c r="C3674" s="1">
        <v>44505</v>
      </c>
      <c r="D3674" s="1">
        <v>44510</v>
      </c>
      <c r="E3674">
        <v>1</v>
      </c>
      <c r="F3674" t="s">
        <v>1739</v>
      </c>
      <c r="G3674" t="str">
        <f>"10-K04-04"</f>
        <v>10-K04-04</v>
      </c>
      <c r="H3674">
        <v>0.56330000000000002</v>
      </c>
      <c r="I3674" t="s">
        <v>2581</v>
      </c>
      <c r="J3674" t="s">
        <v>14</v>
      </c>
      <c r="K3674" t="str">
        <f>"1F1"</f>
        <v>1F1</v>
      </c>
      <c r="L3674" t="s">
        <v>15</v>
      </c>
    </row>
    <row r="3675" spans="1:12" x14ac:dyDescent="0.25">
      <c r="A3675" t="str">
        <f>"440113439"</f>
        <v>440113439</v>
      </c>
      <c r="B3675" t="str">
        <f t="shared" si="233"/>
        <v>89301000</v>
      </c>
      <c r="C3675" s="1">
        <v>44423</v>
      </c>
      <c r="D3675" s="1">
        <v>44426</v>
      </c>
      <c r="E3675">
        <v>1</v>
      </c>
      <c r="F3675" t="s">
        <v>1581</v>
      </c>
      <c r="G3675" t="str">
        <f>"05-M07-06"</f>
        <v>05-M07-06</v>
      </c>
      <c r="H3675">
        <v>1.2513000000000001</v>
      </c>
      <c r="I3675" t="s">
        <v>2582</v>
      </c>
      <c r="J3675" t="s">
        <v>17</v>
      </c>
      <c r="K3675" t="str">
        <f>"5F1"</f>
        <v>5F1</v>
      </c>
      <c r="L3675" t="s">
        <v>15</v>
      </c>
    </row>
    <row r="3676" spans="1:12" x14ac:dyDescent="0.25">
      <c r="A3676" t="str">
        <f>"440113439"</f>
        <v>440113439</v>
      </c>
      <c r="B3676" t="str">
        <f t="shared" si="233"/>
        <v>89301000</v>
      </c>
      <c r="C3676" s="1">
        <v>44211</v>
      </c>
      <c r="D3676" s="1">
        <v>44232</v>
      </c>
      <c r="E3676">
        <v>1</v>
      </c>
      <c r="F3676" t="s">
        <v>217</v>
      </c>
      <c r="G3676" t="str">
        <f>"00-M01-04"</f>
        <v>00-M01-04</v>
      </c>
      <c r="H3676">
        <v>6.85</v>
      </c>
      <c r="I3676" t="s">
        <v>2583</v>
      </c>
      <c r="J3676" t="s">
        <v>14</v>
      </c>
      <c r="K3676" t="str">
        <f>"5F1"</f>
        <v>5F1</v>
      </c>
      <c r="L3676" t="s">
        <v>15</v>
      </c>
    </row>
    <row r="3677" spans="1:12" x14ac:dyDescent="0.25">
      <c r="A3677" t="str">
        <f>"440118718"</f>
        <v>440118718</v>
      </c>
      <c r="B3677" t="str">
        <f t="shared" si="233"/>
        <v>89301000</v>
      </c>
      <c r="C3677" s="1">
        <v>44195</v>
      </c>
      <c r="D3677" s="1">
        <v>44210</v>
      </c>
      <c r="E3677">
        <v>1</v>
      </c>
      <c r="F3677" t="s">
        <v>2328</v>
      </c>
      <c r="G3677" t="str">
        <f>"08-K03-02"</f>
        <v>08-K03-02</v>
      </c>
      <c r="H3677">
        <v>1.5813999999999999</v>
      </c>
      <c r="I3677" t="s">
        <v>2584</v>
      </c>
      <c r="J3677" t="s">
        <v>14</v>
      </c>
      <c r="K3677" t="str">
        <f>"6F6"</f>
        <v>6F6</v>
      </c>
      <c r="L3677" t="s">
        <v>15</v>
      </c>
    </row>
    <row r="3678" spans="1:12" x14ac:dyDescent="0.25">
      <c r="A3678" t="str">
        <f>"440204440"</f>
        <v>440204440</v>
      </c>
      <c r="B3678" t="str">
        <f t="shared" si="233"/>
        <v>89301000</v>
      </c>
      <c r="C3678" s="1">
        <v>44407</v>
      </c>
      <c r="D3678" s="1">
        <v>44410</v>
      </c>
      <c r="E3678">
        <v>8</v>
      </c>
      <c r="F3678" t="s">
        <v>2585</v>
      </c>
      <c r="G3678" t="str">
        <f>"12-K05-01"</f>
        <v>12-K05-01</v>
      </c>
      <c r="H3678">
        <v>0.95450000000000002</v>
      </c>
      <c r="I3678" t="s">
        <v>2586</v>
      </c>
      <c r="J3678" t="s">
        <v>14</v>
      </c>
      <c r="K3678" t="str">
        <f>"4F2"</f>
        <v>4F2</v>
      </c>
      <c r="L3678" t="s">
        <v>15</v>
      </c>
    </row>
    <row r="3679" spans="1:12" x14ac:dyDescent="0.25">
      <c r="A3679" t="str">
        <f>"440207456"</f>
        <v>440207456</v>
      </c>
      <c r="B3679" t="str">
        <f t="shared" si="233"/>
        <v>89301000</v>
      </c>
      <c r="C3679" s="1">
        <v>44458</v>
      </c>
      <c r="D3679" s="1">
        <v>44463</v>
      </c>
      <c r="E3679">
        <v>1</v>
      </c>
      <c r="F3679" t="s">
        <v>1991</v>
      </c>
      <c r="G3679" t="str">
        <f>"12-K02-02"</f>
        <v>12-K02-02</v>
      </c>
      <c r="H3679">
        <v>0.3281</v>
      </c>
      <c r="I3679" t="s">
        <v>2587</v>
      </c>
      <c r="J3679" t="s">
        <v>14</v>
      </c>
      <c r="K3679" t="str">
        <f>"7F6"</f>
        <v>7F6</v>
      </c>
      <c r="L3679" t="s">
        <v>15</v>
      </c>
    </row>
    <row r="3680" spans="1:12" x14ac:dyDescent="0.25">
      <c r="A3680" t="str">
        <f>"440207456"</f>
        <v>440207456</v>
      </c>
      <c r="B3680" t="str">
        <f t="shared" si="233"/>
        <v>89301000</v>
      </c>
      <c r="C3680" s="1">
        <v>44277</v>
      </c>
      <c r="D3680" s="1">
        <v>44279</v>
      </c>
      <c r="E3680">
        <v>1</v>
      </c>
      <c r="F3680" t="s">
        <v>472</v>
      </c>
      <c r="G3680" t="str">
        <f>"12-K01-02"</f>
        <v>12-K01-02</v>
      </c>
      <c r="H3680">
        <v>0.502</v>
      </c>
      <c r="I3680" t="s">
        <v>168</v>
      </c>
      <c r="J3680" t="s">
        <v>14</v>
      </c>
      <c r="K3680" t="str">
        <f>"7F6"</f>
        <v>7F6</v>
      </c>
      <c r="L3680" t="s">
        <v>15</v>
      </c>
    </row>
    <row r="3681" spans="1:12" x14ac:dyDescent="0.25">
      <c r="A3681" t="str">
        <f>"440209725"</f>
        <v>440209725</v>
      </c>
      <c r="B3681" t="str">
        <f t="shared" si="233"/>
        <v>89301000</v>
      </c>
      <c r="C3681" s="1">
        <v>44498</v>
      </c>
      <c r="D3681" s="1">
        <v>44502</v>
      </c>
      <c r="E3681">
        <v>1</v>
      </c>
      <c r="F3681" t="s">
        <v>316</v>
      </c>
      <c r="G3681" t="str">
        <f>"01-I08-04"</f>
        <v>01-I08-04</v>
      </c>
      <c r="H3681">
        <v>1.6155999999999999</v>
      </c>
      <c r="I3681" t="s">
        <v>2588</v>
      </c>
      <c r="J3681" t="s">
        <v>17</v>
      </c>
      <c r="K3681" t="str">
        <f>"5F6"</f>
        <v>5F6</v>
      </c>
      <c r="L3681" t="s">
        <v>15</v>
      </c>
    </row>
    <row r="3682" spans="1:12" x14ac:dyDescent="0.25">
      <c r="A3682" t="str">
        <f>"440210432"</f>
        <v>440210432</v>
      </c>
      <c r="B3682" t="str">
        <f t="shared" si="233"/>
        <v>89301000</v>
      </c>
      <c r="C3682" s="1">
        <v>44347</v>
      </c>
      <c r="D3682" s="1">
        <v>44348</v>
      </c>
      <c r="E3682">
        <v>1</v>
      </c>
      <c r="F3682" t="s">
        <v>2457</v>
      </c>
      <c r="G3682" t="str">
        <f>"05-D01-08"</f>
        <v>05-D01-08</v>
      </c>
      <c r="H3682">
        <v>0.4093</v>
      </c>
      <c r="I3682" t="s">
        <v>489</v>
      </c>
      <c r="J3682" t="s">
        <v>14</v>
      </c>
      <c r="K3682" t="str">
        <f>"1F7"</f>
        <v>1F7</v>
      </c>
      <c r="L3682" t="s">
        <v>15</v>
      </c>
    </row>
    <row r="3683" spans="1:12" x14ac:dyDescent="0.25">
      <c r="A3683" t="str">
        <f>"440218422"</f>
        <v>440218422</v>
      </c>
      <c r="B3683" t="str">
        <f t="shared" si="233"/>
        <v>89301000</v>
      </c>
      <c r="C3683" s="1">
        <v>44215</v>
      </c>
      <c r="D3683" s="1">
        <v>44235</v>
      </c>
      <c r="E3683">
        <v>8</v>
      </c>
      <c r="F3683" t="s">
        <v>962</v>
      </c>
      <c r="G3683" t="str">
        <f>"04-M01-04"</f>
        <v>04-M01-04</v>
      </c>
      <c r="H3683">
        <v>11.1008</v>
      </c>
      <c r="I3683" t="s">
        <v>2589</v>
      </c>
      <c r="J3683" t="s">
        <v>14</v>
      </c>
      <c r="K3683" t="str">
        <f>"1T1"</f>
        <v>1T1</v>
      </c>
      <c r="L3683" t="s">
        <v>15</v>
      </c>
    </row>
    <row r="3684" spans="1:12" x14ac:dyDescent="0.25">
      <c r="A3684" t="str">
        <f>"440218454"</f>
        <v>440218454</v>
      </c>
      <c r="B3684" t="str">
        <f t="shared" si="233"/>
        <v>89301000</v>
      </c>
      <c r="C3684" s="1">
        <v>44329</v>
      </c>
      <c r="D3684" s="1">
        <v>44336</v>
      </c>
      <c r="E3684">
        <v>1</v>
      </c>
      <c r="F3684" t="s">
        <v>109</v>
      </c>
      <c r="G3684" t="str">
        <f>"24-M06-01"</f>
        <v>24-M06-01</v>
      </c>
      <c r="H3684">
        <v>1.1548</v>
      </c>
      <c r="I3684" t="s">
        <v>2590</v>
      </c>
      <c r="J3684" t="s">
        <v>14</v>
      </c>
      <c r="K3684" t="str">
        <f>"2F1"</f>
        <v>2F1</v>
      </c>
      <c r="L3684" t="s">
        <v>15</v>
      </c>
    </row>
    <row r="3685" spans="1:12" x14ac:dyDescent="0.25">
      <c r="A3685" t="str">
        <f>"440218454"</f>
        <v>440218454</v>
      </c>
      <c r="B3685" t="str">
        <f t="shared" si="233"/>
        <v>89301000</v>
      </c>
      <c r="C3685" s="1">
        <v>44322</v>
      </c>
      <c r="D3685" s="1">
        <v>44329</v>
      </c>
      <c r="E3685">
        <v>3</v>
      </c>
      <c r="F3685" t="s">
        <v>1833</v>
      </c>
      <c r="G3685" t="str">
        <f>"01-K12-01"</f>
        <v>01-K12-01</v>
      </c>
      <c r="H3685">
        <v>0.71289999999999998</v>
      </c>
      <c r="I3685" t="s">
        <v>2183</v>
      </c>
      <c r="J3685" t="s">
        <v>14</v>
      </c>
      <c r="K3685" t="str">
        <f>"2F9"</f>
        <v>2F9</v>
      </c>
      <c r="L3685" t="s">
        <v>15</v>
      </c>
    </row>
    <row r="3686" spans="1:12" x14ac:dyDescent="0.25">
      <c r="A3686" t="str">
        <f t="shared" ref="A3686:A3691" si="234">"440223160"</f>
        <v>440223160</v>
      </c>
      <c r="B3686" t="str">
        <f t="shared" si="233"/>
        <v>89301000</v>
      </c>
      <c r="C3686" s="1">
        <v>44416</v>
      </c>
      <c r="D3686" s="1">
        <v>44425</v>
      </c>
      <c r="E3686">
        <v>1</v>
      </c>
      <c r="F3686" t="s">
        <v>1679</v>
      </c>
      <c r="G3686" t="str">
        <f>"11-I01-02"</f>
        <v>11-I01-02</v>
      </c>
      <c r="H3686">
        <v>5.5476000000000001</v>
      </c>
      <c r="I3686" t="s">
        <v>2591</v>
      </c>
      <c r="J3686" t="s">
        <v>17</v>
      </c>
      <c r="K3686" t="str">
        <f>"7F6"</f>
        <v>7F6</v>
      </c>
      <c r="L3686" t="s">
        <v>15</v>
      </c>
    </row>
    <row r="3687" spans="1:12" x14ac:dyDescent="0.25">
      <c r="A3687" t="str">
        <f t="shared" si="234"/>
        <v>440223160</v>
      </c>
      <c r="B3687" t="str">
        <f t="shared" si="233"/>
        <v>89301000</v>
      </c>
      <c r="C3687" s="1">
        <v>44328</v>
      </c>
      <c r="D3687" s="1">
        <v>44333</v>
      </c>
      <c r="E3687">
        <v>1</v>
      </c>
      <c r="F3687" t="s">
        <v>1679</v>
      </c>
      <c r="G3687" t="str">
        <f>"11-M06-02"</f>
        <v>11-M06-02</v>
      </c>
      <c r="H3687">
        <v>0.90400000000000003</v>
      </c>
      <c r="I3687" t="s">
        <v>2592</v>
      </c>
      <c r="J3687" t="s">
        <v>17</v>
      </c>
      <c r="K3687" t="str">
        <f>"7F6"</f>
        <v>7F6</v>
      </c>
      <c r="L3687" t="s">
        <v>15</v>
      </c>
    </row>
    <row r="3688" spans="1:12" x14ac:dyDescent="0.25">
      <c r="A3688" t="str">
        <f t="shared" si="234"/>
        <v>440223160</v>
      </c>
      <c r="B3688" t="str">
        <f t="shared" si="233"/>
        <v>89301000</v>
      </c>
      <c r="C3688" s="1">
        <v>44459</v>
      </c>
      <c r="D3688" s="1">
        <v>44472</v>
      </c>
      <c r="E3688">
        <v>1</v>
      </c>
      <c r="F3688" t="s">
        <v>96</v>
      </c>
      <c r="G3688" t="str">
        <f>"11-I17-01"</f>
        <v>11-I17-01</v>
      </c>
      <c r="H3688">
        <v>1.8375999999999999</v>
      </c>
      <c r="I3688" t="s">
        <v>2593</v>
      </c>
      <c r="J3688" t="s">
        <v>14</v>
      </c>
      <c r="K3688" t="str">
        <f>"7F6"</f>
        <v>7F6</v>
      </c>
      <c r="L3688" t="s">
        <v>15</v>
      </c>
    </row>
    <row r="3689" spans="1:12" x14ac:dyDescent="0.25">
      <c r="A3689" t="str">
        <f t="shared" si="234"/>
        <v>440223160</v>
      </c>
      <c r="B3689" t="str">
        <f t="shared" si="233"/>
        <v>89301000</v>
      </c>
      <c r="C3689" s="1">
        <v>44496</v>
      </c>
      <c r="D3689" s="1">
        <v>44502</v>
      </c>
      <c r="E3689">
        <v>1</v>
      </c>
      <c r="F3689" t="s">
        <v>96</v>
      </c>
      <c r="G3689" t="str">
        <f>"11-M04-02"</f>
        <v>11-M04-02</v>
      </c>
      <c r="H3689">
        <v>1.6171</v>
      </c>
      <c r="I3689" t="s">
        <v>2594</v>
      </c>
      <c r="J3689" t="s">
        <v>14</v>
      </c>
      <c r="K3689" t="str">
        <f>"7F6"</f>
        <v>7F6</v>
      </c>
      <c r="L3689" t="s">
        <v>15</v>
      </c>
    </row>
    <row r="3690" spans="1:12" x14ac:dyDescent="0.25">
      <c r="A3690" t="str">
        <f t="shared" si="234"/>
        <v>440223160</v>
      </c>
      <c r="B3690" t="str">
        <f t="shared" si="233"/>
        <v>89301000</v>
      </c>
      <c r="C3690" s="1">
        <v>44530</v>
      </c>
      <c r="D3690" s="1">
        <v>44537</v>
      </c>
      <c r="E3690">
        <v>1</v>
      </c>
      <c r="F3690" t="s">
        <v>2595</v>
      </c>
      <c r="G3690" t="str">
        <f>"08-K04-01"</f>
        <v>08-K04-01</v>
      </c>
      <c r="H3690">
        <v>1.0062</v>
      </c>
      <c r="I3690" t="s">
        <v>2596</v>
      </c>
      <c r="J3690" t="s">
        <v>14</v>
      </c>
      <c r="K3690" t="str">
        <f>"2F9"</f>
        <v>2F9</v>
      </c>
      <c r="L3690" t="s">
        <v>15</v>
      </c>
    </row>
    <row r="3691" spans="1:12" x14ac:dyDescent="0.25">
      <c r="A3691" t="str">
        <f t="shared" si="234"/>
        <v>440223160</v>
      </c>
      <c r="B3691" t="str">
        <f t="shared" si="233"/>
        <v>89301000</v>
      </c>
      <c r="C3691" s="1">
        <v>44375</v>
      </c>
      <c r="D3691" s="1">
        <v>44380</v>
      </c>
      <c r="E3691">
        <v>1</v>
      </c>
      <c r="F3691" t="s">
        <v>1679</v>
      </c>
      <c r="G3691" t="str">
        <f>"11-M06-02"</f>
        <v>11-M06-02</v>
      </c>
      <c r="H3691">
        <v>0.90400000000000003</v>
      </c>
      <c r="I3691" t="s">
        <v>2597</v>
      </c>
      <c r="J3691" t="s">
        <v>17</v>
      </c>
      <c r="K3691" t="str">
        <f>"7F6"</f>
        <v>7F6</v>
      </c>
      <c r="L3691" t="s">
        <v>15</v>
      </c>
    </row>
    <row r="3692" spans="1:12" x14ac:dyDescent="0.25">
      <c r="A3692" t="str">
        <f>"440225427"</f>
        <v>440225427</v>
      </c>
      <c r="B3692" t="str">
        <f t="shared" si="233"/>
        <v>89301000</v>
      </c>
      <c r="C3692" s="1">
        <v>44473</v>
      </c>
      <c r="D3692" s="1">
        <v>44484</v>
      </c>
      <c r="E3692">
        <v>4</v>
      </c>
      <c r="F3692" t="s">
        <v>1914</v>
      </c>
      <c r="G3692" t="str">
        <f>"04-K09-02"</f>
        <v>04-K09-02</v>
      </c>
      <c r="H3692">
        <v>1.2861</v>
      </c>
      <c r="I3692" t="s">
        <v>2598</v>
      </c>
      <c r="J3692" t="s">
        <v>14</v>
      </c>
      <c r="K3692" t="str">
        <f>"2F5"</f>
        <v>2F5</v>
      </c>
      <c r="L3692" t="s">
        <v>15</v>
      </c>
    </row>
    <row r="3693" spans="1:12" x14ac:dyDescent="0.25">
      <c r="A3693" t="str">
        <f>"440225427"</f>
        <v>440225427</v>
      </c>
      <c r="B3693" t="str">
        <f t="shared" si="233"/>
        <v>89301000</v>
      </c>
      <c r="C3693" s="1">
        <v>44407</v>
      </c>
      <c r="D3693" s="1">
        <v>44418</v>
      </c>
      <c r="E3693">
        <v>1</v>
      </c>
      <c r="F3693" t="s">
        <v>2350</v>
      </c>
      <c r="G3693" t="str">
        <f>"01-I09-01"</f>
        <v>01-I09-01</v>
      </c>
      <c r="H3693">
        <v>2.2982</v>
      </c>
      <c r="I3693" t="s">
        <v>2599</v>
      </c>
      <c r="J3693" t="s">
        <v>17</v>
      </c>
      <c r="K3693" t="str">
        <f>"5F1"</f>
        <v>5F1</v>
      </c>
      <c r="L3693" t="s">
        <v>15</v>
      </c>
    </row>
    <row r="3694" spans="1:12" x14ac:dyDescent="0.25">
      <c r="A3694" t="str">
        <f>"440226468"</f>
        <v>440226468</v>
      </c>
      <c r="B3694" t="str">
        <f t="shared" si="233"/>
        <v>89301000</v>
      </c>
      <c r="C3694" s="1">
        <v>44307</v>
      </c>
      <c r="D3694" s="1">
        <v>44310</v>
      </c>
      <c r="E3694">
        <v>1</v>
      </c>
      <c r="F3694" t="s">
        <v>2600</v>
      </c>
      <c r="G3694" t="str">
        <f>"05-M05-02"</f>
        <v>05-M05-02</v>
      </c>
      <c r="H3694">
        <v>3.516</v>
      </c>
      <c r="I3694" t="s">
        <v>1557</v>
      </c>
      <c r="J3694" t="s">
        <v>24</v>
      </c>
      <c r="K3694" t="str">
        <f>"1F7"</f>
        <v>1F7</v>
      </c>
      <c r="L3694" t="s">
        <v>15</v>
      </c>
    </row>
    <row r="3695" spans="1:12" x14ac:dyDescent="0.25">
      <c r="A3695" t="str">
        <f>"440228424"</f>
        <v>440228424</v>
      </c>
      <c r="B3695" t="str">
        <f t="shared" si="233"/>
        <v>89301000</v>
      </c>
      <c r="C3695" s="1">
        <v>44459</v>
      </c>
      <c r="D3695" s="1">
        <v>44462</v>
      </c>
      <c r="E3695">
        <v>1</v>
      </c>
      <c r="F3695" t="s">
        <v>38</v>
      </c>
      <c r="G3695" t="str">
        <f>"05-M06-05"</f>
        <v>05-M06-05</v>
      </c>
      <c r="H3695">
        <v>2.3010000000000002</v>
      </c>
      <c r="J3695" t="s">
        <v>17</v>
      </c>
      <c r="K3695" t="str">
        <f>"1T1"</f>
        <v>1T1</v>
      </c>
      <c r="L3695" t="s">
        <v>15</v>
      </c>
    </row>
    <row r="3696" spans="1:12" x14ac:dyDescent="0.25">
      <c r="A3696" t="str">
        <f>"440308178"</f>
        <v>440308178</v>
      </c>
      <c r="B3696" t="str">
        <f t="shared" si="233"/>
        <v>89301000</v>
      </c>
      <c r="C3696" s="1">
        <v>44198</v>
      </c>
      <c r="D3696" s="1">
        <v>44202</v>
      </c>
      <c r="E3696">
        <v>1</v>
      </c>
      <c r="F3696" t="s">
        <v>592</v>
      </c>
      <c r="G3696" t="str">
        <f>"03-K02-02"</f>
        <v>03-K02-02</v>
      </c>
      <c r="H3696">
        <v>0.56889999999999996</v>
      </c>
      <c r="I3696" t="s">
        <v>2601</v>
      </c>
      <c r="J3696" t="s">
        <v>14</v>
      </c>
      <c r="K3696" t="str">
        <f>"1F1"</f>
        <v>1F1</v>
      </c>
      <c r="L3696" t="s">
        <v>15</v>
      </c>
    </row>
    <row r="3697" spans="1:12" x14ac:dyDescent="0.25">
      <c r="A3697" t="str">
        <f>"440327439"</f>
        <v>440327439</v>
      </c>
      <c r="B3697" t="str">
        <f t="shared" si="233"/>
        <v>89301000</v>
      </c>
      <c r="C3697" s="1">
        <v>44494</v>
      </c>
      <c r="D3697" s="1">
        <v>44496</v>
      </c>
      <c r="E3697">
        <v>1</v>
      </c>
      <c r="F3697" t="s">
        <v>1599</v>
      </c>
      <c r="G3697" t="str">
        <f>"05-I14-03"</f>
        <v>05-I14-03</v>
      </c>
      <c r="H3697">
        <v>6.1292</v>
      </c>
      <c r="I3697" t="s">
        <v>2602</v>
      </c>
      <c r="J3697" t="s">
        <v>14</v>
      </c>
      <c r="K3697" t="str">
        <f>"1F1"</f>
        <v>1F1</v>
      </c>
      <c r="L3697" t="s">
        <v>15</v>
      </c>
    </row>
    <row r="3698" spans="1:12" x14ac:dyDescent="0.25">
      <c r="A3698" t="str">
        <f>"440327439"</f>
        <v>440327439</v>
      </c>
      <c r="B3698" t="str">
        <f t="shared" si="233"/>
        <v>89301000</v>
      </c>
      <c r="C3698" s="1">
        <v>44480</v>
      </c>
      <c r="D3698" s="1">
        <v>44487</v>
      </c>
      <c r="E3698">
        <v>1</v>
      </c>
      <c r="F3698" t="s">
        <v>2603</v>
      </c>
      <c r="G3698" t="str">
        <f>"05-M06-08"</f>
        <v>05-M06-08</v>
      </c>
      <c r="H3698">
        <v>1.7534000000000001</v>
      </c>
      <c r="I3698" t="s">
        <v>2604</v>
      </c>
      <c r="J3698" t="s">
        <v>17</v>
      </c>
      <c r="K3698" t="str">
        <f>"1F1"</f>
        <v>1F1</v>
      </c>
      <c r="L3698" t="s">
        <v>15</v>
      </c>
    </row>
    <row r="3699" spans="1:12" x14ac:dyDescent="0.25">
      <c r="A3699" t="str">
        <f>"440401469"</f>
        <v>440401469</v>
      </c>
      <c r="B3699" t="str">
        <f t="shared" si="233"/>
        <v>89301000</v>
      </c>
      <c r="C3699" s="1">
        <v>44224</v>
      </c>
      <c r="D3699" s="1">
        <v>44239</v>
      </c>
      <c r="E3699">
        <v>1</v>
      </c>
      <c r="F3699" t="s">
        <v>952</v>
      </c>
      <c r="G3699" t="str">
        <f>"04-I02-02"</f>
        <v>04-I02-02</v>
      </c>
      <c r="H3699">
        <v>4.8300999999999998</v>
      </c>
      <c r="I3699" t="s">
        <v>2605</v>
      </c>
      <c r="J3699" t="s">
        <v>106</v>
      </c>
      <c r="K3699" t="str">
        <f>"5F1"</f>
        <v>5F1</v>
      </c>
      <c r="L3699" t="s">
        <v>15</v>
      </c>
    </row>
    <row r="3700" spans="1:12" x14ac:dyDescent="0.25">
      <c r="A3700" t="str">
        <f>"440407411"</f>
        <v>440407411</v>
      </c>
      <c r="B3700" t="str">
        <f t="shared" si="233"/>
        <v>89301000</v>
      </c>
      <c r="C3700" s="1">
        <v>44392</v>
      </c>
      <c r="D3700" s="1">
        <v>44394</v>
      </c>
      <c r="E3700">
        <v>1</v>
      </c>
      <c r="F3700" t="s">
        <v>786</v>
      </c>
      <c r="G3700" t="str">
        <f>"04-K07-03"</f>
        <v>04-K07-03</v>
      </c>
      <c r="H3700">
        <v>0.66259999999999997</v>
      </c>
      <c r="I3700" t="s">
        <v>145</v>
      </c>
      <c r="J3700" t="s">
        <v>14</v>
      </c>
      <c r="K3700" t="str">
        <f>"2F5"</f>
        <v>2F5</v>
      </c>
      <c r="L3700" t="s">
        <v>15</v>
      </c>
    </row>
    <row r="3701" spans="1:12" x14ac:dyDescent="0.25">
      <c r="A3701" t="str">
        <f>"440412421"</f>
        <v>440412421</v>
      </c>
      <c r="B3701" t="str">
        <f t="shared" si="233"/>
        <v>89301000</v>
      </c>
      <c r="C3701" s="1">
        <v>44230</v>
      </c>
      <c r="D3701" s="1">
        <v>44247</v>
      </c>
      <c r="E3701">
        <v>1</v>
      </c>
      <c r="F3701" t="s">
        <v>341</v>
      </c>
      <c r="G3701" t="str">
        <f>"06-K21-03"</f>
        <v>06-K21-03</v>
      </c>
      <c r="H3701">
        <v>0.80940000000000001</v>
      </c>
      <c r="I3701" t="s">
        <v>2606</v>
      </c>
      <c r="J3701" t="s">
        <v>14</v>
      </c>
      <c r="K3701" t="str">
        <f>"1F1"</f>
        <v>1F1</v>
      </c>
      <c r="L3701" t="s">
        <v>15</v>
      </c>
    </row>
    <row r="3702" spans="1:12" x14ac:dyDescent="0.25">
      <c r="A3702" t="str">
        <f>"440417431"</f>
        <v>440417431</v>
      </c>
      <c r="B3702" t="str">
        <f t="shared" si="233"/>
        <v>89301000</v>
      </c>
      <c r="C3702" s="1">
        <v>44484</v>
      </c>
      <c r="D3702" s="1">
        <v>44491</v>
      </c>
      <c r="E3702">
        <v>1</v>
      </c>
      <c r="F3702" t="s">
        <v>67</v>
      </c>
      <c r="G3702" t="str">
        <f>"01-K10-02"</f>
        <v>01-K10-02</v>
      </c>
      <c r="H3702">
        <v>1.6306</v>
      </c>
      <c r="I3702" t="s">
        <v>2607</v>
      </c>
      <c r="J3702" t="s">
        <v>14</v>
      </c>
      <c r="K3702" t="str">
        <f>"2F9"</f>
        <v>2F9</v>
      </c>
      <c r="L3702" t="s">
        <v>15</v>
      </c>
    </row>
    <row r="3703" spans="1:12" x14ac:dyDescent="0.25">
      <c r="A3703" t="str">
        <f>"440610119"</f>
        <v>440610119</v>
      </c>
      <c r="B3703" t="str">
        <f t="shared" si="233"/>
        <v>89301000</v>
      </c>
      <c r="C3703" s="1">
        <v>44305</v>
      </c>
      <c r="D3703" s="1">
        <v>44313</v>
      </c>
      <c r="E3703">
        <v>1</v>
      </c>
      <c r="F3703" t="s">
        <v>2391</v>
      </c>
      <c r="G3703" t="str">
        <f>"05-I15-00"</f>
        <v>05-I15-00</v>
      </c>
      <c r="H3703">
        <v>9.3750999999999998</v>
      </c>
      <c r="I3703" t="s">
        <v>1557</v>
      </c>
      <c r="J3703" t="s">
        <v>14</v>
      </c>
      <c r="K3703" t="str">
        <f>"5F5"</f>
        <v>5F5</v>
      </c>
      <c r="L3703" t="s">
        <v>15</v>
      </c>
    </row>
    <row r="3704" spans="1:12" x14ac:dyDescent="0.25">
      <c r="A3704" t="str">
        <f>"440610119"</f>
        <v>440610119</v>
      </c>
      <c r="B3704" t="str">
        <f t="shared" si="233"/>
        <v>89301000</v>
      </c>
      <c r="C3704" s="1">
        <v>44212</v>
      </c>
      <c r="D3704" s="1">
        <v>44218</v>
      </c>
      <c r="E3704">
        <v>1</v>
      </c>
      <c r="F3704" t="s">
        <v>2004</v>
      </c>
      <c r="G3704" t="str">
        <f>"05-K03-01"</f>
        <v>05-K03-01</v>
      </c>
      <c r="H3704">
        <v>1.7359</v>
      </c>
      <c r="I3704" t="s">
        <v>2608</v>
      </c>
      <c r="J3704" t="s">
        <v>14</v>
      </c>
      <c r="K3704" t="str">
        <f>"1T1"</f>
        <v>1T1</v>
      </c>
      <c r="L3704" t="s">
        <v>15</v>
      </c>
    </row>
    <row r="3705" spans="1:12" x14ac:dyDescent="0.25">
      <c r="A3705" t="str">
        <f>"440611058"</f>
        <v>440611058</v>
      </c>
      <c r="B3705" t="str">
        <f t="shared" si="233"/>
        <v>89301000</v>
      </c>
      <c r="C3705" s="1">
        <v>44493</v>
      </c>
      <c r="D3705" s="1">
        <v>44499</v>
      </c>
      <c r="E3705">
        <v>1</v>
      </c>
      <c r="F3705" t="s">
        <v>335</v>
      </c>
      <c r="G3705" t="str">
        <f>"07-I10-03"</f>
        <v>07-I10-03</v>
      </c>
      <c r="H3705">
        <v>2.21</v>
      </c>
      <c r="I3705" t="s">
        <v>2609</v>
      </c>
      <c r="J3705" t="s">
        <v>17</v>
      </c>
      <c r="K3705" t="str">
        <f>"5F1"</f>
        <v>5F1</v>
      </c>
      <c r="L3705" t="s">
        <v>15</v>
      </c>
    </row>
    <row r="3706" spans="1:12" x14ac:dyDescent="0.25">
      <c r="A3706" t="str">
        <f>"440611058"</f>
        <v>440611058</v>
      </c>
      <c r="B3706" t="str">
        <f t="shared" si="233"/>
        <v>89301000</v>
      </c>
      <c r="C3706" s="1">
        <v>44530</v>
      </c>
      <c r="D3706" s="1">
        <v>44538</v>
      </c>
      <c r="E3706">
        <v>1</v>
      </c>
      <c r="F3706" t="s">
        <v>217</v>
      </c>
      <c r="G3706" t="str">
        <f>"04-K02-03"</f>
        <v>04-K02-03</v>
      </c>
      <c r="H3706">
        <v>1.2859</v>
      </c>
      <c r="I3706" t="s">
        <v>2610</v>
      </c>
      <c r="J3706" t="s">
        <v>14</v>
      </c>
      <c r="K3706" t="str">
        <f>"5F1"</f>
        <v>5F1</v>
      </c>
      <c r="L3706" t="s">
        <v>15</v>
      </c>
    </row>
    <row r="3707" spans="1:12" x14ac:dyDescent="0.25">
      <c r="A3707" t="str">
        <f>"440611058"</f>
        <v>440611058</v>
      </c>
      <c r="B3707" t="str">
        <f t="shared" si="233"/>
        <v>89301000</v>
      </c>
      <c r="C3707" s="1">
        <v>44430</v>
      </c>
      <c r="D3707" s="1">
        <v>44448</v>
      </c>
      <c r="E3707">
        <v>1</v>
      </c>
      <c r="F3707" t="s">
        <v>1690</v>
      </c>
      <c r="G3707" t="str">
        <f>"07-M02-01"</f>
        <v>07-M02-01</v>
      </c>
      <c r="H3707">
        <v>2.5634999999999999</v>
      </c>
      <c r="J3707" t="s">
        <v>17</v>
      </c>
      <c r="K3707" t="str">
        <f>"5F1"</f>
        <v>5F1</v>
      </c>
      <c r="L3707" t="s">
        <v>15</v>
      </c>
    </row>
    <row r="3708" spans="1:12" x14ac:dyDescent="0.25">
      <c r="A3708" t="str">
        <f>"440614495"</f>
        <v>440614495</v>
      </c>
      <c r="B3708" t="str">
        <f t="shared" si="233"/>
        <v>89301000</v>
      </c>
      <c r="C3708" s="1">
        <v>44324</v>
      </c>
      <c r="D3708" s="1">
        <v>44330</v>
      </c>
      <c r="E3708">
        <v>1</v>
      </c>
      <c r="F3708" t="s">
        <v>448</v>
      </c>
      <c r="G3708" t="str">
        <f>"11-K01-03"</f>
        <v>11-K01-03</v>
      </c>
      <c r="H3708">
        <v>0.59489999999999998</v>
      </c>
      <c r="I3708" t="s">
        <v>2611</v>
      </c>
      <c r="J3708" t="s">
        <v>14</v>
      </c>
      <c r="K3708" t="str">
        <f>"1F5"</f>
        <v>1F5</v>
      </c>
      <c r="L3708" t="s">
        <v>15</v>
      </c>
    </row>
    <row r="3709" spans="1:12" x14ac:dyDescent="0.25">
      <c r="A3709" t="str">
        <f>"440614495"</f>
        <v>440614495</v>
      </c>
      <c r="B3709" t="str">
        <f t="shared" si="233"/>
        <v>89301000</v>
      </c>
      <c r="C3709" s="1">
        <v>44339</v>
      </c>
      <c r="D3709" s="1">
        <v>44376</v>
      </c>
      <c r="E3709">
        <v>1</v>
      </c>
      <c r="F3709" t="s">
        <v>500</v>
      </c>
      <c r="G3709" t="str">
        <f>"06-K06-02"</f>
        <v>06-K06-02</v>
      </c>
      <c r="H3709">
        <v>2.3978999999999999</v>
      </c>
      <c r="I3709" t="s">
        <v>2612</v>
      </c>
      <c r="J3709" t="s">
        <v>14</v>
      </c>
      <c r="K3709" t="str">
        <f>"1F6"</f>
        <v>1F6</v>
      </c>
      <c r="L3709" t="s">
        <v>15</v>
      </c>
    </row>
    <row r="3710" spans="1:12" x14ac:dyDescent="0.25">
      <c r="A3710" t="str">
        <f>"440630456"</f>
        <v>440630456</v>
      </c>
      <c r="B3710" t="str">
        <f t="shared" si="233"/>
        <v>89301000</v>
      </c>
      <c r="C3710" s="1">
        <v>44250</v>
      </c>
      <c r="D3710" s="1">
        <v>44252</v>
      </c>
      <c r="E3710">
        <v>1</v>
      </c>
      <c r="F3710" t="s">
        <v>2062</v>
      </c>
      <c r="G3710" t="str">
        <f>"06-M01-02"</f>
        <v>06-M01-02</v>
      </c>
      <c r="H3710">
        <v>1.2191000000000001</v>
      </c>
      <c r="I3710" t="s">
        <v>2613</v>
      </c>
      <c r="J3710" t="s">
        <v>14</v>
      </c>
      <c r="K3710" t="str">
        <f>"1F1"</f>
        <v>1F1</v>
      </c>
      <c r="L3710" t="s">
        <v>15</v>
      </c>
    </row>
    <row r="3711" spans="1:12" x14ac:dyDescent="0.25">
      <c r="A3711" t="str">
        <f>"440704425"</f>
        <v>440704425</v>
      </c>
      <c r="B3711" t="str">
        <f t="shared" si="233"/>
        <v>89301000</v>
      </c>
      <c r="C3711" s="1">
        <v>44343</v>
      </c>
      <c r="D3711" s="1">
        <v>44346</v>
      </c>
      <c r="E3711">
        <v>1</v>
      </c>
      <c r="F3711" t="s">
        <v>2614</v>
      </c>
      <c r="G3711" t="str">
        <f>"17-I10-02"</f>
        <v>17-I10-02</v>
      </c>
      <c r="H3711">
        <v>1.0148999999999999</v>
      </c>
      <c r="J3711" t="s">
        <v>14</v>
      </c>
      <c r="K3711" t="str">
        <f>"5F1"</f>
        <v>5F1</v>
      </c>
      <c r="L3711" t="s">
        <v>15</v>
      </c>
    </row>
    <row r="3712" spans="1:12" x14ac:dyDescent="0.25">
      <c r="A3712" t="str">
        <f>"440704428"</f>
        <v>440704428</v>
      </c>
      <c r="B3712" t="str">
        <f t="shared" si="233"/>
        <v>89301000</v>
      </c>
      <c r="C3712" s="1">
        <v>44488</v>
      </c>
      <c r="D3712" s="1">
        <v>44490</v>
      </c>
      <c r="E3712">
        <v>1</v>
      </c>
      <c r="F3712" t="s">
        <v>2197</v>
      </c>
      <c r="G3712" t="str">
        <f>"04-K07-03"</f>
        <v>04-K07-03</v>
      </c>
      <c r="H3712">
        <v>0.66259999999999997</v>
      </c>
      <c r="I3712" t="s">
        <v>2615</v>
      </c>
      <c r="J3712" t="s">
        <v>14</v>
      </c>
      <c r="K3712" t="str">
        <f>"2F5"</f>
        <v>2F5</v>
      </c>
      <c r="L3712" t="s">
        <v>15</v>
      </c>
    </row>
    <row r="3713" spans="1:12" x14ac:dyDescent="0.25">
      <c r="A3713" t="str">
        <f>"440704428"</f>
        <v>440704428</v>
      </c>
      <c r="B3713" t="str">
        <f t="shared" si="233"/>
        <v>89301000</v>
      </c>
      <c r="C3713" s="1">
        <v>44285</v>
      </c>
      <c r="D3713" s="1">
        <v>44292</v>
      </c>
      <c r="E3713">
        <v>1</v>
      </c>
      <c r="F3713" t="s">
        <v>217</v>
      </c>
      <c r="G3713" t="str">
        <f>"04-K02-04"</f>
        <v>04-K02-04</v>
      </c>
      <c r="H3713">
        <v>0.82469999999999999</v>
      </c>
      <c r="I3713" t="s">
        <v>274</v>
      </c>
      <c r="J3713" t="s">
        <v>14</v>
      </c>
      <c r="K3713" t="str">
        <f>"1F1"</f>
        <v>1F1</v>
      </c>
      <c r="L3713" t="s">
        <v>15</v>
      </c>
    </row>
    <row r="3714" spans="1:12" x14ac:dyDescent="0.25">
      <c r="A3714" t="str">
        <f>"440709437"</f>
        <v>440709437</v>
      </c>
      <c r="B3714" t="str">
        <f t="shared" si="233"/>
        <v>89301000</v>
      </c>
      <c r="C3714" s="1">
        <v>44293</v>
      </c>
      <c r="D3714" s="1">
        <v>44299</v>
      </c>
      <c r="E3714">
        <v>5</v>
      </c>
      <c r="F3714" t="s">
        <v>31</v>
      </c>
      <c r="G3714" t="str">
        <f>"08-I03-06"</f>
        <v>08-I03-06</v>
      </c>
      <c r="H3714">
        <v>3.3336999999999999</v>
      </c>
      <c r="I3714" t="s">
        <v>489</v>
      </c>
      <c r="J3714" t="s">
        <v>17</v>
      </c>
      <c r="K3714" t="str">
        <f>"5F6"</f>
        <v>5F6</v>
      </c>
      <c r="L3714" t="s">
        <v>15</v>
      </c>
    </row>
    <row r="3715" spans="1:12" x14ac:dyDescent="0.25">
      <c r="A3715" t="str">
        <f>"440711459"</f>
        <v>440711459</v>
      </c>
      <c r="B3715" t="str">
        <f t="shared" si="233"/>
        <v>89301000</v>
      </c>
      <c r="C3715" s="1">
        <v>44210</v>
      </c>
      <c r="D3715" s="1">
        <v>44233</v>
      </c>
      <c r="E3715">
        <v>1</v>
      </c>
      <c r="F3715" t="s">
        <v>2616</v>
      </c>
      <c r="G3715" t="str">
        <f>"04-K14-01"</f>
        <v>04-K14-01</v>
      </c>
      <c r="H3715">
        <v>1.6798999999999999</v>
      </c>
      <c r="I3715" t="s">
        <v>2617</v>
      </c>
      <c r="J3715" t="s">
        <v>14</v>
      </c>
      <c r="K3715" t="str">
        <f>"2F5"</f>
        <v>2F5</v>
      </c>
      <c r="L3715" t="s">
        <v>15</v>
      </c>
    </row>
    <row r="3716" spans="1:12" x14ac:dyDescent="0.25">
      <c r="A3716" t="str">
        <f>"440712448"</f>
        <v>440712448</v>
      </c>
      <c r="B3716" t="str">
        <f t="shared" si="233"/>
        <v>89301000</v>
      </c>
      <c r="C3716" s="1">
        <v>44505</v>
      </c>
      <c r="D3716" s="1">
        <v>44506</v>
      </c>
      <c r="E3716">
        <v>1</v>
      </c>
      <c r="F3716" t="s">
        <v>1557</v>
      </c>
      <c r="G3716" t="str">
        <f>"05-M06-08"</f>
        <v>05-M06-08</v>
      </c>
      <c r="H3716">
        <v>1.4719</v>
      </c>
      <c r="I3716" t="s">
        <v>2618</v>
      </c>
      <c r="J3716" t="s">
        <v>17</v>
      </c>
      <c r="K3716" t="str">
        <f>"1F1"</f>
        <v>1F1</v>
      </c>
      <c r="L3716" t="s">
        <v>15</v>
      </c>
    </row>
    <row r="3717" spans="1:12" x14ac:dyDescent="0.25">
      <c r="A3717" t="str">
        <f>"440718428"</f>
        <v>440718428</v>
      </c>
      <c r="B3717" t="str">
        <f t="shared" si="233"/>
        <v>89301000</v>
      </c>
      <c r="C3717" s="1">
        <v>44474</v>
      </c>
      <c r="D3717" s="1">
        <v>44476</v>
      </c>
      <c r="E3717">
        <v>4</v>
      </c>
      <c r="F3717" t="s">
        <v>2197</v>
      </c>
      <c r="G3717" t="str">
        <f>"04-K07-02"</f>
        <v>04-K07-02</v>
      </c>
      <c r="H3717">
        <v>1.1432</v>
      </c>
      <c r="I3717" t="s">
        <v>2619</v>
      </c>
      <c r="J3717" t="s">
        <v>14</v>
      </c>
      <c r="K3717" t="str">
        <f>"2F5"</f>
        <v>2F5</v>
      </c>
      <c r="L3717" t="s">
        <v>15</v>
      </c>
    </row>
    <row r="3718" spans="1:12" x14ac:dyDescent="0.25">
      <c r="A3718" t="str">
        <f>"440718428"</f>
        <v>440718428</v>
      </c>
      <c r="B3718" t="str">
        <f t="shared" si="233"/>
        <v>89301000</v>
      </c>
      <c r="C3718" s="1">
        <v>44428</v>
      </c>
      <c r="D3718" s="1">
        <v>44431</v>
      </c>
      <c r="E3718">
        <v>1</v>
      </c>
      <c r="F3718" t="s">
        <v>1962</v>
      </c>
      <c r="G3718" t="str">
        <f>"04-K15-02"</f>
        <v>04-K15-02</v>
      </c>
      <c r="H3718">
        <v>1.0601</v>
      </c>
      <c r="I3718" t="s">
        <v>2620</v>
      </c>
      <c r="J3718" t="s">
        <v>14</v>
      </c>
      <c r="K3718" t="str">
        <f>"2F5"</f>
        <v>2F5</v>
      </c>
      <c r="L3718" t="s">
        <v>15</v>
      </c>
    </row>
    <row r="3719" spans="1:12" x14ac:dyDescent="0.25">
      <c r="A3719" t="str">
        <f>"440724424"</f>
        <v>440724424</v>
      </c>
      <c r="B3719" t="str">
        <f t="shared" si="233"/>
        <v>89301000</v>
      </c>
      <c r="C3719" s="1">
        <v>44318</v>
      </c>
      <c r="D3719" s="1">
        <v>44320</v>
      </c>
      <c r="E3719">
        <v>1</v>
      </c>
      <c r="F3719" t="s">
        <v>1593</v>
      </c>
      <c r="G3719" t="str">
        <f>"11-M06-03"</f>
        <v>11-M06-03</v>
      </c>
      <c r="H3719">
        <v>0.61519999999999997</v>
      </c>
      <c r="I3719" t="s">
        <v>2621</v>
      </c>
      <c r="J3719" t="s">
        <v>17</v>
      </c>
      <c r="K3719" t="str">
        <f>"7F6"</f>
        <v>7F6</v>
      </c>
      <c r="L3719" t="s">
        <v>15</v>
      </c>
    </row>
    <row r="3720" spans="1:12" x14ac:dyDescent="0.25">
      <c r="A3720" t="str">
        <f>"440724424"</f>
        <v>440724424</v>
      </c>
      <c r="B3720" t="str">
        <f t="shared" si="233"/>
        <v>89301000</v>
      </c>
      <c r="C3720" s="1">
        <v>44311</v>
      </c>
      <c r="D3720" s="1">
        <v>44312</v>
      </c>
      <c r="E3720">
        <v>1</v>
      </c>
      <c r="F3720" t="s">
        <v>1593</v>
      </c>
      <c r="G3720" t="str">
        <f>"11-K08-02"</f>
        <v>11-K08-02</v>
      </c>
      <c r="H3720">
        <v>0.47389999999999999</v>
      </c>
      <c r="I3720" t="s">
        <v>2622</v>
      </c>
      <c r="J3720" t="s">
        <v>14</v>
      </c>
      <c r="K3720" t="str">
        <f>"7F6"</f>
        <v>7F6</v>
      </c>
      <c r="L3720" t="s">
        <v>15</v>
      </c>
    </row>
    <row r="3721" spans="1:12" x14ac:dyDescent="0.25">
      <c r="A3721" t="str">
        <f>"440728484"</f>
        <v>440728484</v>
      </c>
      <c r="B3721" t="str">
        <f t="shared" si="233"/>
        <v>89301000</v>
      </c>
      <c r="C3721" s="1">
        <v>44272</v>
      </c>
      <c r="D3721" s="1">
        <v>44274</v>
      </c>
      <c r="E3721">
        <v>1</v>
      </c>
      <c r="F3721" t="s">
        <v>2623</v>
      </c>
      <c r="G3721" t="str">
        <f>"17-K03-02"</f>
        <v>17-K03-02</v>
      </c>
      <c r="H3721">
        <v>0.89429999999999998</v>
      </c>
      <c r="I3721" t="s">
        <v>168</v>
      </c>
      <c r="J3721" t="s">
        <v>14</v>
      </c>
      <c r="K3721" t="str">
        <f>"2F2"</f>
        <v>2F2</v>
      </c>
      <c r="L3721" t="s">
        <v>15</v>
      </c>
    </row>
    <row r="3722" spans="1:12" x14ac:dyDescent="0.25">
      <c r="A3722" t="str">
        <f>"440728484"</f>
        <v>440728484</v>
      </c>
      <c r="B3722" t="str">
        <f t="shared" si="233"/>
        <v>89301000</v>
      </c>
      <c r="C3722" s="1">
        <v>44279</v>
      </c>
      <c r="D3722" s="1">
        <v>44282</v>
      </c>
      <c r="E3722">
        <v>1</v>
      </c>
      <c r="F3722" t="s">
        <v>2623</v>
      </c>
      <c r="G3722" t="str">
        <f>"17-C05-06"</f>
        <v>17-C05-06</v>
      </c>
      <c r="H3722">
        <v>0.50260000000000005</v>
      </c>
      <c r="I3722" t="s">
        <v>2624</v>
      </c>
      <c r="J3722" t="s">
        <v>14</v>
      </c>
      <c r="K3722" t="str">
        <f>"2F2"</f>
        <v>2F2</v>
      </c>
      <c r="L3722" t="s">
        <v>15</v>
      </c>
    </row>
    <row r="3723" spans="1:12" x14ac:dyDescent="0.25">
      <c r="A3723" t="str">
        <f>"440801451"</f>
        <v>440801451</v>
      </c>
      <c r="B3723" t="str">
        <f t="shared" si="233"/>
        <v>89301000</v>
      </c>
      <c r="C3723" s="1">
        <v>44336</v>
      </c>
      <c r="D3723" s="1">
        <v>44343</v>
      </c>
      <c r="E3723">
        <v>1</v>
      </c>
      <c r="F3723" t="s">
        <v>448</v>
      </c>
      <c r="G3723" t="str">
        <f>"11-K01-03"</f>
        <v>11-K01-03</v>
      </c>
      <c r="H3723">
        <v>0.59489999999999998</v>
      </c>
      <c r="I3723" t="s">
        <v>2625</v>
      </c>
      <c r="J3723" t="s">
        <v>14</v>
      </c>
      <c r="K3723" t="str">
        <f>"7F6"</f>
        <v>7F6</v>
      </c>
      <c r="L3723" t="s">
        <v>15</v>
      </c>
    </row>
    <row r="3724" spans="1:12" x14ac:dyDescent="0.25">
      <c r="A3724" t="str">
        <f>"440801451"</f>
        <v>440801451</v>
      </c>
      <c r="B3724" t="str">
        <f t="shared" si="233"/>
        <v>89301000</v>
      </c>
      <c r="C3724" s="1">
        <v>44271</v>
      </c>
      <c r="D3724" s="1">
        <v>44272</v>
      </c>
      <c r="E3724">
        <v>5</v>
      </c>
      <c r="F3724" t="s">
        <v>1026</v>
      </c>
      <c r="G3724" t="str">
        <f>"04-K02-04"</f>
        <v>04-K02-04</v>
      </c>
      <c r="H3724">
        <v>0.55769999999999997</v>
      </c>
      <c r="I3724" t="s">
        <v>2626</v>
      </c>
      <c r="J3724" t="s">
        <v>14</v>
      </c>
      <c r="K3724" t="str">
        <f>"5F1"</f>
        <v>5F1</v>
      </c>
      <c r="L3724" t="s">
        <v>15</v>
      </c>
    </row>
    <row r="3725" spans="1:12" x14ac:dyDescent="0.25">
      <c r="A3725" t="str">
        <f>"440807467"</f>
        <v>440807467</v>
      </c>
      <c r="B3725" t="str">
        <f t="shared" si="233"/>
        <v>89301000</v>
      </c>
      <c r="C3725" s="1">
        <v>44275</v>
      </c>
      <c r="D3725" s="1">
        <v>44288</v>
      </c>
      <c r="E3725">
        <v>1</v>
      </c>
      <c r="F3725" t="s">
        <v>217</v>
      </c>
      <c r="G3725" t="str">
        <f>"04-K02-04"</f>
        <v>04-K02-04</v>
      </c>
      <c r="H3725">
        <v>0.82469999999999999</v>
      </c>
      <c r="I3725" t="s">
        <v>2627</v>
      </c>
      <c r="J3725" t="s">
        <v>14</v>
      </c>
      <c r="K3725" t="str">
        <f>"2F5"</f>
        <v>2F5</v>
      </c>
      <c r="L3725" t="s">
        <v>15</v>
      </c>
    </row>
    <row r="3726" spans="1:12" x14ac:dyDescent="0.25">
      <c r="A3726" t="str">
        <f>"440903434"</f>
        <v>440903434</v>
      </c>
      <c r="B3726" t="str">
        <f t="shared" si="233"/>
        <v>89301000</v>
      </c>
      <c r="C3726" s="1">
        <v>44471</v>
      </c>
      <c r="D3726" s="1">
        <v>44474</v>
      </c>
      <c r="E3726">
        <v>1</v>
      </c>
      <c r="F3726" t="s">
        <v>1545</v>
      </c>
      <c r="G3726" t="str">
        <f>"05-I14-03"</f>
        <v>05-I14-03</v>
      </c>
      <c r="H3726">
        <v>6.1292</v>
      </c>
      <c r="I3726" t="s">
        <v>1605</v>
      </c>
      <c r="J3726" t="s">
        <v>14</v>
      </c>
      <c r="K3726" t="str">
        <f>"1F1"</f>
        <v>1F1</v>
      </c>
      <c r="L3726" t="s">
        <v>15</v>
      </c>
    </row>
    <row r="3727" spans="1:12" x14ac:dyDescent="0.25">
      <c r="A3727" t="str">
        <f>"440903434"</f>
        <v>440903434</v>
      </c>
      <c r="B3727" t="str">
        <f t="shared" si="233"/>
        <v>89301000</v>
      </c>
      <c r="C3727" s="1">
        <v>44459</v>
      </c>
      <c r="D3727" s="1">
        <v>44466</v>
      </c>
      <c r="E3727">
        <v>1</v>
      </c>
      <c r="F3727" t="s">
        <v>1545</v>
      </c>
      <c r="G3727" t="str">
        <f>"05-D01-06"</f>
        <v>05-D01-06</v>
      </c>
      <c r="H3727">
        <v>0.7611</v>
      </c>
      <c r="I3727" t="s">
        <v>2628</v>
      </c>
      <c r="J3727" t="s">
        <v>14</v>
      </c>
      <c r="K3727" t="str">
        <f>"1F1"</f>
        <v>1F1</v>
      </c>
      <c r="L3727" t="s">
        <v>15</v>
      </c>
    </row>
    <row r="3728" spans="1:12" x14ac:dyDescent="0.25">
      <c r="A3728" t="str">
        <f>"440904419"</f>
        <v>440904419</v>
      </c>
      <c r="B3728" t="str">
        <f t="shared" si="233"/>
        <v>89301000</v>
      </c>
      <c r="C3728" s="1">
        <v>44397</v>
      </c>
      <c r="D3728" s="1">
        <v>44405</v>
      </c>
      <c r="E3728">
        <v>1</v>
      </c>
      <c r="F3728" t="s">
        <v>2030</v>
      </c>
      <c r="G3728" t="str">
        <f>"06-I07-05"</f>
        <v>06-I07-05</v>
      </c>
      <c r="H3728">
        <v>2.8466999999999998</v>
      </c>
      <c r="I3728" t="s">
        <v>2629</v>
      </c>
      <c r="J3728" t="s">
        <v>17</v>
      </c>
      <c r="K3728" t="str">
        <f>"5F1"</f>
        <v>5F1</v>
      </c>
      <c r="L3728" t="s">
        <v>15</v>
      </c>
    </row>
    <row r="3729" spans="1:12" x14ac:dyDescent="0.25">
      <c r="A3729" t="str">
        <f>"440908457"</f>
        <v>440908457</v>
      </c>
      <c r="B3729" t="str">
        <f t="shared" si="233"/>
        <v>89301000</v>
      </c>
      <c r="C3729" s="1">
        <v>44444</v>
      </c>
      <c r="D3729" s="1">
        <v>44452</v>
      </c>
      <c r="E3729">
        <v>1</v>
      </c>
      <c r="F3729" t="s">
        <v>1555</v>
      </c>
      <c r="G3729" t="str">
        <f>"05-I24-02"</f>
        <v>05-I24-02</v>
      </c>
      <c r="H3729">
        <v>4.3616999999999999</v>
      </c>
      <c r="I3729" t="s">
        <v>2630</v>
      </c>
      <c r="J3729" t="s">
        <v>14</v>
      </c>
      <c r="K3729" t="str">
        <f>"5F1"</f>
        <v>5F1</v>
      </c>
      <c r="L3729" t="s">
        <v>15</v>
      </c>
    </row>
    <row r="3730" spans="1:12" x14ac:dyDescent="0.25">
      <c r="A3730" t="str">
        <f>"440908475"</f>
        <v>440908475</v>
      </c>
      <c r="B3730" t="str">
        <f t="shared" si="233"/>
        <v>89301000</v>
      </c>
      <c r="C3730" s="1">
        <v>44248</v>
      </c>
      <c r="D3730" s="1">
        <v>44251</v>
      </c>
      <c r="E3730">
        <v>5</v>
      </c>
      <c r="F3730" t="s">
        <v>107</v>
      </c>
      <c r="G3730" t="str">
        <f>"08-K11-01"</f>
        <v>08-K11-01</v>
      </c>
      <c r="H3730">
        <v>1.0025999999999999</v>
      </c>
      <c r="I3730" t="s">
        <v>2631</v>
      </c>
      <c r="J3730" t="s">
        <v>14</v>
      </c>
      <c r="K3730" t="str">
        <f>"5T3"</f>
        <v>5T3</v>
      </c>
      <c r="L3730" t="s">
        <v>15</v>
      </c>
    </row>
    <row r="3731" spans="1:12" x14ac:dyDescent="0.25">
      <c r="A3731" t="str">
        <f>"440909461"</f>
        <v>440909461</v>
      </c>
      <c r="B3731" t="str">
        <f t="shared" si="233"/>
        <v>89301000</v>
      </c>
      <c r="C3731" s="1">
        <v>44467</v>
      </c>
      <c r="D3731" s="1">
        <v>44475</v>
      </c>
      <c r="E3731">
        <v>4</v>
      </c>
      <c r="F3731" t="s">
        <v>1968</v>
      </c>
      <c r="G3731" t="str">
        <f>"08-I05-05"</f>
        <v>08-I05-05</v>
      </c>
      <c r="H3731">
        <v>2.2932000000000001</v>
      </c>
      <c r="I3731" t="s">
        <v>489</v>
      </c>
      <c r="J3731" t="s">
        <v>17</v>
      </c>
      <c r="K3731" t="str">
        <f>"6F6"</f>
        <v>6F6</v>
      </c>
      <c r="L3731" t="s">
        <v>15</v>
      </c>
    </row>
    <row r="3732" spans="1:12" x14ac:dyDescent="0.25">
      <c r="A3732" t="str">
        <f>"440914164"</f>
        <v>440914164</v>
      </c>
      <c r="B3732" t="str">
        <f t="shared" si="233"/>
        <v>89301000</v>
      </c>
      <c r="C3732" s="1">
        <v>44489</v>
      </c>
      <c r="D3732" s="1">
        <v>44491</v>
      </c>
      <c r="E3732">
        <v>1</v>
      </c>
      <c r="F3732" t="s">
        <v>1606</v>
      </c>
      <c r="G3732" t="str">
        <f>"05-M05-02"</f>
        <v>05-M05-02</v>
      </c>
      <c r="H3732">
        <v>3.516</v>
      </c>
      <c r="J3732" t="s">
        <v>24</v>
      </c>
      <c r="K3732" t="str">
        <f>"1F1"</f>
        <v>1F1</v>
      </c>
      <c r="L3732" t="s">
        <v>15</v>
      </c>
    </row>
    <row r="3733" spans="1:12" x14ac:dyDescent="0.25">
      <c r="A3733" t="str">
        <f>"440916463"</f>
        <v>440916463</v>
      </c>
      <c r="B3733" t="str">
        <f t="shared" si="233"/>
        <v>89301000</v>
      </c>
      <c r="C3733" s="1">
        <v>44168</v>
      </c>
      <c r="D3733" s="1">
        <v>44211</v>
      </c>
      <c r="E3733">
        <v>5</v>
      </c>
      <c r="F3733" t="s">
        <v>2632</v>
      </c>
      <c r="G3733" t="str">
        <f>"01-I06-02"</f>
        <v>01-I06-02</v>
      </c>
      <c r="H3733">
        <v>9.3696000000000002</v>
      </c>
      <c r="I3733" t="s">
        <v>2633</v>
      </c>
      <c r="J3733" t="s">
        <v>17</v>
      </c>
      <c r="K3733" t="str">
        <f>"5F6"</f>
        <v>5F6</v>
      </c>
      <c r="L3733" t="s">
        <v>15</v>
      </c>
    </row>
    <row r="3734" spans="1:12" x14ac:dyDescent="0.25">
      <c r="A3734" t="str">
        <f>"440917488"</f>
        <v>440917488</v>
      </c>
      <c r="B3734" t="str">
        <f t="shared" si="233"/>
        <v>89301000</v>
      </c>
      <c r="C3734" s="1">
        <v>44384</v>
      </c>
      <c r="D3734" s="1">
        <v>44386</v>
      </c>
      <c r="E3734">
        <v>1</v>
      </c>
      <c r="F3734" t="s">
        <v>1567</v>
      </c>
      <c r="G3734" t="str">
        <f>"05-I21-02"</f>
        <v>05-I21-02</v>
      </c>
      <c r="H3734">
        <v>2.4039000000000001</v>
      </c>
      <c r="I3734" t="s">
        <v>1983</v>
      </c>
      <c r="J3734" t="s">
        <v>14</v>
      </c>
      <c r="K3734" t="str">
        <f>"1F7"</f>
        <v>1F7</v>
      </c>
      <c r="L3734" t="s">
        <v>15</v>
      </c>
    </row>
    <row r="3735" spans="1:12" x14ac:dyDescent="0.25">
      <c r="A3735" t="str">
        <f>"440917780"</f>
        <v>440917780</v>
      </c>
      <c r="B3735" t="str">
        <f t="shared" ref="B3735:B3798" si="235">"89301000"</f>
        <v>89301000</v>
      </c>
      <c r="C3735" s="1">
        <v>44458</v>
      </c>
      <c r="D3735" s="1">
        <v>44461</v>
      </c>
      <c r="E3735">
        <v>1</v>
      </c>
      <c r="F3735" t="s">
        <v>2004</v>
      </c>
      <c r="G3735" t="str">
        <f>"05-M06-02"</f>
        <v>05-M06-02</v>
      </c>
      <c r="H3735">
        <v>3.7488999999999999</v>
      </c>
      <c r="J3735" t="s">
        <v>17</v>
      </c>
      <c r="K3735" t="str">
        <f>"1T1"</f>
        <v>1T1</v>
      </c>
      <c r="L3735" t="s">
        <v>15</v>
      </c>
    </row>
    <row r="3736" spans="1:12" x14ac:dyDescent="0.25">
      <c r="A3736" t="str">
        <f>"440917780"</f>
        <v>440917780</v>
      </c>
      <c r="B3736" t="str">
        <f t="shared" si="235"/>
        <v>89301000</v>
      </c>
      <c r="C3736" s="1">
        <v>44508</v>
      </c>
      <c r="D3736" s="1">
        <v>44508</v>
      </c>
      <c r="E3736">
        <v>1</v>
      </c>
      <c r="F3736" t="s">
        <v>1557</v>
      </c>
      <c r="G3736" t="str">
        <f>"05-M06-08"</f>
        <v>05-M06-08</v>
      </c>
      <c r="H3736">
        <v>1.1200000000000001</v>
      </c>
      <c r="J3736" t="s">
        <v>17</v>
      </c>
      <c r="K3736" t="str">
        <f>"1F1"</f>
        <v>1F1</v>
      </c>
      <c r="L3736" t="s">
        <v>15</v>
      </c>
    </row>
    <row r="3737" spans="1:12" x14ac:dyDescent="0.25">
      <c r="A3737" t="str">
        <f>"440918455"</f>
        <v>440918455</v>
      </c>
      <c r="B3737" t="str">
        <f t="shared" si="235"/>
        <v>89301000</v>
      </c>
      <c r="C3737" s="1">
        <v>44522</v>
      </c>
      <c r="D3737" s="1">
        <v>44522</v>
      </c>
      <c r="E3737">
        <v>1</v>
      </c>
      <c r="F3737" t="s">
        <v>1557</v>
      </c>
      <c r="G3737" t="str">
        <f>"05-D01-08"</f>
        <v>05-D01-08</v>
      </c>
      <c r="H3737">
        <v>0.21890000000000001</v>
      </c>
      <c r="J3737" t="s">
        <v>14</v>
      </c>
      <c r="K3737" t="str">
        <f>"1F1"</f>
        <v>1F1</v>
      </c>
      <c r="L3737" t="s">
        <v>15</v>
      </c>
    </row>
    <row r="3738" spans="1:12" x14ac:dyDescent="0.25">
      <c r="A3738" t="str">
        <f>"441005420"</f>
        <v>441005420</v>
      </c>
      <c r="B3738" t="str">
        <f t="shared" si="235"/>
        <v>89301000</v>
      </c>
      <c r="C3738" s="1">
        <v>44440</v>
      </c>
      <c r="D3738" s="1">
        <v>44447</v>
      </c>
      <c r="E3738">
        <v>1</v>
      </c>
      <c r="F3738" t="s">
        <v>2634</v>
      </c>
      <c r="G3738" t="str">
        <f>"01-K18-03"</f>
        <v>01-K18-03</v>
      </c>
      <c r="H3738">
        <v>0.76180000000000003</v>
      </c>
      <c r="I3738" t="s">
        <v>2635</v>
      </c>
      <c r="J3738" t="s">
        <v>14</v>
      </c>
      <c r="K3738" t="str">
        <f>"2F9"</f>
        <v>2F9</v>
      </c>
      <c r="L3738" t="s">
        <v>15</v>
      </c>
    </row>
    <row r="3739" spans="1:12" x14ac:dyDescent="0.25">
      <c r="A3739" t="str">
        <f>"441006432"</f>
        <v>441006432</v>
      </c>
      <c r="B3739" t="str">
        <f t="shared" si="235"/>
        <v>89301000</v>
      </c>
      <c r="C3739" s="1">
        <v>44265</v>
      </c>
      <c r="D3739" s="1">
        <v>44266</v>
      </c>
      <c r="E3739">
        <v>1</v>
      </c>
      <c r="F3739" t="s">
        <v>2360</v>
      </c>
      <c r="G3739" t="str">
        <f>"06-M01-05"</f>
        <v>06-M01-05</v>
      </c>
      <c r="H3739">
        <v>0.41710000000000003</v>
      </c>
      <c r="I3739" t="s">
        <v>2550</v>
      </c>
      <c r="J3739" t="s">
        <v>14</v>
      </c>
      <c r="K3739" t="str">
        <f>"1F1"</f>
        <v>1F1</v>
      </c>
      <c r="L3739" t="s">
        <v>15</v>
      </c>
    </row>
    <row r="3740" spans="1:12" x14ac:dyDescent="0.25">
      <c r="A3740" t="str">
        <f>"441007414"</f>
        <v>441007414</v>
      </c>
      <c r="B3740" t="str">
        <f t="shared" si="235"/>
        <v>89301000</v>
      </c>
      <c r="C3740" s="1">
        <v>44216</v>
      </c>
      <c r="D3740" s="1">
        <v>44218</v>
      </c>
      <c r="E3740">
        <v>1</v>
      </c>
      <c r="F3740" t="s">
        <v>2434</v>
      </c>
      <c r="G3740" t="str">
        <f>"04-C02-02"</f>
        <v>04-C02-02</v>
      </c>
      <c r="H3740">
        <v>0.3589</v>
      </c>
      <c r="I3740" t="s">
        <v>2636</v>
      </c>
      <c r="J3740" t="s">
        <v>14</v>
      </c>
      <c r="K3740" t="str">
        <f>"2F5"</f>
        <v>2F5</v>
      </c>
      <c r="L3740" t="s">
        <v>15</v>
      </c>
    </row>
    <row r="3741" spans="1:12" x14ac:dyDescent="0.25">
      <c r="A3741" t="str">
        <f>"441007458"</f>
        <v>441007458</v>
      </c>
      <c r="B3741" t="str">
        <f t="shared" si="235"/>
        <v>89301000</v>
      </c>
      <c r="C3741" s="1">
        <v>44265</v>
      </c>
      <c r="D3741" s="1">
        <v>44270</v>
      </c>
      <c r="E3741">
        <v>1</v>
      </c>
      <c r="F3741" t="s">
        <v>2637</v>
      </c>
      <c r="G3741" t="str">
        <f>"23-K05-01"</f>
        <v>23-K05-01</v>
      </c>
      <c r="H3741">
        <v>0.56999999999999995</v>
      </c>
      <c r="I3741" t="s">
        <v>2638</v>
      </c>
      <c r="J3741" t="s">
        <v>14</v>
      </c>
      <c r="K3741" t="str">
        <f>"4F7"</f>
        <v>4F7</v>
      </c>
      <c r="L3741" t="s">
        <v>15</v>
      </c>
    </row>
    <row r="3742" spans="1:12" x14ac:dyDescent="0.25">
      <c r="A3742" t="str">
        <f>"441008411"</f>
        <v>441008411</v>
      </c>
      <c r="B3742" t="str">
        <f t="shared" si="235"/>
        <v>89301000</v>
      </c>
      <c r="C3742" s="1">
        <v>44467</v>
      </c>
      <c r="D3742" s="1">
        <v>44469</v>
      </c>
      <c r="E3742">
        <v>1</v>
      </c>
      <c r="F3742" t="s">
        <v>1683</v>
      </c>
      <c r="G3742" t="str">
        <f>"05-D01-06"</f>
        <v>05-D01-06</v>
      </c>
      <c r="H3742">
        <v>0.7611</v>
      </c>
      <c r="I3742" t="s">
        <v>1708</v>
      </c>
      <c r="J3742" t="s">
        <v>14</v>
      </c>
      <c r="K3742" t="str">
        <f>"1F1"</f>
        <v>1F1</v>
      </c>
      <c r="L3742" t="s">
        <v>15</v>
      </c>
    </row>
    <row r="3743" spans="1:12" x14ac:dyDescent="0.25">
      <c r="A3743" t="str">
        <f>"441008411"</f>
        <v>441008411</v>
      </c>
      <c r="B3743" t="str">
        <f t="shared" si="235"/>
        <v>89301000</v>
      </c>
      <c r="C3743" s="1">
        <v>44508</v>
      </c>
      <c r="D3743" s="1">
        <v>44510</v>
      </c>
      <c r="E3743">
        <v>1</v>
      </c>
      <c r="F3743" t="s">
        <v>1679</v>
      </c>
      <c r="G3743" t="str">
        <f>"11-M06-03"</f>
        <v>11-M06-03</v>
      </c>
      <c r="H3743">
        <v>0.61519999999999997</v>
      </c>
      <c r="I3743" t="s">
        <v>2639</v>
      </c>
      <c r="J3743" t="s">
        <v>17</v>
      </c>
      <c r="K3743" t="str">
        <f>"7F6"</f>
        <v>7F6</v>
      </c>
      <c r="L3743" t="s">
        <v>15</v>
      </c>
    </row>
    <row r="3744" spans="1:12" x14ac:dyDescent="0.25">
      <c r="A3744" t="str">
        <f>"441014011"</f>
        <v>441014011</v>
      </c>
      <c r="B3744" t="str">
        <f t="shared" si="235"/>
        <v>89301000</v>
      </c>
      <c r="C3744" s="1">
        <v>44403</v>
      </c>
      <c r="D3744" s="1">
        <v>44404</v>
      </c>
      <c r="E3744">
        <v>1</v>
      </c>
      <c r="F3744" t="s">
        <v>2239</v>
      </c>
      <c r="G3744" t="str">
        <f>"05-M05-03"</f>
        <v>05-M05-03</v>
      </c>
      <c r="H3744">
        <v>1.9991000000000001</v>
      </c>
      <c r="J3744" t="s">
        <v>24</v>
      </c>
      <c r="K3744" t="str">
        <f>"1F7"</f>
        <v>1F7</v>
      </c>
      <c r="L3744" t="s">
        <v>15</v>
      </c>
    </row>
    <row r="3745" spans="1:12" x14ac:dyDescent="0.25">
      <c r="A3745" t="str">
        <f>"441014465"</f>
        <v>441014465</v>
      </c>
      <c r="B3745" t="str">
        <f t="shared" si="235"/>
        <v>89301000</v>
      </c>
      <c r="C3745" s="1">
        <v>44208</v>
      </c>
      <c r="D3745" s="1">
        <v>44219</v>
      </c>
      <c r="E3745">
        <v>8</v>
      </c>
      <c r="F3745" t="s">
        <v>962</v>
      </c>
      <c r="G3745" t="str">
        <f>"04-M01-04"</f>
        <v>04-M01-04</v>
      </c>
      <c r="H3745">
        <v>11.1008</v>
      </c>
      <c r="I3745" t="s">
        <v>2640</v>
      </c>
      <c r="J3745" t="s">
        <v>14</v>
      </c>
      <c r="K3745" t="str">
        <f>"7T8"</f>
        <v>7T8</v>
      </c>
      <c r="L3745" t="s">
        <v>15</v>
      </c>
    </row>
    <row r="3746" spans="1:12" x14ac:dyDescent="0.25">
      <c r="A3746" t="str">
        <f>"441017458"</f>
        <v>441017458</v>
      </c>
      <c r="B3746" t="str">
        <f t="shared" si="235"/>
        <v>89301000</v>
      </c>
      <c r="C3746" s="1">
        <v>44275</v>
      </c>
      <c r="D3746" s="1">
        <v>44286</v>
      </c>
      <c r="E3746">
        <v>5</v>
      </c>
      <c r="F3746" t="s">
        <v>38</v>
      </c>
      <c r="G3746" t="str">
        <f>"05-I03-01"</f>
        <v>05-I03-01</v>
      </c>
      <c r="H3746">
        <v>31.220199999999998</v>
      </c>
      <c r="I3746" t="s">
        <v>2641</v>
      </c>
      <c r="J3746" t="s">
        <v>14</v>
      </c>
      <c r="K3746" t="str">
        <f>"5T5"</f>
        <v>5T5</v>
      </c>
      <c r="L3746" t="s">
        <v>15</v>
      </c>
    </row>
    <row r="3747" spans="1:12" x14ac:dyDescent="0.25">
      <c r="A3747" t="str">
        <f>"441030432"</f>
        <v>441030432</v>
      </c>
      <c r="B3747" t="str">
        <f t="shared" si="235"/>
        <v>89301000</v>
      </c>
      <c r="C3747" s="1">
        <v>44207</v>
      </c>
      <c r="D3747" s="1">
        <v>44209</v>
      </c>
      <c r="E3747">
        <v>1</v>
      </c>
      <c r="F3747" t="s">
        <v>2111</v>
      </c>
      <c r="G3747" t="str">
        <f>"10-K15-02"</f>
        <v>10-K15-02</v>
      </c>
      <c r="H3747">
        <v>0.77639999999999998</v>
      </c>
      <c r="I3747" t="s">
        <v>2642</v>
      </c>
      <c r="J3747" t="s">
        <v>14</v>
      </c>
      <c r="K3747" t="str">
        <f>"2F5"</f>
        <v>2F5</v>
      </c>
      <c r="L3747" t="s">
        <v>15</v>
      </c>
    </row>
    <row r="3748" spans="1:12" x14ac:dyDescent="0.25">
      <c r="A3748" t="str">
        <f>"441103441"</f>
        <v>441103441</v>
      </c>
      <c r="B3748" t="str">
        <f t="shared" si="235"/>
        <v>89301000</v>
      </c>
      <c r="C3748" s="1">
        <v>44296</v>
      </c>
      <c r="D3748" s="1">
        <v>44301</v>
      </c>
      <c r="E3748">
        <v>1</v>
      </c>
      <c r="F3748" t="s">
        <v>424</v>
      </c>
      <c r="G3748" t="str">
        <f>"07-M02-04"</f>
        <v>07-M02-04</v>
      </c>
      <c r="H3748">
        <v>0.8427</v>
      </c>
      <c r="I3748" t="s">
        <v>2643</v>
      </c>
      <c r="J3748" t="s">
        <v>17</v>
      </c>
      <c r="K3748" t="str">
        <f>"1F5"</f>
        <v>1F5</v>
      </c>
      <c r="L3748" t="s">
        <v>15</v>
      </c>
    </row>
    <row r="3749" spans="1:12" x14ac:dyDescent="0.25">
      <c r="A3749" t="str">
        <f>"441109448"</f>
        <v>441109448</v>
      </c>
      <c r="B3749" t="str">
        <f t="shared" si="235"/>
        <v>89301000</v>
      </c>
      <c r="C3749" s="1">
        <v>44555</v>
      </c>
      <c r="D3749" s="1">
        <v>44560</v>
      </c>
      <c r="E3749">
        <v>1</v>
      </c>
      <c r="F3749" t="s">
        <v>1549</v>
      </c>
      <c r="G3749" t="str">
        <f>"11-K03-02"</f>
        <v>11-K03-02</v>
      </c>
      <c r="H3749">
        <v>0.62060000000000004</v>
      </c>
      <c r="J3749" t="s">
        <v>14</v>
      </c>
      <c r="K3749" t="str">
        <f>"7F6"</f>
        <v>7F6</v>
      </c>
      <c r="L3749" t="s">
        <v>15</v>
      </c>
    </row>
    <row r="3750" spans="1:12" x14ac:dyDescent="0.25">
      <c r="A3750" t="str">
        <f>"441109448"</f>
        <v>441109448</v>
      </c>
      <c r="B3750" t="str">
        <f t="shared" si="235"/>
        <v>89301000</v>
      </c>
      <c r="C3750" s="1">
        <v>44540</v>
      </c>
      <c r="D3750" s="1">
        <v>44546</v>
      </c>
      <c r="E3750">
        <v>1</v>
      </c>
      <c r="F3750" t="s">
        <v>1549</v>
      </c>
      <c r="G3750" t="str">
        <f>"11-K03-02"</f>
        <v>11-K03-02</v>
      </c>
      <c r="H3750">
        <v>0.6008</v>
      </c>
      <c r="I3750" t="s">
        <v>2585</v>
      </c>
      <c r="J3750" t="s">
        <v>14</v>
      </c>
      <c r="K3750" t="str">
        <f>"7F6"</f>
        <v>7F6</v>
      </c>
      <c r="L3750" t="s">
        <v>15</v>
      </c>
    </row>
    <row r="3751" spans="1:12" x14ac:dyDescent="0.25">
      <c r="A3751" t="str">
        <f>"441118073"</f>
        <v>441118073</v>
      </c>
      <c r="B3751" t="str">
        <f t="shared" si="235"/>
        <v>89301000</v>
      </c>
      <c r="C3751" s="1">
        <v>44375</v>
      </c>
      <c r="D3751" s="1">
        <v>44382</v>
      </c>
      <c r="E3751">
        <v>1</v>
      </c>
      <c r="F3751" t="s">
        <v>1557</v>
      </c>
      <c r="G3751" t="str">
        <f>"05-I16-07"</f>
        <v>05-I16-07</v>
      </c>
      <c r="H3751">
        <v>4.2412000000000001</v>
      </c>
      <c r="J3751" t="s">
        <v>17</v>
      </c>
      <c r="K3751" t="str">
        <f>"5F5"</f>
        <v>5F5</v>
      </c>
      <c r="L3751" t="s">
        <v>15</v>
      </c>
    </row>
    <row r="3752" spans="1:12" x14ac:dyDescent="0.25">
      <c r="A3752" t="str">
        <f>"441118073"</f>
        <v>441118073</v>
      </c>
      <c r="B3752" t="str">
        <f t="shared" si="235"/>
        <v>89301000</v>
      </c>
      <c r="C3752" s="1">
        <v>44323</v>
      </c>
      <c r="D3752" s="1">
        <v>44330</v>
      </c>
      <c r="E3752">
        <v>1</v>
      </c>
      <c r="F3752" t="s">
        <v>1650</v>
      </c>
      <c r="G3752" t="str">
        <f>"05-I14-01"</f>
        <v>05-I14-01</v>
      </c>
      <c r="H3752">
        <v>10.0059</v>
      </c>
      <c r="I3752" t="s">
        <v>2644</v>
      </c>
      <c r="J3752" t="s">
        <v>14</v>
      </c>
      <c r="K3752" t="str">
        <f>"1F7"</f>
        <v>1F7</v>
      </c>
      <c r="L3752" t="s">
        <v>15</v>
      </c>
    </row>
    <row r="3753" spans="1:12" x14ac:dyDescent="0.25">
      <c r="A3753" t="str">
        <f>"441125168"</f>
        <v>441125168</v>
      </c>
      <c r="B3753" t="str">
        <f t="shared" si="235"/>
        <v>89301000</v>
      </c>
      <c r="C3753" s="1">
        <v>44480</v>
      </c>
      <c r="D3753" s="1">
        <v>44483</v>
      </c>
      <c r="E3753">
        <v>1</v>
      </c>
      <c r="F3753" t="s">
        <v>2645</v>
      </c>
      <c r="G3753" t="str">
        <f>"06-K22-02"</f>
        <v>06-K22-02</v>
      </c>
      <c r="H3753">
        <v>0.58020000000000005</v>
      </c>
      <c r="I3753" t="s">
        <v>2646</v>
      </c>
      <c r="J3753" t="s">
        <v>14</v>
      </c>
      <c r="K3753" t="str">
        <f>"5F1"</f>
        <v>5F1</v>
      </c>
      <c r="L3753" t="s">
        <v>15</v>
      </c>
    </row>
    <row r="3754" spans="1:12" x14ac:dyDescent="0.25">
      <c r="A3754" t="str">
        <f>"441125475"</f>
        <v>441125475</v>
      </c>
      <c r="B3754" t="str">
        <f t="shared" si="235"/>
        <v>89301000</v>
      </c>
      <c r="C3754" s="1">
        <v>44363</v>
      </c>
      <c r="D3754" s="1">
        <v>44365</v>
      </c>
      <c r="E3754">
        <v>1</v>
      </c>
      <c r="F3754" t="s">
        <v>1557</v>
      </c>
      <c r="G3754" t="str">
        <f>"05-I14-04"</f>
        <v>05-I14-04</v>
      </c>
      <c r="H3754">
        <v>5.4002999999999997</v>
      </c>
      <c r="I3754" t="s">
        <v>2600</v>
      </c>
      <c r="J3754" t="s">
        <v>14</v>
      </c>
      <c r="K3754" t="str">
        <f>"1F1"</f>
        <v>1F1</v>
      </c>
      <c r="L3754" t="s">
        <v>15</v>
      </c>
    </row>
    <row r="3755" spans="1:12" x14ac:dyDescent="0.25">
      <c r="A3755" t="str">
        <f>"441125475"</f>
        <v>441125475</v>
      </c>
      <c r="B3755" t="str">
        <f t="shared" si="235"/>
        <v>89301000</v>
      </c>
      <c r="C3755" s="1">
        <v>44357</v>
      </c>
      <c r="D3755" s="1">
        <v>44358</v>
      </c>
      <c r="E3755">
        <v>1</v>
      </c>
      <c r="F3755" t="s">
        <v>1557</v>
      </c>
      <c r="G3755" t="str">
        <f>"05-M06-08"</f>
        <v>05-M06-08</v>
      </c>
      <c r="H3755">
        <v>1.4719</v>
      </c>
      <c r="I3755" t="s">
        <v>2647</v>
      </c>
      <c r="J3755" t="s">
        <v>17</v>
      </c>
      <c r="K3755" t="str">
        <f>"1F1"</f>
        <v>1F1</v>
      </c>
      <c r="L3755" t="s">
        <v>15</v>
      </c>
    </row>
    <row r="3756" spans="1:12" x14ac:dyDescent="0.25">
      <c r="A3756" t="str">
        <f>"441130464"</f>
        <v>441130464</v>
      </c>
      <c r="B3756" t="str">
        <f t="shared" si="235"/>
        <v>89301000</v>
      </c>
      <c r="C3756" s="1">
        <v>44353</v>
      </c>
      <c r="D3756" s="1">
        <v>44361</v>
      </c>
      <c r="E3756">
        <v>1</v>
      </c>
      <c r="F3756" t="s">
        <v>2648</v>
      </c>
      <c r="G3756" t="str">
        <f>"06-I07-06"</f>
        <v>06-I07-06</v>
      </c>
      <c r="H3756">
        <v>2.3988</v>
      </c>
      <c r="I3756" t="s">
        <v>2649</v>
      </c>
      <c r="J3756" t="s">
        <v>17</v>
      </c>
      <c r="K3756" t="str">
        <f>"5F1"</f>
        <v>5F1</v>
      </c>
      <c r="L3756" t="s">
        <v>15</v>
      </c>
    </row>
    <row r="3757" spans="1:12" x14ac:dyDescent="0.25">
      <c r="A3757" t="str">
        <f>"441213149"</f>
        <v>441213149</v>
      </c>
      <c r="B3757" t="str">
        <f t="shared" si="235"/>
        <v>89301000</v>
      </c>
      <c r="C3757" s="1">
        <v>44528</v>
      </c>
      <c r="D3757" s="1">
        <v>44543</v>
      </c>
      <c r="E3757">
        <v>1</v>
      </c>
      <c r="F3757" t="s">
        <v>217</v>
      </c>
      <c r="G3757" t="str">
        <f>"04-K02-03"</f>
        <v>04-K02-03</v>
      </c>
      <c r="H3757">
        <v>1.2859</v>
      </c>
      <c r="I3757" t="s">
        <v>2650</v>
      </c>
      <c r="J3757" t="s">
        <v>14</v>
      </c>
      <c r="K3757" t="str">
        <f>"1F6"</f>
        <v>1F6</v>
      </c>
      <c r="L3757" t="s">
        <v>15</v>
      </c>
    </row>
    <row r="3758" spans="1:12" x14ac:dyDescent="0.25">
      <c r="A3758" t="str">
        <f>"441215766"</f>
        <v>441215766</v>
      </c>
      <c r="B3758" t="str">
        <f t="shared" si="235"/>
        <v>89301000</v>
      </c>
      <c r="C3758" s="1">
        <v>44263</v>
      </c>
      <c r="D3758" s="1">
        <v>44273</v>
      </c>
      <c r="E3758">
        <v>1</v>
      </c>
      <c r="F3758" t="s">
        <v>2648</v>
      </c>
      <c r="G3758" t="str">
        <f>"06-I12-03"</f>
        <v>06-I12-03</v>
      </c>
      <c r="H3758">
        <v>1.8894</v>
      </c>
      <c r="J3758" t="s">
        <v>14</v>
      </c>
      <c r="K3758" t="str">
        <f>"5F1"</f>
        <v>5F1</v>
      </c>
      <c r="L3758" t="s">
        <v>15</v>
      </c>
    </row>
    <row r="3759" spans="1:12" x14ac:dyDescent="0.25">
      <c r="A3759" t="str">
        <f>"441218478"</f>
        <v>441218478</v>
      </c>
      <c r="B3759" t="str">
        <f t="shared" si="235"/>
        <v>89301000</v>
      </c>
      <c r="C3759" s="1">
        <v>44386</v>
      </c>
      <c r="D3759" s="1">
        <v>44392</v>
      </c>
      <c r="E3759">
        <v>2</v>
      </c>
      <c r="F3759" t="s">
        <v>67</v>
      </c>
      <c r="G3759" t="str">
        <f>"01-K10-03"</f>
        <v>01-K10-03</v>
      </c>
      <c r="H3759">
        <v>1.0016</v>
      </c>
      <c r="I3759" t="s">
        <v>2651</v>
      </c>
      <c r="J3759" t="s">
        <v>14</v>
      </c>
      <c r="K3759" t="str">
        <f>"2F9"</f>
        <v>2F9</v>
      </c>
      <c r="L3759" t="s">
        <v>15</v>
      </c>
    </row>
    <row r="3760" spans="1:12" x14ac:dyDescent="0.25">
      <c r="A3760" t="str">
        <f>"441218478"</f>
        <v>441218478</v>
      </c>
      <c r="B3760" t="str">
        <f t="shared" si="235"/>
        <v>89301000</v>
      </c>
      <c r="C3760" s="1">
        <v>44341</v>
      </c>
      <c r="D3760" s="1">
        <v>44344</v>
      </c>
      <c r="E3760">
        <v>1</v>
      </c>
      <c r="F3760" t="s">
        <v>67</v>
      </c>
      <c r="G3760" t="str">
        <f>"01-K10-03"</f>
        <v>01-K10-03</v>
      </c>
      <c r="H3760">
        <v>1.0016</v>
      </c>
      <c r="I3760" t="s">
        <v>2652</v>
      </c>
      <c r="J3760" t="s">
        <v>14</v>
      </c>
      <c r="K3760" t="str">
        <f>"2F9"</f>
        <v>2F9</v>
      </c>
      <c r="L3760" t="s">
        <v>15</v>
      </c>
    </row>
    <row r="3761" spans="1:12" x14ac:dyDescent="0.25">
      <c r="A3761" t="str">
        <f>"441229410"</f>
        <v>441229410</v>
      </c>
      <c r="B3761" t="str">
        <f t="shared" si="235"/>
        <v>89301000</v>
      </c>
      <c r="C3761" s="1">
        <v>44371</v>
      </c>
      <c r="D3761" s="1">
        <v>44379</v>
      </c>
      <c r="E3761">
        <v>1</v>
      </c>
      <c r="F3761" t="s">
        <v>2232</v>
      </c>
      <c r="G3761" t="str">
        <f>"11-I04-02"</f>
        <v>11-I04-02</v>
      </c>
      <c r="H3761">
        <v>2.8098999999999998</v>
      </c>
      <c r="I3761" t="s">
        <v>2653</v>
      </c>
      <c r="J3761" t="s">
        <v>17</v>
      </c>
      <c r="K3761" t="str">
        <f>"7F6"</f>
        <v>7F6</v>
      </c>
      <c r="L3761" t="s">
        <v>15</v>
      </c>
    </row>
    <row r="3762" spans="1:12" x14ac:dyDescent="0.25">
      <c r="A3762" t="str">
        <f>"441231457"</f>
        <v>441231457</v>
      </c>
      <c r="B3762" t="str">
        <f t="shared" si="235"/>
        <v>89301000</v>
      </c>
      <c r="C3762" s="1">
        <v>44296</v>
      </c>
      <c r="D3762" s="1">
        <v>44302</v>
      </c>
      <c r="E3762">
        <v>2</v>
      </c>
      <c r="F3762" t="s">
        <v>1643</v>
      </c>
      <c r="G3762" t="str">
        <f>"08-I05-07"</f>
        <v>08-I05-07</v>
      </c>
      <c r="H3762">
        <v>1.9537</v>
      </c>
      <c r="I3762" t="s">
        <v>2654</v>
      </c>
      <c r="J3762" t="s">
        <v>17</v>
      </c>
      <c r="K3762" t="str">
        <f>"6F6"</f>
        <v>6F6</v>
      </c>
      <c r="L3762" t="s">
        <v>15</v>
      </c>
    </row>
    <row r="3763" spans="1:12" x14ac:dyDescent="0.25">
      <c r="A3763" t="str">
        <f>"441231457"</f>
        <v>441231457</v>
      </c>
      <c r="B3763" t="str">
        <f t="shared" si="235"/>
        <v>89301000</v>
      </c>
      <c r="C3763" s="1">
        <v>44203</v>
      </c>
      <c r="D3763" s="1">
        <v>44215</v>
      </c>
      <c r="E3763">
        <v>4</v>
      </c>
      <c r="F3763" t="s">
        <v>217</v>
      </c>
      <c r="G3763" t="str">
        <f>"04-K02-03"</f>
        <v>04-K02-03</v>
      </c>
      <c r="H3763">
        <v>1.2859</v>
      </c>
      <c r="I3763" t="s">
        <v>2655</v>
      </c>
      <c r="J3763" t="s">
        <v>14</v>
      </c>
      <c r="K3763" t="str">
        <f>"1F1"</f>
        <v>1F1</v>
      </c>
      <c r="L3763" t="s">
        <v>15</v>
      </c>
    </row>
    <row r="3764" spans="1:12" x14ac:dyDescent="0.25">
      <c r="A3764" t="str">
        <f>"445111462"</f>
        <v>445111462</v>
      </c>
      <c r="B3764" t="str">
        <f t="shared" si="235"/>
        <v>89301000</v>
      </c>
      <c r="C3764" s="1">
        <v>44265</v>
      </c>
      <c r="D3764" s="1">
        <v>44270</v>
      </c>
      <c r="E3764">
        <v>1</v>
      </c>
      <c r="F3764" t="s">
        <v>2656</v>
      </c>
      <c r="G3764" t="str">
        <f>"07-K11-03"</f>
        <v>07-K11-03</v>
      </c>
      <c r="H3764">
        <v>0.43080000000000002</v>
      </c>
      <c r="I3764" t="s">
        <v>2657</v>
      </c>
      <c r="J3764" t="s">
        <v>14</v>
      </c>
      <c r="K3764" t="str">
        <f>"1F5"</f>
        <v>1F5</v>
      </c>
      <c r="L3764" t="s">
        <v>15</v>
      </c>
    </row>
    <row r="3765" spans="1:12" x14ac:dyDescent="0.25">
      <c r="A3765" t="str">
        <f>"445126459"</f>
        <v>445126459</v>
      </c>
      <c r="B3765" t="str">
        <f t="shared" si="235"/>
        <v>89301000</v>
      </c>
      <c r="C3765" s="1">
        <v>44524</v>
      </c>
      <c r="D3765" s="1">
        <v>44529</v>
      </c>
      <c r="E3765">
        <v>2</v>
      </c>
      <c r="F3765" t="s">
        <v>354</v>
      </c>
      <c r="G3765" t="str">
        <f>"10-K14-02"</f>
        <v>10-K14-02</v>
      </c>
      <c r="H3765">
        <v>0.70440000000000003</v>
      </c>
      <c r="I3765" t="s">
        <v>2658</v>
      </c>
      <c r="J3765" t="s">
        <v>14</v>
      </c>
      <c r="K3765" t="str">
        <f>"1F1"</f>
        <v>1F1</v>
      </c>
      <c r="L3765" t="s">
        <v>15</v>
      </c>
    </row>
    <row r="3766" spans="1:12" x14ac:dyDescent="0.25">
      <c r="A3766" t="str">
        <f>"445206177"</f>
        <v>445206177</v>
      </c>
      <c r="B3766" t="str">
        <f t="shared" si="235"/>
        <v>89301000</v>
      </c>
      <c r="C3766" s="1">
        <v>44321</v>
      </c>
      <c r="D3766" s="1">
        <v>44322</v>
      </c>
      <c r="E3766">
        <v>1</v>
      </c>
      <c r="F3766" t="s">
        <v>41</v>
      </c>
      <c r="G3766" t="str">
        <f>"01-D01-03"</f>
        <v>01-D01-03</v>
      </c>
      <c r="H3766">
        <v>0.158</v>
      </c>
      <c r="J3766" t="s">
        <v>14</v>
      </c>
      <c r="K3766" t="str">
        <f>"2F5"</f>
        <v>2F5</v>
      </c>
      <c r="L3766" t="s">
        <v>15</v>
      </c>
    </row>
    <row r="3767" spans="1:12" x14ac:dyDescent="0.25">
      <c r="A3767" t="str">
        <f>"445206177"</f>
        <v>445206177</v>
      </c>
      <c r="B3767" t="str">
        <f t="shared" si="235"/>
        <v>89301000</v>
      </c>
      <c r="C3767" s="1">
        <v>44361</v>
      </c>
      <c r="D3767" s="1">
        <v>44362</v>
      </c>
      <c r="E3767">
        <v>1</v>
      </c>
      <c r="F3767" t="s">
        <v>41</v>
      </c>
      <c r="G3767" t="str">
        <f>"01-D01-03"</f>
        <v>01-D01-03</v>
      </c>
      <c r="H3767">
        <v>0.158</v>
      </c>
      <c r="I3767" t="s">
        <v>348</v>
      </c>
      <c r="J3767" t="s">
        <v>14</v>
      </c>
      <c r="K3767" t="str">
        <f>"2F5"</f>
        <v>2F5</v>
      </c>
      <c r="L3767" t="s">
        <v>15</v>
      </c>
    </row>
    <row r="3768" spans="1:12" x14ac:dyDescent="0.25">
      <c r="A3768" t="str">
        <f>"445218468"</f>
        <v>445218468</v>
      </c>
      <c r="B3768" t="str">
        <f t="shared" si="235"/>
        <v>89301000</v>
      </c>
      <c r="C3768" s="1">
        <v>44321</v>
      </c>
      <c r="D3768" s="1">
        <v>44325</v>
      </c>
      <c r="E3768">
        <v>1</v>
      </c>
      <c r="F3768" t="s">
        <v>320</v>
      </c>
      <c r="G3768" t="str">
        <f>"03-I19-03"</f>
        <v>03-I19-03</v>
      </c>
      <c r="H3768">
        <v>0.60699999999999998</v>
      </c>
      <c r="I3768" t="s">
        <v>2659</v>
      </c>
      <c r="J3768" t="s">
        <v>14</v>
      </c>
      <c r="K3768" t="str">
        <f>"6F5"</f>
        <v>6F5</v>
      </c>
      <c r="L3768" t="s">
        <v>15</v>
      </c>
    </row>
    <row r="3769" spans="1:12" x14ac:dyDescent="0.25">
      <c r="A3769" t="str">
        <f>"445225436"</f>
        <v>445225436</v>
      </c>
      <c r="B3769" t="str">
        <f t="shared" si="235"/>
        <v>89301000</v>
      </c>
      <c r="C3769" s="1">
        <v>44433</v>
      </c>
      <c r="D3769" s="1">
        <v>44435</v>
      </c>
      <c r="E3769">
        <v>2</v>
      </c>
      <c r="F3769" t="s">
        <v>416</v>
      </c>
      <c r="G3769" t="str">
        <f>"10-K12-02"</f>
        <v>10-K12-02</v>
      </c>
      <c r="H3769">
        <v>0.94830000000000003</v>
      </c>
      <c r="I3769" t="s">
        <v>2660</v>
      </c>
      <c r="J3769" t="s">
        <v>14</v>
      </c>
      <c r="K3769" t="str">
        <f>"1F1"</f>
        <v>1F1</v>
      </c>
      <c r="L3769" t="s">
        <v>15</v>
      </c>
    </row>
    <row r="3770" spans="1:12" x14ac:dyDescent="0.25">
      <c r="A3770" t="str">
        <f>"445302958"</f>
        <v>445302958</v>
      </c>
      <c r="B3770" t="str">
        <f t="shared" si="235"/>
        <v>89301000</v>
      </c>
      <c r="C3770" s="1">
        <v>44540</v>
      </c>
      <c r="D3770" s="1">
        <v>44547</v>
      </c>
      <c r="E3770">
        <v>1</v>
      </c>
      <c r="F3770" t="s">
        <v>2661</v>
      </c>
      <c r="G3770" t="str">
        <f>"05-I08-01"</f>
        <v>05-I08-01</v>
      </c>
      <c r="H3770">
        <v>11.1638</v>
      </c>
      <c r="J3770" t="s">
        <v>17</v>
      </c>
      <c r="K3770" t="str">
        <f>"5F5"</f>
        <v>5F5</v>
      </c>
      <c r="L3770" t="s">
        <v>15</v>
      </c>
    </row>
    <row r="3771" spans="1:12" x14ac:dyDescent="0.25">
      <c r="A3771" t="str">
        <f>"445304415"</f>
        <v>445304415</v>
      </c>
      <c r="B3771" t="str">
        <f t="shared" si="235"/>
        <v>89301000</v>
      </c>
      <c r="C3771" s="1">
        <v>44523</v>
      </c>
      <c r="D3771" s="1">
        <v>44523</v>
      </c>
      <c r="E3771">
        <v>1</v>
      </c>
      <c r="F3771" t="s">
        <v>2662</v>
      </c>
      <c r="G3771" t="str">
        <f>"05-D01-06"</f>
        <v>05-D01-06</v>
      </c>
      <c r="H3771">
        <v>0.40649999999999997</v>
      </c>
      <c r="J3771" t="s">
        <v>14</v>
      </c>
      <c r="K3771" t="str">
        <f>"1F1"</f>
        <v>1F1</v>
      </c>
      <c r="L3771" t="s">
        <v>15</v>
      </c>
    </row>
    <row r="3772" spans="1:12" x14ac:dyDescent="0.25">
      <c r="A3772" t="str">
        <f>"445305478"</f>
        <v>445305478</v>
      </c>
      <c r="B3772" t="str">
        <f t="shared" si="235"/>
        <v>89301000</v>
      </c>
      <c r="C3772" s="1">
        <v>44430</v>
      </c>
      <c r="D3772" s="1">
        <v>44482</v>
      </c>
      <c r="E3772">
        <v>4</v>
      </c>
      <c r="F3772" t="s">
        <v>2663</v>
      </c>
      <c r="G3772" t="str">
        <f>"04-K04-01"</f>
        <v>04-K04-01</v>
      </c>
      <c r="H3772">
        <v>3.5638999999999998</v>
      </c>
      <c r="I3772" t="s">
        <v>2664</v>
      </c>
      <c r="J3772" t="s">
        <v>14</v>
      </c>
      <c r="K3772" t="str">
        <f>"1F6"</f>
        <v>1F6</v>
      </c>
      <c r="L3772" t="s">
        <v>15</v>
      </c>
    </row>
    <row r="3773" spans="1:12" x14ac:dyDescent="0.25">
      <c r="A3773" t="str">
        <f>"445309109"</f>
        <v>445309109</v>
      </c>
      <c r="B3773" t="str">
        <f t="shared" si="235"/>
        <v>89301000</v>
      </c>
      <c r="C3773" s="1">
        <v>44554</v>
      </c>
      <c r="D3773" s="1">
        <v>44558</v>
      </c>
      <c r="E3773">
        <v>1</v>
      </c>
      <c r="F3773" t="s">
        <v>2665</v>
      </c>
      <c r="G3773" t="str">
        <f>"05-K13-02"</f>
        <v>05-K13-02</v>
      </c>
      <c r="H3773">
        <v>0.60950000000000004</v>
      </c>
      <c r="I3773" t="s">
        <v>2666</v>
      </c>
      <c r="J3773" t="s">
        <v>14</v>
      </c>
      <c r="K3773" t="str">
        <f>"1F1"</f>
        <v>1F1</v>
      </c>
      <c r="L3773" t="s">
        <v>15</v>
      </c>
    </row>
    <row r="3774" spans="1:12" x14ac:dyDescent="0.25">
      <c r="A3774" t="str">
        <f>"445309109"</f>
        <v>445309109</v>
      </c>
      <c r="B3774" t="str">
        <f t="shared" si="235"/>
        <v>89301000</v>
      </c>
      <c r="C3774" s="1">
        <v>44481</v>
      </c>
      <c r="D3774" s="1">
        <v>44531</v>
      </c>
      <c r="E3774">
        <v>1</v>
      </c>
      <c r="F3774" t="s">
        <v>1679</v>
      </c>
      <c r="G3774" t="str">
        <f>"11-I01-02"</f>
        <v>11-I01-02</v>
      </c>
      <c r="H3774">
        <v>10.1622</v>
      </c>
      <c r="I3774" t="s">
        <v>2667</v>
      </c>
      <c r="J3774" t="s">
        <v>17</v>
      </c>
      <c r="K3774" t="str">
        <f>"7F6"</f>
        <v>7F6</v>
      </c>
      <c r="L3774" t="s">
        <v>15</v>
      </c>
    </row>
    <row r="3775" spans="1:12" x14ac:dyDescent="0.25">
      <c r="A3775" t="str">
        <f>"445309109"</f>
        <v>445309109</v>
      </c>
      <c r="B3775" t="str">
        <f t="shared" si="235"/>
        <v>89301000</v>
      </c>
      <c r="C3775" s="1">
        <v>44398</v>
      </c>
      <c r="D3775" s="1">
        <v>44401</v>
      </c>
      <c r="E3775">
        <v>1</v>
      </c>
      <c r="F3775" t="s">
        <v>2264</v>
      </c>
      <c r="G3775" t="str">
        <f>"11-M06-03"</f>
        <v>11-M06-03</v>
      </c>
      <c r="H3775">
        <v>0.61519999999999997</v>
      </c>
      <c r="I3775" t="s">
        <v>2668</v>
      </c>
      <c r="J3775" t="s">
        <v>17</v>
      </c>
      <c r="K3775" t="str">
        <f>"7F6"</f>
        <v>7F6</v>
      </c>
      <c r="L3775" t="s">
        <v>15</v>
      </c>
    </row>
    <row r="3776" spans="1:12" x14ac:dyDescent="0.25">
      <c r="A3776" t="str">
        <f>"445309109"</f>
        <v>445309109</v>
      </c>
      <c r="B3776" t="str">
        <f t="shared" si="235"/>
        <v>89301000</v>
      </c>
      <c r="C3776" s="1">
        <v>44350</v>
      </c>
      <c r="D3776" s="1">
        <v>44354</v>
      </c>
      <c r="E3776">
        <v>1</v>
      </c>
      <c r="F3776" t="s">
        <v>1679</v>
      </c>
      <c r="G3776" t="str">
        <f>"11-M06-03"</f>
        <v>11-M06-03</v>
      </c>
      <c r="H3776">
        <v>0.61519999999999997</v>
      </c>
      <c r="I3776" t="s">
        <v>2669</v>
      </c>
      <c r="J3776" t="s">
        <v>17</v>
      </c>
      <c r="K3776" t="str">
        <f>"7F6"</f>
        <v>7F6</v>
      </c>
      <c r="L3776" t="s">
        <v>15</v>
      </c>
    </row>
    <row r="3777" spans="1:12" x14ac:dyDescent="0.25">
      <c r="A3777" t="str">
        <f>"445310437"</f>
        <v>445310437</v>
      </c>
      <c r="B3777" t="str">
        <f t="shared" si="235"/>
        <v>89301000</v>
      </c>
      <c r="C3777" s="1">
        <v>44222</v>
      </c>
      <c r="D3777" s="1">
        <v>44239</v>
      </c>
      <c r="E3777">
        <v>1</v>
      </c>
      <c r="F3777" t="s">
        <v>354</v>
      </c>
      <c r="G3777" t="str">
        <f>"10-K14-03"</f>
        <v>10-K14-03</v>
      </c>
      <c r="H3777">
        <v>0.75539999999999996</v>
      </c>
      <c r="I3777" t="s">
        <v>2670</v>
      </c>
      <c r="J3777" t="s">
        <v>14</v>
      </c>
      <c r="K3777" t="str">
        <f>"1F1"</f>
        <v>1F1</v>
      </c>
      <c r="L3777" t="s">
        <v>15</v>
      </c>
    </row>
    <row r="3778" spans="1:12" x14ac:dyDescent="0.25">
      <c r="A3778" t="str">
        <f>"445313416"</f>
        <v>445313416</v>
      </c>
      <c r="B3778" t="str">
        <f t="shared" si="235"/>
        <v>89301000</v>
      </c>
      <c r="C3778" s="1">
        <v>44517</v>
      </c>
      <c r="D3778" s="1">
        <v>44522</v>
      </c>
      <c r="E3778">
        <v>1</v>
      </c>
      <c r="F3778" t="s">
        <v>1604</v>
      </c>
      <c r="G3778" t="str">
        <f>"05-I25-03"</f>
        <v>05-I25-03</v>
      </c>
      <c r="H3778">
        <v>1.5508</v>
      </c>
      <c r="I3778" t="s">
        <v>2671</v>
      </c>
      <c r="J3778" t="s">
        <v>17</v>
      </c>
      <c r="K3778" t="str">
        <f>"1F1"</f>
        <v>1F1</v>
      </c>
      <c r="L3778" t="s">
        <v>15</v>
      </c>
    </row>
    <row r="3779" spans="1:12" x14ac:dyDescent="0.25">
      <c r="A3779" t="str">
        <f>"445316415"</f>
        <v>445316415</v>
      </c>
      <c r="B3779" t="str">
        <f t="shared" si="235"/>
        <v>89301000</v>
      </c>
      <c r="C3779" s="1">
        <v>44298</v>
      </c>
      <c r="D3779" s="1">
        <v>44298</v>
      </c>
      <c r="E3779">
        <v>1</v>
      </c>
      <c r="F3779" t="s">
        <v>1557</v>
      </c>
      <c r="G3779" t="str">
        <f>"05-D01-08"</f>
        <v>05-D01-08</v>
      </c>
      <c r="H3779">
        <v>0.21890000000000001</v>
      </c>
      <c r="I3779" t="s">
        <v>2672</v>
      </c>
      <c r="J3779" t="s">
        <v>14</v>
      </c>
      <c r="K3779" t="str">
        <f>"1F1"</f>
        <v>1F1</v>
      </c>
      <c r="L3779" t="s">
        <v>15</v>
      </c>
    </row>
    <row r="3780" spans="1:12" x14ac:dyDescent="0.25">
      <c r="A3780" t="str">
        <f>"445318415"</f>
        <v>445318415</v>
      </c>
      <c r="B3780" t="str">
        <f t="shared" si="235"/>
        <v>89301000</v>
      </c>
      <c r="C3780" s="1">
        <v>44225</v>
      </c>
      <c r="D3780" s="1">
        <v>44232</v>
      </c>
      <c r="E3780">
        <v>2</v>
      </c>
      <c r="F3780" t="s">
        <v>67</v>
      </c>
      <c r="G3780" t="str">
        <f>"01-K10-03"</f>
        <v>01-K10-03</v>
      </c>
      <c r="H3780">
        <v>1.0016</v>
      </c>
      <c r="I3780" t="s">
        <v>2673</v>
      </c>
      <c r="J3780" t="s">
        <v>14</v>
      </c>
      <c r="K3780" t="str">
        <f>"2F9"</f>
        <v>2F9</v>
      </c>
      <c r="L3780" t="s">
        <v>15</v>
      </c>
    </row>
    <row r="3781" spans="1:12" x14ac:dyDescent="0.25">
      <c r="A3781" t="str">
        <f>"445321449"</f>
        <v>445321449</v>
      </c>
      <c r="B3781" t="str">
        <f t="shared" si="235"/>
        <v>89301000</v>
      </c>
      <c r="C3781" s="1">
        <v>44342</v>
      </c>
      <c r="D3781" s="1">
        <v>44348</v>
      </c>
      <c r="E3781">
        <v>1</v>
      </c>
      <c r="F3781" t="s">
        <v>2674</v>
      </c>
      <c r="G3781" t="str">
        <f>"09-K01-04"</f>
        <v>09-K01-04</v>
      </c>
      <c r="H3781">
        <v>0.57820000000000005</v>
      </c>
      <c r="I3781" t="s">
        <v>2675</v>
      </c>
      <c r="J3781" t="s">
        <v>14</v>
      </c>
      <c r="K3781" t="str">
        <f>"4F4"</f>
        <v>4F4</v>
      </c>
      <c r="L3781" t="s">
        <v>15</v>
      </c>
    </row>
    <row r="3782" spans="1:12" x14ac:dyDescent="0.25">
      <c r="A3782" t="str">
        <f>"445404445"</f>
        <v>445404445</v>
      </c>
      <c r="B3782" t="str">
        <f t="shared" si="235"/>
        <v>89301000</v>
      </c>
      <c r="C3782" s="1">
        <v>44307</v>
      </c>
      <c r="D3782" s="1">
        <v>44309</v>
      </c>
      <c r="E3782">
        <v>1</v>
      </c>
      <c r="F3782" t="s">
        <v>2366</v>
      </c>
      <c r="G3782" t="str">
        <f>"02-I09-03"</f>
        <v>02-I09-03</v>
      </c>
      <c r="H3782">
        <v>0.92979999999999996</v>
      </c>
      <c r="I3782" t="s">
        <v>2676</v>
      </c>
      <c r="J3782" t="s">
        <v>14</v>
      </c>
      <c r="K3782" t="str">
        <f>"7F5"</f>
        <v>7F5</v>
      </c>
      <c r="L3782" t="s">
        <v>15</v>
      </c>
    </row>
    <row r="3783" spans="1:12" x14ac:dyDescent="0.25">
      <c r="A3783" t="str">
        <f>"445416443"</f>
        <v>445416443</v>
      </c>
      <c r="B3783" t="str">
        <f t="shared" si="235"/>
        <v>89301000</v>
      </c>
      <c r="C3783" s="1">
        <v>44218</v>
      </c>
      <c r="D3783" s="1">
        <v>44220</v>
      </c>
      <c r="E3783">
        <v>1</v>
      </c>
      <c r="F3783" t="s">
        <v>1579</v>
      </c>
      <c r="G3783" t="str">
        <f>"05-I14-03"</f>
        <v>05-I14-03</v>
      </c>
      <c r="H3783">
        <v>6.1292</v>
      </c>
      <c r="I3783" t="s">
        <v>1983</v>
      </c>
      <c r="J3783" t="s">
        <v>14</v>
      </c>
      <c r="K3783" t="str">
        <f>"1F7"</f>
        <v>1F7</v>
      </c>
      <c r="L3783" t="s">
        <v>15</v>
      </c>
    </row>
    <row r="3784" spans="1:12" x14ac:dyDescent="0.25">
      <c r="A3784" t="str">
        <f>"445418154"</f>
        <v>445418154</v>
      </c>
      <c r="B3784" t="str">
        <f t="shared" si="235"/>
        <v>89301000</v>
      </c>
      <c r="C3784" s="1">
        <v>44507</v>
      </c>
      <c r="D3784" s="1">
        <v>44516</v>
      </c>
      <c r="E3784">
        <v>4</v>
      </c>
      <c r="F3784" t="s">
        <v>217</v>
      </c>
      <c r="G3784" t="str">
        <f>"04-K02-04"</f>
        <v>04-K02-04</v>
      </c>
      <c r="H3784">
        <v>0.82469999999999999</v>
      </c>
      <c r="I3784" t="s">
        <v>2677</v>
      </c>
      <c r="J3784" t="s">
        <v>14</v>
      </c>
      <c r="K3784" t="str">
        <f>"1F6"</f>
        <v>1F6</v>
      </c>
      <c r="L3784" t="s">
        <v>15</v>
      </c>
    </row>
    <row r="3785" spans="1:12" x14ac:dyDescent="0.25">
      <c r="A3785" t="str">
        <f>"445424436"</f>
        <v>445424436</v>
      </c>
      <c r="B3785" t="str">
        <f t="shared" si="235"/>
        <v>89301000</v>
      </c>
      <c r="C3785" s="1">
        <v>44420</v>
      </c>
      <c r="D3785" s="1">
        <v>44426</v>
      </c>
      <c r="E3785">
        <v>4</v>
      </c>
      <c r="F3785" t="s">
        <v>316</v>
      </c>
      <c r="G3785" t="str">
        <f>"01-K16-02"</f>
        <v>01-K16-02</v>
      </c>
      <c r="H3785">
        <v>1.0869</v>
      </c>
      <c r="I3785" t="s">
        <v>2678</v>
      </c>
      <c r="J3785" t="s">
        <v>14</v>
      </c>
      <c r="K3785" t="str">
        <f>"5T6"</f>
        <v>5T6</v>
      </c>
      <c r="L3785" t="s">
        <v>15</v>
      </c>
    </row>
    <row r="3786" spans="1:12" x14ac:dyDescent="0.25">
      <c r="A3786" t="str">
        <f>"445424454"</f>
        <v>445424454</v>
      </c>
      <c r="B3786" t="str">
        <f t="shared" si="235"/>
        <v>89301000</v>
      </c>
      <c r="C3786" s="1">
        <v>44389</v>
      </c>
      <c r="D3786" s="1">
        <v>44393</v>
      </c>
      <c r="E3786">
        <v>1</v>
      </c>
      <c r="F3786" t="s">
        <v>2679</v>
      </c>
      <c r="G3786" t="str">
        <f>"08-K08-00"</f>
        <v>08-K08-00</v>
      </c>
      <c r="H3786">
        <v>0.51670000000000005</v>
      </c>
      <c r="I3786" t="s">
        <v>2119</v>
      </c>
      <c r="J3786" t="s">
        <v>14</v>
      </c>
      <c r="K3786" t="str">
        <f>"1F1"</f>
        <v>1F1</v>
      </c>
      <c r="L3786" t="s">
        <v>15</v>
      </c>
    </row>
    <row r="3787" spans="1:12" x14ac:dyDescent="0.25">
      <c r="A3787" t="str">
        <f>"445502468"</f>
        <v>445502468</v>
      </c>
      <c r="B3787" t="str">
        <f t="shared" si="235"/>
        <v>89301000</v>
      </c>
      <c r="C3787" s="1">
        <v>44242</v>
      </c>
      <c r="D3787" s="1">
        <v>44244</v>
      </c>
      <c r="E3787">
        <v>1</v>
      </c>
      <c r="F3787" t="s">
        <v>831</v>
      </c>
      <c r="G3787" t="str">
        <f>"02-I06-03"</f>
        <v>02-I06-03</v>
      </c>
      <c r="H3787">
        <v>0.63690000000000002</v>
      </c>
      <c r="I3787" t="s">
        <v>2680</v>
      </c>
      <c r="J3787" t="s">
        <v>17</v>
      </c>
      <c r="K3787" t="str">
        <f>"7F5"</f>
        <v>7F5</v>
      </c>
      <c r="L3787" t="s">
        <v>15</v>
      </c>
    </row>
    <row r="3788" spans="1:12" x14ac:dyDescent="0.25">
      <c r="A3788" t="str">
        <f>"445502468"</f>
        <v>445502468</v>
      </c>
      <c r="B3788" t="str">
        <f t="shared" si="235"/>
        <v>89301000</v>
      </c>
      <c r="C3788" s="1">
        <v>44368</v>
      </c>
      <c r="D3788" s="1">
        <v>44384</v>
      </c>
      <c r="E3788">
        <v>4</v>
      </c>
      <c r="F3788" t="s">
        <v>287</v>
      </c>
      <c r="G3788" t="str">
        <f>"01-K16-06"</f>
        <v>01-K16-06</v>
      </c>
      <c r="H3788">
        <v>0.89729999999999999</v>
      </c>
      <c r="I3788" t="s">
        <v>2681</v>
      </c>
      <c r="J3788" t="s">
        <v>14</v>
      </c>
      <c r="K3788" t="str">
        <f>"1F6"</f>
        <v>1F6</v>
      </c>
      <c r="L3788" t="s">
        <v>15</v>
      </c>
    </row>
    <row r="3789" spans="1:12" x14ac:dyDescent="0.25">
      <c r="A3789" t="str">
        <f>"445504462"</f>
        <v>445504462</v>
      </c>
      <c r="B3789" t="str">
        <f t="shared" si="235"/>
        <v>89301000</v>
      </c>
      <c r="C3789" s="1">
        <v>44482</v>
      </c>
      <c r="D3789" s="1">
        <v>44490</v>
      </c>
      <c r="E3789">
        <v>4</v>
      </c>
      <c r="F3789" t="s">
        <v>1968</v>
      </c>
      <c r="G3789" t="str">
        <f>"08-I05-05"</f>
        <v>08-I05-05</v>
      </c>
      <c r="H3789">
        <v>2.2932000000000001</v>
      </c>
      <c r="I3789" t="s">
        <v>2682</v>
      </c>
      <c r="J3789" t="s">
        <v>17</v>
      </c>
      <c r="K3789" t="str">
        <f>"6F6"</f>
        <v>6F6</v>
      </c>
      <c r="L3789" t="s">
        <v>15</v>
      </c>
    </row>
    <row r="3790" spans="1:12" x14ac:dyDescent="0.25">
      <c r="A3790" t="str">
        <f>"445520132"</f>
        <v>445520132</v>
      </c>
      <c r="B3790" t="str">
        <f t="shared" si="235"/>
        <v>89301000</v>
      </c>
      <c r="C3790" s="1">
        <v>44417</v>
      </c>
      <c r="D3790" s="1">
        <v>44420</v>
      </c>
      <c r="E3790">
        <v>1</v>
      </c>
      <c r="F3790" t="s">
        <v>2139</v>
      </c>
      <c r="G3790" t="str">
        <f>"05-D01-06"</f>
        <v>05-D01-06</v>
      </c>
      <c r="H3790">
        <v>0.7611</v>
      </c>
      <c r="I3790" t="s">
        <v>2189</v>
      </c>
      <c r="J3790" t="s">
        <v>14</v>
      </c>
      <c r="K3790" t="str">
        <f>"1F1"</f>
        <v>1F1</v>
      </c>
      <c r="L3790" t="s">
        <v>15</v>
      </c>
    </row>
    <row r="3791" spans="1:12" x14ac:dyDescent="0.25">
      <c r="A3791" t="str">
        <f>"445527432"</f>
        <v>445527432</v>
      </c>
      <c r="B3791" t="str">
        <f t="shared" si="235"/>
        <v>89301000</v>
      </c>
      <c r="C3791" s="1">
        <v>44279</v>
      </c>
      <c r="D3791" s="1">
        <v>44281</v>
      </c>
      <c r="E3791">
        <v>1</v>
      </c>
      <c r="F3791" t="s">
        <v>2683</v>
      </c>
      <c r="G3791" t="str">
        <f>"08-I16-02"</f>
        <v>08-I16-02</v>
      </c>
      <c r="H3791">
        <v>1.8051999999999999</v>
      </c>
      <c r="I3791" t="s">
        <v>21</v>
      </c>
      <c r="J3791" t="s">
        <v>17</v>
      </c>
      <c r="K3791" t="str">
        <f>"5F3"</f>
        <v>5F3</v>
      </c>
      <c r="L3791" t="s">
        <v>15</v>
      </c>
    </row>
    <row r="3792" spans="1:12" x14ac:dyDescent="0.25">
      <c r="A3792" t="str">
        <f>"445531424"</f>
        <v>445531424</v>
      </c>
      <c r="B3792" t="str">
        <f t="shared" si="235"/>
        <v>89301000</v>
      </c>
      <c r="C3792" s="1">
        <v>44531</v>
      </c>
      <c r="D3792" s="1">
        <v>44539</v>
      </c>
      <c r="E3792">
        <v>1</v>
      </c>
      <c r="F3792" t="s">
        <v>2684</v>
      </c>
      <c r="G3792" t="str">
        <f>"17-C05-04"</f>
        <v>17-C05-04</v>
      </c>
      <c r="H3792">
        <v>0.7712</v>
      </c>
      <c r="I3792" t="s">
        <v>2685</v>
      </c>
      <c r="J3792" t="s">
        <v>14</v>
      </c>
      <c r="K3792" t="str">
        <f>"2F2"</f>
        <v>2F2</v>
      </c>
      <c r="L3792" t="s">
        <v>15</v>
      </c>
    </row>
    <row r="3793" spans="1:12" x14ac:dyDescent="0.25">
      <c r="A3793" t="str">
        <f>"445601144"</f>
        <v>445601144</v>
      </c>
      <c r="B3793" t="str">
        <f t="shared" si="235"/>
        <v>89301000</v>
      </c>
      <c r="C3793" s="1">
        <v>44424</v>
      </c>
      <c r="D3793" s="1">
        <v>44431</v>
      </c>
      <c r="E3793">
        <v>4</v>
      </c>
      <c r="F3793" t="s">
        <v>2407</v>
      </c>
      <c r="G3793" t="str">
        <f>"08-I06-04"</f>
        <v>08-I06-04</v>
      </c>
      <c r="H3793">
        <v>2.4260000000000002</v>
      </c>
      <c r="I3793" t="s">
        <v>2686</v>
      </c>
      <c r="J3793" t="s">
        <v>24</v>
      </c>
      <c r="K3793" t="str">
        <f>"6F6"</f>
        <v>6F6</v>
      </c>
      <c r="L3793" t="s">
        <v>15</v>
      </c>
    </row>
    <row r="3794" spans="1:12" x14ac:dyDescent="0.25">
      <c r="A3794" t="str">
        <f>"445609161"</f>
        <v>445609161</v>
      </c>
      <c r="B3794" t="str">
        <f t="shared" si="235"/>
        <v>89301000</v>
      </c>
      <c r="C3794" s="1">
        <v>44201</v>
      </c>
      <c r="D3794" s="1">
        <v>44207</v>
      </c>
      <c r="E3794">
        <v>1</v>
      </c>
      <c r="F3794" t="s">
        <v>1581</v>
      </c>
      <c r="G3794" t="str">
        <f>"05-I24-04"</f>
        <v>05-I24-04</v>
      </c>
      <c r="H3794">
        <v>2.1857000000000002</v>
      </c>
      <c r="I3794" t="s">
        <v>2529</v>
      </c>
      <c r="J3794" t="s">
        <v>14</v>
      </c>
      <c r="K3794" t="str">
        <f>"5F1"</f>
        <v>5F1</v>
      </c>
      <c r="L3794" t="s">
        <v>15</v>
      </c>
    </row>
    <row r="3795" spans="1:12" x14ac:dyDescent="0.25">
      <c r="A3795" t="str">
        <f>"445611449"</f>
        <v>445611449</v>
      </c>
      <c r="B3795" t="str">
        <f t="shared" si="235"/>
        <v>89301000</v>
      </c>
      <c r="C3795" s="1">
        <v>44481</v>
      </c>
      <c r="D3795" s="1">
        <v>44498</v>
      </c>
      <c r="E3795">
        <v>1</v>
      </c>
      <c r="F3795" t="s">
        <v>109</v>
      </c>
      <c r="G3795" t="str">
        <f>"24-M07-02"</f>
        <v>24-M07-02</v>
      </c>
      <c r="H3795">
        <v>1.5094000000000001</v>
      </c>
      <c r="I3795" t="s">
        <v>2687</v>
      </c>
      <c r="J3795" t="s">
        <v>14</v>
      </c>
      <c r="K3795" t="str">
        <f>"2F1"</f>
        <v>2F1</v>
      </c>
      <c r="L3795" t="s">
        <v>15</v>
      </c>
    </row>
    <row r="3796" spans="1:12" x14ac:dyDescent="0.25">
      <c r="A3796" t="str">
        <f>"445611449"</f>
        <v>445611449</v>
      </c>
      <c r="B3796" t="str">
        <f t="shared" si="235"/>
        <v>89301000</v>
      </c>
      <c r="C3796" s="1">
        <v>44475</v>
      </c>
      <c r="D3796" s="1">
        <v>44481</v>
      </c>
      <c r="E3796">
        <v>3</v>
      </c>
      <c r="F3796" t="s">
        <v>2407</v>
      </c>
      <c r="G3796" t="str">
        <f>"08-I06-04"</f>
        <v>08-I06-04</v>
      </c>
      <c r="H3796">
        <v>2.4260000000000002</v>
      </c>
      <c r="I3796" t="s">
        <v>2179</v>
      </c>
      <c r="J3796" t="s">
        <v>24</v>
      </c>
      <c r="K3796" t="str">
        <f>"6F6"</f>
        <v>6F6</v>
      </c>
      <c r="L3796" t="s">
        <v>15</v>
      </c>
    </row>
    <row r="3797" spans="1:12" x14ac:dyDescent="0.25">
      <c r="A3797" t="str">
        <f>"445618468"</f>
        <v>445618468</v>
      </c>
      <c r="B3797" t="str">
        <f t="shared" si="235"/>
        <v>89301000</v>
      </c>
      <c r="C3797" s="1">
        <v>44521</v>
      </c>
      <c r="D3797" s="1">
        <v>44523</v>
      </c>
      <c r="E3797">
        <v>1</v>
      </c>
      <c r="F3797" t="s">
        <v>2133</v>
      </c>
      <c r="G3797" t="str">
        <f>"04-K06-03"</f>
        <v>04-K06-03</v>
      </c>
      <c r="H3797">
        <v>0.66259999999999997</v>
      </c>
      <c r="I3797" t="s">
        <v>2688</v>
      </c>
      <c r="J3797" t="s">
        <v>14</v>
      </c>
      <c r="K3797" t="str">
        <f>"2F5"</f>
        <v>2F5</v>
      </c>
      <c r="L3797" t="s">
        <v>15</v>
      </c>
    </row>
    <row r="3798" spans="1:12" x14ac:dyDescent="0.25">
      <c r="A3798" t="str">
        <f>"445620413"</f>
        <v>445620413</v>
      </c>
      <c r="B3798" t="str">
        <f t="shared" si="235"/>
        <v>89301000</v>
      </c>
      <c r="C3798" s="1">
        <v>44353</v>
      </c>
      <c r="D3798" s="1">
        <v>44358</v>
      </c>
      <c r="E3798">
        <v>1</v>
      </c>
      <c r="F3798" t="s">
        <v>448</v>
      </c>
      <c r="G3798" t="str">
        <f>"11-K01-03"</f>
        <v>11-K01-03</v>
      </c>
      <c r="H3798">
        <v>0.61150000000000004</v>
      </c>
      <c r="I3798" t="s">
        <v>2689</v>
      </c>
      <c r="J3798" t="s">
        <v>14</v>
      </c>
      <c r="K3798" t="str">
        <f>"1F5"</f>
        <v>1F5</v>
      </c>
      <c r="L3798" t="s">
        <v>15</v>
      </c>
    </row>
    <row r="3799" spans="1:12" x14ac:dyDescent="0.25">
      <c r="A3799" t="str">
        <f>"445622132"</f>
        <v>445622132</v>
      </c>
      <c r="B3799" t="str">
        <f t="shared" ref="B3799:B3861" si="236">"89301000"</f>
        <v>89301000</v>
      </c>
      <c r="C3799" s="1">
        <v>44388</v>
      </c>
      <c r="D3799" s="1">
        <v>44394</v>
      </c>
      <c r="E3799">
        <v>1</v>
      </c>
      <c r="F3799" t="s">
        <v>1938</v>
      </c>
      <c r="G3799" t="str">
        <f>"11-I04-02"</f>
        <v>11-I04-02</v>
      </c>
      <c r="H3799">
        <v>2.8098999999999998</v>
      </c>
      <c r="I3799" t="s">
        <v>2690</v>
      </c>
      <c r="J3799" t="s">
        <v>17</v>
      </c>
      <c r="K3799" t="str">
        <f>"7F6"</f>
        <v>7F6</v>
      </c>
      <c r="L3799" t="s">
        <v>15</v>
      </c>
    </row>
    <row r="3800" spans="1:12" x14ac:dyDescent="0.25">
      <c r="A3800" t="str">
        <f>"445622404"</f>
        <v>445622404</v>
      </c>
      <c r="B3800" t="str">
        <f t="shared" si="236"/>
        <v>89301000</v>
      </c>
      <c r="C3800" s="1">
        <v>44455</v>
      </c>
      <c r="D3800" s="1">
        <v>44460</v>
      </c>
      <c r="E3800">
        <v>1</v>
      </c>
      <c r="F3800" t="s">
        <v>2068</v>
      </c>
      <c r="G3800" t="str">
        <f>"02-I06-02"</f>
        <v>02-I06-02</v>
      </c>
      <c r="H3800">
        <v>0.90300000000000002</v>
      </c>
      <c r="I3800" t="s">
        <v>2691</v>
      </c>
      <c r="J3800" t="s">
        <v>17</v>
      </c>
      <c r="K3800" t="str">
        <f>"7F5"</f>
        <v>7F5</v>
      </c>
      <c r="L3800" t="s">
        <v>15</v>
      </c>
    </row>
    <row r="3801" spans="1:12" x14ac:dyDescent="0.25">
      <c r="A3801" t="str">
        <f>"445629955"</f>
        <v>445629955</v>
      </c>
      <c r="B3801" t="str">
        <f t="shared" si="236"/>
        <v>89301000</v>
      </c>
      <c r="C3801" s="1">
        <v>44473</v>
      </c>
      <c r="D3801" s="1">
        <v>44480</v>
      </c>
      <c r="E3801">
        <v>1</v>
      </c>
      <c r="F3801" t="s">
        <v>2008</v>
      </c>
      <c r="G3801" t="str">
        <f>"13-I13-02"</f>
        <v>13-I13-02</v>
      </c>
      <c r="H3801">
        <v>1.0212000000000001</v>
      </c>
      <c r="I3801" t="s">
        <v>2692</v>
      </c>
      <c r="J3801" t="s">
        <v>17</v>
      </c>
      <c r="K3801" t="str">
        <f>"6F3"</f>
        <v>6F3</v>
      </c>
      <c r="L3801" t="s">
        <v>15</v>
      </c>
    </row>
    <row r="3802" spans="1:12" x14ac:dyDescent="0.25">
      <c r="A3802" t="str">
        <f>"445722422"</f>
        <v>445722422</v>
      </c>
      <c r="B3802" t="str">
        <f t="shared" si="236"/>
        <v>89301000</v>
      </c>
      <c r="C3802" s="1">
        <v>44370</v>
      </c>
      <c r="D3802" s="1">
        <v>44398</v>
      </c>
      <c r="E3802">
        <v>1</v>
      </c>
      <c r="F3802" t="s">
        <v>2693</v>
      </c>
      <c r="G3802" t="str">
        <f>"04-I02-04"</f>
        <v>04-I02-04</v>
      </c>
      <c r="H3802">
        <v>5.3112000000000004</v>
      </c>
      <c r="I3802" t="s">
        <v>2694</v>
      </c>
      <c r="J3802" t="s">
        <v>106</v>
      </c>
      <c r="K3802" t="str">
        <f>"5F1"</f>
        <v>5F1</v>
      </c>
      <c r="L3802" t="s">
        <v>15</v>
      </c>
    </row>
    <row r="3803" spans="1:12" x14ac:dyDescent="0.25">
      <c r="A3803" t="str">
        <f>"445726703"</f>
        <v>445726703</v>
      </c>
      <c r="B3803" t="str">
        <f t="shared" si="236"/>
        <v>89301000</v>
      </c>
      <c r="C3803" s="1">
        <v>44354</v>
      </c>
      <c r="D3803" s="1">
        <v>44355</v>
      </c>
      <c r="E3803">
        <v>1</v>
      </c>
      <c r="F3803" t="s">
        <v>831</v>
      </c>
      <c r="G3803" t="str">
        <f>"02-I06-03"</f>
        <v>02-I06-03</v>
      </c>
      <c r="H3803">
        <v>0.63690000000000002</v>
      </c>
      <c r="I3803" t="s">
        <v>2695</v>
      </c>
      <c r="J3803" t="s">
        <v>17</v>
      </c>
      <c r="K3803" t="str">
        <f>"7F5"</f>
        <v>7F5</v>
      </c>
      <c r="L3803" t="s">
        <v>15</v>
      </c>
    </row>
    <row r="3804" spans="1:12" x14ac:dyDescent="0.25">
      <c r="A3804" t="str">
        <f>"445729053"</f>
        <v>445729053</v>
      </c>
      <c r="B3804" t="str">
        <f t="shared" si="236"/>
        <v>89301000</v>
      </c>
      <c r="C3804" s="1">
        <v>44446</v>
      </c>
      <c r="D3804" s="1">
        <v>44447</v>
      </c>
      <c r="E3804">
        <v>1</v>
      </c>
      <c r="F3804" t="s">
        <v>1604</v>
      </c>
      <c r="G3804" t="str">
        <f>"05-I25-03"</f>
        <v>05-I25-03</v>
      </c>
      <c r="H3804">
        <v>1.5508</v>
      </c>
      <c r="I3804" t="s">
        <v>1605</v>
      </c>
      <c r="J3804" t="s">
        <v>17</v>
      </c>
      <c r="K3804" t="str">
        <f>"1F1"</f>
        <v>1F1</v>
      </c>
      <c r="L3804" t="s">
        <v>15</v>
      </c>
    </row>
    <row r="3805" spans="1:12" x14ac:dyDescent="0.25">
      <c r="A3805" t="str">
        <f>"445801464"</f>
        <v>445801464</v>
      </c>
      <c r="B3805" t="str">
        <f t="shared" si="236"/>
        <v>89301000</v>
      </c>
      <c r="C3805" s="1">
        <v>44208</v>
      </c>
      <c r="D3805" s="1">
        <v>44214</v>
      </c>
      <c r="E3805">
        <v>1</v>
      </c>
      <c r="F3805" t="s">
        <v>2696</v>
      </c>
      <c r="G3805" t="str">
        <f>"01-K09-01"</f>
        <v>01-K09-01</v>
      </c>
      <c r="H3805">
        <v>1.3216000000000001</v>
      </c>
      <c r="I3805" t="s">
        <v>2697</v>
      </c>
      <c r="J3805" t="s">
        <v>14</v>
      </c>
      <c r="K3805" t="str">
        <f>"2F9"</f>
        <v>2F9</v>
      </c>
      <c r="L3805" t="s">
        <v>15</v>
      </c>
    </row>
    <row r="3806" spans="1:12" x14ac:dyDescent="0.25">
      <c r="A3806" t="str">
        <f>"445801464"</f>
        <v>445801464</v>
      </c>
      <c r="B3806" t="str">
        <f t="shared" si="236"/>
        <v>89301000</v>
      </c>
      <c r="C3806" s="1">
        <v>44473</v>
      </c>
      <c r="D3806" s="1">
        <v>44477</v>
      </c>
      <c r="E3806">
        <v>1</v>
      </c>
      <c r="F3806" t="s">
        <v>2698</v>
      </c>
      <c r="G3806" t="str">
        <f>"01-M01-03"</f>
        <v>01-M01-03</v>
      </c>
      <c r="H3806">
        <v>3.9502000000000002</v>
      </c>
      <c r="I3806" t="s">
        <v>1586</v>
      </c>
      <c r="J3806" t="s">
        <v>17</v>
      </c>
      <c r="K3806" t="str">
        <f>"5F6"</f>
        <v>5F6</v>
      </c>
      <c r="L3806" t="s">
        <v>15</v>
      </c>
    </row>
    <row r="3807" spans="1:12" x14ac:dyDescent="0.25">
      <c r="A3807" t="str">
        <f>"445801464"</f>
        <v>445801464</v>
      </c>
      <c r="B3807" t="str">
        <f t="shared" si="236"/>
        <v>89301000</v>
      </c>
      <c r="C3807" s="1">
        <v>44440</v>
      </c>
      <c r="D3807" s="1">
        <v>44442</v>
      </c>
      <c r="E3807">
        <v>1</v>
      </c>
      <c r="F3807" t="s">
        <v>2698</v>
      </c>
      <c r="G3807" t="str">
        <f>"01-K15-00"</f>
        <v>01-K15-00</v>
      </c>
      <c r="H3807">
        <v>0.66039999999999999</v>
      </c>
      <c r="I3807" t="s">
        <v>1586</v>
      </c>
      <c r="J3807" t="s">
        <v>14</v>
      </c>
      <c r="K3807" t="str">
        <f>"5F6"</f>
        <v>5F6</v>
      </c>
      <c r="L3807" t="s">
        <v>15</v>
      </c>
    </row>
    <row r="3808" spans="1:12" x14ac:dyDescent="0.25">
      <c r="A3808" t="str">
        <f>"445802456"</f>
        <v>445802456</v>
      </c>
      <c r="B3808" t="str">
        <f t="shared" si="236"/>
        <v>89301000</v>
      </c>
      <c r="C3808" s="1">
        <v>44387</v>
      </c>
      <c r="D3808" s="1">
        <v>44393</v>
      </c>
      <c r="E3808">
        <v>1</v>
      </c>
      <c r="F3808" t="s">
        <v>1240</v>
      </c>
      <c r="G3808" t="str">
        <f>"11-K01-03"</f>
        <v>11-K01-03</v>
      </c>
      <c r="H3808">
        <v>0.59489999999999998</v>
      </c>
      <c r="I3808" t="s">
        <v>2699</v>
      </c>
      <c r="J3808" t="s">
        <v>14</v>
      </c>
      <c r="K3808" t="str">
        <f>"1F5"</f>
        <v>1F5</v>
      </c>
      <c r="L3808" t="s">
        <v>15</v>
      </c>
    </row>
    <row r="3809" spans="1:12" x14ac:dyDescent="0.25">
      <c r="A3809" t="str">
        <f>"445817177"</f>
        <v>445817177</v>
      </c>
      <c r="B3809" t="str">
        <f t="shared" si="236"/>
        <v>89301000</v>
      </c>
      <c r="C3809" s="1">
        <v>44293</v>
      </c>
      <c r="D3809" s="1">
        <v>44303</v>
      </c>
      <c r="E3809">
        <v>7</v>
      </c>
      <c r="F3809" t="s">
        <v>1631</v>
      </c>
      <c r="G3809" t="str">
        <f>"17-K02-01"</f>
        <v>17-K02-01</v>
      </c>
      <c r="H3809">
        <v>2.8917000000000002</v>
      </c>
      <c r="I3809" t="s">
        <v>2700</v>
      </c>
      <c r="J3809" t="s">
        <v>14</v>
      </c>
      <c r="K3809" t="str">
        <f>"2F2"</f>
        <v>2F2</v>
      </c>
      <c r="L3809" t="s">
        <v>15</v>
      </c>
    </row>
    <row r="3810" spans="1:12" x14ac:dyDescent="0.25">
      <c r="A3810" t="str">
        <f>"445817419"</f>
        <v>445817419</v>
      </c>
      <c r="B3810" t="str">
        <f t="shared" si="236"/>
        <v>89301000</v>
      </c>
      <c r="C3810" s="1">
        <v>44529</v>
      </c>
      <c r="D3810" s="1">
        <v>44550</v>
      </c>
      <c r="E3810">
        <v>1</v>
      </c>
      <c r="F3810" t="s">
        <v>2701</v>
      </c>
      <c r="G3810" t="str">
        <f>"08-I03-05"</f>
        <v>08-I03-05</v>
      </c>
      <c r="H3810">
        <v>3.0438000000000001</v>
      </c>
      <c r="J3810" t="s">
        <v>17</v>
      </c>
      <c r="K3810" t="str">
        <f>"5F6"</f>
        <v>5F6</v>
      </c>
      <c r="L3810" t="s">
        <v>15</v>
      </c>
    </row>
    <row r="3811" spans="1:12" x14ac:dyDescent="0.25">
      <c r="A3811" t="str">
        <f>"445822116"</f>
        <v>445822116</v>
      </c>
      <c r="B3811" t="str">
        <f t="shared" si="236"/>
        <v>89301000</v>
      </c>
      <c r="C3811" s="1">
        <v>44462</v>
      </c>
      <c r="D3811" s="1">
        <v>44474</v>
      </c>
      <c r="E3811">
        <v>1</v>
      </c>
      <c r="F3811" t="s">
        <v>2177</v>
      </c>
      <c r="G3811" t="str">
        <f>"01-K04-02"</f>
        <v>01-K04-02</v>
      </c>
      <c r="H3811">
        <v>0.80059999999999998</v>
      </c>
      <c r="I3811" t="s">
        <v>2702</v>
      </c>
      <c r="J3811" t="s">
        <v>14</v>
      </c>
      <c r="K3811" t="str">
        <f>"3F5"</f>
        <v>3F5</v>
      </c>
      <c r="L3811" t="s">
        <v>15</v>
      </c>
    </row>
    <row r="3812" spans="1:12" x14ac:dyDescent="0.25">
      <c r="A3812" t="str">
        <f>"445822412"</f>
        <v>445822412</v>
      </c>
      <c r="B3812" t="str">
        <f t="shared" si="236"/>
        <v>89301000</v>
      </c>
      <c r="C3812" s="1">
        <v>44547</v>
      </c>
      <c r="D3812" s="1">
        <v>44550</v>
      </c>
      <c r="E3812">
        <v>1</v>
      </c>
      <c r="F3812" t="s">
        <v>2055</v>
      </c>
      <c r="G3812" t="str">
        <f>"07-M02-02"</f>
        <v>07-M02-02</v>
      </c>
      <c r="H3812">
        <v>1.7986</v>
      </c>
      <c r="I3812" t="s">
        <v>2703</v>
      </c>
      <c r="J3812" t="s">
        <v>17</v>
      </c>
      <c r="K3812" t="str">
        <f>"1F5"</f>
        <v>1F5</v>
      </c>
      <c r="L3812" t="s">
        <v>15</v>
      </c>
    </row>
    <row r="3813" spans="1:12" x14ac:dyDescent="0.25">
      <c r="A3813" t="str">
        <f>"445822412"</f>
        <v>445822412</v>
      </c>
      <c r="B3813" t="str">
        <f t="shared" si="236"/>
        <v>89301000</v>
      </c>
      <c r="C3813" s="1">
        <v>44526</v>
      </c>
      <c r="D3813" s="1">
        <v>44527</v>
      </c>
      <c r="E3813">
        <v>1</v>
      </c>
      <c r="F3813" t="s">
        <v>1561</v>
      </c>
      <c r="G3813" t="str">
        <f>"07-K05-03"</f>
        <v>07-K05-03</v>
      </c>
      <c r="H3813">
        <v>0.3594</v>
      </c>
      <c r="I3813" t="s">
        <v>1959</v>
      </c>
      <c r="J3813" t="s">
        <v>14</v>
      </c>
      <c r="K3813" t="str">
        <f>"1F5"</f>
        <v>1F5</v>
      </c>
      <c r="L3813" t="s">
        <v>15</v>
      </c>
    </row>
    <row r="3814" spans="1:12" x14ac:dyDescent="0.25">
      <c r="A3814" t="str">
        <f>"445822412"</f>
        <v>445822412</v>
      </c>
      <c r="B3814" t="str">
        <f t="shared" si="236"/>
        <v>89301000</v>
      </c>
      <c r="C3814" s="1">
        <v>44505</v>
      </c>
      <c r="D3814" s="1">
        <v>44509</v>
      </c>
      <c r="E3814">
        <v>1</v>
      </c>
      <c r="F3814" t="s">
        <v>2055</v>
      </c>
      <c r="G3814" t="str">
        <f>"07-M02-04"</f>
        <v>07-M02-04</v>
      </c>
      <c r="H3814">
        <v>0.87180000000000002</v>
      </c>
      <c r="I3814" t="s">
        <v>2704</v>
      </c>
      <c r="J3814" t="s">
        <v>17</v>
      </c>
      <c r="K3814" t="str">
        <f>"1F5"</f>
        <v>1F5</v>
      </c>
      <c r="L3814" t="s">
        <v>15</v>
      </c>
    </row>
    <row r="3815" spans="1:12" x14ac:dyDescent="0.25">
      <c r="A3815" t="str">
        <f>"445824144"</f>
        <v>445824144</v>
      </c>
      <c r="B3815" t="str">
        <f t="shared" si="236"/>
        <v>89301000</v>
      </c>
      <c r="C3815" s="1">
        <v>44384</v>
      </c>
      <c r="D3815" s="1">
        <v>44390</v>
      </c>
      <c r="E3815">
        <v>1</v>
      </c>
      <c r="F3815" t="s">
        <v>208</v>
      </c>
      <c r="G3815" t="str">
        <f>"08-I03-03"</f>
        <v>08-I03-03</v>
      </c>
      <c r="H3815">
        <v>5.3307000000000002</v>
      </c>
      <c r="I3815" t="s">
        <v>2588</v>
      </c>
      <c r="J3815" t="s">
        <v>17</v>
      </c>
      <c r="K3815" t="str">
        <f>"5F6"</f>
        <v>5F6</v>
      </c>
      <c r="L3815" t="s">
        <v>15</v>
      </c>
    </row>
    <row r="3816" spans="1:12" x14ac:dyDescent="0.25">
      <c r="A3816" t="str">
        <f>"445824460"</f>
        <v>445824460</v>
      </c>
      <c r="B3816" t="str">
        <f t="shared" si="236"/>
        <v>89301000</v>
      </c>
      <c r="C3816" s="1">
        <v>44295</v>
      </c>
      <c r="D3816" s="1">
        <v>44295</v>
      </c>
      <c r="E3816">
        <v>1</v>
      </c>
      <c r="F3816" t="s">
        <v>1557</v>
      </c>
      <c r="G3816" t="str">
        <f>"05-M06-08"</f>
        <v>05-M06-08</v>
      </c>
      <c r="H3816">
        <v>1.1200000000000001</v>
      </c>
      <c r="I3816" t="s">
        <v>1959</v>
      </c>
      <c r="J3816" t="s">
        <v>17</v>
      </c>
      <c r="K3816" t="str">
        <f>"1F7"</f>
        <v>1F7</v>
      </c>
      <c r="L3816" t="s">
        <v>15</v>
      </c>
    </row>
    <row r="3817" spans="1:12" x14ac:dyDescent="0.25">
      <c r="A3817" t="str">
        <f>"445824460"</f>
        <v>445824460</v>
      </c>
      <c r="B3817" t="str">
        <f t="shared" si="236"/>
        <v>89301000</v>
      </c>
      <c r="C3817" s="1">
        <v>44264</v>
      </c>
      <c r="D3817" s="1">
        <v>44265</v>
      </c>
      <c r="E3817">
        <v>5</v>
      </c>
      <c r="F3817" t="s">
        <v>1683</v>
      </c>
      <c r="G3817" t="str">
        <f>"05-M06-06"</f>
        <v>05-M06-06</v>
      </c>
      <c r="H3817">
        <v>1.7652000000000001</v>
      </c>
      <c r="I3817" t="s">
        <v>489</v>
      </c>
      <c r="J3817" t="s">
        <v>17</v>
      </c>
      <c r="K3817" t="str">
        <f>"1F1"</f>
        <v>1F1</v>
      </c>
      <c r="L3817" t="s">
        <v>15</v>
      </c>
    </row>
    <row r="3818" spans="1:12" x14ac:dyDescent="0.25">
      <c r="A3818" t="str">
        <f>"445827442"</f>
        <v>445827442</v>
      </c>
      <c r="B3818" t="str">
        <f t="shared" si="236"/>
        <v>89301000</v>
      </c>
      <c r="C3818" s="1">
        <v>44426</v>
      </c>
      <c r="D3818" s="1">
        <v>44427</v>
      </c>
      <c r="E3818">
        <v>5</v>
      </c>
      <c r="F3818" t="s">
        <v>2705</v>
      </c>
      <c r="G3818" t="str">
        <f>"01-I06-02"</f>
        <v>01-I06-02</v>
      </c>
      <c r="H3818">
        <v>2.2281</v>
      </c>
      <c r="I3818" t="s">
        <v>2633</v>
      </c>
      <c r="J3818" t="s">
        <v>17</v>
      </c>
      <c r="K3818" t="str">
        <f>"5T6"</f>
        <v>5T6</v>
      </c>
      <c r="L3818" t="s">
        <v>15</v>
      </c>
    </row>
    <row r="3819" spans="1:12" x14ac:dyDescent="0.25">
      <c r="A3819" t="str">
        <f>"445829423"</f>
        <v>445829423</v>
      </c>
      <c r="B3819" t="str">
        <f t="shared" si="236"/>
        <v>89301000</v>
      </c>
      <c r="C3819" s="1">
        <v>44550</v>
      </c>
      <c r="D3819" s="1">
        <v>44561</v>
      </c>
      <c r="E3819">
        <v>2</v>
      </c>
      <c r="F3819" t="s">
        <v>2706</v>
      </c>
      <c r="G3819" t="str">
        <f>"09-K01-03"</f>
        <v>09-K01-03</v>
      </c>
      <c r="H3819">
        <v>0.88329999999999997</v>
      </c>
      <c r="I3819" t="s">
        <v>2707</v>
      </c>
      <c r="J3819" t="s">
        <v>14</v>
      </c>
      <c r="K3819" t="str">
        <f>"1F1"</f>
        <v>1F1</v>
      </c>
      <c r="L3819" t="s">
        <v>15</v>
      </c>
    </row>
    <row r="3820" spans="1:12" x14ac:dyDescent="0.25">
      <c r="A3820" t="str">
        <f>"445915457"</f>
        <v>445915457</v>
      </c>
      <c r="B3820" t="str">
        <f t="shared" si="236"/>
        <v>89301000</v>
      </c>
      <c r="C3820" s="1">
        <v>44372</v>
      </c>
      <c r="D3820" s="1">
        <v>44374</v>
      </c>
      <c r="E3820">
        <v>1</v>
      </c>
      <c r="F3820" t="s">
        <v>2391</v>
      </c>
      <c r="G3820" t="str">
        <f>"05-K05-05"</f>
        <v>05-K05-05</v>
      </c>
      <c r="H3820">
        <v>0.37819999999999998</v>
      </c>
      <c r="I3820" t="s">
        <v>2708</v>
      </c>
      <c r="J3820" t="s">
        <v>14</v>
      </c>
      <c r="K3820" t="str">
        <f>"1F1"</f>
        <v>1F1</v>
      </c>
      <c r="L3820" t="s">
        <v>15</v>
      </c>
    </row>
    <row r="3821" spans="1:12" x14ac:dyDescent="0.25">
      <c r="A3821" t="str">
        <f>"445921163"</f>
        <v>445921163</v>
      </c>
      <c r="B3821" t="str">
        <f t="shared" si="236"/>
        <v>89301000</v>
      </c>
      <c r="C3821" s="1">
        <v>44528</v>
      </c>
      <c r="D3821" s="1">
        <v>44534</v>
      </c>
      <c r="E3821">
        <v>1</v>
      </c>
      <c r="F3821" t="s">
        <v>2701</v>
      </c>
      <c r="G3821" t="str">
        <f>"08-I04-01"</f>
        <v>08-I04-01</v>
      </c>
      <c r="H3821">
        <v>2.8736999999999999</v>
      </c>
      <c r="I3821" t="s">
        <v>489</v>
      </c>
      <c r="J3821" t="s">
        <v>17</v>
      </c>
      <c r="K3821" t="str">
        <f>"5F6"</f>
        <v>5F6</v>
      </c>
      <c r="L3821" t="s">
        <v>15</v>
      </c>
    </row>
    <row r="3822" spans="1:12" x14ac:dyDescent="0.25">
      <c r="A3822" t="str">
        <f>"445922447"</f>
        <v>445922447</v>
      </c>
      <c r="B3822" t="str">
        <f t="shared" si="236"/>
        <v>89301000</v>
      </c>
      <c r="C3822" s="1">
        <v>44509</v>
      </c>
      <c r="D3822" s="1">
        <v>44518</v>
      </c>
      <c r="E3822">
        <v>4</v>
      </c>
      <c r="F3822" t="s">
        <v>2407</v>
      </c>
      <c r="G3822" t="str">
        <f>"08-I06-04"</f>
        <v>08-I06-04</v>
      </c>
      <c r="H3822">
        <v>2.4260000000000002</v>
      </c>
      <c r="I3822" t="s">
        <v>2361</v>
      </c>
      <c r="J3822" t="s">
        <v>24</v>
      </c>
      <c r="K3822" t="str">
        <f>"6F6"</f>
        <v>6F6</v>
      </c>
      <c r="L3822" t="s">
        <v>15</v>
      </c>
    </row>
    <row r="3823" spans="1:12" x14ac:dyDescent="0.25">
      <c r="A3823" t="str">
        <f>"445929153"</f>
        <v>445929153</v>
      </c>
      <c r="B3823" t="str">
        <f t="shared" si="236"/>
        <v>89301000</v>
      </c>
      <c r="C3823" s="1">
        <v>44425</v>
      </c>
      <c r="D3823" s="1">
        <v>44441</v>
      </c>
      <c r="E3823">
        <v>5</v>
      </c>
      <c r="F3823" t="s">
        <v>1599</v>
      </c>
      <c r="G3823" t="str">
        <f>"05-K07-05"</f>
        <v>05-K07-05</v>
      </c>
      <c r="H3823">
        <v>0.87490000000000001</v>
      </c>
      <c r="I3823" t="s">
        <v>1780</v>
      </c>
      <c r="J3823" t="s">
        <v>14</v>
      </c>
      <c r="K3823" t="str">
        <f>"1F1"</f>
        <v>1F1</v>
      </c>
      <c r="L3823" t="s">
        <v>15</v>
      </c>
    </row>
    <row r="3824" spans="1:12" x14ac:dyDescent="0.25">
      <c r="A3824" t="str">
        <f>"445929153"</f>
        <v>445929153</v>
      </c>
      <c r="B3824" t="str">
        <f t="shared" si="236"/>
        <v>89301000</v>
      </c>
      <c r="C3824" s="1">
        <v>44404</v>
      </c>
      <c r="D3824" s="1">
        <v>44417</v>
      </c>
      <c r="E3824">
        <v>1</v>
      </c>
      <c r="F3824" t="s">
        <v>1780</v>
      </c>
      <c r="G3824" t="str">
        <f>"05-D01-06"</f>
        <v>05-D01-06</v>
      </c>
      <c r="H3824">
        <v>1.2929999999999999</v>
      </c>
      <c r="I3824" t="s">
        <v>2709</v>
      </c>
      <c r="J3824" t="s">
        <v>14</v>
      </c>
      <c r="K3824" t="str">
        <f>"1F1"</f>
        <v>1F1</v>
      </c>
      <c r="L3824" t="s">
        <v>15</v>
      </c>
    </row>
    <row r="3825" spans="1:12" x14ac:dyDescent="0.25">
      <c r="A3825" t="str">
        <f>"445929153"</f>
        <v>445929153</v>
      </c>
      <c r="B3825" t="str">
        <f t="shared" si="236"/>
        <v>89301000</v>
      </c>
      <c r="C3825" s="1">
        <v>44265</v>
      </c>
      <c r="D3825" s="1">
        <v>44270</v>
      </c>
      <c r="E3825">
        <v>4</v>
      </c>
      <c r="F3825" t="s">
        <v>1599</v>
      </c>
      <c r="G3825" t="str">
        <f>"05-K07-04"</f>
        <v>05-K07-04</v>
      </c>
      <c r="H3825">
        <v>1.1334</v>
      </c>
      <c r="I3825" t="s">
        <v>2710</v>
      </c>
      <c r="J3825" t="s">
        <v>14</v>
      </c>
      <c r="K3825" t="str">
        <f>"1F1"</f>
        <v>1F1</v>
      </c>
      <c r="L3825" t="s">
        <v>15</v>
      </c>
    </row>
    <row r="3826" spans="1:12" x14ac:dyDescent="0.25">
      <c r="A3826" t="str">
        <f>"445929153"</f>
        <v>445929153</v>
      </c>
      <c r="B3826" t="str">
        <f t="shared" si="236"/>
        <v>89301000</v>
      </c>
      <c r="C3826" s="1">
        <v>44458</v>
      </c>
      <c r="D3826" s="1">
        <v>44467</v>
      </c>
      <c r="E3826">
        <v>7</v>
      </c>
      <c r="F3826" t="s">
        <v>1606</v>
      </c>
      <c r="G3826" t="str">
        <f>"05-I15-00"</f>
        <v>05-I15-00</v>
      </c>
      <c r="H3826">
        <v>11.7819</v>
      </c>
      <c r="I3826" t="s">
        <v>2711</v>
      </c>
      <c r="J3826" t="s">
        <v>14</v>
      </c>
      <c r="K3826" t="str">
        <f>"5T5"</f>
        <v>5T5</v>
      </c>
      <c r="L3826" t="s">
        <v>15</v>
      </c>
    </row>
    <row r="3827" spans="1:12" x14ac:dyDescent="0.25">
      <c r="A3827" t="str">
        <f>"445929420"</f>
        <v>445929420</v>
      </c>
      <c r="B3827" t="str">
        <f t="shared" si="236"/>
        <v>89301000</v>
      </c>
      <c r="C3827" s="1">
        <v>44441</v>
      </c>
      <c r="D3827" s="1">
        <v>44447</v>
      </c>
      <c r="E3827">
        <v>1</v>
      </c>
      <c r="F3827" t="s">
        <v>2712</v>
      </c>
      <c r="G3827" t="str">
        <f>"07-K04-03"</f>
        <v>07-K04-03</v>
      </c>
      <c r="H3827">
        <v>1.0898000000000001</v>
      </c>
      <c r="I3827" t="s">
        <v>2713</v>
      </c>
      <c r="J3827" t="s">
        <v>14</v>
      </c>
      <c r="K3827" t="str">
        <f>"1F5"</f>
        <v>1F5</v>
      </c>
      <c r="L3827" t="s">
        <v>15</v>
      </c>
    </row>
    <row r="3828" spans="1:12" x14ac:dyDescent="0.25">
      <c r="A3828" t="str">
        <f>"446012452"</f>
        <v>446012452</v>
      </c>
      <c r="B3828" t="str">
        <f t="shared" si="236"/>
        <v>89301000</v>
      </c>
      <c r="C3828" s="1">
        <v>44420</v>
      </c>
      <c r="D3828" s="1">
        <v>44454</v>
      </c>
      <c r="E3828">
        <v>4</v>
      </c>
      <c r="F3828" t="s">
        <v>1597</v>
      </c>
      <c r="G3828" t="str">
        <f>"08-I05-02"</f>
        <v>08-I05-02</v>
      </c>
      <c r="H3828">
        <v>4.8567999999999998</v>
      </c>
      <c r="I3828" t="s">
        <v>2714</v>
      </c>
      <c r="J3828" t="s">
        <v>17</v>
      </c>
      <c r="K3828" t="str">
        <f>"1F6"</f>
        <v>1F6</v>
      </c>
      <c r="L3828" t="s">
        <v>15</v>
      </c>
    </row>
    <row r="3829" spans="1:12" x14ac:dyDescent="0.25">
      <c r="A3829" t="str">
        <f>"446012452"</f>
        <v>446012452</v>
      </c>
      <c r="B3829" t="str">
        <f t="shared" si="236"/>
        <v>89301000</v>
      </c>
      <c r="C3829" s="1">
        <v>44346</v>
      </c>
      <c r="D3829" s="1">
        <v>44375</v>
      </c>
      <c r="E3829">
        <v>4</v>
      </c>
      <c r="F3829" t="s">
        <v>2715</v>
      </c>
      <c r="G3829" t="str">
        <f>"08-I05-06"</f>
        <v>08-I05-06</v>
      </c>
      <c r="H3829">
        <v>3.8096000000000001</v>
      </c>
      <c r="I3829" t="s">
        <v>2716</v>
      </c>
      <c r="J3829" t="s">
        <v>17</v>
      </c>
      <c r="K3829" t="str">
        <f>"1F6"</f>
        <v>1F6</v>
      </c>
      <c r="L3829" t="s">
        <v>15</v>
      </c>
    </row>
    <row r="3830" spans="1:12" x14ac:dyDescent="0.25">
      <c r="A3830" t="str">
        <f>"446012452"</f>
        <v>446012452</v>
      </c>
      <c r="B3830" t="str">
        <f t="shared" si="236"/>
        <v>89301000</v>
      </c>
      <c r="C3830" s="1">
        <v>44384</v>
      </c>
      <c r="D3830" s="1">
        <v>44398</v>
      </c>
      <c r="E3830">
        <v>4</v>
      </c>
      <c r="F3830" t="s">
        <v>1597</v>
      </c>
      <c r="G3830" t="str">
        <f>"08-I05-03"</f>
        <v>08-I05-03</v>
      </c>
      <c r="H3830">
        <v>2.8530000000000002</v>
      </c>
      <c r="I3830" t="s">
        <v>2717</v>
      </c>
      <c r="J3830" t="s">
        <v>17</v>
      </c>
      <c r="K3830" t="str">
        <f>"6F6"</f>
        <v>6F6</v>
      </c>
      <c r="L3830" t="s">
        <v>15</v>
      </c>
    </row>
    <row r="3831" spans="1:12" x14ac:dyDescent="0.25">
      <c r="A3831" t="str">
        <f>"446012452"</f>
        <v>446012452</v>
      </c>
      <c r="B3831" t="str">
        <f t="shared" si="236"/>
        <v>89301000</v>
      </c>
      <c r="C3831" s="1">
        <v>44305</v>
      </c>
      <c r="D3831" s="1">
        <v>44305</v>
      </c>
      <c r="E3831">
        <v>2</v>
      </c>
      <c r="F3831" t="s">
        <v>1968</v>
      </c>
      <c r="G3831" t="str">
        <f>"08-K04-03"</f>
        <v>08-K04-03</v>
      </c>
      <c r="H3831">
        <v>0.23069999999999999</v>
      </c>
      <c r="J3831" t="s">
        <v>14</v>
      </c>
      <c r="K3831" t="str">
        <f>"6F6"</f>
        <v>6F6</v>
      </c>
      <c r="L3831" t="s">
        <v>15</v>
      </c>
    </row>
    <row r="3832" spans="1:12" x14ac:dyDescent="0.25">
      <c r="A3832" t="str">
        <f>"446012452"</f>
        <v>446012452</v>
      </c>
      <c r="B3832" t="str">
        <f t="shared" si="236"/>
        <v>89301000</v>
      </c>
      <c r="C3832" s="1">
        <v>44273</v>
      </c>
      <c r="D3832" s="1">
        <v>44281</v>
      </c>
      <c r="E3832">
        <v>4</v>
      </c>
      <c r="F3832" t="s">
        <v>97</v>
      </c>
      <c r="G3832" t="str">
        <f>"01-K03-07"</f>
        <v>01-K03-07</v>
      </c>
      <c r="H3832">
        <v>0.60250000000000004</v>
      </c>
      <c r="I3832" t="s">
        <v>2718</v>
      </c>
      <c r="J3832" t="s">
        <v>14</v>
      </c>
      <c r="K3832" t="str">
        <f>"2F9"</f>
        <v>2F9</v>
      </c>
      <c r="L3832" t="s">
        <v>15</v>
      </c>
    </row>
    <row r="3833" spans="1:12" x14ac:dyDescent="0.25">
      <c r="A3833" t="str">
        <f>"446013452"</f>
        <v>446013452</v>
      </c>
      <c r="B3833" t="str">
        <f t="shared" si="236"/>
        <v>89301000</v>
      </c>
      <c r="C3833" s="1">
        <v>44333</v>
      </c>
      <c r="D3833" s="1">
        <v>44368</v>
      </c>
      <c r="E3833">
        <v>4</v>
      </c>
      <c r="F3833" t="s">
        <v>1572</v>
      </c>
      <c r="G3833" t="str">
        <f>"00-M02-03"</f>
        <v>00-M02-03</v>
      </c>
      <c r="H3833">
        <v>15.327500000000001</v>
      </c>
      <c r="I3833" t="s">
        <v>2719</v>
      </c>
      <c r="J3833" t="s">
        <v>14</v>
      </c>
      <c r="K3833" t="str">
        <f>"5F1"</f>
        <v>5F1</v>
      </c>
      <c r="L3833" t="s">
        <v>15</v>
      </c>
    </row>
    <row r="3834" spans="1:12" x14ac:dyDescent="0.25">
      <c r="A3834" t="str">
        <f>"446013452"</f>
        <v>446013452</v>
      </c>
      <c r="B3834" t="str">
        <f t="shared" si="236"/>
        <v>89301000</v>
      </c>
      <c r="C3834" s="1">
        <v>44255</v>
      </c>
      <c r="D3834" s="1">
        <v>44257</v>
      </c>
      <c r="E3834">
        <v>5</v>
      </c>
      <c r="F3834" t="s">
        <v>448</v>
      </c>
      <c r="G3834" t="str">
        <f>"11-K01-02"</f>
        <v>11-K01-02</v>
      </c>
      <c r="H3834">
        <v>0.82289999999999996</v>
      </c>
      <c r="I3834" t="s">
        <v>2720</v>
      </c>
      <c r="J3834" t="s">
        <v>14</v>
      </c>
      <c r="K3834" t="str">
        <f>"1F6"</f>
        <v>1F6</v>
      </c>
      <c r="L3834" t="s">
        <v>15</v>
      </c>
    </row>
    <row r="3835" spans="1:12" x14ac:dyDescent="0.25">
      <c r="A3835" t="str">
        <f>"446107452"</f>
        <v>446107452</v>
      </c>
      <c r="B3835" t="str">
        <f t="shared" si="236"/>
        <v>89301000</v>
      </c>
      <c r="C3835" s="1">
        <v>44396</v>
      </c>
      <c r="D3835" s="1">
        <v>44397</v>
      </c>
      <c r="E3835">
        <v>1</v>
      </c>
      <c r="F3835" t="s">
        <v>2721</v>
      </c>
      <c r="G3835" t="str">
        <f>"02-I08-02"</f>
        <v>02-I08-02</v>
      </c>
      <c r="H3835">
        <v>0.55269999999999997</v>
      </c>
      <c r="I3835" t="s">
        <v>2722</v>
      </c>
      <c r="J3835" t="s">
        <v>17</v>
      </c>
      <c r="K3835" t="str">
        <f>"7F5"</f>
        <v>7F5</v>
      </c>
      <c r="L3835" t="s">
        <v>15</v>
      </c>
    </row>
    <row r="3836" spans="1:12" x14ac:dyDescent="0.25">
      <c r="A3836" t="str">
        <f>"446118455"</f>
        <v>446118455</v>
      </c>
      <c r="B3836" t="str">
        <f t="shared" si="236"/>
        <v>89301000</v>
      </c>
      <c r="C3836" s="1">
        <v>44299</v>
      </c>
      <c r="D3836" s="1">
        <v>44307</v>
      </c>
      <c r="E3836">
        <v>5</v>
      </c>
      <c r="F3836" t="s">
        <v>31</v>
      </c>
      <c r="G3836" t="str">
        <f>"08-I03-06"</f>
        <v>08-I03-06</v>
      </c>
      <c r="H3836">
        <v>3.3159999999999998</v>
      </c>
      <c r="I3836" t="s">
        <v>489</v>
      </c>
      <c r="J3836" t="s">
        <v>17</v>
      </c>
      <c r="K3836" t="str">
        <f>"5F6"</f>
        <v>5F6</v>
      </c>
      <c r="L3836" t="s">
        <v>15</v>
      </c>
    </row>
    <row r="3837" spans="1:12" x14ac:dyDescent="0.25">
      <c r="A3837" t="str">
        <f>"446122466"</f>
        <v>446122466</v>
      </c>
      <c r="B3837" t="str">
        <f t="shared" si="236"/>
        <v>89301000</v>
      </c>
      <c r="C3837" s="1">
        <v>44424</v>
      </c>
      <c r="D3837" s="1">
        <v>44426</v>
      </c>
      <c r="E3837">
        <v>7</v>
      </c>
      <c r="F3837" t="s">
        <v>2723</v>
      </c>
      <c r="G3837" t="str">
        <f>"05-K13-01"</f>
        <v>05-K13-01</v>
      </c>
      <c r="H3837">
        <v>0.7883</v>
      </c>
      <c r="I3837" t="s">
        <v>2724</v>
      </c>
      <c r="J3837" t="s">
        <v>14</v>
      </c>
      <c r="K3837" t="str">
        <f>"1F1"</f>
        <v>1F1</v>
      </c>
      <c r="L3837" t="s">
        <v>15</v>
      </c>
    </row>
    <row r="3838" spans="1:12" x14ac:dyDescent="0.25">
      <c r="A3838" t="str">
        <f>"446208407"</f>
        <v>446208407</v>
      </c>
      <c r="B3838" t="str">
        <f t="shared" si="236"/>
        <v>89301000</v>
      </c>
      <c r="C3838" s="1">
        <v>44551</v>
      </c>
      <c r="D3838" s="1">
        <v>44558</v>
      </c>
      <c r="E3838">
        <v>1</v>
      </c>
      <c r="F3838" t="s">
        <v>1878</v>
      </c>
      <c r="G3838" t="str">
        <f>"10-K12-02"</f>
        <v>10-K12-02</v>
      </c>
      <c r="H3838">
        <v>0.94830000000000003</v>
      </c>
      <c r="I3838" t="s">
        <v>2725</v>
      </c>
      <c r="J3838" t="s">
        <v>14</v>
      </c>
      <c r="K3838" t="str">
        <f>"1F5"</f>
        <v>1F5</v>
      </c>
      <c r="L3838" t="s">
        <v>15</v>
      </c>
    </row>
    <row r="3839" spans="1:12" x14ac:dyDescent="0.25">
      <c r="A3839" t="str">
        <f>"446212406"</f>
        <v>446212406</v>
      </c>
      <c r="B3839" t="str">
        <f t="shared" si="236"/>
        <v>89301000</v>
      </c>
      <c r="C3839" s="1">
        <v>44416</v>
      </c>
      <c r="D3839" s="1">
        <v>44427</v>
      </c>
      <c r="E3839">
        <v>1</v>
      </c>
      <c r="F3839" t="s">
        <v>2462</v>
      </c>
      <c r="G3839" t="str">
        <f>"06-I07-05"</f>
        <v>06-I07-05</v>
      </c>
      <c r="H3839">
        <v>2.8466999999999998</v>
      </c>
      <c r="I3839" t="s">
        <v>2726</v>
      </c>
      <c r="J3839" t="s">
        <v>17</v>
      </c>
      <c r="K3839" t="str">
        <f>"5F1"</f>
        <v>5F1</v>
      </c>
      <c r="L3839" t="s">
        <v>15</v>
      </c>
    </row>
    <row r="3840" spans="1:12" x14ac:dyDescent="0.25">
      <c r="A3840" t="str">
        <f>"446223414"</f>
        <v>446223414</v>
      </c>
      <c r="B3840" t="str">
        <f t="shared" si="236"/>
        <v>89301000</v>
      </c>
      <c r="C3840" s="1">
        <v>44398</v>
      </c>
      <c r="D3840" s="1">
        <v>44407</v>
      </c>
      <c r="E3840">
        <v>1</v>
      </c>
      <c r="F3840" t="s">
        <v>2727</v>
      </c>
      <c r="G3840" t="str">
        <f>"06-K05-01"</f>
        <v>06-K05-01</v>
      </c>
      <c r="H3840">
        <v>1.0575000000000001</v>
      </c>
      <c r="I3840" t="s">
        <v>2728</v>
      </c>
      <c r="J3840" t="s">
        <v>14</v>
      </c>
      <c r="K3840" t="str">
        <f>"5F1"</f>
        <v>5F1</v>
      </c>
      <c r="L3840" t="s">
        <v>15</v>
      </c>
    </row>
    <row r="3841" spans="1:12" x14ac:dyDescent="0.25">
      <c r="A3841" t="str">
        <f>"446225403"</f>
        <v>446225403</v>
      </c>
      <c r="B3841" t="str">
        <f t="shared" si="236"/>
        <v>89301000</v>
      </c>
      <c r="C3841" s="1">
        <v>44517</v>
      </c>
      <c r="D3841" s="1">
        <v>44524</v>
      </c>
      <c r="E3841">
        <v>4</v>
      </c>
      <c r="F3841" t="s">
        <v>1968</v>
      </c>
      <c r="G3841" t="str">
        <f>"08-I05-05"</f>
        <v>08-I05-05</v>
      </c>
      <c r="H3841">
        <v>2.2932000000000001</v>
      </c>
      <c r="I3841" t="s">
        <v>2361</v>
      </c>
      <c r="J3841" t="s">
        <v>17</v>
      </c>
      <c r="K3841" t="str">
        <f>"6F6"</f>
        <v>6F6</v>
      </c>
      <c r="L3841" t="s">
        <v>15</v>
      </c>
    </row>
    <row r="3842" spans="1:12" x14ac:dyDescent="0.25">
      <c r="A3842" t="str">
        <f>"446227068"</f>
        <v>446227068</v>
      </c>
      <c r="B3842" t="str">
        <f t="shared" si="236"/>
        <v>89301000</v>
      </c>
      <c r="C3842" s="1">
        <v>44281</v>
      </c>
      <c r="D3842" s="1">
        <v>44283</v>
      </c>
      <c r="E3842">
        <v>1</v>
      </c>
      <c r="F3842" t="s">
        <v>1679</v>
      </c>
      <c r="G3842" t="str">
        <f>"11-I17-03"</f>
        <v>11-I17-03</v>
      </c>
      <c r="H3842">
        <v>0.50609999999999999</v>
      </c>
      <c r="I3842" t="s">
        <v>168</v>
      </c>
      <c r="J3842" t="s">
        <v>14</v>
      </c>
      <c r="K3842" t="str">
        <f>"7F6"</f>
        <v>7F6</v>
      </c>
      <c r="L3842" t="s">
        <v>15</v>
      </c>
    </row>
    <row r="3843" spans="1:12" x14ac:dyDescent="0.25">
      <c r="A3843" t="str">
        <f>"446231404"</f>
        <v>446231404</v>
      </c>
      <c r="B3843" t="str">
        <f t="shared" si="236"/>
        <v>89301000</v>
      </c>
      <c r="C3843" s="1">
        <v>44491</v>
      </c>
      <c r="D3843" s="1">
        <v>44495</v>
      </c>
      <c r="E3843">
        <v>5</v>
      </c>
      <c r="F3843" t="s">
        <v>2729</v>
      </c>
      <c r="G3843" t="str">
        <f>"04-M02-04"</f>
        <v>04-M02-04</v>
      </c>
      <c r="H3843">
        <v>0.7238</v>
      </c>
      <c r="I3843" t="s">
        <v>2730</v>
      </c>
      <c r="J3843" t="s">
        <v>14</v>
      </c>
      <c r="K3843" t="str">
        <f>"2T5"</f>
        <v>2T5</v>
      </c>
      <c r="L3843" t="s">
        <v>15</v>
      </c>
    </row>
    <row r="3844" spans="1:12" x14ac:dyDescent="0.25">
      <c r="A3844" t="str">
        <f>"450102425"</f>
        <v>450102425</v>
      </c>
      <c r="B3844" t="str">
        <f t="shared" si="236"/>
        <v>89301000</v>
      </c>
      <c r="C3844" s="1">
        <v>44489</v>
      </c>
      <c r="D3844" s="1">
        <v>44490</v>
      </c>
      <c r="E3844">
        <v>1</v>
      </c>
      <c r="F3844" t="s">
        <v>2731</v>
      </c>
      <c r="G3844" t="str">
        <f>"02-I13-02"</f>
        <v>02-I13-02</v>
      </c>
      <c r="H3844">
        <v>0.376</v>
      </c>
      <c r="I3844" t="s">
        <v>489</v>
      </c>
      <c r="J3844" t="s">
        <v>14</v>
      </c>
      <c r="K3844" t="str">
        <f>"7F5"</f>
        <v>7F5</v>
      </c>
      <c r="L3844" t="s">
        <v>15</v>
      </c>
    </row>
    <row r="3845" spans="1:12" x14ac:dyDescent="0.25">
      <c r="A3845" t="str">
        <f>"450106411"</f>
        <v>450106411</v>
      </c>
      <c r="B3845" t="str">
        <f t="shared" si="236"/>
        <v>89301000</v>
      </c>
      <c r="C3845" s="1">
        <v>44288</v>
      </c>
      <c r="D3845" s="1">
        <v>44293</v>
      </c>
      <c r="E3845">
        <v>5</v>
      </c>
      <c r="F3845" t="s">
        <v>2732</v>
      </c>
      <c r="G3845" t="str">
        <f>"10-K12-01"</f>
        <v>10-K12-01</v>
      </c>
      <c r="H3845">
        <v>1.8906000000000001</v>
      </c>
      <c r="I3845" t="s">
        <v>2733</v>
      </c>
      <c r="J3845" t="s">
        <v>14</v>
      </c>
      <c r="K3845" t="str">
        <f>"1F6"</f>
        <v>1F6</v>
      </c>
      <c r="L3845" t="s">
        <v>15</v>
      </c>
    </row>
    <row r="3846" spans="1:12" x14ac:dyDescent="0.25">
      <c r="A3846" t="str">
        <f>"450106411"</f>
        <v>450106411</v>
      </c>
      <c r="B3846" t="str">
        <f t="shared" si="236"/>
        <v>89301000</v>
      </c>
      <c r="C3846" s="1">
        <v>44214</v>
      </c>
      <c r="D3846" s="1">
        <v>44215</v>
      </c>
      <c r="E3846">
        <v>1</v>
      </c>
      <c r="F3846" t="s">
        <v>2734</v>
      </c>
      <c r="G3846" t="str">
        <f>"06-M01-02"</f>
        <v>06-M01-02</v>
      </c>
      <c r="H3846">
        <v>1.2503</v>
      </c>
      <c r="I3846" t="s">
        <v>2735</v>
      </c>
      <c r="J3846" t="s">
        <v>14</v>
      </c>
      <c r="K3846" t="str">
        <f>"1F1"</f>
        <v>1F1</v>
      </c>
      <c r="L3846" t="s">
        <v>15</v>
      </c>
    </row>
    <row r="3847" spans="1:12" x14ac:dyDescent="0.25">
      <c r="A3847" t="str">
        <f>"450107438"</f>
        <v>450107438</v>
      </c>
      <c r="B3847" t="str">
        <f t="shared" si="236"/>
        <v>89301000</v>
      </c>
      <c r="C3847" s="1">
        <v>44321</v>
      </c>
      <c r="D3847" s="1">
        <v>44326</v>
      </c>
      <c r="E3847">
        <v>1</v>
      </c>
      <c r="F3847" t="s">
        <v>2736</v>
      </c>
      <c r="G3847" t="str">
        <f>"07-K02-03"</f>
        <v>07-K02-03</v>
      </c>
      <c r="H3847">
        <v>0.7742</v>
      </c>
      <c r="I3847" t="s">
        <v>2737</v>
      </c>
      <c r="J3847" t="s">
        <v>14</v>
      </c>
      <c r="K3847" t="str">
        <f>"1F5"</f>
        <v>1F5</v>
      </c>
      <c r="L3847" t="s">
        <v>15</v>
      </c>
    </row>
    <row r="3848" spans="1:12" x14ac:dyDescent="0.25">
      <c r="A3848" t="str">
        <f t="shared" ref="A3848:A3853" si="237">"450112414"</f>
        <v>450112414</v>
      </c>
      <c r="B3848" t="str">
        <f t="shared" si="236"/>
        <v>89301000</v>
      </c>
      <c r="C3848" s="1">
        <v>44362</v>
      </c>
      <c r="D3848" s="1">
        <v>44366</v>
      </c>
      <c r="E3848">
        <v>1</v>
      </c>
      <c r="F3848" t="s">
        <v>2738</v>
      </c>
      <c r="G3848" t="str">
        <f t="shared" ref="G3848:G3853" si="238">"03-C01-02"</f>
        <v>03-C01-02</v>
      </c>
      <c r="H3848">
        <v>0.44900000000000001</v>
      </c>
      <c r="I3848" t="s">
        <v>2739</v>
      </c>
      <c r="J3848" t="s">
        <v>14</v>
      </c>
      <c r="K3848" t="str">
        <f t="shared" ref="K3848:K3854" si="239">"4F2"</f>
        <v>4F2</v>
      </c>
      <c r="L3848" t="s">
        <v>15</v>
      </c>
    </row>
    <row r="3849" spans="1:12" x14ac:dyDescent="0.25">
      <c r="A3849" t="str">
        <f t="shared" si="237"/>
        <v>450112414</v>
      </c>
      <c r="B3849" t="str">
        <f t="shared" si="236"/>
        <v>89301000</v>
      </c>
      <c r="C3849" s="1">
        <v>44334</v>
      </c>
      <c r="D3849" s="1">
        <v>44338</v>
      </c>
      <c r="E3849">
        <v>1</v>
      </c>
      <c r="F3849" t="s">
        <v>2738</v>
      </c>
      <c r="G3849" t="str">
        <f t="shared" si="238"/>
        <v>03-C01-02</v>
      </c>
      <c r="H3849">
        <v>0.44900000000000001</v>
      </c>
      <c r="I3849" t="s">
        <v>2740</v>
      </c>
      <c r="J3849" t="s">
        <v>14</v>
      </c>
      <c r="K3849" t="str">
        <f t="shared" si="239"/>
        <v>4F2</v>
      </c>
      <c r="L3849" t="s">
        <v>15</v>
      </c>
    </row>
    <row r="3850" spans="1:12" x14ac:dyDescent="0.25">
      <c r="A3850" t="str">
        <f t="shared" si="237"/>
        <v>450112414</v>
      </c>
      <c r="B3850" t="str">
        <f t="shared" si="236"/>
        <v>89301000</v>
      </c>
      <c r="C3850" s="1">
        <v>44306</v>
      </c>
      <c r="D3850" s="1">
        <v>44311</v>
      </c>
      <c r="E3850">
        <v>1</v>
      </c>
      <c r="F3850" t="s">
        <v>2738</v>
      </c>
      <c r="G3850" t="str">
        <f t="shared" si="238"/>
        <v>03-C01-02</v>
      </c>
      <c r="H3850">
        <v>0.44900000000000001</v>
      </c>
      <c r="I3850" t="s">
        <v>2739</v>
      </c>
      <c r="J3850" t="s">
        <v>14</v>
      </c>
      <c r="K3850" t="str">
        <f t="shared" si="239"/>
        <v>4F2</v>
      </c>
      <c r="L3850" t="s">
        <v>15</v>
      </c>
    </row>
    <row r="3851" spans="1:12" x14ac:dyDescent="0.25">
      <c r="A3851" t="str">
        <f t="shared" si="237"/>
        <v>450112414</v>
      </c>
      <c r="B3851" t="str">
        <f t="shared" si="236"/>
        <v>89301000</v>
      </c>
      <c r="C3851" s="1">
        <v>44390</v>
      </c>
      <c r="D3851" s="1">
        <v>44394</v>
      </c>
      <c r="E3851">
        <v>1</v>
      </c>
      <c r="F3851" t="s">
        <v>2738</v>
      </c>
      <c r="G3851" t="str">
        <f t="shared" si="238"/>
        <v>03-C01-02</v>
      </c>
      <c r="H3851">
        <v>0.44900000000000001</v>
      </c>
      <c r="I3851" t="s">
        <v>2739</v>
      </c>
      <c r="J3851" t="s">
        <v>14</v>
      </c>
      <c r="K3851" t="str">
        <f t="shared" si="239"/>
        <v>4F2</v>
      </c>
      <c r="L3851" t="s">
        <v>15</v>
      </c>
    </row>
    <row r="3852" spans="1:12" x14ac:dyDescent="0.25">
      <c r="A3852" t="str">
        <f t="shared" si="237"/>
        <v>450112414</v>
      </c>
      <c r="B3852" t="str">
        <f t="shared" si="236"/>
        <v>89301000</v>
      </c>
      <c r="C3852" s="1">
        <v>44446</v>
      </c>
      <c r="D3852" s="1">
        <v>44450</v>
      </c>
      <c r="E3852">
        <v>1</v>
      </c>
      <c r="F3852" t="s">
        <v>2738</v>
      </c>
      <c r="G3852" t="str">
        <f t="shared" si="238"/>
        <v>03-C01-02</v>
      </c>
      <c r="H3852">
        <v>0.44900000000000001</v>
      </c>
      <c r="I3852" t="s">
        <v>2739</v>
      </c>
      <c r="J3852" t="s">
        <v>14</v>
      </c>
      <c r="K3852" t="str">
        <f t="shared" si="239"/>
        <v>4F2</v>
      </c>
      <c r="L3852" t="s">
        <v>15</v>
      </c>
    </row>
    <row r="3853" spans="1:12" x14ac:dyDescent="0.25">
      <c r="A3853" t="str">
        <f t="shared" si="237"/>
        <v>450112414</v>
      </c>
      <c r="B3853" t="str">
        <f t="shared" si="236"/>
        <v>89301000</v>
      </c>
      <c r="C3853" s="1">
        <v>44418</v>
      </c>
      <c r="D3853" s="1">
        <v>44422</v>
      </c>
      <c r="E3853">
        <v>1</v>
      </c>
      <c r="F3853" t="s">
        <v>2738</v>
      </c>
      <c r="G3853" t="str">
        <f t="shared" si="238"/>
        <v>03-C01-02</v>
      </c>
      <c r="H3853">
        <v>0.44900000000000001</v>
      </c>
      <c r="I3853" t="s">
        <v>2739</v>
      </c>
      <c r="J3853" t="s">
        <v>14</v>
      </c>
      <c r="K3853" t="str">
        <f t="shared" si="239"/>
        <v>4F2</v>
      </c>
      <c r="L3853" t="s">
        <v>15</v>
      </c>
    </row>
    <row r="3854" spans="1:12" x14ac:dyDescent="0.25">
      <c r="A3854" t="str">
        <f>"450202407"</f>
        <v>450202407</v>
      </c>
      <c r="B3854" t="str">
        <f t="shared" si="236"/>
        <v>89301000</v>
      </c>
      <c r="C3854" s="1">
        <v>44552</v>
      </c>
      <c r="D3854" s="1">
        <v>44554</v>
      </c>
      <c r="E3854">
        <v>1</v>
      </c>
      <c r="F3854" t="s">
        <v>2585</v>
      </c>
      <c r="G3854" t="str">
        <f>"12-K05-02"</f>
        <v>12-K05-02</v>
      </c>
      <c r="H3854">
        <v>0.4415</v>
      </c>
      <c r="I3854" t="s">
        <v>2741</v>
      </c>
      <c r="J3854" t="s">
        <v>14</v>
      </c>
      <c r="K3854" t="str">
        <f t="shared" si="239"/>
        <v>4F2</v>
      </c>
      <c r="L3854" t="s">
        <v>15</v>
      </c>
    </row>
    <row r="3855" spans="1:12" x14ac:dyDescent="0.25">
      <c r="A3855" t="str">
        <f>"450205441"</f>
        <v>450205441</v>
      </c>
      <c r="B3855" t="str">
        <f t="shared" si="236"/>
        <v>89301000</v>
      </c>
      <c r="C3855" s="1">
        <v>44446</v>
      </c>
      <c r="D3855" s="1">
        <v>44457</v>
      </c>
      <c r="E3855">
        <v>1</v>
      </c>
      <c r="F3855" t="s">
        <v>1683</v>
      </c>
      <c r="G3855" t="str">
        <f>"05-I16-04"</f>
        <v>05-I16-04</v>
      </c>
      <c r="H3855">
        <v>6.1497999999999999</v>
      </c>
      <c r="I3855" t="s">
        <v>2742</v>
      </c>
      <c r="J3855" t="s">
        <v>17</v>
      </c>
      <c r="K3855" t="str">
        <f>"5F5"</f>
        <v>5F5</v>
      </c>
      <c r="L3855" t="s">
        <v>15</v>
      </c>
    </row>
    <row r="3856" spans="1:12" x14ac:dyDescent="0.25">
      <c r="A3856" t="str">
        <f>"450205443"</f>
        <v>450205443</v>
      </c>
      <c r="B3856" t="str">
        <f t="shared" si="236"/>
        <v>89301000</v>
      </c>
      <c r="C3856" s="1">
        <v>44299</v>
      </c>
      <c r="D3856" s="1">
        <v>44323</v>
      </c>
      <c r="E3856">
        <v>4</v>
      </c>
      <c r="F3856" t="s">
        <v>699</v>
      </c>
      <c r="G3856" t="str">
        <f>"00-M02-04"</f>
        <v>00-M02-04</v>
      </c>
      <c r="H3856">
        <v>12.071199999999999</v>
      </c>
      <c r="I3856" t="s">
        <v>2743</v>
      </c>
      <c r="J3856" t="s">
        <v>14</v>
      </c>
      <c r="K3856" t="str">
        <f>"1F1"</f>
        <v>1F1</v>
      </c>
      <c r="L3856" t="s">
        <v>15</v>
      </c>
    </row>
    <row r="3857" spans="1:12" x14ac:dyDescent="0.25">
      <c r="A3857" t="str">
        <f>"450221424"</f>
        <v>450221424</v>
      </c>
      <c r="B3857" t="str">
        <f t="shared" si="236"/>
        <v>89301000</v>
      </c>
      <c r="C3857" s="1">
        <v>44461</v>
      </c>
      <c r="D3857" s="1">
        <v>44470</v>
      </c>
      <c r="E3857">
        <v>5</v>
      </c>
      <c r="F3857" t="s">
        <v>1599</v>
      </c>
      <c r="G3857" t="str">
        <f>"05-D01-04"</f>
        <v>05-D01-04</v>
      </c>
      <c r="H3857">
        <v>2.0049000000000001</v>
      </c>
      <c r="I3857" t="s">
        <v>2744</v>
      </c>
      <c r="J3857" t="s">
        <v>14</v>
      </c>
      <c r="K3857" t="str">
        <f>"1T1"</f>
        <v>1T1</v>
      </c>
      <c r="L3857" t="s">
        <v>15</v>
      </c>
    </row>
    <row r="3858" spans="1:12" x14ac:dyDescent="0.25">
      <c r="A3858" t="str">
        <f>"450227419"</f>
        <v>450227419</v>
      </c>
      <c r="B3858" t="str">
        <f t="shared" si="236"/>
        <v>89301000</v>
      </c>
      <c r="C3858" s="1">
        <v>44337</v>
      </c>
      <c r="D3858" s="1">
        <v>44340</v>
      </c>
      <c r="E3858">
        <v>1</v>
      </c>
      <c r="F3858" t="s">
        <v>2026</v>
      </c>
      <c r="G3858" t="str">
        <f>"08-K08-00"</f>
        <v>08-K08-00</v>
      </c>
      <c r="H3858">
        <v>0.51670000000000005</v>
      </c>
      <c r="I3858" t="s">
        <v>2745</v>
      </c>
      <c r="J3858" t="s">
        <v>14</v>
      </c>
      <c r="K3858" t="str">
        <f>"2F9"</f>
        <v>2F9</v>
      </c>
      <c r="L3858" t="s">
        <v>15</v>
      </c>
    </row>
    <row r="3859" spans="1:12" x14ac:dyDescent="0.25">
      <c r="A3859" t="str">
        <f>"450308407"</f>
        <v>450308407</v>
      </c>
      <c r="B3859" t="str">
        <f t="shared" si="236"/>
        <v>89301000</v>
      </c>
      <c r="C3859" s="1">
        <v>44299</v>
      </c>
      <c r="D3859" s="1">
        <v>44319</v>
      </c>
      <c r="E3859">
        <v>8</v>
      </c>
      <c r="F3859" t="s">
        <v>217</v>
      </c>
      <c r="G3859" t="str">
        <f>"04-K02-02"</f>
        <v>04-K02-02</v>
      </c>
      <c r="H3859">
        <v>2.6347999999999998</v>
      </c>
      <c r="I3859" t="s">
        <v>2746</v>
      </c>
      <c r="J3859" t="s">
        <v>14</v>
      </c>
      <c r="K3859" t="str">
        <f>"1T1"</f>
        <v>1T1</v>
      </c>
      <c r="L3859" t="s">
        <v>15</v>
      </c>
    </row>
    <row r="3860" spans="1:12" x14ac:dyDescent="0.25">
      <c r="A3860" t="str">
        <f>"450308407"</f>
        <v>450308407</v>
      </c>
      <c r="B3860" t="str">
        <f t="shared" si="236"/>
        <v>89301000</v>
      </c>
      <c r="C3860" s="1">
        <v>44268</v>
      </c>
      <c r="D3860" s="1">
        <v>44275</v>
      </c>
      <c r="E3860">
        <v>5</v>
      </c>
      <c r="F3860" t="s">
        <v>962</v>
      </c>
      <c r="G3860" t="str">
        <f>"04-M01-05"</f>
        <v>04-M01-05</v>
      </c>
      <c r="H3860">
        <v>6.2100999999999997</v>
      </c>
      <c r="I3860" t="s">
        <v>2747</v>
      </c>
      <c r="J3860" t="s">
        <v>14</v>
      </c>
      <c r="K3860" t="str">
        <f>"7T8"</f>
        <v>7T8</v>
      </c>
      <c r="L3860" t="s">
        <v>15</v>
      </c>
    </row>
    <row r="3861" spans="1:12" x14ac:dyDescent="0.25">
      <c r="A3861" t="str">
        <f>"450309418"</f>
        <v>450309418</v>
      </c>
      <c r="B3861" t="str">
        <f t="shared" si="236"/>
        <v>89301000</v>
      </c>
      <c r="C3861" s="1">
        <v>44363</v>
      </c>
      <c r="D3861" s="1">
        <v>44364</v>
      </c>
      <c r="E3861">
        <v>1</v>
      </c>
      <c r="F3861" t="s">
        <v>1557</v>
      </c>
      <c r="G3861" t="str">
        <f>"05-M06-08"</f>
        <v>05-M06-08</v>
      </c>
      <c r="H3861">
        <v>1.4719</v>
      </c>
      <c r="I3861" t="s">
        <v>1983</v>
      </c>
      <c r="J3861" t="s">
        <v>17</v>
      </c>
      <c r="K3861" t="str">
        <f>"1F7"</f>
        <v>1F7</v>
      </c>
      <c r="L3861" t="s">
        <v>15</v>
      </c>
    </row>
    <row r="3862" spans="1:12" x14ac:dyDescent="0.25">
      <c r="A3862" t="str">
        <f>"450309418"</f>
        <v>450309418</v>
      </c>
      <c r="B3862" t="str">
        <f t="shared" ref="B3862:B3925" si="240">"89301000"</f>
        <v>89301000</v>
      </c>
      <c r="C3862" s="1">
        <v>44510</v>
      </c>
      <c r="D3862" s="1">
        <v>44512</v>
      </c>
      <c r="E3862">
        <v>6</v>
      </c>
      <c r="F3862" t="s">
        <v>1546</v>
      </c>
      <c r="G3862" t="str">
        <f>"06-K20-02"</f>
        <v>06-K20-02</v>
      </c>
      <c r="H3862">
        <v>0.93700000000000006</v>
      </c>
      <c r="I3862" t="s">
        <v>2748</v>
      </c>
      <c r="J3862" t="s">
        <v>14</v>
      </c>
      <c r="K3862" t="str">
        <f>"1F1"</f>
        <v>1F1</v>
      </c>
      <c r="L3862" t="s">
        <v>15</v>
      </c>
    </row>
    <row r="3863" spans="1:12" x14ac:dyDescent="0.25">
      <c r="A3863" t="str">
        <f>"450403429"</f>
        <v>450403429</v>
      </c>
      <c r="B3863" t="str">
        <f t="shared" si="240"/>
        <v>89301000</v>
      </c>
      <c r="C3863" s="1">
        <v>44290</v>
      </c>
      <c r="D3863" s="1">
        <v>44300</v>
      </c>
      <c r="E3863">
        <v>8</v>
      </c>
      <c r="F3863" t="s">
        <v>2749</v>
      </c>
      <c r="G3863" t="str">
        <f>"08-K03-01"</f>
        <v>08-K03-01</v>
      </c>
      <c r="H3863">
        <v>3.1173000000000002</v>
      </c>
      <c r="I3863" t="s">
        <v>2750</v>
      </c>
      <c r="J3863" t="s">
        <v>14</v>
      </c>
      <c r="K3863" t="str">
        <f>"1F6"</f>
        <v>1F6</v>
      </c>
      <c r="L3863" t="s">
        <v>15</v>
      </c>
    </row>
    <row r="3864" spans="1:12" x14ac:dyDescent="0.25">
      <c r="A3864" t="str">
        <f>"450403429"</f>
        <v>450403429</v>
      </c>
      <c r="B3864" t="str">
        <f t="shared" si="240"/>
        <v>89301000</v>
      </c>
      <c r="C3864" s="1">
        <v>44232</v>
      </c>
      <c r="D3864" s="1">
        <v>44233</v>
      </c>
      <c r="E3864">
        <v>1</v>
      </c>
      <c r="F3864" t="s">
        <v>1604</v>
      </c>
      <c r="G3864" t="str">
        <f>"05-I14-03"</f>
        <v>05-I14-03</v>
      </c>
      <c r="H3864">
        <v>6.1292</v>
      </c>
      <c r="I3864" t="s">
        <v>2751</v>
      </c>
      <c r="J3864" t="s">
        <v>14</v>
      </c>
      <c r="K3864" t="str">
        <f>"1F1"</f>
        <v>1F1</v>
      </c>
      <c r="L3864" t="s">
        <v>15</v>
      </c>
    </row>
    <row r="3865" spans="1:12" x14ac:dyDescent="0.25">
      <c r="A3865" t="str">
        <f>"450403484"</f>
        <v>450403484</v>
      </c>
      <c r="B3865" t="str">
        <f t="shared" si="240"/>
        <v>89301000</v>
      </c>
      <c r="C3865" s="1">
        <v>44444</v>
      </c>
      <c r="D3865" s="1">
        <v>44453</v>
      </c>
      <c r="E3865">
        <v>1</v>
      </c>
      <c r="F3865" t="s">
        <v>2752</v>
      </c>
      <c r="G3865" t="str">
        <f>"06-I07-05"</f>
        <v>06-I07-05</v>
      </c>
      <c r="H3865">
        <v>2.8466999999999998</v>
      </c>
      <c r="I3865" t="s">
        <v>2753</v>
      </c>
      <c r="J3865" t="s">
        <v>17</v>
      </c>
      <c r="K3865" t="str">
        <f>"5F1"</f>
        <v>5F1</v>
      </c>
      <c r="L3865" t="s">
        <v>15</v>
      </c>
    </row>
    <row r="3866" spans="1:12" x14ac:dyDescent="0.25">
      <c r="A3866" t="str">
        <f>"450403484"</f>
        <v>450403484</v>
      </c>
      <c r="B3866" t="str">
        <f t="shared" si="240"/>
        <v>89301000</v>
      </c>
      <c r="C3866" s="1">
        <v>44521</v>
      </c>
      <c r="D3866" s="1">
        <v>44522</v>
      </c>
      <c r="E3866">
        <v>8</v>
      </c>
      <c r="F3866" t="s">
        <v>217</v>
      </c>
      <c r="G3866" t="str">
        <f>"04-K02-01"</f>
        <v>04-K02-01</v>
      </c>
      <c r="H3866">
        <v>0.20710000000000001</v>
      </c>
      <c r="I3866" t="s">
        <v>2754</v>
      </c>
      <c r="J3866" t="s">
        <v>14</v>
      </c>
      <c r="K3866" t="str">
        <f>"7T8"</f>
        <v>7T8</v>
      </c>
      <c r="L3866" t="s">
        <v>15</v>
      </c>
    </row>
    <row r="3867" spans="1:12" x14ac:dyDescent="0.25">
      <c r="A3867" t="str">
        <f>"450403484"</f>
        <v>450403484</v>
      </c>
      <c r="B3867" t="str">
        <f t="shared" si="240"/>
        <v>89301000</v>
      </c>
      <c r="C3867" s="1">
        <v>44375</v>
      </c>
      <c r="D3867" s="1">
        <v>44376</v>
      </c>
      <c r="E3867">
        <v>1</v>
      </c>
      <c r="F3867" t="s">
        <v>2752</v>
      </c>
      <c r="G3867" t="str">
        <f>"06-M01-03"</f>
        <v>06-M01-03</v>
      </c>
      <c r="H3867">
        <v>0.82450000000000001</v>
      </c>
      <c r="I3867" t="s">
        <v>2755</v>
      </c>
      <c r="J3867" t="s">
        <v>14</v>
      </c>
      <c r="K3867" t="str">
        <f>"1F5"</f>
        <v>1F5</v>
      </c>
      <c r="L3867" t="s">
        <v>15</v>
      </c>
    </row>
    <row r="3868" spans="1:12" x14ac:dyDescent="0.25">
      <c r="A3868" t="str">
        <f>"450404444"</f>
        <v>450404444</v>
      </c>
      <c r="B3868" t="str">
        <f t="shared" si="240"/>
        <v>89301000</v>
      </c>
      <c r="C3868" s="1">
        <v>44374</v>
      </c>
      <c r="D3868" s="1">
        <v>44378</v>
      </c>
      <c r="E3868">
        <v>5</v>
      </c>
      <c r="F3868" t="s">
        <v>67</v>
      </c>
      <c r="G3868" t="str">
        <f>"01-K10-03"</f>
        <v>01-K10-03</v>
      </c>
      <c r="H3868">
        <v>1.0016</v>
      </c>
      <c r="I3868" t="s">
        <v>2756</v>
      </c>
      <c r="J3868" t="s">
        <v>14</v>
      </c>
      <c r="K3868" t="str">
        <f>"2F9"</f>
        <v>2F9</v>
      </c>
      <c r="L3868" t="s">
        <v>15</v>
      </c>
    </row>
    <row r="3869" spans="1:12" x14ac:dyDescent="0.25">
      <c r="A3869" t="str">
        <f>"450405431"</f>
        <v>450405431</v>
      </c>
      <c r="B3869" t="str">
        <f t="shared" si="240"/>
        <v>89301000</v>
      </c>
      <c r="C3869" s="1">
        <v>44539</v>
      </c>
      <c r="D3869" s="1">
        <v>44543</v>
      </c>
      <c r="E3869">
        <v>1</v>
      </c>
      <c r="F3869" t="s">
        <v>2757</v>
      </c>
      <c r="G3869" t="str">
        <f>"08-K02-02"</f>
        <v>08-K02-02</v>
      </c>
      <c r="H3869">
        <v>1.2081999999999999</v>
      </c>
      <c r="I3869" t="s">
        <v>2758</v>
      </c>
      <c r="J3869" t="s">
        <v>14</v>
      </c>
      <c r="K3869" t="str">
        <f>"1F9"</f>
        <v>1F9</v>
      </c>
      <c r="L3869" t="s">
        <v>15</v>
      </c>
    </row>
    <row r="3870" spans="1:12" x14ac:dyDescent="0.25">
      <c r="A3870" t="str">
        <f>"450411449"</f>
        <v>450411449</v>
      </c>
      <c r="B3870" t="str">
        <f t="shared" si="240"/>
        <v>89301000</v>
      </c>
      <c r="C3870" s="1">
        <v>44447</v>
      </c>
      <c r="D3870" s="1">
        <v>44457</v>
      </c>
      <c r="E3870">
        <v>1</v>
      </c>
      <c r="F3870" t="s">
        <v>1558</v>
      </c>
      <c r="G3870" t="str">
        <f>"05-I12-03"</f>
        <v>05-I12-03</v>
      </c>
      <c r="H3870">
        <v>6.4964000000000004</v>
      </c>
      <c r="I3870" t="s">
        <v>1557</v>
      </c>
      <c r="J3870" t="s">
        <v>17</v>
      </c>
      <c r="K3870" t="str">
        <f>"5F5"</f>
        <v>5F5</v>
      </c>
      <c r="L3870" t="s">
        <v>15</v>
      </c>
    </row>
    <row r="3871" spans="1:12" x14ac:dyDescent="0.25">
      <c r="A3871" t="str">
        <f>"450411449"</f>
        <v>450411449</v>
      </c>
      <c r="B3871" t="str">
        <f t="shared" si="240"/>
        <v>89301000</v>
      </c>
      <c r="C3871" s="1">
        <v>44400</v>
      </c>
      <c r="D3871" s="1">
        <v>44401</v>
      </c>
      <c r="E3871">
        <v>1</v>
      </c>
      <c r="F3871" t="s">
        <v>1558</v>
      </c>
      <c r="G3871" t="str">
        <f>"05-D01-06"</f>
        <v>05-D01-06</v>
      </c>
      <c r="H3871">
        <v>0.7611</v>
      </c>
      <c r="I3871" t="s">
        <v>607</v>
      </c>
      <c r="J3871" t="s">
        <v>14</v>
      </c>
      <c r="K3871" t="str">
        <f>"1F1"</f>
        <v>1F1</v>
      </c>
      <c r="L3871" t="s">
        <v>15</v>
      </c>
    </row>
    <row r="3872" spans="1:12" x14ac:dyDescent="0.25">
      <c r="A3872" t="str">
        <f>"450411456"</f>
        <v>450411456</v>
      </c>
      <c r="B3872" t="str">
        <f t="shared" si="240"/>
        <v>89301000</v>
      </c>
      <c r="C3872" s="1">
        <v>44308</v>
      </c>
      <c r="D3872" s="1">
        <v>44329</v>
      </c>
      <c r="E3872">
        <v>4</v>
      </c>
      <c r="F3872" t="s">
        <v>2549</v>
      </c>
      <c r="G3872" t="str">
        <f>"10-I02-01"</f>
        <v>10-I02-01</v>
      </c>
      <c r="H3872">
        <v>3.7246999999999999</v>
      </c>
      <c r="I3872" t="s">
        <v>2759</v>
      </c>
      <c r="J3872" t="s">
        <v>14</v>
      </c>
      <c r="K3872" t="str">
        <f>"1F1"</f>
        <v>1F1</v>
      </c>
      <c r="L3872" t="s">
        <v>15</v>
      </c>
    </row>
    <row r="3873" spans="1:12" x14ac:dyDescent="0.25">
      <c r="A3873" t="str">
        <f>"450411456"</f>
        <v>450411456</v>
      </c>
      <c r="B3873" t="str">
        <f t="shared" si="240"/>
        <v>89301000</v>
      </c>
      <c r="C3873" s="1">
        <v>44258</v>
      </c>
      <c r="D3873" s="1">
        <v>44264</v>
      </c>
      <c r="E3873">
        <v>1</v>
      </c>
      <c r="F3873" t="s">
        <v>1548</v>
      </c>
      <c r="G3873" t="str">
        <f>"05-K07-05"</f>
        <v>05-K07-05</v>
      </c>
      <c r="H3873">
        <v>0.81410000000000005</v>
      </c>
      <c r="I3873" t="s">
        <v>2760</v>
      </c>
      <c r="J3873" t="s">
        <v>14</v>
      </c>
      <c r="K3873" t="str">
        <f>"1F9"</f>
        <v>1F9</v>
      </c>
      <c r="L3873" t="s">
        <v>15</v>
      </c>
    </row>
    <row r="3874" spans="1:12" x14ac:dyDescent="0.25">
      <c r="A3874" t="str">
        <f>"450420444"</f>
        <v>450420444</v>
      </c>
      <c r="B3874" t="str">
        <f t="shared" si="240"/>
        <v>89301000</v>
      </c>
      <c r="C3874" s="1">
        <v>44234</v>
      </c>
      <c r="D3874" s="1">
        <v>44245</v>
      </c>
      <c r="E3874">
        <v>8</v>
      </c>
      <c r="F3874" t="s">
        <v>962</v>
      </c>
      <c r="G3874" t="str">
        <f>"04-M01-06"</f>
        <v>04-M01-06</v>
      </c>
      <c r="H3874">
        <v>3.5308999999999999</v>
      </c>
      <c r="I3874" t="s">
        <v>2761</v>
      </c>
      <c r="J3874" t="s">
        <v>14</v>
      </c>
      <c r="K3874" t="str">
        <f>"7T8"</f>
        <v>7T8</v>
      </c>
      <c r="L3874" t="s">
        <v>15</v>
      </c>
    </row>
    <row r="3875" spans="1:12" x14ac:dyDescent="0.25">
      <c r="A3875" t="str">
        <f>"450420444"</f>
        <v>450420444</v>
      </c>
      <c r="B3875" t="str">
        <f t="shared" si="240"/>
        <v>89301000</v>
      </c>
      <c r="C3875" s="1">
        <v>44212</v>
      </c>
      <c r="D3875" s="1">
        <v>44215</v>
      </c>
      <c r="E3875">
        <v>1</v>
      </c>
      <c r="F3875" t="s">
        <v>354</v>
      </c>
      <c r="G3875" t="str">
        <f>"10-K14-02"</f>
        <v>10-K14-02</v>
      </c>
      <c r="H3875">
        <v>0.70440000000000003</v>
      </c>
      <c r="I3875" t="s">
        <v>2762</v>
      </c>
      <c r="J3875" t="s">
        <v>14</v>
      </c>
      <c r="K3875" t="str">
        <f>"1F1"</f>
        <v>1F1</v>
      </c>
      <c r="L3875" t="s">
        <v>15</v>
      </c>
    </row>
    <row r="3876" spans="1:12" x14ac:dyDescent="0.25">
      <c r="A3876" t="str">
        <f>"450421412"</f>
        <v>450421412</v>
      </c>
      <c r="B3876" t="str">
        <f t="shared" si="240"/>
        <v>89301000</v>
      </c>
      <c r="C3876" s="1">
        <v>44425</v>
      </c>
      <c r="D3876" s="1">
        <v>44431</v>
      </c>
      <c r="E3876">
        <v>1</v>
      </c>
      <c r="F3876" t="s">
        <v>2696</v>
      </c>
      <c r="G3876" t="str">
        <f>"01-K09-02"</f>
        <v>01-K09-02</v>
      </c>
      <c r="H3876">
        <v>0.71889999999999998</v>
      </c>
      <c r="I3876" t="s">
        <v>2763</v>
      </c>
      <c r="J3876" t="s">
        <v>14</v>
      </c>
      <c r="K3876" t="str">
        <f>"2F9"</f>
        <v>2F9</v>
      </c>
      <c r="L3876" t="s">
        <v>15</v>
      </c>
    </row>
    <row r="3877" spans="1:12" x14ac:dyDescent="0.25">
      <c r="A3877" t="str">
        <f>"450421480"</f>
        <v>450421480</v>
      </c>
      <c r="B3877" t="str">
        <f t="shared" si="240"/>
        <v>89301000</v>
      </c>
      <c r="C3877" s="1">
        <v>44215</v>
      </c>
      <c r="D3877" s="1">
        <v>44221</v>
      </c>
      <c r="E3877">
        <v>1</v>
      </c>
      <c r="F3877" t="s">
        <v>2232</v>
      </c>
      <c r="G3877" t="str">
        <f>"11-K07-02"</f>
        <v>11-K07-02</v>
      </c>
      <c r="H3877">
        <v>0.4869</v>
      </c>
      <c r="I3877" t="s">
        <v>1878</v>
      </c>
      <c r="J3877" t="s">
        <v>14</v>
      </c>
      <c r="K3877" t="str">
        <f>"4F2"</f>
        <v>4F2</v>
      </c>
      <c r="L3877" t="s">
        <v>15</v>
      </c>
    </row>
    <row r="3878" spans="1:12" x14ac:dyDescent="0.25">
      <c r="A3878" t="str">
        <f>"450421480"</f>
        <v>450421480</v>
      </c>
      <c r="B3878" t="str">
        <f t="shared" si="240"/>
        <v>89301000</v>
      </c>
      <c r="C3878" s="1">
        <v>44318</v>
      </c>
      <c r="D3878" s="1">
        <v>44321</v>
      </c>
      <c r="E3878">
        <v>1</v>
      </c>
      <c r="F3878" t="s">
        <v>311</v>
      </c>
      <c r="G3878" t="str">
        <f>"03-I14-02"</f>
        <v>03-I14-02</v>
      </c>
      <c r="H3878">
        <v>1.1086</v>
      </c>
      <c r="I3878" t="s">
        <v>2764</v>
      </c>
      <c r="J3878" t="s">
        <v>14</v>
      </c>
      <c r="K3878" t="str">
        <f>"7F1"</f>
        <v>7F1</v>
      </c>
      <c r="L3878" t="s">
        <v>15</v>
      </c>
    </row>
    <row r="3879" spans="1:12" x14ac:dyDescent="0.25">
      <c r="A3879" t="str">
        <f>"450501410"</f>
        <v>450501410</v>
      </c>
      <c r="B3879" t="str">
        <f t="shared" si="240"/>
        <v>89301000</v>
      </c>
      <c r="C3879" s="1">
        <v>44180</v>
      </c>
      <c r="D3879" s="1">
        <v>44201</v>
      </c>
      <c r="E3879">
        <v>4</v>
      </c>
      <c r="F3879" t="s">
        <v>316</v>
      </c>
      <c r="G3879" t="str">
        <f>"01-K16-01"</f>
        <v>01-K16-01</v>
      </c>
      <c r="H3879">
        <v>2.3702000000000001</v>
      </c>
      <c r="I3879" t="s">
        <v>2765</v>
      </c>
      <c r="J3879" t="s">
        <v>14</v>
      </c>
      <c r="K3879" t="str">
        <f>"2F5"</f>
        <v>2F5</v>
      </c>
      <c r="L3879" t="s">
        <v>15</v>
      </c>
    </row>
    <row r="3880" spans="1:12" x14ac:dyDescent="0.25">
      <c r="A3880" t="str">
        <f>"450508412"</f>
        <v>450508412</v>
      </c>
      <c r="B3880" t="str">
        <f t="shared" si="240"/>
        <v>89301000</v>
      </c>
      <c r="C3880" s="1">
        <v>44319</v>
      </c>
      <c r="D3880" s="1">
        <v>44321</v>
      </c>
      <c r="E3880">
        <v>1</v>
      </c>
      <c r="F3880" t="s">
        <v>2766</v>
      </c>
      <c r="G3880" t="str">
        <f>"08-I15-02"</f>
        <v>08-I15-02</v>
      </c>
      <c r="H3880">
        <v>1.7266999999999999</v>
      </c>
      <c r="I3880" t="s">
        <v>21</v>
      </c>
      <c r="J3880" t="s">
        <v>17</v>
      </c>
      <c r="K3880" t="str">
        <f>"5F3"</f>
        <v>5F3</v>
      </c>
      <c r="L3880" t="s">
        <v>15</v>
      </c>
    </row>
    <row r="3881" spans="1:12" x14ac:dyDescent="0.25">
      <c r="A3881" t="str">
        <f>"450520083"</f>
        <v>450520083</v>
      </c>
      <c r="B3881" t="str">
        <f t="shared" si="240"/>
        <v>89301000</v>
      </c>
      <c r="C3881" s="1">
        <v>44310</v>
      </c>
      <c r="D3881" s="1">
        <v>44313</v>
      </c>
      <c r="E3881">
        <v>1</v>
      </c>
      <c r="F3881" t="s">
        <v>863</v>
      </c>
      <c r="G3881" t="str">
        <f>"09-I13-04"</f>
        <v>09-I13-04</v>
      </c>
      <c r="H3881">
        <v>0.57730000000000004</v>
      </c>
      <c r="I3881" t="s">
        <v>2767</v>
      </c>
      <c r="J3881" t="s">
        <v>14</v>
      </c>
      <c r="K3881" t="str">
        <f>"6F5"</f>
        <v>6F5</v>
      </c>
      <c r="L3881" t="s">
        <v>15</v>
      </c>
    </row>
    <row r="3882" spans="1:12" x14ac:dyDescent="0.25">
      <c r="A3882" t="str">
        <f>"450526429"</f>
        <v>450526429</v>
      </c>
      <c r="B3882" t="str">
        <f t="shared" si="240"/>
        <v>89301000</v>
      </c>
      <c r="C3882" s="1">
        <v>44454</v>
      </c>
      <c r="D3882" s="1">
        <v>44462</v>
      </c>
      <c r="E3882">
        <v>4</v>
      </c>
      <c r="F3882" t="s">
        <v>2407</v>
      </c>
      <c r="G3882" t="str">
        <f>"08-I06-04"</f>
        <v>08-I06-04</v>
      </c>
      <c r="H3882">
        <v>2.4260000000000002</v>
      </c>
      <c r="I3882" t="s">
        <v>1959</v>
      </c>
      <c r="J3882" t="s">
        <v>24</v>
      </c>
      <c r="K3882" t="str">
        <f>"6F6"</f>
        <v>6F6</v>
      </c>
      <c r="L3882" t="s">
        <v>15</v>
      </c>
    </row>
    <row r="3883" spans="1:12" x14ac:dyDescent="0.25">
      <c r="A3883" t="str">
        <f>"450528100"</f>
        <v>450528100</v>
      </c>
      <c r="B3883" t="str">
        <f t="shared" si="240"/>
        <v>89301000</v>
      </c>
      <c r="C3883" s="1">
        <v>44372</v>
      </c>
      <c r="D3883" s="1">
        <v>44374</v>
      </c>
      <c r="E3883">
        <v>1</v>
      </c>
      <c r="F3883" t="s">
        <v>320</v>
      </c>
      <c r="G3883" t="str">
        <f>"03-I23-00"</f>
        <v>03-I23-00</v>
      </c>
      <c r="H3883">
        <v>0.47639999999999999</v>
      </c>
      <c r="I3883" t="s">
        <v>2768</v>
      </c>
      <c r="J3883" t="s">
        <v>14</v>
      </c>
      <c r="K3883" t="str">
        <f>"6F5"</f>
        <v>6F5</v>
      </c>
      <c r="L3883" t="s">
        <v>15</v>
      </c>
    </row>
    <row r="3884" spans="1:12" x14ac:dyDescent="0.25">
      <c r="A3884" t="str">
        <f>"450604427"</f>
        <v>450604427</v>
      </c>
      <c r="B3884" t="str">
        <f t="shared" si="240"/>
        <v>89301000</v>
      </c>
      <c r="C3884" s="1">
        <v>44375</v>
      </c>
      <c r="D3884" s="1">
        <v>44377</v>
      </c>
      <c r="E3884">
        <v>1</v>
      </c>
      <c r="F3884" t="s">
        <v>2360</v>
      </c>
      <c r="G3884" t="str">
        <f>"06-M01-02"</f>
        <v>06-M01-02</v>
      </c>
      <c r="H3884">
        <v>1.3613</v>
      </c>
      <c r="I3884" t="s">
        <v>2769</v>
      </c>
      <c r="J3884" t="s">
        <v>14</v>
      </c>
      <c r="K3884" t="str">
        <f>"1F5"</f>
        <v>1F5</v>
      </c>
      <c r="L3884" t="s">
        <v>15</v>
      </c>
    </row>
    <row r="3885" spans="1:12" x14ac:dyDescent="0.25">
      <c r="A3885" t="str">
        <f>"450610047"</f>
        <v>450610047</v>
      </c>
      <c r="B3885" t="str">
        <f t="shared" si="240"/>
        <v>89301000</v>
      </c>
      <c r="C3885" s="1">
        <v>44216</v>
      </c>
      <c r="D3885" s="1">
        <v>44225</v>
      </c>
      <c r="E3885">
        <v>1</v>
      </c>
      <c r="F3885" t="s">
        <v>217</v>
      </c>
      <c r="G3885" t="str">
        <f>"04-K02-04"</f>
        <v>04-K02-04</v>
      </c>
      <c r="H3885">
        <v>0.82469999999999999</v>
      </c>
      <c r="I3885" t="s">
        <v>2770</v>
      </c>
      <c r="J3885" t="s">
        <v>14</v>
      </c>
      <c r="K3885" t="str">
        <f>"5F1"</f>
        <v>5F1</v>
      </c>
      <c r="L3885" t="s">
        <v>15</v>
      </c>
    </row>
    <row r="3886" spans="1:12" x14ac:dyDescent="0.25">
      <c r="A3886" t="str">
        <f>"450630139"</f>
        <v>450630139</v>
      </c>
      <c r="B3886" t="str">
        <f t="shared" si="240"/>
        <v>89301000</v>
      </c>
      <c r="C3886" s="1">
        <v>44307</v>
      </c>
      <c r="D3886" s="1">
        <v>44307</v>
      </c>
      <c r="E3886">
        <v>1</v>
      </c>
      <c r="F3886" t="s">
        <v>1557</v>
      </c>
      <c r="G3886" t="str">
        <f>"05-M06-03"</f>
        <v>05-M06-03</v>
      </c>
      <c r="H3886">
        <v>2.2595999999999998</v>
      </c>
      <c r="I3886" t="s">
        <v>2428</v>
      </c>
      <c r="J3886" t="s">
        <v>17</v>
      </c>
      <c r="K3886" t="str">
        <f>"1F1"</f>
        <v>1F1</v>
      </c>
      <c r="L3886" t="s">
        <v>15</v>
      </c>
    </row>
    <row r="3887" spans="1:12" x14ac:dyDescent="0.25">
      <c r="A3887" t="str">
        <f>"450630139"</f>
        <v>450630139</v>
      </c>
      <c r="B3887" t="str">
        <f t="shared" si="240"/>
        <v>89301000</v>
      </c>
      <c r="C3887" s="1">
        <v>44285</v>
      </c>
      <c r="D3887" s="1">
        <v>44285</v>
      </c>
      <c r="E3887">
        <v>1</v>
      </c>
      <c r="F3887" t="s">
        <v>1842</v>
      </c>
      <c r="G3887" t="str">
        <f>"05-I14-02"</f>
        <v>05-I14-02</v>
      </c>
      <c r="H3887">
        <v>5.6119000000000003</v>
      </c>
      <c r="I3887" t="s">
        <v>2771</v>
      </c>
      <c r="J3887" t="s">
        <v>14</v>
      </c>
      <c r="K3887" t="str">
        <f>"1F1"</f>
        <v>1F1</v>
      </c>
      <c r="L3887" t="s">
        <v>15</v>
      </c>
    </row>
    <row r="3888" spans="1:12" x14ac:dyDescent="0.25">
      <c r="A3888" t="str">
        <f>"450630432"</f>
        <v>450630432</v>
      </c>
      <c r="B3888" t="str">
        <f t="shared" si="240"/>
        <v>89301000</v>
      </c>
      <c r="C3888" s="1">
        <v>44285</v>
      </c>
      <c r="D3888" s="1">
        <v>44312</v>
      </c>
      <c r="E3888">
        <v>1</v>
      </c>
      <c r="F3888" t="s">
        <v>479</v>
      </c>
      <c r="G3888" t="str">
        <f>"18-I01-02"</f>
        <v>18-I01-02</v>
      </c>
      <c r="H3888">
        <v>3.4746999999999999</v>
      </c>
      <c r="I3888" t="s">
        <v>2772</v>
      </c>
      <c r="J3888" t="s">
        <v>14</v>
      </c>
      <c r="K3888" t="str">
        <f>"1F1"</f>
        <v>1F1</v>
      </c>
      <c r="L3888" t="s">
        <v>15</v>
      </c>
    </row>
    <row r="3889" spans="1:12" x14ac:dyDescent="0.25">
      <c r="A3889" t="str">
        <f>"450707447"</f>
        <v>450707447</v>
      </c>
      <c r="B3889" t="str">
        <f t="shared" si="240"/>
        <v>89301000</v>
      </c>
      <c r="C3889" s="1">
        <v>44280</v>
      </c>
      <c r="D3889" s="1">
        <v>44280</v>
      </c>
      <c r="E3889">
        <v>1</v>
      </c>
      <c r="F3889" t="s">
        <v>1557</v>
      </c>
      <c r="G3889" t="str">
        <f>"05-M06-08"</f>
        <v>05-M06-08</v>
      </c>
      <c r="H3889">
        <v>1.1200000000000001</v>
      </c>
      <c r="I3889" t="s">
        <v>2773</v>
      </c>
      <c r="J3889" t="s">
        <v>17</v>
      </c>
      <c r="K3889" t="str">
        <f>"1F1"</f>
        <v>1F1</v>
      </c>
      <c r="L3889" t="s">
        <v>15</v>
      </c>
    </row>
    <row r="3890" spans="1:12" x14ac:dyDescent="0.25">
      <c r="A3890" t="str">
        <f>"450707447"</f>
        <v>450707447</v>
      </c>
      <c r="B3890" t="str">
        <f t="shared" si="240"/>
        <v>89301000</v>
      </c>
      <c r="C3890" s="1">
        <v>44366</v>
      </c>
      <c r="D3890" s="1">
        <v>44366</v>
      </c>
      <c r="E3890">
        <v>6</v>
      </c>
      <c r="F3890" t="s">
        <v>316</v>
      </c>
      <c r="G3890" t="str">
        <f>"01-K16-02"</f>
        <v>01-K16-02</v>
      </c>
      <c r="H3890">
        <v>0.36549999999999999</v>
      </c>
      <c r="I3890" t="s">
        <v>2774</v>
      </c>
      <c r="J3890" t="s">
        <v>14</v>
      </c>
      <c r="K3890" t="str">
        <f>"5F6"</f>
        <v>5F6</v>
      </c>
      <c r="L3890" t="s">
        <v>15</v>
      </c>
    </row>
    <row r="3891" spans="1:12" x14ac:dyDescent="0.25">
      <c r="A3891" t="str">
        <f>"450712405"</f>
        <v>450712405</v>
      </c>
      <c r="B3891" t="str">
        <f t="shared" si="240"/>
        <v>89301000</v>
      </c>
      <c r="C3891" s="1">
        <v>44488</v>
      </c>
      <c r="D3891" s="1">
        <v>44490</v>
      </c>
      <c r="E3891">
        <v>1</v>
      </c>
      <c r="F3891" t="s">
        <v>2585</v>
      </c>
      <c r="G3891" t="str">
        <f>"12-K05-01"</f>
        <v>12-K05-01</v>
      </c>
      <c r="H3891">
        <v>0.95450000000000002</v>
      </c>
      <c r="I3891" t="s">
        <v>2775</v>
      </c>
      <c r="J3891" t="s">
        <v>14</v>
      </c>
      <c r="K3891" t="str">
        <f>"7F6"</f>
        <v>7F6</v>
      </c>
      <c r="L3891" t="s">
        <v>15</v>
      </c>
    </row>
    <row r="3892" spans="1:12" x14ac:dyDescent="0.25">
      <c r="A3892" t="str">
        <f>"450716401"</f>
        <v>450716401</v>
      </c>
      <c r="B3892" t="str">
        <f t="shared" si="240"/>
        <v>89301000</v>
      </c>
      <c r="C3892" s="1">
        <v>44399</v>
      </c>
      <c r="D3892" s="1">
        <v>44400</v>
      </c>
      <c r="E3892">
        <v>1</v>
      </c>
      <c r="F3892" t="s">
        <v>1814</v>
      </c>
      <c r="G3892" t="str">
        <f>"05-D01-08"</f>
        <v>05-D01-08</v>
      </c>
      <c r="H3892">
        <v>0.4093</v>
      </c>
      <c r="I3892" t="s">
        <v>2776</v>
      </c>
      <c r="J3892" t="s">
        <v>14</v>
      </c>
      <c r="K3892" t="str">
        <f>"1F1"</f>
        <v>1F1</v>
      </c>
      <c r="L3892" t="s">
        <v>15</v>
      </c>
    </row>
    <row r="3893" spans="1:12" x14ac:dyDescent="0.25">
      <c r="A3893" t="str">
        <f>"450721438"</f>
        <v>450721438</v>
      </c>
      <c r="B3893" t="str">
        <f t="shared" si="240"/>
        <v>89301000</v>
      </c>
      <c r="C3893" s="1">
        <v>44241</v>
      </c>
      <c r="D3893" s="1">
        <v>44248</v>
      </c>
      <c r="E3893">
        <v>1</v>
      </c>
      <c r="F3893" t="s">
        <v>2232</v>
      </c>
      <c r="G3893" t="str">
        <f>"11-I08-03"</f>
        <v>11-I08-03</v>
      </c>
      <c r="H3893">
        <v>2.0676999999999999</v>
      </c>
      <c r="I3893" t="s">
        <v>168</v>
      </c>
      <c r="J3893" t="s">
        <v>17</v>
      </c>
      <c r="K3893" t="str">
        <f>"7F6"</f>
        <v>7F6</v>
      </c>
      <c r="L3893" t="s">
        <v>15</v>
      </c>
    </row>
    <row r="3894" spans="1:12" x14ac:dyDescent="0.25">
      <c r="A3894" t="str">
        <f>"450802403"</f>
        <v>450802403</v>
      </c>
      <c r="B3894" t="str">
        <f t="shared" si="240"/>
        <v>89301000</v>
      </c>
      <c r="C3894" s="1">
        <v>44306</v>
      </c>
      <c r="D3894" s="1">
        <v>44307</v>
      </c>
      <c r="E3894">
        <v>1</v>
      </c>
      <c r="F3894" t="s">
        <v>1928</v>
      </c>
      <c r="G3894" t="str">
        <f>"11-M02-07"</f>
        <v>11-M02-07</v>
      </c>
      <c r="H3894">
        <v>0.53769999999999996</v>
      </c>
      <c r="I3894" t="s">
        <v>1556</v>
      </c>
      <c r="J3894" t="s">
        <v>14</v>
      </c>
      <c r="K3894" t="str">
        <f>"5F1"</f>
        <v>5F1</v>
      </c>
      <c r="L3894" t="s">
        <v>15</v>
      </c>
    </row>
    <row r="3895" spans="1:12" x14ac:dyDescent="0.25">
      <c r="A3895" t="str">
        <f>"450802403"</f>
        <v>450802403</v>
      </c>
      <c r="B3895" t="str">
        <f t="shared" si="240"/>
        <v>89301000</v>
      </c>
      <c r="C3895" s="1">
        <v>44397</v>
      </c>
      <c r="D3895" s="1">
        <v>44399</v>
      </c>
      <c r="E3895">
        <v>1</v>
      </c>
      <c r="F3895" t="s">
        <v>1928</v>
      </c>
      <c r="G3895" t="str">
        <f>"11-I16-02"</f>
        <v>11-I16-02</v>
      </c>
      <c r="H3895">
        <v>0.49480000000000002</v>
      </c>
      <c r="J3895" t="s">
        <v>14</v>
      </c>
      <c r="K3895" t="str">
        <f>"5F1"</f>
        <v>5F1</v>
      </c>
      <c r="L3895" t="s">
        <v>15</v>
      </c>
    </row>
    <row r="3896" spans="1:12" x14ac:dyDescent="0.25">
      <c r="A3896" t="str">
        <f>"450802403"</f>
        <v>450802403</v>
      </c>
      <c r="B3896" t="str">
        <f t="shared" si="240"/>
        <v>89301000</v>
      </c>
      <c r="C3896" s="1">
        <v>44278</v>
      </c>
      <c r="D3896" s="1">
        <v>44281</v>
      </c>
      <c r="E3896">
        <v>1</v>
      </c>
      <c r="F3896" t="s">
        <v>1928</v>
      </c>
      <c r="G3896" t="str">
        <f>"11-K03-02"</f>
        <v>11-K03-02</v>
      </c>
      <c r="H3896">
        <v>0.65259999999999996</v>
      </c>
      <c r="I3896" t="s">
        <v>2236</v>
      </c>
      <c r="J3896" t="s">
        <v>14</v>
      </c>
      <c r="K3896" t="str">
        <f>"5F1"</f>
        <v>5F1</v>
      </c>
      <c r="L3896" t="s">
        <v>15</v>
      </c>
    </row>
    <row r="3897" spans="1:12" x14ac:dyDescent="0.25">
      <c r="A3897" t="str">
        <f>"450802403"</f>
        <v>450802403</v>
      </c>
      <c r="B3897" t="str">
        <f t="shared" si="240"/>
        <v>89301000</v>
      </c>
      <c r="C3897" s="1">
        <v>44385</v>
      </c>
      <c r="D3897" s="1">
        <v>44393</v>
      </c>
      <c r="E3897">
        <v>1</v>
      </c>
      <c r="F3897" t="s">
        <v>479</v>
      </c>
      <c r="G3897" t="str">
        <f>"18-K01-05"</f>
        <v>18-K01-05</v>
      </c>
      <c r="H3897">
        <v>1.6713</v>
      </c>
      <c r="I3897" t="s">
        <v>2777</v>
      </c>
      <c r="J3897" t="s">
        <v>14</v>
      </c>
      <c r="K3897" t="str">
        <f>"1F1"</f>
        <v>1F1</v>
      </c>
      <c r="L3897" t="s">
        <v>15</v>
      </c>
    </row>
    <row r="3898" spans="1:12" x14ac:dyDescent="0.25">
      <c r="A3898" t="str">
        <f>"450809420"</f>
        <v>450809420</v>
      </c>
      <c r="B3898" t="str">
        <f t="shared" si="240"/>
        <v>89301000</v>
      </c>
      <c r="C3898" s="1">
        <v>44479</v>
      </c>
      <c r="D3898" s="1">
        <v>44481</v>
      </c>
      <c r="E3898">
        <v>1</v>
      </c>
      <c r="F3898" t="s">
        <v>1545</v>
      </c>
      <c r="G3898" t="str">
        <f>"05-I14-03"</f>
        <v>05-I14-03</v>
      </c>
      <c r="H3898">
        <v>6.1292</v>
      </c>
      <c r="I3898" t="s">
        <v>2778</v>
      </c>
      <c r="J3898" t="s">
        <v>14</v>
      </c>
      <c r="K3898" t="str">
        <f>"1F1"</f>
        <v>1F1</v>
      </c>
      <c r="L3898" t="s">
        <v>15</v>
      </c>
    </row>
    <row r="3899" spans="1:12" x14ac:dyDescent="0.25">
      <c r="A3899" t="str">
        <f>"450820442"</f>
        <v>450820442</v>
      </c>
      <c r="B3899" t="str">
        <f t="shared" si="240"/>
        <v>89301000</v>
      </c>
      <c r="C3899" s="1">
        <v>44416</v>
      </c>
      <c r="D3899" s="1">
        <v>44421</v>
      </c>
      <c r="E3899">
        <v>1</v>
      </c>
      <c r="F3899" t="s">
        <v>23</v>
      </c>
      <c r="G3899" t="str">
        <f>"06-I18-04"</f>
        <v>06-I18-04</v>
      </c>
      <c r="H3899">
        <v>1.1514</v>
      </c>
      <c r="I3899" t="s">
        <v>489</v>
      </c>
      <c r="J3899" t="s">
        <v>24</v>
      </c>
      <c r="K3899" t="str">
        <f>"5F1"</f>
        <v>5F1</v>
      </c>
      <c r="L3899" t="s">
        <v>15</v>
      </c>
    </row>
    <row r="3900" spans="1:12" x14ac:dyDescent="0.25">
      <c r="A3900" t="str">
        <f>"450908005"</f>
        <v>450908005</v>
      </c>
      <c r="B3900" t="str">
        <f t="shared" si="240"/>
        <v>89301000</v>
      </c>
      <c r="C3900" s="1">
        <v>44273</v>
      </c>
      <c r="D3900" s="1">
        <v>44274</v>
      </c>
      <c r="E3900">
        <v>1</v>
      </c>
      <c r="F3900" t="s">
        <v>1557</v>
      </c>
      <c r="G3900" t="str">
        <f>"05-M06-08"</f>
        <v>05-M06-08</v>
      </c>
      <c r="H3900">
        <v>1.4719</v>
      </c>
      <c r="J3900" t="s">
        <v>17</v>
      </c>
      <c r="K3900" t="str">
        <f>"1F7"</f>
        <v>1F7</v>
      </c>
      <c r="L3900" t="s">
        <v>15</v>
      </c>
    </row>
    <row r="3901" spans="1:12" x14ac:dyDescent="0.25">
      <c r="A3901" t="str">
        <f>"450914417"</f>
        <v>450914417</v>
      </c>
      <c r="B3901" t="str">
        <f t="shared" si="240"/>
        <v>89301000</v>
      </c>
      <c r="C3901" s="1">
        <v>44270</v>
      </c>
      <c r="D3901" s="1">
        <v>44280</v>
      </c>
      <c r="E3901">
        <v>1</v>
      </c>
      <c r="F3901" t="s">
        <v>2779</v>
      </c>
      <c r="G3901" t="str">
        <f>"06-K13-01"</f>
        <v>06-K13-01</v>
      </c>
      <c r="H3901">
        <v>1.0835999999999999</v>
      </c>
      <c r="I3901" t="s">
        <v>2780</v>
      </c>
      <c r="J3901" t="s">
        <v>14</v>
      </c>
      <c r="K3901" t="str">
        <f>"4F2"</f>
        <v>4F2</v>
      </c>
      <c r="L3901" t="s">
        <v>15</v>
      </c>
    </row>
    <row r="3902" spans="1:12" x14ac:dyDescent="0.25">
      <c r="A3902" t="str">
        <f>"450914417"</f>
        <v>450914417</v>
      </c>
      <c r="B3902" t="str">
        <f t="shared" si="240"/>
        <v>89301000</v>
      </c>
      <c r="C3902" s="1">
        <v>44253</v>
      </c>
      <c r="D3902" s="1">
        <v>44259</v>
      </c>
      <c r="E3902">
        <v>1</v>
      </c>
      <c r="F3902" t="s">
        <v>2779</v>
      </c>
      <c r="G3902" t="str">
        <f>"06-R01-08"</f>
        <v>06-R01-08</v>
      </c>
      <c r="H3902">
        <v>0.86509999999999998</v>
      </c>
      <c r="I3902" t="s">
        <v>2781</v>
      </c>
      <c r="J3902" t="s">
        <v>14</v>
      </c>
      <c r="K3902" t="str">
        <f>"4F2"</f>
        <v>4F2</v>
      </c>
      <c r="L3902" t="s">
        <v>15</v>
      </c>
    </row>
    <row r="3903" spans="1:12" x14ac:dyDescent="0.25">
      <c r="A3903" t="str">
        <f>"450914417"</f>
        <v>450914417</v>
      </c>
      <c r="B3903" t="str">
        <f t="shared" si="240"/>
        <v>89301000</v>
      </c>
      <c r="C3903" s="1">
        <v>44228</v>
      </c>
      <c r="D3903" s="1">
        <v>44234</v>
      </c>
      <c r="E3903">
        <v>1</v>
      </c>
      <c r="F3903" t="s">
        <v>2779</v>
      </c>
      <c r="G3903" t="str">
        <f>"06-R01-08"</f>
        <v>06-R01-08</v>
      </c>
      <c r="H3903">
        <v>0.86509999999999998</v>
      </c>
      <c r="I3903" t="s">
        <v>2781</v>
      </c>
      <c r="J3903" t="s">
        <v>14</v>
      </c>
      <c r="K3903" t="str">
        <f>"4F2"</f>
        <v>4F2</v>
      </c>
      <c r="L3903" t="s">
        <v>15</v>
      </c>
    </row>
    <row r="3904" spans="1:12" x14ac:dyDescent="0.25">
      <c r="A3904" t="str">
        <f>"450914417"</f>
        <v>450914417</v>
      </c>
      <c r="B3904" t="str">
        <f t="shared" si="240"/>
        <v>89301000</v>
      </c>
      <c r="C3904" s="1">
        <v>44370</v>
      </c>
      <c r="D3904" s="1">
        <v>44371</v>
      </c>
      <c r="E3904">
        <v>1</v>
      </c>
      <c r="F3904" t="s">
        <v>1780</v>
      </c>
      <c r="G3904" t="str">
        <f>"05-D01-06"</f>
        <v>05-D01-06</v>
      </c>
      <c r="H3904">
        <v>0.7611</v>
      </c>
      <c r="I3904" t="s">
        <v>1557</v>
      </c>
      <c r="J3904" t="s">
        <v>14</v>
      </c>
      <c r="K3904" t="str">
        <f>"1F1"</f>
        <v>1F1</v>
      </c>
      <c r="L3904" t="s">
        <v>15</v>
      </c>
    </row>
    <row r="3905" spans="1:12" x14ac:dyDescent="0.25">
      <c r="A3905" t="str">
        <f>"450921409"</f>
        <v>450921409</v>
      </c>
      <c r="B3905" t="str">
        <f t="shared" si="240"/>
        <v>89301000</v>
      </c>
      <c r="C3905" s="1">
        <v>44509</v>
      </c>
      <c r="D3905" s="1">
        <v>44539</v>
      </c>
      <c r="E3905">
        <v>4</v>
      </c>
      <c r="F3905" t="s">
        <v>217</v>
      </c>
      <c r="G3905" t="str">
        <f>"00-M01-04"</f>
        <v>00-M01-04</v>
      </c>
      <c r="H3905">
        <v>7.6984000000000004</v>
      </c>
      <c r="I3905" t="s">
        <v>2782</v>
      </c>
      <c r="J3905" t="s">
        <v>14</v>
      </c>
      <c r="K3905" t="str">
        <f>"2F5"</f>
        <v>2F5</v>
      </c>
      <c r="L3905" t="s">
        <v>15</v>
      </c>
    </row>
    <row r="3906" spans="1:12" x14ac:dyDescent="0.25">
      <c r="A3906" t="str">
        <f>"450929407"</f>
        <v>450929407</v>
      </c>
      <c r="B3906" t="str">
        <f t="shared" si="240"/>
        <v>89301000</v>
      </c>
      <c r="C3906" s="1">
        <v>44516</v>
      </c>
      <c r="D3906" s="1">
        <v>44521</v>
      </c>
      <c r="E3906">
        <v>7</v>
      </c>
      <c r="F3906" t="s">
        <v>217</v>
      </c>
      <c r="G3906" t="str">
        <f>"04-K02-02"</f>
        <v>04-K02-02</v>
      </c>
      <c r="H3906">
        <v>2.5186000000000002</v>
      </c>
      <c r="I3906" t="s">
        <v>2783</v>
      </c>
      <c r="J3906" t="s">
        <v>14</v>
      </c>
      <c r="K3906" t="str">
        <f>"5F1"</f>
        <v>5F1</v>
      </c>
      <c r="L3906" t="s">
        <v>15</v>
      </c>
    </row>
    <row r="3907" spans="1:12" x14ac:dyDescent="0.25">
      <c r="A3907" t="str">
        <f>"450929407"</f>
        <v>450929407</v>
      </c>
      <c r="B3907" t="str">
        <f t="shared" si="240"/>
        <v>89301000</v>
      </c>
      <c r="C3907" s="1">
        <v>44365</v>
      </c>
      <c r="D3907" s="1">
        <v>44386</v>
      </c>
      <c r="E3907">
        <v>1</v>
      </c>
      <c r="F3907" t="s">
        <v>1914</v>
      </c>
      <c r="G3907" t="str">
        <f>"04-R02-07"</f>
        <v>04-R02-07</v>
      </c>
      <c r="H3907">
        <v>1.7944</v>
      </c>
      <c r="I3907" t="s">
        <v>2784</v>
      </c>
      <c r="J3907" t="s">
        <v>14</v>
      </c>
      <c r="K3907" t="str">
        <f>"2F5"</f>
        <v>2F5</v>
      </c>
      <c r="L3907" t="s">
        <v>15</v>
      </c>
    </row>
    <row r="3908" spans="1:12" x14ac:dyDescent="0.25">
      <c r="A3908" t="str">
        <f>"450929407"</f>
        <v>450929407</v>
      </c>
      <c r="B3908" t="str">
        <f t="shared" si="240"/>
        <v>89301000</v>
      </c>
      <c r="C3908" s="1">
        <v>44413</v>
      </c>
      <c r="D3908" s="1">
        <v>44426</v>
      </c>
      <c r="E3908">
        <v>1</v>
      </c>
      <c r="F3908" t="s">
        <v>1914</v>
      </c>
      <c r="G3908" t="str">
        <f>"04-K09-02"</f>
        <v>04-K09-02</v>
      </c>
      <c r="H3908">
        <v>1.2861</v>
      </c>
      <c r="I3908" t="s">
        <v>2785</v>
      </c>
      <c r="J3908" t="s">
        <v>14</v>
      </c>
      <c r="K3908" t="str">
        <f>"2F5"</f>
        <v>2F5</v>
      </c>
      <c r="L3908" t="s">
        <v>15</v>
      </c>
    </row>
    <row r="3909" spans="1:12" x14ac:dyDescent="0.25">
      <c r="A3909" t="str">
        <f>"450929407"</f>
        <v>450929407</v>
      </c>
      <c r="B3909" t="str">
        <f t="shared" si="240"/>
        <v>89301000</v>
      </c>
      <c r="C3909" s="1">
        <v>44505</v>
      </c>
      <c r="D3909" s="1">
        <v>44512</v>
      </c>
      <c r="E3909">
        <v>1</v>
      </c>
      <c r="F3909" t="s">
        <v>979</v>
      </c>
      <c r="G3909" t="str">
        <f>"04-K02-03"</f>
        <v>04-K02-03</v>
      </c>
      <c r="H3909">
        <v>1.2859</v>
      </c>
      <c r="I3909" t="s">
        <v>2786</v>
      </c>
      <c r="J3909" t="s">
        <v>14</v>
      </c>
      <c r="K3909" t="str">
        <f>"2F5"</f>
        <v>2F5</v>
      </c>
      <c r="L3909" t="s">
        <v>15</v>
      </c>
    </row>
    <row r="3910" spans="1:12" x14ac:dyDescent="0.25">
      <c r="A3910" t="str">
        <f>"450930448"</f>
        <v>450930448</v>
      </c>
      <c r="B3910" t="str">
        <f t="shared" si="240"/>
        <v>89301000</v>
      </c>
      <c r="C3910" s="1">
        <v>44517</v>
      </c>
      <c r="D3910" s="1">
        <v>44533</v>
      </c>
      <c r="E3910">
        <v>4</v>
      </c>
      <c r="F3910" t="s">
        <v>1548</v>
      </c>
      <c r="G3910" t="str">
        <f>"05-K07-05"</f>
        <v>05-K07-05</v>
      </c>
      <c r="H3910">
        <v>0.87490000000000001</v>
      </c>
      <c r="I3910" t="s">
        <v>2787</v>
      </c>
      <c r="J3910" t="s">
        <v>14</v>
      </c>
      <c r="K3910" t="str">
        <f>"1F1"</f>
        <v>1F1</v>
      </c>
      <c r="L3910" t="s">
        <v>15</v>
      </c>
    </row>
    <row r="3911" spans="1:12" x14ac:dyDescent="0.25">
      <c r="A3911" t="str">
        <f>"451002432"</f>
        <v>451002432</v>
      </c>
      <c r="B3911" t="str">
        <f t="shared" si="240"/>
        <v>89301000</v>
      </c>
      <c r="C3911" s="1">
        <v>44434</v>
      </c>
      <c r="D3911" s="1">
        <v>44505</v>
      </c>
      <c r="E3911">
        <v>7</v>
      </c>
      <c r="F3911" t="s">
        <v>1631</v>
      </c>
      <c r="G3911" t="str">
        <f>"17-C05-01"</f>
        <v>17-C05-01</v>
      </c>
      <c r="H3911">
        <v>14.3833</v>
      </c>
      <c r="I3911" t="s">
        <v>2788</v>
      </c>
      <c r="J3911" t="s">
        <v>14</v>
      </c>
      <c r="K3911" t="str">
        <f>"2F2"</f>
        <v>2F2</v>
      </c>
      <c r="L3911" t="s">
        <v>15</v>
      </c>
    </row>
    <row r="3912" spans="1:12" x14ac:dyDescent="0.25">
      <c r="A3912" t="str">
        <f>"451008417"</f>
        <v>451008417</v>
      </c>
      <c r="B3912" t="str">
        <f t="shared" si="240"/>
        <v>89301000</v>
      </c>
      <c r="C3912" s="1">
        <v>44300</v>
      </c>
      <c r="D3912" s="1">
        <v>44306</v>
      </c>
      <c r="E3912">
        <v>4</v>
      </c>
      <c r="F3912" t="s">
        <v>609</v>
      </c>
      <c r="G3912" t="str">
        <f>"08-I16-02"</f>
        <v>08-I16-02</v>
      </c>
      <c r="H3912">
        <v>1.8051999999999999</v>
      </c>
      <c r="I3912" t="s">
        <v>2789</v>
      </c>
      <c r="J3912" t="s">
        <v>17</v>
      </c>
      <c r="K3912" t="str">
        <f>"5F3"</f>
        <v>5F3</v>
      </c>
      <c r="L3912" t="s">
        <v>15</v>
      </c>
    </row>
    <row r="3913" spans="1:12" x14ac:dyDescent="0.25">
      <c r="A3913" t="str">
        <f>"451010408"</f>
        <v>451010408</v>
      </c>
      <c r="B3913" t="str">
        <f t="shared" si="240"/>
        <v>89301000</v>
      </c>
      <c r="C3913" s="1">
        <v>44491</v>
      </c>
      <c r="D3913" s="1">
        <v>44491</v>
      </c>
      <c r="E3913">
        <v>1</v>
      </c>
      <c r="F3913" t="s">
        <v>1962</v>
      </c>
      <c r="G3913" t="str">
        <f>"04-K15-03"</f>
        <v>04-K15-03</v>
      </c>
      <c r="H3913">
        <v>0.25090000000000001</v>
      </c>
      <c r="J3913" t="s">
        <v>14</v>
      </c>
      <c r="K3913" t="str">
        <f>"1F7"</f>
        <v>1F7</v>
      </c>
      <c r="L3913" t="s">
        <v>15</v>
      </c>
    </row>
    <row r="3914" spans="1:12" x14ac:dyDescent="0.25">
      <c r="A3914" t="str">
        <f>"451015742"</f>
        <v>451015742</v>
      </c>
      <c r="B3914" t="str">
        <f t="shared" si="240"/>
        <v>89301000</v>
      </c>
      <c r="C3914" s="1">
        <v>44241</v>
      </c>
      <c r="D3914" s="1">
        <v>44245</v>
      </c>
      <c r="E3914">
        <v>4</v>
      </c>
      <c r="F3914" t="s">
        <v>1548</v>
      </c>
      <c r="G3914" t="str">
        <f>"05-K07-03"</f>
        <v>05-K07-03</v>
      </c>
      <c r="H3914">
        <v>1.7625999999999999</v>
      </c>
      <c r="I3914" t="s">
        <v>2790</v>
      </c>
      <c r="J3914" t="s">
        <v>14</v>
      </c>
      <c r="K3914" t="str">
        <f>"1F1"</f>
        <v>1F1</v>
      </c>
      <c r="L3914" t="s">
        <v>15</v>
      </c>
    </row>
    <row r="3915" spans="1:12" x14ac:dyDescent="0.25">
      <c r="A3915" t="str">
        <f>"451025432"</f>
        <v>451025432</v>
      </c>
      <c r="B3915" t="str">
        <f t="shared" si="240"/>
        <v>89301000</v>
      </c>
      <c r="C3915" s="1">
        <v>44440</v>
      </c>
      <c r="D3915" s="1">
        <v>44442</v>
      </c>
      <c r="E3915">
        <v>1</v>
      </c>
      <c r="F3915" t="s">
        <v>1991</v>
      </c>
      <c r="G3915" t="str">
        <f>"12-M02-02"</f>
        <v>12-M02-02</v>
      </c>
      <c r="H3915">
        <v>0.995</v>
      </c>
      <c r="I3915" t="s">
        <v>2791</v>
      </c>
      <c r="J3915" t="s">
        <v>24</v>
      </c>
      <c r="K3915" t="str">
        <f>"7F6"</f>
        <v>7F6</v>
      </c>
      <c r="L3915" t="s">
        <v>15</v>
      </c>
    </row>
    <row r="3916" spans="1:12" x14ac:dyDescent="0.25">
      <c r="A3916" t="str">
        <f>"451114402"</f>
        <v>451114402</v>
      </c>
      <c r="B3916" t="str">
        <f t="shared" si="240"/>
        <v>89301000</v>
      </c>
      <c r="C3916" s="1">
        <v>44300</v>
      </c>
      <c r="D3916" s="1">
        <v>44330</v>
      </c>
      <c r="E3916">
        <v>1</v>
      </c>
      <c r="F3916" t="s">
        <v>275</v>
      </c>
      <c r="G3916" t="str">
        <f>"00-M02-04"</f>
        <v>00-M02-04</v>
      </c>
      <c r="H3916">
        <v>12.071199999999999</v>
      </c>
      <c r="I3916" t="s">
        <v>2792</v>
      </c>
      <c r="J3916" t="s">
        <v>14</v>
      </c>
      <c r="K3916" t="str">
        <f>"2F5"</f>
        <v>2F5</v>
      </c>
      <c r="L3916" t="s">
        <v>15</v>
      </c>
    </row>
    <row r="3917" spans="1:12" x14ac:dyDescent="0.25">
      <c r="A3917" t="str">
        <f>"451122087"</f>
        <v>451122087</v>
      </c>
      <c r="B3917" t="str">
        <f t="shared" si="240"/>
        <v>89301000</v>
      </c>
      <c r="C3917" s="1">
        <v>44313</v>
      </c>
      <c r="D3917" s="1">
        <v>44323</v>
      </c>
      <c r="E3917">
        <v>1</v>
      </c>
      <c r="F3917" t="s">
        <v>109</v>
      </c>
      <c r="G3917" t="str">
        <f>"24-M06-01"</f>
        <v>24-M06-01</v>
      </c>
      <c r="H3917">
        <v>1.1548</v>
      </c>
      <c r="I3917" t="s">
        <v>2793</v>
      </c>
      <c r="J3917" t="s">
        <v>14</v>
      </c>
      <c r="K3917" t="str">
        <f>"2F1"</f>
        <v>2F1</v>
      </c>
      <c r="L3917" t="s">
        <v>15</v>
      </c>
    </row>
    <row r="3918" spans="1:12" x14ac:dyDescent="0.25">
      <c r="A3918" t="str">
        <f>"451122087"</f>
        <v>451122087</v>
      </c>
      <c r="B3918" t="str">
        <f t="shared" si="240"/>
        <v>89301000</v>
      </c>
      <c r="C3918" s="1">
        <v>44302</v>
      </c>
      <c r="D3918" s="1">
        <v>44313</v>
      </c>
      <c r="E3918">
        <v>3</v>
      </c>
      <c r="F3918" t="s">
        <v>2350</v>
      </c>
      <c r="G3918" t="str">
        <f>"01-I09-01"</f>
        <v>01-I09-01</v>
      </c>
      <c r="H3918">
        <v>2.2982</v>
      </c>
      <c r="I3918" t="s">
        <v>2794</v>
      </c>
      <c r="J3918" t="s">
        <v>17</v>
      </c>
      <c r="K3918" t="str">
        <f>"5F1"</f>
        <v>5F1</v>
      </c>
      <c r="L3918" t="s">
        <v>15</v>
      </c>
    </row>
    <row r="3919" spans="1:12" x14ac:dyDescent="0.25">
      <c r="A3919" t="str">
        <f>"451209425"</f>
        <v>451209425</v>
      </c>
      <c r="B3919" t="str">
        <f t="shared" si="240"/>
        <v>89301000</v>
      </c>
      <c r="C3919" s="1">
        <v>44419</v>
      </c>
      <c r="D3919" s="1">
        <v>44427</v>
      </c>
      <c r="E3919">
        <v>1</v>
      </c>
      <c r="F3919" t="s">
        <v>2270</v>
      </c>
      <c r="G3919" t="str">
        <f>"09-K03-02"</f>
        <v>09-K03-02</v>
      </c>
      <c r="H3919">
        <v>1.0156000000000001</v>
      </c>
      <c r="I3919" t="s">
        <v>2795</v>
      </c>
      <c r="J3919" t="s">
        <v>14</v>
      </c>
      <c r="K3919" t="str">
        <f>"4F4"</f>
        <v>4F4</v>
      </c>
      <c r="L3919" t="s">
        <v>15</v>
      </c>
    </row>
    <row r="3920" spans="1:12" x14ac:dyDescent="0.25">
      <c r="A3920" t="str">
        <f>"451209425"</f>
        <v>451209425</v>
      </c>
      <c r="B3920" t="str">
        <f t="shared" si="240"/>
        <v>89301000</v>
      </c>
      <c r="C3920" s="1">
        <v>44488</v>
      </c>
      <c r="D3920" s="1">
        <v>44504</v>
      </c>
      <c r="E3920">
        <v>4</v>
      </c>
      <c r="F3920" t="s">
        <v>1240</v>
      </c>
      <c r="G3920" t="str">
        <f>"11-K01-03"</f>
        <v>11-K01-03</v>
      </c>
      <c r="H3920">
        <v>0.88619999999999999</v>
      </c>
      <c r="I3920" t="s">
        <v>2796</v>
      </c>
      <c r="J3920" t="s">
        <v>14</v>
      </c>
      <c r="K3920" t="str">
        <f>"1F5"</f>
        <v>1F5</v>
      </c>
      <c r="L3920" t="s">
        <v>15</v>
      </c>
    </row>
    <row r="3921" spans="1:12" x14ac:dyDescent="0.25">
      <c r="A3921" t="str">
        <f>"451210457"</f>
        <v>451210457</v>
      </c>
      <c r="B3921" t="str">
        <f t="shared" si="240"/>
        <v>89301000</v>
      </c>
      <c r="C3921" s="1">
        <v>44283</v>
      </c>
      <c r="D3921" s="1">
        <v>44286</v>
      </c>
      <c r="E3921">
        <v>1</v>
      </c>
      <c r="F3921" t="s">
        <v>2752</v>
      </c>
      <c r="G3921" t="str">
        <f>"06-K14-02"</f>
        <v>06-K14-02</v>
      </c>
      <c r="H3921">
        <v>0.57279999999999998</v>
      </c>
      <c r="I3921" t="s">
        <v>2797</v>
      </c>
      <c r="J3921" t="s">
        <v>14</v>
      </c>
      <c r="K3921" t="str">
        <f>"4F2"</f>
        <v>4F2</v>
      </c>
      <c r="L3921" t="s">
        <v>15</v>
      </c>
    </row>
    <row r="3922" spans="1:12" x14ac:dyDescent="0.25">
      <c r="A3922" t="str">
        <f>"451213497"</f>
        <v>451213497</v>
      </c>
      <c r="B3922" t="str">
        <f t="shared" si="240"/>
        <v>89301000</v>
      </c>
      <c r="C3922" s="1">
        <v>44355</v>
      </c>
      <c r="D3922" s="1">
        <v>44363</v>
      </c>
      <c r="E3922">
        <v>1</v>
      </c>
      <c r="F3922" t="s">
        <v>1557</v>
      </c>
      <c r="G3922" t="str">
        <f>"05-I16-07"</f>
        <v>05-I16-07</v>
      </c>
      <c r="H3922">
        <v>4.2412000000000001</v>
      </c>
      <c r="I3922" t="s">
        <v>1606</v>
      </c>
      <c r="J3922" t="s">
        <v>17</v>
      </c>
      <c r="K3922" t="str">
        <f>"5F5"</f>
        <v>5F5</v>
      </c>
      <c r="L3922" t="s">
        <v>15</v>
      </c>
    </row>
    <row r="3923" spans="1:12" x14ac:dyDescent="0.25">
      <c r="A3923" t="str">
        <f>"451213497"</f>
        <v>451213497</v>
      </c>
      <c r="B3923" t="str">
        <f t="shared" si="240"/>
        <v>89301000</v>
      </c>
      <c r="C3923" s="1">
        <v>44277</v>
      </c>
      <c r="D3923" s="1">
        <v>44279</v>
      </c>
      <c r="E3923">
        <v>1</v>
      </c>
      <c r="F3923" t="s">
        <v>1683</v>
      </c>
      <c r="G3923" t="str">
        <f>"05-M06-06"</f>
        <v>05-M06-06</v>
      </c>
      <c r="H3923">
        <v>1.7652000000000001</v>
      </c>
      <c r="J3923" t="s">
        <v>17</v>
      </c>
      <c r="K3923" t="str">
        <f>"1F1"</f>
        <v>1F1</v>
      </c>
      <c r="L3923" t="s">
        <v>15</v>
      </c>
    </row>
    <row r="3924" spans="1:12" x14ac:dyDescent="0.25">
      <c r="A3924" t="str">
        <f>"451213497"</f>
        <v>451213497</v>
      </c>
      <c r="B3924" t="str">
        <f t="shared" si="240"/>
        <v>89301000</v>
      </c>
      <c r="C3924" s="1">
        <v>44316</v>
      </c>
      <c r="D3924" s="1">
        <v>44316</v>
      </c>
      <c r="E3924">
        <v>1</v>
      </c>
      <c r="F3924" t="s">
        <v>1557</v>
      </c>
      <c r="G3924" t="str">
        <f>"05-D01-08"</f>
        <v>05-D01-08</v>
      </c>
      <c r="H3924">
        <v>0.52769999999999995</v>
      </c>
      <c r="I3924" t="s">
        <v>2798</v>
      </c>
      <c r="J3924" t="s">
        <v>14</v>
      </c>
      <c r="K3924" t="str">
        <f>"1F1"</f>
        <v>1F1</v>
      </c>
      <c r="L3924" t="s">
        <v>15</v>
      </c>
    </row>
    <row r="3925" spans="1:12" x14ac:dyDescent="0.25">
      <c r="A3925" t="str">
        <f>"451228447"</f>
        <v>451228447</v>
      </c>
      <c r="B3925" t="str">
        <f t="shared" si="240"/>
        <v>89301000</v>
      </c>
      <c r="C3925" s="1">
        <v>44270</v>
      </c>
      <c r="D3925" s="1">
        <v>44271</v>
      </c>
      <c r="E3925">
        <v>1</v>
      </c>
      <c r="F3925" t="s">
        <v>1928</v>
      </c>
      <c r="G3925" t="str">
        <f>"11-I16-02"</f>
        <v>11-I16-02</v>
      </c>
      <c r="H3925">
        <v>0.49480000000000002</v>
      </c>
      <c r="I3925" t="s">
        <v>2799</v>
      </c>
      <c r="J3925" t="s">
        <v>14</v>
      </c>
      <c r="K3925" t="str">
        <f>"5F5"</f>
        <v>5F5</v>
      </c>
      <c r="L3925" t="s">
        <v>15</v>
      </c>
    </row>
    <row r="3926" spans="1:12" x14ac:dyDescent="0.25">
      <c r="A3926" t="str">
        <f>"455102412"</f>
        <v>455102412</v>
      </c>
      <c r="B3926" t="str">
        <f t="shared" ref="B3926:B3989" si="241">"89301000"</f>
        <v>89301000</v>
      </c>
      <c r="C3926" s="1">
        <v>44329</v>
      </c>
      <c r="D3926" s="1">
        <v>44333</v>
      </c>
      <c r="E3926">
        <v>1</v>
      </c>
      <c r="F3926" t="s">
        <v>550</v>
      </c>
      <c r="G3926" t="str">
        <f>"07-M02-04"</f>
        <v>07-M02-04</v>
      </c>
      <c r="H3926">
        <v>1.2673000000000001</v>
      </c>
      <c r="I3926" t="s">
        <v>2800</v>
      </c>
      <c r="J3926" t="s">
        <v>17</v>
      </c>
      <c r="K3926" t="str">
        <f>"1F5"</f>
        <v>1F5</v>
      </c>
      <c r="L3926" t="s">
        <v>15</v>
      </c>
    </row>
    <row r="3927" spans="1:12" x14ac:dyDescent="0.25">
      <c r="A3927" t="str">
        <f>"455102721"</f>
        <v>455102721</v>
      </c>
      <c r="B3927" t="str">
        <f t="shared" si="241"/>
        <v>89301000</v>
      </c>
      <c r="C3927" s="1">
        <v>44377</v>
      </c>
      <c r="D3927" s="1">
        <v>44379</v>
      </c>
      <c r="E3927">
        <v>1</v>
      </c>
      <c r="F3927" t="s">
        <v>1606</v>
      </c>
      <c r="G3927" t="str">
        <f>"05-M05-02"</f>
        <v>05-M05-02</v>
      </c>
      <c r="H3927">
        <v>3.516</v>
      </c>
      <c r="I3927" t="s">
        <v>2801</v>
      </c>
      <c r="J3927" t="s">
        <v>24</v>
      </c>
      <c r="K3927" t="str">
        <f>"1F7"</f>
        <v>1F7</v>
      </c>
      <c r="L3927" t="s">
        <v>15</v>
      </c>
    </row>
    <row r="3928" spans="1:12" x14ac:dyDescent="0.25">
      <c r="A3928" t="str">
        <f>"455106444"</f>
        <v>455106444</v>
      </c>
      <c r="B3928" t="str">
        <f t="shared" si="241"/>
        <v>89301000</v>
      </c>
      <c r="C3928" s="1">
        <v>44517</v>
      </c>
      <c r="D3928" s="1">
        <v>44524</v>
      </c>
      <c r="E3928">
        <v>4</v>
      </c>
      <c r="F3928" t="s">
        <v>1615</v>
      </c>
      <c r="G3928" t="str">
        <f>"08-I13-05"</f>
        <v>08-I13-05</v>
      </c>
      <c r="H3928">
        <v>2.1778</v>
      </c>
      <c r="I3928" t="s">
        <v>2802</v>
      </c>
      <c r="J3928" t="s">
        <v>17</v>
      </c>
      <c r="K3928" t="str">
        <f>"5F3"</f>
        <v>5F3</v>
      </c>
      <c r="L3928" t="s">
        <v>15</v>
      </c>
    </row>
    <row r="3929" spans="1:12" x14ac:dyDescent="0.25">
      <c r="A3929" t="str">
        <f>"455111448"</f>
        <v>455111448</v>
      </c>
      <c r="B3929" t="str">
        <f t="shared" si="241"/>
        <v>89301000</v>
      </c>
      <c r="C3929" s="1">
        <v>44328</v>
      </c>
      <c r="D3929" s="1">
        <v>44331</v>
      </c>
      <c r="E3929">
        <v>1</v>
      </c>
      <c r="F3929" t="s">
        <v>1548</v>
      </c>
      <c r="G3929" t="str">
        <f>"05-I14-02"</f>
        <v>05-I14-02</v>
      </c>
      <c r="H3929">
        <v>6.3216999999999999</v>
      </c>
      <c r="J3929" t="s">
        <v>14</v>
      </c>
      <c r="K3929" t="str">
        <f>"1F1"</f>
        <v>1F1</v>
      </c>
      <c r="L3929" t="s">
        <v>15</v>
      </c>
    </row>
    <row r="3930" spans="1:12" x14ac:dyDescent="0.25">
      <c r="A3930" t="str">
        <f>"455113410"</f>
        <v>455113410</v>
      </c>
      <c r="B3930" t="str">
        <f t="shared" si="241"/>
        <v>89301000</v>
      </c>
      <c r="C3930" s="1">
        <v>44550</v>
      </c>
      <c r="D3930" s="1">
        <v>44560</v>
      </c>
      <c r="E3930">
        <v>4</v>
      </c>
      <c r="F3930" t="s">
        <v>1643</v>
      </c>
      <c r="G3930" t="str">
        <f>"08-I05-06"</f>
        <v>08-I05-06</v>
      </c>
      <c r="H3930">
        <v>2.0369000000000002</v>
      </c>
      <c r="I3930" t="s">
        <v>2803</v>
      </c>
      <c r="J3930" t="s">
        <v>17</v>
      </c>
      <c r="K3930" t="str">
        <f>"6F6"</f>
        <v>6F6</v>
      </c>
      <c r="L3930" t="s">
        <v>15</v>
      </c>
    </row>
    <row r="3931" spans="1:12" x14ac:dyDescent="0.25">
      <c r="A3931" t="str">
        <f>"455113410"</f>
        <v>455113410</v>
      </c>
      <c r="B3931" t="str">
        <f t="shared" si="241"/>
        <v>89301000</v>
      </c>
      <c r="C3931" s="1">
        <v>44369</v>
      </c>
      <c r="D3931" s="1">
        <v>44370</v>
      </c>
      <c r="E3931">
        <v>1</v>
      </c>
      <c r="F3931" t="s">
        <v>1604</v>
      </c>
      <c r="G3931" t="str">
        <f>"05-I25-03"</f>
        <v>05-I25-03</v>
      </c>
      <c r="H3931">
        <v>1.5508</v>
      </c>
      <c r="I3931" t="s">
        <v>2804</v>
      </c>
      <c r="J3931" t="s">
        <v>17</v>
      </c>
      <c r="K3931" t="str">
        <f>"1F1"</f>
        <v>1F1</v>
      </c>
      <c r="L3931" t="s">
        <v>15</v>
      </c>
    </row>
    <row r="3932" spans="1:12" x14ac:dyDescent="0.25">
      <c r="A3932" t="str">
        <f>"455124423"</f>
        <v>455124423</v>
      </c>
      <c r="B3932" t="str">
        <f t="shared" si="241"/>
        <v>89301000</v>
      </c>
      <c r="C3932" s="1">
        <v>44533</v>
      </c>
      <c r="D3932" s="1">
        <v>44534</v>
      </c>
      <c r="E3932">
        <v>1</v>
      </c>
      <c r="F3932" t="s">
        <v>2805</v>
      </c>
      <c r="G3932" t="str">
        <f>"02-K11-02"</f>
        <v>02-K11-02</v>
      </c>
      <c r="H3932">
        <v>0.52180000000000004</v>
      </c>
      <c r="I3932" t="s">
        <v>2806</v>
      </c>
      <c r="J3932" t="s">
        <v>14</v>
      </c>
      <c r="K3932" t="str">
        <f>"1F1"</f>
        <v>1F1</v>
      </c>
      <c r="L3932" t="s">
        <v>15</v>
      </c>
    </row>
    <row r="3933" spans="1:12" x14ac:dyDescent="0.25">
      <c r="A3933" t="str">
        <f>"455124423"</f>
        <v>455124423</v>
      </c>
      <c r="B3933" t="str">
        <f t="shared" si="241"/>
        <v>89301000</v>
      </c>
      <c r="C3933" s="1">
        <v>44518</v>
      </c>
      <c r="D3933" s="1">
        <v>44519</v>
      </c>
      <c r="E3933">
        <v>1</v>
      </c>
      <c r="F3933" t="s">
        <v>2805</v>
      </c>
      <c r="G3933" t="str">
        <f>"02-K11-02"</f>
        <v>02-K11-02</v>
      </c>
      <c r="H3933">
        <v>0.52180000000000004</v>
      </c>
      <c r="I3933" t="s">
        <v>785</v>
      </c>
      <c r="J3933" t="s">
        <v>14</v>
      </c>
      <c r="K3933" t="str">
        <f>"1F1"</f>
        <v>1F1</v>
      </c>
      <c r="L3933" t="s">
        <v>15</v>
      </c>
    </row>
    <row r="3934" spans="1:12" x14ac:dyDescent="0.25">
      <c r="A3934" t="str">
        <f>"455205094"</f>
        <v>455205094</v>
      </c>
      <c r="B3934" t="str">
        <f t="shared" si="241"/>
        <v>89301000</v>
      </c>
      <c r="C3934" s="1">
        <v>44482</v>
      </c>
      <c r="D3934" s="1">
        <v>44487</v>
      </c>
      <c r="E3934">
        <v>1</v>
      </c>
      <c r="F3934" t="s">
        <v>2807</v>
      </c>
      <c r="G3934" t="str">
        <f>"13-I04-01"</f>
        <v>13-I04-01</v>
      </c>
      <c r="H3934">
        <v>2.6413000000000002</v>
      </c>
      <c r="I3934" t="s">
        <v>2119</v>
      </c>
      <c r="J3934" t="s">
        <v>14</v>
      </c>
      <c r="K3934" t="str">
        <f>"6F3"</f>
        <v>6F3</v>
      </c>
      <c r="L3934" t="s">
        <v>15</v>
      </c>
    </row>
    <row r="3935" spans="1:12" x14ac:dyDescent="0.25">
      <c r="A3935" t="str">
        <f>"455207406"</f>
        <v>455207406</v>
      </c>
      <c r="B3935" t="str">
        <f t="shared" si="241"/>
        <v>89301000</v>
      </c>
      <c r="C3935" s="1">
        <v>44504</v>
      </c>
      <c r="D3935" s="1">
        <v>44505</v>
      </c>
      <c r="E3935">
        <v>1</v>
      </c>
      <c r="F3935" t="s">
        <v>1802</v>
      </c>
      <c r="G3935" t="str">
        <f>"13-K08-02"</f>
        <v>13-K08-02</v>
      </c>
      <c r="H3935">
        <v>0.49430000000000002</v>
      </c>
      <c r="I3935" t="s">
        <v>2808</v>
      </c>
      <c r="J3935" t="s">
        <v>14</v>
      </c>
      <c r="K3935" t="str">
        <f>"6F3"</f>
        <v>6F3</v>
      </c>
      <c r="L3935" t="s">
        <v>15</v>
      </c>
    </row>
    <row r="3936" spans="1:12" x14ac:dyDescent="0.25">
      <c r="A3936" t="str">
        <f>"455207406"</f>
        <v>455207406</v>
      </c>
      <c r="B3936" t="str">
        <f t="shared" si="241"/>
        <v>89301000</v>
      </c>
      <c r="C3936" s="1">
        <v>44433</v>
      </c>
      <c r="D3936" s="1">
        <v>44439</v>
      </c>
      <c r="E3936">
        <v>1</v>
      </c>
      <c r="F3936" t="s">
        <v>2706</v>
      </c>
      <c r="G3936" t="str">
        <f>"09-K01-02"</f>
        <v>09-K01-02</v>
      </c>
      <c r="H3936">
        <v>1.0527</v>
      </c>
      <c r="I3936" t="s">
        <v>2809</v>
      </c>
      <c r="J3936" t="s">
        <v>14</v>
      </c>
      <c r="K3936" t="str">
        <f>"4F4"</f>
        <v>4F4</v>
      </c>
      <c r="L3936" t="s">
        <v>15</v>
      </c>
    </row>
    <row r="3937" spans="1:12" x14ac:dyDescent="0.25">
      <c r="A3937" t="str">
        <f>"455209410"</f>
        <v>455209410</v>
      </c>
      <c r="B3937" t="str">
        <f t="shared" si="241"/>
        <v>89301000</v>
      </c>
      <c r="C3937" s="1">
        <v>44273</v>
      </c>
      <c r="D3937" s="1">
        <v>44277</v>
      </c>
      <c r="E3937">
        <v>5</v>
      </c>
      <c r="F3937" t="s">
        <v>699</v>
      </c>
      <c r="G3937" t="str">
        <f>"16-K02-01"</f>
        <v>16-K02-01</v>
      </c>
      <c r="H3937">
        <v>1.2647999999999999</v>
      </c>
      <c r="I3937" t="s">
        <v>2810</v>
      </c>
      <c r="J3937" t="s">
        <v>14</v>
      </c>
      <c r="K3937" t="str">
        <f>"1F6"</f>
        <v>1F6</v>
      </c>
      <c r="L3937" t="s">
        <v>15</v>
      </c>
    </row>
    <row r="3938" spans="1:12" x14ac:dyDescent="0.25">
      <c r="A3938" t="str">
        <f>"455210415"</f>
        <v>455210415</v>
      </c>
      <c r="B3938" t="str">
        <f t="shared" si="241"/>
        <v>89301000</v>
      </c>
      <c r="C3938" s="1">
        <v>44499</v>
      </c>
      <c r="D3938" s="1">
        <v>44503</v>
      </c>
      <c r="E3938">
        <v>1</v>
      </c>
      <c r="F3938" t="s">
        <v>96</v>
      </c>
      <c r="G3938" t="str">
        <f>"11-K01-03"</f>
        <v>11-K01-03</v>
      </c>
      <c r="H3938">
        <v>0.59489999999999998</v>
      </c>
      <c r="I3938" t="s">
        <v>2811</v>
      </c>
      <c r="J3938" t="s">
        <v>14</v>
      </c>
      <c r="K3938" t="str">
        <f>"1F1"</f>
        <v>1F1</v>
      </c>
      <c r="L3938" t="s">
        <v>15</v>
      </c>
    </row>
    <row r="3939" spans="1:12" x14ac:dyDescent="0.25">
      <c r="A3939" t="str">
        <f>"455210464"</f>
        <v>455210464</v>
      </c>
      <c r="B3939" t="str">
        <f t="shared" si="241"/>
        <v>89301000</v>
      </c>
      <c r="C3939" s="1">
        <v>44519</v>
      </c>
      <c r="D3939" s="1">
        <v>44523</v>
      </c>
      <c r="E3939">
        <v>1</v>
      </c>
      <c r="F3939" t="s">
        <v>1799</v>
      </c>
      <c r="G3939" t="str">
        <f>"19-K01-03"</f>
        <v>19-K01-03</v>
      </c>
      <c r="H3939">
        <v>0.60250000000000004</v>
      </c>
      <c r="I3939" t="s">
        <v>2812</v>
      </c>
      <c r="J3939" t="s">
        <v>27</v>
      </c>
      <c r="K3939" t="str">
        <f>"1F1"</f>
        <v>1F1</v>
      </c>
      <c r="L3939" t="s">
        <v>15</v>
      </c>
    </row>
    <row r="3940" spans="1:12" x14ac:dyDescent="0.25">
      <c r="A3940" t="str">
        <f>"455218437"</f>
        <v>455218437</v>
      </c>
      <c r="B3940" t="str">
        <f t="shared" si="241"/>
        <v>89301000</v>
      </c>
      <c r="C3940" s="1">
        <v>44216</v>
      </c>
      <c r="D3940" s="1">
        <v>44245</v>
      </c>
      <c r="E3940">
        <v>4</v>
      </c>
      <c r="F3940" t="s">
        <v>1553</v>
      </c>
      <c r="G3940" t="str">
        <f>"00-M02-04"</f>
        <v>00-M02-04</v>
      </c>
      <c r="H3940">
        <v>12.071199999999999</v>
      </c>
      <c r="I3940" t="s">
        <v>2813</v>
      </c>
      <c r="J3940" t="s">
        <v>14</v>
      </c>
      <c r="K3940" t="str">
        <f>"1F1"</f>
        <v>1F1</v>
      </c>
      <c r="L3940" t="s">
        <v>15</v>
      </c>
    </row>
    <row r="3941" spans="1:12" x14ac:dyDescent="0.25">
      <c r="A3941" t="str">
        <f>"455218437"</f>
        <v>455218437</v>
      </c>
      <c r="B3941" t="str">
        <f t="shared" si="241"/>
        <v>89301000</v>
      </c>
      <c r="C3941" s="1">
        <v>44314</v>
      </c>
      <c r="D3941" s="1">
        <v>44326</v>
      </c>
      <c r="E3941">
        <v>4</v>
      </c>
      <c r="F3941" t="s">
        <v>607</v>
      </c>
      <c r="G3941" t="str">
        <f>"11-M02-06"</f>
        <v>11-M02-06</v>
      </c>
      <c r="H3941">
        <v>1.3089</v>
      </c>
      <c r="I3941" t="s">
        <v>2814</v>
      </c>
      <c r="J3941" t="s">
        <v>14</v>
      </c>
      <c r="K3941" t="str">
        <f>"1F1"</f>
        <v>1F1</v>
      </c>
      <c r="L3941" t="s">
        <v>15</v>
      </c>
    </row>
    <row r="3942" spans="1:12" x14ac:dyDescent="0.25">
      <c r="A3942" t="str">
        <f>"455219411"</f>
        <v>455219411</v>
      </c>
      <c r="B3942" t="str">
        <f t="shared" si="241"/>
        <v>89301000</v>
      </c>
      <c r="C3942" s="1">
        <v>44333</v>
      </c>
      <c r="D3942" s="1">
        <v>44337</v>
      </c>
      <c r="E3942">
        <v>1</v>
      </c>
      <c r="F3942" t="s">
        <v>2437</v>
      </c>
      <c r="G3942" t="str">
        <f>"06-K07-02"</f>
        <v>06-K07-02</v>
      </c>
      <c r="H3942">
        <v>0.44419999999999998</v>
      </c>
      <c r="I3942" t="s">
        <v>2391</v>
      </c>
      <c r="J3942" t="s">
        <v>14</v>
      </c>
      <c r="K3942" t="str">
        <f>"1F1"</f>
        <v>1F1</v>
      </c>
      <c r="L3942" t="s">
        <v>15</v>
      </c>
    </row>
    <row r="3943" spans="1:12" x14ac:dyDescent="0.25">
      <c r="A3943" t="str">
        <f>"455222408"</f>
        <v>455222408</v>
      </c>
      <c r="B3943" t="str">
        <f t="shared" si="241"/>
        <v>89301000</v>
      </c>
      <c r="C3943" s="1">
        <v>44458</v>
      </c>
      <c r="D3943" s="1">
        <v>44463</v>
      </c>
      <c r="E3943">
        <v>1</v>
      </c>
      <c r="F3943" t="s">
        <v>448</v>
      </c>
      <c r="G3943" t="str">
        <f>"11-I11-02"</f>
        <v>11-I11-02</v>
      </c>
      <c r="H3943">
        <v>1.1983999999999999</v>
      </c>
      <c r="I3943" t="s">
        <v>2815</v>
      </c>
      <c r="J3943" t="s">
        <v>14</v>
      </c>
      <c r="K3943" t="str">
        <f>"7F6"</f>
        <v>7F6</v>
      </c>
      <c r="L3943" t="s">
        <v>15</v>
      </c>
    </row>
    <row r="3944" spans="1:12" x14ac:dyDescent="0.25">
      <c r="A3944" t="str">
        <f>"455222408"</f>
        <v>455222408</v>
      </c>
      <c r="B3944" t="str">
        <f t="shared" si="241"/>
        <v>89301000</v>
      </c>
      <c r="C3944" s="1">
        <v>44428</v>
      </c>
      <c r="D3944" s="1">
        <v>44439</v>
      </c>
      <c r="E3944">
        <v>5</v>
      </c>
      <c r="F3944" t="s">
        <v>2816</v>
      </c>
      <c r="G3944" t="str">
        <f>"11-M05-02"</f>
        <v>11-M05-02</v>
      </c>
      <c r="H3944">
        <v>1.0846</v>
      </c>
      <c r="I3944" t="s">
        <v>2817</v>
      </c>
      <c r="J3944" t="s">
        <v>17</v>
      </c>
      <c r="K3944" t="str">
        <f>"7F6"</f>
        <v>7F6</v>
      </c>
      <c r="L3944" t="s">
        <v>15</v>
      </c>
    </row>
    <row r="3945" spans="1:12" x14ac:dyDescent="0.25">
      <c r="A3945" t="str">
        <f>"455312459"</f>
        <v>455312459</v>
      </c>
      <c r="B3945" t="str">
        <f t="shared" si="241"/>
        <v>89301000</v>
      </c>
      <c r="C3945" s="1">
        <v>44358</v>
      </c>
      <c r="D3945" s="1">
        <v>44363</v>
      </c>
      <c r="E3945">
        <v>1</v>
      </c>
      <c r="F3945" t="s">
        <v>2818</v>
      </c>
      <c r="G3945" t="str">
        <f>"01-K18-04"</f>
        <v>01-K18-04</v>
      </c>
      <c r="H3945">
        <v>0.49890000000000001</v>
      </c>
      <c r="J3945" t="s">
        <v>14</v>
      </c>
      <c r="K3945" t="str">
        <f>"2F9"</f>
        <v>2F9</v>
      </c>
      <c r="L3945" t="s">
        <v>15</v>
      </c>
    </row>
    <row r="3946" spans="1:12" x14ac:dyDescent="0.25">
      <c r="A3946" t="str">
        <f>"455318411"</f>
        <v>455318411</v>
      </c>
      <c r="B3946" t="str">
        <f t="shared" si="241"/>
        <v>89301000</v>
      </c>
      <c r="C3946" s="1">
        <v>44292</v>
      </c>
      <c r="D3946" s="1">
        <v>44293</v>
      </c>
      <c r="E3946">
        <v>1</v>
      </c>
      <c r="F3946" t="s">
        <v>2819</v>
      </c>
      <c r="G3946" t="str">
        <f>"09-I10-02"</f>
        <v>09-I10-02</v>
      </c>
      <c r="H3946">
        <v>0.98380000000000001</v>
      </c>
      <c r="J3946" t="s">
        <v>17</v>
      </c>
      <c r="K3946" t="str">
        <f>"6F1"</f>
        <v>6F1</v>
      </c>
      <c r="L3946" t="s">
        <v>15</v>
      </c>
    </row>
    <row r="3947" spans="1:12" x14ac:dyDescent="0.25">
      <c r="A3947" t="str">
        <f>"455319446"</f>
        <v>455319446</v>
      </c>
      <c r="B3947" t="str">
        <f t="shared" si="241"/>
        <v>89301000</v>
      </c>
      <c r="C3947" s="1">
        <v>44264</v>
      </c>
      <c r="D3947" s="1">
        <v>44264</v>
      </c>
      <c r="E3947">
        <v>1</v>
      </c>
      <c r="F3947" t="s">
        <v>2603</v>
      </c>
      <c r="G3947" t="str">
        <f>"05-D01-08"</f>
        <v>05-D01-08</v>
      </c>
      <c r="H3947">
        <v>0.21890000000000001</v>
      </c>
      <c r="I3947" t="s">
        <v>2820</v>
      </c>
      <c r="J3947" t="s">
        <v>14</v>
      </c>
      <c r="K3947" t="str">
        <f>"1F1"</f>
        <v>1F1</v>
      </c>
      <c r="L3947" t="s">
        <v>15</v>
      </c>
    </row>
    <row r="3948" spans="1:12" x14ac:dyDescent="0.25">
      <c r="A3948" t="str">
        <f t="shared" ref="A3948:A3954" si="242">"455320116"</f>
        <v>455320116</v>
      </c>
      <c r="B3948" t="str">
        <f t="shared" si="241"/>
        <v>89301000</v>
      </c>
      <c r="C3948" s="1">
        <v>44201</v>
      </c>
      <c r="D3948" s="1">
        <v>44204</v>
      </c>
      <c r="E3948">
        <v>1</v>
      </c>
      <c r="F3948" t="s">
        <v>2513</v>
      </c>
      <c r="G3948" t="str">
        <f>"06-C02-03"</f>
        <v>06-C02-03</v>
      </c>
      <c r="H3948">
        <v>0.25769999999999998</v>
      </c>
      <c r="I3948" t="s">
        <v>541</v>
      </c>
      <c r="J3948" t="s">
        <v>14</v>
      </c>
      <c r="K3948" t="str">
        <f t="shared" ref="K3948:K3954" si="243">"4F2"</f>
        <v>4F2</v>
      </c>
      <c r="L3948" t="s">
        <v>15</v>
      </c>
    </row>
    <row r="3949" spans="1:12" x14ac:dyDescent="0.25">
      <c r="A3949" t="str">
        <f t="shared" si="242"/>
        <v>455320116</v>
      </c>
      <c r="B3949" t="str">
        <f t="shared" si="241"/>
        <v>89301000</v>
      </c>
      <c r="C3949" s="1">
        <v>44228</v>
      </c>
      <c r="D3949" s="1">
        <v>44230</v>
      </c>
      <c r="E3949">
        <v>1</v>
      </c>
      <c r="F3949" t="s">
        <v>2513</v>
      </c>
      <c r="G3949" t="str">
        <f>"06-C02-03"</f>
        <v>06-C02-03</v>
      </c>
      <c r="H3949">
        <v>0.25769999999999998</v>
      </c>
      <c r="I3949" t="s">
        <v>2821</v>
      </c>
      <c r="J3949" t="s">
        <v>14</v>
      </c>
      <c r="K3949" t="str">
        <f t="shared" si="243"/>
        <v>4F2</v>
      </c>
      <c r="L3949" t="s">
        <v>15</v>
      </c>
    </row>
    <row r="3950" spans="1:12" x14ac:dyDescent="0.25">
      <c r="A3950" t="str">
        <f t="shared" si="242"/>
        <v>455320116</v>
      </c>
      <c r="B3950" t="str">
        <f t="shared" si="241"/>
        <v>89301000</v>
      </c>
      <c r="C3950" s="1">
        <v>44263</v>
      </c>
      <c r="D3950" s="1">
        <v>44265</v>
      </c>
      <c r="E3950">
        <v>1</v>
      </c>
      <c r="F3950" t="s">
        <v>2513</v>
      </c>
      <c r="G3950" t="str">
        <f>"06-C02-03"</f>
        <v>06-C02-03</v>
      </c>
      <c r="H3950">
        <v>0.25769999999999998</v>
      </c>
      <c r="I3950" t="s">
        <v>541</v>
      </c>
      <c r="J3950" t="s">
        <v>14</v>
      </c>
      <c r="K3950" t="str">
        <f t="shared" si="243"/>
        <v>4F2</v>
      </c>
      <c r="L3950" t="s">
        <v>15</v>
      </c>
    </row>
    <row r="3951" spans="1:12" x14ac:dyDescent="0.25">
      <c r="A3951" t="str">
        <f t="shared" si="242"/>
        <v>455320116</v>
      </c>
      <c r="B3951" t="str">
        <f t="shared" si="241"/>
        <v>89301000</v>
      </c>
      <c r="C3951" s="1">
        <v>44277</v>
      </c>
      <c r="D3951" s="1">
        <v>44279</v>
      </c>
      <c r="E3951">
        <v>1</v>
      </c>
      <c r="F3951" t="s">
        <v>2513</v>
      </c>
      <c r="G3951" t="str">
        <f>"06-C02-03"</f>
        <v>06-C02-03</v>
      </c>
      <c r="H3951">
        <v>0.25769999999999998</v>
      </c>
      <c r="I3951" t="s">
        <v>541</v>
      </c>
      <c r="J3951" t="s">
        <v>14</v>
      </c>
      <c r="K3951" t="str">
        <f t="shared" si="243"/>
        <v>4F2</v>
      </c>
      <c r="L3951" t="s">
        <v>15</v>
      </c>
    </row>
    <row r="3952" spans="1:12" x14ac:dyDescent="0.25">
      <c r="A3952" t="str">
        <f t="shared" si="242"/>
        <v>455320116</v>
      </c>
      <c r="B3952" t="str">
        <f t="shared" si="241"/>
        <v>89301000</v>
      </c>
      <c r="C3952" s="1">
        <v>44298</v>
      </c>
      <c r="D3952" s="1">
        <v>44300</v>
      </c>
      <c r="E3952">
        <v>1</v>
      </c>
      <c r="F3952" t="s">
        <v>2513</v>
      </c>
      <c r="G3952" t="str">
        <f>"06-C02-03"</f>
        <v>06-C02-03</v>
      </c>
      <c r="H3952">
        <v>0.25769999999999998</v>
      </c>
      <c r="I3952" t="s">
        <v>541</v>
      </c>
      <c r="J3952" t="s">
        <v>14</v>
      </c>
      <c r="K3952" t="str">
        <f t="shared" si="243"/>
        <v>4F2</v>
      </c>
      <c r="L3952" t="s">
        <v>15</v>
      </c>
    </row>
    <row r="3953" spans="1:12" x14ac:dyDescent="0.25">
      <c r="A3953" t="str">
        <f t="shared" si="242"/>
        <v>455320116</v>
      </c>
      <c r="B3953" t="str">
        <f t="shared" si="241"/>
        <v>89301000</v>
      </c>
      <c r="C3953" s="1">
        <v>44292</v>
      </c>
      <c r="D3953" s="1">
        <v>44293</v>
      </c>
      <c r="E3953">
        <v>1</v>
      </c>
      <c r="F3953" t="s">
        <v>2513</v>
      </c>
      <c r="G3953" t="str">
        <f>"06-K14-01"</f>
        <v>06-K14-01</v>
      </c>
      <c r="H3953">
        <v>0.80730000000000002</v>
      </c>
      <c r="I3953" t="s">
        <v>2822</v>
      </c>
      <c r="J3953" t="s">
        <v>14</v>
      </c>
      <c r="K3953" t="str">
        <f t="shared" si="243"/>
        <v>4F2</v>
      </c>
      <c r="L3953" t="s">
        <v>15</v>
      </c>
    </row>
    <row r="3954" spans="1:12" x14ac:dyDescent="0.25">
      <c r="A3954" t="str">
        <f t="shared" si="242"/>
        <v>455320116</v>
      </c>
      <c r="B3954" t="str">
        <f t="shared" si="241"/>
        <v>89301000</v>
      </c>
      <c r="C3954" s="1">
        <v>44242</v>
      </c>
      <c r="D3954" s="1">
        <v>44244</v>
      </c>
      <c r="E3954">
        <v>1</v>
      </c>
      <c r="F3954" t="s">
        <v>2513</v>
      </c>
      <c r="G3954" t="str">
        <f>"06-C02-03"</f>
        <v>06-C02-03</v>
      </c>
      <c r="H3954">
        <v>0.25769999999999998</v>
      </c>
      <c r="I3954" t="s">
        <v>2823</v>
      </c>
      <c r="J3954" t="s">
        <v>14</v>
      </c>
      <c r="K3954" t="str">
        <f t="shared" si="243"/>
        <v>4F2</v>
      </c>
      <c r="L3954" t="s">
        <v>15</v>
      </c>
    </row>
    <row r="3955" spans="1:12" x14ac:dyDescent="0.25">
      <c r="A3955" t="str">
        <f>"455321409"</f>
        <v>455321409</v>
      </c>
      <c r="B3955" t="str">
        <f t="shared" si="241"/>
        <v>89301000</v>
      </c>
      <c r="C3955" s="1">
        <v>44332</v>
      </c>
      <c r="D3955" s="1">
        <v>44341</v>
      </c>
      <c r="E3955">
        <v>1</v>
      </c>
      <c r="F3955" t="s">
        <v>1602</v>
      </c>
      <c r="G3955" t="str">
        <f>"05-K07-05"</f>
        <v>05-K07-05</v>
      </c>
      <c r="H3955">
        <v>0.83599999999999997</v>
      </c>
      <c r="I3955" t="s">
        <v>2824</v>
      </c>
      <c r="J3955" t="s">
        <v>14</v>
      </c>
      <c r="K3955" t="str">
        <f>"1F5"</f>
        <v>1F5</v>
      </c>
      <c r="L3955" t="s">
        <v>15</v>
      </c>
    </row>
    <row r="3956" spans="1:12" x14ac:dyDescent="0.25">
      <c r="A3956" t="str">
        <f>"455321409"</f>
        <v>455321409</v>
      </c>
      <c r="B3956" t="str">
        <f t="shared" si="241"/>
        <v>89301000</v>
      </c>
      <c r="C3956" s="1">
        <v>44501</v>
      </c>
      <c r="D3956" s="1">
        <v>44504</v>
      </c>
      <c r="E3956">
        <v>8</v>
      </c>
      <c r="F3956" t="s">
        <v>1602</v>
      </c>
      <c r="G3956" t="str">
        <f>"05-K07-01"</f>
        <v>05-K07-01</v>
      </c>
      <c r="H3956">
        <v>3.8003</v>
      </c>
      <c r="I3956" t="s">
        <v>2825</v>
      </c>
      <c r="J3956" t="s">
        <v>14</v>
      </c>
      <c r="K3956" t="str">
        <f>"1T1"</f>
        <v>1T1</v>
      </c>
      <c r="L3956" t="s">
        <v>15</v>
      </c>
    </row>
    <row r="3957" spans="1:12" x14ac:dyDescent="0.25">
      <c r="A3957" t="str">
        <f>"455325775"</f>
        <v>455325775</v>
      </c>
      <c r="B3957" t="str">
        <f t="shared" si="241"/>
        <v>89301000</v>
      </c>
      <c r="C3957" s="1">
        <v>44465</v>
      </c>
      <c r="D3957" s="1">
        <v>44473</v>
      </c>
      <c r="E3957">
        <v>4</v>
      </c>
      <c r="F3957" t="s">
        <v>2407</v>
      </c>
      <c r="G3957" t="str">
        <f>"08-I06-04"</f>
        <v>08-I06-04</v>
      </c>
      <c r="H3957">
        <v>2.4260000000000002</v>
      </c>
      <c r="I3957" t="s">
        <v>2826</v>
      </c>
      <c r="J3957" t="s">
        <v>24</v>
      </c>
      <c r="K3957" t="str">
        <f>"6F6"</f>
        <v>6F6</v>
      </c>
      <c r="L3957" t="s">
        <v>15</v>
      </c>
    </row>
    <row r="3958" spans="1:12" x14ac:dyDescent="0.25">
      <c r="A3958" t="str">
        <f>"455403425"</f>
        <v>455403425</v>
      </c>
      <c r="B3958" t="str">
        <f t="shared" si="241"/>
        <v>89301000</v>
      </c>
      <c r="C3958" s="1">
        <v>44417</v>
      </c>
      <c r="D3958" s="1">
        <v>44427</v>
      </c>
      <c r="E3958">
        <v>1</v>
      </c>
      <c r="F3958" t="s">
        <v>109</v>
      </c>
      <c r="G3958" t="str">
        <f>"24-M06-02"</f>
        <v>24-M06-02</v>
      </c>
      <c r="H3958">
        <v>1.0233000000000001</v>
      </c>
      <c r="I3958" t="s">
        <v>2827</v>
      </c>
      <c r="J3958" t="s">
        <v>14</v>
      </c>
      <c r="K3958" t="str">
        <f>"2F1"</f>
        <v>2F1</v>
      </c>
      <c r="L3958" t="s">
        <v>15</v>
      </c>
    </row>
    <row r="3959" spans="1:12" x14ac:dyDescent="0.25">
      <c r="A3959" t="str">
        <f>"455406401"</f>
        <v>455406401</v>
      </c>
      <c r="B3959" t="str">
        <f t="shared" si="241"/>
        <v>89301000</v>
      </c>
      <c r="C3959" s="1">
        <v>44363</v>
      </c>
      <c r="D3959" s="1">
        <v>44365</v>
      </c>
      <c r="E3959">
        <v>1</v>
      </c>
      <c r="F3959" t="s">
        <v>2828</v>
      </c>
      <c r="G3959" t="str">
        <f>"08-I25-02"</f>
        <v>08-I25-02</v>
      </c>
      <c r="H3959">
        <v>0.63680000000000003</v>
      </c>
      <c r="J3959" t="s">
        <v>14</v>
      </c>
      <c r="K3959" t="str">
        <f>"6F6"</f>
        <v>6F6</v>
      </c>
      <c r="L3959" t="s">
        <v>15</v>
      </c>
    </row>
    <row r="3960" spans="1:12" x14ac:dyDescent="0.25">
      <c r="A3960" t="str">
        <f>"455408139"</f>
        <v>455408139</v>
      </c>
      <c r="B3960" t="str">
        <f t="shared" si="241"/>
        <v>89301000</v>
      </c>
      <c r="C3960" s="1">
        <v>44438</v>
      </c>
      <c r="D3960" s="1">
        <v>44445</v>
      </c>
      <c r="E3960">
        <v>4</v>
      </c>
      <c r="F3960" t="s">
        <v>2407</v>
      </c>
      <c r="G3960" t="str">
        <f>"08-I06-04"</f>
        <v>08-I06-04</v>
      </c>
      <c r="H3960">
        <v>2.4260000000000002</v>
      </c>
      <c r="I3960" t="s">
        <v>2829</v>
      </c>
      <c r="J3960" t="s">
        <v>24</v>
      </c>
      <c r="K3960" t="str">
        <f>"6F6"</f>
        <v>6F6</v>
      </c>
      <c r="L3960" t="s">
        <v>15</v>
      </c>
    </row>
    <row r="3961" spans="1:12" x14ac:dyDescent="0.25">
      <c r="A3961" t="str">
        <f>"455411441"</f>
        <v>455411441</v>
      </c>
      <c r="B3961" t="str">
        <f t="shared" si="241"/>
        <v>89301000</v>
      </c>
      <c r="C3961" s="1">
        <v>44347</v>
      </c>
      <c r="D3961" s="1">
        <v>44348</v>
      </c>
      <c r="E3961">
        <v>1</v>
      </c>
      <c r="F3961" t="s">
        <v>1557</v>
      </c>
      <c r="G3961" t="str">
        <f>"05-D01-08"</f>
        <v>05-D01-08</v>
      </c>
      <c r="H3961">
        <v>0.4093</v>
      </c>
      <c r="J3961" t="s">
        <v>14</v>
      </c>
      <c r="K3961" t="str">
        <f>"1F7"</f>
        <v>1F7</v>
      </c>
      <c r="L3961" t="s">
        <v>15</v>
      </c>
    </row>
    <row r="3962" spans="1:12" x14ac:dyDescent="0.25">
      <c r="A3962" t="str">
        <f>"455416402"</f>
        <v>455416402</v>
      </c>
      <c r="B3962" t="str">
        <f t="shared" si="241"/>
        <v>89301000</v>
      </c>
      <c r="C3962" s="1">
        <v>44455</v>
      </c>
      <c r="D3962" s="1">
        <v>44459</v>
      </c>
      <c r="E3962">
        <v>1</v>
      </c>
      <c r="F3962" t="s">
        <v>2422</v>
      </c>
      <c r="G3962" t="str">
        <f>"01-K04-02"</f>
        <v>01-K04-02</v>
      </c>
      <c r="H3962">
        <v>0.80059999999999998</v>
      </c>
      <c r="I3962" t="s">
        <v>2830</v>
      </c>
      <c r="J3962" t="s">
        <v>14</v>
      </c>
      <c r="K3962" t="str">
        <f>"2F9"</f>
        <v>2F9</v>
      </c>
      <c r="L3962" t="s">
        <v>15</v>
      </c>
    </row>
    <row r="3963" spans="1:12" x14ac:dyDescent="0.25">
      <c r="A3963" t="str">
        <f>"455419439"</f>
        <v>455419439</v>
      </c>
      <c r="B3963" t="str">
        <f t="shared" si="241"/>
        <v>89301000</v>
      </c>
      <c r="C3963" s="1">
        <v>44287</v>
      </c>
      <c r="D3963" s="1">
        <v>44293</v>
      </c>
      <c r="E3963">
        <v>5</v>
      </c>
      <c r="F3963" t="s">
        <v>1420</v>
      </c>
      <c r="G3963" t="str">
        <f>"03-K02-02"</f>
        <v>03-K02-02</v>
      </c>
      <c r="H3963">
        <v>0.56889999999999996</v>
      </c>
      <c r="I3963" t="s">
        <v>2831</v>
      </c>
      <c r="J3963" t="s">
        <v>14</v>
      </c>
      <c r="K3963" t="str">
        <f>"1F6"</f>
        <v>1F6</v>
      </c>
      <c r="L3963" t="s">
        <v>15</v>
      </c>
    </row>
    <row r="3964" spans="1:12" x14ac:dyDescent="0.25">
      <c r="A3964" t="str">
        <f>"455419439"</f>
        <v>455419439</v>
      </c>
      <c r="B3964" t="str">
        <f t="shared" si="241"/>
        <v>89301000</v>
      </c>
      <c r="C3964" s="1">
        <v>44236</v>
      </c>
      <c r="D3964" s="1">
        <v>44250</v>
      </c>
      <c r="E3964">
        <v>4</v>
      </c>
      <c r="F3964" t="s">
        <v>1553</v>
      </c>
      <c r="G3964" t="str">
        <f>"04-K05-03"</f>
        <v>04-K05-03</v>
      </c>
      <c r="H3964">
        <v>0.93689999999999996</v>
      </c>
      <c r="I3964" t="s">
        <v>2832</v>
      </c>
      <c r="J3964" t="s">
        <v>14</v>
      </c>
      <c r="K3964" t="str">
        <f>"1F1"</f>
        <v>1F1</v>
      </c>
      <c r="L3964" t="s">
        <v>15</v>
      </c>
    </row>
    <row r="3965" spans="1:12" x14ac:dyDescent="0.25">
      <c r="A3965" t="str">
        <f>"455420448"</f>
        <v>455420448</v>
      </c>
      <c r="B3965" t="str">
        <f t="shared" si="241"/>
        <v>89301000</v>
      </c>
      <c r="C3965" s="1">
        <v>44263</v>
      </c>
      <c r="D3965" s="1">
        <v>44274</v>
      </c>
      <c r="E3965">
        <v>1</v>
      </c>
      <c r="F3965" t="s">
        <v>109</v>
      </c>
      <c r="G3965" t="str">
        <f>"24-M06-02"</f>
        <v>24-M06-02</v>
      </c>
      <c r="H3965">
        <v>1.0233000000000001</v>
      </c>
      <c r="I3965" t="s">
        <v>2833</v>
      </c>
      <c r="J3965" t="s">
        <v>14</v>
      </c>
      <c r="K3965" t="str">
        <f>"2F1"</f>
        <v>2F1</v>
      </c>
      <c r="L3965" t="s">
        <v>15</v>
      </c>
    </row>
    <row r="3966" spans="1:12" x14ac:dyDescent="0.25">
      <c r="A3966" t="str">
        <f>"455420448"</f>
        <v>455420448</v>
      </c>
      <c r="B3966" t="str">
        <f t="shared" si="241"/>
        <v>89301000</v>
      </c>
      <c r="C3966" s="1">
        <v>44257</v>
      </c>
      <c r="D3966" s="1">
        <v>44263</v>
      </c>
      <c r="E3966">
        <v>3</v>
      </c>
      <c r="F3966" t="s">
        <v>1968</v>
      </c>
      <c r="G3966" t="str">
        <f>"08-I05-06"</f>
        <v>08-I05-06</v>
      </c>
      <c r="H3966">
        <v>2.0369000000000002</v>
      </c>
      <c r="I3966" t="s">
        <v>2834</v>
      </c>
      <c r="J3966" t="s">
        <v>17</v>
      </c>
      <c r="K3966" t="str">
        <f>"6F6"</f>
        <v>6F6</v>
      </c>
      <c r="L3966" t="s">
        <v>15</v>
      </c>
    </row>
    <row r="3967" spans="1:12" x14ac:dyDescent="0.25">
      <c r="A3967" t="str">
        <f>"455504438"</f>
        <v>455504438</v>
      </c>
      <c r="B3967" t="str">
        <f t="shared" si="241"/>
        <v>89301000</v>
      </c>
      <c r="C3967" s="1">
        <v>44466</v>
      </c>
      <c r="D3967" s="1">
        <v>44476</v>
      </c>
      <c r="E3967">
        <v>4</v>
      </c>
      <c r="F3967" t="s">
        <v>448</v>
      </c>
      <c r="G3967" t="str">
        <f>"11-K01-02"</f>
        <v>11-K01-02</v>
      </c>
      <c r="H3967">
        <v>0.82289999999999996</v>
      </c>
      <c r="I3967" t="s">
        <v>2835</v>
      </c>
      <c r="J3967" t="s">
        <v>14</v>
      </c>
      <c r="K3967" t="str">
        <f>"1F1"</f>
        <v>1F1</v>
      </c>
      <c r="L3967" t="s">
        <v>15</v>
      </c>
    </row>
    <row r="3968" spans="1:12" x14ac:dyDescent="0.25">
      <c r="A3968" t="str">
        <f>"455504438"</f>
        <v>455504438</v>
      </c>
      <c r="B3968" t="str">
        <f t="shared" si="241"/>
        <v>89301000</v>
      </c>
      <c r="C3968" s="1">
        <v>44439</v>
      </c>
      <c r="D3968" s="1">
        <v>44447</v>
      </c>
      <c r="E3968">
        <v>1</v>
      </c>
      <c r="F3968" t="s">
        <v>2270</v>
      </c>
      <c r="G3968" t="str">
        <f>"09-K03-01"</f>
        <v>09-K03-01</v>
      </c>
      <c r="H3968">
        <v>1.4508000000000001</v>
      </c>
      <c r="I3968" t="s">
        <v>2836</v>
      </c>
      <c r="J3968" t="s">
        <v>14</v>
      </c>
      <c r="K3968" t="str">
        <f>"4F4"</f>
        <v>4F4</v>
      </c>
      <c r="L3968" t="s">
        <v>15</v>
      </c>
    </row>
    <row r="3969" spans="1:12" x14ac:dyDescent="0.25">
      <c r="A3969" t="str">
        <f>"455513079"</f>
        <v>455513079</v>
      </c>
      <c r="B3969" t="str">
        <f t="shared" si="241"/>
        <v>89301000</v>
      </c>
      <c r="C3969" s="1">
        <v>44533</v>
      </c>
      <c r="D3969" s="1">
        <v>44538</v>
      </c>
      <c r="E3969">
        <v>1</v>
      </c>
      <c r="F3969" t="s">
        <v>2837</v>
      </c>
      <c r="G3969" t="str">
        <f>"17-K07-02"</f>
        <v>17-K07-02</v>
      </c>
      <c r="H3969">
        <v>0.93820000000000003</v>
      </c>
      <c r="I3969" t="s">
        <v>2838</v>
      </c>
      <c r="J3969" t="s">
        <v>14</v>
      </c>
      <c r="K3969" t="str">
        <f>"5F1"</f>
        <v>5F1</v>
      </c>
      <c r="L3969" t="s">
        <v>15</v>
      </c>
    </row>
    <row r="3970" spans="1:12" x14ac:dyDescent="0.25">
      <c r="A3970" t="str">
        <f>"455530048"</f>
        <v>455530048</v>
      </c>
      <c r="B3970" t="str">
        <f t="shared" si="241"/>
        <v>89301000</v>
      </c>
      <c r="C3970" s="1">
        <v>44273</v>
      </c>
      <c r="D3970" s="1">
        <v>44278</v>
      </c>
      <c r="E3970">
        <v>1</v>
      </c>
      <c r="F3970" t="s">
        <v>2350</v>
      </c>
      <c r="G3970" t="str">
        <f>"01-I09-02"</f>
        <v>01-I09-02</v>
      </c>
      <c r="H3970">
        <v>2.1852</v>
      </c>
      <c r="I3970" t="s">
        <v>2250</v>
      </c>
      <c r="J3970" t="s">
        <v>17</v>
      </c>
      <c r="K3970" t="str">
        <f>"5F5"</f>
        <v>5F5</v>
      </c>
      <c r="L3970" t="s">
        <v>15</v>
      </c>
    </row>
    <row r="3971" spans="1:12" x14ac:dyDescent="0.25">
      <c r="A3971" t="str">
        <f>"455531410"</f>
        <v>455531410</v>
      </c>
      <c r="B3971" t="str">
        <f t="shared" si="241"/>
        <v>89301000</v>
      </c>
      <c r="C3971" s="1">
        <v>44397</v>
      </c>
      <c r="D3971" s="1">
        <v>44399</v>
      </c>
      <c r="E3971">
        <v>4</v>
      </c>
      <c r="F3971" t="s">
        <v>2839</v>
      </c>
      <c r="G3971" t="str">
        <f>"08-K01-01"</f>
        <v>08-K01-01</v>
      </c>
      <c r="H3971">
        <v>1.1194999999999999</v>
      </c>
      <c r="I3971" t="s">
        <v>2840</v>
      </c>
      <c r="J3971" t="s">
        <v>14</v>
      </c>
      <c r="K3971" t="str">
        <f>"1F9"</f>
        <v>1F9</v>
      </c>
      <c r="L3971" t="s">
        <v>15</v>
      </c>
    </row>
    <row r="3972" spans="1:12" x14ac:dyDescent="0.25">
      <c r="A3972" t="str">
        <f>"455531410"</f>
        <v>455531410</v>
      </c>
      <c r="B3972" t="str">
        <f t="shared" si="241"/>
        <v>89301000</v>
      </c>
      <c r="C3972" s="1">
        <v>44445</v>
      </c>
      <c r="D3972" s="1">
        <v>44453</v>
      </c>
      <c r="E3972">
        <v>4</v>
      </c>
      <c r="F3972" t="s">
        <v>2839</v>
      </c>
      <c r="G3972" t="str">
        <f>"08-K01-01"</f>
        <v>08-K01-01</v>
      </c>
      <c r="H3972">
        <v>1.4826999999999999</v>
      </c>
      <c r="I3972" t="s">
        <v>2841</v>
      </c>
      <c r="J3972" t="s">
        <v>14</v>
      </c>
      <c r="K3972" t="str">
        <f>"1F9"</f>
        <v>1F9</v>
      </c>
      <c r="L3972" t="s">
        <v>15</v>
      </c>
    </row>
    <row r="3973" spans="1:12" x14ac:dyDescent="0.25">
      <c r="A3973" t="str">
        <f>"455531410"</f>
        <v>455531410</v>
      </c>
      <c r="B3973" t="str">
        <f t="shared" si="241"/>
        <v>89301000</v>
      </c>
      <c r="C3973" s="1">
        <v>44372</v>
      </c>
      <c r="D3973" s="1">
        <v>44377</v>
      </c>
      <c r="E3973">
        <v>1</v>
      </c>
      <c r="F3973" t="s">
        <v>740</v>
      </c>
      <c r="G3973" t="str">
        <f>"08-K01-03"</f>
        <v>08-K01-03</v>
      </c>
      <c r="H3973">
        <v>0.65310000000000001</v>
      </c>
      <c r="I3973" t="s">
        <v>2842</v>
      </c>
      <c r="J3973" t="s">
        <v>14</v>
      </c>
      <c r="K3973" t="str">
        <f>"1F9"</f>
        <v>1F9</v>
      </c>
      <c r="L3973" t="s">
        <v>15</v>
      </c>
    </row>
    <row r="3974" spans="1:12" x14ac:dyDescent="0.25">
      <c r="A3974" t="str">
        <f>"455531464"</f>
        <v>455531464</v>
      </c>
      <c r="B3974" t="str">
        <f t="shared" si="241"/>
        <v>89301000</v>
      </c>
      <c r="C3974" s="1">
        <v>44428</v>
      </c>
      <c r="D3974" s="1">
        <v>44432</v>
      </c>
      <c r="E3974">
        <v>1</v>
      </c>
      <c r="F3974" t="s">
        <v>994</v>
      </c>
      <c r="G3974" t="str">
        <f>"01-I07-03"</f>
        <v>01-I07-03</v>
      </c>
      <c r="H3974">
        <v>2.1177000000000001</v>
      </c>
      <c r="I3974" t="s">
        <v>2843</v>
      </c>
      <c r="J3974" t="s">
        <v>17</v>
      </c>
      <c r="K3974" t="str">
        <f>"5F6"</f>
        <v>5F6</v>
      </c>
      <c r="L3974" t="s">
        <v>15</v>
      </c>
    </row>
    <row r="3975" spans="1:12" x14ac:dyDescent="0.25">
      <c r="A3975" t="str">
        <f>"455531464"</f>
        <v>455531464</v>
      </c>
      <c r="B3975" t="str">
        <f t="shared" si="241"/>
        <v>89301000</v>
      </c>
      <c r="C3975" s="1">
        <v>44358</v>
      </c>
      <c r="D3975" s="1">
        <v>44359</v>
      </c>
      <c r="E3975">
        <v>1</v>
      </c>
      <c r="F3975" t="s">
        <v>2844</v>
      </c>
      <c r="G3975" t="str">
        <f>"01-I07-03"</f>
        <v>01-I07-03</v>
      </c>
      <c r="H3975">
        <v>1.0589</v>
      </c>
      <c r="I3975" t="s">
        <v>2845</v>
      </c>
      <c r="J3975" t="s">
        <v>17</v>
      </c>
      <c r="K3975" t="str">
        <f>"5F6"</f>
        <v>5F6</v>
      </c>
      <c r="L3975" t="s">
        <v>15</v>
      </c>
    </row>
    <row r="3976" spans="1:12" x14ac:dyDescent="0.25">
      <c r="A3976" t="str">
        <f>"455531464"</f>
        <v>455531464</v>
      </c>
      <c r="B3976" t="str">
        <f t="shared" si="241"/>
        <v>89301000</v>
      </c>
      <c r="C3976" s="1">
        <v>44284</v>
      </c>
      <c r="D3976" s="1">
        <v>44295</v>
      </c>
      <c r="E3976">
        <v>1</v>
      </c>
      <c r="F3976" t="s">
        <v>2844</v>
      </c>
      <c r="G3976" t="str">
        <f>"01-K05-02"</f>
        <v>01-K05-02</v>
      </c>
      <c r="H3976">
        <v>0.58919999999999995</v>
      </c>
      <c r="I3976" t="s">
        <v>2843</v>
      </c>
      <c r="J3976" t="s">
        <v>14</v>
      </c>
      <c r="K3976" t="str">
        <f>"2F9"</f>
        <v>2F9</v>
      </c>
      <c r="L3976" t="s">
        <v>15</v>
      </c>
    </row>
    <row r="3977" spans="1:12" x14ac:dyDescent="0.25">
      <c r="A3977" t="str">
        <f>"455601416"</f>
        <v>455601416</v>
      </c>
      <c r="B3977" t="str">
        <f t="shared" si="241"/>
        <v>89301000</v>
      </c>
      <c r="C3977" s="1">
        <v>44448</v>
      </c>
      <c r="D3977" s="1">
        <v>44462</v>
      </c>
      <c r="E3977">
        <v>1</v>
      </c>
      <c r="F3977" t="s">
        <v>1955</v>
      </c>
      <c r="G3977" t="str">
        <f>"01-K04-01"</f>
        <v>01-K04-01</v>
      </c>
      <c r="H3977">
        <v>1.2442</v>
      </c>
      <c r="I3977" t="s">
        <v>2846</v>
      </c>
      <c r="J3977" t="s">
        <v>14</v>
      </c>
      <c r="K3977" t="str">
        <f>"1F6"</f>
        <v>1F6</v>
      </c>
      <c r="L3977" t="s">
        <v>15</v>
      </c>
    </row>
    <row r="3978" spans="1:12" x14ac:dyDescent="0.25">
      <c r="A3978" t="str">
        <f>"455601416"</f>
        <v>455601416</v>
      </c>
      <c r="B3978" t="str">
        <f t="shared" si="241"/>
        <v>89301000</v>
      </c>
      <c r="C3978" s="1">
        <v>44407</v>
      </c>
      <c r="D3978" s="1">
        <v>44418</v>
      </c>
      <c r="E3978">
        <v>4</v>
      </c>
      <c r="F3978" t="s">
        <v>1994</v>
      </c>
      <c r="G3978" t="str">
        <f>"10-K12-02"</f>
        <v>10-K12-02</v>
      </c>
      <c r="H3978">
        <v>0.94830000000000003</v>
      </c>
      <c r="I3978" t="s">
        <v>2847</v>
      </c>
      <c r="J3978" t="s">
        <v>14</v>
      </c>
      <c r="K3978" t="str">
        <f>"1F6"</f>
        <v>1F6</v>
      </c>
      <c r="L3978" t="s">
        <v>15</v>
      </c>
    </row>
    <row r="3979" spans="1:12" x14ac:dyDescent="0.25">
      <c r="A3979" t="str">
        <f>"455601416"</f>
        <v>455601416</v>
      </c>
      <c r="B3979" t="str">
        <f t="shared" si="241"/>
        <v>89301000</v>
      </c>
      <c r="C3979" s="1">
        <v>44372</v>
      </c>
      <c r="D3979" s="1">
        <v>44377</v>
      </c>
      <c r="E3979">
        <v>1</v>
      </c>
      <c r="F3979" t="s">
        <v>92</v>
      </c>
      <c r="G3979" t="str">
        <f>"05-K15-01"</f>
        <v>05-K15-01</v>
      </c>
      <c r="H3979">
        <v>0.83189999999999997</v>
      </c>
      <c r="I3979" t="s">
        <v>2848</v>
      </c>
      <c r="J3979" t="s">
        <v>14</v>
      </c>
      <c r="K3979" t="str">
        <f>"1F6"</f>
        <v>1F6</v>
      </c>
      <c r="L3979" t="s">
        <v>15</v>
      </c>
    </row>
    <row r="3980" spans="1:12" x14ac:dyDescent="0.25">
      <c r="A3980" t="str">
        <f>"455601439"</f>
        <v>455601439</v>
      </c>
      <c r="B3980" t="str">
        <f t="shared" si="241"/>
        <v>89301000</v>
      </c>
      <c r="C3980" s="1">
        <v>44490</v>
      </c>
      <c r="D3980" s="1">
        <v>44491</v>
      </c>
      <c r="E3980">
        <v>1</v>
      </c>
      <c r="F3980" t="s">
        <v>2600</v>
      </c>
      <c r="G3980" t="str">
        <f>"05-D01-06"</f>
        <v>05-D01-06</v>
      </c>
      <c r="H3980">
        <v>0.7611</v>
      </c>
      <c r="J3980" t="s">
        <v>14</v>
      </c>
      <c r="K3980" t="str">
        <f>"1F7"</f>
        <v>1F7</v>
      </c>
      <c r="L3980" t="s">
        <v>15</v>
      </c>
    </row>
    <row r="3981" spans="1:12" x14ac:dyDescent="0.25">
      <c r="A3981" t="str">
        <f>"455601460"</f>
        <v>455601460</v>
      </c>
      <c r="B3981" t="str">
        <f t="shared" si="241"/>
        <v>89301000</v>
      </c>
      <c r="C3981" s="1">
        <v>44547</v>
      </c>
      <c r="D3981" s="1">
        <v>44550</v>
      </c>
      <c r="E3981">
        <v>5</v>
      </c>
      <c r="F3981" t="s">
        <v>609</v>
      </c>
      <c r="G3981" t="str">
        <f>"08-I16-02"</f>
        <v>08-I16-02</v>
      </c>
      <c r="H3981">
        <v>1.8051999999999999</v>
      </c>
      <c r="I3981" t="s">
        <v>244</v>
      </c>
      <c r="J3981" t="s">
        <v>17</v>
      </c>
      <c r="K3981" t="str">
        <f>"5F3"</f>
        <v>5F3</v>
      </c>
      <c r="L3981" t="s">
        <v>15</v>
      </c>
    </row>
    <row r="3982" spans="1:12" x14ac:dyDescent="0.25">
      <c r="A3982" t="str">
        <f>"455604438"</f>
        <v>455604438</v>
      </c>
      <c r="B3982" t="str">
        <f t="shared" si="241"/>
        <v>89301000</v>
      </c>
      <c r="C3982" s="1">
        <v>44315</v>
      </c>
      <c r="D3982" s="1">
        <v>44323</v>
      </c>
      <c r="E3982">
        <v>1</v>
      </c>
      <c r="F3982" t="s">
        <v>1842</v>
      </c>
      <c r="G3982" t="str">
        <f>"05-I14-04"</f>
        <v>05-I14-04</v>
      </c>
      <c r="H3982">
        <v>5.5852000000000004</v>
      </c>
      <c r="I3982" t="s">
        <v>2849</v>
      </c>
      <c r="J3982" t="s">
        <v>14</v>
      </c>
      <c r="K3982" t="str">
        <f>"1T1"</f>
        <v>1T1</v>
      </c>
      <c r="L3982" t="s">
        <v>15</v>
      </c>
    </row>
    <row r="3983" spans="1:12" x14ac:dyDescent="0.25">
      <c r="A3983" t="str">
        <f>"455604438"</f>
        <v>455604438</v>
      </c>
      <c r="B3983" t="str">
        <f t="shared" si="241"/>
        <v>89301000</v>
      </c>
      <c r="C3983" s="1">
        <v>44285</v>
      </c>
      <c r="D3983" s="1">
        <v>44295</v>
      </c>
      <c r="E3983">
        <v>1</v>
      </c>
      <c r="F3983" t="s">
        <v>1619</v>
      </c>
      <c r="G3983" t="str">
        <f>"05-M06-06"</f>
        <v>05-M06-06</v>
      </c>
      <c r="H3983">
        <v>2.0697999999999999</v>
      </c>
      <c r="I3983" t="s">
        <v>2850</v>
      </c>
      <c r="J3983" t="s">
        <v>17</v>
      </c>
      <c r="K3983" t="str">
        <f>"1F1"</f>
        <v>1F1</v>
      </c>
      <c r="L3983" t="s">
        <v>15</v>
      </c>
    </row>
    <row r="3984" spans="1:12" x14ac:dyDescent="0.25">
      <c r="A3984" t="str">
        <f>"455606419"</f>
        <v>455606419</v>
      </c>
      <c r="B3984" t="str">
        <f t="shared" si="241"/>
        <v>89301000</v>
      </c>
      <c r="C3984" s="1">
        <v>44286</v>
      </c>
      <c r="D3984" s="1">
        <v>44295</v>
      </c>
      <c r="E3984">
        <v>1</v>
      </c>
      <c r="F3984" t="s">
        <v>217</v>
      </c>
      <c r="G3984" t="str">
        <f>"04-K02-02"</f>
        <v>04-K02-02</v>
      </c>
      <c r="H3984">
        <v>2.5186000000000002</v>
      </c>
      <c r="I3984" t="s">
        <v>2851</v>
      </c>
      <c r="J3984" t="s">
        <v>14</v>
      </c>
      <c r="K3984" t="str">
        <f>"1F1"</f>
        <v>1F1</v>
      </c>
      <c r="L3984" t="s">
        <v>15</v>
      </c>
    </row>
    <row r="3985" spans="1:12" x14ac:dyDescent="0.25">
      <c r="A3985" t="str">
        <f>"455608405"</f>
        <v>455608405</v>
      </c>
      <c r="B3985" t="str">
        <f t="shared" si="241"/>
        <v>89301000</v>
      </c>
      <c r="C3985" s="1">
        <v>44424</v>
      </c>
      <c r="D3985" s="1">
        <v>44431</v>
      </c>
      <c r="E3985">
        <v>4</v>
      </c>
      <c r="F3985" t="s">
        <v>2852</v>
      </c>
      <c r="G3985" t="str">
        <f>"08-I06-04"</f>
        <v>08-I06-04</v>
      </c>
      <c r="H3985">
        <v>2.4260000000000002</v>
      </c>
      <c r="I3985" t="s">
        <v>699</v>
      </c>
      <c r="J3985" t="s">
        <v>24</v>
      </c>
      <c r="K3985" t="str">
        <f>"6F6"</f>
        <v>6F6</v>
      </c>
      <c r="L3985" t="s">
        <v>15</v>
      </c>
    </row>
    <row r="3986" spans="1:12" x14ac:dyDescent="0.25">
      <c r="A3986" t="str">
        <f>"455627179"</f>
        <v>455627179</v>
      </c>
      <c r="B3986" t="str">
        <f t="shared" si="241"/>
        <v>89301000</v>
      </c>
      <c r="C3986" s="1">
        <v>44368</v>
      </c>
      <c r="D3986" s="1">
        <v>44371</v>
      </c>
      <c r="E3986">
        <v>1</v>
      </c>
      <c r="F3986" t="s">
        <v>2853</v>
      </c>
      <c r="G3986" t="str">
        <f>"11-I17-03"</f>
        <v>11-I17-03</v>
      </c>
      <c r="H3986">
        <v>0.50609999999999999</v>
      </c>
      <c r="I3986" t="s">
        <v>2854</v>
      </c>
      <c r="J3986" t="s">
        <v>14</v>
      </c>
      <c r="K3986" t="str">
        <f>"7F6"</f>
        <v>7F6</v>
      </c>
      <c r="L3986" t="s">
        <v>15</v>
      </c>
    </row>
    <row r="3987" spans="1:12" x14ac:dyDescent="0.25">
      <c r="A3987" t="str">
        <f>"455630705"</f>
        <v>455630705</v>
      </c>
      <c r="B3987" t="str">
        <f t="shared" si="241"/>
        <v>89301000</v>
      </c>
      <c r="C3987" s="1">
        <v>44537</v>
      </c>
      <c r="D3987" s="1">
        <v>44540</v>
      </c>
      <c r="E3987">
        <v>1</v>
      </c>
      <c r="F3987" t="s">
        <v>39</v>
      </c>
      <c r="G3987" t="str">
        <f>"03-I19-03"</f>
        <v>03-I19-03</v>
      </c>
      <c r="H3987">
        <v>0.60699999999999998</v>
      </c>
      <c r="I3987" t="s">
        <v>2855</v>
      </c>
      <c r="J3987" t="s">
        <v>14</v>
      </c>
      <c r="K3987" t="str">
        <f>"6F5"</f>
        <v>6F5</v>
      </c>
      <c r="L3987" t="s">
        <v>15</v>
      </c>
    </row>
    <row r="3988" spans="1:12" x14ac:dyDescent="0.25">
      <c r="A3988" t="str">
        <f>"455701445"</f>
        <v>455701445</v>
      </c>
      <c r="B3988" t="str">
        <f t="shared" si="241"/>
        <v>89301000</v>
      </c>
      <c r="C3988" s="1">
        <v>44472</v>
      </c>
      <c r="D3988" s="1">
        <v>44480</v>
      </c>
      <c r="E3988">
        <v>3</v>
      </c>
      <c r="F3988" t="s">
        <v>1968</v>
      </c>
      <c r="G3988" t="str">
        <f>"08-I05-06"</f>
        <v>08-I05-06</v>
      </c>
      <c r="H3988">
        <v>2.0369000000000002</v>
      </c>
      <c r="J3988" t="s">
        <v>17</v>
      </c>
      <c r="K3988" t="str">
        <f>"6F6"</f>
        <v>6F6</v>
      </c>
      <c r="L3988" t="s">
        <v>15</v>
      </c>
    </row>
    <row r="3989" spans="1:12" x14ac:dyDescent="0.25">
      <c r="A3989" t="str">
        <f>"455701445"</f>
        <v>455701445</v>
      </c>
      <c r="B3989" t="str">
        <f t="shared" si="241"/>
        <v>89301000</v>
      </c>
      <c r="C3989" s="1">
        <v>44480</v>
      </c>
      <c r="D3989" s="1">
        <v>44495</v>
      </c>
      <c r="E3989">
        <v>4</v>
      </c>
      <c r="F3989" t="s">
        <v>109</v>
      </c>
      <c r="G3989" t="str">
        <f>"24-M07-02"</f>
        <v>24-M07-02</v>
      </c>
      <c r="H3989">
        <v>1.5094000000000001</v>
      </c>
      <c r="I3989" t="s">
        <v>2856</v>
      </c>
      <c r="J3989" t="s">
        <v>14</v>
      </c>
      <c r="K3989" t="str">
        <f>"2F1"</f>
        <v>2F1</v>
      </c>
      <c r="L3989" t="s">
        <v>15</v>
      </c>
    </row>
    <row r="3990" spans="1:12" x14ac:dyDescent="0.25">
      <c r="A3990" t="str">
        <f>"455703450"</f>
        <v>455703450</v>
      </c>
      <c r="B3990" t="str">
        <f t="shared" ref="B3990:B4053" si="244">"89301000"</f>
        <v>89301000</v>
      </c>
      <c r="C3990" s="1">
        <v>44265</v>
      </c>
      <c r="D3990" s="1">
        <v>44267</v>
      </c>
      <c r="E3990">
        <v>4</v>
      </c>
      <c r="F3990" t="s">
        <v>1548</v>
      </c>
      <c r="G3990" t="str">
        <f>"05-K07-04"</f>
        <v>05-K07-04</v>
      </c>
      <c r="H3990">
        <v>0.85160000000000002</v>
      </c>
      <c r="I3990" t="s">
        <v>2857</v>
      </c>
      <c r="J3990" t="s">
        <v>14</v>
      </c>
      <c r="K3990" t="str">
        <f>"1F1"</f>
        <v>1F1</v>
      </c>
      <c r="L3990" t="s">
        <v>15</v>
      </c>
    </row>
    <row r="3991" spans="1:12" x14ac:dyDescent="0.25">
      <c r="A3991" t="str">
        <f>"455703450"</f>
        <v>455703450</v>
      </c>
      <c r="B3991" t="str">
        <f t="shared" si="244"/>
        <v>89301000</v>
      </c>
      <c r="C3991" s="1">
        <v>44242</v>
      </c>
      <c r="D3991" s="1">
        <v>44246</v>
      </c>
      <c r="E3991">
        <v>1</v>
      </c>
      <c r="F3991" t="s">
        <v>1548</v>
      </c>
      <c r="G3991" t="str">
        <f>"05-K07-03"</f>
        <v>05-K07-03</v>
      </c>
      <c r="H3991">
        <v>1.7625999999999999</v>
      </c>
      <c r="I3991" t="s">
        <v>2858</v>
      </c>
      <c r="J3991" t="s">
        <v>14</v>
      </c>
      <c r="K3991" t="str">
        <f>"1F1"</f>
        <v>1F1</v>
      </c>
      <c r="L3991" t="s">
        <v>15</v>
      </c>
    </row>
    <row r="3992" spans="1:12" x14ac:dyDescent="0.25">
      <c r="A3992" t="str">
        <f>"455705412"</f>
        <v>455705412</v>
      </c>
      <c r="B3992" t="str">
        <f t="shared" si="244"/>
        <v>89301000</v>
      </c>
      <c r="C3992" s="1">
        <v>44391</v>
      </c>
      <c r="D3992" s="1">
        <v>44393</v>
      </c>
      <c r="E3992">
        <v>1</v>
      </c>
      <c r="F3992" t="s">
        <v>1875</v>
      </c>
      <c r="G3992" t="str">
        <f>"05-K05-05"</f>
        <v>05-K05-05</v>
      </c>
      <c r="H3992">
        <v>0.37819999999999998</v>
      </c>
      <c r="I3992" t="s">
        <v>2859</v>
      </c>
      <c r="J3992" t="s">
        <v>14</v>
      </c>
      <c r="K3992" t="str">
        <f>"1F7"</f>
        <v>1F7</v>
      </c>
      <c r="L3992" t="s">
        <v>15</v>
      </c>
    </row>
    <row r="3993" spans="1:12" x14ac:dyDescent="0.25">
      <c r="A3993" t="str">
        <f>"455705412"</f>
        <v>455705412</v>
      </c>
      <c r="B3993" t="str">
        <f t="shared" si="244"/>
        <v>89301000</v>
      </c>
      <c r="C3993" s="1">
        <v>44426</v>
      </c>
      <c r="D3993" s="1">
        <v>44428</v>
      </c>
      <c r="E3993">
        <v>1</v>
      </c>
      <c r="F3993" t="s">
        <v>1604</v>
      </c>
      <c r="G3993" t="str">
        <f>"05-I25-03"</f>
        <v>05-I25-03</v>
      </c>
      <c r="H3993">
        <v>1.5508</v>
      </c>
      <c r="I3993" t="s">
        <v>2860</v>
      </c>
      <c r="J3993" t="s">
        <v>17</v>
      </c>
      <c r="K3993" t="str">
        <f>"1F1"</f>
        <v>1F1</v>
      </c>
      <c r="L3993" t="s">
        <v>15</v>
      </c>
    </row>
    <row r="3994" spans="1:12" x14ac:dyDescent="0.25">
      <c r="A3994" t="str">
        <f>"455709712"</f>
        <v>455709712</v>
      </c>
      <c r="B3994" t="str">
        <f t="shared" si="244"/>
        <v>89301000</v>
      </c>
      <c r="C3994" s="1">
        <v>44543</v>
      </c>
      <c r="D3994" s="1">
        <v>44558</v>
      </c>
      <c r="E3994">
        <v>1</v>
      </c>
      <c r="F3994" t="s">
        <v>1994</v>
      </c>
      <c r="G3994" t="str">
        <f>"10-K12-02"</f>
        <v>10-K12-02</v>
      </c>
      <c r="H3994">
        <v>0.94830000000000003</v>
      </c>
      <c r="I3994" t="s">
        <v>2861</v>
      </c>
      <c r="J3994" t="s">
        <v>14</v>
      </c>
      <c r="K3994" t="str">
        <f>"1F6"</f>
        <v>1F6</v>
      </c>
      <c r="L3994" t="s">
        <v>15</v>
      </c>
    </row>
    <row r="3995" spans="1:12" x14ac:dyDescent="0.25">
      <c r="A3995" t="str">
        <f>"455718405"</f>
        <v>455718405</v>
      </c>
      <c r="B3995" t="str">
        <f t="shared" si="244"/>
        <v>89301000</v>
      </c>
      <c r="C3995" s="1">
        <v>44447</v>
      </c>
      <c r="D3995" s="1">
        <v>44459</v>
      </c>
      <c r="E3995">
        <v>2</v>
      </c>
      <c r="F3995" t="s">
        <v>2862</v>
      </c>
      <c r="G3995" t="str">
        <f>"01-K10-03"</f>
        <v>01-K10-03</v>
      </c>
      <c r="H3995">
        <v>1.0016</v>
      </c>
      <c r="I3995" t="s">
        <v>2863</v>
      </c>
      <c r="J3995" t="s">
        <v>14</v>
      </c>
      <c r="K3995" t="str">
        <f>"2F9"</f>
        <v>2F9</v>
      </c>
      <c r="L3995" t="s">
        <v>15</v>
      </c>
    </row>
    <row r="3996" spans="1:12" x14ac:dyDescent="0.25">
      <c r="A3996" t="str">
        <f>"455722447"</f>
        <v>455722447</v>
      </c>
      <c r="B3996" t="str">
        <f t="shared" si="244"/>
        <v>89301000</v>
      </c>
      <c r="C3996" s="1">
        <v>44466</v>
      </c>
      <c r="D3996" s="1">
        <v>44473</v>
      </c>
      <c r="E3996">
        <v>1</v>
      </c>
      <c r="F3996" t="s">
        <v>2864</v>
      </c>
      <c r="G3996" t="str">
        <f>"19-K03-03"</f>
        <v>19-K03-03</v>
      </c>
      <c r="H3996">
        <v>0.93169999999999997</v>
      </c>
      <c r="I3996" t="s">
        <v>2865</v>
      </c>
      <c r="J3996" t="s">
        <v>27</v>
      </c>
      <c r="K3996" t="str">
        <f>"3F5"</f>
        <v>3F5</v>
      </c>
      <c r="L3996" t="s">
        <v>15</v>
      </c>
    </row>
    <row r="3997" spans="1:12" x14ac:dyDescent="0.25">
      <c r="A3997" t="str">
        <f>"455808466"</f>
        <v>455808466</v>
      </c>
      <c r="B3997" t="str">
        <f t="shared" si="244"/>
        <v>89301000</v>
      </c>
      <c r="C3997" s="1">
        <v>44501</v>
      </c>
      <c r="D3997" s="1">
        <v>44502</v>
      </c>
      <c r="E3997">
        <v>1</v>
      </c>
      <c r="F3997" t="s">
        <v>1557</v>
      </c>
      <c r="G3997" t="str">
        <f>"05-D01-08"</f>
        <v>05-D01-08</v>
      </c>
      <c r="H3997">
        <v>0.4093</v>
      </c>
      <c r="J3997" t="s">
        <v>14</v>
      </c>
      <c r="K3997" t="str">
        <f>"1F1"</f>
        <v>1F1</v>
      </c>
      <c r="L3997" t="s">
        <v>15</v>
      </c>
    </row>
    <row r="3998" spans="1:12" x14ac:dyDescent="0.25">
      <c r="A3998" t="str">
        <f>"455812439"</f>
        <v>455812439</v>
      </c>
      <c r="B3998" t="str">
        <f t="shared" si="244"/>
        <v>89301000</v>
      </c>
      <c r="C3998" s="1">
        <v>44385</v>
      </c>
      <c r="D3998" s="1">
        <v>44386</v>
      </c>
      <c r="E3998">
        <v>1</v>
      </c>
      <c r="F3998" t="s">
        <v>1962</v>
      </c>
      <c r="G3998" t="str">
        <f>"04-K15-03"</f>
        <v>04-K15-03</v>
      </c>
      <c r="H3998">
        <v>0.49009999999999998</v>
      </c>
      <c r="I3998" t="s">
        <v>1959</v>
      </c>
      <c r="J3998" t="s">
        <v>14</v>
      </c>
      <c r="K3998" t="str">
        <f>"1F1"</f>
        <v>1F1</v>
      </c>
      <c r="L3998" t="s">
        <v>15</v>
      </c>
    </row>
    <row r="3999" spans="1:12" x14ac:dyDescent="0.25">
      <c r="A3999" t="str">
        <f>"455820440"</f>
        <v>455820440</v>
      </c>
      <c r="B3999" t="str">
        <f t="shared" si="244"/>
        <v>89301000</v>
      </c>
      <c r="C3999" s="1">
        <v>44267</v>
      </c>
      <c r="D3999" s="1">
        <v>44273</v>
      </c>
      <c r="E3999">
        <v>1</v>
      </c>
      <c r="F3999" t="s">
        <v>1878</v>
      </c>
      <c r="G3999" t="str">
        <f>"10-K12-03"</f>
        <v>10-K12-03</v>
      </c>
      <c r="H3999">
        <v>0.50629999999999997</v>
      </c>
      <c r="I3999" t="s">
        <v>2866</v>
      </c>
      <c r="J3999" t="s">
        <v>14</v>
      </c>
      <c r="K3999" t="str">
        <f>"1F1"</f>
        <v>1F1</v>
      </c>
      <c r="L3999" t="s">
        <v>15</v>
      </c>
    </row>
    <row r="4000" spans="1:12" x14ac:dyDescent="0.25">
      <c r="A4000" t="str">
        <f>"455823710"</f>
        <v>455823710</v>
      </c>
      <c r="B4000" t="str">
        <f t="shared" si="244"/>
        <v>89301000</v>
      </c>
      <c r="C4000" s="1">
        <v>44531</v>
      </c>
      <c r="D4000" s="1">
        <v>44550</v>
      </c>
      <c r="E4000">
        <v>1</v>
      </c>
      <c r="F4000" t="s">
        <v>487</v>
      </c>
      <c r="G4000" t="str">
        <f>"25-I02-01"</f>
        <v>25-I02-01</v>
      </c>
      <c r="H4000">
        <v>8.7658000000000005</v>
      </c>
      <c r="I4000" t="s">
        <v>2867</v>
      </c>
      <c r="J4000" t="s">
        <v>17</v>
      </c>
      <c r="K4000" t="str">
        <f>"5F6"</f>
        <v>5F6</v>
      </c>
      <c r="L4000" t="s">
        <v>15</v>
      </c>
    </row>
    <row r="4001" spans="1:12" x14ac:dyDescent="0.25">
      <c r="A4001" t="str">
        <f>"455823710"</f>
        <v>455823710</v>
      </c>
      <c r="B4001" t="str">
        <f t="shared" si="244"/>
        <v>89301000</v>
      </c>
      <c r="C4001" s="1">
        <v>44209</v>
      </c>
      <c r="D4001" s="1">
        <v>44217</v>
      </c>
      <c r="E4001">
        <v>1</v>
      </c>
      <c r="F4001" t="s">
        <v>2171</v>
      </c>
      <c r="G4001" t="str">
        <f>"19-K02-03"</f>
        <v>19-K02-03</v>
      </c>
      <c r="H4001">
        <v>0.67269999999999996</v>
      </c>
      <c r="I4001" t="s">
        <v>2868</v>
      </c>
      <c r="J4001" t="s">
        <v>27</v>
      </c>
      <c r="K4001" t="str">
        <f>"2F9"</f>
        <v>2F9</v>
      </c>
      <c r="L4001" t="s">
        <v>15</v>
      </c>
    </row>
    <row r="4002" spans="1:12" x14ac:dyDescent="0.25">
      <c r="A4002" t="str">
        <f>"455828416"</f>
        <v>455828416</v>
      </c>
      <c r="B4002" t="str">
        <f t="shared" si="244"/>
        <v>89301000</v>
      </c>
      <c r="C4002" s="1">
        <v>44378</v>
      </c>
      <c r="D4002" s="1">
        <v>44384</v>
      </c>
      <c r="E4002">
        <v>1</v>
      </c>
      <c r="F4002" t="s">
        <v>1551</v>
      </c>
      <c r="G4002" t="str">
        <f>"09-I06-04"</f>
        <v>09-I06-04</v>
      </c>
      <c r="H4002">
        <v>0.98829999999999996</v>
      </c>
      <c r="I4002" t="s">
        <v>2119</v>
      </c>
      <c r="J4002" t="s">
        <v>17</v>
      </c>
      <c r="K4002" t="str">
        <f>"5F1"</f>
        <v>5F1</v>
      </c>
      <c r="L4002" t="s">
        <v>15</v>
      </c>
    </row>
    <row r="4003" spans="1:12" x14ac:dyDescent="0.25">
      <c r="A4003" t="str">
        <f>"455830406"</f>
        <v>455830406</v>
      </c>
      <c r="B4003" t="str">
        <f t="shared" si="244"/>
        <v>89301000</v>
      </c>
      <c r="C4003" s="1">
        <v>44467</v>
      </c>
      <c r="D4003" s="1">
        <v>44473</v>
      </c>
      <c r="E4003">
        <v>3</v>
      </c>
      <c r="F4003" t="s">
        <v>1615</v>
      </c>
      <c r="G4003" t="str">
        <f>"08-I13-05"</f>
        <v>08-I13-05</v>
      </c>
      <c r="H4003">
        <v>2.1778</v>
      </c>
      <c r="I4003" t="s">
        <v>2869</v>
      </c>
      <c r="J4003" t="s">
        <v>17</v>
      </c>
      <c r="K4003" t="str">
        <f>"5F3"</f>
        <v>5F3</v>
      </c>
      <c r="L4003" t="s">
        <v>15</v>
      </c>
    </row>
    <row r="4004" spans="1:12" x14ac:dyDescent="0.25">
      <c r="A4004" t="str">
        <f>"455830406"</f>
        <v>455830406</v>
      </c>
      <c r="B4004" t="str">
        <f t="shared" si="244"/>
        <v>89301000</v>
      </c>
      <c r="C4004" s="1">
        <v>44491</v>
      </c>
      <c r="D4004" s="1">
        <v>44502</v>
      </c>
      <c r="E4004">
        <v>1</v>
      </c>
      <c r="F4004" t="s">
        <v>1615</v>
      </c>
      <c r="G4004" t="str">
        <f>"08-K12-01"</f>
        <v>08-K12-01</v>
      </c>
      <c r="H4004">
        <v>1.5250999999999999</v>
      </c>
      <c r="I4004" t="s">
        <v>2870</v>
      </c>
      <c r="J4004" t="s">
        <v>14</v>
      </c>
      <c r="K4004" t="str">
        <f>"1F6"</f>
        <v>1F6</v>
      </c>
      <c r="L4004" t="s">
        <v>15</v>
      </c>
    </row>
    <row r="4005" spans="1:12" x14ac:dyDescent="0.25">
      <c r="A4005" t="str">
        <f>"455830406"</f>
        <v>455830406</v>
      </c>
      <c r="B4005" t="str">
        <f t="shared" si="244"/>
        <v>89301000</v>
      </c>
      <c r="C4005" s="1">
        <v>44512</v>
      </c>
      <c r="D4005" s="1">
        <v>44517</v>
      </c>
      <c r="E4005">
        <v>7</v>
      </c>
      <c r="F4005" t="s">
        <v>290</v>
      </c>
      <c r="G4005" t="str">
        <f>"00-M01-04"</f>
        <v>00-M01-04</v>
      </c>
      <c r="H4005">
        <v>6.85</v>
      </c>
      <c r="I4005" t="s">
        <v>2871</v>
      </c>
      <c r="J4005" t="s">
        <v>14</v>
      </c>
      <c r="K4005" t="str">
        <f>"5T1"</f>
        <v>5T1</v>
      </c>
      <c r="L4005" t="s">
        <v>15</v>
      </c>
    </row>
    <row r="4006" spans="1:12" x14ac:dyDescent="0.25">
      <c r="A4006" t="str">
        <f>"455830406"</f>
        <v>455830406</v>
      </c>
      <c r="B4006" t="str">
        <f t="shared" si="244"/>
        <v>89301000</v>
      </c>
      <c r="C4006" s="1">
        <v>44473</v>
      </c>
      <c r="D4006" s="1">
        <v>44491</v>
      </c>
      <c r="E4006">
        <v>3</v>
      </c>
      <c r="F4006" t="s">
        <v>109</v>
      </c>
      <c r="G4006" t="str">
        <f>"24-M08-02"</f>
        <v>24-M08-02</v>
      </c>
      <c r="H4006">
        <v>2.3557000000000001</v>
      </c>
      <c r="I4006" t="s">
        <v>2872</v>
      </c>
      <c r="J4006" t="s">
        <v>14</v>
      </c>
      <c r="K4006" t="str">
        <f>"2F1"</f>
        <v>2F1</v>
      </c>
      <c r="L4006" t="s">
        <v>15</v>
      </c>
    </row>
    <row r="4007" spans="1:12" x14ac:dyDescent="0.25">
      <c r="A4007" t="str">
        <f>"455831427"</f>
        <v>455831427</v>
      </c>
      <c r="B4007" t="str">
        <f t="shared" si="244"/>
        <v>89301000</v>
      </c>
      <c r="C4007" s="1">
        <v>44474</v>
      </c>
      <c r="D4007" s="1">
        <v>44477</v>
      </c>
      <c r="E4007">
        <v>1</v>
      </c>
      <c r="F4007" t="s">
        <v>300</v>
      </c>
      <c r="G4007" t="str">
        <f>"11-M03-02"</f>
        <v>11-M03-02</v>
      </c>
      <c r="H4007">
        <v>1.2824</v>
      </c>
      <c r="I4007" t="s">
        <v>2873</v>
      </c>
      <c r="J4007" t="s">
        <v>17</v>
      </c>
      <c r="K4007" t="str">
        <f>"7F6"</f>
        <v>7F6</v>
      </c>
      <c r="L4007" t="s">
        <v>15</v>
      </c>
    </row>
    <row r="4008" spans="1:12" x14ac:dyDescent="0.25">
      <c r="A4008" t="str">
        <f>"455902107"</f>
        <v>455902107</v>
      </c>
      <c r="B4008" t="str">
        <f t="shared" si="244"/>
        <v>89301000</v>
      </c>
      <c r="C4008" s="1">
        <v>44480</v>
      </c>
      <c r="D4008" s="1">
        <v>44484</v>
      </c>
      <c r="E4008">
        <v>1</v>
      </c>
      <c r="F4008" t="s">
        <v>2171</v>
      </c>
      <c r="G4008" t="str">
        <f>"19-K02-03"</f>
        <v>19-K02-03</v>
      </c>
      <c r="H4008">
        <v>0.67269999999999996</v>
      </c>
      <c r="I4008" t="s">
        <v>2874</v>
      </c>
      <c r="J4008" t="s">
        <v>27</v>
      </c>
      <c r="K4008" t="str">
        <f>"2F9"</f>
        <v>2F9</v>
      </c>
      <c r="L4008" t="s">
        <v>15</v>
      </c>
    </row>
    <row r="4009" spans="1:12" x14ac:dyDescent="0.25">
      <c r="A4009" t="str">
        <f>"455902129"</f>
        <v>455902129</v>
      </c>
      <c r="B4009" t="str">
        <f t="shared" si="244"/>
        <v>89301000</v>
      </c>
      <c r="C4009" s="1">
        <v>44231</v>
      </c>
      <c r="D4009" s="1">
        <v>44235</v>
      </c>
      <c r="E4009">
        <v>1</v>
      </c>
      <c r="F4009" t="s">
        <v>81</v>
      </c>
      <c r="G4009" t="str">
        <f>"10-I13-02"</f>
        <v>10-I13-02</v>
      </c>
      <c r="H4009">
        <v>1.1468</v>
      </c>
      <c r="I4009" t="s">
        <v>489</v>
      </c>
      <c r="J4009" t="s">
        <v>24</v>
      </c>
      <c r="K4009" t="str">
        <f>"5F5"</f>
        <v>5F5</v>
      </c>
      <c r="L4009" t="s">
        <v>15</v>
      </c>
    </row>
    <row r="4010" spans="1:12" x14ac:dyDescent="0.25">
      <c r="A4010" t="str">
        <f>"455902419"</f>
        <v>455902419</v>
      </c>
      <c r="B4010" t="str">
        <f t="shared" si="244"/>
        <v>89301000</v>
      </c>
      <c r="C4010" s="1">
        <v>44468</v>
      </c>
      <c r="D4010" s="1">
        <v>44487</v>
      </c>
      <c r="E4010">
        <v>1</v>
      </c>
      <c r="F4010" t="s">
        <v>1558</v>
      </c>
      <c r="G4010" t="str">
        <f>"05-I12-02"</f>
        <v>05-I12-02</v>
      </c>
      <c r="H4010">
        <v>8.3271999999999995</v>
      </c>
      <c r="I4010" t="s">
        <v>1557</v>
      </c>
      <c r="J4010" t="s">
        <v>17</v>
      </c>
      <c r="K4010" t="str">
        <f>"5F5"</f>
        <v>5F5</v>
      </c>
      <c r="L4010" t="s">
        <v>15</v>
      </c>
    </row>
    <row r="4011" spans="1:12" x14ac:dyDescent="0.25">
      <c r="A4011" t="str">
        <f>"455905440"</f>
        <v>455905440</v>
      </c>
      <c r="B4011" t="str">
        <f t="shared" si="244"/>
        <v>89301000</v>
      </c>
      <c r="C4011" s="1">
        <v>44281</v>
      </c>
      <c r="D4011" s="1">
        <v>44287</v>
      </c>
      <c r="E4011">
        <v>5</v>
      </c>
      <c r="F4011" t="s">
        <v>217</v>
      </c>
      <c r="G4011" t="str">
        <f>"04-K02-04"</f>
        <v>04-K02-04</v>
      </c>
      <c r="H4011">
        <v>0.82469999999999999</v>
      </c>
      <c r="I4011" t="s">
        <v>2875</v>
      </c>
      <c r="J4011" t="s">
        <v>14</v>
      </c>
      <c r="K4011" t="str">
        <f>"1F6"</f>
        <v>1F6</v>
      </c>
      <c r="L4011" t="s">
        <v>15</v>
      </c>
    </row>
    <row r="4012" spans="1:12" x14ac:dyDescent="0.25">
      <c r="A4012" t="str">
        <f>"455910701"</f>
        <v>455910701</v>
      </c>
      <c r="B4012" t="str">
        <f t="shared" si="244"/>
        <v>89301000</v>
      </c>
      <c r="C4012" s="1">
        <v>44452</v>
      </c>
      <c r="D4012" s="1">
        <v>44456</v>
      </c>
      <c r="E4012">
        <v>1</v>
      </c>
      <c r="F4012" t="s">
        <v>2120</v>
      </c>
      <c r="G4012" t="str">
        <f>"06-K07-02"</f>
        <v>06-K07-02</v>
      </c>
      <c r="H4012">
        <v>0.44419999999999998</v>
      </c>
      <c r="I4012" t="s">
        <v>2876</v>
      </c>
      <c r="J4012" t="s">
        <v>14</v>
      </c>
      <c r="K4012" t="str">
        <f>"1F1"</f>
        <v>1F1</v>
      </c>
      <c r="L4012" t="s">
        <v>15</v>
      </c>
    </row>
    <row r="4013" spans="1:12" x14ac:dyDescent="0.25">
      <c r="A4013" t="str">
        <f>"455920163"</f>
        <v>455920163</v>
      </c>
      <c r="B4013" t="str">
        <f t="shared" si="244"/>
        <v>89301000</v>
      </c>
      <c r="C4013" s="1">
        <v>44427</v>
      </c>
      <c r="D4013" s="1">
        <v>44428</v>
      </c>
      <c r="E4013">
        <v>1</v>
      </c>
      <c r="F4013" t="s">
        <v>1548</v>
      </c>
      <c r="G4013" t="str">
        <f>"05-D01-06"</f>
        <v>05-D01-06</v>
      </c>
      <c r="H4013">
        <v>0.7611</v>
      </c>
      <c r="I4013" t="s">
        <v>2877</v>
      </c>
      <c r="J4013" t="s">
        <v>14</v>
      </c>
      <c r="K4013" t="str">
        <f>"1F7"</f>
        <v>1F7</v>
      </c>
      <c r="L4013" t="s">
        <v>15</v>
      </c>
    </row>
    <row r="4014" spans="1:12" x14ac:dyDescent="0.25">
      <c r="A4014" t="str">
        <f>"456004135"</f>
        <v>456004135</v>
      </c>
      <c r="B4014" t="str">
        <f t="shared" si="244"/>
        <v>89301000</v>
      </c>
      <c r="C4014" s="1">
        <v>44221</v>
      </c>
      <c r="D4014" s="1">
        <v>44222</v>
      </c>
      <c r="E4014">
        <v>1</v>
      </c>
      <c r="F4014" t="s">
        <v>2221</v>
      </c>
      <c r="G4014" t="str">
        <f>"06-K14-02"</f>
        <v>06-K14-02</v>
      </c>
      <c r="H4014">
        <v>0.57279999999999998</v>
      </c>
      <c r="I4014" t="s">
        <v>2878</v>
      </c>
      <c r="J4014" t="s">
        <v>14</v>
      </c>
      <c r="K4014" t="str">
        <f>"4F2"</f>
        <v>4F2</v>
      </c>
      <c r="L4014" t="s">
        <v>15</v>
      </c>
    </row>
    <row r="4015" spans="1:12" x14ac:dyDescent="0.25">
      <c r="A4015" t="str">
        <f>"456006445"</f>
        <v>456006445</v>
      </c>
      <c r="B4015" t="str">
        <f t="shared" si="244"/>
        <v>89301000</v>
      </c>
      <c r="C4015" s="1">
        <v>44217</v>
      </c>
      <c r="D4015" s="1">
        <v>44221</v>
      </c>
      <c r="E4015">
        <v>5</v>
      </c>
      <c r="F4015" t="s">
        <v>217</v>
      </c>
      <c r="G4015" t="str">
        <f>"04-K02-02"</f>
        <v>04-K02-02</v>
      </c>
      <c r="H4015">
        <v>2.5186000000000002</v>
      </c>
      <c r="I4015" t="s">
        <v>2879</v>
      </c>
      <c r="J4015" t="s">
        <v>14</v>
      </c>
      <c r="K4015" t="str">
        <f>"1F1"</f>
        <v>1F1</v>
      </c>
      <c r="L4015" t="s">
        <v>15</v>
      </c>
    </row>
    <row r="4016" spans="1:12" x14ac:dyDescent="0.25">
      <c r="A4016" t="str">
        <f>"456006445"</f>
        <v>456006445</v>
      </c>
      <c r="B4016" t="str">
        <f t="shared" si="244"/>
        <v>89301000</v>
      </c>
      <c r="C4016" s="1">
        <v>44246</v>
      </c>
      <c r="D4016" s="1">
        <v>44251</v>
      </c>
      <c r="E4016">
        <v>1</v>
      </c>
      <c r="F4016" t="s">
        <v>2880</v>
      </c>
      <c r="G4016" t="str">
        <f>"05-K15-01"</f>
        <v>05-K15-01</v>
      </c>
      <c r="H4016">
        <v>0.83189999999999997</v>
      </c>
      <c r="I4016" t="s">
        <v>2881</v>
      </c>
      <c r="J4016" t="s">
        <v>14</v>
      </c>
      <c r="K4016" t="str">
        <f>"2F5"</f>
        <v>2F5</v>
      </c>
      <c r="L4016" t="s">
        <v>15</v>
      </c>
    </row>
    <row r="4017" spans="1:12" x14ac:dyDescent="0.25">
      <c r="A4017" t="str">
        <f>"456007423"</f>
        <v>456007423</v>
      </c>
      <c r="B4017" t="str">
        <f t="shared" si="244"/>
        <v>89301000</v>
      </c>
      <c r="C4017" s="1">
        <v>44482</v>
      </c>
      <c r="D4017" s="1">
        <v>44484</v>
      </c>
      <c r="E4017">
        <v>1</v>
      </c>
      <c r="F4017" t="s">
        <v>1256</v>
      </c>
      <c r="G4017" t="str">
        <f>"01-K03-07"</f>
        <v>01-K03-07</v>
      </c>
      <c r="H4017">
        <v>0.60250000000000004</v>
      </c>
      <c r="I4017" t="s">
        <v>2882</v>
      </c>
      <c r="J4017" t="s">
        <v>14</v>
      </c>
      <c r="K4017" t="str">
        <f>"2F9"</f>
        <v>2F9</v>
      </c>
      <c r="L4017" t="s">
        <v>15</v>
      </c>
    </row>
    <row r="4018" spans="1:12" x14ac:dyDescent="0.25">
      <c r="A4018" t="str">
        <f>"456007423"</f>
        <v>456007423</v>
      </c>
      <c r="B4018" t="str">
        <f t="shared" si="244"/>
        <v>89301000</v>
      </c>
      <c r="C4018" s="1">
        <v>44437</v>
      </c>
      <c r="D4018" s="1">
        <v>44442</v>
      </c>
      <c r="E4018">
        <v>1</v>
      </c>
      <c r="F4018" t="s">
        <v>1660</v>
      </c>
      <c r="G4018" t="str">
        <f>"01-K12-01"</f>
        <v>01-K12-01</v>
      </c>
      <c r="H4018">
        <v>0.71289999999999998</v>
      </c>
      <c r="I4018" t="s">
        <v>2883</v>
      </c>
      <c r="J4018" t="s">
        <v>14</v>
      </c>
      <c r="K4018" t="str">
        <f>"2F9"</f>
        <v>2F9</v>
      </c>
      <c r="L4018" t="s">
        <v>15</v>
      </c>
    </row>
    <row r="4019" spans="1:12" x14ac:dyDescent="0.25">
      <c r="A4019" t="str">
        <f>"456007423"</f>
        <v>456007423</v>
      </c>
      <c r="B4019" t="str">
        <f t="shared" si="244"/>
        <v>89301000</v>
      </c>
      <c r="C4019" s="1">
        <v>44356</v>
      </c>
      <c r="D4019" s="1">
        <v>44362</v>
      </c>
      <c r="E4019">
        <v>1</v>
      </c>
      <c r="F4019" t="s">
        <v>699</v>
      </c>
      <c r="G4019" t="str">
        <f>"16-K02-01"</f>
        <v>16-K02-01</v>
      </c>
      <c r="H4019">
        <v>1.2647999999999999</v>
      </c>
      <c r="I4019" t="s">
        <v>2884</v>
      </c>
      <c r="J4019" t="s">
        <v>14</v>
      </c>
      <c r="K4019" t="str">
        <f>"1F1"</f>
        <v>1F1</v>
      </c>
      <c r="L4019" t="s">
        <v>15</v>
      </c>
    </row>
    <row r="4020" spans="1:12" x14ac:dyDescent="0.25">
      <c r="A4020" t="str">
        <f>"456008425"</f>
        <v>456008425</v>
      </c>
      <c r="B4020" t="str">
        <f t="shared" si="244"/>
        <v>89301000</v>
      </c>
      <c r="C4020" s="1">
        <v>44409</v>
      </c>
      <c r="D4020" s="1">
        <v>44413</v>
      </c>
      <c r="E4020">
        <v>1</v>
      </c>
      <c r="F4020" t="s">
        <v>1626</v>
      </c>
      <c r="G4020" t="str">
        <f>"02-K05-01"</f>
        <v>02-K05-01</v>
      </c>
      <c r="H4020">
        <v>0.67849999999999999</v>
      </c>
      <c r="I4020" t="s">
        <v>2885</v>
      </c>
      <c r="J4020" t="s">
        <v>14</v>
      </c>
      <c r="K4020" t="str">
        <f>"7F5"</f>
        <v>7F5</v>
      </c>
      <c r="L4020" t="s">
        <v>15</v>
      </c>
    </row>
    <row r="4021" spans="1:12" x14ac:dyDescent="0.25">
      <c r="A4021" t="str">
        <f>"456008436"</f>
        <v>456008436</v>
      </c>
      <c r="B4021" t="str">
        <f t="shared" si="244"/>
        <v>89301000</v>
      </c>
      <c r="C4021" s="1">
        <v>44543</v>
      </c>
      <c r="D4021" s="1">
        <v>44546</v>
      </c>
      <c r="E4021">
        <v>1</v>
      </c>
      <c r="F4021" t="s">
        <v>2886</v>
      </c>
      <c r="G4021" t="str">
        <f>"09-K08-02"</f>
        <v>09-K08-02</v>
      </c>
      <c r="H4021">
        <v>0.54849999999999999</v>
      </c>
      <c r="I4021" t="s">
        <v>145</v>
      </c>
      <c r="J4021" t="s">
        <v>14</v>
      </c>
      <c r="K4021" t="str">
        <f>"4F2"</f>
        <v>4F2</v>
      </c>
      <c r="L4021" t="s">
        <v>15</v>
      </c>
    </row>
    <row r="4022" spans="1:12" x14ac:dyDescent="0.25">
      <c r="A4022" t="str">
        <f>"456017424"</f>
        <v>456017424</v>
      </c>
      <c r="B4022" t="str">
        <f t="shared" si="244"/>
        <v>89301000</v>
      </c>
      <c r="C4022" s="1">
        <v>44369</v>
      </c>
      <c r="D4022" s="1">
        <v>44371</v>
      </c>
      <c r="E4022">
        <v>1</v>
      </c>
      <c r="F4022" t="s">
        <v>588</v>
      </c>
      <c r="G4022" t="str">
        <f>"07-M02-03"</f>
        <v>07-M02-03</v>
      </c>
      <c r="H4022">
        <v>1.2850999999999999</v>
      </c>
      <c r="I4022" t="s">
        <v>2887</v>
      </c>
      <c r="J4022" t="s">
        <v>17</v>
      </c>
      <c r="K4022" t="str">
        <f>"1F1"</f>
        <v>1F1</v>
      </c>
      <c r="L4022" t="s">
        <v>15</v>
      </c>
    </row>
    <row r="4023" spans="1:12" x14ac:dyDescent="0.25">
      <c r="A4023" t="str">
        <f>"456017424"</f>
        <v>456017424</v>
      </c>
      <c r="B4023" t="str">
        <f t="shared" si="244"/>
        <v>89301000</v>
      </c>
      <c r="C4023" s="1">
        <v>44327</v>
      </c>
      <c r="D4023" s="1">
        <v>44330</v>
      </c>
      <c r="E4023">
        <v>5</v>
      </c>
      <c r="F4023" t="s">
        <v>332</v>
      </c>
      <c r="G4023" t="str">
        <f>"07-M02-03"</f>
        <v>07-M02-03</v>
      </c>
      <c r="H4023">
        <v>1.6496999999999999</v>
      </c>
      <c r="I4023" t="s">
        <v>2888</v>
      </c>
      <c r="J4023" t="s">
        <v>17</v>
      </c>
      <c r="K4023" t="str">
        <f>"1F5"</f>
        <v>1F5</v>
      </c>
      <c r="L4023" t="s">
        <v>15</v>
      </c>
    </row>
    <row r="4024" spans="1:12" x14ac:dyDescent="0.25">
      <c r="A4024" t="str">
        <f>"456103413"</f>
        <v>456103413</v>
      </c>
      <c r="B4024" t="str">
        <f t="shared" si="244"/>
        <v>89301000</v>
      </c>
      <c r="C4024" s="1">
        <v>44505</v>
      </c>
      <c r="D4024" s="1">
        <v>44515</v>
      </c>
      <c r="E4024">
        <v>1</v>
      </c>
      <c r="F4024" t="s">
        <v>2270</v>
      </c>
      <c r="G4024" t="str">
        <f>"09-K03-01"</f>
        <v>09-K03-01</v>
      </c>
      <c r="H4024">
        <v>1.4508000000000001</v>
      </c>
      <c r="I4024" t="s">
        <v>2889</v>
      </c>
      <c r="J4024" t="s">
        <v>14</v>
      </c>
      <c r="K4024" t="str">
        <f>"4F4"</f>
        <v>4F4</v>
      </c>
      <c r="L4024" t="s">
        <v>15</v>
      </c>
    </row>
    <row r="4025" spans="1:12" x14ac:dyDescent="0.25">
      <c r="A4025" t="str">
        <f>"456106446"</f>
        <v>456106446</v>
      </c>
      <c r="B4025" t="str">
        <f t="shared" si="244"/>
        <v>89301000</v>
      </c>
      <c r="C4025" s="1">
        <v>44364</v>
      </c>
      <c r="D4025" s="1">
        <v>44379</v>
      </c>
      <c r="E4025">
        <v>1</v>
      </c>
      <c r="F4025" t="s">
        <v>1893</v>
      </c>
      <c r="G4025" t="str">
        <f>"04-K02-04"</f>
        <v>04-K02-04</v>
      </c>
      <c r="H4025">
        <v>0.88480000000000003</v>
      </c>
      <c r="I4025" t="s">
        <v>2890</v>
      </c>
      <c r="J4025" t="s">
        <v>14</v>
      </c>
      <c r="K4025" t="str">
        <f>"2F5"</f>
        <v>2F5</v>
      </c>
      <c r="L4025" t="s">
        <v>15</v>
      </c>
    </row>
    <row r="4026" spans="1:12" x14ac:dyDescent="0.25">
      <c r="A4026" t="str">
        <f>"456106446"</f>
        <v>456106446</v>
      </c>
      <c r="B4026" t="str">
        <f t="shared" si="244"/>
        <v>89301000</v>
      </c>
      <c r="C4026" s="1">
        <v>44474</v>
      </c>
      <c r="D4026" s="1">
        <v>44482</v>
      </c>
      <c r="E4026">
        <v>1</v>
      </c>
      <c r="F4026" t="s">
        <v>1602</v>
      </c>
      <c r="G4026" t="str">
        <f>"05-K07-04"</f>
        <v>05-K07-04</v>
      </c>
      <c r="H4026">
        <v>1.131</v>
      </c>
      <c r="I4026" t="s">
        <v>2891</v>
      </c>
      <c r="J4026" t="s">
        <v>14</v>
      </c>
      <c r="K4026" t="str">
        <f>"1F9"</f>
        <v>1F9</v>
      </c>
      <c r="L4026" t="s">
        <v>15</v>
      </c>
    </row>
    <row r="4027" spans="1:12" x14ac:dyDescent="0.25">
      <c r="A4027" t="str">
        <f>"456108432"</f>
        <v>456108432</v>
      </c>
      <c r="B4027" t="str">
        <f t="shared" si="244"/>
        <v>89301000</v>
      </c>
      <c r="C4027" s="1">
        <v>44274</v>
      </c>
      <c r="D4027" s="1">
        <v>44278</v>
      </c>
      <c r="E4027">
        <v>5</v>
      </c>
      <c r="F4027" t="s">
        <v>217</v>
      </c>
      <c r="G4027" t="str">
        <f>"04-K02-03"</f>
        <v>04-K02-03</v>
      </c>
      <c r="H4027">
        <v>1.2859</v>
      </c>
      <c r="I4027" t="s">
        <v>2892</v>
      </c>
      <c r="J4027" t="s">
        <v>14</v>
      </c>
      <c r="K4027" t="str">
        <f>"5F1"</f>
        <v>5F1</v>
      </c>
      <c r="L4027" t="s">
        <v>15</v>
      </c>
    </row>
    <row r="4028" spans="1:12" x14ac:dyDescent="0.25">
      <c r="A4028" t="str">
        <f>"456108432"</f>
        <v>456108432</v>
      </c>
      <c r="B4028" t="str">
        <f t="shared" si="244"/>
        <v>89301000</v>
      </c>
      <c r="C4028" s="1">
        <v>44240</v>
      </c>
      <c r="D4028" s="1">
        <v>44246</v>
      </c>
      <c r="E4028">
        <v>1</v>
      </c>
      <c r="F4028" t="s">
        <v>979</v>
      </c>
      <c r="G4028" t="str">
        <f>"04-K02-04"</f>
        <v>04-K02-04</v>
      </c>
      <c r="H4028">
        <v>0.82469999999999999</v>
      </c>
      <c r="I4028" t="s">
        <v>2893</v>
      </c>
      <c r="J4028" t="s">
        <v>14</v>
      </c>
      <c r="K4028" t="str">
        <f>"1F5"</f>
        <v>1F5</v>
      </c>
      <c r="L4028" t="s">
        <v>15</v>
      </c>
    </row>
    <row r="4029" spans="1:12" x14ac:dyDescent="0.25">
      <c r="A4029" t="str">
        <f>"456116144"</f>
        <v>456116144</v>
      </c>
      <c r="B4029" t="str">
        <f t="shared" si="244"/>
        <v>89301000</v>
      </c>
      <c r="C4029" s="1">
        <v>44504</v>
      </c>
      <c r="D4029" s="1">
        <v>44507</v>
      </c>
      <c r="E4029">
        <v>1</v>
      </c>
      <c r="F4029" t="s">
        <v>1551</v>
      </c>
      <c r="G4029" t="str">
        <f>"09-I06-04"</f>
        <v>09-I06-04</v>
      </c>
      <c r="H4029">
        <v>0.98829999999999996</v>
      </c>
      <c r="J4029" t="s">
        <v>17</v>
      </c>
      <c r="K4029" t="str">
        <f>"5F1"</f>
        <v>5F1</v>
      </c>
      <c r="L4029" t="s">
        <v>15</v>
      </c>
    </row>
    <row r="4030" spans="1:12" x14ac:dyDescent="0.25">
      <c r="A4030" t="str">
        <f>"456118437"</f>
        <v>456118437</v>
      </c>
      <c r="B4030" t="str">
        <f t="shared" si="244"/>
        <v>89301000</v>
      </c>
      <c r="C4030" s="1">
        <v>44534</v>
      </c>
      <c r="D4030" s="1">
        <v>44543</v>
      </c>
      <c r="E4030">
        <v>1</v>
      </c>
      <c r="F4030" t="s">
        <v>67</v>
      </c>
      <c r="G4030" t="str">
        <f>"01-C02-02"</f>
        <v>01-C02-02</v>
      </c>
      <c r="H4030">
        <v>1.4877</v>
      </c>
      <c r="I4030" t="s">
        <v>2894</v>
      </c>
      <c r="J4030" t="s">
        <v>14</v>
      </c>
      <c r="K4030" t="str">
        <f>"2F9"</f>
        <v>2F9</v>
      </c>
      <c r="L4030" t="s">
        <v>15</v>
      </c>
    </row>
    <row r="4031" spans="1:12" x14ac:dyDescent="0.25">
      <c r="A4031" t="str">
        <f>"456118437"</f>
        <v>456118437</v>
      </c>
      <c r="B4031" t="str">
        <f t="shared" si="244"/>
        <v>89301000</v>
      </c>
      <c r="C4031" s="1">
        <v>44476</v>
      </c>
      <c r="D4031" s="1">
        <v>44477</v>
      </c>
      <c r="E4031">
        <v>1</v>
      </c>
      <c r="F4031" t="s">
        <v>1962</v>
      </c>
      <c r="G4031" t="str">
        <f>"04-K15-03"</f>
        <v>04-K15-03</v>
      </c>
      <c r="H4031">
        <v>0.49009999999999998</v>
      </c>
      <c r="I4031" t="s">
        <v>2895</v>
      </c>
      <c r="J4031" t="s">
        <v>14</v>
      </c>
      <c r="K4031" t="str">
        <f>"1F7"</f>
        <v>1F7</v>
      </c>
      <c r="L4031" t="s">
        <v>15</v>
      </c>
    </row>
    <row r="4032" spans="1:12" x14ac:dyDescent="0.25">
      <c r="A4032" t="str">
        <f>"456118497"</f>
        <v>456118497</v>
      </c>
      <c r="B4032" t="str">
        <f t="shared" si="244"/>
        <v>89301000</v>
      </c>
      <c r="C4032" s="1">
        <v>44200</v>
      </c>
      <c r="D4032" s="1">
        <v>44200</v>
      </c>
      <c r="E4032">
        <v>1</v>
      </c>
      <c r="F4032" t="s">
        <v>1579</v>
      </c>
      <c r="G4032" t="str">
        <f>"05-I25-03"</f>
        <v>05-I25-03</v>
      </c>
      <c r="H4032">
        <v>1.2622</v>
      </c>
      <c r="J4032" t="s">
        <v>17</v>
      </c>
      <c r="K4032" t="str">
        <f>"1F1"</f>
        <v>1F1</v>
      </c>
      <c r="L4032" t="s">
        <v>15</v>
      </c>
    </row>
    <row r="4033" spans="1:12" x14ac:dyDescent="0.25">
      <c r="A4033" t="str">
        <f>"456122448"</f>
        <v>456122448</v>
      </c>
      <c r="B4033" t="str">
        <f t="shared" si="244"/>
        <v>89301000</v>
      </c>
      <c r="C4033" s="1">
        <v>44267</v>
      </c>
      <c r="D4033" s="1">
        <v>44272</v>
      </c>
      <c r="E4033">
        <v>1</v>
      </c>
      <c r="F4033" t="s">
        <v>2125</v>
      </c>
      <c r="G4033" t="str">
        <f>"01-K10-03"</f>
        <v>01-K10-03</v>
      </c>
      <c r="H4033">
        <v>1.0016</v>
      </c>
      <c r="I4033" t="s">
        <v>2305</v>
      </c>
      <c r="J4033" t="s">
        <v>14</v>
      </c>
      <c r="K4033" t="str">
        <f>"2F9"</f>
        <v>2F9</v>
      </c>
      <c r="L4033" t="s">
        <v>15</v>
      </c>
    </row>
    <row r="4034" spans="1:12" x14ac:dyDescent="0.25">
      <c r="A4034" t="str">
        <f>"456126401"</f>
        <v>456126401</v>
      </c>
      <c r="B4034" t="str">
        <f t="shared" si="244"/>
        <v>89301000</v>
      </c>
      <c r="C4034" s="1">
        <v>44474</v>
      </c>
      <c r="D4034" s="1">
        <v>44489</v>
      </c>
      <c r="E4034">
        <v>5</v>
      </c>
      <c r="F4034" t="s">
        <v>2896</v>
      </c>
      <c r="G4034" t="str">
        <f>"09-K08-02"</f>
        <v>09-K08-02</v>
      </c>
      <c r="H4034">
        <v>0.79930000000000001</v>
      </c>
      <c r="I4034" t="s">
        <v>2897</v>
      </c>
      <c r="J4034" t="s">
        <v>14</v>
      </c>
      <c r="K4034" t="str">
        <f>"4F2"</f>
        <v>4F2</v>
      </c>
      <c r="L4034" t="s">
        <v>15</v>
      </c>
    </row>
    <row r="4035" spans="1:12" x14ac:dyDescent="0.25">
      <c r="A4035" t="str">
        <f>"456126426"</f>
        <v>456126426</v>
      </c>
      <c r="B4035" t="str">
        <f t="shared" si="244"/>
        <v>89301000</v>
      </c>
      <c r="C4035" s="1">
        <v>44298</v>
      </c>
      <c r="D4035" s="1">
        <v>44301</v>
      </c>
      <c r="E4035">
        <v>1</v>
      </c>
      <c r="F4035" t="s">
        <v>738</v>
      </c>
      <c r="G4035" t="str">
        <f>"08-I09-03"</f>
        <v>08-I09-03</v>
      </c>
      <c r="H4035">
        <v>1.9427000000000001</v>
      </c>
      <c r="I4035" t="s">
        <v>21</v>
      </c>
      <c r="J4035" t="s">
        <v>24</v>
      </c>
      <c r="K4035" t="str">
        <f>"5F3"</f>
        <v>5F3</v>
      </c>
      <c r="L4035" t="s">
        <v>15</v>
      </c>
    </row>
    <row r="4036" spans="1:12" x14ac:dyDescent="0.25">
      <c r="A4036" t="str">
        <f>"456129440"</f>
        <v>456129440</v>
      </c>
      <c r="B4036" t="str">
        <f t="shared" si="244"/>
        <v>89301000</v>
      </c>
      <c r="C4036" s="1">
        <v>44447</v>
      </c>
      <c r="D4036" s="1">
        <v>44455</v>
      </c>
      <c r="E4036">
        <v>4</v>
      </c>
      <c r="F4036" t="s">
        <v>1968</v>
      </c>
      <c r="G4036" t="str">
        <f>"08-I05-04"</f>
        <v>08-I05-04</v>
      </c>
      <c r="H4036">
        <v>2.4581</v>
      </c>
      <c r="I4036" t="s">
        <v>2898</v>
      </c>
      <c r="J4036" t="s">
        <v>17</v>
      </c>
      <c r="K4036" t="str">
        <f>"6F6"</f>
        <v>6F6</v>
      </c>
      <c r="L4036" t="s">
        <v>15</v>
      </c>
    </row>
    <row r="4037" spans="1:12" x14ac:dyDescent="0.25">
      <c r="A4037" t="str">
        <f>"456129449"</f>
        <v>456129449</v>
      </c>
      <c r="B4037" t="str">
        <f t="shared" si="244"/>
        <v>89301000</v>
      </c>
      <c r="C4037" s="1">
        <v>44514</v>
      </c>
      <c r="D4037" s="1">
        <v>44515</v>
      </c>
      <c r="E4037">
        <v>4</v>
      </c>
      <c r="F4037" t="s">
        <v>2899</v>
      </c>
      <c r="G4037" t="str">
        <f>"01-K04-02"</f>
        <v>01-K04-02</v>
      </c>
      <c r="H4037">
        <v>0.53510000000000002</v>
      </c>
      <c r="I4037" t="s">
        <v>354</v>
      </c>
      <c r="J4037" t="s">
        <v>14</v>
      </c>
      <c r="K4037" t="str">
        <f>"1F1"</f>
        <v>1F1</v>
      </c>
      <c r="L4037" t="s">
        <v>15</v>
      </c>
    </row>
    <row r="4038" spans="1:12" x14ac:dyDescent="0.25">
      <c r="A4038" t="str">
        <f>"456204413"</f>
        <v>456204413</v>
      </c>
      <c r="B4038" t="str">
        <f t="shared" si="244"/>
        <v>89301000</v>
      </c>
      <c r="C4038" s="1">
        <v>44528</v>
      </c>
      <c r="D4038" s="1">
        <v>44532</v>
      </c>
      <c r="E4038">
        <v>1</v>
      </c>
      <c r="F4038" t="s">
        <v>2900</v>
      </c>
      <c r="G4038" t="str">
        <f>"10-I13-04"</f>
        <v>10-I13-04</v>
      </c>
      <c r="H4038">
        <v>0.66120000000000001</v>
      </c>
      <c r="I4038" t="s">
        <v>2321</v>
      </c>
      <c r="J4038" t="s">
        <v>24</v>
      </c>
      <c r="K4038" t="str">
        <f>"5F1"</f>
        <v>5F1</v>
      </c>
      <c r="L4038" t="s">
        <v>15</v>
      </c>
    </row>
    <row r="4039" spans="1:12" x14ac:dyDescent="0.25">
      <c r="A4039" t="str">
        <f>"456218442"</f>
        <v>456218442</v>
      </c>
      <c r="B4039" t="str">
        <f t="shared" si="244"/>
        <v>89301000</v>
      </c>
      <c r="C4039" s="1">
        <v>44241</v>
      </c>
      <c r="D4039" s="1">
        <v>44249</v>
      </c>
      <c r="E4039">
        <v>4</v>
      </c>
      <c r="F4039" t="s">
        <v>2407</v>
      </c>
      <c r="G4039" t="str">
        <f>"08-I06-04"</f>
        <v>08-I06-04</v>
      </c>
      <c r="H4039">
        <v>2.4260000000000002</v>
      </c>
      <c r="I4039" t="s">
        <v>2901</v>
      </c>
      <c r="J4039" t="s">
        <v>24</v>
      </c>
      <c r="K4039" t="str">
        <f>"6F6"</f>
        <v>6F6</v>
      </c>
      <c r="L4039" t="s">
        <v>15</v>
      </c>
    </row>
    <row r="4040" spans="1:12" x14ac:dyDescent="0.25">
      <c r="A4040" t="str">
        <f>"456222462"</f>
        <v>456222462</v>
      </c>
      <c r="B4040" t="str">
        <f t="shared" si="244"/>
        <v>89301000</v>
      </c>
      <c r="C4040" s="1">
        <v>44372</v>
      </c>
      <c r="D4040" s="1">
        <v>44375</v>
      </c>
      <c r="E4040">
        <v>1</v>
      </c>
      <c r="F4040" t="s">
        <v>28</v>
      </c>
      <c r="G4040" t="str">
        <f>"03-I12-04"</f>
        <v>03-I12-04</v>
      </c>
      <c r="H4040">
        <v>0.91359999999999997</v>
      </c>
      <c r="I4040" t="s">
        <v>1586</v>
      </c>
      <c r="J4040" t="s">
        <v>17</v>
      </c>
      <c r="K4040" t="str">
        <f>"7F1"</f>
        <v>7F1</v>
      </c>
      <c r="L4040" t="s">
        <v>15</v>
      </c>
    </row>
    <row r="4041" spans="1:12" x14ac:dyDescent="0.25">
      <c r="A4041" t="str">
        <f>"456225437"</f>
        <v>456225437</v>
      </c>
      <c r="B4041" t="str">
        <f t="shared" si="244"/>
        <v>89301000</v>
      </c>
      <c r="C4041" s="1">
        <v>44445</v>
      </c>
      <c r="D4041" s="1">
        <v>44447</v>
      </c>
      <c r="E4041">
        <v>1</v>
      </c>
      <c r="F4041" t="s">
        <v>2902</v>
      </c>
      <c r="G4041" t="str">
        <f>"07-K04-02"</f>
        <v>07-K04-02</v>
      </c>
      <c r="H4041">
        <v>1.1296999999999999</v>
      </c>
      <c r="I4041" t="s">
        <v>2903</v>
      </c>
      <c r="J4041" t="s">
        <v>14</v>
      </c>
      <c r="K4041" t="str">
        <f>"1F5"</f>
        <v>1F5</v>
      </c>
      <c r="L4041" t="s">
        <v>15</v>
      </c>
    </row>
    <row r="4042" spans="1:12" x14ac:dyDescent="0.25">
      <c r="A4042" t="str">
        <f>"456231095"</f>
        <v>456231095</v>
      </c>
      <c r="B4042" t="str">
        <f t="shared" si="244"/>
        <v>89301000</v>
      </c>
      <c r="C4042" s="1">
        <v>44410</v>
      </c>
      <c r="D4042" s="1">
        <v>44411</v>
      </c>
      <c r="E4042">
        <v>1</v>
      </c>
      <c r="F4042" t="s">
        <v>1650</v>
      </c>
      <c r="G4042" t="str">
        <f>"05-D01-06"</f>
        <v>05-D01-06</v>
      </c>
      <c r="H4042">
        <v>0.7611</v>
      </c>
      <c r="I4042" t="s">
        <v>489</v>
      </c>
      <c r="J4042" t="s">
        <v>14</v>
      </c>
      <c r="K4042" t="str">
        <f>"1F7"</f>
        <v>1F7</v>
      </c>
      <c r="L4042" t="s">
        <v>15</v>
      </c>
    </row>
    <row r="4043" spans="1:12" x14ac:dyDescent="0.25">
      <c r="A4043" t="str">
        <f>"460121408"</f>
        <v>460121408</v>
      </c>
      <c r="B4043" t="str">
        <f t="shared" si="244"/>
        <v>89301000</v>
      </c>
      <c r="C4043" s="1">
        <v>44461</v>
      </c>
      <c r="D4043" s="1">
        <v>44463</v>
      </c>
      <c r="E4043">
        <v>1</v>
      </c>
      <c r="F4043" t="s">
        <v>2721</v>
      </c>
      <c r="G4043" t="str">
        <f>"02-I08-02"</f>
        <v>02-I08-02</v>
      </c>
      <c r="H4043">
        <v>0.55269999999999997</v>
      </c>
      <c r="I4043" t="s">
        <v>2904</v>
      </c>
      <c r="J4043" t="s">
        <v>17</v>
      </c>
      <c r="K4043" t="str">
        <f>"7F5"</f>
        <v>7F5</v>
      </c>
      <c r="L4043" t="s">
        <v>15</v>
      </c>
    </row>
    <row r="4044" spans="1:12" x14ac:dyDescent="0.25">
      <c r="A4044" t="str">
        <f>"460123406"</f>
        <v>460123406</v>
      </c>
      <c r="B4044" t="str">
        <f t="shared" si="244"/>
        <v>89301000</v>
      </c>
      <c r="C4044" s="1">
        <v>44326</v>
      </c>
      <c r="D4044" s="1">
        <v>44334</v>
      </c>
      <c r="E4044">
        <v>1</v>
      </c>
      <c r="F4044" t="s">
        <v>38</v>
      </c>
      <c r="G4044" t="str">
        <f>"05-M06-02"</f>
        <v>05-M06-02</v>
      </c>
      <c r="H4044">
        <v>3.8521999999999998</v>
      </c>
      <c r="I4044" t="s">
        <v>2905</v>
      </c>
      <c r="J4044" t="s">
        <v>17</v>
      </c>
      <c r="K4044" t="str">
        <f>"1F1"</f>
        <v>1F1</v>
      </c>
      <c r="L4044" t="s">
        <v>15</v>
      </c>
    </row>
    <row r="4045" spans="1:12" x14ac:dyDescent="0.25">
      <c r="A4045" t="str">
        <f>"460123406"</f>
        <v>460123406</v>
      </c>
      <c r="B4045" t="str">
        <f t="shared" si="244"/>
        <v>89301000</v>
      </c>
      <c r="C4045" s="1">
        <v>44369</v>
      </c>
      <c r="D4045" s="1">
        <v>44371</v>
      </c>
      <c r="E4045">
        <v>1</v>
      </c>
      <c r="F4045" t="s">
        <v>1557</v>
      </c>
      <c r="G4045" t="str">
        <f>"05-M06-04"</f>
        <v>05-M06-04</v>
      </c>
      <c r="H4045">
        <v>2.1958000000000002</v>
      </c>
      <c r="J4045" t="s">
        <v>17</v>
      </c>
      <c r="K4045" t="str">
        <f>"1F7"</f>
        <v>1F7</v>
      </c>
      <c r="L4045" t="s">
        <v>15</v>
      </c>
    </row>
    <row r="4046" spans="1:12" x14ac:dyDescent="0.25">
      <c r="A4046" t="str">
        <f>"460127413"</f>
        <v>460127413</v>
      </c>
      <c r="B4046" t="str">
        <f t="shared" si="244"/>
        <v>89301000</v>
      </c>
      <c r="C4046" s="1">
        <v>44542</v>
      </c>
      <c r="D4046" s="1">
        <v>44551</v>
      </c>
      <c r="E4046">
        <v>2</v>
      </c>
      <c r="F4046" t="s">
        <v>2217</v>
      </c>
      <c r="G4046" t="str">
        <f>"07-K06-01"</f>
        <v>07-K06-01</v>
      </c>
      <c r="H4046">
        <v>1.0365</v>
      </c>
      <c r="I4046" t="s">
        <v>2906</v>
      </c>
      <c r="J4046" t="s">
        <v>14</v>
      </c>
      <c r="K4046" t="str">
        <f>"1F1"</f>
        <v>1F1</v>
      </c>
      <c r="L4046" t="s">
        <v>15</v>
      </c>
    </row>
    <row r="4047" spans="1:12" x14ac:dyDescent="0.25">
      <c r="A4047" t="str">
        <f>"460127413"</f>
        <v>460127413</v>
      </c>
      <c r="B4047" t="str">
        <f t="shared" si="244"/>
        <v>89301000</v>
      </c>
      <c r="C4047" s="1">
        <v>44474</v>
      </c>
      <c r="D4047" s="1">
        <v>44477</v>
      </c>
      <c r="E4047">
        <v>1</v>
      </c>
      <c r="F4047" t="s">
        <v>2907</v>
      </c>
      <c r="G4047" t="str">
        <f>"03-I18-02"</f>
        <v>03-I18-02</v>
      </c>
      <c r="H4047">
        <v>0.84370000000000001</v>
      </c>
      <c r="I4047" t="s">
        <v>2908</v>
      </c>
      <c r="J4047" t="s">
        <v>24</v>
      </c>
      <c r="K4047" t="str">
        <f>"7F1"</f>
        <v>7F1</v>
      </c>
      <c r="L4047" t="s">
        <v>15</v>
      </c>
    </row>
    <row r="4048" spans="1:12" x14ac:dyDescent="0.25">
      <c r="A4048" t="str">
        <f>"460128174"</f>
        <v>460128174</v>
      </c>
      <c r="B4048" t="str">
        <f t="shared" si="244"/>
        <v>89301000</v>
      </c>
      <c r="C4048" s="1">
        <v>44500</v>
      </c>
      <c r="D4048" s="1">
        <v>44505</v>
      </c>
      <c r="E4048">
        <v>1</v>
      </c>
      <c r="F4048" t="s">
        <v>2350</v>
      </c>
      <c r="G4048" t="str">
        <f>"01-I09-02"</f>
        <v>01-I09-02</v>
      </c>
      <c r="H4048">
        <v>1.5302</v>
      </c>
      <c r="I4048" t="s">
        <v>2909</v>
      </c>
      <c r="J4048" t="s">
        <v>17</v>
      </c>
      <c r="K4048" t="str">
        <f>"5F1"</f>
        <v>5F1</v>
      </c>
      <c r="L4048" t="s">
        <v>15</v>
      </c>
    </row>
    <row r="4049" spans="1:12" x14ac:dyDescent="0.25">
      <c r="A4049" t="str">
        <f>"460129037"</f>
        <v>460129037</v>
      </c>
      <c r="B4049" t="str">
        <f t="shared" si="244"/>
        <v>89301000</v>
      </c>
      <c r="C4049" s="1">
        <v>44400</v>
      </c>
      <c r="D4049" s="1">
        <v>44401</v>
      </c>
      <c r="E4049">
        <v>1</v>
      </c>
      <c r="F4049" t="s">
        <v>489</v>
      </c>
      <c r="G4049" t="str">
        <f>"05-D01-08"</f>
        <v>05-D01-08</v>
      </c>
      <c r="H4049">
        <v>0.4093</v>
      </c>
      <c r="I4049" t="s">
        <v>2236</v>
      </c>
      <c r="J4049" t="s">
        <v>14</v>
      </c>
      <c r="K4049" t="str">
        <f>"1F1"</f>
        <v>1F1</v>
      </c>
      <c r="L4049" t="s">
        <v>15</v>
      </c>
    </row>
    <row r="4050" spans="1:12" x14ac:dyDescent="0.25">
      <c r="A4050" t="str">
        <f>"460130490"</f>
        <v>460130490</v>
      </c>
      <c r="B4050" t="str">
        <f t="shared" si="244"/>
        <v>89301000</v>
      </c>
      <c r="C4050" s="1">
        <v>44339</v>
      </c>
      <c r="D4050" s="1">
        <v>44342</v>
      </c>
      <c r="E4050">
        <v>1</v>
      </c>
      <c r="F4050" t="s">
        <v>1555</v>
      </c>
      <c r="G4050" t="str">
        <f>"05-M07-06"</f>
        <v>05-M07-06</v>
      </c>
      <c r="H4050">
        <v>1.2513000000000001</v>
      </c>
      <c r="I4050" t="s">
        <v>2321</v>
      </c>
      <c r="J4050" t="s">
        <v>17</v>
      </c>
      <c r="K4050" t="str">
        <f>"5F1"</f>
        <v>5F1</v>
      </c>
      <c r="L4050" t="s">
        <v>15</v>
      </c>
    </row>
    <row r="4051" spans="1:12" x14ac:dyDescent="0.25">
      <c r="A4051" t="str">
        <f>"460207413"</f>
        <v>460207413</v>
      </c>
      <c r="B4051" t="str">
        <f t="shared" si="244"/>
        <v>89301000</v>
      </c>
      <c r="C4051" s="1">
        <v>44354</v>
      </c>
      <c r="D4051" s="1">
        <v>44362</v>
      </c>
      <c r="E4051">
        <v>4</v>
      </c>
      <c r="F4051" t="s">
        <v>2715</v>
      </c>
      <c r="G4051" t="str">
        <f>"08-I05-05"</f>
        <v>08-I05-05</v>
      </c>
      <c r="H4051">
        <v>2.2932000000000001</v>
      </c>
      <c r="J4051" t="s">
        <v>17</v>
      </c>
      <c r="K4051" t="str">
        <f>"6F6"</f>
        <v>6F6</v>
      </c>
      <c r="L4051" t="s">
        <v>15</v>
      </c>
    </row>
    <row r="4052" spans="1:12" x14ac:dyDescent="0.25">
      <c r="A4052" t="str">
        <f>"460207413"</f>
        <v>460207413</v>
      </c>
      <c r="B4052" t="str">
        <f t="shared" si="244"/>
        <v>89301000</v>
      </c>
      <c r="C4052" s="1">
        <v>44332</v>
      </c>
      <c r="D4052" s="1">
        <v>44333</v>
      </c>
      <c r="E4052">
        <v>1</v>
      </c>
      <c r="F4052" t="s">
        <v>2715</v>
      </c>
      <c r="G4052" t="str">
        <f>"08-K04-03"</f>
        <v>08-K04-03</v>
      </c>
      <c r="H4052">
        <v>0.45050000000000001</v>
      </c>
      <c r="J4052" t="s">
        <v>14</v>
      </c>
      <c r="K4052" t="str">
        <f>"6F6"</f>
        <v>6F6</v>
      </c>
      <c r="L4052" t="s">
        <v>15</v>
      </c>
    </row>
    <row r="4053" spans="1:12" x14ac:dyDescent="0.25">
      <c r="A4053" t="str">
        <f>"460208443"</f>
        <v>460208443</v>
      </c>
      <c r="B4053" t="str">
        <f t="shared" si="244"/>
        <v>89301000</v>
      </c>
      <c r="C4053" s="1">
        <v>44207</v>
      </c>
      <c r="D4053" s="1">
        <v>44213</v>
      </c>
      <c r="E4053">
        <v>1</v>
      </c>
      <c r="F4053" t="s">
        <v>2585</v>
      </c>
      <c r="G4053" t="str">
        <f>"12-I03-01"</f>
        <v>12-I03-01</v>
      </c>
      <c r="H4053">
        <v>2.6785999999999999</v>
      </c>
      <c r="I4053" t="s">
        <v>2361</v>
      </c>
      <c r="J4053" t="s">
        <v>14</v>
      </c>
      <c r="K4053" t="str">
        <f>"7F6"</f>
        <v>7F6</v>
      </c>
      <c r="L4053" t="s">
        <v>15</v>
      </c>
    </row>
    <row r="4054" spans="1:12" x14ac:dyDescent="0.25">
      <c r="A4054" t="str">
        <f>"460209444"</f>
        <v>460209444</v>
      </c>
      <c r="B4054" t="str">
        <f t="shared" ref="B4054:B4117" si="245">"89301000"</f>
        <v>89301000</v>
      </c>
      <c r="C4054" s="1">
        <v>44419</v>
      </c>
      <c r="D4054" s="1">
        <v>44427</v>
      </c>
      <c r="E4054">
        <v>1</v>
      </c>
      <c r="F4054" t="s">
        <v>2910</v>
      </c>
      <c r="G4054" t="str">
        <f>"06-I05-04"</f>
        <v>06-I05-04</v>
      </c>
      <c r="H4054">
        <v>3.3546</v>
      </c>
      <c r="I4054" t="s">
        <v>2911</v>
      </c>
      <c r="J4054" t="s">
        <v>17</v>
      </c>
      <c r="K4054" t="str">
        <f>"5F1"</f>
        <v>5F1</v>
      </c>
      <c r="L4054" t="s">
        <v>15</v>
      </c>
    </row>
    <row r="4055" spans="1:12" x14ac:dyDescent="0.25">
      <c r="A4055" t="str">
        <f>"460209486"</f>
        <v>460209486</v>
      </c>
      <c r="B4055" t="str">
        <f t="shared" si="245"/>
        <v>89301000</v>
      </c>
      <c r="C4055" s="1">
        <v>44483</v>
      </c>
      <c r="D4055" s="1">
        <v>44497</v>
      </c>
      <c r="E4055">
        <v>1</v>
      </c>
      <c r="F4055" t="s">
        <v>2368</v>
      </c>
      <c r="G4055" t="str">
        <f>"08-I25-02"</f>
        <v>08-I25-02</v>
      </c>
      <c r="H4055">
        <v>1.4006000000000001</v>
      </c>
      <c r="I4055" t="s">
        <v>2912</v>
      </c>
      <c r="J4055" t="s">
        <v>14</v>
      </c>
      <c r="K4055" t="str">
        <f>"5F3"</f>
        <v>5F3</v>
      </c>
      <c r="L4055" t="s">
        <v>15</v>
      </c>
    </row>
    <row r="4056" spans="1:12" x14ac:dyDescent="0.25">
      <c r="A4056" t="str">
        <f>"460209486"</f>
        <v>460209486</v>
      </c>
      <c r="B4056" t="str">
        <f t="shared" si="245"/>
        <v>89301000</v>
      </c>
      <c r="C4056" s="1">
        <v>44445</v>
      </c>
      <c r="D4056" s="1">
        <v>44447</v>
      </c>
      <c r="E4056">
        <v>1</v>
      </c>
      <c r="F4056" t="s">
        <v>1914</v>
      </c>
      <c r="G4056" t="str">
        <f>"04-K09-03"</f>
        <v>04-K09-03</v>
      </c>
      <c r="H4056">
        <v>0.62749999999999995</v>
      </c>
      <c r="I4056" t="s">
        <v>2913</v>
      </c>
      <c r="J4056" t="s">
        <v>14</v>
      </c>
      <c r="K4056" t="str">
        <f>"2F5"</f>
        <v>2F5</v>
      </c>
      <c r="L4056" t="s">
        <v>15</v>
      </c>
    </row>
    <row r="4057" spans="1:12" x14ac:dyDescent="0.25">
      <c r="A4057" t="str">
        <f>"460214417"</f>
        <v>460214417</v>
      </c>
      <c r="B4057" t="str">
        <f t="shared" si="245"/>
        <v>89301000</v>
      </c>
      <c r="C4057" s="1">
        <v>44319</v>
      </c>
      <c r="D4057" s="1">
        <v>44329</v>
      </c>
      <c r="E4057">
        <v>1</v>
      </c>
      <c r="F4057" t="s">
        <v>1557</v>
      </c>
      <c r="G4057" t="str">
        <f>"05-I16-06"</f>
        <v>05-I16-06</v>
      </c>
      <c r="H4057">
        <v>5.2988</v>
      </c>
      <c r="J4057" t="s">
        <v>17</v>
      </c>
      <c r="K4057" t="str">
        <f>"5F5"</f>
        <v>5F5</v>
      </c>
      <c r="L4057" t="s">
        <v>15</v>
      </c>
    </row>
    <row r="4058" spans="1:12" x14ac:dyDescent="0.25">
      <c r="A4058" t="str">
        <f>"460218483"</f>
        <v>460218483</v>
      </c>
      <c r="B4058" t="str">
        <f t="shared" si="245"/>
        <v>89301000</v>
      </c>
      <c r="C4058" s="1">
        <v>44444</v>
      </c>
      <c r="D4058" s="1">
        <v>44446</v>
      </c>
      <c r="E4058">
        <v>1</v>
      </c>
      <c r="F4058" t="s">
        <v>1579</v>
      </c>
      <c r="G4058" t="str">
        <f>"05-I25-02"</f>
        <v>05-I25-02</v>
      </c>
      <c r="H4058">
        <v>2.9081000000000001</v>
      </c>
      <c r="I4058" t="s">
        <v>186</v>
      </c>
      <c r="J4058" t="s">
        <v>17</v>
      </c>
      <c r="K4058" t="str">
        <f>"1F1"</f>
        <v>1F1</v>
      </c>
      <c r="L4058" t="s">
        <v>15</v>
      </c>
    </row>
    <row r="4059" spans="1:12" x14ac:dyDescent="0.25">
      <c r="A4059" t="str">
        <f>"460310420"</f>
        <v>460310420</v>
      </c>
      <c r="B4059" t="str">
        <f t="shared" si="245"/>
        <v>89301000</v>
      </c>
      <c r="C4059" s="1">
        <v>44450</v>
      </c>
      <c r="D4059" s="1">
        <v>44456</v>
      </c>
      <c r="E4059">
        <v>4</v>
      </c>
      <c r="F4059" t="s">
        <v>2914</v>
      </c>
      <c r="G4059" t="str">
        <f>"08-I14-01"</f>
        <v>08-I14-01</v>
      </c>
      <c r="H4059">
        <v>3.8473000000000002</v>
      </c>
      <c r="I4059" t="s">
        <v>2915</v>
      </c>
      <c r="J4059" t="s">
        <v>17</v>
      </c>
      <c r="K4059" t="str">
        <f>"5T3"</f>
        <v>5T3</v>
      </c>
      <c r="L4059" t="s">
        <v>15</v>
      </c>
    </row>
    <row r="4060" spans="1:12" x14ac:dyDescent="0.25">
      <c r="A4060" t="str">
        <f>"460312483"</f>
        <v>460312483</v>
      </c>
      <c r="B4060" t="str">
        <f t="shared" si="245"/>
        <v>89301000</v>
      </c>
      <c r="C4060" s="1">
        <v>44423</v>
      </c>
      <c r="D4060" s="1">
        <v>44438</v>
      </c>
      <c r="E4060">
        <v>1</v>
      </c>
      <c r="F4060" t="s">
        <v>1679</v>
      </c>
      <c r="G4060" t="str">
        <f>"11-M04-02"</f>
        <v>11-M04-02</v>
      </c>
      <c r="H4060">
        <v>1.6171</v>
      </c>
      <c r="I4060" t="s">
        <v>2916</v>
      </c>
      <c r="J4060" t="s">
        <v>14</v>
      </c>
      <c r="K4060" t="str">
        <f>"7F6"</f>
        <v>7F6</v>
      </c>
      <c r="L4060" t="s">
        <v>15</v>
      </c>
    </row>
    <row r="4061" spans="1:12" x14ac:dyDescent="0.25">
      <c r="A4061" t="str">
        <f>"460315414"</f>
        <v>460315414</v>
      </c>
      <c r="B4061" t="str">
        <f t="shared" si="245"/>
        <v>89301000</v>
      </c>
      <c r="C4061" s="1">
        <v>44354</v>
      </c>
      <c r="D4061" s="1">
        <v>44357</v>
      </c>
      <c r="E4061">
        <v>1</v>
      </c>
      <c r="F4061" t="s">
        <v>1679</v>
      </c>
      <c r="G4061" t="str">
        <f>"11-M06-02"</f>
        <v>11-M06-02</v>
      </c>
      <c r="H4061">
        <v>0.90400000000000003</v>
      </c>
      <c r="I4061" t="s">
        <v>2917</v>
      </c>
      <c r="J4061" t="s">
        <v>17</v>
      </c>
      <c r="K4061" t="str">
        <f>"7F6"</f>
        <v>7F6</v>
      </c>
      <c r="L4061" t="s">
        <v>15</v>
      </c>
    </row>
    <row r="4062" spans="1:12" x14ac:dyDescent="0.25">
      <c r="A4062" t="str">
        <f>"460318477"</f>
        <v>460318477</v>
      </c>
      <c r="B4062" t="str">
        <f t="shared" si="245"/>
        <v>89301000</v>
      </c>
      <c r="C4062" s="1">
        <v>44305</v>
      </c>
      <c r="D4062" s="1">
        <v>44305</v>
      </c>
      <c r="E4062">
        <v>1</v>
      </c>
      <c r="F4062" t="s">
        <v>1557</v>
      </c>
      <c r="G4062" t="str">
        <f>"05-D01-08"</f>
        <v>05-D01-08</v>
      </c>
      <c r="H4062">
        <v>0.21890000000000001</v>
      </c>
      <c r="I4062" t="s">
        <v>2918</v>
      </c>
      <c r="J4062" t="s">
        <v>14</v>
      </c>
      <c r="K4062" t="str">
        <f>"1F1"</f>
        <v>1F1</v>
      </c>
      <c r="L4062" t="s">
        <v>15</v>
      </c>
    </row>
    <row r="4063" spans="1:12" x14ac:dyDescent="0.25">
      <c r="A4063" t="str">
        <f>"460321413"</f>
        <v>460321413</v>
      </c>
      <c r="B4063" t="str">
        <f t="shared" si="245"/>
        <v>89301000</v>
      </c>
      <c r="C4063" s="1">
        <v>44523</v>
      </c>
      <c r="D4063" s="1">
        <v>44532</v>
      </c>
      <c r="E4063">
        <v>1</v>
      </c>
      <c r="F4063" t="s">
        <v>217</v>
      </c>
      <c r="G4063" t="str">
        <f>"04-K02-03"</f>
        <v>04-K02-03</v>
      </c>
      <c r="H4063">
        <v>1.2859</v>
      </c>
      <c r="I4063" t="s">
        <v>2919</v>
      </c>
      <c r="J4063" t="s">
        <v>14</v>
      </c>
      <c r="K4063" t="str">
        <f>"1F6"</f>
        <v>1F6</v>
      </c>
      <c r="L4063" t="s">
        <v>15</v>
      </c>
    </row>
    <row r="4064" spans="1:12" x14ac:dyDescent="0.25">
      <c r="A4064" t="str">
        <f>"460321413"</f>
        <v>460321413</v>
      </c>
      <c r="B4064" t="str">
        <f t="shared" si="245"/>
        <v>89301000</v>
      </c>
      <c r="C4064" s="1">
        <v>44342</v>
      </c>
      <c r="D4064" s="1">
        <v>44357</v>
      </c>
      <c r="E4064">
        <v>1</v>
      </c>
      <c r="F4064" t="s">
        <v>1953</v>
      </c>
      <c r="G4064" t="str">
        <f>"07-I01-02"</f>
        <v>07-I01-02</v>
      </c>
      <c r="H4064">
        <v>5.4947999999999997</v>
      </c>
      <c r="I4064" t="s">
        <v>2920</v>
      </c>
      <c r="J4064" t="s">
        <v>17</v>
      </c>
      <c r="K4064" t="str">
        <f>"5F1"</f>
        <v>5F1</v>
      </c>
      <c r="L4064" t="s">
        <v>15</v>
      </c>
    </row>
    <row r="4065" spans="1:12" x14ac:dyDescent="0.25">
      <c r="A4065" t="str">
        <f>"460321413"</f>
        <v>460321413</v>
      </c>
      <c r="B4065" t="str">
        <f t="shared" si="245"/>
        <v>89301000</v>
      </c>
      <c r="C4065" s="1">
        <v>44331</v>
      </c>
      <c r="D4065" s="1">
        <v>44335</v>
      </c>
      <c r="E4065">
        <v>1</v>
      </c>
      <c r="F4065" t="s">
        <v>1953</v>
      </c>
      <c r="G4065" t="str">
        <f>"07-M02-03"</f>
        <v>07-M02-03</v>
      </c>
      <c r="H4065">
        <v>1.2850999999999999</v>
      </c>
      <c r="I4065" t="s">
        <v>2921</v>
      </c>
      <c r="J4065" t="s">
        <v>17</v>
      </c>
      <c r="K4065" t="str">
        <f>"1F5"</f>
        <v>1F5</v>
      </c>
      <c r="L4065" t="s">
        <v>15</v>
      </c>
    </row>
    <row r="4066" spans="1:12" x14ac:dyDescent="0.25">
      <c r="A4066" t="str">
        <f>"460321413"</f>
        <v>460321413</v>
      </c>
      <c r="B4066" t="str">
        <f t="shared" si="245"/>
        <v>89301000</v>
      </c>
      <c r="C4066" s="1">
        <v>44288</v>
      </c>
      <c r="D4066" s="1">
        <v>44294</v>
      </c>
      <c r="E4066">
        <v>1</v>
      </c>
      <c r="F4066" t="s">
        <v>888</v>
      </c>
      <c r="G4066" t="str">
        <f>"07-M02-01"</f>
        <v>07-M02-01</v>
      </c>
      <c r="H4066">
        <v>2.5634999999999999</v>
      </c>
      <c r="I4066" t="s">
        <v>2922</v>
      </c>
      <c r="J4066" t="s">
        <v>17</v>
      </c>
      <c r="K4066" t="str">
        <f>"1F5"</f>
        <v>1F5</v>
      </c>
      <c r="L4066" t="s">
        <v>15</v>
      </c>
    </row>
    <row r="4067" spans="1:12" x14ac:dyDescent="0.25">
      <c r="A4067" t="str">
        <f>"460321413"</f>
        <v>460321413</v>
      </c>
      <c r="B4067" t="str">
        <f t="shared" si="245"/>
        <v>89301000</v>
      </c>
      <c r="C4067" s="1">
        <v>44515</v>
      </c>
      <c r="D4067" s="1">
        <v>44518</v>
      </c>
      <c r="E4067">
        <v>1</v>
      </c>
      <c r="F4067" t="s">
        <v>144</v>
      </c>
      <c r="G4067" t="str">
        <f>"04-K10-02"</f>
        <v>04-K10-02</v>
      </c>
      <c r="H4067">
        <v>0.38879999999999998</v>
      </c>
      <c r="I4067" t="s">
        <v>2923</v>
      </c>
      <c r="J4067" t="s">
        <v>14</v>
      </c>
      <c r="K4067" t="str">
        <f>"2F5"</f>
        <v>2F5</v>
      </c>
      <c r="L4067" t="s">
        <v>15</v>
      </c>
    </row>
    <row r="4068" spans="1:12" x14ac:dyDescent="0.25">
      <c r="A4068" t="str">
        <f>"460411402"</f>
        <v>460411402</v>
      </c>
      <c r="B4068" t="str">
        <f t="shared" si="245"/>
        <v>89301000</v>
      </c>
      <c r="C4068" s="1">
        <v>44279</v>
      </c>
      <c r="D4068" s="1">
        <v>44295</v>
      </c>
      <c r="E4068">
        <v>8</v>
      </c>
      <c r="F4068" t="s">
        <v>217</v>
      </c>
      <c r="G4068" t="str">
        <f>"00-M01-04"</f>
        <v>00-M01-04</v>
      </c>
      <c r="H4068">
        <v>6.85</v>
      </c>
      <c r="I4068" t="s">
        <v>2924</v>
      </c>
      <c r="J4068" t="s">
        <v>14</v>
      </c>
      <c r="K4068" t="str">
        <f>"1T1"</f>
        <v>1T1</v>
      </c>
      <c r="L4068" t="s">
        <v>15</v>
      </c>
    </row>
    <row r="4069" spans="1:12" x14ac:dyDescent="0.25">
      <c r="A4069" t="str">
        <f>"460501411"</f>
        <v>460501411</v>
      </c>
      <c r="B4069" t="str">
        <f t="shared" si="245"/>
        <v>89301000</v>
      </c>
      <c r="C4069" s="1">
        <v>44336</v>
      </c>
      <c r="D4069" s="1">
        <v>44341</v>
      </c>
      <c r="E4069">
        <v>1</v>
      </c>
      <c r="F4069" t="s">
        <v>2350</v>
      </c>
      <c r="G4069" t="str">
        <f>"01-I09-02"</f>
        <v>01-I09-02</v>
      </c>
      <c r="H4069">
        <v>1.5714999999999999</v>
      </c>
      <c r="I4069" t="s">
        <v>489</v>
      </c>
      <c r="J4069" t="s">
        <v>17</v>
      </c>
      <c r="K4069" t="str">
        <f>"5F1"</f>
        <v>5F1</v>
      </c>
      <c r="L4069" t="s">
        <v>15</v>
      </c>
    </row>
    <row r="4070" spans="1:12" x14ac:dyDescent="0.25">
      <c r="A4070" t="str">
        <f>"460514508"</f>
        <v>460514508</v>
      </c>
      <c r="B4070" t="str">
        <f t="shared" si="245"/>
        <v>89301000</v>
      </c>
      <c r="C4070" s="1">
        <v>44446</v>
      </c>
      <c r="D4070" s="1">
        <v>44447</v>
      </c>
      <c r="E4070">
        <v>1</v>
      </c>
      <c r="F4070" t="s">
        <v>1579</v>
      </c>
      <c r="G4070" t="str">
        <f>"05-I25-03"</f>
        <v>05-I25-03</v>
      </c>
      <c r="H4070">
        <v>1.5508</v>
      </c>
      <c r="I4070" t="s">
        <v>2925</v>
      </c>
      <c r="J4070" t="s">
        <v>17</v>
      </c>
      <c r="K4070" t="str">
        <f>"1F7"</f>
        <v>1F7</v>
      </c>
      <c r="L4070" t="s">
        <v>15</v>
      </c>
    </row>
    <row r="4071" spans="1:12" x14ac:dyDescent="0.25">
      <c r="A4071" t="str">
        <f>"460521417"</f>
        <v>460521417</v>
      </c>
      <c r="B4071" t="str">
        <f t="shared" si="245"/>
        <v>89301000</v>
      </c>
      <c r="C4071" s="1">
        <v>44281</v>
      </c>
      <c r="D4071" s="1">
        <v>44296</v>
      </c>
      <c r="E4071">
        <v>7</v>
      </c>
      <c r="F4071" t="s">
        <v>998</v>
      </c>
      <c r="G4071" t="str">
        <f>"00-M01-02"</f>
        <v>00-M01-02</v>
      </c>
      <c r="H4071">
        <v>13.3348</v>
      </c>
      <c r="I4071" t="s">
        <v>2926</v>
      </c>
      <c r="J4071" t="s">
        <v>14</v>
      </c>
      <c r="K4071" t="str">
        <f>"5T1"</f>
        <v>5T1</v>
      </c>
      <c r="L4071" t="s">
        <v>15</v>
      </c>
    </row>
    <row r="4072" spans="1:12" x14ac:dyDescent="0.25">
      <c r="A4072" t="str">
        <f>"460521417"</f>
        <v>460521417</v>
      </c>
      <c r="B4072" t="str">
        <f t="shared" si="245"/>
        <v>89301000</v>
      </c>
      <c r="C4072" s="1">
        <v>44256</v>
      </c>
      <c r="D4072" s="1">
        <v>44258</v>
      </c>
      <c r="E4072">
        <v>5</v>
      </c>
      <c r="F4072" t="s">
        <v>354</v>
      </c>
      <c r="G4072" t="str">
        <f>"10-K14-01"</f>
        <v>10-K14-01</v>
      </c>
      <c r="H4072">
        <v>1.1051</v>
      </c>
      <c r="I4072" t="s">
        <v>2927</v>
      </c>
      <c r="J4072" t="s">
        <v>14</v>
      </c>
      <c r="K4072" t="str">
        <f>"1F6"</f>
        <v>1F6</v>
      </c>
      <c r="L4072" t="s">
        <v>15</v>
      </c>
    </row>
    <row r="4073" spans="1:12" x14ac:dyDescent="0.25">
      <c r="A4073" t="str">
        <f>"460524401"</f>
        <v>460524401</v>
      </c>
      <c r="B4073" t="str">
        <f t="shared" si="245"/>
        <v>89301000</v>
      </c>
      <c r="C4073" s="1">
        <v>44347</v>
      </c>
      <c r="D4073" s="1">
        <v>44351</v>
      </c>
      <c r="E4073">
        <v>1</v>
      </c>
      <c r="F4073" t="s">
        <v>502</v>
      </c>
      <c r="G4073" t="str">
        <f>"11-K03-02"</f>
        <v>11-K03-02</v>
      </c>
      <c r="H4073">
        <v>0.6008</v>
      </c>
      <c r="I4073" t="s">
        <v>2928</v>
      </c>
      <c r="J4073" t="s">
        <v>14</v>
      </c>
      <c r="K4073" t="str">
        <f>"1F1"</f>
        <v>1F1</v>
      </c>
      <c r="L4073" t="s">
        <v>15</v>
      </c>
    </row>
    <row r="4074" spans="1:12" x14ac:dyDescent="0.25">
      <c r="A4074" t="str">
        <f>"460524401"</f>
        <v>460524401</v>
      </c>
      <c r="B4074" t="str">
        <f t="shared" si="245"/>
        <v>89301000</v>
      </c>
      <c r="C4074" s="1">
        <v>44245</v>
      </c>
      <c r="D4074" s="1">
        <v>44250</v>
      </c>
      <c r="E4074">
        <v>5</v>
      </c>
      <c r="F4074" t="s">
        <v>1340</v>
      </c>
      <c r="G4074" t="str">
        <f>"16-K02-02"</f>
        <v>16-K02-02</v>
      </c>
      <c r="H4074">
        <v>0.77459999999999996</v>
      </c>
      <c r="I4074" t="s">
        <v>2929</v>
      </c>
      <c r="J4074" t="s">
        <v>14</v>
      </c>
      <c r="K4074" t="str">
        <f>"1F1"</f>
        <v>1F1</v>
      </c>
      <c r="L4074" t="s">
        <v>15</v>
      </c>
    </row>
    <row r="4075" spans="1:12" x14ac:dyDescent="0.25">
      <c r="A4075" t="str">
        <f>"460528409"</f>
        <v>460528409</v>
      </c>
      <c r="B4075" t="str">
        <f t="shared" si="245"/>
        <v>89301000</v>
      </c>
      <c r="C4075" s="1">
        <v>44509</v>
      </c>
      <c r="D4075" s="1">
        <v>44509</v>
      </c>
      <c r="E4075">
        <v>1</v>
      </c>
      <c r="F4075" t="s">
        <v>1650</v>
      </c>
      <c r="G4075" t="str">
        <f>"05-I14-03"</f>
        <v>05-I14-03</v>
      </c>
      <c r="H4075">
        <v>5.8045</v>
      </c>
      <c r="I4075" t="s">
        <v>2930</v>
      </c>
      <c r="J4075" t="s">
        <v>14</v>
      </c>
      <c r="K4075" t="str">
        <f>"1F1"</f>
        <v>1F1</v>
      </c>
      <c r="L4075" t="s">
        <v>15</v>
      </c>
    </row>
    <row r="4076" spans="1:12" x14ac:dyDescent="0.25">
      <c r="A4076" t="str">
        <f>"460602506"</f>
        <v>460602506</v>
      </c>
      <c r="B4076" t="str">
        <f t="shared" si="245"/>
        <v>89301000</v>
      </c>
      <c r="C4076" s="1">
        <v>44329</v>
      </c>
      <c r="D4076" s="1">
        <v>44340</v>
      </c>
      <c r="E4076">
        <v>1</v>
      </c>
      <c r="F4076" t="s">
        <v>2931</v>
      </c>
      <c r="G4076" t="str">
        <f>"07-K04-03"</f>
        <v>07-K04-03</v>
      </c>
      <c r="H4076">
        <v>1.1957</v>
      </c>
      <c r="I4076" t="s">
        <v>2932</v>
      </c>
      <c r="J4076" t="s">
        <v>14</v>
      </c>
      <c r="K4076" t="str">
        <f>"1F1"</f>
        <v>1F1</v>
      </c>
      <c r="L4076" t="s">
        <v>15</v>
      </c>
    </row>
    <row r="4077" spans="1:12" x14ac:dyDescent="0.25">
      <c r="A4077" t="str">
        <f>"460602506"</f>
        <v>460602506</v>
      </c>
      <c r="B4077" t="str">
        <f t="shared" si="245"/>
        <v>89301000</v>
      </c>
      <c r="C4077" s="1">
        <v>44464</v>
      </c>
      <c r="D4077" s="1">
        <v>44465</v>
      </c>
      <c r="E4077">
        <v>7</v>
      </c>
      <c r="F4077" t="s">
        <v>2933</v>
      </c>
      <c r="G4077" t="str">
        <f>"07-K04-01"</f>
        <v>07-K04-01</v>
      </c>
      <c r="H4077">
        <v>1.3458000000000001</v>
      </c>
      <c r="I4077" t="s">
        <v>2934</v>
      </c>
      <c r="J4077" t="s">
        <v>14</v>
      </c>
      <c r="K4077" t="str">
        <f>"1T1"</f>
        <v>1T1</v>
      </c>
      <c r="L4077" t="s">
        <v>15</v>
      </c>
    </row>
    <row r="4078" spans="1:12" x14ac:dyDescent="0.25">
      <c r="A4078" t="str">
        <f>"460604421"</f>
        <v>460604421</v>
      </c>
      <c r="B4078" t="str">
        <f t="shared" si="245"/>
        <v>89301000</v>
      </c>
      <c r="C4078" s="1">
        <v>44483</v>
      </c>
      <c r="D4078" s="1">
        <v>44494</v>
      </c>
      <c r="E4078">
        <v>1</v>
      </c>
      <c r="F4078" t="s">
        <v>2935</v>
      </c>
      <c r="G4078" t="str">
        <f>"05-K13-01"</f>
        <v>05-K13-01</v>
      </c>
      <c r="H4078">
        <v>1.2979000000000001</v>
      </c>
      <c r="I4078" t="s">
        <v>2936</v>
      </c>
      <c r="J4078" t="s">
        <v>14</v>
      </c>
      <c r="K4078" t="str">
        <f>"4F4"</f>
        <v>4F4</v>
      </c>
      <c r="L4078" t="s">
        <v>15</v>
      </c>
    </row>
    <row r="4079" spans="1:12" x14ac:dyDescent="0.25">
      <c r="A4079" t="str">
        <f>"460610473"</f>
        <v>460610473</v>
      </c>
      <c r="B4079" t="str">
        <f t="shared" si="245"/>
        <v>89301000</v>
      </c>
      <c r="C4079" s="1">
        <v>44330</v>
      </c>
      <c r="D4079" s="1">
        <v>44336</v>
      </c>
      <c r="E4079">
        <v>1</v>
      </c>
      <c r="F4079" t="s">
        <v>1555</v>
      </c>
      <c r="G4079" t="str">
        <f>"05-K12-02"</f>
        <v>05-K12-02</v>
      </c>
      <c r="H4079">
        <v>0.53600000000000003</v>
      </c>
      <c r="I4079" t="s">
        <v>2937</v>
      </c>
      <c r="J4079" t="s">
        <v>14</v>
      </c>
      <c r="K4079" t="str">
        <f>"5F1"</f>
        <v>5F1</v>
      </c>
      <c r="L4079" t="s">
        <v>15</v>
      </c>
    </row>
    <row r="4080" spans="1:12" x14ac:dyDescent="0.25">
      <c r="A4080" t="str">
        <f>"460612402"</f>
        <v>460612402</v>
      </c>
      <c r="B4080" t="str">
        <f t="shared" si="245"/>
        <v>89301000</v>
      </c>
      <c r="C4080" s="1">
        <v>44425</v>
      </c>
      <c r="D4080" s="1">
        <v>44431</v>
      </c>
      <c r="E4080">
        <v>1</v>
      </c>
      <c r="F4080" t="s">
        <v>831</v>
      </c>
      <c r="G4080" t="str">
        <f>"02-I06-03"</f>
        <v>02-I06-03</v>
      </c>
      <c r="H4080">
        <v>0.72909999999999997</v>
      </c>
      <c r="I4080" t="s">
        <v>2938</v>
      </c>
      <c r="J4080" t="s">
        <v>17</v>
      </c>
      <c r="K4080" t="str">
        <f>"7F5"</f>
        <v>7F5</v>
      </c>
      <c r="L4080" t="s">
        <v>15</v>
      </c>
    </row>
    <row r="4081" spans="1:12" x14ac:dyDescent="0.25">
      <c r="A4081" t="str">
        <f>"460622148"</f>
        <v>460622148</v>
      </c>
      <c r="B4081" t="str">
        <f t="shared" si="245"/>
        <v>89301000</v>
      </c>
      <c r="C4081" s="1">
        <v>44354</v>
      </c>
      <c r="D4081" s="1">
        <v>44355</v>
      </c>
      <c r="E4081">
        <v>5</v>
      </c>
      <c r="F4081" t="s">
        <v>1683</v>
      </c>
      <c r="G4081" t="str">
        <f>"05-K03-01"</f>
        <v>05-K03-01</v>
      </c>
      <c r="H4081">
        <v>1.1708000000000001</v>
      </c>
      <c r="I4081" t="s">
        <v>2939</v>
      </c>
      <c r="J4081" t="s">
        <v>14</v>
      </c>
      <c r="K4081" t="str">
        <f>"7T8"</f>
        <v>7T8</v>
      </c>
      <c r="L4081" t="s">
        <v>15</v>
      </c>
    </row>
    <row r="4082" spans="1:12" x14ac:dyDescent="0.25">
      <c r="A4082" t="str">
        <f>"460622148"</f>
        <v>460622148</v>
      </c>
      <c r="B4082" t="str">
        <f t="shared" si="245"/>
        <v>89301000</v>
      </c>
      <c r="C4082" s="1">
        <v>44363</v>
      </c>
      <c r="D4082" s="1">
        <v>44379</v>
      </c>
      <c r="E4082">
        <v>1</v>
      </c>
      <c r="F4082" t="s">
        <v>625</v>
      </c>
      <c r="G4082" t="str">
        <f>"04-K08-02"</f>
        <v>04-K08-02</v>
      </c>
      <c r="H4082">
        <v>2.6110000000000002</v>
      </c>
      <c r="I4082" t="s">
        <v>2940</v>
      </c>
      <c r="J4082" t="s">
        <v>14</v>
      </c>
      <c r="K4082" t="str">
        <f>"2F5"</f>
        <v>2F5</v>
      </c>
      <c r="L4082" t="s">
        <v>15</v>
      </c>
    </row>
    <row r="4083" spans="1:12" x14ac:dyDescent="0.25">
      <c r="A4083" t="str">
        <f>"460703456"</f>
        <v>460703456</v>
      </c>
      <c r="B4083" t="str">
        <f t="shared" si="245"/>
        <v>89301000</v>
      </c>
      <c r="C4083" s="1">
        <v>44524</v>
      </c>
      <c r="D4083" s="1">
        <v>44530</v>
      </c>
      <c r="E4083">
        <v>1</v>
      </c>
      <c r="F4083" t="s">
        <v>699</v>
      </c>
      <c r="G4083" t="str">
        <f>"16-K02-02"</f>
        <v>16-K02-02</v>
      </c>
      <c r="H4083">
        <v>0.85029999999999994</v>
      </c>
      <c r="I4083" t="s">
        <v>2941</v>
      </c>
      <c r="J4083" t="s">
        <v>14</v>
      </c>
      <c r="K4083" t="str">
        <f>"1F1"</f>
        <v>1F1</v>
      </c>
      <c r="L4083" t="s">
        <v>15</v>
      </c>
    </row>
    <row r="4084" spans="1:12" x14ac:dyDescent="0.25">
      <c r="A4084" t="str">
        <f>"460707426"</f>
        <v>460707426</v>
      </c>
      <c r="B4084" t="str">
        <f t="shared" si="245"/>
        <v>89301000</v>
      </c>
      <c r="C4084" s="1">
        <v>44508</v>
      </c>
      <c r="D4084" s="1">
        <v>44527</v>
      </c>
      <c r="E4084">
        <v>7</v>
      </c>
      <c r="F4084" t="s">
        <v>2942</v>
      </c>
      <c r="G4084" t="str">
        <f>"00-M01-02"</f>
        <v>00-M01-02</v>
      </c>
      <c r="H4084">
        <v>13.3348</v>
      </c>
      <c r="I4084" t="s">
        <v>2943</v>
      </c>
      <c r="J4084" t="s">
        <v>14</v>
      </c>
      <c r="K4084" t="str">
        <f>"5T1"</f>
        <v>5T1</v>
      </c>
      <c r="L4084" t="s">
        <v>15</v>
      </c>
    </row>
    <row r="4085" spans="1:12" x14ac:dyDescent="0.25">
      <c r="A4085" t="str">
        <f>"460709402"</f>
        <v>460709402</v>
      </c>
      <c r="B4085" t="str">
        <f t="shared" si="245"/>
        <v>89301000</v>
      </c>
      <c r="C4085" s="1">
        <v>44476</v>
      </c>
      <c r="D4085" s="1">
        <v>44480</v>
      </c>
      <c r="E4085">
        <v>1</v>
      </c>
      <c r="F4085" t="s">
        <v>2366</v>
      </c>
      <c r="G4085" t="str">
        <f>"02-I09-03"</f>
        <v>02-I09-03</v>
      </c>
      <c r="H4085">
        <v>0.92979999999999996</v>
      </c>
      <c r="I4085" t="s">
        <v>2461</v>
      </c>
      <c r="J4085" t="s">
        <v>14</v>
      </c>
      <c r="K4085" t="str">
        <f>"7F5"</f>
        <v>7F5</v>
      </c>
      <c r="L4085" t="s">
        <v>15</v>
      </c>
    </row>
    <row r="4086" spans="1:12" x14ac:dyDescent="0.25">
      <c r="A4086" t="str">
        <f>"460717497"</f>
        <v>460717497</v>
      </c>
      <c r="B4086" t="str">
        <f t="shared" si="245"/>
        <v>89301000</v>
      </c>
      <c r="C4086" s="1">
        <v>44237</v>
      </c>
      <c r="D4086" s="1">
        <v>44244</v>
      </c>
      <c r="E4086">
        <v>1</v>
      </c>
      <c r="F4086" t="s">
        <v>2944</v>
      </c>
      <c r="G4086" t="str">
        <f>"17-C05-04"</f>
        <v>17-C05-04</v>
      </c>
      <c r="H4086">
        <v>0.7712</v>
      </c>
      <c r="I4086" t="s">
        <v>2945</v>
      </c>
      <c r="J4086" t="s">
        <v>14</v>
      </c>
      <c r="K4086" t="str">
        <f>"2F2"</f>
        <v>2F2</v>
      </c>
      <c r="L4086" t="s">
        <v>15</v>
      </c>
    </row>
    <row r="4087" spans="1:12" x14ac:dyDescent="0.25">
      <c r="A4087" t="str">
        <f>"460720493"</f>
        <v>460720493</v>
      </c>
      <c r="B4087" t="str">
        <f t="shared" si="245"/>
        <v>89301000</v>
      </c>
      <c r="C4087" s="1">
        <v>44398</v>
      </c>
      <c r="D4087" s="1">
        <v>44400</v>
      </c>
      <c r="E4087">
        <v>1</v>
      </c>
      <c r="F4087" t="s">
        <v>2030</v>
      </c>
      <c r="G4087" t="str">
        <f>"06-C02-01"</f>
        <v>06-C02-01</v>
      </c>
      <c r="H4087">
        <v>0.27229999999999999</v>
      </c>
      <c r="I4087" t="s">
        <v>2946</v>
      </c>
      <c r="J4087" t="s">
        <v>14</v>
      </c>
      <c r="K4087" t="str">
        <f>"4F2"</f>
        <v>4F2</v>
      </c>
      <c r="L4087" t="s">
        <v>15</v>
      </c>
    </row>
    <row r="4088" spans="1:12" x14ac:dyDescent="0.25">
      <c r="A4088" t="str">
        <f>"460721472"</f>
        <v>460721472</v>
      </c>
      <c r="B4088" t="str">
        <f t="shared" si="245"/>
        <v>89301000</v>
      </c>
      <c r="C4088" s="1">
        <v>44432</v>
      </c>
      <c r="D4088" s="1">
        <v>44433</v>
      </c>
      <c r="E4088">
        <v>1</v>
      </c>
      <c r="F4088" t="s">
        <v>1557</v>
      </c>
      <c r="G4088" t="str">
        <f>"05-D01-08"</f>
        <v>05-D01-08</v>
      </c>
      <c r="H4088">
        <v>0.4093</v>
      </c>
      <c r="J4088" t="s">
        <v>14</v>
      </c>
      <c r="K4088" t="str">
        <f>"1F7"</f>
        <v>1F7</v>
      </c>
      <c r="L4088" t="s">
        <v>15</v>
      </c>
    </row>
    <row r="4089" spans="1:12" x14ac:dyDescent="0.25">
      <c r="A4089" t="str">
        <f>"460721472"</f>
        <v>460721472</v>
      </c>
      <c r="B4089" t="str">
        <f t="shared" si="245"/>
        <v>89301000</v>
      </c>
      <c r="C4089" s="1">
        <v>44395</v>
      </c>
      <c r="D4089" s="1">
        <v>44397</v>
      </c>
      <c r="E4089">
        <v>1</v>
      </c>
      <c r="F4089" t="s">
        <v>1563</v>
      </c>
      <c r="G4089" t="str">
        <f>"05-I14-03"</f>
        <v>05-I14-03</v>
      </c>
      <c r="H4089">
        <v>6.1292</v>
      </c>
      <c r="I4089" t="s">
        <v>1658</v>
      </c>
      <c r="J4089" t="s">
        <v>14</v>
      </c>
      <c r="K4089" t="str">
        <f>"1F1"</f>
        <v>1F1</v>
      </c>
      <c r="L4089" t="s">
        <v>15</v>
      </c>
    </row>
    <row r="4090" spans="1:12" x14ac:dyDescent="0.25">
      <c r="A4090" t="str">
        <f>"460721472"</f>
        <v>460721472</v>
      </c>
      <c r="B4090" t="str">
        <f t="shared" si="245"/>
        <v>89301000</v>
      </c>
      <c r="C4090" s="1">
        <v>44489</v>
      </c>
      <c r="D4090" s="1">
        <v>44496</v>
      </c>
      <c r="E4090">
        <v>1</v>
      </c>
      <c r="F4090" t="s">
        <v>1557</v>
      </c>
      <c r="G4090" t="str">
        <f>"05-I13-03"</f>
        <v>05-I13-03</v>
      </c>
      <c r="H4090">
        <v>6.7173999999999996</v>
      </c>
      <c r="I4090" t="s">
        <v>2391</v>
      </c>
      <c r="J4090" t="s">
        <v>17</v>
      </c>
      <c r="K4090" t="str">
        <f>"5F5"</f>
        <v>5F5</v>
      </c>
      <c r="L4090" t="s">
        <v>15</v>
      </c>
    </row>
    <row r="4091" spans="1:12" x14ac:dyDescent="0.25">
      <c r="A4091" t="str">
        <f>"460727413"</f>
        <v>460727413</v>
      </c>
      <c r="B4091" t="str">
        <f t="shared" si="245"/>
        <v>89301000</v>
      </c>
      <c r="C4091" s="1">
        <v>44284</v>
      </c>
      <c r="D4091" s="1">
        <v>44319</v>
      </c>
      <c r="E4091">
        <v>4</v>
      </c>
      <c r="F4091" t="s">
        <v>1572</v>
      </c>
      <c r="G4091" t="str">
        <f>"00-M02-03"</f>
        <v>00-M02-03</v>
      </c>
      <c r="H4091">
        <v>15.762</v>
      </c>
      <c r="I4091" t="s">
        <v>2947</v>
      </c>
      <c r="J4091" t="s">
        <v>14</v>
      </c>
      <c r="K4091" t="str">
        <f>"5F1"</f>
        <v>5F1</v>
      </c>
      <c r="L4091" t="s">
        <v>15</v>
      </c>
    </row>
    <row r="4092" spans="1:12" x14ac:dyDescent="0.25">
      <c r="A4092" t="str">
        <f>"460727413"</f>
        <v>460727413</v>
      </c>
      <c r="B4092" t="str">
        <f t="shared" si="245"/>
        <v>89301000</v>
      </c>
      <c r="C4092" s="1">
        <v>44334</v>
      </c>
      <c r="D4092" s="1">
        <v>44350</v>
      </c>
      <c r="E4092">
        <v>4</v>
      </c>
      <c r="F4092" t="s">
        <v>2445</v>
      </c>
      <c r="G4092" t="str">
        <f>"04-M01-05"</f>
        <v>04-M01-05</v>
      </c>
      <c r="H4092">
        <v>6.2100999999999997</v>
      </c>
      <c r="I4092" t="s">
        <v>2948</v>
      </c>
      <c r="J4092" t="s">
        <v>14</v>
      </c>
      <c r="K4092" t="str">
        <f>"2F5"</f>
        <v>2F5</v>
      </c>
      <c r="L4092" t="s">
        <v>15</v>
      </c>
    </row>
    <row r="4093" spans="1:12" x14ac:dyDescent="0.25">
      <c r="A4093" t="str">
        <f>"460728404"</f>
        <v>460728404</v>
      </c>
      <c r="B4093" t="str">
        <f t="shared" si="245"/>
        <v>89301000</v>
      </c>
      <c r="C4093" s="1">
        <v>44231</v>
      </c>
      <c r="D4093" s="1">
        <v>44243</v>
      </c>
      <c r="E4093">
        <v>1</v>
      </c>
      <c r="F4093" t="s">
        <v>1599</v>
      </c>
      <c r="G4093" t="str">
        <f>"05-K07-03"</f>
        <v>05-K07-03</v>
      </c>
      <c r="H4093">
        <v>1.7625999999999999</v>
      </c>
      <c r="I4093" t="s">
        <v>2949</v>
      </c>
      <c r="J4093" t="s">
        <v>14</v>
      </c>
      <c r="K4093" t="str">
        <f>"1F1"</f>
        <v>1F1</v>
      </c>
      <c r="L4093" t="s">
        <v>15</v>
      </c>
    </row>
    <row r="4094" spans="1:12" x14ac:dyDescent="0.25">
      <c r="A4094" t="str">
        <f>"460728425"</f>
        <v>460728425</v>
      </c>
      <c r="B4094" t="str">
        <f t="shared" si="245"/>
        <v>89301000</v>
      </c>
      <c r="C4094" s="1">
        <v>44442</v>
      </c>
      <c r="D4094" s="1">
        <v>44461</v>
      </c>
      <c r="E4094">
        <v>1</v>
      </c>
      <c r="F4094" t="s">
        <v>1955</v>
      </c>
      <c r="G4094" t="str">
        <f>"01-K04-02"</f>
        <v>01-K04-02</v>
      </c>
      <c r="H4094">
        <v>0.9798</v>
      </c>
      <c r="I4094" t="s">
        <v>2950</v>
      </c>
      <c r="J4094" t="s">
        <v>14</v>
      </c>
      <c r="K4094" t="str">
        <f>"2F9"</f>
        <v>2F9</v>
      </c>
      <c r="L4094" t="s">
        <v>15</v>
      </c>
    </row>
    <row r="4095" spans="1:12" x14ac:dyDescent="0.25">
      <c r="A4095" t="str">
        <f>"460728425"</f>
        <v>460728425</v>
      </c>
      <c r="B4095" t="str">
        <f t="shared" si="245"/>
        <v>89301000</v>
      </c>
      <c r="C4095" s="1">
        <v>44537</v>
      </c>
      <c r="D4095" s="1">
        <v>44540</v>
      </c>
      <c r="E4095">
        <v>1</v>
      </c>
      <c r="F4095" t="s">
        <v>208</v>
      </c>
      <c r="G4095" t="str">
        <f>"08-I03-05"</f>
        <v>08-I03-05</v>
      </c>
      <c r="H4095">
        <v>2.3875999999999999</v>
      </c>
      <c r="I4095" t="s">
        <v>209</v>
      </c>
      <c r="J4095" t="s">
        <v>17</v>
      </c>
      <c r="K4095" t="str">
        <f>"5F6"</f>
        <v>5F6</v>
      </c>
      <c r="L4095" t="s">
        <v>15</v>
      </c>
    </row>
    <row r="4096" spans="1:12" x14ac:dyDescent="0.25">
      <c r="A4096" t="str">
        <f>"460804504"</f>
        <v>460804504</v>
      </c>
      <c r="B4096" t="str">
        <f t="shared" si="245"/>
        <v>89301000</v>
      </c>
      <c r="C4096" s="1">
        <v>44389</v>
      </c>
      <c r="D4096" s="1">
        <v>44392</v>
      </c>
      <c r="E4096">
        <v>1</v>
      </c>
      <c r="F4096" t="s">
        <v>1631</v>
      </c>
      <c r="G4096" t="str">
        <f>"17-C05-03"</f>
        <v>17-C05-03</v>
      </c>
      <c r="H4096">
        <v>0.59660000000000002</v>
      </c>
      <c r="I4096" t="s">
        <v>2951</v>
      </c>
      <c r="J4096" t="s">
        <v>14</v>
      </c>
      <c r="K4096" t="str">
        <f>"2F2"</f>
        <v>2F2</v>
      </c>
      <c r="L4096" t="s">
        <v>15</v>
      </c>
    </row>
    <row r="4097" spans="1:12" x14ac:dyDescent="0.25">
      <c r="A4097" t="str">
        <f>"460804504"</f>
        <v>460804504</v>
      </c>
      <c r="B4097" t="str">
        <f t="shared" si="245"/>
        <v>89301000</v>
      </c>
      <c r="C4097" s="1">
        <v>44358</v>
      </c>
      <c r="D4097" s="1">
        <v>44364</v>
      </c>
      <c r="E4097">
        <v>1</v>
      </c>
      <c r="F4097" t="s">
        <v>1631</v>
      </c>
      <c r="G4097" t="str">
        <f>"17-C05-03"</f>
        <v>17-C05-03</v>
      </c>
      <c r="H4097">
        <v>0.59660000000000002</v>
      </c>
      <c r="I4097" t="s">
        <v>2952</v>
      </c>
      <c r="J4097" t="s">
        <v>14</v>
      </c>
      <c r="K4097" t="str">
        <f>"2F2"</f>
        <v>2F2</v>
      </c>
      <c r="L4097" t="s">
        <v>15</v>
      </c>
    </row>
    <row r="4098" spans="1:12" x14ac:dyDescent="0.25">
      <c r="A4098" t="str">
        <f>"460816498"</f>
        <v>460816498</v>
      </c>
      <c r="B4098" t="str">
        <f t="shared" si="245"/>
        <v>89301000</v>
      </c>
      <c r="C4098" s="1">
        <v>44380</v>
      </c>
      <c r="D4098" s="1">
        <v>44386</v>
      </c>
      <c r="E4098">
        <v>1</v>
      </c>
      <c r="F4098" t="s">
        <v>448</v>
      </c>
      <c r="G4098" t="str">
        <f>"11-K01-03"</f>
        <v>11-K01-03</v>
      </c>
      <c r="H4098">
        <v>0.59489999999999998</v>
      </c>
      <c r="I4098" t="s">
        <v>2953</v>
      </c>
      <c r="J4098" t="s">
        <v>14</v>
      </c>
      <c r="K4098" t="str">
        <f>"7F6"</f>
        <v>7F6</v>
      </c>
      <c r="L4098" t="s">
        <v>15</v>
      </c>
    </row>
    <row r="4099" spans="1:12" x14ac:dyDescent="0.25">
      <c r="A4099" t="str">
        <f>"460816498"</f>
        <v>460816498</v>
      </c>
      <c r="B4099" t="str">
        <f t="shared" si="245"/>
        <v>89301000</v>
      </c>
      <c r="C4099" s="1">
        <v>44502</v>
      </c>
      <c r="D4099" s="1">
        <v>44505</v>
      </c>
      <c r="E4099">
        <v>1</v>
      </c>
      <c r="F4099" t="s">
        <v>1991</v>
      </c>
      <c r="G4099" t="str">
        <f>"12-M02-02"</f>
        <v>12-M02-02</v>
      </c>
      <c r="H4099">
        <v>0.995</v>
      </c>
      <c r="I4099" t="s">
        <v>2954</v>
      </c>
      <c r="J4099" t="s">
        <v>24</v>
      </c>
      <c r="K4099" t="str">
        <f>"7F6"</f>
        <v>7F6</v>
      </c>
      <c r="L4099" t="s">
        <v>15</v>
      </c>
    </row>
    <row r="4100" spans="1:12" x14ac:dyDescent="0.25">
      <c r="A4100" t="str">
        <f>"460818401"</f>
        <v>460818401</v>
      </c>
      <c r="B4100" t="str">
        <f t="shared" si="245"/>
        <v>89301000</v>
      </c>
      <c r="C4100" s="1">
        <v>44323</v>
      </c>
      <c r="D4100" s="1">
        <v>44326</v>
      </c>
      <c r="E4100">
        <v>1</v>
      </c>
      <c r="F4100" t="s">
        <v>1340</v>
      </c>
      <c r="G4100" t="str">
        <f>"16-K02-02"</f>
        <v>16-K02-02</v>
      </c>
      <c r="H4100">
        <v>0.77459999999999996</v>
      </c>
      <c r="I4100" t="s">
        <v>2955</v>
      </c>
      <c r="J4100" t="s">
        <v>14</v>
      </c>
      <c r="K4100" t="str">
        <f>"1F1"</f>
        <v>1F1</v>
      </c>
      <c r="L4100" t="s">
        <v>15</v>
      </c>
    </row>
    <row r="4101" spans="1:12" x14ac:dyDescent="0.25">
      <c r="A4101" t="str">
        <f>"460818401"</f>
        <v>460818401</v>
      </c>
      <c r="B4101" t="str">
        <f t="shared" si="245"/>
        <v>89301000</v>
      </c>
      <c r="C4101" s="1">
        <v>44335</v>
      </c>
      <c r="D4101" s="1">
        <v>44338</v>
      </c>
      <c r="E4101">
        <v>1</v>
      </c>
      <c r="F4101" t="s">
        <v>2902</v>
      </c>
      <c r="G4101" t="str">
        <f>"07-K04-04"</f>
        <v>07-K04-04</v>
      </c>
      <c r="H4101">
        <v>0.64219999999999999</v>
      </c>
      <c r="I4101" t="s">
        <v>2956</v>
      </c>
      <c r="J4101" t="s">
        <v>14</v>
      </c>
      <c r="K4101" t="str">
        <f>"1F1"</f>
        <v>1F1</v>
      </c>
      <c r="L4101" t="s">
        <v>15</v>
      </c>
    </row>
    <row r="4102" spans="1:12" x14ac:dyDescent="0.25">
      <c r="A4102" t="str">
        <f>"460818401"</f>
        <v>460818401</v>
      </c>
      <c r="B4102" t="str">
        <f t="shared" si="245"/>
        <v>89301000</v>
      </c>
      <c r="C4102" s="1">
        <v>44435</v>
      </c>
      <c r="D4102" s="1">
        <v>44439</v>
      </c>
      <c r="E4102">
        <v>7</v>
      </c>
      <c r="F4102" t="s">
        <v>2902</v>
      </c>
      <c r="G4102" t="str">
        <f>"07-K04-03"</f>
        <v>07-K04-03</v>
      </c>
      <c r="H4102">
        <v>1.0898000000000001</v>
      </c>
      <c r="I4102" t="s">
        <v>2957</v>
      </c>
      <c r="J4102" t="s">
        <v>14</v>
      </c>
      <c r="K4102" t="str">
        <f>"1T1"</f>
        <v>1T1</v>
      </c>
      <c r="L4102" t="s">
        <v>15</v>
      </c>
    </row>
    <row r="4103" spans="1:12" x14ac:dyDescent="0.25">
      <c r="A4103" t="str">
        <f>"460822401"</f>
        <v>460822401</v>
      </c>
      <c r="B4103" t="str">
        <f t="shared" si="245"/>
        <v>89301000</v>
      </c>
      <c r="C4103" s="1">
        <v>44474</v>
      </c>
      <c r="D4103" s="1">
        <v>44480</v>
      </c>
      <c r="E4103">
        <v>8</v>
      </c>
      <c r="F4103" t="s">
        <v>1894</v>
      </c>
      <c r="G4103" t="str">
        <f>"00-M01-04"</f>
        <v>00-M01-04</v>
      </c>
      <c r="H4103">
        <v>6.85</v>
      </c>
      <c r="I4103" t="s">
        <v>2958</v>
      </c>
      <c r="J4103" t="s">
        <v>14</v>
      </c>
      <c r="K4103" t="str">
        <f>"2T9"</f>
        <v>2T9</v>
      </c>
      <c r="L4103" t="s">
        <v>15</v>
      </c>
    </row>
    <row r="4104" spans="1:12" x14ac:dyDescent="0.25">
      <c r="A4104" t="str">
        <f>"460823485"</f>
        <v>460823485</v>
      </c>
      <c r="B4104" t="str">
        <f t="shared" si="245"/>
        <v>89301000</v>
      </c>
      <c r="C4104" s="1">
        <v>44268</v>
      </c>
      <c r="D4104" s="1">
        <v>44281</v>
      </c>
      <c r="E4104">
        <v>1</v>
      </c>
      <c r="F4104" t="s">
        <v>1911</v>
      </c>
      <c r="G4104" t="str">
        <f>"05-M02-02"</f>
        <v>05-M02-02</v>
      </c>
      <c r="H4104">
        <v>9.4244000000000003</v>
      </c>
      <c r="I4104" t="s">
        <v>2391</v>
      </c>
      <c r="J4104" t="s">
        <v>17</v>
      </c>
      <c r="K4104" t="str">
        <f>"5F5"</f>
        <v>5F5</v>
      </c>
      <c r="L4104" t="s">
        <v>15</v>
      </c>
    </row>
    <row r="4105" spans="1:12" x14ac:dyDescent="0.25">
      <c r="A4105" t="str">
        <f>"460824485"</f>
        <v>460824485</v>
      </c>
      <c r="B4105" t="str">
        <f t="shared" si="245"/>
        <v>89301000</v>
      </c>
      <c r="C4105" s="1">
        <v>44371</v>
      </c>
      <c r="D4105" s="1">
        <v>44378</v>
      </c>
      <c r="E4105">
        <v>1</v>
      </c>
      <c r="F4105" t="s">
        <v>1581</v>
      </c>
      <c r="G4105" t="str">
        <f>"05-I24-02"</f>
        <v>05-I24-02</v>
      </c>
      <c r="H4105">
        <v>4.3616999999999999</v>
      </c>
      <c r="J4105" t="s">
        <v>14</v>
      </c>
      <c r="K4105" t="str">
        <f>"5F1"</f>
        <v>5F1</v>
      </c>
      <c r="L4105" t="s">
        <v>15</v>
      </c>
    </row>
    <row r="4106" spans="1:12" x14ac:dyDescent="0.25">
      <c r="A4106" t="str">
        <f>"460824486"</f>
        <v>460824486</v>
      </c>
      <c r="B4106" t="str">
        <f t="shared" si="245"/>
        <v>89301000</v>
      </c>
      <c r="C4106" s="1">
        <v>44429</v>
      </c>
      <c r="D4106" s="1">
        <v>44432</v>
      </c>
      <c r="E4106">
        <v>1</v>
      </c>
      <c r="F4106" t="s">
        <v>1599</v>
      </c>
      <c r="G4106" t="str">
        <f>"05-I14-02"</f>
        <v>05-I14-02</v>
      </c>
      <c r="H4106">
        <v>6.3216999999999999</v>
      </c>
      <c r="I4106" t="s">
        <v>2959</v>
      </c>
      <c r="J4106" t="s">
        <v>14</v>
      </c>
      <c r="K4106" t="str">
        <f>"1F1"</f>
        <v>1F1</v>
      </c>
      <c r="L4106" t="s">
        <v>15</v>
      </c>
    </row>
    <row r="4107" spans="1:12" x14ac:dyDescent="0.25">
      <c r="A4107" t="str">
        <f>"460902481"</f>
        <v>460902481</v>
      </c>
      <c r="B4107" t="str">
        <f t="shared" si="245"/>
        <v>89301000</v>
      </c>
      <c r="C4107" s="1">
        <v>44510</v>
      </c>
      <c r="D4107" s="1">
        <v>44533</v>
      </c>
      <c r="E4107">
        <v>1</v>
      </c>
      <c r="F4107" t="s">
        <v>2109</v>
      </c>
      <c r="G4107" t="str">
        <f>"07-K01-01"</f>
        <v>07-K01-01</v>
      </c>
      <c r="H4107">
        <v>1.7039</v>
      </c>
      <c r="I4107" t="s">
        <v>2960</v>
      </c>
      <c r="J4107" t="s">
        <v>14</v>
      </c>
      <c r="K4107" t="str">
        <f>"5F1"</f>
        <v>5F1</v>
      </c>
      <c r="L4107" t="s">
        <v>15</v>
      </c>
    </row>
    <row r="4108" spans="1:12" x14ac:dyDescent="0.25">
      <c r="A4108" t="str">
        <f>"460902481"</f>
        <v>460902481</v>
      </c>
      <c r="B4108" t="str">
        <f t="shared" si="245"/>
        <v>89301000</v>
      </c>
      <c r="C4108" s="1">
        <v>44472</v>
      </c>
      <c r="D4108" s="1">
        <v>44500</v>
      </c>
      <c r="E4108">
        <v>1</v>
      </c>
      <c r="F4108" t="s">
        <v>335</v>
      </c>
      <c r="G4108" t="str">
        <f>"07-I10-05"</f>
        <v>07-I10-05</v>
      </c>
      <c r="H4108">
        <v>3.7848999999999999</v>
      </c>
      <c r="I4108" t="s">
        <v>2961</v>
      </c>
      <c r="J4108" t="s">
        <v>17</v>
      </c>
      <c r="K4108" t="str">
        <f>"5F1"</f>
        <v>5F1</v>
      </c>
      <c r="L4108" t="s">
        <v>15</v>
      </c>
    </row>
    <row r="4109" spans="1:12" x14ac:dyDescent="0.25">
      <c r="A4109" t="str">
        <f>"460905402"</f>
        <v>460905402</v>
      </c>
      <c r="B4109" t="str">
        <f t="shared" si="245"/>
        <v>89301000</v>
      </c>
      <c r="C4109" s="1">
        <v>44185</v>
      </c>
      <c r="D4109" s="1">
        <v>44228</v>
      </c>
      <c r="E4109">
        <v>4</v>
      </c>
      <c r="F4109" t="s">
        <v>962</v>
      </c>
      <c r="G4109" t="str">
        <f>"04-M01-04"</f>
        <v>04-M01-04</v>
      </c>
      <c r="H4109">
        <v>14.3485</v>
      </c>
      <c r="I4109" t="s">
        <v>2962</v>
      </c>
      <c r="J4109" t="s">
        <v>14</v>
      </c>
      <c r="K4109" t="str">
        <f>"2F5"</f>
        <v>2F5</v>
      </c>
      <c r="L4109" t="s">
        <v>15</v>
      </c>
    </row>
    <row r="4110" spans="1:12" x14ac:dyDescent="0.25">
      <c r="A4110" t="str">
        <f>"460911408"</f>
        <v>460911408</v>
      </c>
      <c r="B4110" t="str">
        <f t="shared" si="245"/>
        <v>89301000</v>
      </c>
      <c r="C4110" s="1">
        <v>44498</v>
      </c>
      <c r="D4110" s="1">
        <v>44510</v>
      </c>
      <c r="E4110">
        <v>1</v>
      </c>
      <c r="F4110" t="s">
        <v>178</v>
      </c>
      <c r="G4110" t="str">
        <f>"11-K12-02"</f>
        <v>11-K12-02</v>
      </c>
      <c r="H4110">
        <v>0.70630000000000004</v>
      </c>
      <c r="I4110" t="s">
        <v>2963</v>
      </c>
      <c r="J4110" t="s">
        <v>14</v>
      </c>
      <c r="K4110" t="str">
        <f>"7F6"</f>
        <v>7F6</v>
      </c>
      <c r="L4110" t="s">
        <v>15</v>
      </c>
    </row>
    <row r="4111" spans="1:12" x14ac:dyDescent="0.25">
      <c r="A4111" t="str">
        <f>"460917450"</f>
        <v>460917450</v>
      </c>
      <c r="B4111" t="str">
        <f t="shared" si="245"/>
        <v>89301000</v>
      </c>
      <c r="C4111" s="1">
        <v>44217</v>
      </c>
      <c r="D4111" s="1">
        <v>44222</v>
      </c>
      <c r="E4111">
        <v>7</v>
      </c>
      <c r="F4111" t="s">
        <v>67</v>
      </c>
      <c r="G4111" t="str">
        <f>"01-K10-01"</f>
        <v>01-K10-01</v>
      </c>
      <c r="H4111">
        <v>2.0594000000000001</v>
      </c>
      <c r="I4111" t="s">
        <v>2964</v>
      </c>
      <c r="J4111" t="s">
        <v>14</v>
      </c>
      <c r="K4111" t="str">
        <f>"2T9"</f>
        <v>2T9</v>
      </c>
      <c r="L4111" t="s">
        <v>15</v>
      </c>
    </row>
    <row r="4112" spans="1:12" x14ac:dyDescent="0.25">
      <c r="A4112" t="str">
        <f>"460929481"</f>
        <v>460929481</v>
      </c>
      <c r="B4112" t="str">
        <f t="shared" si="245"/>
        <v>89301000</v>
      </c>
      <c r="C4112" s="1">
        <v>44221</v>
      </c>
      <c r="D4112" s="1">
        <v>44223</v>
      </c>
      <c r="E4112">
        <v>1</v>
      </c>
      <c r="F4112" t="s">
        <v>354</v>
      </c>
      <c r="G4112" t="str">
        <f>"10-K14-03"</f>
        <v>10-K14-03</v>
      </c>
      <c r="H4112">
        <v>0.50439999999999996</v>
      </c>
      <c r="I4112" t="s">
        <v>2965</v>
      </c>
      <c r="J4112" t="s">
        <v>14</v>
      </c>
      <c r="K4112" t="str">
        <f>"1F1"</f>
        <v>1F1</v>
      </c>
      <c r="L4112" t="s">
        <v>15</v>
      </c>
    </row>
    <row r="4113" spans="1:12" x14ac:dyDescent="0.25">
      <c r="A4113" t="str">
        <f>"460929514"</f>
        <v>460929514</v>
      </c>
      <c r="B4113" t="str">
        <f t="shared" si="245"/>
        <v>89301000</v>
      </c>
      <c r="C4113" s="1">
        <v>44459</v>
      </c>
      <c r="D4113" s="1">
        <v>44464</v>
      </c>
      <c r="E4113">
        <v>1</v>
      </c>
      <c r="F4113" t="s">
        <v>300</v>
      </c>
      <c r="G4113" t="str">
        <f>"11-M03-02"</f>
        <v>11-M03-02</v>
      </c>
      <c r="H4113">
        <v>1.2824</v>
      </c>
      <c r="I4113" t="s">
        <v>2966</v>
      </c>
      <c r="J4113" t="s">
        <v>17</v>
      </c>
      <c r="K4113" t="str">
        <f>"7F6"</f>
        <v>7F6</v>
      </c>
      <c r="L4113" t="s">
        <v>15</v>
      </c>
    </row>
    <row r="4114" spans="1:12" x14ac:dyDescent="0.25">
      <c r="A4114" t="str">
        <f>"460929514"</f>
        <v>460929514</v>
      </c>
      <c r="B4114" t="str">
        <f t="shared" si="245"/>
        <v>89301000</v>
      </c>
      <c r="C4114" s="1">
        <v>44335</v>
      </c>
      <c r="D4114" s="1">
        <v>44336</v>
      </c>
      <c r="E4114">
        <v>1</v>
      </c>
      <c r="F4114" t="s">
        <v>2967</v>
      </c>
      <c r="G4114" t="str">
        <f>"09-I10-02"</f>
        <v>09-I10-02</v>
      </c>
      <c r="H4114">
        <v>0.98380000000000001</v>
      </c>
      <c r="J4114" t="s">
        <v>17</v>
      </c>
      <c r="K4114" t="str">
        <f>"6F1"</f>
        <v>6F1</v>
      </c>
      <c r="L4114" t="s">
        <v>15</v>
      </c>
    </row>
    <row r="4115" spans="1:12" x14ac:dyDescent="0.25">
      <c r="A4115" t="str">
        <f>"461004466"</f>
        <v>461004466</v>
      </c>
      <c r="B4115" t="str">
        <f t="shared" si="245"/>
        <v>89301000</v>
      </c>
      <c r="C4115" s="1">
        <v>44524</v>
      </c>
      <c r="D4115" s="1">
        <v>44530</v>
      </c>
      <c r="E4115">
        <v>1</v>
      </c>
      <c r="F4115" t="s">
        <v>1679</v>
      </c>
      <c r="G4115" t="str">
        <f>"11-M06-03"</f>
        <v>11-M06-03</v>
      </c>
      <c r="H4115">
        <v>0.61519999999999997</v>
      </c>
      <c r="I4115" t="s">
        <v>2968</v>
      </c>
      <c r="J4115" t="s">
        <v>17</v>
      </c>
      <c r="K4115" t="str">
        <f>"7F6"</f>
        <v>7F6</v>
      </c>
      <c r="L4115" t="s">
        <v>15</v>
      </c>
    </row>
    <row r="4116" spans="1:12" x14ac:dyDescent="0.25">
      <c r="A4116" t="str">
        <f>"461005410"</f>
        <v>461005410</v>
      </c>
      <c r="B4116" t="str">
        <f t="shared" si="245"/>
        <v>89301000</v>
      </c>
      <c r="C4116" s="1">
        <v>44470</v>
      </c>
      <c r="D4116" s="1">
        <v>44476</v>
      </c>
      <c r="E4116">
        <v>1</v>
      </c>
      <c r="F4116" t="s">
        <v>1555</v>
      </c>
      <c r="G4116" t="str">
        <f>"05-K12-02"</f>
        <v>05-K12-02</v>
      </c>
      <c r="H4116">
        <v>0.53600000000000003</v>
      </c>
      <c r="I4116" t="s">
        <v>2321</v>
      </c>
      <c r="J4116" t="s">
        <v>14</v>
      </c>
      <c r="K4116" t="str">
        <f>"5F1"</f>
        <v>5F1</v>
      </c>
      <c r="L4116" t="s">
        <v>15</v>
      </c>
    </row>
    <row r="4117" spans="1:12" x14ac:dyDescent="0.25">
      <c r="A4117" t="str">
        <f>"461012408"</f>
        <v>461012408</v>
      </c>
      <c r="B4117" t="str">
        <f t="shared" si="245"/>
        <v>89301000</v>
      </c>
      <c r="C4117" s="1">
        <v>44368</v>
      </c>
      <c r="D4117" s="1">
        <v>44370</v>
      </c>
      <c r="E4117">
        <v>1</v>
      </c>
      <c r="F4117" t="s">
        <v>320</v>
      </c>
      <c r="G4117" t="str">
        <f>"03-I23-00"</f>
        <v>03-I23-00</v>
      </c>
      <c r="H4117">
        <v>0.47639999999999999</v>
      </c>
      <c r="I4117" t="s">
        <v>2969</v>
      </c>
      <c r="J4117" t="s">
        <v>14</v>
      </c>
      <c r="K4117" t="str">
        <f>"6F5"</f>
        <v>6F5</v>
      </c>
      <c r="L4117" t="s">
        <v>15</v>
      </c>
    </row>
    <row r="4118" spans="1:12" x14ac:dyDescent="0.25">
      <c r="A4118" t="str">
        <f>"461016952"</f>
        <v>461016952</v>
      </c>
      <c r="B4118" t="str">
        <f t="shared" ref="B4118:B4178" si="246">"89301000"</f>
        <v>89301000</v>
      </c>
      <c r="C4118" s="1">
        <v>44215</v>
      </c>
      <c r="D4118" s="1">
        <v>44217</v>
      </c>
      <c r="E4118">
        <v>1</v>
      </c>
      <c r="F4118" t="s">
        <v>2585</v>
      </c>
      <c r="G4118" t="str">
        <f>"12-K05-02"</f>
        <v>12-K05-02</v>
      </c>
      <c r="H4118">
        <v>0.4415</v>
      </c>
      <c r="J4118" t="s">
        <v>14</v>
      </c>
      <c r="K4118" t="str">
        <f>"7F6"</f>
        <v>7F6</v>
      </c>
      <c r="L4118" t="s">
        <v>15</v>
      </c>
    </row>
    <row r="4119" spans="1:12" x14ac:dyDescent="0.25">
      <c r="A4119" t="str">
        <f>"461016952"</f>
        <v>461016952</v>
      </c>
      <c r="B4119" t="str">
        <f t="shared" si="246"/>
        <v>89301000</v>
      </c>
      <c r="C4119" s="1">
        <v>44208</v>
      </c>
      <c r="D4119" s="1">
        <v>44209</v>
      </c>
      <c r="E4119">
        <v>1</v>
      </c>
      <c r="F4119" t="s">
        <v>2970</v>
      </c>
      <c r="G4119" t="str">
        <f>"16-K02-03"</f>
        <v>16-K02-03</v>
      </c>
      <c r="H4119">
        <v>0.5302</v>
      </c>
      <c r="I4119" t="s">
        <v>2971</v>
      </c>
      <c r="J4119" t="s">
        <v>14</v>
      </c>
      <c r="K4119" t="str">
        <f>"1F9"</f>
        <v>1F9</v>
      </c>
      <c r="L4119" t="s">
        <v>15</v>
      </c>
    </row>
    <row r="4120" spans="1:12" x14ac:dyDescent="0.25">
      <c r="A4120" t="str">
        <f>"461016952"</f>
        <v>461016952</v>
      </c>
      <c r="B4120" t="str">
        <f t="shared" si="246"/>
        <v>89301000</v>
      </c>
      <c r="C4120" s="1">
        <v>44231</v>
      </c>
      <c r="D4120" s="1">
        <v>44244</v>
      </c>
      <c r="E4120">
        <v>4</v>
      </c>
      <c r="F4120" t="s">
        <v>217</v>
      </c>
      <c r="G4120" t="str">
        <f>"04-K02-03"</f>
        <v>04-K02-03</v>
      </c>
      <c r="H4120">
        <v>1.3077000000000001</v>
      </c>
      <c r="I4120" t="s">
        <v>2972</v>
      </c>
      <c r="J4120" t="s">
        <v>14</v>
      </c>
      <c r="K4120" t="str">
        <f>"1F6"</f>
        <v>1F6</v>
      </c>
      <c r="L4120" t="s">
        <v>15</v>
      </c>
    </row>
    <row r="4121" spans="1:12" x14ac:dyDescent="0.25">
      <c r="A4121" t="str">
        <f>"461105164"</f>
        <v>461105164</v>
      </c>
      <c r="B4121" t="str">
        <f t="shared" si="246"/>
        <v>89301000</v>
      </c>
      <c r="C4121" s="1">
        <v>44333</v>
      </c>
      <c r="D4121" s="1">
        <v>44344</v>
      </c>
      <c r="E4121">
        <v>1</v>
      </c>
      <c r="F4121" t="s">
        <v>109</v>
      </c>
      <c r="G4121" t="str">
        <f>"24-M06-02"</f>
        <v>24-M06-02</v>
      </c>
      <c r="H4121">
        <v>1.0233000000000001</v>
      </c>
      <c r="I4121" t="s">
        <v>2833</v>
      </c>
      <c r="J4121" t="s">
        <v>14</v>
      </c>
      <c r="K4121" t="str">
        <f>"2F1"</f>
        <v>2F1</v>
      </c>
      <c r="L4121" t="s">
        <v>15</v>
      </c>
    </row>
    <row r="4122" spans="1:12" x14ac:dyDescent="0.25">
      <c r="A4122" t="str">
        <f>"461105164"</f>
        <v>461105164</v>
      </c>
      <c r="B4122" t="str">
        <f t="shared" si="246"/>
        <v>89301000</v>
      </c>
      <c r="C4122" s="1">
        <v>44327</v>
      </c>
      <c r="D4122" s="1">
        <v>44333</v>
      </c>
      <c r="E4122">
        <v>3</v>
      </c>
      <c r="F4122" t="s">
        <v>1968</v>
      </c>
      <c r="G4122" t="str">
        <f>"08-I05-05"</f>
        <v>08-I05-05</v>
      </c>
      <c r="H4122">
        <v>2.2932000000000001</v>
      </c>
      <c r="I4122" t="s">
        <v>2973</v>
      </c>
      <c r="J4122" t="s">
        <v>17</v>
      </c>
      <c r="K4122" t="str">
        <f>"6F6"</f>
        <v>6F6</v>
      </c>
      <c r="L4122" t="s">
        <v>15</v>
      </c>
    </row>
    <row r="4123" spans="1:12" x14ac:dyDescent="0.25">
      <c r="A4123" t="str">
        <f>"461105164"</f>
        <v>461105164</v>
      </c>
      <c r="B4123" t="str">
        <f t="shared" si="246"/>
        <v>89301000</v>
      </c>
      <c r="C4123" s="1">
        <v>44544</v>
      </c>
      <c r="D4123" s="1">
        <v>44547</v>
      </c>
      <c r="E4123">
        <v>1</v>
      </c>
      <c r="F4123" t="s">
        <v>2422</v>
      </c>
      <c r="G4123" t="str">
        <f>"01-K04-02"</f>
        <v>01-K04-02</v>
      </c>
      <c r="H4123">
        <v>0.80059999999999998</v>
      </c>
      <c r="I4123" t="s">
        <v>2974</v>
      </c>
      <c r="J4123" t="s">
        <v>14</v>
      </c>
      <c r="K4123" t="str">
        <f>"2F9"</f>
        <v>2F9</v>
      </c>
      <c r="L4123" t="s">
        <v>15</v>
      </c>
    </row>
    <row r="4124" spans="1:12" x14ac:dyDescent="0.25">
      <c r="A4124" t="str">
        <f>"461112468"</f>
        <v>461112468</v>
      </c>
      <c r="B4124" t="str">
        <f t="shared" si="246"/>
        <v>89301000</v>
      </c>
      <c r="C4124" s="1">
        <v>44325</v>
      </c>
      <c r="D4124" s="1">
        <v>44336</v>
      </c>
      <c r="E4124">
        <v>3</v>
      </c>
      <c r="F4124" t="s">
        <v>1894</v>
      </c>
      <c r="G4124" t="str">
        <f>"01-K11-03"</f>
        <v>01-K11-03</v>
      </c>
      <c r="H4124">
        <v>1.5643</v>
      </c>
      <c r="I4124" t="s">
        <v>2975</v>
      </c>
      <c r="J4124" t="s">
        <v>14</v>
      </c>
      <c r="K4124" t="str">
        <f>"2F9"</f>
        <v>2F9</v>
      </c>
      <c r="L4124" t="s">
        <v>15</v>
      </c>
    </row>
    <row r="4125" spans="1:12" x14ac:dyDescent="0.25">
      <c r="A4125" t="str">
        <f>"461112468"</f>
        <v>461112468</v>
      </c>
      <c r="B4125" t="str">
        <f t="shared" si="246"/>
        <v>89301000</v>
      </c>
      <c r="C4125" s="1">
        <v>44336</v>
      </c>
      <c r="D4125" s="1">
        <v>44358</v>
      </c>
      <c r="E4125">
        <v>4</v>
      </c>
      <c r="F4125" t="s">
        <v>109</v>
      </c>
      <c r="G4125" t="str">
        <f>"24-M08-01"</f>
        <v>24-M08-01</v>
      </c>
      <c r="H4125">
        <v>2.5592999999999999</v>
      </c>
      <c r="I4125" t="s">
        <v>2976</v>
      </c>
      <c r="J4125" t="s">
        <v>14</v>
      </c>
      <c r="K4125" t="str">
        <f>"2F1"</f>
        <v>2F1</v>
      </c>
      <c r="L4125" t="s">
        <v>15</v>
      </c>
    </row>
    <row r="4126" spans="1:12" x14ac:dyDescent="0.25">
      <c r="A4126" t="str">
        <f>"461124455"</f>
        <v>461124455</v>
      </c>
      <c r="B4126" t="str">
        <f t="shared" si="246"/>
        <v>89301000</v>
      </c>
      <c r="C4126" s="1">
        <v>44488</v>
      </c>
      <c r="D4126" s="1">
        <v>44505</v>
      </c>
      <c r="E4126">
        <v>1</v>
      </c>
      <c r="F4126" t="s">
        <v>2977</v>
      </c>
      <c r="G4126" t="str">
        <f>"19-K05-02"</f>
        <v>19-K05-02</v>
      </c>
      <c r="H4126">
        <v>1.8835999999999999</v>
      </c>
      <c r="I4126" t="s">
        <v>2978</v>
      </c>
      <c r="J4126" t="s">
        <v>27</v>
      </c>
      <c r="K4126" t="str">
        <f>"3F5"</f>
        <v>3F5</v>
      </c>
      <c r="L4126" t="s">
        <v>15</v>
      </c>
    </row>
    <row r="4127" spans="1:12" x14ac:dyDescent="0.25">
      <c r="A4127" t="str">
        <f>"461126443"</f>
        <v>461126443</v>
      </c>
      <c r="B4127" t="str">
        <f t="shared" si="246"/>
        <v>89301000</v>
      </c>
      <c r="C4127" s="1">
        <v>44474</v>
      </c>
      <c r="D4127" s="1">
        <v>44483</v>
      </c>
      <c r="E4127">
        <v>1</v>
      </c>
      <c r="F4127" t="s">
        <v>1581</v>
      </c>
      <c r="G4127" t="str">
        <f>"05-M07-06"</f>
        <v>05-M07-06</v>
      </c>
      <c r="H4127">
        <v>1.6151</v>
      </c>
      <c r="I4127" t="s">
        <v>2979</v>
      </c>
      <c r="J4127" t="s">
        <v>17</v>
      </c>
      <c r="K4127" t="str">
        <f>"5F1"</f>
        <v>5F1</v>
      </c>
      <c r="L4127" t="s">
        <v>15</v>
      </c>
    </row>
    <row r="4128" spans="1:12" x14ac:dyDescent="0.25">
      <c r="A4128" t="str">
        <f>"461203448"</f>
        <v>461203448</v>
      </c>
      <c r="B4128" t="str">
        <f t="shared" si="246"/>
        <v>89301000</v>
      </c>
      <c r="C4128" s="1">
        <v>44372</v>
      </c>
      <c r="D4128" s="1">
        <v>44389</v>
      </c>
      <c r="E4128">
        <v>1</v>
      </c>
      <c r="F4128" t="s">
        <v>316</v>
      </c>
      <c r="G4128" t="str">
        <f>"01-I08-04"</f>
        <v>01-I08-04</v>
      </c>
      <c r="H4128">
        <v>1.9662999999999999</v>
      </c>
      <c r="I4128" t="s">
        <v>2980</v>
      </c>
      <c r="J4128" t="s">
        <v>17</v>
      </c>
      <c r="K4128" t="str">
        <f>"1F6"</f>
        <v>1F6</v>
      </c>
      <c r="L4128" t="s">
        <v>15</v>
      </c>
    </row>
    <row r="4129" spans="1:12" x14ac:dyDescent="0.25">
      <c r="A4129" t="str">
        <f>"461203448"</f>
        <v>461203448</v>
      </c>
      <c r="B4129" t="str">
        <f t="shared" si="246"/>
        <v>89301000</v>
      </c>
      <c r="C4129" s="1">
        <v>44306</v>
      </c>
      <c r="D4129" s="1">
        <v>44309</v>
      </c>
      <c r="E4129">
        <v>1</v>
      </c>
      <c r="F4129" t="s">
        <v>1955</v>
      </c>
      <c r="G4129" t="str">
        <f>"01-K04-02"</f>
        <v>01-K04-02</v>
      </c>
      <c r="H4129">
        <v>2.6137000000000001</v>
      </c>
      <c r="I4129" t="s">
        <v>2981</v>
      </c>
      <c r="J4129" t="s">
        <v>14</v>
      </c>
      <c r="K4129" t="str">
        <f>"1F9"</f>
        <v>1F9</v>
      </c>
      <c r="L4129" t="s">
        <v>15</v>
      </c>
    </row>
    <row r="4130" spans="1:12" x14ac:dyDescent="0.25">
      <c r="A4130" t="str">
        <f>"461204474"</f>
        <v>461204474</v>
      </c>
      <c r="B4130" t="str">
        <f t="shared" si="246"/>
        <v>89301000</v>
      </c>
      <c r="C4130" s="1">
        <v>44235</v>
      </c>
      <c r="D4130" s="1">
        <v>44235</v>
      </c>
      <c r="E4130">
        <v>1</v>
      </c>
      <c r="F4130" t="s">
        <v>1557</v>
      </c>
      <c r="G4130" t="str">
        <f>"05-M06-08"</f>
        <v>05-M06-08</v>
      </c>
      <c r="H4130">
        <v>1.1200000000000001</v>
      </c>
      <c r="I4130" t="s">
        <v>2982</v>
      </c>
      <c r="J4130" t="s">
        <v>17</v>
      </c>
      <c r="K4130" t="str">
        <f>"1F1"</f>
        <v>1F1</v>
      </c>
      <c r="L4130" t="s">
        <v>15</v>
      </c>
    </row>
    <row r="4131" spans="1:12" x14ac:dyDescent="0.25">
      <c r="A4131" t="str">
        <f>"461204474"</f>
        <v>461204474</v>
      </c>
      <c r="B4131" t="str">
        <f t="shared" si="246"/>
        <v>89301000</v>
      </c>
      <c r="C4131" s="1">
        <v>44203</v>
      </c>
      <c r="D4131" s="1">
        <v>44203</v>
      </c>
      <c r="E4131">
        <v>5</v>
      </c>
      <c r="F4131" t="s">
        <v>1683</v>
      </c>
      <c r="G4131" t="str">
        <f>"05-M06-06"</f>
        <v>05-M06-06</v>
      </c>
      <c r="H4131">
        <v>1.2576000000000001</v>
      </c>
      <c r="J4131" t="s">
        <v>17</v>
      </c>
      <c r="K4131" t="str">
        <f>"1F7"</f>
        <v>1F7</v>
      </c>
      <c r="L4131" t="s">
        <v>15</v>
      </c>
    </row>
    <row r="4132" spans="1:12" x14ac:dyDescent="0.25">
      <c r="A4132" t="str">
        <f>"461213474"</f>
        <v>461213474</v>
      </c>
      <c r="B4132" t="str">
        <f t="shared" si="246"/>
        <v>89301000</v>
      </c>
      <c r="C4132" s="1">
        <v>44483</v>
      </c>
      <c r="D4132" s="1">
        <v>44489</v>
      </c>
      <c r="E4132">
        <v>1</v>
      </c>
      <c r="F4132" t="s">
        <v>2232</v>
      </c>
      <c r="G4132" t="str">
        <f>"11-I07-01"</f>
        <v>11-I07-01</v>
      </c>
      <c r="H4132">
        <v>2.5975999999999999</v>
      </c>
      <c r="I4132" t="s">
        <v>2983</v>
      </c>
      <c r="J4132" t="s">
        <v>14</v>
      </c>
      <c r="K4132" t="str">
        <f>"7F6"</f>
        <v>7F6</v>
      </c>
      <c r="L4132" t="s">
        <v>15</v>
      </c>
    </row>
    <row r="4133" spans="1:12" x14ac:dyDescent="0.25">
      <c r="A4133" t="str">
        <f>"461220436"</f>
        <v>461220436</v>
      </c>
      <c r="B4133" t="str">
        <f t="shared" si="246"/>
        <v>89301000</v>
      </c>
      <c r="C4133" s="1">
        <v>44238</v>
      </c>
      <c r="D4133" s="1">
        <v>44238</v>
      </c>
      <c r="E4133">
        <v>1</v>
      </c>
      <c r="F4133" t="s">
        <v>1545</v>
      </c>
      <c r="G4133" t="str">
        <f>"05-M09-00"</f>
        <v>05-M09-00</v>
      </c>
      <c r="H4133">
        <v>0.89319999999999999</v>
      </c>
      <c r="I4133" t="s">
        <v>2984</v>
      </c>
      <c r="J4133" t="s">
        <v>14</v>
      </c>
      <c r="K4133" t="str">
        <f>"1F1"</f>
        <v>1F1</v>
      </c>
      <c r="L4133" t="s">
        <v>15</v>
      </c>
    </row>
    <row r="4134" spans="1:12" x14ac:dyDescent="0.25">
      <c r="A4134" t="str">
        <f>"461220436"</f>
        <v>461220436</v>
      </c>
      <c r="B4134" t="str">
        <f t="shared" si="246"/>
        <v>89301000</v>
      </c>
      <c r="C4134" s="1">
        <v>44230</v>
      </c>
      <c r="D4134" s="1">
        <v>44232</v>
      </c>
      <c r="E4134">
        <v>1</v>
      </c>
      <c r="F4134" t="s">
        <v>1545</v>
      </c>
      <c r="G4134" t="str">
        <f>"05-I14-04"</f>
        <v>05-I14-04</v>
      </c>
      <c r="H4134">
        <v>5.4002999999999997</v>
      </c>
      <c r="I4134" t="s">
        <v>1599</v>
      </c>
      <c r="J4134" t="s">
        <v>14</v>
      </c>
      <c r="K4134" t="str">
        <f>"1F7"</f>
        <v>1F7</v>
      </c>
      <c r="L4134" t="s">
        <v>15</v>
      </c>
    </row>
    <row r="4135" spans="1:12" x14ac:dyDescent="0.25">
      <c r="A4135" t="str">
        <f>"461221451"</f>
        <v>461221451</v>
      </c>
      <c r="B4135" t="str">
        <f t="shared" si="246"/>
        <v>89301000</v>
      </c>
      <c r="C4135" s="1">
        <v>44307</v>
      </c>
      <c r="D4135" s="1">
        <v>44310</v>
      </c>
      <c r="E4135">
        <v>1</v>
      </c>
      <c r="F4135" t="s">
        <v>1581</v>
      </c>
      <c r="G4135" t="str">
        <f>"05-M07-06"</f>
        <v>05-M07-06</v>
      </c>
      <c r="H4135">
        <v>1.2513000000000001</v>
      </c>
      <c r="I4135" t="s">
        <v>2985</v>
      </c>
      <c r="J4135" t="s">
        <v>17</v>
      </c>
      <c r="K4135" t="str">
        <f>"5F1"</f>
        <v>5F1</v>
      </c>
      <c r="L4135" t="s">
        <v>15</v>
      </c>
    </row>
    <row r="4136" spans="1:12" x14ac:dyDescent="0.25">
      <c r="A4136" t="str">
        <f>"461226412"</f>
        <v>461226412</v>
      </c>
      <c r="B4136" t="str">
        <f t="shared" si="246"/>
        <v>89301000</v>
      </c>
      <c r="C4136" s="1">
        <v>44397</v>
      </c>
      <c r="D4136" s="1">
        <v>44398</v>
      </c>
      <c r="E4136">
        <v>1</v>
      </c>
      <c r="F4136" t="s">
        <v>1557</v>
      </c>
      <c r="G4136" t="str">
        <f>"05-D01-08"</f>
        <v>05-D01-08</v>
      </c>
      <c r="H4136">
        <v>0.4093</v>
      </c>
      <c r="I4136" t="s">
        <v>2283</v>
      </c>
      <c r="J4136" t="s">
        <v>14</v>
      </c>
      <c r="K4136" t="str">
        <f>"1F1"</f>
        <v>1F1</v>
      </c>
      <c r="L4136" t="s">
        <v>15</v>
      </c>
    </row>
    <row r="4137" spans="1:12" x14ac:dyDescent="0.25">
      <c r="A4137" t="str">
        <f>"461226412"</f>
        <v>461226412</v>
      </c>
      <c r="B4137" t="str">
        <f t="shared" si="246"/>
        <v>89301000</v>
      </c>
      <c r="C4137" s="1">
        <v>44438</v>
      </c>
      <c r="D4137" s="1">
        <v>44446</v>
      </c>
      <c r="E4137">
        <v>1</v>
      </c>
      <c r="F4137" t="s">
        <v>1557</v>
      </c>
      <c r="G4137" t="str">
        <f>"05-I16-06"</f>
        <v>05-I16-06</v>
      </c>
      <c r="H4137">
        <v>5.2988</v>
      </c>
      <c r="J4137" t="s">
        <v>17</v>
      </c>
      <c r="K4137" t="str">
        <f>"5F5"</f>
        <v>5F5</v>
      </c>
      <c r="L4137" t="s">
        <v>15</v>
      </c>
    </row>
    <row r="4138" spans="1:12" x14ac:dyDescent="0.25">
      <c r="A4138" t="str">
        <f>"461229402"</f>
        <v>461229402</v>
      </c>
      <c r="B4138" t="str">
        <f t="shared" si="246"/>
        <v>89301000</v>
      </c>
      <c r="C4138" s="1">
        <v>44226</v>
      </c>
      <c r="D4138" s="1">
        <v>44226</v>
      </c>
      <c r="E4138">
        <v>8</v>
      </c>
      <c r="F4138" t="s">
        <v>699</v>
      </c>
      <c r="G4138" t="str">
        <f>"16-K02-02"</f>
        <v>16-K02-02</v>
      </c>
      <c r="H4138">
        <v>0.45229999999999998</v>
      </c>
      <c r="I4138" t="s">
        <v>2986</v>
      </c>
      <c r="J4138" t="s">
        <v>14</v>
      </c>
      <c r="K4138" t="str">
        <f>"1F1"</f>
        <v>1F1</v>
      </c>
      <c r="L4138" t="s">
        <v>15</v>
      </c>
    </row>
    <row r="4139" spans="1:12" x14ac:dyDescent="0.25">
      <c r="A4139" t="str">
        <f>"465102054"</f>
        <v>465102054</v>
      </c>
      <c r="B4139" t="str">
        <f t="shared" si="246"/>
        <v>89301000</v>
      </c>
      <c r="C4139" s="1">
        <v>44389</v>
      </c>
      <c r="D4139" s="1">
        <v>44405</v>
      </c>
      <c r="E4139">
        <v>4</v>
      </c>
      <c r="F4139" t="s">
        <v>2987</v>
      </c>
      <c r="G4139" t="str">
        <f>"19-K02-02"</f>
        <v>19-K02-02</v>
      </c>
      <c r="H4139">
        <v>1.4512</v>
      </c>
      <c r="I4139" t="s">
        <v>2988</v>
      </c>
      <c r="J4139" t="s">
        <v>27</v>
      </c>
      <c r="K4139" t="str">
        <f>"5F3"</f>
        <v>5F3</v>
      </c>
      <c r="L4139" t="s">
        <v>15</v>
      </c>
    </row>
    <row r="4140" spans="1:12" x14ac:dyDescent="0.25">
      <c r="A4140" t="str">
        <f>"465102054"</f>
        <v>465102054</v>
      </c>
      <c r="B4140" t="str">
        <f t="shared" si="246"/>
        <v>89301000</v>
      </c>
      <c r="C4140" s="1">
        <v>44270</v>
      </c>
      <c r="D4140" s="1">
        <v>44273</v>
      </c>
      <c r="E4140">
        <v>1</v>
      </c>
      <c r="F4140" t="s">
        <v>1548</v>
      </c>
      <c r="G4140" t="str">
        <f>"05-I14-04"</f>
        <v>05-I14-04</v>
      </c>
      <c r="H4140">
        <v>5.4002999999999997</v>
      </c>
      <c r="J4140" t="s">
        <v>14</v>
      </c>
      <c r="K4140" t="str">
        <f>"1F7"</f>
        <v>1F7</v>
      </c>
      <c r="L4140" t="s">
        <v>15</v>
      </c>
    </row>
    <row r="4141" spans="1:12" x14ac:dyDescent="0.25">
      <c r="A4141" t="str">
        <f>"465104455"</f>
        <v>465104455</v>
      </c>
      <c r="B4141" t="str">
        <f t="shared" si="246"/>
        <v>89301000</v>
      </c>
      <c r="C4141" s="1">
        <v>44233</v>
      </c>
      <c r="D4141" s="1">
        <v>44243</v>
      </c>
      <c r="E4141">
        <v>5</v>
      </c>
      <c r="F4141" t="s">
        <v>67</v>
      </c>
      <c r="G4141" t="str">
        <f>"01-M02-00"</f>
        <v>01-M02-00</v>
      </c>
      <c r="H4141">
        <v>5.4023000000000003</v>
      </c>
      <c r="I4141" t="s">
        <v>2989</v>
      </c>
      <c r="J4141" t="s">
        <v>17</v>
      </c>
      <c r="K4141" t="str">
        <f>"2F9"</f>
        <v>2F9</v>
      </c>
      <c r="L4141" t="s">
        <v>15</v>
      </c>
    </row>
    <row r="4142" spans="1:12" x14ac:dyDescent="0.25">
      <c r="A4142" t="str">
        <f>"465106411"</f>
        <v>465106411</v>
      </c>
      <c r="B4142" t="str">
        <f t="shared" si="246"/>
        <v>89301000</v>
      </c>
      <c r="C4142" s="1">
        <v>44369</v>
      </c>
      <c r="D4142" s="1">
        <v>44372</v>
      </c>
      <c r="E4142">
        <v>1</v>
      </c>
      <c r="F4142" t="s">
        <v>2990</v>
      </c>
      <c r="G4142" t="str">
        <f>"08-K04-01"</f>
        <v>08-K04-01</v>
      </c>
      <c r="H4142">
        <v>1.0062</v>
      </c>
      <c r="I4142" t="s">
        <v>2991</v>
      </c>
      <c r="J4142" t="s">
        <v>14</v>
      </c>
      <c r="K4142" t="str">
        <f>"1F1"</f>
        <v>1F1</v>
      </c>
      <c r="L4142" t="s">
        <v>15</v>
      </c>
    </row>
    <row r="4143" spans="1:12" x14ac:dyDescent="0.25">
      <c r="A4143" t="str">
        <f>"465109406"</f>
        <v>465109406</v>
      </c>
      <c r="B4143" t="str">
        <f t="shared" si="246"/>
        <v>89301000</v>
      </c>
      <c r="C4143" s="1">
        <v>44493</v>
      </c>
      <c r="D4143" s="1">
        <v>44503</v>
      </c>
      <c r="E4143">
        <v>1</v>
      </c>
      <c r="F4143" t="s">
        <v>1631</v>
      </c>
      <c r="G4143" t="str">
        <f>"17-C05-03"</f>
        <v>17-C05-03</v>
      </c>
      <c r="H4143">
        <v>0.86229999999999996</v>
      </c>
      <c r="I4143" t="s">
        <v>2992</v>
      </c>
      <c r="J4143" t="s">
        <v>14</v>
      </c>
      <c r="K4143" t="str">
        <f>"2F2"</f>
        <v>2F2</v>
      </c>
      <c r="L4143" t="s">
        <v>15</v>
      </c>
    </row>
    <row r="4144" spans="1:12" x14ac:dyDescent="0.25">
      <c r="A4144" t="str">
        <f>"465130449"</f>
        <v>465130449</v>
      </c>
      <c r="B4144" t="str">
        <f t="shared" si="246"/>
        <v>89301000</v>
      </c>
      <c r="C4144" s="1">
        <v>44392</v>
      </c>
      <c r="D4144" s="1">
        <v>44393</v>
      </c>
      <c r="E4144">
        <v>1</v>
      </c>
      <c r="F4144" t="s">
        <v>2407</v>
      </c>
      <c r="G4144" t="str">
        <f>"08-K04-03"</f>
        <v>08-K04-03</v>
      </c>
      <c r="H4144">
        <v>0.45050000000000001</v>
      </c>
      <c r="J4144" t="s">
        <v>14</v>
      </c>
      <c r="K4144" t="str">
        <f>"6F6"</f>
        <v>6F6</v>
      </c>
      <c r="L4144" t="s">
        <v>15</v>
      </c>
    </row>
    <row r="4145" spans="1:12" x14ac:dyDescent="0.25">
      <c r="A4145" t="str">
        <f>"465130449"</f>
        <v>465130449</v>
      </c>
      <c r="B4145" t="str">
        <f t="shared" si="246"/>
        <v>89301000</v>
      </c>
      <c r="C4145" s="1">
        <v>44480</v>
      </c>
      <c r="D4145" s="1">
        <v>44491</v>
      </c>
      <c r="E4145">
        <v>4</v>
      </c>
      <c r="F4145" t="s">
        <v>2407</v>
      </c>
      <c r="G4145" t="str">
        <f>"08-I06-04"</f>
        <v>08-I06-04</v>
      </c>
      <c r="H4145">
        <v>2.4260000000000002</v>
      </c>
      <c r="I4145" t="s">
        <v>2993</v>
      </c>
      <c r="J4145" t="s">
        <v>24</v>
      </c>
      <c r="K4145" t="str">
        <f>"6F6"</f>
        <v>6F6</v>
      </c>
      <c r="L4145" t="s">
        <v>15</v>
      </c>
    </row>
    <row r="4146" spans="1:12" x14ac:dyDescent="0.25">
      <c r="A4146" t="str">
        <f>"465131412"</f>
        <v>465131412</v>
      </c>
      <c r="B4146" t="str">
        <f t="shared" si="246"/>
        <v>89301000</v>
      </c>
      <c r="C4146" s="1">
        <v>44344</v>
      </c>
      <c r="D4146" s="1">
        <v>44365</v>
      </c>
      <c r="E4146">
        <v>1</v>
      </c>
      <c r="F4146" t="s">
        <v>2006</v>
      </c>
      <c r="G4146" t="str">
        <f>"06-K13-02"</f>
        <v>06-K13-02</v>
      </c>
      <c r="H4146">
        <v>1.1528</v>
      </c>
      <c r="I4146" t="s">
        <v>2994</v>
      </c>
      <c r="J4146" t="s">
        <v>14</v>
      </c>
      <c r="K4146" t="str">
        <f>"4F2"</f>
        <v>4F2</v>
      </c>
      <c r="L4146" t="s">
        <v>15</v>
      </c>
    </row>
    <row r="4147" spans="1:12" x14ac:dyDescent="0.25">
      <c r="A4147" t="str">
        <f>"4651793608"</f>
        <v>4651793608</v>
      </c>
      <c r="B4147" t="str">
        <f t="shared" si="246"/>
        <v>89301000</v>
      </c>
      <c r="C4147" s="1">
        <v>44369</v>
      </c>
      <c r="D4147" s="1">
        <v>44391</v>
      </c>
      <c r="E4147">
        <v>4</v>
      </c>
      <c r="F4147" t="s">
        <v>1643</v>
      </c>
      <c r="G4147" t="str">
        <f>"08-I05-05"</f>
        <v>08-I05-05</v>
      </c>
      <c r="H4147">
        <v>3.0617000000000001</v>
      </c>
      <c r="I4147" t="s">
        <v>2995</v>
      </c>
      <c r="J4147" t="s">
        <v>17</v>
      </c>
      <c r="K4147" t="str">
        <f>"1F6"</f>
        <v>1F6</v>
      </c>
      <c r="L4147" t="s">
        <v>286</v>
      </c>
    </row>
    <row r="4148" spans="1:12" x14ac:dyDescent="0.25">
      <c r="A4148" t="str">
        <f>"465201417"</f>
        <v>465201417</v>
      </c>
      <c r="B4148" t="str">
        <f t="shared" si="246"/>
        <v>89301000</v>
      </c>
      <c r="C4148" s="1">
        <v>44229</v>
      </c>
      <c r="D4148" s="1">
        <v>44231</v>
      </c>
      <c r="E4148">
        <v>1</v>
      </c>
      <c r="F4148" t="s">
        <v>1805</v>
      </c>
      <c r="G4148" t="str">
        <f>"13-I19-00"</f>
        <v>13-I19-00</v>
      </c>
      <c r="H4148">
        <v>0.24679999999999999</v>
      </c>
      <c r="J4148" t="s">
        <v>14</v>
      </c>
      <c r="K4148" t="str">
        <f>"6F3"</f>
        <v>6F3</v>
      </c>
      <c r="L4148" t="s">
        <v>15</v>
      </c>
    </row>
    <row r="4149" spans="1:12" x14ac:dyDescent="0.25">
      <c r="A4149" t="str">
        <f>"465204472"</f>
        <v>465204472</v>
      </c>
      <c r="B4149" t="str">
        <f t="shared" si="246"/>
        <v>89301000</v>
      </c>
      <c r="C4149" s="1">
        <v>44449</v>
      </c>
      <c r="D4149" s="1">
        <v>44452</v>
      </c>
      <c r="E4149">
        <v>1</v>
      </c>
      <c r="F4149" t="s">
        <v>287</v>
      </c>
      <c r="G4149" t="str">
        <f>"01-K16-06"</f>
        <v>01-K16-06</v>
      </c>
      <c r="H4149">
        <v>0.26469999999999999</v>
      </c>
      <c r="I4149" t="s">
        <v>381</v>
      </c>
      <c r="J4149" t="s">
        <v>14</v>
      </c>
      <c r="K4149" t="str">
        <f>"5F3"</f>
        <v>5F3</v>
      </c>
      <c r="L4149" t="s">
        <v>15</v>
      </c>
    </row>
    <row r="4150" spans="1:12" x14ac:dyDescent="0.25">
      <c r="A4150" t="str">
        <f>"465206448"</f>
        <v>465206448</v>
      </c>
      <c r="B4150" t="str">
        <f t="shared" si="246"/>
        <v>89301000</v>
      </c>
      <c r="C4150" s="1">
        <v>44333</v>
      </c>
      <c r="D4150" s="1">
        <v>44334</v>
      </c>
      <c r="E4150">
        <v>1</v>
      </c>
      <c r="F4150" t="s">
        <v>186</v>
      </c>
      <c r="G4150" t="str">
        <f>"05-M05-02"</f>
        <v>05-M05-02</v>
      </c>
      <c r="H4150">
        <v>3.516</v>
      </c>
      <c r="J4150" t="s">
        <v>24</v>
      </c>
      <c r="K4150" t="str">
        <f>"1F1"</f>
        <v>1F1</v>
      </c>
      <c r="L4150" t="s">
        <v>15</v>
      </c>
    </row>
    <row r="4151" spans="1:12" x14ac:dyDescent="0.25">
      <c r="A4151" t="str">
        <f>"465206701"</f>
        <v>465206701</v>
      </c>
      <c r="B4151" t="str">
        <f t="shared" si="246"/>
        <v>89301000</v>
      </c>
      <c r="C4151" s="1">
        <v>44363</v>
      </c>
      <c r="D4151" s="1">
        <v>44384</v>
      </c>
      <c r="E4151">
        <v>1</v>
      </c>
      <c r="F4151" t="s">
        <v>998</v>
      </c>
      <c r="G4151" t="str">
        <f>"18-K01-04"</f>
        <v>18-K01-04</v>
      </c>
      <c r="H4151">
        <v>2.4565000000000001</v>
      </c>
      <c r="I4151" t="s">
        <v>2996</v>
      </c>
      <c r="J4151" t="s">
        <v>14</v>
      </c>
      <c r="K4151" t="str">
        <f>"1F1"</f>
        <v>1F1</v>
      </c>
      <c r="L4151" t="s">
        <v>15</v>
      </c>
    </row>
    <row r="4152" spans="1:12" x14ac:dyDescent="0.25">
      <c r="A4152" t="str">
        <f>"465208409"</f>
        <v>465208409</v>
      </c>
      <c r="B4152" t="str">
        <f t="shared" si="246"/>
        <v>89301000</v>
      </c>
      <c r="C4152" s="1">
        <v>44210</v>
      </c>
      <c r="D4152" s="1">
        <v>44213</v>
      </c>
      <c r="E4152">
        <v>1</v>
      </c>
      <c r="F4152" t="s">
        <v>16</v>
      </c>
      <c r="G4152" t="str">
        <f>"08-I04-02"</f>
        <v>08-I04-02</v>
      </c>
      <c r="H4152">
        <v>1.6718999999999999</v>
      </c>
      <c r="I4152" t="s">
        <v>2997</v>
      </c>
      <c r="J4152" t="s">
        <v>17</v>
      </c>
      <c r="K4152" t="str">
        <f>"5F6"</f>
        <v>5F6</v>
      </c>
      <c r="L4152" t="s">
        <v>15</v>
      </c>
    </row>
    <row r="4153" spans="1:12" x14ac:dyDescent="0.25">
      <c r="A4153" t="str">
        <f>"465214451"</f>
        <v>465214451</v>
      </c>
      <c r="B4153" t="str">
        <f t="shared" si="246"/>
        <v>89301000</v>
      </c>
      <c r="C4153" s="1">
        <v>44314</v>
      </c>
      <c r="D4153" s="1">
        <v>44319</v>
      </c>
      <c r="E4153">
        <v>1</v>
      </c>
      <c r="F4153" t="s">
        <v>396</v>
      </c>
      <c r="G4153" t="str">
        <f>"08-I16-02"</f>
        <v>08-I16-02</v>
      </c>
      <c r="H4153">
        <v>1.8051999999999999</v>
      </c>
      <c r="I4153" t="s">
        <v>512</v>
      </c>
      <c r="J4153" t="s">
        <v>17</v>
      </c>
      <c r="K4153" t="str">
        <f>"5F3"</f>
        <v>5F3</v>
      </c>
      <c r="L4153" t="s">
        <v>15</v>
      </c>
    </row>
    <row r="4154" spans="1:12" x14ac:dyDescent="0.25">
      <c r="A4154" t="str">
        <f>"465214457"</f>
        <v>465214457</v>
      </c>
      <c r="B4154" t="str">
        <f t="shared" si="246"/>
        <v>89301000</v>
      </c>
      <c r="C4154" s="1">
        <v>44208</v>
      </c>
      <c r="D4154" s="1">
        <v>44225</v>
      </c>
      <c r="E4154">
        <v>1</v>
      </c>
      <c r="F4154" t="s">
        <v>2819</v>
      </c>
      <c r="G4154" t="str">
        <f>"09-K07-01"</f>
        <v>09-K07-01</v>
      </c>
      <c r="H4154">
        <v>1.0827</v>
      </c>
      <c r="I4154" t="s">
        <v>2998</v>
      </c>
      <c r="J4154" t="s">
        <v>14</v>
      </c>
      <c r="K4154" t="str">
        <f>"4F2"</f>
        <v>4F2</v>
      </c>
      <c r="L4154" t="s">
        <v>15</v>
      </c>
    </row>
    <row r="4155" spans="1:12" x14ac:dyDescent="0.25">
      <c r="A4155" t="str">
        <f>"465214457"</f>
        <v>465214457</v>
      </c>
      <c r="B4155" t="str">
        <f t="shared" si="246"/>
        <v>89301000</v>
      </c>
      <c r="C4155" s="1">
        <v>44350</v>
      </c>
      <c r="D4155" s="1">
        <v>44357</v>
      </c>
      <c r="E4155">
        <v>1</v>
      </c>
      <c r="F4155" t="s">
        <v>2819</v>
      </c>
      <c r="G4155" t="str">
        <f>"09-K07-01"</f>
        <v>09-K07-01</v>
      </c>
      <c r="H4155">
        <v>1.0827</v>
      </c>
      <c r="I4155" t="s">
        <v>2999</v>
      </c>
      <c r="J4155" t="s">
        <v>14</v>
      </c>
      <c r="K4155" t="str">
        <f>"4F2"</f>
        <v>4F2</v>
      </c>
      <c r="L4155" t="s">
        <v>15</v>
      </c>
    </row>
    <row r="4156" spans="1:12" x14ac:dyDescent="0.25">
      <c r="A4156" t="str">
        <f>"465227767"</f>
        <v>465227767</v>
      </c>
      <c r="B4156" t="str">
        <f t="shared" si="246"/>
        <v>89301000</v>
      </c>
      <c r="C4156" s="1">
        <v>44286</v>
      </c>
      <c r="D4156" s="1">
        <v>44286</v>
      </c>
      <c r="E4156">
        <v>1</v>
      </c>
      <c r="F4156" t="s">
        <v>1842</v>
      </c>
      <c r="G4156" t="str">
        <f>"05-I14-04"</f>
        <v>05-I14-04</v>
      </c>
      <c r="H4156">
        <v>5.1692</v>
      </c>
      <c r="I4156" t="s">
        <v>3000</v>
      </c>
      <c r="J4156" t="s">
        <v>14</v>
      </c>
      <c r="K4156" t="str">
        <f>"1F1"</f>
        <v>1F1</v>
      </c>
      <c r="L4156" t="s">
        <v>15</v>
      </c>
    </row>
    <row r="4157" spans="1:12" x14ac:dyDescent="0.25">
      <c r="A4157" t="str">
        <f>"465317415"</f>
        <v>465317415</v>
      </c>
      <c r="B4157" t="str">
        <f t="shared" si="246"/>
        <v>89301000</v>
      </c>
      <c r="C4157" s="1">
        <v>44280</v>
      </c>
      <c r="D4157" s="1">
        <v>44308</v>
      </c>
      <c r="E4157">
        <v>4</v>
      </c>
      <c r="F4157" t="s">
        <v>1581</v>
      </c>
      <c r="G4157" t="str">
        <f>"05-I24-02"</f>
        <v>05-I24-02</v>
      </c>
      <c r="H4157">
        <v>7.1437999999999997</v>
      </c>
      <c r="I4157" t="s">
        <v>3001</v>
      </c>
      <c r="J4157" t="s">
        <v>14</v>
      </c>
      <c r="K4157" t="str">
        <f>"5F1"</f>
        <v>5F1</v>
      </c>
      <c r="L4157" t="s">
        <v>15</v>
      </c>
    </row>
    <row r="4158" spans="1:12" x14ac:dyDescent="0.25">
      <c r="A4158" t="str">
        <f>"465320487"</f>
        <v>465320487</v>
      </c>
      <c r="B4158" t="str">
        <f t="shared" si="246"/>
        <v>89301000</v>
      </c>
      <c r="C4158" s="1">
        <v>44168</v>
      </c>
      <c r="D4158" s="1">
        <v>44202</v>
      </c>
      <c r="E4158">
        <v>4</v>
      </c>
      <c r="F4158" t="s">
        <v>3002</v>
      </c>
      <c r="G4158" t="str">
        <f>"00-M02-01"</f>
        <v>00-M02-01</v>
      </c>
      <c r="H4158">
        <v>22.607600000000001</v>
      </c>
      <c r="I4158" t="s">
        <v>3003</v>
      </c>
      <c r="J4158" t="s">
        <v>14</v>
      </c>
      <c r="K4158" t="str">
        <f>"5F5"</f>
        <v>5F5</v>
      </c>
      <c r="L4158" t="s">
        <v>15</v>
      </c>
    </row>
    <row r="4159" spans="1:12" x14ac:dyDescent="0.25">
      <c r="A4159" t="str">
        <f>"465331473"</f>
        <v>465331473</v>
      </c>
      <c r="B4159" t="str">
        <f t="shared" si="246"/>
        <v>89301000</v>
      </c>
      <c r="C4159" s="1">
        <v>44531</v>
      </c>
      <c r="D4159" s="1">
        <v>44533</v>
      </c>
      <c r="E4159">
        <v>1</v>
      </c>
      <c r="F4159" t="s">
        <v>3004</v>
      </c>
      <c r="G4159" t="str">
        <f>"13-I19-00"</f>
        <v>13-I19-00</v>
      </c>
      <c r="H4159">
        <v>0.24679999999999999</v>
      </c>
      <c r="I4159" t="s">
        <v>3005</v>
      </c>
      <c r="J4159" t="s">
        <v>14</v>
      </c>
      <c r="K4159" t="str">
        <f>"6F3"</f>
        <v>6F3</v>
      </c>
      <c r="L4159" t="s">
        <v>15</v>
      </c>
    </row>
    <row r="4160" spans="1:12" x14ac:dyDescent="0.25">
      <c r="A4160" t="str">
        <f>"465407486"</f>
        <v>465407486</v>
      </c>
      <c r="B4160" t="str">
        <f t="shared" si="246"/>
        <v>89301000</v>
      </c>
      <c r="C4160" s="1">
        <v>44274</v>
      </c>
      <c r="D4160" s="1">
        <v>44279</v>
      </c>
      <c r="E4160">
        <v>1</v>
      </c>
      <c r="F4160" t="s">
        <v>566</v>
      </c>
      <c r="G4160" t="str">
        <f>"06-K06-01"</f>
        <v>06-K06-01</v>
      </c>
      <c r="H4160">
        <v>1.3448</v>
      </c>
      <c r="I4160" t="s">
        <v>3006</v>
      </c>
      <c r="J4160" t="s">
        <v>14</v>
      </c>
      <c r="K4160" t="str">
        <f>"1F1"</f>
        <v>1F1</v>
      </c>
      <c r="L4160" t="s">
        <v>15</v>
      </c>
    </row>
    <row r="4161" spans="1:12" x14ac:dyDescent="0.25">
      <c r="A4161" t="str">
        <f>"465407486"</f>
        <v>465407486</v>
      </c>
      <c r="B4161" t="str">
        <f t="shared" si="246"/>
        <v>89301000</v>
      </c>
      <c r="C4161" s="1">
        <v>44205</v>
      </c>
      <c r="D4161" s="1">
        <v>44209</v>
      </c>
      <c r="E4161">
        <v>4</v>
      </c>
      <c r="F4161" t="s">
        <v>1721</v>
      </c>
      <c r="G4161" t="str">
        <f>"11-K02-03"</f>
        <v>11-K02-03</v>
      </c>
      <c r="H4161">
        <v>0.79790000000000005</v>
      </c>
      <c r="I4161" t="s">
        <v>3007</v>
      </c>
      <c r="J4161" t="s">
        <v>14</v>
      </c>
      <c r="K4161" t="str">
        <f>"1F9"</f>
        <v>1F9</v>
      </c>
      <c r="L4161" t="s">
        <v>15</v>
      </c>
    </row>
    <row r="4162" spans="1:12" x14ac:dyDescent="0.25">
      <c r="A4162" t="str">
        <f>"465407486"</f>
        <v>465407486</v>
      </c>
      <c r="B4162" t="str">
        <f t="shared" si="246"/>
        <v>89301000</v>
      </c>
      <c r="C4162" s="1">
        <v>44236</v>
      </c>
      <c r="D4162" s="1">
        <v>44253</v>
      </c>
      <c r="E4162">
        <v>1</v>
      </c>
      <c r="F4162" t="s">
        <v>500</v>
      </c>
      <c r="G4162" t="str">
        <f>"06-K06-01"</f>
        <v>06-K06-01</v>
      </c>
      <c r="H4162">
        <v>1.3448</v>
      </c>
      <c r="I4162" t="s">
        <v>3008</v>
      </c>
      <c r="J4162" t="s">
        <v>14</v>
      </c>
      <c r="K4162" t="str">
        <f>"1F5"</f>
        <v>1F5</v>
      </c>
      <c r="L4162" t="s">
        <v>15</v>
      </c>
    </row>
    <row r="4163" spans="1:12" x14ac:dyDescent="0.25">
      <c r="A4163" t="str">
        <f>"465407486"</f>
        <v>465407486</v>
      </c>
      <c r="B4163" t="str">
        <f t="shared" si="246"/>
        <v>89301000</v>
      </c>
      <c r="C4163" s="1">
        <v>44260</v>
      </c>
      <c r="D4163" s="1">
        <v>44270</v>
      </c>
      <c r="E4163">
        <v>4</v>
      </c>
      <c r="F4163" t="s">
        <v>500</v>
      </c>
      <c r="G4163" t="str">
        <f>"06-K06-01"</f>
        <v>06-K06-01</v>
      </c>
      <c r="H4163">
        <v>1.3448</v>
      </c>
      <c r="I4163" t="s">
        <v>3009</v>
      </c>
      <c r="J4163" t="s">
        <v>14</v>
      </c>
      <c r="K4163" t="str">
        <f>"1F1"</f>
        <v>1F1</v>
      </c>
      <c r="L4163" t="s">
        <v>15</v>
      </c>
    </row>
    <row r="4164" spans="1:12" x14ac:dyDescent="0.25">
      <c r="A4164" t="str">
        <f>"465407486"</f>
        <v>465407486</v>
      </c>
      <c r="B4164" t="str">
        <f t="shared" si="246"/>
        <v>89301000</v>
      </c>
      <c r="C4164" s="1">
        <v>44311</v>
      </c>
      <c r="D4164" s="1">
        <v>44327</v>
      </c>
      <c r="E4164">
        <v>5</v>
      </c>
      <c r="F4164" t="s">
        <v>3010</v>
      </c>
      <c r="G4164" t="str">
        <f>"08-I04-02"</f>
        <v>08-I04-02</v>
      </c>
      <c r="H4164">
        <v>1.9684999999999999</v>
      </c>
      <c r="I4164" t="s">
        <v>3011</v>
      </c>
      <c r="J4164" t="s">
        <v>17</v>
      </c>
      <c r="K4164" t="str">
        <f>"1F1"</f>
        <v>1F1</v>
      </c>
      <c r="L4164" t="s">
        <v>15</v>
      </c>
    </row>
    <row r="4165" spans="1:12" x14ac:dyDescent="0.25">
      <c r="A4165" t="str">
        <f>"465408442"</f>
        <v>465408442</v>
      </c>
      <c r="B4165" t="str">
        <f t="shared" si="246"/>
        <v>89301000</v>
      </c>
      <c r="C4165" s="1">
        <v>44502</v>
      </c>
      <c r="D4165" s="1">
        <v>44510</v>
      </c>
      <c r="E4165">
        <v>1</v>
      </c>
      <c r="F4165" t="s">
        <v>952</v>
      </c>
      <c r="G4165" t="str">
        <f>"04-K15-03"</f>
        <v>04-K15-03</v>
      </c>
      <c r="H4165">
        <v>0.49009999999999998</v>
      </c>
      <c r="I4165" t="s">
        <v>3012</v>
      </c>
      <c r="J4165" t="s">
        <v>14</v>
      </c>
      <c r="K4165" t="str">
        <f>"2F5"</f>
        <v>2F5</v>
      </c>
      <c r="L4165" t="s">
        <v>15</v>
      </c>
    </row>
    <row r="4166" spans="1:12" x14ac:dyDescent="0.25">
      <c r="A4166" t="str">
        <f>"465408442"</f>
        <v>465408442</v>
      </c>
      <c r="B4166" t="str">
        <f t="shared" si="246"/>
        <v>89301000</v>
      </c>
      <c r="C4166" s="1">
        <v>44515</v>
      </c>
      <c r="D4166" s="1">
        <v>44532</v>
      </c>
      <c r="E4166">
        <v>1</v>
      </c>
      <c r="F4166" t="s">
        <v>1914</v>
      </c>
      <c r="G4166" t="str">
        <f>"04-I08-01"</f>
        <v>04-I08-01</v>
      </c>
      <c r="H4166">
        <v>2.9020999999999999</v>
      </c>
      <c r="I4166" t="s">
        <v>3013</v>
      </c>
      <c r="J4166" t="s">
        <v>14</v>
      </c>
      <c r="K4166" t="str">
        <f>"2F5"</f>
        <v>2F5</v>
      </c>
      <c r="L4166" t="s">
        <v>15</v>
      </c>
    </row>
    <row r="4167" spans="1:12" x14ac:dyDescent="0.25">
      <c r="A4167" t="str">
        <f>"465417444"</f>
        <v>465417444</v>
      </c>
      <c r="B4167" t="str">
        <f t="shared" si="246"/>
        <v>89301000</v>
      </c>
      <c r="C4167" s="1">
        <v>44269</v>
      </c>
      <c r="D4167" s="1">
        <v>44277</v>
      </c>
      <c r="E4167">
        <v>1</v>
      </c>
      <c r="F4167" t="s">
        <v>217</v>
      </c>
      <c r="G4167" t="str">
        <f>"04-K02-03"</f>
        <v>04-K02-03</v>
      </c>
      <c r="H4167">
        <v>1.2859</v>
      </c>
      <c r="I4167" t="s">
        <v>3014</v>
      </c>
      <c r="J4167" t="s">
        <v>14</v>
      </c>
      <c r="K4167" t="str">
        <f>"1F1"</f>
        <v>1F1</v>
      </c>
      <c r="L4167" t="s">
        <v>15</v>
      </c>
    </row>
    <row r="4168" spans="1:12" x14ac:dyDescent="0.25">
      <c r="A4168" t="str">
        <f>"465419485"</f>
        <v>465419485</v>
      </c>
      <c r="B4168" t="str">
        <f t="shared" si="246"/>
        <v>89301000</v>
      </c>
      <c r="C4168" s="1">
        <v>44460</v>
      </c>
      <c r="D4168" s="1">
        <v>44461</v>
      </c>
      <c r="E4168">
        <v>1</v>
      </c>
      <c r="F4168" t="s">
        <v>672</v>
      </c>
      <c r="G4168" t="str">
        <f>"17-I08-02"</f>
        <v>17-I08-02</v>
      </c>
      <c r="H4168">
        <v>1.1428</v>
      </c>
      <c r="I4168" t="s">
        <v>3015</v>
      </c>
      <c r="J4168" t="s">
        <v>14</v>
      </c>
      <c r="K4168" t="str">
        <f>"1F1"</f>
        <v>1F1</v>
      </c>
      <c r="L4168" t="s">
        <v>15</v>
      </c>
    </row>
    <row r="4169" spans="1:12" x14ac:dyDescent="0.25">
      <c r="A4169" t="str">
        <f>"465423470"</f>
        <v>465423470</v>
      </c>
      <c r="B4169" t="str">
        <f t="shared" si="246"/>
        <v>89301000</v>
      </c>
      <c r="C4169" s="1">
        <v>44252</v>
      </c>
      <c r="D4169" s="1">
        <v>44256</v>
      </c>
      <c r="E4169">
        <v>1</v>
      </c>
      <c r="F4169" t="s">
        <v>1551</v>
      </c>
      <c r="G4169" t="str">
        <f>"09-I06-04"</f>
        <v>09-I06-04</v>
      </c>
      <c r="H4169">
        <v>0.98829999999999996</v>
      </c>
      <c r="J4169" t="s">
        <v>17</v>
      </c>
      <c r="K4169" t="str">
        <f>"5F1"</f>
        <v>5F1</v>
      </c>
      <c r="L4169" t="s">
        <v>15</v>
      </c>
    </row>
    <row r="4170" spans="1:12" x14ac:dyDescent="0.25">
      <c r="A4170" t="str">
        <f t="shared" ref="A4170:A4176" si="247">"465424489"</f>
        <v>465424489</v>
      </c>
      <c r="B4170" t="str">
        <f t="shared" si="246"/>
        <v>89301000</v>
      </c>
      <c r="C4170" s="1">
        <v>44202</v>
      </c>
      <c r="D4170" s="1">
        <v>44204</v>
      </c>
      <c r="E4170">
        <v>1</v>
      </c>
      <c r="F4170" t="s">
        <v>2752</v>
      </c>
      <c r="G4170" t="str">
        <f>"06-C02-03"</f>
        <v>06-C02-03</v>
      </c>
      <c r="H4170">
        <v>0.25769999999999998</v>
      </c>
      <c r="I4170" t="s">
        <v>3016</v>
      </c>
      <c r="J4170" t="s">
        <v>14</v>
      </c>
      <c r="K4170" t="str">
        <f t="shared" ref="K4170:K4176" si="248">"4F2"</f>
        <v>4F2</v>
      </c>
      <c r="L4170" t="s">
        <v>15</v>
      </c>
    </row>
    <row r="4171" spans="1:12" x14ac:dyDescent="0.25">
      <c r="A4171" t="str">
        <f t="shared" si="247"/>
        <v>465424489</v>
      </c>
      <c r="B4171" t="str">
        <f t="shared" si="246"/>
        <v>89301000</v>
      </c>
      <c r="C4171" s="1">
        <v>44216</v>
      </c>
      <c r="D4171" s="1">
        <v>44218</v>
      </c>
      <c r="E4171">
        <v>1</v>
      </c>
      <c r="F4171" t="s">
        <v>2752</v>
      </c>
      <c r="G4171" t="str">
        <f>"06-C02-03"</f>
        <v>06-C02-03</v>
      </c>
      <c r="H4171">
        <v>0.25769999999999998</v>
      </c>
      <c r="I4171" t="s">
        <v>3016</v>
      </c>
      <c r="J4171" t="s">
        <v>14</v>
      </c>
      <c r="K4171" t="str">
        <f t="shared" si="248"/>
        <v>4F2</v>
      </c>
      <c r="L4171" t="s">
        <v>15</v>
      </c>
    </row>
    <row r="4172" spans="1:12" x14ac:dyDescent="0.25">
      <c r="A4172" t="str">
        <f t="shared" si="247"/>
        <v>465424489</v>
      </c>
      <c r="B4172" t="str">
        <f t="shared" si="246"/>
        <v>89301000</v>
      </c>
      <c r="C4172" s="1">
        <v>44230</v>
      </c>
      <c r="D4172" s="1">
        <v>44231</v>
      </c>
      <c r="E4172">
        <v>1</v>
      </c>
      <c r="F4172" t="s">
        <v>2752</v>
      </c>
      <c r="G4172" t="str">
        <f>"06-K14-02"</f>
        <v>06-K14-02</v>
      </c>
      <c r="H4172">
        <v>0.57279999999999998</v>
      </c>
      <c r="I4172" t="s">
        <v>3017</v>
      </c>
      <c r="J4172" t="s">
        <v>14</v>
      </c>
      <c r="K4172" t="str">
        <f t="shared" si="248"/>
        <v>4F2</v>
      </c>
      <c r="L4172" t="s">
        <v>15</v>
      </c>
    </row>
    <row r="4173" spans="1:12" x14ac:dyDescent="0.25">
      <c r="A4173" t="str">
        <f t="shared" si="247"/>
        <v>465424489</v>
      </c>
      <c r="B4173" t="str">
        <f t="shared" si="246"/>
        <v>89301000</v>
      </c>
      <c r="C4173" s="1">
        <v>44237</v>
      </c>
      <c r="D4173" s="1">
        <v>44239</v>
      </c>
      <c r="E4173">
        <v>1</v>
      </c>
      <c r="F4173" t="s">
        <v>2752</v>
      </c>
      <c r="G4173" t="str">
        <f>"06-C02-03"</f>
        <v>06-C02-03</v>
      </c>
      <c r="H4173">
        <v>0.25769999999999998</v>
      </c>
      <c r="I4173" t="s">
        <v>3016</v>
      </c>
      <c r="J4173" t="s">
        <v>14</v>
      </c>
      <c r="K4173" t="str">
        <f t="shared" si="248"/>
        <v>4F2</v>
      </c>
      <c r="L4173" t="s">
        <v>15</v>
      </c>
    </row>
    <row r="4174" spans="1:12" x14ac:dyDescent="0.25">
      <c r="A4174" t="str">
        <f t="shared" si="247"/>
        <v>465424489</v>
      </c>
      <c r="B4174" t="str">
        <f t="shared" si="246"/>
        <v>89301000</v>
      </c>
      <c r="C4174" s="1">
        <v>44251</v>
      </c>
      <c r="D4174" s="1">
        <v>44256</v>
      </c>
      <c r="E4174">
        <v>1</v>
      </c>
      <c r="F4174" t="s">
        <v>2752</v>
      </c>
      <c r="G4174" t="str">
        <f>"06-C02-03"</f>
        <v>06-C02-03</v>
      </c>
      <c r="H4174">
        <v>0.2994</v>
      </c>
      <c r="I4174" t="s">
        <v>3016</v>
      </c>
      <c r="J4174" t="s">
        <v>14</v>
      </c>
      <c r="K4174" t="str">
        <f t="shared" si="248"/>
        <v>4F2</v>
      </c>
      <c r="L4174" t="s">
        <v>15</v>
      </c>
    </row>
    <row r="4175" spans="1:12" x14ac:dyDescent="0.25">
      <c r="A4175" t="str">
        <f t="shared" si="247"/>
        <v>465424489</v>
      </c>
      <c r="B4175" t="str">
        <f t="shared" si="246"/>
        <v>89301000</v>
      </c>
      <c r="C4175" s="1">
        <v>44265</v>
      </c>
      <c r="D4175" s="1">
        <v>44266</v>
      </c>
      <c r="E4175">
        <v>1</v>
      </c>
      <c r="F4175" t="s">
        <v>2752</v>
      </c>
      <c r="G4175" t="str">
        <f>"06-K14-02"</f>
        <v>06-K14-02</v>
      </c>
      <c r="H4175">
        <v>0.57279999999999998</v>
      </c>
      <c r="J4175" t="s">
        <v>14</v>
      </c>
      <c r="K4175" t="str">
        <f t="shared" si="248"/>
        <v>4F2</v>
      </c>
      <c r="L4175" t="s">
        <v>15</v>
      </c>
    </row>
    <row r="4176" spans="1:12" x14ac:dyDescent="0.25">
      <c r="A4176" t="str">
        <f t="shared" si="247"/>
        <v>465424489</v>
      </c>
      <c r="B4176" t="str">
        <f t="shared" si="246"/>
        <v>89301000</v>
      </c>
      <c r="C4176" s="1">
        <v>44273</v>
      </c>
      <c r="D4176" s="1">
        <v>44275</v>
      </c>
      <c r="E4176">
        <v>1</v>
      </c>
      <c r="F4176" t="s">
        <v>2752</v>
      </c>
      <c r="G4176" t="str">
        <f>"06-C02-03"</f>
        <v>06-C02-03</v>
      </c>
      <c r="H4176">
        <v>0.25769999999999998</v>
      </c>
      <c r="I4176" t="s">
        <v>541</v>
      </c>
      <c r="J4176" t="s">
        <v>14</v>
      </c>
      <c r="K4176" t="str">
        <f t="shared" si="248"/>
        <v>4F2</v>
      </c>
      <c r="L4176" t="s">
        <v>15</v>
      </c>
    </row>
    <row r="4177" spans="1:12" x14ac:dyDescent="0.25">
      <c r="A4177" t="str">
        <f>"465425489"</f>
        <v>465425489</v>
      </c>
      <c r="B4177" t="str">
        <f t="shared" si="246"/>
        <v>89301000</v>
      </c>
      <c r="C4177" s="1">
        <v>44500</v>
      </c>
      <c r="D4177" s="1">
        <v>44504</v>
      </c>
      <c r="E4177">
        <v>1</v>
      </c>
      <c r="F4177" t="s">
        <v>3018</v>
      </c>
      <c r="G4177" t="str">
        <f>"10-I11-00"</f>
        <v>10-I11-00</v>
      </c>
      <c r="H4177">
        <v>1.8462000000000001</v>
      </c>
      <c r="I4177" t="s">
        <v>489</v>
      </c>
      <c r="J4177" t="s">
        <v>24</v>
      </c>
      <c r="K4177" t="str">
        <f>"7F6"</f>
        <v>7F6</v>
      </c>
      <c r="L4177" t="s">
        <v>15</v>
      </c>
    </row>
    <row r="4178" spans="1:12" x14ac:dyDescent="0.25">
      <c r="A4178" t="str">
        <f>"465428158"</f>
        <v>465428158</v>
      </c>
      <c r="B4178" t="str">
        <f t="shared" si="246"/>
        <v>89301000</v>
      </c>
      <c r="C4178" s="1">
        <v>44511</v>
      </c>
      <c r="D4178" s="1">
        <v>44520</v>
      </c>
      <c r="E4178">
        <v>1</v>
      </c>
      <c r="F4178" t="s">
        <v>1558</v>
      </c>
      <c r="G4178" t="str">
        <f>"05-I12-03"</f>
        <v>05-I12-03</v>
      </c>
      <c r="H4178">
        <v>6.4964000000000004</v>
      </c>
      <c r="I4178" t="s">
        <v>1606</v>
      </c>
      <c r="J4178" t="s">
        <v>17</v>
      </c>
      <c r="K4178" t="str">
        <f>"5F5"</f>
        <v>5F5</v>
      </c>
      <c r="L4178" t="s">
        <v>15</v>
      </c>
    </row>
    <row r="4179" spans="1:12" x14ac:dyDescent="0.25">
      <c r="A4179" t="str">
        <f>"465428158"</f>
        <v>465428158</v>
      </c>
      <c r="B4179" t="str">
        <f t="shared" ref="B4179:B4242" si="249">"89301000"</f>
        <v>89301000</v>
      </c>
      <c r="C4179" s="1">
        <v>44440</v>
      </c>
      <c r="D4179" s="1">
        <v>44441</v>
      </c>
      <c r="E4179">
        <v>1</v>
      </c>
      <c r="F4179" t="s">
        <v>1558</v>
      </c>
      <c r="G4179" t="str">
        <f>"05-D01-06"</f>
        <v>05-D01-06</v>
      </c>
      <c r="H4179">
        <v>0.7611</v>
      </c>
      <c r="I4179" t="s">
        <v>489</v>
      </c>
      <c r="J4179" t="s">
        <v>14</v>
      </c>
      <c r="K4179" t="str">
        <f>"1F1"</f>
        <v>1F1</v>
      </c>
      <c r="L4179" t="s">
        <v>15</v>
      </c>
    </row>
    <row r="4180" spans="1:12" x14ac:dyDescent="0.25">
      <c r="A4180" t="str">
        <f>"465505056"</f>
        <v>465505056</v>
      </c>
      <c r="B4180" t="str">
        <f t="shared" si="249"/>
        <v>89301000</v>
      </c>
      <c r="C4180" s="1">
        <v>44484</v>
      </c>
      <c r="D4180" s="1">
        <v>44488</v>
      </c>
      <c r="E4180">
        <v>1</v>
      </c>
      <c r="F4180" t="s">
        <v>31</v>
      </c>
      <c r="G4180" t="str">
        <f>"08-I04-02"</f>
        <v>08-I04-02</v>
      </c>
      <c r="H4180">
        <v>1.6718999999999999</v>
      </c>
      <c r="I4180" t="s">
        <v>3019</v>
      </c>
      <c r="J4180" t="s">
        <v>17</v>
      </c>
      <c r="K4180" t="str">
        <f>"5F6"</f>
        <v>5F6</v>
      </c>
      <c r="L4180" t="s">
        <v>15</v>
      </c>
    </row>
    <row r="4181" spans="1:12" x14ac:dyDescent="0.25">
      <c r="A4181" t="str">
        <f>"465507435"</f>
        <v>465507435</v>
      </c>
      <c r="B4181" t="str">
        <f t="shared" si="249"/>
        <v>89301000</v>
      </c>
      <c r="C4181" s="1">
        <v>44451</v>
      </c>
      <c r="D4181" s="1">
        <v>44453</v>
      </c>
      <c r="E4181">
        <v>1</v>
      </c>
      <c r="F4181" t="s">
        <v>1567</v>
      </c>
      <c r="G4181" t="str">
        <f>"05-I25-03"</f>
        <v>05-I25-03</v>
      </c>
      <c r="H4181">
        <v>1.5508</v>
      </c>
      <c r="J4181" t="s">
        <v>17</v>
      </c>
      <c r="K4181" t="str">
        <f>"1F1"</f>
        <v>1F1</v>
      </c>
      <c r="L4181" t="s">
        <v>15</v>
      </c>
    </row>
    <row r="4182" spans="1:12" x14ac:dyDescent="0.25">
      <c r="A4182" t="str">
        <f>"465508401"</f>
        <v>465508401</v>
      </c>
      <c r="B4182" t="str">
        <f t="shared" si="249"/>
        <v>89301000</v>
      </c>
      <c r="C4182" s="1">
        <v>44372</v>
      </c>
      <c r="D4182" s="1">
        <v>44377</v>
      </c>
      <c r="E4182">
        <v>4</v>
      </c>
      <c r="F4182" t="s">
        <v>401</v>
      </c>
      <c r="G4182" t="str">
        <f>"04-K04-02"</f>
        <v>04-K04-02</v>
      </c>
      <c r="H4182">
        <v>0.50470000000000004</v>
      </c>
      <c r="I4182" t="s">
        <v>3020</v>
      </c>
      <c r="J4182" t="s">
        <v>14</v>
      </c>
      <c r="K4182" t="str">
        <f>"2F5"</f>
        <v>2F5</v>
      </c>
      <c r="L4182" t="s">
        <v>15</v>
      </c>
    </row>
    <row r="4183" spans="1:12" x14ac:dyDescent="0.25">
      <c r="A4183" t="str">
        <f>"465508401"</f>
        <v>465508401</v>
      </c>
      <c r="B4183" t="str">
        <f t="shared" si="249"/>
        <v>89301000</v>
      </c>
      <c r="C4183" s="1">
        <v>44315</v>
      </c>
      <c r="D4183" s="1">
        <v>44320</v>
      </c>
      <c r="E4183">
        <v>1</v>
      </c>
      <c r="F4183" t="s">
        <v>401</v>
      </c>
      <c r="G4183" t="str">
        <f>"04-K04-02"</f>
        <v>04-K04-02</v>
      </c>
      <c r="H4183">
        <v>0.50470000000000004</v>
      </c>
      <c r="I4183" t="s">
        <v>3021</v>
      </c>
      <c r="J4183" t="s">
        <v>14</v>
      </c>
      <c r="K4183" t="str">
        <f>"2F5"</f>
        <v>2F5</v>
      </c>
      <c r="L4183" t="s">
        <v>15</v>
      </c>
    </row>
    <row r="4184" spans="1:12" x14ac:dyDescent="0.25">
      <c r="A4184" t="str">
        <f>"465510469"</f>
        <v>465510469</v>
      </c>
      <c r="B4184" t="str">
        <f t="shared" si="249"/>
        <v>89301000</v>
      </c>
      <c r="C4184" s="1">
        <v>44264</v>
      </c>
      <c r="D4184" s="1">
        <v>44265</v>
      </c>
      <c r="E4184">
        <v>1</v>
      </c>
      <c r="F4184" t="s">
        <v>2488</v>
      </c>
      <c r="G4184" t="str">
        <f>"09-I13-04"</f>
        <v>09-I13-04</v>
      </c>
      <c r="H4184">
        <v>0.57730000000000004</v>
      </c>
      <c r="I4184" t="s">
        <v>3022</v>
      </c>
      <c r="J4184" t="s">
        <v>14</v>
      </c>
      <c r="K4184" t="str">
        <f>"6F1"</f>
        <v>6F1</v>
      </c>
      <c r="L4184" t="s">
        <v>15</v>
      </c>
    </row>
    <row r="4185" spans="1:12" x14ac:dyDescent="0.25">
      <c r="A4185" t="str">
        <f>"465518405"</f>
        <v>465518405</v>
      </c>
      <c r="B4185" t="str">
        <f t="shared" si="249"/>
        <v>89301000</v>
      </c>
      <c r="C4185" s="1">
        <v>44369</v>
      </c>
      <c r="D4185" s="1">
        <v>44376</v>
      </c>
      <c r="E4185">
        <v>1</v>
      </c>
      <c r="F4185" t="s">
        <v>2171</v>
      </c>
      <c r="G4185" t="str">
        <f>"19-K02-03"</f>
        <v>19-K02-03</v>
      </c>
      <c r="H4185">
        <v>0.67269999999999996</v>
      </c>
      <c r="J4185" t="s">
        <v>27</v>
      </c>
      <c r="K4185" t="str">
        <f>"2F9"</f>
        <v>2F9</v>
      </c>
      <c r="L4185" t="s">
        <v>15</v>
      </c>
    </row>
    <row r="4186" spans="1:12" x14ac:dyDescent="0.25">
      <c r="A4186" t="str">
        <f>"465522780"</f>
        <v>465522780</v>
      </c>
      <c r="B4186" t="str">
        <f t="shared" si="249"/>
        <v>89301000</v>
      </c>
      <c r="C4186" s="1">
        <v>44400</v>
      </c>
      <c r="D4186" s="1">
        <v>44428</v>
      </c>
      <c r="E4186">
        <v>1</v>
      </c>
      <c r="F4186" t="s">
        <v>1643</v>
      </c>
      <c r="G4186" t="str">
        <f>"08-I05-06"</f>
        <v>08-I05-06</v>
      </c>
      <c r="H4186">
        <v>3.3353999999999999</v>
      </c>
      <c r="I4186" t="s">
        <v>3023</v>
      </c>
      <c r="J4186" t="s">
        <v>17</v>
      </c>
      <c r="K4186" t="str">
        <f>"1F6"</f>
        <v>1F6</v>
      </c>
      <c r="L4186" t="s">
        <v>15</v>
      </c>
    </row>
    <row r="4187" spans="1:12" x14ac:dyDescent="0.25">
      <c r="A4187" t="str">
        <f>"465529482"</f>
        <v>465529482</v>
      </c>
      <c r="B4187" t="str">
        <f t="shared" si="249"/>
        <v>89301000</v>
      </c>
      <c r="C4187" s="1">
        <v>44222</v>
      </c>
      <c r="D4187" s="1">
        <v>44223</v>
      </c>
      <c r="E4187">
        <v>5</v>
      </c>
      <c r="F4187" t="s">
        <v>38</v>
      </c>
      <c r="G4187" t="str">
        <f>"05-M06-06"</f>
        <v>05-M06-06</v>
      </c>
      <c r="H4187">
        <v>1.7652000000000001</v>
      </c>
      <c r="I4187" t="s">
        <v>1959</v>
      </c>
      <c r="J4187" t="s">
        <v>17</v>
      </c>
      <c r="K4187" t="str">
        <f>"1T1"</f>
        <v>1T1</v>
      </c>
      <c r="L4187" t="s">
        <v>15</v>
      </c>
    </row>
    <row r="4188" spans="1:12" x14ac:dyDescent="0.25">
      <c r="A4188" t="str">
        <f>"465530403"</f>
        <v>465530403</v>
      </c>
      <c r="B4188" t="str">
        <f t="shared" si="249"/>
        <v>89301000</v>
      </c>
      <c r="C4188" s="1">
        <v>44342</v>
      </c>
      <c r="D4188" s="1">
        <v>44351</v>
      </c>
      <c r="E4188">
        <v>4</v>
      </c>
      <c r="F4188" t="s">
        <v>2407</v>
      </c>
      <c r="G4188" t="str">
        <f>"08-I06-04"</f>
        <v>08-I06-04</v>
      </c>
      <c r="H4188">
        <v>2.4260000000000002</v>
      </c>
      <c r="I4188" t="s">
        <v>3024</v>
      </c>
      <c r="J4188" t="s">
        <v>24</v>
      </c>
      <c r="K4188" t="str">
        <f>"6F6"</f>
        <v>6F6</v>
      </c>
      <c r="L4188" t="s">
        <v>15</v>
      </c>
    </row>
    <row r="4189" spans="1:12" x14ac:dyDescent="0.25">
      <c r="A4189" t="str">
        <f>"465601450"</f>
        <v>465601450</v>
      </c>
      <c r="B4189" t="str">
        <f t="shared" si="249"/>
        <v>89301000</v>
      </c>
      <c r="C4189" s="1">
        <v>44433</v>
      </c>
      <c r="D4189" s="1">
        <v>44434</v>
      </c>
      <c r="E4189">
        <v>1</v>
      </c>
      <c r="F4189" t="s">
        <v>146</v>
      </c>
      <c r="G4189" t="str">
        <f>"17-K05-02"</f>
        <v>17-K05-02</v>
      </c>
      <c r="H4189">
        <v>0.94220000000000004</v>
      </c>
      <c r="I4189" t="s">
        <v>3025</v>
      </c>
      <c r="J4189" t="s">
        <v>14</v>
      </c>
      <c r="K4189" t="str">
        <f>"2F2"</f>
        <v>2F2</v>
      </c>
      <c r="L4189" t="s">
        <v>15</v>
      </c>
    </row>
    <row r="4190" spans="1:12" x14ac:dyDescent="0.25">
      <c r="A4190" t="str">
        <f>"465601492"</f>
        <v>465601492</v>
      </c>
      <c r="B4190" t="str">
        <f t="shared" si="249"/>
        <v>89301000</v>
      </c>
      <c r="C4190" s="1">
        <v>44406</v>
      </c>
      <c r="D4190" s="1">
        <v>44412</v>
      </c>
      <c r="E4190">
        <v>1</v>
      </c>
      <c r="F4190" t="s">
        <v>672</v>
      </c>
      <c r="G4190" t="str">
        <f>"17-K10-01"</f>
        <v>17-K10-01</v>
      </c>
      <c r="H4190">
        <v>1.6901999999999999</v>
      </c>
      <c r="I4190" t="s">
        <v>3026</v>
      </c>
      <c r="J4190" t="s">
        <v>14</v>
      </c>
      <c r="K4190" t="str">
        <f>"4F2"</f>
        <v>4F2</v>
      </c>
      <c r="L4190" t="s">
        <v>15</v>
      </c>
    </row>
    <row r="4191" spans="1:12" x14ac:dyDescent="0.25">
      <c r="A4191" t="str">
        <f>"465602407"</f>
        <v>465602407</v>
      </c>
      <c r="B4191" t="str">
        <f t="shared" si="249"/>
        <v>89301000</v>
      </c>
      <c r="C4191" s="1">
        <v>44542</v>
      </c>
      <c r="D4191" s="1">
        <v>44558</v>
      </c>
      <c r="E4191">
        <v>1</v>
      </c>
      <c r="F4191" t="s">
        <v>3027</v>
      </c>
      <c r="G4191" t="str">
        <f>"03-I05-02"</f>
        <v>03-I05-02</v>
      </c>
      <c r="H4191">
        <v>4.6007999999999996</v>
      </c>
      <c r="I4191" t="s">
        <v>3028</v>
      </c>
      <c r="J4191" t="s">
        <v>14</v>
      </c>
      <c r="K4191" t="str">
        <f>"7F1"</f>
        <v>7F1</v>
      </c>
      <c r="L4191" t="s">
        <v>15</v>
      </c>
    </row>
    <row r="4192" spans="1:12" x14ac:dyDescent="0.25">
      <c r="A4192" t="str">
        <f>"465602407"</f>
        <v>465602407</v>
      </c>
      <c r="B4192" t="str">
        <f t="shared" si="249"/>
        <v>89301000</v>
      </c>
      <c r="C4192" s="1">
        <v>44193</v>
      </c>
      <c r="D4192" s="1">
        <v>44230</v>
      </c>
      <c r="E4192">
        <v>1</v>
      </c>
      <c r="F4192" t="s">
        <v>3027</v>
      </c>
      <c r="G4192" t="str">
        <f>"03-R01-03"</f>
        <v>03-R01-03</v>
      </c>
      <c r="H4192">
        <v>3.9828000000000001</v>
      </c>
      <c r="I4192" t="s">
        <v>3029</v>
      </c>
      <c r="J4192" t="s">
        <v>14</v>
      </c>
      <c r="K4192" t="str">
        <f>"4F2"</f>
        <v>4F2</v>
      </c>
      <c r="L4192" t="s">
        <v>15</v>
      </c>
    </row>
    <row r="4193" spans="1:12" x14ac:dyDescent="0.25">
      <c r="A4193" t="str">
        <f>"465602407"</f>
        <v>465602407</v>
      </c>
      <c r="B4193" t="str">
        <f t="shared" si="249"/>
        <v>89301000</v>
      </c>
      <c r="C4193" s="1">
        <v>44293</v>
      </c>
      <c r="D4193" s="1">
        <v>44295</v>
      </c>
      <c r="E4193">
        <v>1</v>
      </c>
      <c r="F4193" t="s">
        <v>3027</v>
      </c>
      <c r="G4193" t="str">
        <f>"03-I22-02"</f>
        <v>03-I22-02</v>
      </c>
      <c r="H4193">
        <v>0.75970000000000004</v>
      </c>
      <c r="I4193" t="s">
        <v>168</v>
      </c>
      <c r="J4193" t="s">
        <v>14</v>
      </c>
      <c r="K4193" t="str">
        <f>"7F1"</f>
        <v>7F1</v>
      </c>
      <c r="L4193" t="s">
        <v>15</v>
      </c>
    </row>
    <row r="4194" spans="1:12" x14ac:dyDescent="0.25">
      <c r="A4194" t="str">
        <f>"465602407"</f>
        <v>465602407</v>
      </c>
      <c r="B4194" t="str">
        <f t="shared" si="249"/>
        <v>89301000</v>
      </c>
      <c r="C4194" s="1">
        <v>44461</v>
      </c>
      <c r="D4194" s="1">
        <v>44463</v>
      </c>
      <c r="E4194">
        <v>1</v>
      </c>
      <c r="F4194" t="s">
        <v>3027</v>
      </c>
      <c r="G4194" t="str">
        <f>"03-I22-02"</f>
        <v>03-I22-02</v>
      </c>
      <c r="H4194">
        <v>0.75970000000000004</v>
      </c>
      <c r="I4194" t="s">
        <v>3030</v>
      </c>
      <c r="J4194" t="s">
        <v>14</v>
      </c>
      <c r="K4194" t="str">
        <f>"7F1"</f>
        <v>7F1</v>
      </c>
      <c r="L4194" t="s">
        <v>15</v>
      </c>
    </row>
    <row r="4195" spans="1:12" x14ac:dyDescent="0.25">
      <c r="A4195" t="str">
        <f>"465602407"</f>
        <v>465602407</v>
      </c>
      <c r="B4195" t="str">
        <f t="shared" si="249"/>
        <v>89301000</v>
      </c>
      <c r="C4195" s="1">
        <v>44481</v>
      </c>
      <c r="D4195" s="1">
        <v>44483</v>
      </c>
      <c r="E4195">
        <v>1</v>
      </c>
      <c r="F4195" t="s">
        <v>3027</v>
      </c>
      <c r="G4195" t="str">
        <f>"03-I22-02"</f>
        <v>03-I22-02</v>
      </c>
      <c r="H4195">
        <v>0.75970000000000004</v>
      </c>
      <c r="I4195" t="s">
        <v>3031</v>
      </c>
      <c r="J4195" t="s">
        <v>14</v>
      </c>
      <c r="K4195" t="str">
        <f>"7F1"</f>
        <v>7F1</v>
      </c>
      <c r="L4195" t="s">
        <v>15</v>
      </c>
    </row>
    <row r="4196" spans="1:12" x14ac:dyDescent="0.25">
      <c r="A4196" t="str">
        <f>"465606407"</f>
        <v>465606407</v>
      </c>
      <c r="B4196" t="str">
        <f t="shared" si="249"/>
        <v>89301000</v>
      </c>
      <c r="C4196" s="1">
        <v>44469</v>
      </c>
      <c r="D4196" s="1">
        <v>44472</v>
      </c>
      <c r="E4196">
        <v>1</v>
      </c>
      <c r="F4196" t="s">
        <v>1697</v>
      </c>
      <c r="G4196" t="str">
        <f>"09-I10-02"</f>
        <v>09-I10-02</v>
      </c>
      <c r="H4196">
        <v>0.98380000000000001</v>
      </c>
      <c r="I4196" t="s">
        <v>3032</v>
      </c>
      <c r="J4196" t="s">
        <v>17</v>
      </c>
      <c r="K4196" t="str">
        <f>"6F1"</f>
        <v>6F1</v>
      </c>
      <c r="L4196" t="s">
        <v>15</v>
      </c>
    </row>
    <row r="4197" spans="1:12" x14ac:dyDescent="0.25">
      <c r="A4197" t="str">
        <f>"465626139"</f>
        <v>465626139</v>
      </c>
      <c r="B4197" t="str">
        <f t="shared" si="249"/>
        <v>89301000</v>
      </c>
      <c r="C4197" s="1">
        <v>44454</v>
      </c>
      <c r="D4197" s="1">
        <v>44462</v>
      </c>
      <c r="E4197">
        <v>1</v>
      </c>
      <c r="F4197" t="s">
        <v>2434</v>
      </c>
      <c r="G4197" t="str">
        <f>"04-I02-04"</f>
        <v>04-I02-04</v>
      </c>
      <c r="H4197">
        <v>3.1617999999999999</v>
      </c>
      <c r="I4197" t="s">
        <v>1586</v>
      </c>
      <c r="J4197" t="s">
        <v>106</v>
      </c>
      <c r="K4197" t="str">
        <f>"5F1"</f>
        <v>5F1</v>
      </c>
      <c r="L4197" t="s">
        <v>15</v>
      </c>
    </row>
    <row r="4198" spans="1:12" x14ac:dyDescent="0.25">
      <c r="A4198" t="str">
        <f>"465629411"</f>
        <v>465629411</v>
      </c>
      <c r="B4198" t="str">
        <f t="shared" si="249"/>
        <v>89301000</v>
      </c>
      <c r="C4198" s="1">
        <v>44444</v>
      </c>
      <c r="D4198" s="1">
        <v>44448</v>
      </c>
      <c r="E4198">
        <v>1</v>
      </c>
      <c r="F4198" t="s">
        <v>67</v>
      </c>
      <c r="G4198" t="str">
        <f>"01-M02-00"</f>
        <v>01-M02-00</v>
      </c>
      <c r="H4198">
        <v>5.4023000000000003</v>
      </c>
      <c r="I4198" t="s">
        <v>1682</v>
      </c>
      <c r="J4198" t="s">
        <v>17</v>
      </c>
      <c r="K4198" t="str">
        <f>"2F9"</f>
        <v>2F9</v>
      </c>
      <c r="L4198" t="s">
        <v>15</v>
      </c>
    </row>
    <row r="4199" spans="1:12" x14ac:dyDescent="0.25">
      <c r="A4199" t="str">
        <f>"465629488"</f>
        <v>465629488</v>
      </c>
      <c r="B4199" t="str">
        <f t="shared" si="249"/>
        <v>89301000</v>
      </c>
      <c r="C4199" s="1">
        <v>44293</v>
      </c>
      <c r="D4199" s="1">
        <v>44293</v>
      </c>
      <c r="E4199">
        <v>1</v>
      </c>
      <c r="F4199" t="s">
        <v>1557</v>
      </c>
      <c r="G4199" t="str">
        <f>"05-D01-08"</f>
        <v>05-D01-08</v>
      </c>
      <c r="H4199">
        <v>0.21890000000000001</v>
      </c>
      <c r="I4199" t="s">
        <v>3033</v>
      </c>
      <c r="J4199" t="s">
        <v>14</v>
      </c>
      <c r="K4199" t="str">
        <f>"1F1"</f>
        <v>1F1</v>
      </c>
      <c r="L4199" t="s">
        <v>15</v>
      </c>
    </row>
    <row r="4200" spans="1:12" x14ac:dyDescent="0.25">
      <c r="A4200" t="str">
        <f>"465629491"</f>
        <v>465629491</v>
      </c>
      <c r="B4200" t="str">
        <f t="shared" si="249"/>
        <v>89301000</v>
      </c>
      <c r="C4200" s="1">
        <v>44543</v>
      </c>
      <c r="D4200" s="1">
        <v>44554</v>
      </c>
      <c r="E4200">
        <v>1</v>
      </c>
      <c r="F4200" t="s">
        <v>3034</v>
      </c>
      <c r="G4200" t="str">
        <f>"04-I08-03"</f>
        <v>04-I08-03</v>
      </c>
      <c r="H4200">
        <v>1.5696000000000001</v>
      </c>
      <c r="I4200" t="s">
        <v>3035</v>
      </c>
      <c r="J4200" t="s">
        <v>14</v>
      </c>
      <c r="K4200" t="str">
        <f>"2F5"</f>
        <v>2F5</v>
      </c>
      <c r="L4200" t="s">
        <v>15</v>
      </c>
    </row>
    <row r="4201" spans="1:12" x14ac:dyDescent="0.25">
      <c r="A4201" t="str">
        <f>"465629491"</f>
        <v>465629491</v>
      </c>
      <c r="B4201" t="str">
        <f t="shared" si="249"/>
        <v>89301000</v>
      </c>
      <c r="C4201" s="1">
        <v>44242</v>
      </c>
      <c r="D4201" s="1">
        <v>44250</v>
      </c>
      <c r="E4201">
        <v>1</v>
      </c>
      <c r="F4201" t="s">
        <v>2355</v>
      </c>
      <c r="G4201" t="str">
        <f>"04-K09-02"</f>
        <v>04-K09-02</v>
      </c>
      <c r="H4201">
        <v>1.2861</v>
      </c>
      <c r="I4201" t="s">
        <v>3036</v>
      </c>
      <c r="J4201" t="s">
        <v>14</v>
      </c>
      <c r="K4201" t="str">
        <f>"2F5"</f>
        <v>2F5</v>
      </c>
      <c r="L4201" t="s">
        <v>15</v>
      </c>
    </row>
    <row r="4202" spans="1:12" x14ac:dyDescent="0.25">
      <c r="A4202" t="str">
        <f>"465629491"</f>
        <v>465629491</v>
      </c>
      <c r="B4202" t="str">
        <f t="shared" si="249"/>
        <v>89301000</v>
      </c>
      <c r="C4202" s="1">
        <v>44533</v>
      </c>
      <c r="D4202" s="1">
        <v>44538</v>
      </c>
      <c r="E4202">
        <v>1</v>
      </c>
      <c r="F4202" t="s">
        <v>2355</v>
      </c>
      <c r="G4202" t="str">
        <f>"04-K09-02"</f>
        <v>04-K09-02</v>
      </c>
      <c r="H4202">
        <v>1.2861</v>
      </c>
      <c r="I4202" t="s">
        <v>3037</v>
      </c>
      <c r="J4202" t="s">
        <v>14</v>
      </c>
      <c r="K4202" t="str">
        <f>"2F5"</f>
        <v>2F5</v>
      </c>
      <c r="L4202" t="s">
        <v>15</v>
      </c>
    </row>
    <row r="4203" spans="1:12" x14ac:dyDescent="0.25">
      <c r="A4203" t="str">
        <f>"465704458"</f>
        <v>465704458</v>
      </c>
      <c r="B4203" t="str">
        <f t="shared" si="249"/>
        <v>89301000</v>
      </c>
      <c r="C4203" s="1">
        <v>44222</v>
      </c>
      <c r="D4203" s="1">
        <v>44224</v>
      </c>
      <c r="E4203">
        <v>1</v>
      </c>
      <c r="F4203" t="s">
        <v>3038</v>
      </c>
      <c r="G4203" t="str">
        <f>"88-I02-00"</f>
        <v>88-I02-00</v>
      </c>
      <c r="H4203">
        <v>0.11459999999999999</v>
      </c>
      <c r="I4203" t="s">
        <v>489</v>
      </c>
      <c r="J4203" t="s">
        <v>14</v>
      </c>
      <c r="K4203" t="str">
        <f>"7F5"</f>
        <v>7F5</v>
      </c>
      <c r="L4203" t="s">
        <v>15</v>
      </c>
    </row>
    <row r="4204" spans="1:12" x14ac:dyDescent="0.25">
      <c r="A4204" t="str">
        <f>"465712421"</f>
        <v>465712421</v>
      </c>
      <c r="B4204" t="str">
        <f t="shared" si="249"/>
        <v>89301000</v>
      </c>
      <c r="C4204" s="1">
        <v>44507</v>
      </c>
      <c r="D4204" s="1">
        <v>44511</v>
      </c>
      <c r="E4204">
        <v>1</v>
      </c>
      <c r="F4204" t="s">
        <v>2008</v>
      </c>
      <c r="G4204" t="str">
        <f>"13-I11-03"</f>
        <v>13-I11-03</v>
      </c>
      <c r="H4204">
        <v>1.3809</v>
      </c>
      <c r="J4204" t="s">
        <v>24</v>
      </c>
      <c r="K4204" t="str">
        <f>"6F3"</f>
        <v>6F3</v>
      </c>
      <c r="L4204" t="s">
        <v>15</v>
      </c>
    </row>
    <row r="4205" spans="1:12" x14ac:dyDescent="0.25">
      <c r="A4205" t="str">
        <f>"465717407"</f>
        <v>465717407</v>
      </c>
      <c r="B4205" t="str">
        <f t="shared" si="249"/>
        <v>89301000</v>
      </c>
      <c r="C4205" s="1">
        <v>44539</v>
      </c>
      <c r="D4205" s="1">
        <v>44539</v>
      </c>
      <c r="E4205">
        <v>1</v>
      </c>
      <c r="F4205" t="s">
        <v>1962</v>
      </c>
      <c r="G4205" t="str">
        <f>"04-K15-03"</f>
        <v>04-K15-03</v>
      </c>
      <c r="H4205">
        <v>0.25090000000000001</v>
      </c>
      <c r="J4205" t="s">
        <v>14</v>
      </c>
      <c r="K4205" t="str">
        <f>"1F1"</f>
        <v>1F1</v>
      </c>
      <c r="L4205" t="s">
        <v>15</v>
      </c>
    </row>
    <row r="4206" spans="1:12" x14ac:dyDescent="0.25">
      <c r="A4206" t="str">
        <f>"465719487"</f>
        <v>465719487</v>
      </c>
      <c r="B4206" t="str">
        <f t="shared" si="249"/>
        <v>89301000</v>
      </c>
      <c r="C4206" s="1">
        <v>44508</v>
      </c>
      <c r="D4206" s="1">
        <v>44509</v>
      </c>
      <c r="E4206">
        <v>5</v>
      </c>
      <c r="F4206" t="s">
        <v>38</v>
      </c>
      <c r="G4206" t="str">
        <f>"05-M06-06"</f>
        <v>05-M06-06</v>
      </c>
      <c r="H4206">
        <v>1.7652000000000001</v>
      </c>
      <c r="I4206" t="s">
        <v>3039</v>
      </c>
      <c r="J4206" t="s">
        <v>17</v>
      </c>
      <c r="K4206" t="str">
        <f>"1F1"</f>
        <v>1F1</v>
      </c>
      <c r="L4206" t="s">
        <v>15</v>
      </c>
    </row>
    <row r="4207" spans="1:12" x14ac:dyDescent="0.25">
      <c r="A4207" t="str">
        <f>"465722413"</f>
        <v>465722413</v>
      </c>
      <c r="B4207" t="str">
        <f t="shared" si="249"/>
        <v>89301000</v>
      </c>
      <c r="C4207" s="1">
        <v>44546</v>
      </c>
      <c r="D4207" s="1">
        <v>44550</v>
      </c>
      <c r="E4207">
        <v>1</v>
      </c>
      <c r="F4207" t="s">
        <v>1555</v>
      </c>
      <c r="G4207" t="str">
        <f>"05-I24-02"</f>
        <v>05-I24-02</v>
      </c>
      <c r="H4207">
        <v>7.0488999999999997</v>
      </c>
      <c r="I4207" t="s">
        <v>3040</v>
      </c>
      <c r="J4207" t="s">
        <v>14</v>
      </c>
      <c r="K4207" t="str">
        <f>"5F1"</f>
        <v>5F1</v>
      </c>
      <c r="L4207" t="s">
        <v>15</v>
      </c>
    </row>
    <row r="4208" spans="1:12" x14ac:dyDescent="0.25">
      <c r="A4208" t="str">
        <f>"465725407"</f>
        <v>465725407</v>
      </c>
      <c r="B4208" t="str">
        <f t="shared" si="249"/>
        <v>89301000</v>
      </c>
      <c r="C4208" s="1">
        <v>44487</v>
      </c>
      <c r="D4208" s="1">
        <v>44508</v>
      </c>
      <c r="E4208">
        <v>4</v>
      </c>
      <c r="F4208" t="s">
        <v>764</v>
      </c>
      <c r="G4208" t="str">
        <f>"01-K13-02"</f>
        <v>01-K13-02</v>
      </c>
      <c r="H4208">
        <v>1.4944</v>
      </c>
      <c r="I4208" t="s">
        <v>3041</v>
      </c>
      <c r="J4208" t="s">
        <v>14</v>
      </c>
      <c r="K4208" t="str">
        <f>"4F2"</f>
        <v>4F2</v>
      </c>
      <c r="L4208" t="s">
        <v>15</v>
      </c>
    </row>
    <row r="4209" spans="1:12" x14ac:dyDescent="0.25">
      <c r="A4209" t="str">
        <f>"465725407"</f>
        <v>465725407</v>
      </c>
      <c r="B4209" t="str">
        <f t="shared" si="249"/>
        <v>89301000</v>
      </c>
      <c r="C4209" s="1">
        <v>44473</v>
      </c>
      <c r="D4209" s="1">
        <v>44475</v>
      </c>
      <c r="E4209">
        <v>1</v>
      </c>
      <c r="F4209" t="s">
        <v>2752</v>
      </c>
      <c r="G4209" t="str">
        <f>"06-C02-03"</f>
        <v>06-C02-03</v>
      </c>
      <c r="H4209">
        <v>0.25769999999999998</v>
      </c>
      <c r="I4209" t="s">
        <v>541</v>
      </c>
      <c r="J4209" t="s">
        <v>14</v>
      </c>
      <c r="K4209" t="str">
        <f>"4F2"</f>
        <v>4F2</v>
      </c>
      <c r="L4209" t="s">
        <v>15</v>
      </c>
    </row>
    <row r="4210" spans="1:12" x14ac:dyDescent="0.25">
      <c r="A4210" t="str">
        <f>"465725407"</f>
        <v>465725407</v>
      </c>
      <c r="B4210" t="str">
        <f t="shared" si="249"/>
        <v>89301000</v>
      </c>
      <c r="C4210" s="1">
        <v>44466</v>
      </c>
      <c r="D4210" s="1">
        <v>44468</v>
      </c>
      <c r="E4210">
        <v>1</v>
      </c>
      <c r="F4210" t="s">
        <v>2752</v>
      </c>
      <c r="G4210" t="str">
        <f>"06-K14-02"</f>
        <v>06-K14-02</v>
      </c>
      <c r="H4210">
        <v>0.57279999999999998</v>
      </c>
      <c r="I4210" t="s">
        <v>145</v>
      </c>
      <c r="J4210" t="s">
        <v>14</v>
      </c>
      <c r="K4210" t="str">
        <f>"4F2"</f>
        <v>4F2</v>
      </c>
      <c r="L4210" t="s">
        <v>15</v>
      </c>
    </row>
    <row r="4211" spans="1:12" x14ac:dyDescent="0.25">
      <c r="A4211" t="str">
        <f>"465725407"</f>
        <v>465725407</v>
      </c>
      <c r="B4211" t="str">
        <f t="shared" si="249"/>
        <v>89301000</v>
      </c>
      <c r="C4211" s="1">
        <v>44531</v>
      </c>
      <c r="D4211" s="1">
        <v>44533</v>
      </c>
      <c r="E4211">
        <v>4</v>
      </c>
      <c r="F4211" t="s">
        <v>3042</v>
      </c>
      <c r="G4211" t="str">
        <f>"01-R01-00"</f>
        <v>01-R01-00</v>
      </c>
      <c r="H4211">
        <v>1.8295999999999999</v>
      </c>
      <c r="I4211" t="s">
        <v>3043</v>
      </c>
      <c r="J4211" t="s">
        <v>17</v>
      </c>
      <c r="K4211" t="str">
        <f>"4F2"</f>
        <v>4F2</v>
      </c>
      <c r="L4211" t="s">
        <v>15</v>
      </c>
    </row>
    <row r="4212" spans="1:12" x14ac:dyDescent="0.25">
      <c r="A4212" t="str">
        <f>"465725407"</f>
        <v>465725407</v>
      </c>
      <c r="B4212" t="str">
        <f t="shared" si="249"/>
        <v>89301000</v>
      </c>
      <c r="C4212" s="1">
        <v>44448</v>
      </c>
      <c r="D4212" s="1">
        <v>44450</v>
      </c>
      <c r="E4212">
        <v>1</v>
      </c>
      <c r="F4212" t="s">
        <v>2752</v>
      </c>
      <c r="G4212" t="str">
        <f>"06-C02-03"</f>
        <v>06-C02-03</v>
      </c>
      <c r="H4212">
        <v>0.25769999999999998</v>
      </c>
      <c r="I4212" t="s">
        <v>541</v>
      </c>
      <c r="J4212" t="s">
        <v>14</v>
      </c>
      <c r="K4212" t="str">
        <f>"4F2"</f>
        <v>4F2</v>
      </c>
      <c r="L4212" t="s">
        <v>15</v>
      </c>
    </row>
    <row r="4213" spans="1:12" x14ac:dyDescent="0.25">
      <c r="A4213" t="str">
        <f>"465804487"</f>
        <v>465804487</v>
      </c>
      <c r="B4213" t="str">
        <f t="shared" si="249"/>
        <v>89301000</v>
      </c>
      <c r="C4213" s="1">
        <v>44315</v>
      </c>
      <c r="D4213" s="1">
        <v>44320</v>
      </c>
      <c r="E4213">
        <v>1</v>
      </c>
      <c r="F4213" t="s">
        <v>2350</v>
      </c>
      <c r="G4213" t="str">
        <f>"01-I09-02"</f>
        <v>01-I09-02</v>
      </c>
      <c r="H4213">
        <v>1.5302</v>
      </c>
      <c r="I4213" t="s">
        <v>2216</v>
      </c>
      <c r="J4213" t="s">
        <v>17</v>
      </c>
      <c r="K4213" t="str">
        <f>"5F6"</f>
        <v>5F6</v>
      </c>
      <c r="L4213" t="s">
        <v>15</v>
      </c>
    </row>
    <row r="4214" spans="1:12" x14ac:dyDescent="0.25">
      <c r="A4214" t="str">
        <f>"465804494"</f>
        <v>465804494</v>
      </c>
      <c r="B4214" t="str">
        <f t="shared" si="249"/>
        <v>89301000</v>
      </c>
      <c r="C4214" s="1">
        <v>44454</v>
      </c>
      <c r="D4214" s="1">
        <v>44456</v>
      </c>
      <c r="E4214">
        <v>1</v>
      </c>
      <c r="F4214" t="s">
        <v>1567</v>
      </c>
      <c r="G4214" t="str">
        <f>"05-I25-03"</f>
        <v>05-I25-03</v>
      </c>
      <c r="H4214">
        <v>1.5508</v>
      </c>
      <c r="I4214" t="s">
        <v>3044</v>
      </c>
      <c r="J4214" t="s">
        <v>17</v>
      </c>
      <c r="K4214" t="str">
        <f>"1F1"</f>
        <v>1F1</v>
      </c>
      <c r="L4214" t="s">
        <v>15</v>
      </c>
    </row>
    <row r="4215" spans="1:12" x14ac:dyDescent="0.25">
      <c r="A4215" t="str">
        <f>"465806409"</f>
        <v>465806409</v>
      </c>
      <c r="B4215" t="str">
        <f t="shared" si="249"/>
        <v>89301000</v>
      </c>
      <c r="C4215" s="1">
        <v>44203</v>
      </c>
      <c r="D4215" s="1">
        <v>44208</v>
      </c>
      <c r="E4215">
        <v>1</v>
      </c>
      <c r="F4215" t="s">
        <v>81</v>
      </c>
      <c r="G4215" t="str">
        <f>"10-I13-02"</f>
        <v>10-I13-02</v>
      </c>
      <c r="H4215">
        <v>1.1468</v>
      </c>
      <c r="I4215" t="s">
        <v>3045</v>
      </c>
      <c r="J4215" t="s">
        <v>24</v>
      </c>
      <c r="K4215" t="str">
        <f>"7F1"</f>
        <v>7F1</v>
      </c>
      <c r="L4215" t="s">
        <v>15</v>
      </c>
    </row>
    <row r="4216" spans="1:12" x14ac:dyDescent="0.25">
      <c r="A4216" t="str">
        <f>"465819407"</f>
        <v>465819407</v>
      </c>
      <c r="B4216" t="str">
        <f t="shared" si="249"/>
        <v>89301000</v>
      </c>
      <c r="C4216" s="1">
        <v>44501</v>
      </c>
      <c r="D4216" s="1">
        <v>44529</v>
      </c>
      <c r="E4216">
        <v>1</v>
      </c>
      <c r="F4216" t="s">
        <v>217</v>
      </c>
      <c r="G4216" t="str">
        <f>"04-K02-03"</f>
        <v>04-K02-03</v>
      </c>
      <c r="H4216">
        <v>1.7544</v>
      </c>
      <c r="I4216" t="s">
        <v>3046</v>
      </c>
      <c r="J4216" t="s">
        <v>14</v>
      </c>
      <c r="K4216" t="str">
        <f>"2F5"</f>
        <v>2F5</v>
      </c>
      <c r="L4216" t="s">
        <v>15</v>
      </c>
    </row>
    <row r="4217" spans="1:12" x14ac:dyDescent="0.25">
      <c r="A4217" t="str">
        <f>"465829446"</f>
        <v>465829446</v>
      </c>
      <c r="B4217" t="str">
        <f t="shared" si="249"/>
        <v>89301000</v>
      </c>
      <c r="C4217" s="1">
        <v>44412</v>
      </c>
      <c r="D4217" s="1">
        <v>44417</v>
      </c>
      <c r="E4217">
        <v>1</v>
      </c>
      <c r="F4217" t="s">
        <v>2139</v>
      </c>
      <c r="G4217" t="str">
        <f>"05-D01-06"</f>
        <v>05-D01-06</v>
      </c>
      <c r="H4217">
        <v>0.7611</v>
      </c>
      <c r="I4217" t="s">
        <v>3047</v>
      </c>
      <c r="J4217" t="s">
        <v>14</v>
      </c>
      <c r="K4217" t="str">
        <f>"1F1"</f>
        <v>1F1</v>
      </c>
      <c r="L4217" t="s">
        <v>15</v>
      </c>
    </row>
    <row r="4218" spans="1:12" x14ac:dyDescent="0.25">
      <c r="A4218" t="str">
        <f>"465901480"</f>
        <v>465901480</v>
      </c>
      <c r="B4218" t="str">
        <f t="shared" si="249"/>
        <v>89301000</v>
      </c>
      <c r="C4218" s="1">
        <v>44378</v>
      </c>
      <c r="D4218" s="1">
        <v>44379</v>
      </c>
      <c r="E4218">
        <v>1</v>
      </c>
      <c r="F4218" t="s">
        <v>2457</v>
      </c>
      <c r="G4218" t="str">
        <f>"05-D01-08"</f>
        <v>05-D01-08</v>
      </c>
      <c r="H4218">
        <v>0.4093</v>
      </c>
      <c r="I4218" t="s">
        <v>1586</v>
      </c>
      <c r="J4218" t="s">
        <v>14</v>
      </c>
      <c r="K4218" t="str">
        <f>"1F7"</f>
        <v>1F7</v>
      </c>
      <c r="L4218" t="s">
        <v>15</v>
      </c>
    </row>
    <row r="4219" spans="1:12" x14ac:dyDescent="0.25">
      <c r="A4219" t="str">
        <f>"465904455"</f>
        <v>465904455</v>
      </c>
      <c r="B4219" t="str">
        <f t="shared" si="249"/>
        <v>89301000</v>
      </c>
      <c r="C4219" s="1">
        <v>44503</v>
      </c>
      <c r="D4219" s="1">
        <v>44504</v>
      </c>
      <c r="E4219">
        <v>1</v>
      </c>
      <c r="F4219" t="s">
        <v>1683</v>
      </c>
      <c r="G4219" t="str">
        <f>"05-M06-06"</f>
        <v>05-M06-06</v>
      </c>
      <c r="H4219">
        <v>1.7652000000000001</v>
      </c>
      <c r="J4219" t="s">
        <v>17</v>
      </c>
      <c r="K4219" t="str">
        <f>"1F1"</f>
        <v>1F1</v>
      </c>
      <c r="L4219" t="s">
        <v>15</v>
      </c>
    </row>
    <row r="4220" spans="1:12" x14ac:dyDescent="0.25">
      <c r="A4220" t="str">
        <f>"465914443"</f>
        <v>465914443</v>
      </c>
      <c r="B4220" t="str">
        <f t="shared" si="249"/>
        <v>89301000</v>
      </c>
      <c r="C4220" s="1">
        <v>44538</v>
      </c>
      <c r="D4220" s="1">
        <v>44541</v>
      </c>
      <c r="E4220">
        <v>1</v>
      </c>
      <c r="F4220" t="s">
        <v>1948</v>
      </c>
      <c r="G4220" t="str">
        <f>"08-K08-00"</f>
        <v>08-K08-00</v>
      </c>
      <c r="H4220">
        <v>0.51670000000000005</v>
      </c>
      <c r="I4220" t="s">
        <v>3048</v>
      </c>
      <c r="J4220" t="s">
        <v>14</v>
      </c>
      <c r="K4220" t="str">
        <f>"2F9"</f>
        <v>2F9</v>
      </c>
      <c r="L4220" t="s">
        <v>15</v>
      </c>
    </row>
    <row r="4221" spans="1:12" x14ac:dyDescent="0.25">
      <c r="A4221" t="str">
        <f>"465923405"</f>
        <v>465923405</v>
      </c>
      <c r="B4221" t="str">
        <f t="shared" si="249"/>
        <v>89301000</v>
      </c>
      <c r="C4221" s="1">
        <v>44475</v>
      </c>
      <c r="D4221" s="1">
        <v>44484</v>
      </c>
      <c r="E4221">
        <v>1</v>
      </c>
      <c r="F4221" t="s">
        <v>702</v>
      </c>
      <c r="G4221" t="str">
        <f>"02-K11-01"</f>
        <v>02-K11-01</v>
      </c>
      <c r="H4221">
        <v>0.88200000000000001</v>
      </c>
      <c r="I4221" t="s">
        <v>3049</v>
      </c>
      <c r="J4221" t="s">
        <v>14</v>
      </c>
      <c r="K4221" t="str">
        <f>"7F5"</f>
        <v>7F5</v>
      </c>
      <c r="L4221" t="s">
        <v>15</v>
      </c>
    </row>
    <row r="4222" spans="1:12" x14ac:dyDescent="0.25">
      <c r="A4222" t="str">
        <f>"465928409"</f>
        <v>465928409</v>
      </c>
      <c r="B4222" t="str">
        <f t="shared" si="249"/>
        <v>89301000</v>
      </c>
      <c r="C4222" s="1">
        <v>44494</v>
      </c>
      <c r="D4222" s="1">
        <v>44501</v>
      </c>
      <c r="E4222">
        <v>1</v>
      </c>
      <c r="F4222" t="s">
        <v>2120</v>
      </c>
      <c r="G4222" t="str">
        <f>"06-K07-01"</f>
        <v>06-K07-01</v>
      </c>
      <c r="H4222">
        <v>0.88500000000000001</v>
      </c>
      <c r="I4222" t="s">
        <v>3050</v>
      </c>
      <c r="J4222" t="s">
        <v>14</v>
      </c>
      <c r="K4222" t="str">
        <f>"1F5"</f>
        <v>1F5</v>
      </c>
      <c r="L4222" t="s">
        <v>15</v>
      </c>
    </row>
    <row r="4223" spans="1:12" x14ac:dyDescent="0.25">
      <c r="A4223" t="str">
        <f>"465930459"</f>
        <v>465930459</v>
      </c>
      <c r="B4223" t="str">
        <f t="shared" si="249"/>
        <v>89301000</v>
      </c>
      <c r="C4223" s="1">
        <v>44213</v>
      </c>
      <c r="D4223" s="1">
        <v>44221</v>
      </c>
      <c r="E4223">
        <v>1</v>
      </c>
      <c r="F4223" t="s">
        <v>3051</v>
      </c>
      <c r="G4223" t="str">
        <f>"03-I07-02"</f>
        <v>03-I07-02</v>
      </c>
      <c r="H4223">
        <v>2.3241000000000001</v>
      </c>
      <c r="I4223" t="s">
        <v>3052</v>
      </c>
      <c r="J4223" t="s">
        <v>17</v>
      </c>
      <c r="K4223" t="str">
        <f>"7F1"</f>
        <v>7F1</v>
      </c>
      <c r="L4223" t="s">
        <v>15</v>
      </c>
    </row>
    <row r="4224" spans="1:12" x14ac:dyDescent="0.25">
      <c r="A4224" t="str">
        <f>"466007417"</f>
        <v>466007417</v>
      </c>
      <c r="B4224" t="str">
        <f t="shared" si="249"/>
        <v>89301000</v>
      </c>
      <c r="C4224" s="1">
        <v>44265</v>
      </c>
      <c r="D4224" s="1">
        <v>44265</v>
      </c>
      <c r="E4224">
        <v>1</v>
      </c>
      <c r="F4224" t="s">
        <v>2032</v>
      </c>
      <c r="G4224" t="str">
        <f>"05-D01-08"</f>
        <v>05-D01-08</v>
      </c>
      <c r="H4224">
        <v>0.21890000000000001</v>
      </c>
      <c r="I4224" t="s">
        <v>3053</v>
      </c>
      <c r="J4224" t="s">
        <v>14</v>
      </c>
      <c r="K4224" t="str">
        <f>"1F1"</f>
        <v>1F1</v>
      </c>
      <c r="L4224" t="s">
        <v>15</v>
      </c>
    </row>
    <row r="4225" spans="1:12" x14ac:dyDescent="0.25">
      <c r="A4225" t="str">
        <f>"466016408"</f>
        <v>466016408</v>
      </c>
      <c r="B4225" t="str">
        <f t="shared" si="249"/>
        <v>89301000</v>
      </c>
      <c r="C4225" s="1">
        <v>44494</v>
      </c>
      <c r="D4225" s="1">
        <v>44497</v>
      </c>
      <c r="E4225">
        <v>1</v>
      </c>
      <c r="F4225" t="s">
        <v>2082</v>
      </c>
      <c r="G4225" t="str">
        <f>"03-I19-03"</f>
        <v>03-I19-03</v>
      </c>
      <c r="H4225">
        <v>0.60699999999999998</v>
      </c>
      <c r="I4225" t="s">
        <v>3054</v>
      </c>
      <c r="J4225" t="s">
        <v>14</v>
      </c>
      <c r="K4225" t="str">
        <f>"6F5"</f>
        <v>6F5</v>
      </c>
      <c r="L4225" t="s">
        <v>15</v>
      </c>
    </row>
    <row r="4226" spans="1:12" x14ac:dyDescent="0.25">
      <c r="A4226" t="str">
        <f>"466023075"</f>
        <v>466023075</v>
      </c>
      <c r="B4226" t="str">
        <f t="shared" si="249"/>
        <v>89301000</v>
      </c>
      <c r="C4226" s="1">
        <v>44447</v>
      </c>
      <c r="D4226" s="1">
        <v>44449</v>
      </c>
      <c r="E4226">
        <v>1</v>
      </c>
      <c r="F4226" t="s">
        <v>173</v>
      </c>
      <c r="G4226" t="str">
        <f>"08-I32-02"</f>
        <v>08-I32-02</v>
      </c>
      <c r="H4226">
        <v>0.4143</v>
      </c>
      <c r="J4226" t="s">
        <v>14</v>
      </c>
      <c r="K4226" t="str">
        <f>"5F3"</f>
        <v>5F3</v>
      </c>
      <c r="L4226" t="s">
        <v>15</v>
      </c>
    </row>
    <row r="4227" spans="1:12" x14ac:dyDescent="0.25">
      <c r="A4227" t="str">
        <f>"466023075"</f>
        <v>466023075</v>
      </c>
      <c r="B4227" t="str">
        <f t="shared" si="249"/>
        <v>89301000</v>
      </c>
      <c r="C4227" s="1">
        <v>44189</v>
      </c>
      <c r="D4227" s="1">
        <v>44200</v>
      </c>
      <c r="E4227">
        <v>4</v>
      </c>
      <c r="F4227" t="s">
        <v>1615</v>
      </c>
      <c r="G4227" t="str">
        <f>"08-I13-05"</f>
        <v>08-I13-05</v>
      </c>
      <c r="H4227">
        <v>2.1778</v>
      </c>
      <c r="I4227" t="s">
        <v>3055</v>
      </c>
      <c r="J4227" t="s">
        <v>17</v>
      </c>
      <c r="K4227" t="str">
        <f>"5F3"</f>
        <v>5F3</v>
      </c>
      <c r="L4227" t="s">
        <v>15</v>
      </c>
    </row>
    <row r="4228" spans="1:12" x14ac:dyDescent="0.25">
      <c r="A4228" t="str">
        <f>"466024465"</f>
        <v>466024465</v>
      </c>
      <c r="B4228" t="str">
        <f t="shared" si="249"/>
        <v>89301000</v>
      </c>
      <c r="C4228" s="1">
        <v>44441</v>
      </c>
      <c r="D4228" s="1">
        <v>44446</v>
      </c>
      <c r="E4228">
        <v>5</v>
      </c>
      <c r="F4228" t="s">
        <v>16</v>
      </c>
      <c r="G4228" t="str">
        <f>"08-I04-02"</f>
        <v>08-I04-02</v>
      </c>
      <c r="H4228">
        <v>1.6718999999999999</v>
      </c>
      <c r="I4228" t="s">
        <v>348</v>
      </c>
      <c r="J4228" t="s">
        <v>17</v>
      </c>
      <c r="K4228" t="str">
        <f>"5F6"</f>
        <v>5F6</v>
      </c>
      <c r="L4228" t="s">
        <v>15</v>
      </c>
    </row>
    <row r="4229" spans="1:12" x14ac:dyDescent="0.25">
      <c r="A4229" t="str">
        <f>"466104421"</f>
        <v>466104421</v>
      </c>
      <c r="B4229" t="str">
        <f t="shared" si="249"/>
        <v>89301000</v>
      </c>
      <c r="C4229" s="1">
        <v>44502</v>
      </c>
      <c r="D4229" s="1">
        <v>44527</v>
      </c>
      <c r="E4229">
        <v>1</v>
      </c>
      <c r="F4229" t="s">
        <v>2281</v>
      </c>
      <c r="G4229" t="str">
        <f>"19-K06-02"</f>
        <v>19-K06-02</v>
      </c>
      <c r="H4229">
        <v>2.4085000000000001</v>
      </c>
      <c r="I4229" t="s">
        <v>3056</v>
      </c>
      <c r="J4229" t="s">
        <v>27</v>
      </c>
      <c r="K4229" t="str">
        <f>"3F5"</f>
        <v>3F5</v>
      </c>
      <c r="L4229" t="s">
        <v>15</v>
      </c>
    </row>
    <row r="4230" spans="1:12" x14ac:dyDescent="0.25">
      <c r="A4230" t="str">
        <f>"466110447"</f>
        <v>466110447</v>
      </c>
      <c r="B4230" t="str">
        <f t="shared" si="249"/>
        <v>89301000</v>
      </c>
      <c r="C4230" s="1">
        <v>44546</v>
      </c>
      <c r="D4230" s="1">
        <v>44547</v>
      </c>
      <c r="E4230">
        <v>1</v>
      </c>
      <c r="F4230" t="s">
        <v>2049</v>
      </c>
      <c r="G4230" t="str">
        <f>"06-M01-02"</f>
        <v>06-M01-02</v>
      </c>
      <c r="H4230">
        <v>1.2191000000000001</v>
      </c>
      <c r="I4230" t="s">
        <v>2360</v>
      </c>
      <c r="J4230" t="s">
        <v>14</v>
      </c>
      <c r="K4230" t="str">
        <f>"1F1"</f>
        <v>1F1</v>
      </c>
      <c r="L4230" t="s">
        <v>15</v>
      </c>
    </row>
    <row r="4231" spans="1:12" x14ac:dyDescent="0.25">
      <c r="A4231" t="str">
        <f>"466116411"</f>
        <v>466116411</v>
      </c>
      <c r="B4231" t="str">
        <f t="shared" si="249"/>
        <v>89301000</v>
      </c>
      <c r="C4231" s="1">
        <v>44434</v>
      </c>
      <c r="D4231" s="1">
        <v>44437</v>
      </c>
      <c r="E4231">
        <v>1</v>
      </c>
      <c r="F4231" t="s">
        <v>460</v>
      </c>
      <c r="G4231" t="str">
        <f>"03-I23-00"</f>
        <v>03-I23-00</v>
      </c>
      <c r="H4231">
        <v>0.47639999999999999</v>
      </c>
      <c r="I4231" t="s">
        <v>3057</v>
      </c>
      <c r="J4231" t="s">
        <v>14</v>
      </c>
      <c r="K4231" t="str">
        <f>"6F5"</f>
        <v>6F5</v>
      </c>
      <c r="L4231" t="s">
        <v>15</v>
      </c>
    </row>
    <row r="4232" spans="1:12" x14ac:dyDescent="0.25">
      <c r="A4232" t="str">
        <f>"466116424"</f>
        <v>466116424</v>
      </c>
      <c r="B4232" t="str">
        <f t="shared" si="249"/>
        <v>89301000</v>
      </c>
      <c r="C4232" s="1">
        <v>44301</v>
      </c>
      <c r="D4232" s="1">
        <v>44312</v>
      </c>
      <c r="E4232">
        <v>1</v>
      </c>
      <c r="F4232" t="s">
        <v>575</v>
      </c>
      <c r="G4232" t="str">
        <f>"18-K02-03"</f>
        <v>18-K02-03</v>
      </c>
      <c r="H4232">
        <v>0.87570000000000003</v>
      </c>
      <c r="I4232" t="s">
        <v>3058</v>
      </c>
      <c r="J4232" t="s">
        <v>14</v>
      </c>
      <c r="K4232" t="str">
        <f>"6F3"</f>
        <v>6F3</v>
      </c>
      <c r="L4232" t="s">
        <v>15</v>
      </c>
    </row>
    <row r="4233" spans="1:12" x14ac:dyDescent="0.25">
      <c r="A4233" t="str">
        <f>"466116424"</f>
        <v>466116424</v>
      </c>
      <c r="B4233" t="str">
        <f t="shared" si="249"/>
        <v>89301000</v>
      </c>
      <c r="C4233" s="1">
        <v>44221</v>
      </c>
      <c r="D4233" s="1">
        <v>44225</v>
      </c>
      <c r="E4233">
        <v>1</v>
      </c>
      <c r="F4233" t="s">
        <v>575</v>
      </c>
      <c r="G4233" t="str">
        <f>"18-K02-03"</f>
        <v>18-K02-03</v>
      </c>
      <c r="H4233">
        <v>0.87570000000000003</v>
      </c>
      <c r="I4233" t="s">
        <v>3059</v>
      </c>
      <c r="J4233" t="s">
        <v>14</v>
      </c>
      <c r="K4233" t="str">
        <f>"6F3"</f>
        <v>6F3</v>
      </c>
      <c r="L4233" t="s">
        <v>15</v>
      </c>
    </row>
    <row r="4234" spans="1:12" x14ac:dyDescent="0.25">
      <c r="A4234" t="str">
        <f>"466116424"</f>
        <v>466116424</v>
      </c>
      <c r="B4234" t="str">
        <f t="shared" si="249"/>
        <v>89301000</v>
      </c>
      <c r="C4234" s="1">
        <v>44425</v>
      </c>
      <c r="D4234" s="1">
        <v>44434</v>
      </c>
      <c r="E4234">
        <v>1</v>
      </c>
      <c r="F4234" t="s">
        <v>3060</v>
      </c>
      <c r="G4234" t="str">
        <f>"17-K08-00"</f>
        <v>17-K08-00</v>
      </c>
      <c r="H4234">
        <v>0.79959999999999998</v>
      </c>
      <c r="I4234" t="s">
        <v>3061</v>
      </c>
      <c r="J4234" t="s">
        <v>14</v>
      </c>
      <c r="K4234" t="str">
        <f>"6F3"</f>
        <v>6F3</v>
      </c>
      <c r="L4234" t="s">
        <v>15</v>
      </c>
    </row>
    <row r="4235" spans="1:12" x14ac:dyDescent="0.25">
      <c r="A4235" t="str">
        <f t="shared" ref="A4235:A4241" si="250">"466117429"</f>
        <v>466117429</v>
      </c>
      <c r="B4235" t="str">
        <f t="shared" si="249"/>
        <v>89301000</v>
      </c>
      <c r="C4235" s="1">
        <v>44256</v>
      </c>
      <c r="D4235" s="1">
        <v>44260</v>
      </c>
      <c r="E4235">
        <v>1</v>
      </c>
      <c r="F4235" t="s">
        <v>41</v>
      </c>
      <c r="G4235" t="str">
        <f>"01-D01-03"</f>
        <v>01-D01-03</v>
      </c>
      <c r="H4235">
        <v>0.25280000000000002</v>
      </c>
      <c r="I4235" t="s">
        <v>3062</v>
      </c>
      <c r="J4235" t="s">
        <v>14</v>
      </c>
      <c r="K4235" t="str">
        <f>"2F5"</f>
        <v>2F5</v>
      </c>
      <c r="L4235" t="s">
        <v>15</v>
      </c>
    </row>
    <row r="4236" spans="1:12" x14ac:dyDescent="0.25">
      <c r="A4236" t="str">
        <f t="shared" si="250"/>
        <v>466117429</v>
      </c>
      <c r="B4236" t="str">
        <f t="shared" si="249"/>
        <v>89301000</v>
      </c>
      <c r="C4236" s="1">
        <v>44216</v>
      </c>
      <c r="D4236" s="1">
        <v>44230</v>
      </c>
      <c r="E4236">
        <v>1</v>
      </c>
      <c r="F4236" t="s">
        <v>2133</v>
      </c>
      <c r="G4236" t="str">
        <f>"04-K06-02"</f>
        <v>04-K06-02</v>
      </c>
      <c r="H4236">
        <v>1.0042</v>
      </c>
      <c r="I4236" t="s">
        <v>3063</v>
      </c>
      <c r="J4236" t="s">
        <v>14</v>
      </c>
      <c r="K4236" t="str">
        <f>"2F5"</f>
        <v>2F5</v>
      </c>
      <c r="L4236" t="s">
        <v>15</v>
      </c>
    </row>
    <row r="4237" spans="1:12" x14ac:dyDescent="0.25">
      <c r="A4237" t="str">
        <f t="shared" si="250"/>
        <v>466117429</v>
      </c>
      <c r="B4237" t="str">
        <f t="shared" si="249"/>
        <v>89301000</v>
      </c>
      <c r="C4237" s="1">
        <v>44399</v>
      </c>
      <c r="D4237" s="1">
        <v>44404</v>
      </c>
      <c r="E4237">
        <v>1</v>
      </c>
      <c r="F4237" t="s">
        <v>1875</v>
      </c>
      <c r="G4237" t="str">
        <f>"05-I25-03"</f>
        <v>05-I25-03</v>
      </c>
      <c r="H4237">
        <v>1.5508</v>
      </c>
      <c r="I4237" t="s">
        <v>3064</v>
      </c>
      <c r="J4237" t="s">
        <v>17</v>
      </c>
      <c r="K4237" t="str">
        <f>"1T1"</f>
        <v>1T1</v>
      </c>
      <c r="L4237" t="s">
        <v>15</v>
      </c>
    </row>
    <row r="4238" spans="1:12" x14ac:dyDescent="0.25">
      <c r="A4238" t="str">
        <f t="shared" si="250"/>
        <v>466117429</v>
      </c>
      <c r="B4238" t="str">
        <f t="shared" si="249"/>
        <v>89301000</v>
      </c>
      <c r="C4238" s="1">
        <v>44293</v>
      </c>
      <c r="D4238" s="1">
        <v>44308</v>
      </c>
      <c r="E4238">
        <v>1</v>
      </c>
      <c r="F4238" t="s">
        <v>217</v>
      </c>
      <c r="G4238" t="str">
        <f>"04-K02-04"</f>
        <v>04-K02-04</v>
      </c>
      <c r="H4238">
        <v>0.88480000000000003</v>
      </c>
      <c r="I4238" t="s">
        <v>3065</v>
      </c>
      <c r="J4238" t="s">
        <v>14</v>
      </c>
      <c r="K4238" t="str">
        <f>"2F5"</f>
        <v>2F5</v>
      </c>
      <c r="L4238" t="s">
        <v>15</v>
      </c>
    </row>
    <row r="4239" spans="1:12" x14ac:dyDescent="0.25">
      <c r="A4239" t="str">
        <f t="shared" si="250"/>
        <v>466117429</v>
      </c>
      <c r="B4239" t="str">
        <f t="shared" si="249"/>
        <v>89301000</v>
      </c>
      <c r="C4239" s="1">
        <v>44274</v>
      </c>
      <c r="D4239" s="1">
        <v>44278</v>
      </c>
      <c r="E4239">
        <v>1</v>
      </c>
      <c r="F4239" t="s">
        <v>144</v>
      </c>
      <c r="G4239" t="str">
        <f>"04-K10-02"</f>
        <v>04-K10-02</v>
      </c>
      <c r="H4239">
        <v>0.38879999999999998</v>
      </c>
      <c r="I4239" t="s">
        <v>3066</v>
      </c>
      <c r="J4239" t="s">
        <v>14</v>
      </c>
      <c r="K4239" t="str">
        <f>"2F5"</f>
        <v>2F5</v>
      </c>
      <c r="L4239" t="s">
        <v>15</v>
      </c>
    </row>
    <row r="4240" spans="1:12" x14ac:dyDescent="0.25">
      <c r="A4240" t="str">
        <f t="shared" si="250"/>
        <v>466117429</v>
      </c>
      <c r="B4240" t="str">
        <f t="shared" si="249"/>
        <v>89301000</v>
      </c>
      <c r="C4240" s="1">
        <v>44481</v>
      </c>
      <c r="D4240" s="1">
        <v>44488</v>
      </c>
      <c r="E4240">
        <v>1</v>
      </c>
      <c r="F4240" t="s">
        <v>3067</v>
      </c>
      <c r="G4240" t="str">
        <f>"10-K04-04"</f>
        <v>10-K04-04</v>
      </c>
      <c r="H4240">
        <v>0.56330000000000002</v>
      </c>
      <c r="I4240" t="s">
        <v>3068</v>
      </c>
      <c r="J4240" t="s">
        <v>14</v>
      </c>
      <c r="K4240" t="str">
        <f>"1F1"</f>
        <v>1F1</v>
      </c>
      <c r="L4240" t="s">
        <v>15</v>
      </c>
    </row>
    <row r="4241" spans="1:12" x14ac:dyDescent="0.25">
      <c r="A4241" t="str">
        <f t="shared" si="250"/>
        <v>466117429</v>
      </c>
      <c r="B4241" t="str">
        <f t="shared" si="249"/>
        <v>89301000</v>
      </c>
      <c r="C4241" s="1">
        <v>44412</v>
      </c>
      <c r="D4241" s="1">
        <v>44432</v>
      </c>
      <c r="E4241">
        <v>1</v>
      </c>
      <c r="F4241" t="s">
        <v>2544</v>
      </c>
      <c r="G4241" t="str">
        <f>"04-I03-04"</f>
        <v>04-I03-04</v>
      </c>
      <c r="H4241">
        <v>3.4401000000000002</v>
      </c>
      <c r="I4241" t="s">
        <v>3069</v>
      </c>
      <c r="J4241" t="s">
        <v>106</v>
      </c>
      <c r="K4241" t="str">
        <f>"2F5"</f>
        <v>2F5</v>
      </c>
      <c r="L4241" t="s">
        <v>15</v>
      </c>
    </row>
    <row r="4242" spans="1:12" x14ac:dyDescent="0.25">
      <c r="A4242" t="str">
        <f>"466123457"</f>
        <v>466123457</v>
      </c>
      <c r="B4242" t="str">
        <f t="shared" si="249"/>
        <v>89301000</v>
      </c>
      <c r="C4242" s="1">
        <v>44260</v>
      </c>
      <c r="D4242" s="1">
        <v>44261</v>
      </c>
      <c r="E4242">
        <v>1</v>
      </c>
      <c r="F4242" t="s">
        <v>609</v>
      </c>
      <c r="G4242" t="str">
        <f>"08-K13-02"</f>
        <v>08-K13-02</v>
      </c>
      <c r="H4242">
        <v>0.47210000000000002</v>
      </c>
      <c r="I4242" t="s">
        <v>3070</v>
      </c>
      <c r="J4242" t="s">
        <v>14</v>
      </c>
      <c r="K4242" t="str">
        <f>"5F3"</f>
        <v>5F3</v>
      </c>
      <c r="L4242" t="s">
        <v>15</v>
      </c>
    </row>
    <row r="4243" spans="1:12" x14ac:dyDescent="0.25">
      <c r="A4243" t="str">
        <f>"466124405"</f>
        <v>466124405</v>
      </c>
      <c r="B4243" t="str">
        <f t="shared" ref="B4243:B4306" si="251">"89301000"</f>
        <v>89301000</v>
      </c>
      <c r="C4243" s="1">
        <v>44434</v>
      </c>
      <c r="D4243" s="1">
        <v>44442</v>
      </c>
      <c r="E4243">
        <v>1</v>
      </c>
      <c r="F4243" t="s">
        <v>1581</v>
      </c>
      <c r="G4243" t="str">
        <f>"05-I24-04"</f>
        <v>05-I24-04</v>
      </c>
      <c r="H4243">
        <v>2.1857000000000002</v>
      </c>
      <c r="I4243" t="s">
        <v>1959</v>
      </c>
      <c r="J4243" t="s">
        <v>14</v>
      </c>
      <c r="K4243" t="str">
        <f>"5F1"</f>
        <v>5F1</v>
      </c>
      <c r="L4243" t="s">
        <v>15</v>
      </c>
    </row>
    <row r="4244" spans="1:12" x14ac:dyDescent="0.25">
      <c r="A4244" t="str">
        <f>"466125462"</f>
        <v>466125462</v>
      </c>
      <c r="B4244" t="str">
        <f t="shared" si="251"/>
        <v>89301000</v>
      </c>
      <c r="C4244" s="1">
        <v>44258</v>
      </c>
      <c r="D4244" s="1">
        <v>44262</v>
      </c>
      <c r="E4244">
        <v>1</v>
      </c>
      <c r="F4244" t="s">
        <v>81</v>
      </c>
      <c r="G4244" t="str">
        <f>"10-I13-02"</f>
        <v>10-I13-02</v>
      </c>
      <c r="H4244">
        <v>1.1468</v>
      </c>
      <c r="J4244" t="s">
        <v>24</v>
      </c>
      <c r="K4244" t="str">
        <f>"5F5"</f>
        <v>5F5</v>
      </c>
      <c r="L4244" t="s">
        <v>15</v>
      </c>
    </row>
    <row r="4245" spans="1:12" x14ac:dyDescent="0.25">
      <c r="A4245" t="str">
        <f>"466126404"</f>
        <v>466126404</v>
      </c>
      <c r="B4245" t="str">
        <f t="shared" si="251"/>
        <v>89301000</v>
      </c>
      <c r="C4245" s="1">
        <v>44509</v>
      </c>
      <c r="D4245" s="1">
        <v>44518</v>
      </c>
      <c r="E4245">
        <v>4</v>
      </c>
      <c r="F4245" t="s">
        <v>3071</v>
      </c>
      <c r="G4245" t="str">
        <f>"08-I05-06"</f>
        <v>08-I05-06</v>
      </c>
      <c r="H4245">
        <v>2.0369000000000002</v>
      </c>
      <c r="I4245" t="s">
        <v>2361</v>
      </c>
      <c r="J4245" t="s">
        <v>17</v>
      </c>
      <c r="K4245" t="str">
        <f>"6F6"</f>
        <v>6F6</v>
      </c>
      <c r="L4245" t="s">
        <v>15</v>
      </c>
    </row>
    <row r="4246" spans="1:12" x14ac:dyDescent="0.25">
      <c r="A4246" t="str">
        <f>"466126753"</f>
        <v>466126753</v>
      </c>
      <c r="B4246" t="str">
        <f t="shared" si="251"/>
        <v>89301000</v>
      </c>
      <c r="C4246" s="1">
        <v>44424</v>
      </c>
      <c r="D4246" s="1">
        <v>44432</v>
      </c>
      <c r="E4246">
        <v>1</v>
      </c>
      <c r="F4246" t="s">
        <v>874</v>
      </c>
      <c r="G4246" t="str">
        <f>"07-K03-02"</f>
        <v>07-K03-02</v>
      </c>
      <c r="H4246">
        <v>0.53059999999999996</v>
      </c>
      <c r="I4246" t="s">
        <v>3072</v>
      </c>
      <c r="J4246" t="s">
        <v>14</v>
      </c>
      <c r="K4246" t="str">
        <f>"1F1"</f>
        <v>1F1</v>
      </c>
      <c r="L4246" t="s">
        <v>15</v>
      </c>
    </row>
    <row r="4247" spans="1:12" x14ac:dyDescent="0.25">
      <c r="A4247" t="str">
        <f>"466130451"</f>
        <v>466130451</v>
      </c>
      <c r="B4247" t="str">
        <f t="shared" si="251"/>
        <v>89301000</v>
      </c>
      <c r="C4247" s="1">
        <v>44425</v>
      </c>
      <c r="D4247" s="1">
        <v>44428</v>
      </c>
      <c r="E4247">
        <v>4</v>
      </c>
      <c r="F4247" t="s">
        <v>1904</v>
      </c>
      <c r="G4247" t="str">
        <f>"08-K08-00"</f>
        <v>08-K08-00</v>
      </c>
      <c r="H4247">
        <v>0.51670000000000005</v>
      </c>
      <c r="I4247" t="s">
        <v>2264</v>
      </c>
      <c r="J4247" t="s">
        <v>14</v>
      </c>
      <c r="K4247" t="str">
        <f>"1F1"</f>
        <v>1F1</v>
      </c>
      <c r="L4247" t="s">
        <v>15</v>
      </c>
    </row>
    <row r="4248" spans="1:12" x14ac:dyDescent="0.25">
      <c r="A4248" t="str">
        <f>"466130451"</f>
        <v>466130451</v>
      </c>
      <c r="B4248" t="str">
        <f t="shared" si="251"/>
        <v>89301000</v>
      </c>
      <c r="C4248" s="1">
        <v>44285</v>
      </c>
      <c r="D4248" s="1">
        <v>44287</v>
      </c>
      <c r="E4248">
        <v>1</v>
      </c>
      <c r="F4248" t="s">
        <v>3073</v>
      </c>
      <c r="G4248" t="str">
        <f>"11-K08-02"</f>
        <v>11-K08-02</v>
      </c>
      <c r="H4248">
        <v>0.47389999999999999</v>
      </c>
      <c r="I4248" t="s">
        <v>3074</v>
      </c>
      <c r="J4248" t="s">
        <v>14</v>
      </c>
      <c r="K4248" t="str">
        <f>"4F2"</f>
        <v>4F2</v>
      </c>
      <c r="L4248" t="s">
        <v>15</v>
      </c>
    </row>
    <row r="4249" spans="1:12" x14ac:dyDescent="0.25">
      <c r="A4249" t="str">
        <f>"466130451"</f>
        <v>466130451</v>
      </c>
      <c r="B4249" t="str">
        <f t="shared" si="251"/>
        <v>89301000</v>
      </c>
      <c r="C4249" s="1">
        <v>44450</v>
      </c>
      <c r="D4249" s="1">
        <v>44459</v>
      </c>
      <c r="E4249">
        <v>1</v>
      </c>
      <c r="F4249" t="s">
        <v>2368</v>
      </c>
      <c r="G4249" t="str">
        <f>"08-K09-02"</f>
        <v>08-K09-02</v>
      </c>
      <c r="H4249">
        <v>1.0061</v>
      </c>
      <c r="I4249" t="s">
        <v>3075</v>
      </c>
      <c r="J4249" t="s">
        <v>14</v>
      </c>
      <c r="K4249" t="str">
        <f>"4F2"</f>
        <v>4F2</v>
      </c>
      <c r="L4249" t="s">
        <v>15</v>
      </c>
    </row>
    <row r="4250" spans="1:12" x14ac:dyDescent="0.25">
      <c r="A4250" t="str">
        <f>"466130451"</f>
        <v>466130451</v>
      </c>
      <c r="B4250" t="str">
        <f t="shared" si="251"/>
        <v>89301000</v>
      </c>
      <c r="C4250" s="1">
        <v>44248</v>
      </c>
      <c r="D4250" s="1">
        <v>44253</v>
      </c>
      <c r="E4250">
        <v>1</v>
      </c>
      <c r="F4250" t="s">
        <v>792</v>
      </c>
      <c r="G4250" t="str">
        <f>"11-K14-02"</f>
        <v>11-K14-02</v>
      </c>
      <c r="H4250">
        <v>0.65180000000000005</v>
      </c>
      <c r="I4250" t="s">
        <v>3076</v>
      </c>
      <c r="J4250" t="s">
        <v>14</v>
      </c>
      <c r="K4250" t="str">
        <f>"7F6"</f>
        <v>7F6</v>
      </c>
      <c r="L4250" t="s">
        <v>15</v>
      </c>
    </row>
    <row r="4251" spans="1:12" x14ac:dyDescent="0.25">
      <c r="A4251" t="str">
        <f>"466201468"</f>
        <v>466201468</v>
      </c>
      <c r="B4251" t="str">
        <f t="shared" si="251"/>
        <v>89301000</v>
      </c>
      <c r="C4251" s="1">
        <v>44257</v>
      </c>
      <c r="D4251" s="1">
        <v>44258</v>
      </c>
      <c r="E4251">
        <v>1</v>
      </c>
      <c r="F4251" t="s">
        <v>2062</v>
      </c>
      <c r="G4251" t="str">
        <f>"06-K15-02"</f>
        <v>06-K15-02</v>
      </c>
      <c r="H4251">
        <v>0.2777</v>
      </c>
      <c r="I4251" t="s">
        <v>3077</v>
      </c>
      <c r="J4251" t="s">
        <v>14</v>
      </c>
      <c r="K4251" t="str">
        <f>"1F5"</f>
        <v>1F5</v>
      </c>
      <c r="L4251" t="s">
        <v>15</v>
      </c>
    </row>
    <row r="4252" spans="1:12" x14ac:dyDescent="0.25">
      <c r="A4252" t="str">
        <f>"466209130"</f>
        <v>466209130</v>
      </c>
      <c r="B4252" t="str">
        <f t="shared" si="251"/>
        <v>89301000</v>
      </c>
      <c r="C4252" s="1">
        <v>44318</v>
      </c>
      <c r="D4252" s="1">
        <v>44323</v>
      </c>
      <c r="E4252">
        <v>1</v>
      </c>
      <c r="F4252" t="s">
        <v>1699</v>
      </c>
      <c r="G4252" t="str">
        <f>"01-K10-03"</f>
        <v>01-K10-03</v>
      </c>
      <c r="H4252">
        <v>1.0016</v>
      </c>
      <c r="I4252" t="s">
        <v>3078</v>
      </c>
      <c r="J4252" t="s">
        <v>14</v>
      </c>
      <c r="K4252" t="str">
        <f>"2F9"</f>
        <v>2F9</v>
      </c>
      <c r="L4252" t="s">
        <v>15</v>
      </c>
    </row>
    <row r="4253" spans="1:12" x14ac:dyDescent="0.25">
      <c r="A4253" t="str">
        <f>"466210457"</f>
        <v>466210457</v>
      </c>
      <c r="B4253" t="str">
        <f t="shared" si="251"/>
        <v>89301000</v>
      </c>
      <c r="C4253" s="1">
        <v>44444</v>
      </c>
      <c r="D4253" s="1">
        <v>44447</v>
      </c>
      <c r="E4253">
        <v>1</v>
      </c>
      <c r="F4253" t="s">
        <v>496</v>
      </c>
      <c r="G4253" t="str">
        <f>"08-M03-05"</f>
        <v>08-M03-05</v>
      </c>
      <c r="H4253">
        <v>0.51759999999999995</v>
      </c>
      <c r="I4253" t="s">
        <v>2407</v>
      </c>
      <c r="J4253" t="s">
        <v>14</v>
      </c>
      <c r="K4253" t="str">
        <f>"6F6"</f>
        <v>6F6</v>
      </c>
      <c r="L4253" t="s">
        <v>15</v>
      </c>
    </row>
    <row r="4254" spans="1:12" x14ac:dyDescent="0.25">
      <c r="A4254" t="str">
        <f>"466229442"</f>
        <v>466229442</v>
      </c>
      <c r="B4254" t="str">
        <f t="shared" si="251"/>
        <v>89301000</v>
      </c>
      <c r="C4254" s="1">
        <v>44425</v>
      </c>
      <c r="D4254" s="1">
        <v>44442</v>
      </c>
      <c r="E4254">
        <v>1</v>
      </c>
      <c r="F4254" t="s">
        <v>920</v>
      </c>
      <c r="G4254" t="str">
        <f>"01-I06-04"</f>
        <v>01-I06-04</v>
      </c>
      <c r="H4254">
        <v>3.6231</v>
      </c>
      <c r="I4254" t="s">
        <v>3079</v>
      </c>
      <c r="J4254" t="s">
        <v>17</v>
      </c>
      <c r="K4254" t="str">
        <f>"5F6"</f>
        <v>5F6</v>
      </c>
      <c r="L4254" t="s">
        <v>15</v>
      </c>
    </row>
    <row r="4255" spans="1:12" x14ac:dyDescent="0.25">
      <c r="A4255" t="str">
        <f>"466230438"</f>
        <v>466230438</v>
      </c>
      <c r="B4255" t="str">
        <f t="shared" si="251"/>
        <v>89301000</v>
      </c>
      <c r="C4255" s="1">
        <v>44404</v>
      </c>
      <c r="D4255" s="1">
        <v>44405</v>
      </c>
      <c r="E4255">
        <v>1</v>
      </c>
      <c r="F4255" t="s">
        <v>1875</v>
      </c>
      <c r="G4255" t="str">
        <f>"05-D01-06"</f>
        <v>05-D01-06</v>
      </c>
      <c r="H4255">
        <v>0.7611</v>
      </c>
      <c r="I4255" t="s">
        <v>489</v>
      </c>
      <c r="J4255" t="s">
        <v>14</v>
      </c>
      <c r="K4255" t="str">
        <f>"1F7"</f>
        <v>1F7</v>
      </c>
      <c r="L4255" t="s">
        <v>15</v>
      </c>
    </row>
    <row r="4256" spans="1:12" x14ac:dyDescent="0.25">
      <c r="A4256" t="str">
        <f>"466230438"</f>
        <v>466230438</v>
      </c>
      <c r="B4256" t="str">
        <f t="shared" si="251"/>
        <v>89301000</v>
      </c>
      <c r="C4256" s="1">
        <v>44432</v>
      </c>
      <c r="D4256" s="1">
        <v>44433</v>
      </c>
      <c r="E4256">
        <v>1</v>
      </c>
      <c r="F4256" t="s">
        <v>3080</v>
      </c>
      <c r="G4256" t="str">
        <f>"02-I13-01"</f>
        <v>02-I13-01</v>
      </c>
      <c r="H4256">
        <v>0.69720000000000004</v>
      </c>
      <c r="I4256" t="s">
        <v>1959</v>
      </c>
      <c r="J4256" t="s">
        <v>14</v>
      </c>
      <c r="K4256" t="str">
        <f>"7F5"</f>
        <v>7F5</v>
      </c>
      <c r="L4256" t="s">
        <v>15</v>
      </c>
    </row>
    <row r="4257" spans="1:12" x14ac:dyDescent="0.25">
      <c r="A4257" t="str">
        <f>"470102407"</f>
        <v>470102407</v>
      </c>
      <c r="B4257" t="str">
        <f t="shared" si="251"/>
        <v>89301000</v>
      </c>
      <c r="C4257" s="1">
        <v>44551</v>
      </c>
      <c r="D4257" s="1">
        <v>44557</v>
      </c>
      <c r="E4257">
        <v>1</v>
      </c>
      <c r="F4257" t="s">
        <v>1557</v>
      </c>
      <c r="G4257" t="str">
        <f>"05-I14-01"</f>
        <v>05-I14-01</v>
      </c>
      <c r="H4257">
        <v>10.0059</v>
      </c>
      <c r="I4257" t="s">
        <v>3081</v>
      </c>
      <c r="J4257" t="s">
        <v>14</v>
      </c>
      <c r="K4257" t="str">
        <f>"1F1"</f>
        <v>1F1</v>
      </c>
      <c r="L4257" t="s">
        <v>15</v>
      </c>
    </row>
    <row r="4258" spans="1:12" x14ac:dyDescent="0.25">
      <c r="A4258" t="str">
        <f>"470118408"</f>
        <v>470118408</v>
      </c>
      <c r="B4258" t="str">
        <f t="shared" si="251"/>
        <v>89301000</v>
      </c>
      <c r="C4258" s="1">
        <v>44372</v>
      </c>
      <c r="D4258" s="1">
        <v>44373</v>
      </c>
      <c r="E4258">
        <v>1</v>
      </c>
      <c r="F4258" t="s">
        <v>1557</v>
      </c>
      <c r="G4258" t="str">
        <f>"05-D01-08"</f>
        <v>05-D01-08</v>
      </c>
      <c r="H4258">
        <v>0.4093</v>
      </c>
      <c r="J4258" t="s">
        <v>14</v>
      </c>
      <c r="K4258" t="str">
        <f>"1F1"</f>
        <v>1F1</v>
      </c>
      <c r="L4258" t="s">
        <v>15</v>
      </c>
    </row>
    <row r="4259" spans="1:12" x14ac:dyDescent="0.25">
      <c r="A4259" t="str">
        <f>"470118408"</f>
        <v>470118408</v>
      </c>
      <c r="B4259" t="str">
        <f t="shared" si="251"/>
        <v>89301000</v>
      </c>
      <c r="C4259" s="1">
        <v>44378</v>
      </c>
      <c r="D4259" s="1">
        <v>44382</v>
      </c>
      <c r="E4259">
        <v>1</v>
      </c>
      <c r="F4259" t="s">
        <v>2350</v>
      </c>
      <c r="G4259" t="str">
        <f>"01-I09-02"</f>
        <v>01-I09-02</v>
      </c>
      <c r="H4259">
        <v>1.5302</v>
      </c>
      <c r="J4259" t="s">
        <v>17</v>
      </c>
      <c r="K4259" t="str">
        <f>"5F6"</f>
        <v>5F6</v>
      </c>
      <c r="L4259" t="s">
        <v>15</v>
      </c>
    </row>
    <row r="4260" spans="1:12" x14ac:dyDescent="0.25">
      <c r="A4260" t="str">
        <f>"470118408"</f>
        <v>470118408</v>
      </c>
      <c r="B4260" t="str">
        <f t="shared" si="251"/>
        <v>89301000</v>
      </c>
      <c r="C4260" s="1">
        <v>44412</v>
      </c>
      <c r="D4260" s="1">
        <v>44419</v>
      </c>
      <c r="E4260">
        <v>1</v>
      </c>
      <c r="F4260" t="s">
        <v>1557</v>
      </c>
      <c r="G4260" t="str">
        <f>"05-I16-06"</f>
        <v>05-I16-06</v>
      </c>
      <c r="H4260">
        <v>5.2988</v>
      </c>
      <c r="I4260" t="s">
        <v>1606</v>
      </c>
      <c r="J4260" t="s">
        <v>17</v>
      </c>
      <c r="K4260" t="str">
        <f>"5F5"</f>
        <v>5F5</v>
      </c>
      <c r="L4260" t="s">
        <v>15</v>
      </c>
    </row>
    <row r="4261" spans="1:12" x14ac:dyDescent="0.25">
      <c r="A4261" t="str">
        <f>"470125450"</f>
        <v>470125450</v>
      </c>
      <c r="B4261" t="str">
        <f t="shared" si="251"/>
        <v>89301000</v>
      </c>
      <c r="C4261" s="1">
        <v>44257</v>
      </c>
      <c r="D4261" s="1">
        <v>44266</v>
      </c>
      <c r="E4261">
        <v>1</v>
      </c>
      <c r="F4261" t="s">
        <v>1563</v>
      </c>
      <c r="G4261" t="str">
        <f>"05-I14-02"</f>
        <v>05-I14-02</v>
      </c>
      <c r="H4261">
        <v>6.3216999999999999</v>
      </c>
      <c r="I4261" t="s">
        <v>3082</v>
      </c>
      <c r="J4261" t="s">
        <v>14</v>
      </c>
      <c r="K4261" t="str">
        <f>"1F1"</f>
        <v>1F1</v>
      </c>
      <c r="L4261" t="s">
        <v>15</v>
      </c>
    </row>
    <row r="4262" spans="1:12" x14ac:dyDescent="0.25">
      <c r="A4262" t="str">
        <f>"470129416"</f>
        <v>470129416</v>
      </c>
      <c r="B4262" t="str">
        <f t="shared" si="251"/>
        <v>89301000</v>
      </c>
      <c r="C4262" s="1">
        <v>44243</v>
      </c>
      <c r="D4262" s="1">
        <v>44244</v>
      </c>
      <c r="E4262">
        <v>5</v>
      </c>
      <c r="F4262" t="s">
        <v>3083</v>
      </c>
      <c r="G4262" t="str">
        <f>"04-K10-02"</f>
        <v>04-K10-02</v>
      </c>
      <c r="H4262">
        <v>0.38879999999999998</v>
      </c>
      <c r="J4262" t="s">
        <v>14</v>
      </c>
      <c r="K4262" t="str">
        <f>"5F1"</f>
        <v>5F1</v>
      </c>
      <c r="L4262" t="s">
        <v>15</v>
      </c>
    </row>
    <row r="4263" spans="1:12" x14ac:dyDescent="0.25">
      <c r="A4263" t="str">
        <f>"470131405"</f>
        <v>470131405</v>
      </c>
      <c r="B4263" t="str">
        <f t="shared" si="251"/>
        <v>89301000</v>
      </c>
      <c r="C4263" s="1">
        <v>44523</v>
      </c>
      <c r="D4263" s="1">
        <v>44558</v>
      </c>
      <c r="E4263">
        <v>1</v>
      </c>
      <c r="F4263" t="s">
        <v>2177</v>
      </c>
      <c r="G4263" t="str">
        <f>"01-K04-02"</f>
        <v>01-K04-02</v>
      </c>
      <c r="H4263">
        <v>1.9355</v>
      </c>
      <c r="I4263" t="s">
        <v>3084</v>
      </c>
      <c r="J4263" t="s">
        <v>14</v>
      </c>
      <c r="K4263" t="str">
        <f>"3F5"</f>
        <v>3F5</v>
      </c>
      <c r="L4263" t="s">
        <v>15</v>
      </c>
    </row>
    <row r="4264" spans="1:12" x14ac:dyDescent="0.25">
      <c r="A4264" t="str">
        <f>"470131428"</f>
        <v>470131428</v>
      </c>
      <c r="B4264" t="str">
        <f t="shared" si="251"/>
        <v>89301000</v>
      </c>
      <c r="C4264" s="1">
        <v>44523</v>
      </c>
      <c r="D4264" s="1">
        <v>44524</v>
      </c>
      <c r="E4264">
        <v>1</v>
      </c>
      <c r="F4264" t="s">
        <v>3085</v>
      </c>
      <c r="G4264" t="str">
        <f>"06-M01-05"</f>
        <v>06-M01-05</v>
      </c>
      <c r="H4264">
        <v>0.41710000000000003</v>
      </c>
      <c r="I4264" t="s">
        <v>3086</v>
      </c>
      <c r="J4264" t="s">
        <v>14</v>
      </c>
      <c r="K4264" t="str">
        <f>"1F5"</f>
        <v>1F5</v>
      </c>
      <c r="L4264" t="s">
        <v>15</v>
      </c>
    </row>
    <row r="4265" spans="1:12" x14ac:dyDescent="0.25">
      <c r="A4265" t="str">
        <f>"470215404"</f>
        <v>470215404</v>
      </c>
      <c r="B4265" t="str">
        <f t="shared" si="251"/>
        <v>89301000</v>
      </c>
      <c r="C4265" s="1">
        <v>44488</v>
      </c>
      <c r="D4265" s="1">
        <v>44503</v>
      </c>
      <c r="E4265">
        <v>1</v>
      </c>
      <c r="F4265" t="s">
        <v>3087</v>
      </c>
      <c r="G4265" t="str">
        <f>"01-K07-02"</f>
        <v>01-K07-02</v>
      </c>
      <c r="H4265">
        <v>1.1349</v>
      </c>
      <c r="I4265" t="s">
        <v>3088</v>
      </c>
      <c r="J4265" t="s">
        <v>14</v>
      </c>
      <c r="K4265" t="str">
        <f>"2F9"</f>
        <v>2F9</v>
      </c>
      <c r="L4265" t="s">
        <v>15</v>
      </c>
    </row>
    <row r="4266" spans="1:12" x14ac:dyDescent="0.25">
      <c r="A4266" t="str">
        <f>"470215404"</f>
        <v>470215404</v>
      </c>
      <c r="B4266" t="str">
        <f t="shared" si="251"/>
        <v>89301000</v>
      </c>
      <c r="C4266" s="1">
        <v>44342</v>
      </c>
      <c r="D4266" s="1">
        <v>44344</v>
      </c>
      <c r="E4266">
        <v>1</v>
      </c>
      <c r="F4266" t="s">
        <v>197</v>
      </c>
      <c r="G4266" t="str">
        <f>"03-I18-02"</f>
        <v>03-I18-02</v>
      </c>
      <c r="H4266">
        <v>0.84370000000000001</v>
      </c>
      <c r="I4266" t="s">
        <v>3089</v>
      </c>
      <c r="J4266" t="s">
        <v>24</v>
      </c>
      <c r="K4266" t="str">
        <f>"7F1"</f>
        <v>7F1</v>
      </c>
      <c r="L4266" t="s">
        <v>15</v>
      </c>
    </row>
    <row r="4267" spans="1:12" x14ac:dyDescent="0.25">
      <c r="A4267" t="str">
        <f>"470217404"</f>
        <v>470217404</v>
      </c>
      <c r="B4267" t="str">
        <f t="shared" si="251"/>
        <v>89301000</v>
      </c>
      <c r="C4267" s="1">
        <v>44335</v>
      </c>
      <c r="D4267" s="1">
        <v>44336</v>
      </c>
      <c r="E4267">
        <v>1</v>
      </c>
      <c r="F4267" t="s">
        <v>3090</v>
      </c>
      <c r="G4267" t="str">
        <f>"09-I13-03"</f>
        <v>09-I13-03</v>
      </c>
      <c r="H4267">
        <v>0.77380000000000004</v>
      </c>
      <c r="J4267" t="s">
        <v>14</v>
      </c>
      <c r="K4267" t="str">
        <f>"5F3"</f>
        <v>5F3</v>
      </c>
      <c r="L4267" t="s">
        <v>15</v>
      </c>
    </row>
    <row r="4268" spans="1:12" x14ac:dyDescent="0.25">
      <c r="A4268" t="str">
        <f>"470217404"</f>
        <v>470217404</v>
      </c>
      <c r="B4268" t="str">
        <f t="shared" si="251"/>
        <v>89301000</v>
      </c>
      <c r="C4268" s="1">
        <v>44326</v>
      </c>
      <c r="D4268" s="1">
        <v>44331</v>
      </c>
      <c r="E4268">
        <v>1</v>
      </c>
      <c r="F4268" t="s">
        <v>3090</v>
      </c>
      <c r="G4268" t="str">
        <f>"09-K01-04"</f>
        <v>09-K01-04</v>
      </c>
      <c r="H4268">
        <v>0.57820000000000005</v>
      </c>
      <c r="J4268" t="s">
        <v>14</v>
      </c>
      <c r="K4268" t="str">
        <f>"5F3"</f>
        <v>5F3</v>
      </c>
      <c r="L4268" t="s">
        <v>15</v>
      </c>
    </row>
    <row r="4269" spans="1:12" x14ac:dyDescent="0.25">
      <c r="A4269" t="str">
        <f>"470221402"</f>
        <v>470221402</v>
      </c>
      <c r="B4269" t="str">
        <f t="shared" si="251"/>
        <v>89301000</v>
      </c>
      <c r="C4269" s="1">
        <v>44344</v>
      </c>
      <c r="D4269" s="1">
        <v>44351</v>
      </c>
      <c r="E4269">
        <v>1</v>
      </c>
      <c r="F4269" t="s">
        <v>1240</v>
      </c>
      <c r="G4269" t="str">
        <f>"11-K01-03"</f>
        <v>11-K01-03</v>
      </c>
      <c r="H4269">
        <v>0.59489999999999998</v>
      </c>
      <c r="I4269" t="s">
        <v>3091</v>
      </c>
      <c r="J4269" t="s">
        <v>14</v>
      </c>
      <c r="K4269" t="str">
        <f>"1F1"</f>
        <v>1F1</v>
      </c>
      <c r="L4269" t="s">
        <v>15</v>
      </c>
    </row>
    <row r="4270" spans="1:12" x14ac:dyDescent="0.25">
      <c r="A4270" t="str">
        <f>"470222405"</f>
        <v>470222405</v>
      </c>
      <c r="B4270" t="str">
        <f t="shared" si="251"/>
        <v>89301000</v>
      </c>
      <c r="C4270" s="1">
        <v>44452</v>
      </c>
      <c r="D4270" s="1">
        <v>44459</v>
      </c>
      <c r="E4270">
        <v>1</v>
      </c>
      <c r="F4270" t="s">
        <v>2931</v>
      </c>
      <c r="G4270" t="str">
        <f>"07-K04-03"</f>
        <v>07-K04-03</v>
      </c>
      <c r="H4270">
        <v>1.0898000000000001</v>
      </c>
      <c r="I4270" t="s">
        <v>3092</v>
      </c>
      <c r="J4270" t="s">
        <v>14</v>
      </c>
      <c r="K4270" t="str">
        <f>"1F1"</f>
        <v>1F1</v>
      </c>
      <c r="L4270" t="s">
        <v>15</v>
      </c>
    </row>
    <row r="4271" spans="1:12" x14ac:dyDescent="0.25">
      <c r="A4271" t="str">
        <f>"470222405"</f>
        <v>470222405</v>
      </c>
      <c r="B4271" t="str">
        <f t="shared" si="251"/>
        <v>89301000</v>
      </c>
      <c r="C4271" s="1">
        <v>44521</v>
      </c>
      <c r="D4271" s="1">
        <v>44530</v>
      </c>
      <c r="E4271">
        <v>1</v>
      </c>
      <c r="F4271" t="s">
        <v>2931</v>
      </c>
      <c r="G4271" t="str">
        <f>"07-K04-03"</f>
        <v>07-K04-03</v>
      </c>
      <c r="H4271">
        <v>1.0898000000000001</v>
      </c>
      <c r="I4271" t="s">
        <v>3093</v>
      </c>
      <c r="J4271" t="s">
        <v>14</v>
      </c>
      <c r="K4271" t="str">
        <f>"1F1"</f>
        <v>1F1</v>
      </c>
      <c r="L4271" t="s">
        <v>15</v>
      </c>
    </row>
    <row r="4272" spans="1:12" x14ac:dyDescent="0.25">
      <c r="A4272" t="str">
        <f>"470226162"</f>
        <v>470226162</v>
      </c>
      <c r="B4272" t="str">
        <f t="shared" si="251"/>
        <v>89301000</v>
      </c>
      <c r="C4272" s="1">
        <v>44445</v>
      </c>
      <c r="D4272" s="1">
        <v>44455</v>
      </c>
      <c r="E4272">
        <v>1</v>
      </c>
      <c r="F4272" t="s">
        <v>2910</v>
      </c>
      <c r="G4272" t="str">
        <f>"06-I05-04"</f>
        <v>06-I05-04</v>
      </c>
      <c r="H4272">
        <v>3.3546</v>
      </c>
      <c r="I4272" t="s">
        <v>3094</v>
      </c>
      <c r="J4272" t="s">
        <v>17</v>
      </c>
      <c r="K4272" t="str">
        <f>"5F1"</f>
        <v>5F1</v>
      </c>
      <c r="L4272" t="s">
        <v>15</v>
      </c>
    </row>
    <row r="4273" spans="1:12" x14ac:dyDescent="0.25">
      <c r="A4273" t="str">
        <f>"470302431"</f>
        <v>470302431</v>
      </c>
      <c r="B4273" t="str">
        <f t="shared" si="251"/>
        <v>89301000</v>
      </c>
      <c r="C4273" s="1">
        <v>44371</v>
      </c>
      <c r="D4273" s="1">
        <v>44374</v>
      </c>
      <c r="E4273">
        <v>1</v>
      </c>
      <c r="F4273" t="s">
        <v>1991</v>
      </c>
      <c r="G4273" t="str">
        <f>"12-M02-02"</f>
        <v>12-M02-02</v>
      </c>
      <c r="H4273">
        <v>0.995</v>
      </c>
      <c r="I4273" t="s">
        <v>3095</v>
      </c>
      <c r="J4273" t="s">
        <v>24</v>
      </c>
      <c r="K4273" t="str">
        <f>"7F6"</f>
        <v>7F6</v>
      </c>
      <c r="L4273" t="s">
        <v>15</v>
      </c>
    </row>
    <row r="4274" spans="1:12" x14ac:dyDescent="0.25">
      <c r="A4274" t="str">
        <f>"470304404"</f>
        <v>470304404</v>
      </c>
      <c r="B4274" t="str">
        <f t="shared" si="251"/>
        <v>89301000</v>
      </c>
      <c r="C4274" s="1">
        <v>44202</v>
      </c>
      <c r="D4274" s="1">
        <v>44218</v>
      </c>
      <c r="E4274">
        <v>5</v>
      </c>
      <c r="F4274" t="s">
        <v>3096</v>
      </c>
      <c r="G4274" t="str">
        <f>"03-K09-01"</f>
        <v>03-K09-01</v>
      </c>
      <c r="H4274">
        <v>0.86750000000000005</v>
      </c>
      <c r="I4274" t="s">
        <v>3097</v>
      </c>
      <c r="J4274" t="s">
        <v>14</v>
      </c>
      <c r="K4274" t="str">
        <f>"5F1"</f>
        <v>5F1</v>
      </c>
      <c r="L4274" t="s">
        <v>15</v>
      </c>
    </row>
    <row r="4275" spans="1:12" x14ac:dyDescent="0.25">
      <c r="A4275" t="str">
        <f>"470306406"</f>
        <v>470306406</v>
      </c>
      <c r="B4275" t="str">
        <f t="shared" si="251"/>
        <v>89301000</v>
      </c>
      <c r="C4275" s="1">
        <v>44462</v>
      </c>
      <c r="D4275" s="1">
        <v>44464</v>
      </c>
      <c r="E4275">
        <v>1</v>
      </c>
      <c r="F4275" t="s">
        <v>3098</v>
      </c>
      <c r="G4275" t="str">
        <f>"12-I08-03"</f>
        <v>12-I08-03</v>
      </c>
      <c r="H4275">
        <v>0.7036</v>
      </c>
      <c r="I4275" t="s">
        <v>3099</v>
      </c>
      <c r="J4275" t="s">
        <v>14</v>
      </c>
      <c r="K4275" t="str">
        <f>"7F6"</f>
        <v>7F6</v>
      </c>
      <c r="L4275" t="s">
        <v>15</v>
      </c>
    </row>
    <row r="4276" spans="1:12" x14ac:dyDescent="0.25">
      <c r="A4276" t="str">
        <f>"470309408"</f>
        <v>470309408</v>
      </c>
      <c r="B4276" t="str">
        <f t="shared" si="251"/>
        <v>89301000</v>
      </c>
      <c r="C4276" s="1">
        <v>44532</v>
      </c>
      <c r="D4276" s="1">
        <v>44533</v>
      </c>
      <c r="E4276">
        <v>1</v>
      </c>
      <c r="F4276" t="s">
        <v>1557</v>
      </c>
      <c r="G4276" t="str">
        <f>"05-M06-08"</f>
        <v>05-M06-08</v>
      </c>
      <c r="H4276">
        <v>1.4719</v>
      </c>
      <c r="J4276" t="s">
        <v>17</v>
      </c>
      <c r="K4276" t="str">
        <f>"1F1"</f>
        <v>1F1</v>
      </c>
      <c r="L4276" t="s">
        <v>15</v>
      </c>
    </row>
    <row r="4277" spans="1:12" x14ac:dyDescent="0.25">
      <c r="A4277" t="str">
        <f>"470309408"</f>
        <v>470309408</v>
      </c>
      <c r="B4277" t="str">
        <f t="shared" si="251"/>
        <v>89301000</v>
      </c>
      <c r="C4277" s="1">
        <v>44452</v>
      </c>
      <c r="D4277" s="1">
        <v>44463</v>
      </c>
      <c r="E4277">
        <v>1</v>
      </c>
      <c r="F4277" t="s">
        <v>2052</v>
      </c>
      <c r="G4277" t="str">
        <f>"05-I18-04"</f>
        <v>05-I18-04</v>
      </c>
      <c r="H4277">
        <v>3.6120999999999999</v>
      </c>
      <c r="I4277" t="s">
        <v>489</v>
      </c>
      <c r="J4277" t="s">
        <v>14</v>
      </c>
      <c r="K4277" t="str">
        <f>"5F1"</f>
        <v>5F1</v>
      </c>
      <c r="L4277" t="s">
        <v>15</v>
      </c>
    </row>
    <row r="4278" spans="1:12" x14ac:dyDescent="0.25">
      <c r="A4278" t="str">
        <f>"470311409"</f>
        <v>470311409</v>
      </c>
      <c r="B4278" t="str">
        <f t="shared" si="251"/>
        <v>89301000</v>
      </c>
      <c r="C4278" s="1">
        <v>44413</v>
      </c>
      <c r="D4278" s="1">
        <v>44416</v>
      </c>
      <c r="E4278">
        <v>1</v>
      </c>
      <c r="F4278" t="s">
        <v>1927</v>
      </c>
      <c r="G4278" t="str">
        <f>"05-I29-03"</f>
        <v>05-I29-03</v>
      </c>
      <c r="H4278">
        <v>0.94369999999999998</v>
      </c>
      <c r="I4278" t="s">
        <v>1588</v>
      </c>
      <c r="J4278" t="s">
        <v>14</v>
      </c>
      <c r="K4278" t="str">
        <f>"5F1"</f>
        <v>5F1</v>
      </c>
      <c r="L4278" t="s">
        <v>15</v>
      </c>
    </row>
    <row r="4279" spans="1:12" x14ac:dyDescent="0.25">
      <c r="A4279" t="str">
        <f>"470311409"</f>
        <v>470311409</v>
      </c>
      <c r="B4279" t="str">
        <f t="shared" si="251"/>
        <v>89301000</v>
      </c>
      <c r="C4279" s="1">
        <v>44536</v>
      </c>
      <c r="D4279" s="1">
        <v>44540</v>
      </c>
      <c r="E4279">
        <v>1</v>
      </c>
      <c r="F4279" t="s">
        <v>302</v>
      </c>
      <c r="G4279" t="str">
        <f>"10-K15-01"</f>
        <v>10-K15-01</v>
      </c>
      <c r="H4279">
        <v>1.8310999999999999</v>
      </c>
      <c r="I4279" t="s">
        <v>3100</v>
      </c>
      <c r="J4279" t="s">
        <v>14</v>
      </c>
      <c r="K4279" t="str">
        <f>"1F1"</f>
        <v>1F1</v>
      </c>
      <c r="L4279" t="s">
        <v>15</v>
      </c>
    </row>
    <row r="4280" spans="1:12" x14ac:dyDescent="0.25">
      <c r="A4280" t="str">
        <f>"470311424"</f>
        <v>470311424</v>
      </c>
      <c r="B4280" t="str">
        <f t="shared" si="251"/>
        <v>89301000</v>
      </c>
      <c r="C4280" s="1">
        <v>44312</v>
      </c>
      <c r="D4280" s="1">
        <v>44312</v>
      </c>
      <c r="E4280">
        <v>1</v>
      </c>
      <c r="F4280" t="s">
        <v>1842</v>
      </c>
      <c r="G4280" t="str">
        <f>"05-I14-03"</f>
        <v>05-I14-03</v>
      </c>
      <c r="H4280">
        <v>5.8045</v>
      </c>
      <c r="I4280" t="s">
        <v>3101</v>
      </c>
      <c r="J4280" t="s">
        <v>14</v>
      </c>
      <c r="K4280" t="str">
        <f>"1F1"</f>
        <v>1F1</v>
      </c>
      <c r="L4280" t="s">
        <v>15</v>
      </c>
    </row>
    <row r="4281" spans="1:12" x14ac:dyDescent="0.25">
      <c r="A4281" t="str">
        <f>"470312404"</f>
        <v>470312404</v>
      </c>
      <c r="B4281" t="str">
        <f t="shared" si="251"/>
        <v>89301000</v>
      </c>
      <c r="C4281" s="1">
        <v>44452</v>
      </c>
      <c r="D4281" s="1">
        <v>44471</v>
      </c>
      <c r="E4281">
        <v>7</v>
      </c>
      <c r="F4281" t="s">
        <v>2462</v>
      </c>
      <c r="G4281" t="str">
        <f>"00-M02-02"</f>
        <v>00-M02-02</v>
      </c>
      <c r="H4281">
        <v>20.237200000000001</v>
      </c>
      <c r="I4281" t="s">
        <v>3102</v>
      </c>
      <c r="J4281" t="s">
        <v>14</v>
      </c>
      <c r="K4281" t="str">
        <f>"5T1"</f>
        <v>5T1</v>
      </c>
      <c r="L4281" t="s">
        <v>15</v>
      </c>
    </row>
    <row r="4282" spans="1:12" x14ac:dyDescent="0.25">
      <c r="A4282" t="str">
        <f>"470313406"</f>
        <v>470313406</v>
      </c>
      <c r="B4282" t="str">
        <f t="shared" si="251"/>
        <v>89301000</v>
      </c>
      <c r="C4282" s="1">
        <v>44240</v>
      </c>
      <c r="D4282" s="1">
        <v>44245</v>
      </c>
      <c r="E4282">
        <v>1</v>
      </c>
      <c r="F4282" t="s">
        <v>67</v>
      </c>
      <c r="G4282" t="str">
        <f>"01-K10-03"</f>
        <v>01-K10-03</v>
      </c>
      <c r="H4282">
        <v>1.0016</v>
      </c>
      <c r="I4282" t="s">
        <v>3103</v>
      </c>
      <c r="J4282" t="s">
        <v>14</v>
      </c>
      <c r="K4282" t="str">
        <f>"2F9"</f>
        <v>2F9</v>
      </c>
      <c r="L4282" t="s">
        <v>15</v>
      </c>
    </row>
    <row r="4283" spans="1:12" x14ac:dyDescent="0.25">
      <c r="A4283" t="str">
        <f>"470314481"</f>
        <v>470314481</v>
      </c>
      <c r="B4283" t="str">
        <f t="shared" si="251"/>
        <v>89301000</v>
      </c>
      <c r="C4283" s="1">
        <v>44496</v>
      </c>
      <c r="D4283" s="1">
        <v>44503</v>
      </c>
      <c r="E4283">
        <v>1</v>
      </c>
      <c r="F4283" t="s">
        <v>1581</v>
      </c>
      <c r="G4283" t="str">
        <f>"05-M07-04"</f>
        <v>05-M07-04</v>
      </c>
      <c r="H4283">
        <v>1.9209000000000001</v>
      </c>
      <c r="I4283" t="s">
        <v>3104</v>
      </c>
      <c r="J4283" t="s">
        <v>17</v>
      </c>
      <c r="K4283" t="str">
        <f>"5F1"</f>
        <v>5F1</v>
      </c>
      <c r="L4283" t="s">
        <v>15</v>
      </c>
    </row>
    <row r="4284" spans="1:12" x14ac:dyDescent="0.25">
      <c r="A4284" t="str">
        <f>"470314481"</f>
        <v>470314481</v>
      </c>
      <c r="B4284" t="str">
        <f t="shared" si="251"/>
        <v>89301000</v>
      </c>
      <c r="C4284" s="1">
        <v>44482</v>
      </c>
      <c r="D4284" s="1">
        <v>44488</v>
      </c>
      <c r="E4284">
        <v>1</v>
      </c>
      <c r="F4284" t="s">
        <v>1581</v>
      </c>
      <c r="G4284" t="str">
        <f>"05-K12-02"</f>
        <v>05-K12-02</v>
      </c>
      <c r="H4284">
        <v>0.53600000000000003</v>
      </c>
      <c r="I4284" t="s">
        <v>3105</v>
      </c>
      <c r="J4284" t="s">
        <v>14</v>
      </c>
      <c r="K4284" t="str">
        <f>"5F1"</f>
        <v>5F1</v>
      </c>
      <c r="L4284" t="s">
        <v>15</v>
      </c>
    </row>
    <row r="4285" spans="1:12" x14ac:dyDescent="0.25">
      <c r="A4285" t="str">
        <f>"470314481"</f>
        <v>470314481</v>
      </c>
      <c r="B4285" t="str">
        <f t="shared" si="251"/>
        <v>89301000</v>
      </c>
      <c r="C4285" s="1">
        <v>44400</v>
      </c>
      <c r="D4285" s="1">
        <v>44406</v>
      </c>
      <c r="E4285">
        <v>1</v>
      </c>
      <c r="F4285" t="s">
        <v>1581</v>
      </c>
      <c r="G4285" t="str">
        <f>"05-K12-02"</f>
        <v>05-K12-02</v>
      </c>
      <c r="H4285">
        <v>0.53600000000000003</v>
      </c>
      <c r="I4285" t="s">
        <v>3106</v>
      </c>
      <c r="J4285" t="s">
        <v>14</v>
      </c>
      <c r="K4285" t="str">
        <f>"5F1"</f>
        <v>5F1</v>
      </c>
      <c r="L4285" t="s">
        <v>15</v>
      </c>
    </row>
    <row r="4286" spans="1:12" x14ac:dyDescent="0.25">
      <c r="A4286" t="str">
        <f>"470316404"</f>
        <v>470316404</v>
      </c>
      <c r="B4286" t="str">
        <f t="shared" si="251"/>
        <v>89301000</v>
      </c>
      <c r="C4286" s="1">
        <v>44455</v>
      </c>
      <c r="D4286" s="1">
        <v>44459</v>
      </c>
      <c r="E4286">
        <v>1</v>
      </c>
      <c r="F4286" t="s">
        <v>31</v>
      </c>
      <c r="G4286" t="str">
        <f>"08-I04-02"</f>
        <v>08-I04-02</v>
      </c>
      <c r="H4286">
        <v>1.6718999999999999</v>
      </c>
      <c r="I4286" t="s">
        <v>1868</v>
      </c>
      <c r="J4286" t="s">
        <v>17</v>
      </c>
      <c r="K4286" t="str">
        <f>"5F6"</f>
        <v>5F6</v>
      </c>
      <c r="L4286" t="s">
        <v>15</v>
      </c>
    </row>
    <row r="4287" spans="1:12" x14ac:dyDescent="0.25">
      <c r="A4287" t="str">
        <f>"470318417"</f>
        <v>470318417</v>
      </c>
      <c r="B4287" t="str">
        <f t="shared" si="251"/>
        <v>89301000</v>
      </c>
      <c r="C4287" s="1">
        <v>44285</v>
      </c>
      <c r="D4287" s="1">
        <v>44292</v>
      </c>
      <c r="E4287">
        <v>1</v>
      </c>
      <c r="F4287" t="s">
        <v>217</v>
      </c>
      <c r="G4287" t="str">
        <f>"04-K02-04"</f>
        <v>04-K02-04</v>
      </c>
      <c r="H4287">
        <v>0.82469999999999999</v>
      </c>
      <c r="I4287" t="s">
        <v>3107</v>
      </c>
      <c r="J4287" t="s">
        <v>14</v>
      </c>
      <c r="K4287" t="str">
        <f>"5F1"</f>
        <v>5F1</v>
      </c>
      <c r="L4287" t="s">
        <v>15</v>
      </c>
    </row>
    <row r="4288" spans="1:12" x14ac:dyDescent="0.25">
      <c r="A4288" t="str">
        <f>"470318486"</f>
        <v>470318486</v>
      </c>
      <c r="B4288" t="str">
        <f t="shared" si="251"/>
        <v>89301000</v>
      </c>
      <c r="C4288" s="1">
        <v>44356</v>
      </c>
      <c r="D4288" s="1">
        <v>44357</v>
      </c>
      <c r="E4288">
        <v>1</v>
      </c>
      <c r="F4288" t="s">
        <v>1950</v>
      </c>
      <c r="G4288" t="str">
        <f>"02-I13-02"</f>
        <v>02-I13-02</v>
      </c>
      <c r="H4288">
        <v>0.376</v>
      </c>
      <c r="I4288" t="s">
        <v>3108</v>
      </c>
      <c r="J4288" t="s">
        <v>14</v>
      </c>
      <c r="K4288" t="str">
        <f>"7F5"</f>
        <v>7F5</v>
      </c>
      <c r="L4288" t="s">
        <v>15</v>
      </c>
    </row>
    <row r="4289" spans="1:12" x14ac:dyDescent="0.25">
      <c r="A4289" t="str">
        <f>"470325403"</f>
        <v>470325403</v>
      </c>
      <c r="B4289" t="str">
        <f t="shared" si="251"/>
        <v>89301000</v>
      </c>
      <c r="C4289" s="1">
        <v>44494</v>
      </c>
      <c r="D4289" s="1">
        <v>44502</v>
      </c>
      <c r="E4289">
        <v>1</v>
      </c>
      <c r="F4289" t="s">
        <v>92</v>
      </c>
      <c r="G4289" t="str">
        <f>"05-K15-02"</f>
        <v>05-K15-02</v>
      </c>
      <c r="H4289">
        <v>0.47510000000000002</v>
      </c>
      <c r="I4289" t="s">
        <v>3109</v>
      </c>
      <c r="J4289" t="s">
        <v>14</v>
      </c>
      <c r="K4289" t="str">
        <f>"2F9"</f>
        <v>2F9</v>
      </c>
      <c r="L4289" t="s">
        <v>15</v>
      </c>
    </row>
    <row r="4290" spans="1:12" x14ac:dyDescent="0.25">
      <c r="A4290" t="str">
        <f>"470326458"</f>
        <v>470326458</v>
      </c>
      <c r="B4290" t="str">
        <f t="shared" si="251"/>
        <v>89301000</v>
      </c>
      <c r="C4290" s="1">
        <v>44495</v>
      </c>
      <c r="D4290" s="1">
        <v>44499</v>
      </c>
      <c r="E4290">
        <v>1</v>
      </c>
      <c r="F4290" t="s">
        <v>593</v>
      </c>
      <c r="G4290" t="str">
        <f>"07-I10-04"</f>
        <v>07-I10-04</v>
      </c>
      <c r="H4290">
        <v>1.4336</v>
      </c>
      <c r="I4290" t="s">
        <v>2216</v>
      </c>
      <c r="J4290" t="s">
        <v>17</v>
      </c>
      <c r="K4290" t="str">
        <f>"5F1"</f>
        <v>5F1</v>
      </c>
      <c r="L4290" t="s">
        <v>15</v>
      </c>
    </row>
    <row r="4291" spans="1:12" x14ac:dyDescent="0.25">
      <c r="A4291" t="str">
        <f>"470407426"</f>
        <v>470407426</v>
      </c>
      <c r="B4291" t="str">
        <f t="shared" si="251"/>
        <v>89301000</v>
      </c>
      <c r="C4291" s="1">
        <v>44255</v>
      </c>
      <c r="D4291" s="1">
        <v>44260</v>
      </c>
      <c r="E4291">
        <v>1</v>
      </c>
      <c r="F4291" t="s">
        <v>2232</v>
      </c>
      <c r="G4291" t="str">
        <f>"11-I08-03"</f>
        <v>11-I08-03</v>
      </c>
      <c r="H4291">
        <v>2.0676999999999999</v>
      </c>
      <c r="I4291" t="s">
        <v>3110</v>
      </c>
      <c r="J4291" t="s">
        <v>17</v>
      </c>
      <c r="K4291" t="str">
        <f>"7F6"</f>
        <v>7F6</v>
      </c>
      <c r="L4291" t="s">
        <v>15</v>
      </c>
    </row>
    <row r="4292" spans="1:12" x14ac:dyDescent="0.25">
      <c r="A4292" t="str">
        <f>"470410415"</f>
        <v>470410415</v>
      </c>
      <c r="B4292" t="str">
        <f t="shared" si="251"/>
        <v>89301000</v>
      </c>
      <c r="C4292" s="1">
        <v>44370</v>
      </c>
      <c r="D4292" s="1">
        <v>44371</v>
      </c>
      <c r="E4292">
        <v>1</v>
      </c>
      <c r="F4292" t="s">
        <v>2524</v>
      </c>
      <c r="G4292" t="str">
        <f>"02-I08-02"</f>
        <v>02-I08-02</v>
      </c>
      <c r="H4292">
        <v>0.55269999999999997</v>
      </c>
      <c r="I4292" t="s">
        <v>3111</v>
      </c>
      <c r="J4292" t="s">
        <v>17</v>
      </c>
      <c r="K4292" t="str">
        <f>"7F5"</f>
        <v>7F5</v>
      </c>
      <c r="L4292" t="s">
        <v>15</v>
      </c>
    </row>
    <row r="4293" spans="1:12" x14ac:dyDescent="0.25">
      <c r="A4293" t="str">
        <f>"470414492"</f>
        <v>470414492</v>
      </c>
      <c r="B4293" t="str">
        <f t="shared" si="251"/>
        <v>89301000</v>
      </c>
      <c r="C4293" s="1">
        <v>44334</v>
      </c>
      <c r="D4293" s="1">
        <v>44335</v>
      </c>
      <c r="E4293">
        <v>1</v>
      </c>
      <c r="F4293" t="s">
        <v>1650</v>
      </c>
      <c r="G4293" t="str">
        <f>"88-I05-00"</f>
        <v>88-I05-00</v>
      </c>
      <c r="H4293">
        <v>0.11459999999999999</v>
      </c>
      <c r="I4293" t="s">
        <v>3112</v>
      </c>
      <c r="J4293" t="s">
        <v>14</v>
      </c>
      <c r="K4293" t="str">
        <f>"1F7"</f>
        <v>1F7</v>
      </c>
      <c r="L4293" t="s">
        <v>15</v>
      </c>
    </row>
    <row r="4294" spans="1:12" x14ac:dyDescent="0.25">
      <c r="A4294" t="str">
        <f>"470415470"</f>
        <v>470415470</v>
      </c>
      <c r="B4294" t="str">
        <f t="shared" si="251"/>
        <v>89301000</v>
      </c>
      <c r="C4294" s="1">
        <v>44512</v>
      </c>
      <c r="D4294" s="1">
        <v>44525</v>
      </c>
      <c r="E4294">
        <v>4</v>
      </c>
      <c r="F4294" t="s">
        <v>1558</v>
      </c>
      <c r="G4294" t="str">
        <f>"05-I12-01"</f>
        <v>05-I12-01</v>
      </c>
      <c r="H4294">
        <v>8.7683</v>
      </c>
      <c r="I4294" t="s">
        <v>2937</v>
      </c>
      <c r="J4294" t="s">
        <v>17</v>
      </c>
      <c r="K4294" t="str">
        <f>"5F5"</f>
        <v>5F5</v>
      </c>
      <c r="L4294" t="s">
        <v>15</v>
      </c>
    </row>
    <row r="4295" spans="1:12" x14ac:dyDescent="0.25">
      <c r="A4295" t="str">
        <f>"470415470"</f>
        <v>470415470</v>
      </c>
      <c r="B4295" t="str">
        <f t="shared" si="251"/>
        <v>89301000</v>
      </c>
      <c r="C4295" s="1">
        <v>44425</v>
      </c>
      <c r="D4295" s="1">
        <v>44426</v>
      </c>
      <c r="E4295">
        <v>1</v>
      </c>
      <c r="F4295" t="s">
        <v>1557</v>
      </c>
      <c r="G4295" t="str">
        <f>"05-D01-08"</f>
        <v>05-D01-08</v>
      </c>
      <c r="H4295">
        <v>0.4093</v>
      </c>
      <c r="I4295" t="s">
        <v>3113</v>
      </c>
      <c r="J4295" t="s">
        <v>14</v>
      </c>
      <c r="K4295" t="str">
        <f>"1F7"</f>
        <v>1F7</v>
      </c>
      <c r="L4295" t="s">
        <v>15</v>
      </c>
    </row>
    <row r="4296" spans="1:12" x14ac:dyDescent="0.25">
      <c r="A4296" t="str">
        <f>"470419422"</f>
        <v>470419422</v>
      </c>
      <c r="B4296" t="str">
        <f t="shared" si="251"/>
        <v>89301000</v>
      </c>
      <c r="C4296" s="1">
        <v>44349</v>
      </c>
      <c r="D4296" s="1">
        <v>44350</v>
      </c>
      <c r="E4296">
        <v>1</v>
      </c>
      <c r="F4296" t="s">
        <v>1558</v>
      </c>
      <c r="G4296" t="str">
        <f>"05-D01-06"</f>
        <v>05-D01-06</v>
      </c>
      <c r="H4296">
        <v>0.7611</v>
      </c>
      <c r="I4296" t="s">
        <v>489</v>
      </c>
      <c r="J4296" t="s">
        <v>14</v>
      </c>
      <c r="K4296" t="str">
        <f>"1F1"</f>
        <v>1F1</v>
      </c>
      <c r="L4296" t="s">
        <v>15</v>
      </c>
    </row>
    <row r="4297" spans="1:12" x14ac:dyDescent="0.25">
      <c r="A4297" t="str">
        <f>"470420183"</f>
        <v>470420183</v>
      </c>
      <c r="B4297" t="str">
        <f t="shared" si="251"/>
        <v>89301000</v>
      </c>
      <c r="C4297" s="1">
        <v>44462</v>
      </c>
      <c r="D4297" s="1">
        <v>44470</v>
      </c>
      <c r="E4297">
        <v>1</v>
      </c>
      <c r="F4297" t="s">
        <v>144</v>
      </c>
      <c r="G4297" t="str">
        <f>"04-K10-02"</f>
        <v>04-K10-02</v>
      </c>
      <c r="H4297">
        <v>0.50060000000000004</v>
      </c>
      <c r="I4297" t="s">
        <v>3114</v>
      </c>
      <c r="J4297" t="s">
        <v>14</v>
      </c>
      <c r="K4297" t="str">
        <f>"2F5"</f>
        <v>2F5</v>
      </c>
      <c r="L4297" t="s">
        <v>15</v>
      </c>
    </row>
    <row r="4298" spans="1:12" x14ac:dyDescent="0.25">
      <c r="A4298" t="str">
        <f>"470420183"</f>
        <v>470420183</v>
      </c>
      <c r="B4298" t="str">
        <f t="shared" si="251"/>
        <v>89301000</v>
      </c>
      <c r="C4298" s="1">
        <v>44480</v>
      </c>
      <c r="D4298" s="1">
        <v>44494</v>
      </c>
      <c r="E4298">
        <v>1</v>
      </c>
      <c r="F4298" t="s">
        <v>144</v>
      </c>
      <c r="G4298" t="str">
        <f>"04-I03-04"</f>
        <v>04-I03-04</v>
      </c>
      <c r="H4298">
        <v>2.5950000000000002</v>
      </c>
      <c r="I4298" t="s">
        <v>3115</v>
      </c>
      <c r="J4298" t="s">
        <v>106</v>
      </c>
      <c r="K4298" t="str">
        <f>"5F1"</f>
        <v>5F1</v>
      </c>
      <c r="L4298" t="s">
        <v>15</v>
      </c>
    </row>
    <row r="4299" spans="1:12" x14ac:dyDescent="0.25">
      <c r="A4299" t="str">
        <f>"470423016"</f>
        <v>470423016</v>
      </c>
      <c r="B4299" t="str">
        <f t="shared" si="251"/>
        <v>89301000</v>
      </c>
      <c r="C4299" s="1">
        <v>44323</v>
      </c>
      <c r="D4299" s="1">
        <v>44324</v>
      </c>
      <c r="E4299">
        <v>1</v>
      </c>
      <c r="F4299" t="s">
        <v>447</v>
      </c>
      <c r="G4299" t="str">
        <f>"11-I17-02"</f>
        <v>11-I17-02</v>
      </c>
      <c r="H4299">
        <v>0.78900000000000003</v>
      </c>
      <c r="I4299" t="s">
        <v>3116</v>
      </c>
      <c r="J4299" t="s">
        <v>14</v>
      </c>
      <c r="K4299" t="str">
        <f>"7F6"</f>
        <v>7F6</v>
      </c>
      <c r="L4299" t="s">
        <v>15</v>
      </c>
    </row>
    <row r="4300" spans="1:12" x14ac:dyDescent="0.25">
      <c r="A4300" t="str">
        <f>"470424718"</f>
        <v>470424718</v>
      </c>
      <c r="B4300" t="str">
        <f t="shared" si="251"/>
        <v>89301000</v>
      </c>
      <c r="C4300" s="1">
        <v>44350</v>
      </c>
      <c r="D4300" s="1">
        <v>44354</v>
      </c>
      <c r="E4300">
        <v>1</v>
      </c>
      <c r="F4300" t="s">
        <v>1927</v>
      </c>
      <c r="G4300" t="str">
        <f>"05-I29-03"</f>
        <v>05-I29-03</v>
      </c>
      <c r="H4300">
        <v>0.94369999999999998</v>
      </c>
      <c r="I4300" t="s">
        <v>2966</v>
      </c>
      <c r="J4300" t="s">
        <v>14</v>
      </c>
      <c r="K4300" t="str">
        <f>"5F1"</f>
        <v>5F1</v>
      </c>
      <c r="L4300" t="s">
        <v>15</v>
      </c>
    </row>
    <row r="4301" spans="1:12" x14ac:dyDescent="0.25">
      <c r="A4301" t="str">
        <f>"470424718"</f>
        <v>470424718</v>
      </c>
      <c r="B4301" t="str">
        <f t="shared" si="251"/>
        <v>89301000</v>
      </c>
      <c r="C4301" s="1">
        <v>44258</v>
      </c>
      <c r="D4301" s="1">
        <v>44260</v>
      </c>
      <c r="E4301">
        <v>1</v>
      </c>
      <c r="F4301" t="s">
        <v>1928</v>
      </c>
      <c r="G4301" t="str">
        <f>"11-I16-02"</f>
        <v>11-I16-02</v>
      </c>
      <c r="H4301">
        <v>0.49480000000000002</v>
      </c>
      <c r="I4301" t="s">
        <v>2979</v>
      </c>
      <c r="J4301" t="s">
        <v>14</v>
      </c>
      <c r="K4301" t="str">
        <f>"5F1"</f>
        <v>5F1</v>
      </c>
      <c r="L4301" t="s">
        <v>15</v>
      </c>
    </row>
    <row r="4302" spans="1:12" x14ac:dyDescent="0.25">
      <c r="A4302" t="str">
        <f>"470427467"</f>
        <v>470427467</v>
      </c>
      <c r="B4302" t="str">
        <f t="shared" si="251"/>
        <v>89301000</v>
      </c>
      <c r="C4302" s="1">
        <v>44214</v>
      </c>
      <c r="D4302" s="1">
        <v>44220</v>
      </c>
      <c r="E4302">
        <v>1</v>
      </c>
      <c r="F4302" t="s">
        <v>2585</v>
      </c>
      <c r="G4302" t="str">
        <f>"12-I02-01"</f>
        <v>12-I02-01</v>
      </c>
      <c r="H4302">
        <v>3.1240999999999999</v>
      </c>
      <c r="I4302" t="s">
        <v>3117</v>
      </c>
      <c r="J4302" t="s">
        <v>14</v>
      </c>
      <c r="K4302" t="str">
        <f>"7F6"</f>
        <v>7F6</v>
      </c>
      <c r="L4302" t="s">
        <v>15</v>
      </c>
    </row>
    <row r="4303" spans="1:12" x14ac:dyDescent="0.25">
      <c r="A4303" t="str">
        <f>"470512419"</f>
        <v>470512419</v>
      </c>
      <c r="B4303" t="str">
        <f t="shared" si="251"/>
        <v>89301000</v>
      </c>
      <c r="C4303" s="1">
        <v>44439</v>
      </c>
      <c r="D4303" s="1">
        <v>44442</v>
      </c>
      <c r="E4303">
        <v>1</v>
      </c>
      <c r="F4303" t="s">
        <v>335</v>
      </c>
      <c r="G4303" t="str">
        <f>"07-I10-06"</f>
        <v>07-I10-06</v>
      </c>
      <c r="H4303">
        <v>0.9728</v>
      </c>
      <c r="J4303" t="s">
        <v>17</v>
      </c>
      <c r="K4303" t="str">
        <f>"5F1"</f>
        <v>5F1</v>
      </c>
      <c r="L4303" t="s">
        <v>15</v>
      </c>
    </row>
    <row r="4304" spans="1:12" x14ac:dyDescent="0.25">
      <c r="A4304" t="str">
        <f>"470512419"</f>
        <v>470512419</v>
      </c>
      <c r="B4304" t="str">
        <f t="shared" si="251"/>
        <v>89301000</v>
      </c>
      <c r="C4304" s="1">
        <v>44411</v>
      </c>
      <c r="D4304" s="1">
        <v>44412</v>
      </c>
      <c r="E4304">
        <v>1</v>
      </c>
      <c r="F4304" t="s">
        <v>424</v>
      </c>
      <c r="G4304" t="str">
        <f>"07-M02-04"</f>
        <v>07-M02-04</v>
      </c>
      <c r="H4304">
        <v>0.96799999999999997</v>
      </c>
      <c r="I4304" t="s">
        <v>1561</v>
      </c>
      <c r="J4304" t="s">
        <v>17</v>
      </c>
      <c r="K4304" t="str">
        <f>"1F5"</f>
        <v>1F5</v>
      </c>
      <c r="L4304" t="s">
        <v>15</v>
      </c>
    </row>
    <row r="4305" spans="1:12" x14ac:dyDescent="0.25">
      <c r="A4305" t="str">
        <f>"470515408"</f>
        <v>470515408</v>
      </c>
      <c r="B4305" t="str">
        <f t="shared" si="251"/>
        <v>89301000</v>
      </c>
      <c r="C4305" s="1">
        <v>44287</v>
      </c>
      <c r="D4305" s="1">
        <v>44312</v>
      </c>
      <c r="E4305">
        <v>8</v>
      </c>
      <c r="F4305" t="s">
        <v>217</v>
      </c>
      <c r="G4305" t="str">
        <f>"00-M02-04"</f>
        <v>00-M02-04</v>
      </c>
      <c r="H4305">
        <v>12.071199999999999</v>
      </c>
      <c r="I4305" t="s">
        <v>3118</v>
      </c>
      <c r="J4305" t="s">
        <v>14</v>
      </c>
      <c r="K4305" t="str">
        <f>"1T1"</f>
        <v>1T1</v>
      </c>
      <c r="L4305" t="s">
        <v>15</v>
      </c>
    </row>
    <row r="4306" spans="1:12" x14ac:dyDescent="0.25">
      <c r="A4306" t="str">
        <f>"470519401"</f>
        <v>470519401</v>
      </c>
      <c r="B4306" t="str">
        <f t="shared" si="251"/>
        <v>89301000</v>
      </c>
      <c r="C4306" s="1">
        <v>44337</v>
      </c>
      <c r="D4306" s="1">
        <v>44338</v>
      </c>
      <c r="E4306">
        <v>1</v>
      </c>
      <c r="F4306" t="s">
        <v>2232</v>
      </c>
      <c r="G4306" t="str">
        <f>"11-K07-02"</f>
        <v>11-K07-02</v>
      </c>
      <c r="H4306">
        <v>0.4869</v>
      </c>
      <c r="I4306" t="s">
        <v>3119</v>
      </c>
      <c r="J4306" t="s">
        <v>14</v>
      </c>
      <c r="K4306" t="str">
        <f>"4F2"</f>
        <v>4F2</v>
      </c>
      <c r="L4306" t="s">
        <v>15</v>
      </c>
    </row>
    <row r="4307" spans="1:12" x14ac:dyDescent="0.25">
      <c r="A4307" t="str">
        <f>"470519401"</f>
        <v>470519401</v>
      </c>
      <c r="B4307" t="str">
        <f t="shared" ref="B4307:B4366" si="252">"89301000"</f>
        <v>89301000</v>
      </c>
      <c r="C4307" s="1">
        <v>44362</v>
      </c>
      <c r="D4307" s="1">
        <v>44365</v>
      </c>
      <c r="E4307">
        <v>1</v>
      </c>
      <c r="F4307" t="s">
        <v>2232</v>
      </c>
      <c r="G4307" t="str">
        <f>"11-K07-01"</f>
        <v>11-K07-01</v>
      </c>
      <c r="H4307">
        <v>1.0079</v>
      </c>
      <c r="I4307" t="s">
        <v>3120</v>
      </c>
      <c r="J4307" t="s">
        <v>14</v>
      </c>
      <c r="K4307" t="str">
        <f>"4F2"</f>
        <v>4F2</v>
      </c>
      <c r="L4307" t="s">
        <v>15</v>
      </c>
    </row>
    <row r="4308" spans="1:12" x14ac:dyDescent="0.25">
      <c r="A4308" t="str">
        <f>"470519401"</f>
        <v>470519401</v>
      </c>
      <c r="B4308" t="str">
        <f t="shared" si="252"/>
        <v>89301000</v>
      </c>
      <c r="C4308" s="1">
        <v>44341</v>
      </c>
      <c r="D4308" s="1">
        <v>44355</v>
      </c>
      <c r="E4308">
        <v>1</v>
      </c>
      <c r="F4308" t="s">
        <v>2232</v>
      </c>
      <c r="G4308" t="str">
        <f>"11-K07-01"</f>
        <v>11-K07-01</v>
      </c>
      <c r="H4308">
        <v>1.0079</v>
      </c>
      <c r="I4308" t="s">
        <v>3121</v>
      </c>
      <c r="J4308" t="s">
        <v>14</v>
      </c>
      <c r="K4308" t="str">
        <f>"4F2"</f>
        <v>4F2</v>
      </c>
      <c r="L4308" t="s">
        <v>15</v>
      </c>
    </row>
    <row r="4309" spans="1:12" x14ac:dyDescent="0.25">
      <c r="A4309" t="str">
        <f>"470605443"</f>
        <v>470605443</v>
      </c>
      <c r="B4309" t="str">
        <f t="shared" si="252"/>
        <v>89301000</v>
      </c>
      <c r="C4309" s="1">
        <v>44455</v>
      </c>
      <c r="D4309" s="1">
        <v>44458</v>
      </c>
      <c r="E4309">
        <v>1</v>
      </c>
      <c r="F4309" t="s">
        <v>1581</v>
      </c>
      <c r="G4309" t="str">
        <f>"05-M07-06"</f>
        <v>05-M07-06</v>
      </c>
      <c r="H4309">
        <v>1.2513000000000001</v>
      </c>
      <c r="I4309" t="s">
        <v>3122</v>
      </c>
      <c r="J4309" t="s">
        <v>17</v>
      </c>
      <c r="K4309" t="str">
        <f>"5F1"</f>
        <v>5F1</v>
      </c>
      <c r="L4309" t="s">
        <v>15</v>
      </c>
    </row>
    <row r="4310" spans="1:12" x14ac:dyDescent="0.25">
      <c r="A4310" t="str">
        <f>"470610424"</f>
        <v>470610424</v>
      </c>
      <c r="B4310" t="str">
        <f t="shared" si="252"/>
        <v>89301000</v>
      </c>
      <c r="C4310" s="1">
        <v>44557</v>
      </c>
      <c r="D4310" s="1">
        <v>44559</v>
      </c>
      <c r="E4310">
        <v>1</v>
      </c>
      <c r="F4310" t="s">
        <v>3087</v>
      </c>
      <c r="G4310" t="str">
        <f>"01-K07-02"</f>
        <v>01-K07-02</v>
      </c>
      <c r="H4310">
        <v>0.59279999999999999</v>
      </c>
      <c r="I4310" t="s">
        <v>3123</v>
      </c>
      <c r="J4310" t="s">
        <v>14</v>
      </c>
      <c r="K4310" t="str">
        <f>"2F9"</f>
        <v>2F9</v>
      </c>
      <c r="L4310" t="s">
        <v>15</v>
      </c>
    </row>
    <row r="4311" spans="1:12" x14ac:dyDescent="0.25">
      <c r="A4311" t="str">
        <f>"470611403"</f>
        <v>470611403</v>
      </c>
      <c r="B4311" t="str">
        <f t="shared" si="252"/>
        <v>89301000</v>
      </c>
      <c r="C4311" s="1">
        <v>44344</v>
      </c>
      <c r="D4311" s="1">
        <v>44345</v>
      </c>
      <c r="E4311">
        <v>1</v>
      </c>
      <c r="F4311" t="s">
        <v>174</v>
      </c>
      <c r="G4311" t="str">
        <f>"12-I14-00"</f>
        <v>12-I14-00</v>
      </c>
      <c r="H4311">
        <v>0.44350000000000001</v>
      </c>
      <c r="I4311" t="s">
        <v>3124</v>
      </c>
      <c r="J4311" t="s">
        <v>14</v>
      </c>
      <c r="K4311" t="str">
        <f>"7F6"</f>
        <v>7F6</v>
      </c>
      <c r="L4311" t="s">
        <v>15</v>
      </c>
    </row>
    <row r="4312" spans="1:12" x14ac:dyDescent="0.25">
      <c r="A4312" t="str">
        <f>"470615495"</f>
        <v>470615495</v>
      </c>
      <c r="B4312" t="str">
        <f t="shared" si="252"/>
        <v>89301000</v>
      </c>
      <c r="C4312" s="1">
        <v>44247</v>
      </c>
      <c r="D4312" s="1">
        <v>44250</v>
      </c>
      <c r="E4312">
        <v>8</v>
      </c>
      <c r="F4312" t="s">
        <v>962</v>
      </c>
      <c r="G4312" t="str">
        <f>"04-M01-06"</f>
        <v>04-M01-06</v>
      </c>
      <c r="H4312">
        <v>3.5308999999999999</v>
      </c>
      <c r="I4312" t="s">
        <v>3125</v>
      </c>
      <c r="J4312" t="s">
        <v>14</v>
      </c>
      <c r="K4312" t="str">
        <f>"7T8"</f>
        <v>7T8</v>
      </c>
      <c r="L4312" t="s">
        <v>15</v>
      </c>
    </row>
    <row r="4313" spans="1:12" x14ac:dyDescent="0.25">
      <c r="A4313" t="str">
        <f>"470619727"</f>
        <v>470619727</v>
      </c>
      <c r="B4313" t="str">
        <f t="shared" si="252"/>
        <v>89301000</v>
      </c>
      <c r="C4313" s="1">
        <v>44217</v>
      </c>
      <c r="D4313" s="1">
        <v>44217</v>
      </c>
      <c r="E4313">
        <v>1</v>
      </c>
      <c r="F4313" t="s">
        <v>1579</v>
      </c>
      <c r="G4313" t="str">
        <f>"05-I25-03"</f>
        <v>05-I25-03</v>
      </c>
      <c r="H4313">
        <v>1.2622</v>
      </c>
      <c r="J4313" t="s">
        <v>17</v>
      </c>
      <c r="K4313" t="str">
        <f>"1F7"</f>
        <v>1F7</v>
      </c>
      <c r="L4313" t="s">
        <v>15</v>
      </c>
    </row>
    <row r="4314" spans="1:12" x14ac:dyDescent="0.25">
      <c r="A4314" t="str">
        <f>"470625404"</f>
        <v>470625404</v>
      </c>
      <c r="B4314" t="str">
        <f t="shared" si="252"/>
        <v>89301000</v>
      </c>
      <c r="C4314" s="1">
        <v>44255</v>
      </c>
      <c r="D4314" s="1">
        <v>44267</v>
      </c>
      <c r="E4314">
        <v>8</v>
      </c>
      <c r="F4314" t="s">
        <v>217</v>
      </c>
      <c r="G4314" t="str">
        <f>"00-M01-04"</f>
        <v>00-M01-04</v>
      </c>
      <c r="H4314">
        <v>6.85</v>
      </c>
      <c r="I4314" t="s">
        <v>3126</v>
      </c>
      <c r="J4314" t="s">
        <v>14</v>
      </c>
      <c r="K4314" t="str">
        <f>"1T1"</f>
        <v>1T1</v>
      </c>
      <c r="L4314" t="s">
        <v>15</v>
      </c>
    </row>
    <row r="4315" spans="1:12" x14ac:dyDescent="0.25">
      <c r="A4315" t="str">
        <f>"470707151"</f>
        <v>470707151</v>
      </c>
      <c r="B4315" t="str">
        <f t="shared" si="252"/>
        <v>89301000</v>
      </c>
      <c r="C4315" s="1">
        <v>44392</v>
      </c>
      <c r="D4315" s="1">
        <v>44393</v>
      </c>
      <c r="E4315">
        <v>1</v>
      </c>
      <c r="F4315" t="s">
        <v>1557</v>
      </c>
      <c r="G4315" t="str">
        <f>"05-M06-08"</f>
        <v>05-M06-08</v>
      </c>
      <c r="H4315">
        <v>1.4719</v>
      </c>
      <c r="J4315" t="s">
        <v>17</v>
      </c>
      <c r="K4315" t="str">
        <f>"1F7"</f>
        <v>1F7</v>
      </c>
      <c r="L4315" t="s">
        <v>15</v>
      </c>
    </row>
    <row r="4316" spans="1:12" x14ac:dyDescent="0.25">
      <c r="A4316" t="str">
        <f>"470718472"</f>
        <v>470718472</v>
      </c>
      <c r="B4316" t="str">
        <f t="shared" si="252"/>
        <v>89301000</v>
      </c>
      <c r="C4316" s="1">
        <v>44362</v>
      </c>
      <c r="D4316" s="1">
        <v>44368</v>
      </c>
      <c r="E4316">
        <v>1</v>
      </c>
      <c r="F4316" t="s">
        <v>2350</v>
      </c>
      <c r="G4316" t="str">
        <f>"01-I09-02"</f>
        <v>01-I09-02</v>
      </c>
      <c r="H4316">
        <v>1.6386000000000001</v>
      </c>
      <c r="I4316" t="s">
        <v>489</v>
      </c>
      <c r="J4316" t="s">
        <v>17</v>
      </c>
      <c r="K4316" t="str">
        <f>"5F6"</f>
        <v>5F6</v>
      </c>
      <c r="L4316" t="s">
        <v>15</v>
      </c>
    </row>
    <row r="4317" spans="1:12" x14ac:dyDescent="0.25">
      <c r="A4317" t="str">
        <f>"470720738"</f>
        <v>470720738</v>
      </c>
      <c r="B4317" t="str">
        <f t="shared" si="252"/>
        <v>89301000</v>
      </c>
      <c r="C4317" s="1">
        <v>44390</v>
      </c>
      <c r="D4317" s="1">
        <v>44397</v>
      </c>
      <c r="E4317">
        <v>1</v>
      </c>
      <c r="F4317" t="s">
        <v>132</v>
      </c>
      <c r="G4317" t="str">
        <f>"03-I19-02"</f>
        <v>03-I19-02</v>
      </c>
      <c r="H4317">
        <v>0.88829999999999998</v>
      </c>
      <c r="I4317" t="s">
        <v>3127</v>
      </c>
      <c r="J4317" t="s">
        <v>14</v>
      </c>
      <c r="K4317" t="str">
        <f>"6F5"</f>
        <v>6F5</v>
      </c>
      <c r="L4317" t="s">
        <v>15</v>
      </c>
    </row>
    <row r="4318" spans="1:12" x14ac:dyDescent="0.25">
      <c r="A4318" t="str">
        <f>"470722441"</f>
        <v>470722441</v>
      </c>
      <c r="B4318" t="str">
        <f t="shared" si="252"/>
        <v>89301000</v>
      </c>
      <c r="C4318" s="1">
        <v>44440</v>
      </c>
      <c r="D4318" s="1">
        <v>44441</v>
      </c>
      <c r="E4318">
        <v>1</v>
      </c>
      <c r="F4318" t="s">
        <v>2457</v>
      </c>
      <c r="G4318" t="str">
        <f>"05-D01-08"</f>
        <v>05-D01-08</v>
      </c>
      <c r="H4318">
        <v>0.4093</v>
      </c>
      <c r="I4318" t="s">
        <v>489</v>
      </c>
      <c r="J4318" t="s">
        <v>14</v>
      </c>
      <c r="K4318" t="str">
        <f>"1F7"</f>
        <v>1F7</v>
      </c>
      <c r="L4318" t="s">
        <v>15</v>
      </c>
    </row>
    <row r="4319" spans="1:12" x14ac:dyDescent="0.25">
      <c r="A4319" t="str">
        <f>"470803423"</f>
        <v>470803423</v>
      </c>
      <c r="B4319" t="str">
        <f t="shared" si="252"/>
        <v>89301000</v>
      </c>
      <c r="C4319" s="1">
        <v>44458</v>
      </c>
      <c r="D4319" s="1">
        <v>44461</v>
      </c>
      <c r="E4319">
        <v>1</v>
      </c>
      <c r="F4319" t="s">
        <v>1991</v>
      </c>
      <c r="G4319" t="str">
        <f>"12-M02-02"</f>
        <v>12-M02-02</v>
      </c>
      <c r="H4319">
        <v>0.995</v>
      </c>
      <c r="I4319" t="s">
        <v>3128</v>
      </c>
      <c r="J4319" t="s">
        <v>24</v>
      </c>
      <c r="K4319" t="str">
        <f>"7F6"</f>
        <v>7F6</v>
      </c>
      <c r="L4319" t="s">
        <v>15</v>
      </c>
    </row>
    <row r="4320" spans="1:12" x14ac:dyDescent="0.25">
      <c r="A4320" t="str">
        <f>"470816100"</f>
        <v>470816100</v>
      </c>
      <c r="B4320" t="str">
        <f t="shared" si="252"/>
        <v>89301000</v>
      </c>
      <c r="C4320" s="1">
        <v>44530</v>
      </c>
      <c r="D4320" s="1">
        <v>44531</v>
      </c>
      <c r="E4320">
        <v>1</v>
      </c>
      <c r="F4320" t="s">
        <v>246</v>
      </c>
      <c r="G4320" t="str">
        <f>"01-I13-00"</f>
        <v>01-I13-00</v>
      </c>
      <c r="H4320">
        <v>0.42880000000000001</v>
      </c>
      <c r="J4320" t="s">
        <v>14</v>
      </c>
      <c r="K4320" t="str">
        <f>"5F6"</f>
        <v>5F6</v>
      </c>
      <c r="L4320" t="s">
        <v>15</v>
      </c>
    </row>
    <row r="4321" spans="1:12" x14ac:dyDescent="0.25">
      <c r="A4321" t="str">
        <f>"470816100"</f>
        <v>470816100</v>
      </c>
      <c r="B4321" t="str">
        <f t="shared" si="252"/>
        <v>89301000</v>
      </c>
      <c r="C4321" s="1">
        <v>44321</v>
      </c>
      <c r="D4321" s="1">
        <v>44330</v>
      </c>
      <c r="E4321">
        <v>1</v>
      </c>
      <c r="F4321" t="s">
        <v>31</v>
      </c>
      <c r="G4321" t="str">
        <f>"08-I04-02"</f>
        <v>08-I04-02</v>
      </c>
      <c r="H4321">
        <v>1.6718999999999999</v>
      </c>
      <c r="J4321" t="s">
        <v>17</v>
      </c>
      <c r="K4321" t="str">
        <f>"5F6"</f>
        <v>5F6</v>
      </c>
      <c r="L4321" t="s">
        <v>15</v>
      </c>
    </row>
    <row r="4322" spans="1:12" x14ac:dyDescent="0.25">
      <c r="A4322" t="str">
        <f>"470816100"</f>
        <v>470816100</v>
      </c>
      <c r="B4322" t="str">
        <f t="shared" si="252"/>
        <v>89301000</v>
      </c>
      <c r="C4322" s="1">
        <v>44308</v>
      </c>
      <c r="D4322" s="1">
        <v>44315</v>
      </c>
      <c r="E4322">
        <v>1</v>
      </c>
      <c r="F4322" t="s">
        <v>31</v>
      </c>
      <c r="G4322" t="str">
        <f>"08-I03-04"</f>
        <v>08-I03-04</v>
      </c>
      <c r="H4322">
        <v>4.4893000000000001</v>
      </c>
      <c r="I4322" t="s">
        <v>3129</v>
      </c>
      <c r="J4322" t="s">
        <v>17</v>
      </c>
      <c r="K4322" t="str">
        <f>"5F6"</f>
        <v>5F6</v>
      </c>
      <c r="L4322" t="s">
        <v>15</v>
      </c>
    </row>
    <row r="4323" spans="1:12" x14ac:dyDescent="0.25">
      <c r="A4323" t="str">
        <f>"470829402"</f>
        <v>470829402</v>
      </c>
      <c r="B4323" t="str">
        <f t="shared" si="252"/>
        <v>89301000</v>
      </c>
      <c r="C4323" s="1">
        <v>44187</v>
      </c>
      <c r="D4323" s="1">
        <v>44201</v>
      </c>
      <c r="E4323">
        <v>1</v>
      </c>
      <c r="F4323" t="s">
        <v>979</v>
      </c>
      <c r="G4323" t="str">
        <f>"04-K02-02"</f>
        <v>04-K02-02</v>
      </c>
      <c r="H4323">
        <v>2.5186000000000002</v>
      </c>
      <c r="I4323" t="s">
        <v>3130</v>
      </c>
      <c r="J4323" t="s">
        <v>14</v>
      </c>
      <c r="K4323" t="str">
        <f>"2F5"</f>
        <v>2F5</v>
      </c>
      <c r="L4323" t="s">
        <v>15</v>
      </c>
    </row>
    <row r="4324" spans="1:12" x14ac:dyDescent="0.25">
      <c r="A4324" t="str">
        <f>"470829402"</f>
        <v>470829402</v>
      </c>
      <c r="B4324" t="str">
        <f t="shared" si="252"/>
        <v>89301000</v>
      </c>
      <c r="C4324" s="1">
        <v>44357</v>
      </c>
      <c r="D4324" s="1">
        <v>44361</v>
      </c>
      <c r="E4324">
        <v>1</v>
      </c>
      <c r="F4324" t="s">
        <v>151</v>
      </c>
      <c r="G4324" t="str">
        <f>"06-I16-04"</f>
        <v>06-I16-04</v>
      </c>
      <c r="H4324">
        <v>0.67620000000000002</v>
      </c>
      <c r="J4324" t="s">
        <v>24</v>
      </c>
      <c r="K4324" t="str">
        <f>"5F1"</f>
        <v>5F1</v>
      </c>
      <c r="L4324" t="s">
        <v>15</v>
      </c>
    </row>
    <row r="4325" spans="1:12" x14ac:dyDescent="0.25">
      <c r="A4325" t="str">
        <f>"470829405"</f>
        <v>470829405</v>
      </c>
      <c r="B4325" t="str">
        <f t="shared" si="252"/>
        <v>89301000</v>
      </c>
      <c r="C4325" s="1">
        <v>44550</v>
      </c>
      <c r="D4325" s="1">
        <v>44552</v>
      </c>
      <c r="E4325">
        <v>1</v>
      </c>
      <c r="F4325" t="s">
        <v>1569</v>
      </c>
      <c r="G4325" t="str">
        <f>"09-I13-05"</f>
        <v>09-I13-05</v>
      </c>
      <c r="H4325">
        <v>0.43659999999999999</v>
      </c>
      <c r="J4325" t="s">
        <v>14</v>
      </c>
      <c r="K4325" t="str">
        <f>"6F5"</f>
        <v>6F5</v>
      </c>
      <c r="L4325" t="s">
        <v>15</v>
      </c>
    </row>
    <row r="4326" spans="1:12" x14ac:dyDescent="0.25">
      <c r="A4326" t="str">
        <f t="shared" ref="A4326:A4331" si="253">"470902418"</f>
        <v>470902418</v>
      </c>
      <c r="B4326" t="str">
        <f t="shared" si="252"/>
        <v>89301000</v>
      </c>
      <c r="C4326" s="1">
        <v>44311</v>
      </c>
      <c r="D4326" s="1">
        <v>44313</v>
      </c>
      <c r="E4326">
        <v>1</v>
      </c>
      <c r="F4326" t="s">
        <v>3131</v>
      </c>
      <c r="G4326" t="str">
        <f>"03-I22-02"</f>
        <v>03-I22-02</v>
      </c>
      <c r="H4326">
        <v>0.75970000000000004</v>
      </c>
      <c r="I4326" t="s">
        <v>3132</v>
      </c>
      <c r="J4326" t="s">
        <v>14</v>
      </c>
      <c r="K4326" t="str">
        <f>"7F1"</f>
        <v>7F1</v>
      </c>
      <c r="L4326" t="s">
        <v>15</v>
      </c>
    </row>
    <row r="4327" spans="1:12" x14ac:dyDescent="0.25">
      <c r="A4327" t="str">
        <f t="shared" si="253"/>
        <v>470902418</v>
      </c>
      <c r="B4327" t="str">
        <f t="shared" si="252"/>
        <v>89301000</v>
      </c>
      <c r="C4327" s="1">
        <v>44216</v>
      </c>
      <c r="D4327" s="1">
        <v>44217</v>
      </c>
      <c r="E4327">
        <v>1</v>
      </c>
      <c r="F4327" t="s">
        <v>1561</v>
      </c>
      <c r="G4327" t="str">
        <f>"07-M02-04"</f>
        <v>07-M02-04</v>
      </c>
      <c r="H4327">
        <v>0.73929999999999996</v>
      </c>
      <c r="I4327" t="s">
        <v>3133</v>
      </c>
      <c r="J4327" t="s">
        <v>17</v>
      </c>
      <c r="K4327" t="str">
        <f>"1F1"</f>
        <v>1F1</v>
      </c>
      <c r="L4327" t="s">
        <v>15</v>
      </c>
    </row>
    <row r="4328" spans="1:12" x14ac:dyDescent="0.25">
      <c r="A4328" t="str">
        <f t="shared" si="253"/>
        <v>470902418</v>
      </c>
      <c r="B4328" t="str">
        <f t="shared" si="252"/>
        <v>89301000</v>
      </c>
      <c r="C4328" s="1">
        <v>44224</v>
      </c>
      <c r="D4328" s="1">
        <v>44225</v>
      </c>
      <c r="E4328">
        <v>1</v>
      </c>
      <c r="F4328" t="s">
        <v>1953</v>
      </c>
      <c r="G4328" t="str">
        <f>"07-K07-02"</f>
        <v>07-K07-02</v>
      </c>
      <c r="H4328">
        <v>0.53259999999999996</v>
      </c>
      <c r="I4328" t="s">
        <v>3134</v>
      </c>
      <c r="J4328" t="s">
        <v>14</v>
      </c>
      <c r="K4328" t="str">
        <f>"1F1"</f>
        <v>1F1</v>
      </c>
      <c r="L4328" t="s">
        <v>15</v>
      </c>
    </row>
    <row r="4329" spans="1:12" x14ac:dyDescent="0.25">
      <c r="A4329" t="str">
        <f t="shared" si="253"/>
        <v>470902418</v>
      </c>
      <c r="B4329" t="str">
        <f t="shared" si="252"/>
        <v>89301000</v>
      </c>
      <c r="C4329" s="1">
        <v>44244</v>
      </c>
      <c r="D4329" s="1">
        <v>44245</v>
      </c>
      <c r="E4329">
        <v>1</v>
      </c>
      <c r="F4329" t="s">
        <v>1953</v>
      </c>
      <c r="G4329" t="str">
        <f>"07-K07-02"</f>
        <v>07-K07-02</v>
      </c>
      <c r="H4329">
        <v>0.53259999999999996</v>
      </c>
      <c r="I4329" t="s">
        <v>3134</v>
      </c>
      <c r="J4329" t="s">
        <v>14</v>
      </c>
      <c r="K4329" t="str">
        <f>"1F1"</f>
        <v>1F1</v>
      </c>
      <c r="L4329" t="s">
        <v>15</v>
      </c>
    </row>
    <row r="4330" spans="1:12" x14ac:dyDescent="0.25">
      <c r="A4330" t="str">
        <f t="shared" si="253"/>
        <v>470902418</v>
      </c>
      <c r="B4330" t="str">
        <f t="shared" si="252"/>
        <v>89301000</v>
      </c>
      <c r="C4330" s="1">
        <v>44305</v>
      </c>
      <c r="D4330" s="1">
        <v>44306</v>
      </c>
      <c r="E4330">
        <v>1</v>
      </c>
      <c r="F4330" t="s">
        <v>1561</v>
      </c>
      <c r="G4330" t="str">
        <f>"07-M02-04"</f>
        <v>07-M02-04</v>
      </c>
      <c r="H4330">
        <v>0.73929999999999996</v>
      </c>
      <c r="I4330" t="s">
        <v>3135</v>
      </c>
      <c r="J4330" t="s">
        <v>17</v>
      </c>
      <c r="K4330" t="str">
        <f>"1F1"</f>
        <v>1F1</v>
      </c>
      <c r="L4330" t="s">
        <v>15</v>
      </c>
    </row>
    <row r="4331" spans="1:12" x14ac:dyDescent="0.25">
      <c r="A4331" t="str">
        <f t="shared" si="253"/>
        <v>470902418</v>
      </c>
      <c r="B4331" t="str">
        <f t="shared" si="252"/>
        <v>89301000</v>
      </c>
      <c r="C4331" s="1">
        <v>44388</v>
      </c>
      <c r="D4331" s="1">
        <v>44397</v>
      </c>
      <c r="E4331">
        <v>1</v>
      </c>
      <c r="F4331" t="s">
        <v>888</v>
      </c>
      <c r="G4331" t="str">
        <f>"07-K05-02"</f>
        <v>07-K05-02</v>
      </c>
      <c r="H4331">
        <v>0.60189999999999999</v>
      </c>
      <c r="I4331" t="s">
        <v>3136</v>
      </c>
      <c r="J4331" t="s">
        <v>14</v>
      </c>
      <c r="K4331" t="str">
        <f>"1F5"</f>
        <v>1F5</v>
      </c>
      <c r="L4331" t="s">
        <v>15</v>
      </c>
    </row>
    <row r="4332" spans="1:12" x14ac:dyDescent="0.25">
      <c r="A4332" t="str">
        <f>"470904427"</f>
        <v>470904427</v>
      </c>
      <c r="B4332" t="str">
        <f t="shared" si="252"/>
        <v>89301000</v>
      </c>
      <c r="C4332" s="1">
        <v>44320</v>
      </c>
      <c r="D4332" s="1">
        <v>44320</v>
      </c>
      <c r="E4332">
        <v>1</v>
      </c>
      <c r="F4332" t="s">
        <v>2457</v>
      </c>
      <c r="G4332" t="str">
        <f>"05-D01-08"</f>
        <v>05-D01-08</v>
      </c>
      <c r="H4332">
        <v>0.21890000000000001</v>
      </c>
      <c r="I4332" t="s">
        <v>3137</v>
      </c>
      <c r="J4332" t="s">
        <v>14</v>
      </c>
      <c r="K4332" t="str">
        <f>"1F1"</f>
        <v>1F1</v>
      </c>
      <c r="L4332" t="s">
        <v>15</v>
      </c>
    </row>
    <row r="4333" spans="1:12" x14ac:dyDescent="0.25">
      <c r="A4333" t="str">
        <f>"470905440"</f>
        <v>470905440</v>
      </c>
      <c r="B4333" t="str">
        <f t="shared" si="252"/>
        <v>89301000</v>
      </c>
      <c r="C4333" s="1">
        <v>44389</v>
      </c>
      <c r="D4333" s="1">
        <v>44391</v>
      </c>
      <c r="E4333">
        <v>1</v>
      </c>
      <c r="F4333" t="s">
        <v>3138</v>
      </c>
      <c r="G4333" t="str">
        <f>"17-K10-02"</f>
        <v>17-K10-02</v>
      </c>
      <c r="H4333">
        <v>0.65480000000000005</v>
      </c>
      <c r="I4333" t="s">
        <v>3139</v>
      </c>
      <c r="J4333" t="s">
        <v>14</v>
      </c>
      <c r="K4333" t="str">
        <f>"2F5"</f>
        <v>2F5</v>
      </c>
      <c r="L4333" t="s">
        <v>15</v>
      </c>
    </row>
    <row r="4334" spans="1:12" x14ac:dyDescent="0.25">
      <c r="A4334" t="str">
        <f>"470909402"</f>
        <v>470909402</v>
      </c>
      <c r="B4334" t="str">
        <f t="shared" si="252"/>
        <v>89301000</v>
      </c>
      <c r="C4334" s="1">
        <v>44452</v>
      </c>
      <c r="D4334" s="1">
        <v>44458</v>
      </c>
      <c r="E4334">
        <v>1</v>
      </c>
      <c r="F4334" t="s">
        <v>2232</v>
      </c>
      <c r="G4334" t="str">
        <f>"11-I07-01"</f>
        <v>11-I07-01</v>
      </c>
      <c r="H4334">
        <v>2.5975999999999999</v>
      </c>
      <c r="I4334" t="s">
        <v>3140</v>
      </c>
      <c r="J4334" t="s">
        <v>14</v>
      </c>
      <c r="K4334" t="str">
        <f>"7F6"</f>
        <v>7F6</v>
      </c>
      <c r="L4334" t="s">
        <v>15</v>
      </c>
    </row>
    <row r="4335" spans="1:12" x14ac:dyDescent="0.25">
      <c r="A4335" t="str">
        <f>"470909402"</f>
        <v>470909402</v>
      </c>
      <c r="B4335" t="str">
        <f t="shared" si="252"/>
        <v>89301000</v>
      </c>
      <c r="C4335" s="1">
        <v>44514</v>
      </c>
      <c r="D4335" s="1">
        <v>44524</v>
      </c>
      <c r="E4335">
        <v>1</v>
      </c>
      <c r="F4335" t="s">
        <v>2232</v>
      </c>
      <c r="G4335" t="str">
        <f>"11-K07-02"</f>
        <v>11-K07-02</v>
      </c>
      <c r="H4335">
        <v>0.49330000000000002</v>
      </c>
      <c r="I4335" t="s">
        <v>3141</v>
      </c>
      <c r="J4335" t="s">
        <v>14</v>
      </c>
      <c r="K4335" t="str">
        <f>"7F6"</f>
        <v>7F6</v>
      </c>
      <c r="L4335" t="s">
        <v>15</v>
      </c>
    </row>
    <row r="4336" spans="1:12" x14ac:dyDescent="0.25">
      <c r="A4336" t="str">
        <f>"470909438"</f>
        <v>470909438</v>
      </c>
      <c r="B4336" t="str">
        <f t="shared" si="252"/>
        <v>89301000</v>
      </c>
      <c r="C4336" s="1">
        <v>44542</v>
      </c>
      <c r="D4336" s="1">
        <v>44543</v>
      </c>
      <c r="E4336">
        <v>5</v>
      </c>
      <c r="F4336" t="s">
        <v>1683</v>
      </c>
      <c r="G4336" t="str">
        <f>"05-M06-06"</f>
        <v>05-M06-06</v>
      </c>
      <c r="H4336">
        <v>1.7652000000000001</v>
      </c>
      <c r="J4336" t="s">
        <v>17</v>
      </c>
      <c r="K4336" t="str">
        <f>"1F1"</f>
        <v>1F1</v>
      </c>
      <c r="L4336" t="s">
        <v>15</v>
      </c>
    </row>
    <row r="4337" spans="1:12" x14ac:dyDescent="0.25">
      <c r="A4337" t="str">
        <f>"470929401"</f>
        <v>470929401</v>
      </c>
      <c r="B4337" t="str">
        <f t="shared" si="252"/>
        <v>89301000</v>
      </c>
      <c r="C4337" s="1">
        <v>44304</v>
      </c>
      <c r="D4337" s="1">
        <v>44328</v>
      </c>
      <c r="E4337">
        <v>1</v>
      </c>
      <c r="F4337" t="s">
        <v>962</v>
      </c>
      <c r="G4337" t="str">
        <f>"04-K08-02"</f>
        <v>04-K08-02</v>
      </c>
      <c r="H4337">
        <v>2.6110000000000002</v>
      </c>
      <c r="I4337" t="s">
        <v>3142</v>
      </c>
      <c r="J4337" t="s">
        <v>14</v>
      </c>
      <c r="K4337" t="str">
        <f>"2F5"</f>
        <v>2F5</v>
      </c>
      <c r="L4337" t="s">
        <v>15</v>
      </c>
    </row>
    <row r="4338" spans="1:12" x14ac:dyDescent="0.25">
      <c r="A4338" t="str">
        <f>"471002458"</f>
        <v>471002458</v>
      </c>
      <c r="B4338" t="str">
        <f t="shared" si="252"/>
        <v>89301000</v>
      </c>
      <c r="C4338" s="1">
        <v>44438</v>
      </c>
      <c r="D4338" s="1">
        <v>44441</v>
      </c>
      <c r="E4338">
        <v>1</v>
      </c>
      <c r="F4338" t="s">
        <v>3143</v>
      </c>
      <c r="G4338" t="str">
        <f>"01-M01-03"</f>
        <v>01-M01-03</v>
      </c>
      <c r="H4338">
        <v>3.9502000000000002</v>
      </c>
      <c r="I4338" t="s">
        <v>1557</v>
      </c>
      <c r="J4338" t="s">
        <v>17</v>
      </c>
      <c r="K4338" t="str">
        <f>"5F6"</f>
        <v>5F6</v>
      </c>
      <c r="L4338" t="s">
        <v>15</v>
      </c>
    </row>
    <row r="4339" spans="1:12" x14ac:dyDescent="0.25">
      <c r="A4339" t="str">
        <f>"471002458"</f>
        <v>471002458</v>
      </c>
      <c r="B4339" t="str">
        <f t="shared" si="252"/>
        <v>89301000</v>
      </c>
      <c r="C4339" s="1">
        <v>44394</v>
      </c>
      <c r="D4339" s="1">
        <v>44398</v>
      </c>
      <c r="E4339">
        <v>1</v>
      </c>
      <c r="F4339" t="s">
        <v>49</v>
      </c>
      <c r="G4339" t="str">
        <f>"01-K18-03"</f>
        <v>01-K18-03</v>
      </c>
      <c r="H4339">
        <v>0.76180000000000003</v>
      </c>
      <c r="I4339" t="s">
        <v>3144</v>
      </c>
      <c r="J4339" t="s">
        <v>14</v>
      </c>
      <c r="K4339" t="str">
        <f>"2F9"</f>
        <v>2F9</v>
      </c>
      <c r="L4339" t="s">
        <v>15</v>
      </c>
    </row>
    <row r="4340" spans="1:12" x14ac:dyDescent="0.25">
      <c r="A4340" t="str">
        <f>"471008458"</f>
        <v>471008458</v>
      </c>
      <c r="B4340" t="str">
        <f t="shared" si="252"/>
        <v>89301000</v>
      </c>
      <c r="C4340" s="1">
        <v>44376</v>
      </c>
      <c r="D4340" s="1">
        <v>44385</v>
      </c>
      <c r="E4340">
        <v>1</v>
      </c>
      <c r="F4340" t="s">
        <v>3145</v>
      </c>
      <c r="G4340" t="str">
        <f>"10-I13-02"</f>
        <v>10-I13-02</v>
      </c>
      <c r="H4340">
        <v>1.2891999999999999</v>
      </c>
      <c r="I4340" t="s">
        <v>3146</v>
      </c>
      <c r="J4340" t="s">
        <v>24</v>
      </c>
      <c r="K4340" t="str">
        <f>"7F1"</f>
        <v>7F1</v>
      </c>
      <c r="L4340" t="s">
        <v>15</v>
      </c>
    </row>
    <row r="4341" spans="1:12" x14ac:dyDescent="0.25">
      <c r="A4341" t="str">
        <f>"471013460"</f>
        <v>471013460</v>
      </c>
      <c r="B4341" t="str">
        <f t="shared" si="252"/>
        <v>89301000</v>
      </c>
      <c r="C4341" s="1">
        <v>44527</v>
      </c>
      <c r="D4341" s="1">
        <v>44529</v>
      </c>
      <c r="E4341">
        <v>1</v>
      </c>
      <c r="F4341" t="s">
        <v>1619</v>
      </c>
      <c r="G4341" t="str">
        <f>"05-M06-06"</f>
        <v>05-M06-06</v>
      </c>
      <c r="H4341">
        <v>1.7652000000000001</v>
      </c>
      <c r="I4341" t="s">
        <v>3147</v>
      </c>
      <c r="J4341" t="s">
        <v>17</v>
      </c>
      <c r="K4341" t="str">
        <f>"1T1"</f>
        <v>1T1</v>
      </c>
      <c r="L4341" t="s">
        <v>15</v>
      </c>
    </row>
    <row r="4342" spans="1:12" x14ac:dyDescent="0.25">
      <c r="A4342" t="str">
        <f>"471014419"</f>
        <v>471014419</v>
      </c>
      <c r="B4342" t="str">
        <f t="shared" si="252"/>
        <v>89301000</v>
      </c>
      <c r="C4342" s="1">
        <v>44356</v>
      </c>
      <c r="D4342" s="1">
        <v>44362</v>
      </c>
      <c r="E4342">
        <v>1</v>
      </c>
      <c r="F4342" t="s">
        <v>2133</v>
      </c>
      <c r="G4342" t="str">
        <f>"04-K06-03"</f>
        <v>04-K06-03</v>
      </c>
      <c r="H4342">
        <v>0.66259999999999997</v>
      </c>
      <c r="I4342" t="s">
        <v>3148</v>
      </c>
      <c r="J4342" t="s">
        <v>14</v>
      </c>
      <c r="K4342" t="str">
        <f>"2F5"</f>
        <v>2F5</v>
      </c>
      <c r="L4342" t="s">
        <v>15</v>
      </c>
    </row>
    <row r="4343" spans="1:12" x14ac:dyDescent="0.25">
      <c r="A4343" t="str">
        <f>"471016172"</f>
        <v>471016172</v>
      </c>
      <c r="B4343" t="str">
        <f t="shared" si="252"/>
        <v>89301000</v>
      </c>
      <c r="C4343" s="1">
        <v>44378</v>
      </c>
      <c r="D4343" s="1">
        <v>44379</v>
      </c>
      <c r="E4343">
        <v>1</v>
      </c>
      <c r="F4343" t="s">
        <v>1557</v>
      </c>
      <c r="G4343" t="str">
        <f>"05-D01-08"</f>
        <v>05-D01-08</v>
      </c>
      <c r="H4343">
        <v>0.4093</v>
      </c>
      <c r="I4343" t="s">
        <v>1983</v>
      </c>
      <c r="J4343" t="s">
        <v>14</v>
      </c>
      <c r="K4343" t="str">
        <f>"1F7"</f>
        <v>1F7</v>
      </c>
      <c r="L4343" t="s">
        <v>15</v>
      </c>
    </row>
    <row r="4344" spans="1:12" x14ac:dyDescent="0.25">
      <c r="A4344" t="str">
        <f>"471021421"</f>
        <v>471021421</v>
      </c>
      <c r="B4344" t="str">
        <f t="shared" si="252"/>
        <v>89301000</v>
      </c>
      <c r="C4344" s="1">
        <v>44257</v>
      </c>
      <c r="D4344" s="1">
        <v>44277</v>
      </c>
      <c r="E4344">
        <v>4</v>
      </c>
      <c r="F4344" t="s">
        <v>2623</v>
      </c>
      <c r="G4344" t="str">
        <f>"17-R01-08"</f>
        <v>17-R01-08</v>
      </c>
      <c r="H4344">
        <v>1.6273</v>
      </c>
      <c r="I4344" t="s">
        <v>3149</v>
      </c>
      <c r="J4344" t="s">
        <v>14</v>
      </c>
      <c r="K4344" t="str">
        <f>"4F2"</f>
        <v>4F2</v>
      </c>
      <c r="L4344" t="s">
        <v>15</v>
      </c>
    </row>
    <row r="4345" spans="1:12" x14ac:dyDescent="0.25">
      <c r="A4345" t="str">
        <f>"471029453"</f>
        <v>471029453</v>
      </c>
      <c r="B4345" t="str">
        <f t="shared" si="252"/>
        <v>89301000</v>
      </c>
      <c r="C4345" s="1">
        <v>44428</v>
      </c>
      <c r="D4345" s="1">
        <v>44431</v>
      </c>
      <c r="E4345">
        <v>1</v>
      </c>
      <c r="F4345" t="s">
        <v>3150</v>
      </c>
      <c r="G4345" t="str">
        <f>"08-K04-03"</f>
        <v>08-K04-03</v>
      </c>
      <c r="H4345">
        <v>0.45050000000000001</v>
      </c>
      <c r="I4345" t="s">
        <v>3151</v>
      </c>
      <c r="J4345" t="s">
        <v>14</v>
      </c>
      <c r="K4345" t="str">
        <f>"1F1"</f>
        <v>1F1</v>
      </c>
      <c r="L4345" t="s">
        <v>15</v>
      </c>
    </row>
    <row r="4346" spans="1:12" x14ac:dyDescent="0.25">
      <c r="A4346" t="str">
        <f>"471029453"</f>
        <v>471029453</v>
      </c>
      <c r="B4346" t="str">
        <f t="shared" si="252"/>
        <v>89301000</v>
      </c>
      <c r="C4346" s="1">
        <v>44193</v>
      </c>
      <c r="D4346" s="1">
        <v>44197</v>
      </c>
      <c r="E4346">
        <v>1</v>
      </c>
      <c r="F4346" t="s">
        <v>1991</v>
      </c>
      <c r="G4346" t="str">
        <f>"12-M02-02"</f>
        <v>12-M02-02</v>
      </c>
      <c r="H4346">
        <v>0.995</v>
      </c>
      <c r="I4346" t="s">
        <v>3152</v>
      </c>
      <c r="J4346" t="s">
        <v>24</v>
      </c>
      <c r="K4346" t="str">
        <f>"7F6"</f>
        <v>7F6</v>
      </c>
      <c r="L4346" t="s">
        <v>15</v>
      </c>
    </row>
    <row r="4347" spans="1:12" x14ac:dyDescent="0.25">
      <c r="A4347" t="str">
        <f>"471029453"</f>
        <v>471029453</v>
      </c>
      <c r="B4347" t="str">
        <f t="shared" si="252"/>
        <v>89301000</v>
      </c>
      <c r="C4347" s="1">
        <v>44529</v>
      </c>
      <c r="D4347" s="1">
        <v>44543</v>
      </c>
      <c r="E4347">
        <v>1</v>
      </c>
      <c r="F4347" t="s">
        <v>1553</v>
      </c>
      <c r="G4347" t="str">
        <f>"04-K05-02"</f>
        <v>04-K05-02</v>
      </c>
      <c r="H4347">
        <v>1.2657</v>
      </c>
      <c r="I4347" t="s">
        <v>3153</v>
      </c>
      <c r="J4347" t="s">
        <v>14</v>
      </c>
      <c r="K4347" t="str">
        <f>"1F1"</f>
        <v>1F1</v>
      </c>
      <c r="L4347" t="s">
        <v>15</v>
      </c>
    </row>
    <row r="4348" spans="1:12" x14ac:dyDescent="0.25">
      <c r="A4348" t="str">
        <f>"471102418"</f>
        <v>471102418</v>
      </c>
      <c r="B4348" t="str">
        <f t="shared" si="252"/>
        <v>89301000</v>
      </c>
      <c r="C4348" s="1">
        <v>44489</v>
      </c>
      <c r="D4348" s="1">
        <v>44498</v>
      </c>
      <c r="E4348">
        <v>1</v>
      </c>
      <c r="F4348" t="s">
        <v>109</v>
      </c>
      <c r="G4348" t="str">
        <f>"24-M06-01"</f>
        <v>24-M06-01</v>
      </c>
      <c r="H4348">
        <v>1.1548</v>
      </c>
      <c r="I4348" t="s">
        <v>3154</v>
      </c>
      <c r="J4348" t="s">
        <v>14</v>
      </c>
      <c r="K4348" t="str">
        <f>"2F1"</f>
        <v>2F1</v>
      </c>
      <c r="L4348" t="s">
        <v>15</v>
      </c>
    </row>
    <row r="4349" spans="1:12" x14ac:dyDescent="0.25">
      <c r="A4349" t="str">
        <f>"471102418"</f>
        <v>471102418</v>
      </c>
      <c r="B4349" t="str">
        <f t="shared" si="252"/>
        <v>89301000</v>
      </c>
      <c r="C4349" s="1">
        <v>44472</v>
      </c>
      <c r="D4349" s="1">
        <v>44489</v>
      </c>
      <c r="E4349">
        <v>3</v>
      </c>
      <c r="F4349" t="s">
        <v>67</v>
      </c>
      <c r="G4349" t="str">
        <f>"01-M02-00"</f>
        <v>01-M02-00</v>
      </c>
      <c r="H4349">
        <v>5.4465000000000003</v>
      </c>
      <c r="I4349" t="s">
        <v>3155</v>
      </c>
      <c r="J4349" t="s">
        <v>17</v>
      </c>
      <c r="K4349" t="str">
        <f>"2F9"</f>
        <v>2F9</v>
      </c>
      <c r="L4349" t="s">
        <v>15</v>
      </c>
    </row>
    <row r="4350" spans="1:12" x14ac:dyDescent="0.25">
      <c r="A4350" t="str">
        <f>"471102753"</f>
        <v>471102753</v>
      </c>
      <c r="B4350" t="str">
        <f t="shared" si="252"/>
        <v>89301000</v>
      </c>
      <c r="C4350" s="1">
        <v>44461</v>
      </c>
      <c r="D4350" s="1">
        <v>44480</v>
      </c>
      <c r="E4350">
        <v>1</v>
      </c>
      <c r="F4350" t="s">
        <v>1548</v>
      </c>
      <c r="G4350" t="str">
        <f>"05-K07-05"</f>
        <v>05-K07-05</v>
      </c>
      <c r="H4350">
        <v>1.0571999999999999</v>
      </c>
      <c r="I4350" t="s">
        <v>3156</v>
      </c>
      <c r="J4350" t="s">
        <v>14</v>
      </c>
      <c r="K4350" t="str">
        <f>"1F6"</f>
        <v>1F6</v>
      </c>
      <c r="L4350" t="s">
        <v>15</v>
      </c>
    </row>
    <row r="4351" spans="1:12" x14ac:dyDescent="0.25">
      <c r="A4351" t="str">
        <f>"471109475"</f>
        <v>471109475</v>
      </c>
      <c r="B4351" t="str">
        <f t="shared" si="252"/>
        <v>89301000</v>
      </c>
      <c r="C4351" s="1">
        <v>44487</v>
      </c>
      <c r="D4351" s="1">
        <v>44494</v>
      </c>
      <c r="E4351">
        <v>1</v>
      </c>
      <c r="F4351" t="s">
        <v>2585</v>
      </c>
      <c r="G4351" t="str">
        <f>"12-I03-01"</f>
        <v>12-I03-01</v>
      </c>
      <c r="H4351">
        <v>2.6785999999999999</v>
      </c>
      <c r="I4351" t="s">
        <v>3157</v>
      </c>
      <c r="J4351" t="s">
        <v>14</v>
      </c>
      <c r="K4351" t="str">
        <f>"7F6"</f>
        <v>7F6</v>
      </c>
      <c r="L4351" t="s">
        <v>15</v>
      </c>
    </row>
    <row r="4352" spans="1:12" x14ac:dyDescent="0.25">
      <c r="A4352" t="str">
        <f>"471119461"</f>
        <v>471119461</v>
      </c>
      <c r="B4352" t="str">
        <f t="shared" si="252"/>
        <v>89301000</v>
      </c>
      <c r="C4352" s="1">
        <v>44403</v>
      </c>
      <c r="D4352" s="1">
        <v>44412</v>
      </c>
      <c r="E4352">
        <v>1</v>
      </c>
      <c r="F4352" t="s">
        <v>3158</v>
      </c>
      <c r="G4352" t="str">
        <f>"05-I24-03"</f>
        <v>05-I24-03</v>
      </c>
      <c r="H4352">
        <v>3.1404999999999998</v>
      </c>
      <c r="I4352" t="s">
        <v>3159</v>
      </c>
      <c r="J4352" t="s">
        <v>14</v>
      </c>
      <c r="K4352" t="str">
        <f>"5F1"</f>
        <v>5F1</v>
      </c>
      <c r="L4352" t="s">
        <v>15</v>
      </c>
    </row>
    <row r="4353" spans="1:12" x14ac:dyDescent="0.25">
      <c r="A4353" t="str">
        <f>"471201178"</f>
        <v>471201178</v>
      </c>
      <c r="B4353" t="str">
        <f t="shared" si="252"/>
        <v>89301000</v>
      </c>
      <c r="C4353" s="1">
        <v>44436</v>
      </c>
      <c r="D4353" s="1">
        <v>44447</v>
      </c>
      <c r="E4353">
        <v>1</v>
      </c>
      <c r="F4353" t="s">
        <v>985</v>
      </c>
      <c r="G4353" t="str">
        <f>"04-K02-04"</f>
        <v>04-K02-04</v>
      </c>
      <c r="H4353">
        <v>0.82469999999999999</v>
      </c>
      <c r="I4353" t="s">
        <v>3160</v>
      </c>
      <c r="J4353" t="s">
        <v>14</v>
      </c>
      <c r="K4353" t="str">
        <f>"2F5"</f>
        <v>2F5</v>
      </c>
      <c r="L4353" t="s">
        <v>15</v>
      </c>
    </row>
    <row r="4354" spans="1:12" x14ac:dyDescent="0.25">
      <c r="A4354" t="str">
        <f>"471206445"</f>
        <v>471206445</v>
      </c>
      <c r="B4354" t="str">
        <f t="shared" si="252"/>
        <v>89301000</v>
      </c>
      <c r="C4354" s="1">
        <v>44269</v>
      </c>
      <c r="D4354" s="1">
        <v>44282</v>
      </c>
      <c r="E4354">
        <v>8</v>
      </c>
      <c r="F4354" t="s">
        <v>1595</v>
      </c>
      <c r="G4354" t="str">
        <f>"18-K01-01"</f>
        <v>18-K01-01</v>
      </c>
      <c r="H4354">
        <v>3.0181</v>
      </c>
      <c r="I4354" t="s">
        <v>3161</v>
      </c>
      <c r="J4354" t="s">
        <v>14</v>
      </c>
      <c r="K4354" t="str">
        <f>"1T1"</f>
        <v>1T1</v>
      </c>
      <c r="L4354" t="s">
        <v>15</v>
      </c>
    </row>
    <row r="4355" spans="1:12" x14ac:dyDescent="0.25">
      <c r="A4355" t="str">
        <f>"471219417"</f>
        <v>471219417</v>
      </c>
      <c r="B4355" t="str">
        <f t="shared" si="252"/>
        <v>89301000</v>
      </c>
      <c r="C4355" s="1">
        <v>44390</v>
      </c>
      <c r="D4355" s="1">
        <v>44393</v>
      </c>
      <c r="E4355">
        <v>1</v>
      </c>
      <c r="F4355" t="s">
        <v>1704</v>
      </c>
      <c r="G4355" t="str">
        <f>"23-K05-02"</f>
        <v>23-K05-02</v>
      </c>
      <c r="H4355">
        <v>0.4425</v>
      </c>
      <c r="I4355" t="s">
        <v>3162</v>
      </c>
      <c r="J4355" t="s">
        <v>14</v>
      </c>
      <c r="K4355" t="str">
        <f>"7F5"</f>
        <v>7F5</v>
      </c>
      <c r="L4355" t="s">
        <v>15</v>
      </c>
    </row>
    <row r="4356" spans="1:12" x14ac:dyDescent="0.25">
      <c r="A4356" t="str">
        <f>"471225453"</f>
        <v>471225453</v>
      </c>
      <c r="B4356" t="str">
        <f t="shared" si="252"/>
        <v>89301000</v>
      </c>
      <c r="C4356" s="1">
        <v>44518</v>
      </c>
      <c r="D4356" s="1">
        <v>44524</v>
      </c>
      <c r="E4356">
        <v>7</v>
      </c>
      <c r="F4356" t="s">
        <v>217</v>
      </c>
      <c r="G4356" t="str">
        <f>"04-K02-02"</f>
        <v>04-K02-02</v>
      </c>
      <c r="H4356">
        <v>2.5186000000000002</v>
      </c>
      <c r="I4356" t="s">
        <v>3163</v>
      </c>
      <c r="J4356" t="s">
        <v>14</v>
      </c>
      <c r="K4356" t="str">
        <f>"5F1"</f>
        <v>5F1</v>
      </c>
      <c r="L4356" t="s">
        <v>15</v>
      </c>
    </row>
    <row r="4357" spans="1:12" x14ac:dyDescent="0.25">
      <c r="A4357" t="str">
        <f>"471225453"</f>
        <v>471225453</v>
      </c>
      <c r="B4357" t="str">
        <f t="shared" si="252"/>
        <v>89301000</v>
      </c>
      <c r="C4357" s="1">
        <v>44426</v>
      </c>
      <c r="D4357" s="1">
        <v>44438</v>
      </c>
      <c r="E4357">
        <v>1</v>
      </c>
      <c r="F4357" t="s">
        <v>2623</v>
      </c>
      <c r="G4357" t="str">
        <f>"17-K03-02"</f>
        <v>17-K03-02</v>
      </c>
      <c r="H4357">
        <v>0.97970000000000002</v>
      </c>
      <c r="I4357" t="s">
        <v>3164</v>
      </c>
      <c r="J4357" t="s">
        <v>14</v>
      </c>
      <c r="K4357" t="str">
        <f>"2F2"</f>
        <v>2F2</v>
      </c>
      <c r="L4357" t="s">
        <v>15</v>
      </c>
    </row>
    <row r="4358" spans="1:12" x14ac:dyDescent="0.25">
      <c r="A4358" t="str">
        <f>"471226203"</f>
        <v>471226203</v>
      </c>
      <c r="B4358" t="str">
        <f t="shared" si="252"/>
        <v>89301000</v>
      </c>
      <c r="C4358" s="1">
        <v>44459</v>
      </c>
      <c r="D4358" s="1">
        <v>44462</v>
      </c>
      <c r="E4358">
        <v>1</v>
      </c>
      <c r="F4358" t="s">
        <v>2236</v>
      </c>
      <c r="G4358" t="str">
        <f>"10-K04-04"</f>
        <v>10-K04-04</v>
      </c>
      <c r="H4358">
        <v>0.56330000000000002</v>
      </c>
      <c r="I4358" t="s">
        <v>3165</v>
      </c>
      <c r="J4358" t="s">
        <v>14</v>
      </c>
      <c r="K4358" t="str">
        <f>"1F5"</f>
        <v>1F5</v>
      </c>
      <c r="L4358" t="s">
        <v>15</v>
      </c>
    </row>
    <row r="4359" spans="1:12" x14ac:dyDescent="0.25">
      <c r="A4359" t="str">
        <f>"471226405"</f>
        <v>471226405</v>
      </c>
      <c r="B4359" t="str">
        <f t="shared" si="252"/>
        <v>89301000</v>
      </c>
      <c r="C4359" s="1">
        <v>44313</v>
      </c>
      <c r="D4359" s="1">
        <v>44315</v>
      </c>
      <c r="E4359">
        <v>1</v>
      </c>
      <c r="F4359" t="s">
        <v>1679</v>
      </c>
      <c r="G4359" t="str">
        <f>"11-I17-03"</f>
        <v>11-I17-03</v>
      </c>
      <c r="H4359">
        <v>0.50609999999999999</v>
      </c>
      <c r="I4359" t="s">
        <v>3166</v>
      </c>
      <c r="J4359" t="s">
        <v>14</v>
      </c>
      <c r="K4359" t="str">
        <f>"7F6"</f>
        <v>7F6</v>
      </c>
      <c r="L4359" t="s">
        <v>15</v>
      </c>
    </row>
    <row r="4360" spans="1:12" x14ac:dyDescent="0.25">
      <c r="A4360" t="str">
        <f>"471226405"</f>
        <v>471226405</v>
      </c>
      <c r="B4360" t="str">
        <f t="shared" si="252"/>
        <v>89301000</v>
      </c>
      <c r="C4360" s="1">
        <v>44218</v>
      </c>
      <c r="D4360" s="1">
        <v>44222</v>
      </c>
      <c r="E4360">
        <v>1</v>
      </c>
      <c r="F4360" t="s">
        <v>1679</v>
      </c>
      <c r="G4360" t="str">
        <f>"11-K08-02"</f>
        <v>11-K08-02</v>
      </c>
      <c r="H4360">
        <v>0.47389999999999999</v>
      </c>
      <c r="I4360" t="s">
        <v>3167</v>
      </c>
      <c r="J4360" t="s">
        <v>14</v>
      </c>
      <c r="K4360" t="str">
        <f>"7F6"</f>
        <v>7F6</v>
      </c>
      <c r="L4360" t="s">
        <v>15</v>
      </c>
    </row>
    <row r="4361" spans="1:12" x14ac:dyDescent="0.25">
      <c r="A4361" t="str">
        <f>"471226405"</f>
        <v>471226405</v>
      </c>
      <c r="B4361" t="str">
        <f t="shared" si="252"/>
        <v>89301000</v>
      </c>
      <c r="C4361" s="1">
        <v>44543</v>
      </c>
      <c r="D4361" s="1">
        <v>44545</v>
      </c>
      <c r="E4361">
        <v>1</v>
      </c>
      <c r="F4361" t="s">
        <v>1679</v>
      </c>
      <c r="G4361" t="str">
        <f>"11-M06-03"</f>
        <v>11-M06-03</v>
      </c>
      <c r="H4361">
        <v>0.61519999999999997</v>
      </c>
      <c r="I4361" t="s">
        <v>489</v>
      </c>
      <c r="J4361" t="s">
        <v>17</v>
      </c>
      <c r="K4361" t="str">
        <f>"7F6"</f>
        <v>7F6</v>
      </c>
      <c r="L4361" t="s">
        <v>15</v>
      </c>
    </row>
    <row r="4362" spans="1:12" x14ac:dyDescent="0.25">
      <c r="A4362" t="str">
        <f>"475101408"</f>
        <v>475101408</v>
      </c>
      <c r="B4362" t="str">
        <f t="shared" si="252"/>
        <v>89301000</v>
      </c>
      <c r="C4362" s="1">
        <v>44238</v>
      </c>
      <c r="D4362" s="1">
        <v>44239</v>
      </c>
      <c r="E4362">
        <v>1</v>
      </c>
      <c r="F4362" t="s">
        <v>3168</v>
      </c>
      <c r="G4362" t="str">
        <f>"05-M09-00"</f>
        <v>05-M09-00</v>
      </c>
      <c r="H4362">
        <v>1.2437</v>
      </c>
      <c r="I4362" t="s">
        <v>2428</v>
      </c>
      <c r="J4362" t="s">
        <v>14</v>
      </c>
      <c r="K4362" t="str">
        <f>"1F7"</f>
        <v>1F7</v>
      </c>
      <c r="L4362" t="s">
        <v>15</v>
      </c>
    </row>
    <row r="4363" spans="1:12" x14ac:dyDescent="0.25">
      <c r="A4363" t="str">
        <f>"475103023"</f>
        <v>475103023</v>
      </c>
      <c r="B4363" t="str">
        <f t="shared" si="252"/>
        <v>89301000</v>
      </c>
      <c r="C4363" s="1">
        <v>44291</v>
      </c>
      <c r="D4363" s="1">
        <v>44294</v>
      </c>
      <c r="E4363">
        <v>1</v>
      </c>
      <c r="F4363" t="s">
        <v>396</v>
      </c>
      <c r="G4363" t="str">
        <f>"08-I16-02"</f>
        <v>08-I16-02</v>
      </c>
      <c r="H4363">
        <v>1.8051999999999999</v>
      </c>
      <c r="I4363" t="s">
        <v>3169</v>
      </c>
      <c r="J4363" t="s">
        <v>17</v>
      </c>
      <c r="K4363" t="str">
        <f>"5F3"</f>
        <v>5F3</v>
      </c>
      <c r="L4363" t="s">
        <v>15</v>
      </c>
    </row>
    <row r="4364" spans="1:12" x14ac:dyDescent="0.25">
      <c r="A4364" t="str">
        <f>"475107485"</f>
        <v>475107485</v>
      </c>
      <c r="B4364" t="str">
        <f t="shared" si="252"/>
        <v>89301000</v>
      </c>
      <c r="C4364" s="1">
        <v>44223</v>
      </c>
      <c r="D4364" s="1">
        <v>44225</v>
      </c>
      <c r="E4364">
        <v>1</v>
      </c>
      <c r="F4364" t="s">
        <v>1551</v>
      </c>
      <c r="G4364" t="str">
        <f>"09-I06-04"</f>
        <v>09-I06-04</v>
      </c>
      <c r="H4364">
        <v>0.98829999999999996</v>
      </c>
      <c r="J4364" t="s">
        <v>17</v>
      </c>
      <c r="K4364" t="str">
        <f>"5F1"</f>
        <v>5F1</v>
      </c>
      <c r="L4364" t="s">
        <v>15</v>
      </c>
    </row>
    <row r="4365" spans="1:12" x14ac:dyDescent="0.25">
      <c r="A4365" t="str">
        <f>"475110170"</f>
        <v>475110170</v>
      </c>
      <c r="B4365" t="str">
        <f t="shared" si="252"/>
        <v>89301000</v>
      </c>
      <c r="C4365" s="1">
        <v>44487</v>
      </c>
      <c r="D4365" s="1">
        <v>44496</v>
      </c>
      <c r="E4365">
        <v>4</v>
      </c>
      <c r="F4365" t="s">
        <v>2407</v>
      </c>
      <c r="G4365" t="str">
        <f>"08-I06-04"</f>
        <v>08-I06-04</v>
      </c>
      <c r="H4365">
        <v>2.4260000000000002</v>
      </c>
      <c r="I4365" t="s">
        <v>2430</v>
      </c>
      <c r="J4365" t="s">
        <v>24</v>
      </c>
      <c r="K4365" t="str">
        <f>"6F6"</f>
        <v>6F6</v>
      </c>
      <c r="L4365" t="s">
        <v>15</v>
      </c>
    </row>
    <row r="4366" spans="1:12" x14ac:dyDescent="0.25">
      <c r="A4366" t="str">
        <f>"475122410"</f>
        <v>475122410</v>
      </c>
      <c r="B4366" t="str">
        <f t="shared" si="252"/>
        <v>89301000</v>
      </c>
      <c r="C4366" s="1">
        <v>44349</v>
      </c>
      <c r="D4366" s="1">
        <v>44350</v>
      </c>
      <c r="E4366">
        <v>1</v>
      </c>
      <c r="F4366" t="s">
        <v>1650</v>
      </c>
      <c r="G4366" t="str">
        <f>"05-D01-06"</f>
        <v>05-D01-06</v>
      </c>
      <c r="H4366">
        <v>0.7611</v>
      </c>
      <c r="I4366" t="s">
        <v>1959</v>
      </c>
      <c r="J4366" t="s">
        <v>14</v>
      </c>
      <c r="K4366" t="str">
        <f>"1F1"</f>
        <v>1F1</v>
      </c>
      <c r="L4366" t="s">
        <v>15</v>
      </c>
    </row>
    <row r="4367" spans="1:12" x14ac:dyDescent="0.25">
      <c r="A4367" t="str">
        <f>"475123402"</f>
        <v>475123402</v>
      </c>
      <c r="B4367" t="str">
        <f t="shared" ref="B4367:B4430" si="254">"89301000"</f>
        <v>89301000</v>
      </c>
      <c r="C4367" s="1">
        <v>44393</v>
      </c>
      <c r="D4367" s="1">
        <v>44400</v>
      </c>
      <c r="E4367">
        <v>1</v>
      </c>
      <c r="F4367" t="s">
        <v>607</v>
      </c>
      <c r="G4367" t="str">
        <f>"11-K03-02"</f>
        <v>11-K03-02</v>
      </c>
      <c r="H4367">
        <v>0.6008</v>
      </c>
      <c r="I4367" t="s">
        <v>3170</v>
      </c>
      <c r="J4367" t="s">
        <v>14</v>
      </c>
      <c r="K4367" t="str">
        <f>"1F1"</f>
        <v>1F1</v>
      </c>
      <c r="L4367" t="s">
        <v>15</v>
      </c>
    </row>
    <row r="4368" spans="1:12" x14ac:dyDescent="0.25">
      <c r="A4368" t="str">
        <f>"475123420"</f>
        <v>475123420</v>
      </c>
      <c r="B4368" t="str">
        <f t="shared" si="254"/>
        <v>89301000</v>
      </c>
      <c r="C4368" s="1">
        <v>44353</v>
      </c>
      <c r="D4368" s="1">
        <v>44361</v>
      </c>
      <c r="E4368">
        <v>4</v>
      </c>
      <c r="F4368" t="s">
        <v>2407</v>
      </c>
      <c r="G4368" t="str">
        <f>"08-I06-04"</f>
        <v>08-I06-04</v>
      </c>
      <c r="H4368">
        <v>2.4260000000000002</v>
      </c>
      <c r="I4368" t="s">
        <v>3171</v>
      </c>
      <c r="J4368" t="s">
        <v>24</v>
      </c>
      <c r="K4368" t="str">
        <f>"6F6"</f>
        <v>6F6</v>
      </c>
      <c r="L4368" t="s">
        <v>15</v>
      </c>
    </row>
    <row r="4369" spans="1:12" x14ac:dyDescent="0.25">
      <c r="A4369" t="str">
        <f>"475128452"</f>
        <v>475128452</v>
      </c>
      <c r="B4369" t="str">
        <f t="shared" si="254"/>
        <v>89301000</v>
      </c>
      <c r="C4369" s="1">
        <v>44264</v>
      </c>
      <c r="D4369" s="1">
        <v>44267</v>
      </c>
      <c r="E4369">
        <v>4</v>
      </c>
      <c r="F4369" t="s">
        <v>3172</v>
      </c>
      <c r="G4369" t="str">
        <f>"19-K02-03"</f>
        <v>19-K02-03</v>
      </c>
      <c r="H4369">
        <v>0.67269999999999996</v>
      </c>
      <c r="I4369" t="s">
        <v>3173</v>
      </c>
      <c r="J4369" t="s">
        <v>27</v>
      </c>
      <c r="K4369" t="str">
        <f>"3F5"</f>
        <v>3F5</v>
      </c>
      <c r="L4369" t="s">
        <v>15</v>
      </c>
    </row>
    <row r="4370" spans="1:12" x14ac:dyDescent="0.25">
      <c r="A4370" t="str">
        <f>"475130041"</f>
        <v>475130041</v>
      </c>
      <c r="B4370" t="str">
        <f t="shared" si="254"/>
        <v>89301000</v>
      </c>
      <c r="C4370" s="1">
        <v>44455</v>
      </c>
      <c r="D4370" s="1">
        <v>44456</v>
      </c>
      <c r="E4370">
        <v>1</v>
      </c>
      <c r="F4370" t="s">
        <v>1551</v>
      </c>
      <c r="G4370" t="str">
        <f>"09-K08-02"</f>
        <v>09-K08-02</v>
      </c>
      <c r="H4370">
        <v>0.54849999999999999</v>
      </c>
      <c r="J4370" t="s">
        <v>14</v>
      </c>
      <c r="K4370" t="str">
        <f>"5F1"</f>
        <v>5F1</v>
      </c>
      <c r="L4370" t="s">
        <v>15</v>
      </c>
    </row>
    <row r="4371" spans="1:12" x14ac:dyDescent="0.25">
      <c r="A4371" t="str">
        <f>"475130041"</f>
        <v>475130041</v>
      </c>
      <c r="B4371" t="str">
        <f t="shared" si="254"/>
        <v>89301000</v>
      </c>
      <c r="C4371" s="1">
        <v>44476</v>
      </c>
      <c r="D4371" s="1">
        <v>44480</v>
      </c>
      <c r="E4371">
        <v>1</v>
      </c>
      <c r="F4371" t="s">
        <v>1551</v>
      </c>
      <c r="G4371" t="str">
        <f>"09-I06-04"</f>
        <v>09-I06-04</v>
      </c>
      <c r="H4371">
        <v>0.98829999999999996</v>
      </c>
      <c r="J4371" t="s">
        <v>17</v>
      </c>
      <c r="K4371" t="str">
        <f>"5F1"</f>
        <v>5F1</v>
      </c>
      <c r="L4371" t="s">
        <v>15</v>
      </c>
    </row>
    <row r="4372" spans="1:12" x14ac:dyDescent="0.25">
      <c r="A4372" t="str">
        <f>"475205414"</f>
        <v>475205414</v>
      </c>
      <c r="B4372" t="str">
        <f t="shared" si="254"/>
        <v>89301000</v>
      </c>
      <c r="C4372" s="1">
        <v>44235</v>
      </c>
      <c r="D4372" s="1">
        <v>44242</v>
      </c>
      <c r="E4372">
        <v>5</v>
      </c>
      <c r="F4372" t="s">
        <v>1604</v>
      </c>
      <c r="G4372" t="str">
        <f>"05-I25-03"</f>
        <v>05-I25-03</v>
      </c>
      <c r="H4372">
        <v>1.5508</v>
      </c>
      <c r="I4372" t="s">
        <v>3174</v>
      </c>
      <c r="J4372" t="s">
        <v>17</v>
      </c>
      <c r="K4372" t="str">
        <f>"1F1"</f>
        <v>1F1</v>
      </c>
      <c r="L4372" t="s">
        <v>15</v>
      </c>
    </row>
    <row r="4373" spans="1:12" x14ac:dyDescent="0.25">
      <c r="A4373" t="str">
        <f>"475207048"</f>
        <v>475207048</v>
      </c>
      <c r="B4373" t="str">
        <f t="shared" si="254"/>
        <v>89301000</v>
      </c>
      <c r="C4373" s="1">
        <v>44246</v>
      </c>
      <c r="D4373" s="1">
        <v>44253</v>
      </c>
      <c r="E4373">
        <v>1</v>
      </c>
      <c r="F4373" t="s">
        <v>2519</v>
      </c>
      <c r="G4373" t="str">
        <f>"09-K01-02"</f>
        <v>09-K01-02</v>
      </c>
      <c r="H4373">
        <v>1.0527</v>
      </c>
      <c r="I4373" t="s">
        <v>3175</v>
      </c>
      <c r="J4373" t="s">
        <v>14</v>
      </c>
      <c r="K4373" t="str">
        <f>"4F4"</f>
        <v>4F4</v>
      </c>
      <c r="L4373" t="s">
        <v>15</v>
      </c>
    </row>
    <row r="4374" spans="1:12" x14ac:dyDescent="0.25">
      <c r="A4374" t="str">
        <f>"475208411"</f>
        <v>475208411</v>
      </c>
      <c r="B4374" t="str">
        <f t="shared" si="254"/>
        <v>89301000</v>
      </c>
      <c r="C4374" s="1">
        <v>44206</v>
      </c>
      <c r="D4374" s="1">
        <v>44207</v>
      </c>
      <c r="E4374">
        <v>1</v>
      </c>
      <c r="F4374" t="s">
        <v>1604</v>
      </c>
      <c r="G4374" t="str">
        <f>"05-I25-03"</f>
        <v>05-I25-03</v>
      </c>
      <c r="H4374">
        <v>1.5508</v>
      </c>
      <c r="I4374" t="s">
        <v>1892</v>
      </c>
      <c r="J4374" t="s">
        <v>17</v>
      </c>
      <c r="K4374" t="str">
        <f>"1F1"</f>
        <v>1F1</v>
      </c>
      <c r="L4374" t="s">
        <v>15</v>
      </c>
    </row>
    <row r="4375" spans="1:12" x14ac:dyDescent="0.25">
      <c r="A4375" t="str">
        <f>"475210402"</f>
        <v>475210402</v>
      </c>
      <c r="B4375" t="str">
        <f t="shared" si="254"/>
        <v>89301000</v>
      </c>
      <c r="C4375" s="1">
        <v>44416</v>
      </c>
      <c r="D4375" s="1">
        <v>44421</v>
      </c>
      <c r="E4375">
        <v>1</v>
      </c>
      <c r="F4375" t="s">
        <v>424</v>
      </c>
      <c r="G4375" t="str">
        <f>"07-M02-04"</f>
        <v>07-M02-04</v>
      </c>
      <c r="H4375">
        <v>0.88859999999999995</v>
      </c>
      <c r="I4375" t="s">
        <v>3176</v>
      </c>
      <c r="J4375" t="s">
        <v>17</v>
      </c>
      <c r="K4375" t="str">
        <f>"1F5"</f>
        <v>1F5</v>
      </c>
      <c r="L4375" t="s">
        <v>15</v>
      </c>
    </row>
    <row r="4376" spans="1:12" x14ac:dyDescent="0.25">
      <c r="A4376" t="str">
        <f>"475210402"</f>
        <v>475210402</v>
      </c>
      <c r="B4376" t="str">
        <f t="shared" si="254"/>
        <v>89301000</v>
      </c>
      <c r="C4376" s="1">
        <v>44447</v>
      </c>
      <c r="D4376" s="1">
        <v>44451</v>
      </c>
      <c r="E4376">
        <v>1</v>
      </c>
      <c r="F4376" t="s">
        <v>335</v>
      </c>
      <c r="G4376" t="str">
        <f>"07-I10-06"</f>
        <v>07-I10-06</v>
      </c>
      <c r="H4376">
        <v>1.0547</v>
      </c>
      <c r="I4376" t="s">
        <v>2119</v>
      </c>
      <c r="J4376" t="s">
        <v>17</v>
      </c>
      <c r="K4376" t="str">
        <f>"5F1"</f>
        <v>5F1</v>
      </c>
      <c r="L4376" t="s">
        <v>15</v>
      </c>
    </row>
    <row r="4377" spans="1:12" x14ac:dyDescent="0.25">
      <c r="A4377" t="str">
        <f>"475212474"</f>
        <v>475212474</v>
      </c>
      <c r="B4377" t="str">
        <f t="shared" si="254"/>
        <v>89301000</v>
      </c>
      <c r="C4377" s="1">
        <v>44249</v>
      </c>
      <c r="D4377" s="1">
        <v>44257</v>
      </c>
      <c r="E4377">
        <v>4</v>
      </c>
      <c r="F4377" t="s">
        <v>3177</v>
      </c>
      <c r="G4377" t="str">
        <f>"08-I05-05"</f>
        <v>08-I05-05</v>
      </c>
      <c r="H4377">
        <v>2.2932000000000001</v>
      </c>
      <c r="I4377" t="s">
        <v>3178</v>
      </c>
      <c r="J4377" t="s">
        <v>17</v>
      </c>
      <c r="K4377" t="str">
        <f>"6F6"</f>
        <v>6F6</v>
      </c>
      <c r="L4377" t="s">
        <v>15</v>
      </c>
    </row>
    <row r="4378" spans="1:12" x14ac:dyDescent="0.25">
      <c r="A4378" t="str">
        <f>"475216447"</f>
        <v>475216447</v>
      </c>
      <c r="B4378" t="str">
        <f t="shared" si="254"/>
        <v>89301000</v>
      </c>
      <c r="C4378" s="1">
        <v>44306</v>
      </c>
      <c r="D4378" s="1">
        <v>44306</v>
      </c>
      <c r="E4378">
        <v>1</v>
      </c>
      <c r="F4378" t="s">
        <v>489</v>
      </c>
      <c r="G4378" t="str">
        <f>"05-D01-08"</f>
        <v>05-D01-08</v>
      </c>
      <c r="H4378">
        <v>0.21890000000000001</v>
      </c>
      <c r="I4378" t="s">
        <v>3179</v>
      </c>
      <c r="J4378" t="s">
        <v>14</v>
      </c>
      <c r="K4378" t="str">
        <f>"1F1"</f>
        <v>1F1</v>
      </c>
      <c r="L4378" t="s">
        <v>15</v>
      </c>
    </row>
    <row r="4379" spans="1:12" x14ac:dyDescent="0.25">
      <c r="A4379" t="str">
        <f>"475218096"</f>
        <v>475218096</v>
      </c>
      <c r="B4379" t="str">
        <f t="shared" si="254"/>
        <v>89301000</v>
      </c>
      <c r="C4379" s="1">
        <v>44481</v>
      </c>
      <c r="D4379" s="1">
        <v>44488</v>
      </c>
      <c r="E4379">
        <v>1</v>
      </c>
      <c r="F4379" t="s">
        <v>3180</v>
      </c>
      <c r="G4379" t="str">
        <f>"08-K02-03"</f>
        <v>08-K02-03</v>
      </c>
      <c r="H4379">
        <v>0.73560000000000003</v>
      </c>
      <c r="I4379" t="s">
        <v>3181</v>
      </c>
      <c r="J4379" t="s">
        <v>14</v>
      </c>
      <c r="K4379" t="str">
        <f>"1F9"</f>
        <v>1F9</v>
      </c>
      <c r="L4379" t="s">
        <v>15</v>
      </c>
    </row>
    <row r="4380" spans="1:12" x14ac:dyDescent="0.25">
      <c r="A4380" t="str">
        <f>"475219484"</f>
        <v>475219484</v>
      </c>
      <c r="B4380" t="str">
        <f t="shared" si="254"/>
        <v>89301000</v>
      </c>
      <c r="C4380" s="1">
        <v>44388</v>
      </c>
      <c r="D4380" s="1">
        <v>44392</v>
      </c>
      <c r="E4380">
        <v>1</v>
      </c>
      <c r="F4380" t="s">
        <v>3182</v>
      </c>
      <c r="G4380" t="str">
        <f>"17-K08-00"</f>
        <v>17-K08-00</v>
      </c>
      <c r="H4380">
        <v>0.61829999999999996</v>
      </c>
      <c r="I4380" t="s">
        <v>3183</v>
      </c>
      <c r="J4380" t="s">
        <v>14</v>
      </c>
      <c r="K4380" t="str">
        <f>"4F2"</f>
        <v>4F2</v>
      </c>
      <c r="L4380" t="s">
        <v>15</v>
      </c>
    </row>
    <row r="4381" spans="1:12" x14ac:dyDescent="0.25">
      <c r="A4381" t="str">
        <f>"475221403"</f>
        <v>475221403</v>
      </c>
      <c r="B4381" t="str">
        <f t="shared" si="254"/>
        <v>89301000</v>
      </c>
      <c r="C4381" s="1">
        <v>44340</v>
      </c>
      <c r="D4381" s="1">
        <v>44343</v>
      </c>
      <c r="E4381">
        <v>1</v>
      </c>
      <c r="F4381" t="s">
        <v>1551</v>
      </c>
      <c r="G4381" t="str">
        <f>"09-I06-04"</f>
        <v>09-I06-04</v>
      </c>
      <c r="H4381">
        <v>0.98829999999999996</v>
      </c>
      <c r="J4381" t="s">
        <v>17</v>
      </c>
      <c r="K4381" t="str">
        <f>"5F1"</f>
        <v>5F1</v>
      </c>
      <c r="L4381" t="s">
        <v>15</v>
      </c>
    </row>
    <row r="4382" spans="1:12" x14ac:dyDescent="0.25">
      <c r="A4382" t="str">
        <f>"475223402"</f>
        <v>475223402</v>
      </c>
      <c r="B4382" t="str">
        <f t="shared" si="254"/>
        <v>89301000</v>
      </c>
      <c r="C4382" s="1">
        <v>44340</v>
      </c>
      <c r="D4382" s="1">
        <v>44342</v>
      </c>
      <c r="E4382">
        <v>1</v>
      </c>
      <c r="F4382" t="s">
        <v>1604</v>
      </c>
      <c r="G4382" t="str">
        <f>"05-I25-03"</f>
        <v>05-I25-03</v>
      </c>
      <c r="H4382">
        <v>1.5508</v>
      </c>
      <c r="I4382" t="s">
        <v>3184</v>
      </c>
      <c r="J4382" t="s">
        <v>17</v>
      </c>
      <c r="K4382" t="str">
        <f>"1F7"</f>
        <v>1F7</v>
      </c>
      <c r="L4382" t="s">
        <v>15</v>
      </c>
    </row>
    <row r="4383" spans="1:12" x14ac:dyDescent="0.25">
      <c r="A4383" t="str">
        <f>"475226953"</f>
        <v>475226953</v>
      </c>
      <c r="B4383" t="str">
        <f t="shared" si="254"/>
        <v>89301000</v>
      </c>
      <c r="C4383" s="1">
        <v>44254</v>
      </c>
      <c r="D4383" s="1">
        <v>44258</v>
      </c>
      <c r="E4383">
        <v>1</v>
      </c>
      <c r="F4383" t="s">
        <v>2360</v>
      </c>
      <c r="G4383" t="str">
        <f>"06-M01-03"</f>
        <v>06-M01-03</v>
      </c>
      <c r="H4383">
        <v>0.82450000000000001</v>
      </c>
      <c r="I4383" t="s">
        <v>3185</v>
      </c>
      <c r="J4383" t="s">
        <v>14</v>
      </c>
      <c r="K4383" t="str">
        <f>"1F5"</f>
        <v>1F5</v>
      </c>
      <c r="L4383" t="s">
        <v>15</v>
      </c>
    </row>
    <row r="4384" spans="1:12" x14ac:dyDescent="0.25">
      <c r="A4384" t="str">
        <f>"475310111"</f>
        <v>475310111</v>
      </c>
      <c r="B4384" t="str">
        <f t="shared" si="254"/>
        <v>89301000</v>
      </c>
      <c r="C4384" s="1">
        <v>44413</v>
      </c>
      <c r="D4384" s="1">
        <v>44469</v>
      </c>
      <c r="E4384">
        <v>1</v>
      </c>
      <c r="F4384" t="s">
        <v>3186</v>
      </c>
      <c r="G4384" t="str">
        <f>"13-I06-02"</f>
        <v>13-I06-02</v>
      </c>
      <c r="H4384">
        <v>5.9440999999999997</v>
      </c>
      <c r="I4384" t="s">
        <v>3187</v>
      </c>
      <c r="J4384" t="s">
        <v>106</v>
      </c>
      <c r="K4384" t="str">
        <f>"6F3"</f>
        <v>6F3</v>
      </c>
      <c r="L4384" t="s">
        <v>15</v>
      </c>
    </row>
    <row r="4385" spans="1:12" x14ac:dyDescent="0.25">
      <c r="A4385" t="str">
        <f>"475310111"</f>
        <v>475310111</v>
      </c>
      <c r="B4385" t="str">
        <f t="shared" si="254"/>
        <v>89301000</v>
      </c>
      <c r="C4385" s="1">
        <v>44550</v>
      </c>
      <c r="D4385" s="1">
        <v>44553</v>
      </c>
      <c r="E4385">
        <v>4</v>
      </c>
      <c r="F4385" t="s">
        <v>3186</v>
      </c>
      <c r="G4385" t="str">
        <f>"13-R01-08"</f>
        <v>13-R01-08</v>
      </c>
      <c r="H4385">
        <v>0.95179999999999998</v>
      </c>
      <c r="I4385" t="s">
        <v>145</v>
      </c>
      <c r="J4385" t="s">
        <v>14</v>
      </c>
      <c r="K4385" t="str">
        <f>"4F2"</f>
        <v>4F2</v>
      </c>
      <c r="L4385" t="s">
        <v>15</v>
      </c>
    </row>
    <row r="4386" spans="1:12" x14ac:dyDescent="0.25">
      <c r="A4386" t="str">
        <f>"475319434"</f>
        <v>475319434</v>
      </c>
      <c r="B4386" t="str">
        <f t="shared" si="254"/>
        <v>89301000</v>
      </c>
      <c r="C4386" s="1">
        <v>44500</v>
      </c>
      <c r="D4386" s="1">
        <v>44508</v>
      </c>
      <c r="E4386">
        <v>1</v>
      </c>
      <c r="F4386" t="s">
        <v>38</v>
      </c>
      <c r="G4386" t="str">
        <f>"05-I16-04"</f>
        <v>05-I16-04</v>
      </c>
      <c r="H4386">
        <v>6.1497999999999999</v>
      </c>
      <c r="J4386" t="s">
        <v>17</v>
      </c>
      <c r="K4386" t="str">
        <f>"5F5"</f>
        <v>5F5</v>
      </c>
      <c r="L4386" t="s">
        <v>15</v>
      </c>
    </row>
    <row r="4387" spans="1:12" x14ac:dyDescent="0.25">
      <c r="A4387" t="str">
        <f>"475329408"</f>
        <v>475329408</v>
      </c>
      <c r="B4387" t="str">
        <f t="shared" si="254"/>
        <v>89301000</v>
      </c>
      <c r="C4387" s="1">
        <v>44323</v>
      </c>
      <c r="D4387" s="1">
        <v>44323</v>
      </c>
      <c r="E4387">
        <v>1</v>
      </c>
      <c r="F4387" t="s">
        <v>1557</v>
      </c>
      <c r="G4387" t="str">
        <f>"05-D01-08"</f>
        <v>05-D01-08</v>
      </c>
      <c r="H4387">
        <v>0.21890000000000001</v>
      </c>
      <c r="I4387" t="s">
        <v>2183</v>
      </c>
      <c r="J4387" t="s">
        <v>14</v>
      </c>
      <c r="K4387" t="str">
        <f>"1F1"</f>
        <v>1F1</v>
      </c>
      <c r="L4387" t="s">
        <v>15</v>
      </c>
    </row>
    <row r="4388" spans="1:12" x14ac:dyDescent="0.25">
      <c r="A4388" t="str">
        <f>"475329408"</f>
        <v>475329408</v>
      </c>
      <c r="B4388" t="str">
        <f t="shared" si="254"/>
        <v>89301000</v>
      </c>
      <c r="C4388" s="1">
        <v>44361</v>
      </c>
      <c r="D4388" s="1">
        <v>44369</v>
      </c>
      <c r="E4388">
        <v>1</v>
      </c>
      <c r="F4388" t="s">
        <v>1557</v>
      </c>
      <c r="G4388" t="str">
        <f>"05-I16-06"</f>
        <v>05-I16-06</v>
      </c>
      <c r="H4388">
        <v>5.2988</v>
      </c>
      <c r="J4388" t="s">
        <v>17</v>
      </c>
      <c r="K4388" t="str">
        <f>"5F5"</f>
        <v>5F5</v>
      </c>
      <c r="L4388" t="s">
        <v>15</v>
      </c>
    </row>
    <row r="4389" spans="1:12" x14ac:dyDescent="0.25">
      <c r="A4389" t="str">
        <f>"475401402"</f>
        <v>475401402</v>
      </c>
      <c r="B4389" t="str">
        <f t="shared" si="254"/>
        <v>89301000</v>
      </c>
      <c r="C4389" s="1">
        <v>44361</v>
      </c>
      <c r="D4389" s="1">
        <v>44369</v>
      </c>
      <c r="E4389">
        <v>1</v>
      </c>
      <c r="F4389" t="s">
        <v>979</v>
      </c>
      <c r="G4389" t="str">
        <f>"04-K02-04"</f>
        <v>04-K02-04</v>
      </c>
      <c r="H4389">
        <v>0.82469999999999999</v>
      </c>
      <c r="I4389" t="s">
        <v>2959</v>
      </c>
      <c r="J4389" t="s">
        <v>14</v>
      </c>
      <c r="K4389" t="str">
        <f>"1F5"</f>
        <v>1F5</v>
      </c>
      <c r="L4389" t="s">
        <v>15</v>
      </c>
    </row>
    <row r="4390" spans="1:12" x14ac:dyDescent="0.25">
      <c r="A4390" t="str">
        <f>"475401415"</f>
        <v>475401415</v>
      </c>
      <c r="B4390" t="str">
        <f t="shared" si="254"/>
        <v>89301000</v>
      </c>
      <c r="C4390" s="1">
        <v>44555</v>
      </c>
      <c r="D4390" s="1">
        <v>44558</v>
      </c>
      <c r="E4390">
        <v>1</v>
      </c>
      <c r="F4390" t="s">
        <v>217</v>
      </c>
      <c r="G4390" t="str">
        <f>"04-K02-04"</f>
        <v>04-K02-04</v>
      </c>
      <c r="H4390">
        <v>0.82469999999999999</v>
      </c>
      <c r="I4390" t="s">
        <v>3188</v>
      </c>
      <c r="J4390" t="s">
        <v>14</v>
      </c>
      <c r="K4390" t="str">
        <f>"1F1"</f>
        <v>1F1</v>
      </c>
      <c r="L4390" t="s">
        <v>15</v>
      </c>
    </row>
    <row r="4391" spans="1:12" x14ac:dyDescent="0.25">
      <c r="A4391" t="str">
        <f>"475402408"</f>
        <v>475402408</v>
      </c>
      <c r="B4391" t="str">
        <f t="shared" si="254"/>
        <v>89301000</v>
      </c>
      <c r="C4391" s="1">
        <v>44431</v>
      </c>
      <c r="D4391" s="1">
        <v>44438</v>
      </c>
      <c r="E4391">
        <v>1</v>
      </c>
      <c r="F4391" t="s">
        <v>146</v>
      </c>
      <c r="G4391" t="str">
        <f>"17-C05-04"</f>
        <v>17-C05-04</v>
      </c>
      <c r="H4391">
        <v>0.7712</v>
      </c>
      <c r="I4391" t="s">
        <v>3189</v>
      </c>
      <c r="J4391" t="s">
        <v>14</v>
      </c>
      <c r="K4391" t="str">
        <f>"2F2"</f>
        <v>2F2</v>
      </c>
      <c r="L4391" t="s">
        <v>15</v>
      </c>
    </row>
    <row r="4392" spans="1:12" x14ac:dyDescent="0.25">
      <c r="A4392" t="str">
        <f>"475402408"</f>
        <v>475402408</v>
      </c>
      <c r="B4392" t="str">
        <f t="shared" si="254"/>
        <v>89301000</v>
      </c>
      <c r="C4392" s="1">
        <v>44301</v>
      </c>
      <c r="D4392" s="1">
        <v>44313</v>
      </c>
      <c r="E4392">
        <v>1</v>
      </c>
      <c r="F4392" t="s">
        <v>146</v>
      </c>
      <c r="G4392" t="str">
        <f>"17-C05-04"</f>
        <v>17-C05-04</v>
      </c>
      <c r="H4392">
        <v>0.92110000000000003</v>
      </c>
      <c r="I4392" t="s">
        <v>3190</v>
      </c>
      <c r="J4392" t="s">
        <v>14</v>
      </c>
      <c r="K4392" t="str">
        <f>"2F2"</f>
        <v>2F2</v>
      </c>
      <c r="L4392" t="s">
        <v>15</v>
      </c>
    </row>
    <row r="4393" spans="1:12" x14ac:dyDescent="0.25">
      <c r="A4393" t="str">
        <f>"475402408"</f>
        <v>475402408</v>
      </c>
      <c r="B4393" t="str">
        <f t="shared" si="254"/>
        <v>89301000</v>
      </c>
      <c r="C4393" s="1">
        <v>44215</v>
      </c>
      <c r="D4393" s="1">
        <v>44217</v>
      </c>
      <c r="E4393">
        <v>1</v>
      </c>
      <c r="F4393" t="s">
        <v>1193</v>
      </c>
      <c r="G4393" t="str">
        <f>"16-I04-01"</f>
        <v>16-I04-01</v>
      </c>
      <c r="H4393">
        <v>1.0134000000000001</v>
      </c>
      <c r="I4393" t="s">
        <v>168</v>
      </c>
      <c r="J4393" t="s">
        <v>17</v>
      </c>
      <c r="K4393" t="str">
        <f>"7F1"</f>
        <v>7F1</v>
      </c>
      <c r="L4393" t="s">
        <v>15</v>
      </c>
    </row>
    <row r="4394" spans="1:12" x14ac:dyDescent="0.25">
      <c r="A4394" t="str">
        <f>"475402408"</f>
        <v>475402408</v>
      </c>
      <c r="B4394" t="str">
        <f t="shared" si="254"/>
        <v>89301000</v>
      </c>
      <c r="C4394" s="1">
        <v>44238</v>
      </c>
      <c r="D4394" s="1">
        <v>44258</v>
      </c>
      <c r="E4394">
        <v>1</v>
      </c>
      <c r="F4394" t="s">
        <v>146</v>
      </c>
      <c r="G4394" t="str">
        <f>"17-C05-04"</f>
        <v>17-C05-04</v>
      </c>
      <c r="H4394">
        <v>2.5371000000000001</v>
      </c>
      <c r="I4394" t="s">
        <v>3191</v>
      </c>
      <c r="J4394" t="s">
        <v>14</v>
      </c>
      <c r="K4394" t="str">
        <f>"2F2"</f>
        <v>2F2</v>
      </c>
      <c r="L4394" t="s">
        <v>15</v>
      </c>
    </row>
    <row r="4395" spans="1:12" x14ac:dyDescent="0.25">
      <c r="A4395" t="str">
        <f t="shared" ref="A4395:A4402" si="255">"475403403"</f>
        <v>475403403</v>
      </c>
      <c r="B4395" t="str">
        <f t="shared" si="254"/>
        <v>89301000</v>
      </c>
      <c r="C4395" s="1">
        <v>44307</v>
      </c>
      <c r="D4395" s="1">
        <v>44309</v>
      </c>
      <c r="E4395">
        <v>1</v>
      </c>
      <c r="F4395" t="s">
        <v>146</v>
      </c>
      <c r="G4395" t="str">
        <f>"17-C05-04"</f>
        <v>17-C05-04</v>
      </c>
      <c r="H4395">
        <v>0.7712</v>
      </c>
      <c r="I4395" t="s">
        <v>3192</v>
      </c>
      <c r="J4395" t="s">
        <v>14</v>
      </c>
      <c r="K4395" t="str">
        <f>"2F2"</f>
        <v>2F2</v>
      </c>
      <c r="L4395" t="s">
        <v>15</v>
      </c>
    </row>
    <row r="4396" spans="1:12" x14ac:dyDescent="0.25">
      <c r="A4396" t="str">
        <f t="shared" si="255"/>
        <v>475403403</v>
      </c>
      <c r="B4396" t="str">
        <f t="shared" si="254"/>
        <v>89301000</v>
      </c>
      <c r="C4396" s="1">
        <v>44194</v>
      </c>
      <c r="D4396" s="1">
        <v>44204</v>
      </c>
      <c r="E4396">
        <v>1</v>
      </c>
      <c r="F4396" t="s">
        <v>3193</v>
      </c>
      <c r="G4396" t="str">
        <f>"03-I22-02"</f>
        <v>03-I22-02</v>
      </c>
      <c r="H4396">
        <v>0.75970000000000004</v>
      </c>
      <c r="I4396" t="s">
        <v>3194</v>
      </c>
      <c r="J4396" t="s">
        <v>14</v>
      </c>
      <c r="K4396" t="str">
        <f>"7F1"</f>
        <v>7F1</v>
      </c>
      <c r="L4396" t="s">
        <v>15</v>
      </c>
    </row>
    <row r="4397" spans="1:12" x14ac:dyDescent="0.25">
      <c r="A4397" t="str">
        <f t="shared" si="255"/>
        <v>475403403</v>
      </c>
      <c r="B4397" t="str">
        <f t="shared" si="254"/>
        <v>89301000</v>
      </c>
      <c r="C4397" s="1">
        <v>44217</v>
      </c>
      <c r="D4397" s="1">
        <v>44230</v>
      </c>
      <c r="E4397">
        <v>2</v>
      </c>
      <c r="F4397" t="s">
        <v>146</v>
      </c>
      <c r="G4397" t="str">
        <f>"17-K05-01"</f>
        <v>17-K05-01</v>
      </c>
      <c r="H4397">
        <v>2.6164999999999998</v>
      </c>
      <c r="I4397" t="s">
        <v>3195</v>
      </c>
      <c r="J4397" t="s">
        <v>14</v>
      </c>
      <c r="K4397" t="str">
        <f>"2F2"</f>
        <v>2F2</v>
      </c>
      <c r="L4397" t="s">
        <v>15</v>
      </c>
    </row>
    <row r="4398" spans="1:12" x14ac:dyDescent="0.25">
      <c r="A4398" t="str">
        <f t="shared" si="255"/>
        <v>475403403</v>
      </c>
      <c r="B4398" t="str">
        <f t="shared" si="254"/>
        <v>89301000</v>
      </c>
      <c r="C4398" s="1">
        <v>44264</v>
      </c>
      <c r="D4398" s="1">
        <v>44266</v>
      </c>
      <c r="E4398">
        <v>4</v>
      </c>
      <c r="F4398" t="s">
        <v>146</v>
      </c>
      <c r="G4398" t="str">
        <f>"17-C05-04"</f>
        <v>17-C05-04</v>
      </c>
      <c r="H4398">
        <v>0.7712</v>
      </c>
      <c r="I4398" t="s">
        <v>3196</v>
      </c>
      <c r="J4398" t="s">
        <v>14</v>
      </c>
      <c r="K4398" t="str">
        <f>"2F2"</f>
        <v>2F2</v>
      </c>
      <c r="L4398" t="s">
        <v>15</v>
      </c>
    </row>
    <row r="4399" spans="1:12" x14ac:dyDescent="0.25">
      <c r="A4399" t="str">
        <f t="shared" si="255"/>
        <v>475403403</v>
      </c>
      <c r="B4399" t="str">
        <f t="shared" si="254"/>
        <v>89301000</v>
      </c>
      <c r="C4399" s="1">
        <v>44286</v>
      </c>
      <c r="D4399" s="1">
        <v>44287</v>
      </c>
      <c r="E4399">
        <v>2</v>
      </c>
      <c r="F4399" t="s">
        <v>146</v>
      </c>
      <c r="G4399" t="str">
        <f>"17-C05-04"</f>
        <v>17-C05-04</v>
      </c>
      <c r="H4399">
        <v>0.7712</v>
      </c>
      <c r="I4399" t="s">
        <v>3197</v>
      </c>
      <c r="J4399" t="s">
        <v>14</v>
      </c>
      <c r="K4399" t="str">
        <f>"2F2"</f>
        <v>2F2</v>
      </c>
      <c r="L4399" t="s">
        <v>15</v>
      </c>
    </row>
    <row r="4400" spans="1:12" x14ac:dyDescent="0.25">
      <c r="A4400" t="str">
        <f t="shared" si="255"/>
        <v>475403403</v>
      </c>
      <c r="B4400" t="str">
        <f t="shared" si="254"/>
        <v>89301000</v>
      </c>
      <c r="C4400" s="1">
        <v>44411</v>
      </c>
      <c r="D4400" s="1">
        <v>44414</v>
      </c>
      <c r="E4400">
        <v>1</v>
      </c>
      <c r="F4400" t="s">
        <v>146</v>
      </c>
      <c r="G4400" t="str">
        <f>"17-K05-02"</f>
        <v>17-K05-02</v>
      </c>
      <c r="H4400">
        <v>0.94220000000000004</v>
      </c>
      <c r="I4400" t="s">
        <v>3198</v>
      </c>
      <c r="J4400" t="s">
        <v>14</v>
      </c>
      <c r="K4400" t="str">
        <f>"6F6"</f>
        <v>6F6</v>
      </c>
      <c r="L4400" t="s">
        <v>15</v>
      </c>
    </row>
    <row r="4401" spans="1:12" x14ac:dyDescent="0.25">
      <c r="A4401" t="str">
        <f t="shared" si="255"/>
        <v>475403403</v>
      </c>
      <c r="B4401" t="str">
        <f t="shared" si="254"/>
        <v>89301000</v>
      </c>
      <c r="C4401" s="1">
        <v>44355</v>
      </c>
      <c r="D4401" s="1">
        <v>44357</v>
      </c>
      <c r="E4401">
        <v>4</v>
      </c>
      <c r="F4401" t="s">
        <v>146</v>
      </c>
      <c r="G4401" t="str">
        <f>"17-C05-04"</f>
        <v>17-C05-04</v>
      </c>
      <c r="H4401">
        <v>0.7712</v>
      </c>
      <c r="I4401" t="s">
        <v>2945</v>
      </c>
      <c r="J4401" t="s">
        <v>14</v>
      </c>
      <c r="K4401" t="str">
        <f>"2F2"</f>
        <v>2F2</v>
      </c>
      <c r="L4401" t="s">
        <v>15</v>
      </c>
    </row>
    <row r="4402" spans="1:12" x14ac:dyDescent="0.25">
      <c r="A4402" t="str">
        <f t="shared" si="255"/>
        <v>475403403</v>
      </c>
      <c r="B4402" t="str">
        <f t="shared" si="254"/>
        <v>89301000</v>
      </c>
      <c r="C4402" s="1">
        <v>44329</v>
      </c>
      <c r="D4402" s="1">
        <v>44330</v>
      </c>
      <c r="E4402">
        <v>4</v>
      </c>
      <c r="F4402" t="s">
        <v>146</v>
      </c>
      <c r="G4402" t="str">
        <f>"17-C05-04"</f>
        <v>17-C05-04</v>
      </c>
      <c r="H4402">
        <v>0.7712</v>
      </c>
      <c r="I4402" t="s">
        <v>2945</v>
      </c>
      <c r="J4402" t="s">
        <v>14</v>
      </c>
      <c r="K4402" t="str">
        <f>"2F2"</f>
        <v>2F2</v>
      </c>
      <c r="L4402" t="s">
        <v>15</v>
      </c>
    </row>
    <row r="4403" spans="1:12" x14ac:dyDescent="0.25">
      <c r="A4403" t="str">
        <f>"475414401"</f>
        <v>475414401</v>
      </c>
      <c r="B4403" t="str">
        <f t="shared" si="254"/>
        <v>89301000</v>
      </c>
      <c r="C4403" s="1">
        <v>44371</v>
      </c>
      <c r="D4403" s="1">
        <v>44375</v>
      </c>
      <c r="E4403">
        <v>1</v>
      </c>
      <c r="F4403" t="s">
        <v>3199</v>
      </c>
      <c r="G4403" t="str">
        <f>"08-I04-01"</f>
        <v>08-I04-01</v>
      </c>
      <c r="H4403">
        <v>2.8736999999999999</v>
      </c>
      <c r="I4403" t="s">
        <v>2250</v>
      </c>
      <c r="J4403" t="s">
        <v>17</v>
      </c>
      <c r="K4403" t="str">
        <f>"5F6"</f>
        <v>5F6</v>
      </c>
      <c r="L4403" t="s">
        <v>15</v>
      </c>
    </row>
    <row r="4404" spans="1:12" x14ac:dyDescent="0.25">
      <c r="A4404" t="str">
        <f>"475415422"</f>
        <v>475415422</v>
      </c>
      <c r="B4404" t="str">
        <f t="shared" si="254"/>
        <v>89301000</v>
      </c>
      <c r="C4404" s="1">
        <v>44468</v>
      </c>
      <c r="D4404" s="1">
        <v>44490</v>
      </c>
      <c r="E4404">
        <v>4</v>
      </c>
      <c r="F4404" t="s">
        <v>3200</v>
      </c>
      <c r="G4404" t="str">
        <f>"08-K01-02"</f>
        <v>08-K01-02</v>
      </c>
      <c r="H4404">
        <v>1.3584000000000001</v>
      </c>
      <c r="I4404" t="s">
        <v>3201</v>
      </c>
      <c r="J4404" t="s">
        <v>14</v>
      </c>
      <c r="K4404" t="str">
        <f>"1F9"</f>
        <v>1F9</v>
      </c>
      <c r="L4404" t="s">
        <v>15</v>
      </c>
    </row>
    <row r="4405" spans="1:12" x14ac:dyDescent="0.25">
      <c r="A4405" t="str">
        <f>"475416419"</f>
        <v>475416419</v>
      </c>
      <c r="B4405" t="str">
        <f t="shared" si="254"/>
        <v>89301000</v>
      </c>
      <c r="C4405" s="1">
        <v>44228</v>
      </c>
      <c r="D4405" s="1">
        <v>44230</v>
      </c>
      <c r="E4405">
        <v>1</v>
      </c>
      <c r="F4405" t="s">
        <v>831</v>
      </c>
      <c r="G4405" t="str">
        <f>"02-I06-03"</f>
        <v>02-I06-03</v>
      </c>
      <c r="H4405">
        <v>0.63690000000000002</v>
      </c>
      <c r="I4405" t="s">
        <v>3202</v>
      </c>
      <c r="J4405" t="s">
        <v>17</v>
      </c>
      <c r="K4405" t="str">
        <f>"7F5"</f>
        <v>7F5</v>
      </c>
      <c r="L4405" t="s">
        <v>15</v>
      </c>
    </row>
    <row r="4406" spans="1:12" x14ac:dyDescent="0.25">
      <c r="A4406" t="str">
        <f>"475419412"</f>
        <v>475419412</v>
      </c>
      <c r="B4406" t="str">
        <f t="shared" si="254"/>
        <v>89301000</v>
      </c>
      <c r="C4406" s="1">
        <v>44544</v>
      </c>
      <c r="D4406" s="1">
        <v>44546</v>
      </c>
      <c r="E4406">
        <v>1</v>
      </c>
      <c r="F4406" t="s">
        <v>3203</v>
      </c>
      <c r="G4406" t="str">
        <f>"07-K03-02"</f>
        <v>07-K03-02</v>
      </c>
      <c r="H4406">
        <v>0.53059999999999996</v>
      </c>
      <c r="I4406" t="s">
        <v>1551</v>
      </c>
      <c r="J4406" t="s">
        <v>14</v>
      </c>
      <c r="K4406" t="str">
        <f>"1F5"</f>
        <v>1F5</v>
      </c>
      <c r="L4406" t="s">
        <v>15</v>
      </c>
    </row>
    <row r="4407" spans="1:12" x14ac:dyDescent="0.25">
      <c r="A4407" t="str">
        <f>"475420450"</f>
        <v>475420450</v>
      </c>
      <c r="B4407" t="str">
        <f t="shared" si="254"/>
        <v>89301000</v>
      </c>
      <c r="C4407" s="1">
        <v>44476</v>
      </c>
      <c r="D4407" s="1">
        <v>44477</v>
      </c>
      <c r="E4407">
        <v>1</v>
      </c>
      <c r="F4407" t="s">
        <v>2457</v>
      </c>
      <c r="G4407" t="str">
        <f>"05-D01-08"</f>
        <v>05-D01-08</v>
      </c>
      <c r="H4407">
        <v>0.4093</v>
      </c>
      <c r="I4407" t="s">
        <v>1658</v>
      </c>
      <c r="J4407" t="s">
        <v>14</v>
      </c>
      <c r="K4407" t="str">
        <f>"1F1"</f>
        <v>1F1</v>
      </c>
      <c r="L4407" t="s">
        <v>15</v>
      </c>
    </row>
    <row r="4408" spans="1:12" x14ac:dyDescent="0.25">
      <c r="A4408" t="str">
        <f>"475423428"</f>
        <v>475423428</v>
      </c>
      <c r="B4408" t="str">
        <f t="shared" si="254"/>
        <v>89301000</v>
      </c>
      <c r="C4408" s="1">
        <v>44246</v>
      </c>
      <c r="D4408" s="1">
        <v>44266</v>
      </c>
      <c r="E4408">
        <v>5</v>
      </c>
      <c r="F4408" t="s">
        <v>217</v>
      </c>
      <c r="G4408" t="str">
        <f>"00-M02-04"</f>
        <v>00-M02-04</v>
      </c>
      <c r="H4408">
        <v>12.071199999999999</v>
      </c>
      <c r="I4408" t="s">
        <v>3204</v>
      </c>
      <c r="J4408" t="s">
        <v>14</v>
      </c>
      <c r="K4408" t="str">
        <f>"1T1"</f>
        <v>1T1</v>
      </c>
      <c r="L4408" t="s">
        <v>15</v>
      </c>
    </row>
    <row r="4409" spans="1:12" x14ac:dyDescent="0.25">
      <c r="A4409" t="str">
        <f>"475427437"</f>
        <v>475427437</v>
      </c>
      <c r="B4409" t="str">
        <f t="shared" si="254"/>
        <v>89301000</v>
      </c>
      <c r="C4409" s="1">
        <v>44414</v>
      </c>
      <c r="D4409" s="1">
        <v>44415</v>
      </c>
      <c r="E4409">
        <v>1</v>
      </c>
      <c r="F4409" t="s">
        <v>3131</v>
      </c>
      <c r="G4409" t="str">
        <f>"03-K09-01"</f>
        <v>03-K09-01</v>
      </c>
      <c r="H4409">
        <v>0.59919999999999995</v>
      </c>
      <c r="I4409" t="s">
        <v>3205</v>
      </c>
      <c r="J4409" t="s">
        <v>14</v>
      </c>
      <c r="K4409" t="str">
        <f>"1F1"</f>
        <v>1F1</v>
      </c>
      <c r="L4409" t="s">
        <v>15</v>
      </c>
    </row>
    <row r="4410" spans="1:12" x14ac:dyDescent="0.25">
      <c r="A4410" t="str">
        <f>"475506709"</f>
        <v>475506709</v>
      </c>
      <c r="B4410" t="str">
        <f t="shared" si="254"/>
        <v>89301000</v>
      </c>
      <c r="C4410" s="1">
        <v>44341</v>
      </c>
      <c r="D4410" s="1">
        <v>44357</v>
      </c>
      <c r="E4410">
        <v>4</v>
      </c>
      <c r="F4410" t="s">
        <v>1378</v>
      </c>
      <c r="G4410" t="str">
        <f>"06-M01-03"</f>
        <v>06-M01-03</v>
      </c>
      <c r="H4410">
        <v>1.5081</v>
      </c>
      <c r="I4410" t="s">
        <v>3206</v>
      </c>
      <c r="J4410" t="s">
        <v>14</v>
      </c>
      <c r="K4410" t="str">
        <f>"1F5"</f>
        <v>1F5</v>
      </c>
      <c r="L4410" t="s">
        <v>15</v>
      </c>
    </row>
    <row r="4411" spans="1:12" x14ac:dyDescent="0.25">
      <c r="A4411" t="str">
        <f>"475507402"</f>
        <v>475507402</v>
      </c>
      <c r="B4411" t="str">
        <f t="shared" si="254"/>
        <v>89301000</v>
      </c>
      <c r="C4411" s="1">
        <v>44368</v>
      </c>
      <c r="D4411" s="1">
        <v>44373</v>
      </c>
      <c r="E4411">
        <v>1</v>
      </c>
      <c r="F4411" t="s">
        <v>335</v>
      </c>
      <c r="G4411" t="str">
        <f>"07-I10-06"</f>
        <v>07-I10-06</v>
      </c>
      <c r="H4411">
        <v>0.9728</v>
      </c>
      <c r="I4411" t="s">
        <v>489</v>
      </c>
      <c r="J4411" t="s">
        <v>17</v>
      </c>
      <c r="K4411" t="str">
        <f>"5F1"</f>
        <v>5F1</v>
      </c>
      <c r="L4411" t="s">
        <v>15</v>
      </c>
    </row>
    <row r="4412" spans="1:12" x14ac:dyDescent="0.25">
      <c r="A4412" t="str">
        <f>"475512401"</f>
        <v>475512401</v>
      </c>
      <c r="B4412" t="str">
        <f t="shared" si="254"/>
        <v>89301000</v>
      </c>
      <c r="C4412" s="1">
        <v>44201</v>
      </c>
      <c r="D4412" s="1">
        <v>44211</v>
      </c>
      <c r="E4412">
        <v>1</v>
      </c>
      <c r="F4412" t="s">
        <v>109</v>
      </c>
      <c r="G4412" t="str">
        <f>"24-M06-01"</f>
        <v>24-M06-01</v>
      </c>
      <c r="H4412">
        <v>1.1548</v>
      </c>
      <c r="I4412" t="s">
        <v>3207</v>
      </c>
      <c r="J4412" t="s">
        <v>14</v>
      </c>
      <c r="K4412" t="str">
        <f>"2F1"</f>
        <v>2F1</v>
      </c>
      <c r="L4412" t="s">
        <v>15</v>
      </c>
    </row>
    <row r="4413" spans="1:12" x14ac:dyDescent="0.25">
      <c r="A4413" t="str">
        <f>"475516452"</f>
        <v>475516452</v>
      </c>
      <c r="B4413" t="str">
        <f t="shared" si="254"/>
        <v>89301000</v>
      </c>
      <c r="C4413" s="1">
        <v>44483</v>
      </c>
      <c r="D4413" s="1">
        <v>44491</v>
      </c>
      <c r="E4413">
        <v>4</v>
      </c>
      <c r="F4413" t="s">
        <v>2407</v>
      </c>
      <c r="G4413" t="str">
        <f>"08-I06-04"</f>
        <v>08-I06-04</v>
      </c>
      <c r="H4413">
        <v>2.4260000000000002</v>
      </c>
      <c r="I4413" t="s">
        <v>3208</v>
      </c>
      <c r="J4413" t="s">
        <v>24</v>
      </c>
      <c r="K4413" t="str">
        <f>"6F6"</f>
        <v>6F6</v>
      </c>
      <c r="L4413" t="s">
        <v>15</v>
      </c>
    </row>
    <row r="4414" spans="1:12" x14ac:dyDescent="0.25">
      <c r="A4414" t="str">
        <f>"475522402"</f>
        <v>475522402</v>
      </c>
      <c r="B4414" t="str">
        <f t="shared" si="254"/>
        <v>89301000</v>
      </c>
      <c r="C4414" s="1">
        <v>44362</v>
      </c>
      <c r="D4414" s="1">
        <v>44364</v>
      </c>
      <c r="E4414">
        <v>1</v>
      </c>
      <c r="F4414" t="s">
        <v>3209</v>
      </c>
      <c r="G4414" t="str">
        <f>"05-M07-06"</f>
        <v>05-M07-06</v>
      </c>
      <c r="H4414">
        <v>1.2513000000000001</v>
      </c>
      <c r="I4414" t="s">
        <v>3210</v>
      </c>
      <c r="J4414" t="s">
        <v>17</v>
      </c>
      <c r="K4414" t="str">
        <f>"1F1"</f>
        <v>1F1</v>
      </c>
      <c r="L4414" t="s">
        <v>15</v>
      </c>
    </row>
    <row r="4415" spans="1:12" x14ac:dyDescent="0.25">
      <c r="A4415" t="str">
        <f>"475522402"</f>
        <v>475522402</v>
      </c>
      <c r="B4415" t="str">
        <f t="shared" si="254"/>
        <v>89301000</v>
      </c>
      <c r="C4415" s="1">
        <v>44225</v>
      </c>
      <c r="D4415" s="1">
        <v>44229</v>
      </c>
      <c r="E4415">
        <v>1</v>
      </c>
      <c r="F4415" t="s">
        <v>1604</v>
      </c>
      <c r="G4415" t="str">
        <f>"05-I25-03"</f>
        <v>05-I25-03</v>
      </c>
      <c r="H4415">
        <v>1.5508</v>
      </c>
      <c r="I4415" t="s">
        <v>3211</v>
      </c>
      <c r="J4415" t="s">
        <v>17</v>
      </c>
      <c r="K4415" t="str">
        <f>"1F1"</f>
        <v>1F1</v>
      </c>
      <c r="L4415" t="s">
        <v>15</v>
      </c>
    </row>
    <row r="4416" spans="1:12" x14ac:dyDescent="0.25">
      <c r="A4416" t="str">
        <f>"475523407"</f>
        <v>475523407</v>
      </c>
      <c r="B4416" t="str">
        <f t="shared" si="254"/>
        <v>89301000</v>
      </c>
      <c r="C4416" s="1">
        <v>44509</v>
      </c>
      <c r="D4416" s="1">
        <v>44510</v>
      </c>
      <c r="E4416">
        <v>1</v>
      </c>
      <c r="F4416" t="s">
        <v>3212</v>
      </c>
      <c r="G4416" t="str">
        <f>"02-I13-02"</f>
        <v>02-I13-02</v>
      </c>
      <c r="H4416">
        <v>0.376</v>
      </c>
      <c r="I4416" t="s">
        <v>3213</v>
      </c>
      <c r="J4416" t="s">
        <v>14</v>
      </c>
      <c r="K4416" t="str">
        <f>"7F5"</f>
        <v>7F5</v>
      </c>
      <c r="L4416" t="s">
        <v>15</v>
      </c>
    </row>
    <row r="4417" spans="1:12" x14ac:dyDescent="0.25">
      <c r="A4417" t="str">
        <f>"475531421"</f>
        <v>475531421</v>
      </c>
      <c r="B4417" t="str">
        <f t="shared" si="254"/>
        <v>89301000</v>
      </c>
      <c r="C4417" s="1">
        <v>44249</v>
      </c>
      <c r="D4417" s="1">
        <v>44257</v>
      </c>
      <c r="E4417">
        <v>1</v>
      </c>
      <c r="F4417" t="s">
        <v>920</v>
      </c>
      <c r="G4417" t="str">
        <f>"01-I06-04"</f>
        <v>01-I06-04</v>
      </c>
      <c r="H4417">
        <v>3.6231</v>
      </c>
      <c r="I4417" t="s">
        <v>2769</v>
      </c>
      <c r="J4417" t="s">
        <v>17</v>
      </c>
      <c r="K4417" t="str">
        <f>"5F6"</f>
        <v>5F6</v>
      </c>
      <c r="L4417" t="s">
        <v>15</v>
      </c>
    </row>
    <row r="4418" spans="1:12" x14ac:dyDescent="0.25">
      <c r="A4418" t="str">
        <f>"475531702"</f>
        <v>475531702</v>
      </c>
      <c r="B4418" t="str">
        <f t="shared" si="254"/>
        <v>89301000</v>
      </c>
      <c r="C4418" s="1">
        <v>44356</v>
      </c>
      <c r="D4418" s="1">
        <v>44357</v>
      </c>
      <c r="E4418">
        <v>1</v>
      </c>
      <c r="F4418" t="s">
        <v>1558</v>
      </c>
      <c r="G4418" t="str">
        <f>"05-D01-06"</f>
        <v>05-D01-06</v>
      </c>
      <c r="H4418">
        <v>0.7611</v>
      </c>
      <c r="I4418" t="s">
        <v>2428</v>
      </c>
      <c r="J4418" t="s">
        <v>14</v>
      </c>
      <c r="K4418" t="str">
        <f>"1F1"</f>
        <v>1F1</v>
      </c>
      <c r="L4418" t="s">
        <v>15</v>
      </c>
    </row>
    <row r="4419" spans="1:12" x14ac:dyDescent="0.25">
      <c r="A4419" t="str">
        <f>"475603424"</f>
        <v>475603424</v>
      </c>
      <c r="B4419" t="str">
        <f t="shared" si="254"/>
        <v>89301000</v>
      </c>
      <c r="C4419" s="1">
        <v>44533</v>
      </c>
      <c r="D4419" s="1">
        <v>44538</v>
      </c>
      <c r="E4419">
        <v>1</v>
      </c>
      <c r="F4419" t="s">
        <v>3214</v>
      </c>
      <c r="G4419" t="str">
        <f>"01-I08-04"</f>
        <v>01-I08-04</v>
      </c>
      <c r="H4419">
        <v>1.6155999999999999</v>
      </c>
      <c r="I4419" t="s">
        <v>3215</v>
      </c>
      <c r="J4419" t="s">
        <v>17</v>
      </c>
      <c r="K4419" t="str">
        <f>"6F5"</f>
        <v>6F5</v>
      </c>
      <c r="L4419" t="s">
        <v>15</v>
      </c>
    </row>
    <row r="4420" spans="1:12" x14ac:dyDescent="0.25">
      <c r="A4420" t="str">
        <f>"475605014"</f>
        <v>475605014</v>
      </c>
      <c r="B4420" t="str">
        <f t="shared" si="254"/>
        <v>89301000</v>
      </c>
      <c r="C4420" s="1">
        <v>44217</v>
      </c>
      <c r="D4420" s="1">
        <v>44229</v>
      </c>
      <c r="E4420">
        <v>5</v>
      </c>
      <c r="F4420" t="s">
        <v>821</v>
      </c>
      <c r="G4420" t="str">
        <f>"05-I21-02"</f>
        <v>05-I21-02</v>
      </c>
      <c r="H4420">
        <v>3.3923999999999999</v>
      </c>
      <c r="I4420" t="s">
        <v>3216</v>
      </c>
      <c r="J4420" t="s">
        <v>14</v>
      </c>
      <c r="K4420" t="str">
        <f>"1T1"</f>
        <v>1T1</v>
      </c>
      <c r="L4420" t="s">
        <v>15</v>
      </c>
    </row>
    <row r="4421" spans="1:12" x14ac:dyDescent="0.25">
      <c r="A4421" t="str">
        <f>"475611403"</f>
        <v>475611403</v>
      </c>
      <c r="B4421" t="str">
        <f t="shared" si="254"/>
        <v>89301000</v>
      </c>
      <c r="C4421" s="1">
        <v>44436</v>
      </c>
      <c r="D4421" s="1">
        <v>44442</v>
      </c>
      <c r="E4421">
        <v>1</v>
      </c>
      <c r="F4421" t="s">
        <v>3217</v>
      </c>
      <c r="G4421" t="str">
        <f>"08-K02-03"</f>
        <v>08-K02-03</v>
      </c>
      <c r="H4421">
        <v>0.73560000000000003</v>
      </c>
      <c r="I4421" t="s">
        <v>3218</v>
      </c>
      <c r="J4421" t="s">
        <v>14</v>
      </c>
      <c r="K4421" t="str">
        <f>"1F9"</f>
        <v>1F9</v>
      </c>
      <c r="L4421" t="s">
        <v>15</v>
      </c>
    </row>
    <row r="4422" spans="1:12" x14ac:dyDescent="0.25">
      <c r="A4422" t="str">
        <f>"475611403"</f>
        <v>475611403</v>
      </c>
      <c r="B4422" t="str">
        <f t="shared" si="254"/>
        <v>89301000</v>
      </c>
      <c r="C4422" s="1">
        <v>44422</v>
      </c>
      <c r="D4422" s="1">
        <v>44431</v>
      </c>
      <c r="E4422">
        <v>1</v>
      </c>
      <c r="F4422" t="s">
        <v>1739</v>
      </c>
      <c r="G4422" t="str">
        <f>"10-K04-04"</f>
        <v>10-K04-04</v>
      </c>
      <c r="H4422">
        <v>0.56330000000000002</v>
      </c>
      <c r="I4422" t="s">
        <v>3219</v>
      </c>
      <c r="J4422" t="s">
        <v>14</v>
      </c>
      <c r="K4422" t="str">
        <f>"1F1"</f>
        <v>1F1</v>
      </c>
      <c r="L4422" t="s">
        <v>15</v>
      </c>
    </row>
    <row r="4423" spans="1:12" x14ac:dyDescent="0.25">
      <c r="A4423" t="str">
        <f>"475611436"</f>
        <v>475611436</v>
      </c>
      <c r="B4423" t="str">
        <f t="shared" si="254"/>
        <v>89301000</v>
      </c>
      <c r="C4423" s="1">
        <v>44494</v>
      </c>
      <c r="D4423" s="1">
        <v>44497</v>
      </c>
      <c r="E4423">
        <v>1</v>
      </c>
      <c r="F4423" t="s">
        <v>2576</v>
      </c>
      <c r="G4423" t="str">
        <f>"11-I14-02"</f>
        <v>11-I14-02</v>
      </c>
      <c r="H4423">
        <v>0.63060000000000005</v>
      </c>
      <c r="J4423" t="s">
        <v>24</v>
      </c>
      <c r="K4423" t="str">
        <f>"6F3"</f>
        <v>6F3</v>
      </c>
      <c r="L4423" t="s">
        <v>15</v>
      </c>
    </row>
    <row r="4424" spans="1:12" x14ac:dyDescent="0.25">
      <c r="A4424" t="str">
        <f>"475624404"</f>
        <v>475624404</v>
      </c>
      <c r="B4424" t="str">
        <f t="shared" si="254"/>
        <v>89301000</v>
      </c>
      <c r="C4424" s="1">
        <v>44508</v>
      </c>
      <c r="D4424" s="1">
        <v>44510</v>
      </c>
      <c r="E4424">
        <v>1</v>
      </c>
      <c r="F4424" t="s">
        <v>831</v>
      </c>
      <c r="G4424" t="str">
        <f>"02-I06-03"</f>
        <v>02-I06-03</v>
      </c>
      <c r="H4424">
        <v>0.63690000000000002</v>
      </c>
      <c r="I4424" t="s">
        <v>3208</v>
      </c>
      <c r="J4424" t="s">
        <v>17</v>
      </c>
      <c r="K4424" t="str">
        <f>"7F5"</f>
        <v>7F5</v>
      </c>
      <c r="L4424" t="s">
        <v>15</v>
      </c>
    </row>
    <row r="4425" spans="1:12" x14ac:dyDescent="0.25">
      <c r="A4425" t="str">
        <f>"475624469"</f>
        <v>475624469</v>
      </c>
      <c r="B4425" t="str">
        <f t="shared" si="254"/>
        <v>89301000</v>
      </c>
      <c r="C4425" s="1">
        <v>44535</v>
      </c>
      <c r="D4425" s="1">
        <v>44541</v>
      </c>
      <c r="E4425">
        <v>1</v>
      </c>
      <c r="F4425" t="s">
        <v>217</v>
      </c>
      <c r="G4425" t="str">
        <f>"04-K02-03"</f>
        <v>04-K02-03</v>
      </c>
      <c r="H4425">
        <v>1.2859</v>
      </c>
      <c r="I4425" t="s">
        <v>3220</v>
      </c>
      <c r="J4425" t="s">
        <v>14</v>
      </c>
      <c r="K4425" t="str">
        <f>"1F6"</f>
        <v>1F6</v>
      </c>
      <c r="L4425" t="s">
        <v>15</v>
      </c>
    </row>
    <row r="4426" spans="1:12" x14ac:dyDescent="0.25">
      <c r="A4426" t="str">
        <f>"475701223"</f>
        <v>475701223</v>
      </c>
      <c r="B4426" t="str">
        <f t="shared" si="254"/>
        <v>89301000</v>
      </c>
      <c r="C4426" s="1">
        <v>44423</v>
      </c>
      <c r="D4426" s="1">
        <v>44426</v>
      </c>
      <c r="E4426">
        <v>1</v>
      </c>
      <c r="F4426" t="s">
        <v>1927</v>
      </c>
      <c r="G4426" t="str">
        <f>"05-I29-03"</f>
        <v>05-I29-03</v>
      </c>
      <c r="H4426">
        <v>0.94369999999999998</v>
      </c>
      <c r="I4426" t="s">
        <v>3221</v>
      </c>
      <c r="J4426" t="s">
        <v>14</v>
      </c>
      <c r="K4426" t="str">
        <f>"5F1"</f>
        <v>5F1</v>
      </c>
      <c r="L4426" t="s">
        <v>15</v>
      </c>
    </row>
    <row r="4427" spans="1:12" x14ac:dyDescent="0.25">
      <c r="A4427" t="str">
        <f>"475709163"</f>
        <v>475709163</v>
      </c>
      <c r="B4427" t="str">
        <f t="shared" si="254"/>
        <v>89301000</v>
      </c>
      <c r="C4427" s="1">
        <v>44419</v>
      </c>
      <c r="D4427" s="1">
        <v>44424</v>
      </c>
      <c r="E4427">
        <v>1</v>
      </c>
      <c r="F4427" t="s">
        <v>2437</v>
      </c>
      <c r="G4427" t="str">
        <f>"06-K07-02"</f>
        <v>06-K07-02</v>
      </c>
      <c r="H4427">
        <v>0.44419999999999998</v>
      </c>
      <c r="J4427" t="s">
        <v>14</v>
      </c>
      <c r="K4427" t="str">
        <f>"1F1"</f>
        <v>1F1</v>
      </c>
      <c r="L4427" t="s">
        <v>15</v>
      </c>
    </row>
    <row r="4428" spans="1:12" x14ac:dyDescent="0.25">
      <c r="A4428" t="str">
        <f>"475709412"</f>
        <v>475709412</v>
      </c>
      <c r="B4428" t="str">
        <f t="shared" si="254"/>
        <v>89301000</v>
      </c>
      <c r="C4428" s="1">
        <v>44503</v>
      </c>
      <c r="D4428" s="1">
        <v>44511</v>
      </c>
      <c r="E4428">
        <v>1</v>
      </c>
      <c r="F4428" t="s">
        <v>979</v>
      </c>
      <c r="G4428" t="str">
        <f>"04-K02-04"</f>
        <v>04-K02-04</v>
      </c>
      <c r="H4428">
        <v>0.82469999999999999</v>
      </c>
      <c r="I4428" t="s">
        <v>3222</v>
      </c>
      <c r="J4428" t="s">
        <v>14</v>
      </c>
      <c r="K4428" t="str">
        <f>"2F5"</f>
        <v>2F5</v>
      </c>
      <c r="L4428" t="s">
        <v>15</v>
      </c>
    </row>
    <row r="4429" spans="1:12" x14ac:dyDescent="0.25">
      <c r="A4429" t="str">
        <f>"475717478"</f>
        <v>475717478</v>
      </c>
      <c r="B4429" t="str">
        <f t="shared" si="254"/>
        <v>89301000</v>
      </c>
      <c r="C4429" s="1">
        <v>44258</v>
      </c>
      <c r="D4429" s="1">
        <v>44278</v>
      </c>
      <c r="E4429">
        <v>4</v>
      </c>
      <c r="F4429" t="s">
        <v>1643</v>
      </c>
      <c r="G4429" t="str">
        <f>"08-I05-06"</f>
        <v>08-I05-06</v>
      </c>
      <c r="H4429">
        <v>2.5363000000000002</v>
      </c>
      <c r="I4429" t="s">
        <v>3223</v>
      </c>
      <c r="J4429" t="s">
        <v>17</v>
      </c>
      <c r="K4429" t="str">
        <f>"6F6"</f>
        <v>6F6</v>
      </c>
      <c r="L4429" t="s">
        <v>15</v>
      </c>
    </row>
    <row r="4430" spans="1:12" x14ac:dyDescent="0.25">
      <c r="A4430" t="str">
        <f>"475721425"</f>
        <v>475721425</v>
      </c>
      <c r="B4430" t="str">
        <f t="shared" si="254"/>
        <v>89301000</v>
      </c>
      <c r="C4430" s="1">
        <v>44237</v>
      </c>
      <c r="D4430" s="1">
        <v>44250</v>
      </c>
      <c r="E4430">
        <v>5</v>
      </c>
      <c r="F4430" t="s">
        <v>67</v>
      </c>
      <c r="G4430" t="str">
        <f>"01-C02-01"</f>
        <v>01-C02-01</v>
      </c>
      <c r="H4430">
        <v>2.4643000000000002</v>
      </c>
      <c r="I4430" t="s">
        <v>3224</v>
      </c>
      <c r="J4430" t="s">
        <v>14</v>
      </c>
      <c r="K4430" t="str">
        <f>"1F6"</f>
        <v>1F6</v>
      </c>
      <c r="L4430" t="s">
        <v>15</v>
      </c>
    </row>
    <row r="4431" spans="1:12" x14ac:dyDescent="0.25">
      <c r="A4431" t="str">
        <f>"475721425"</f>
        <v>475721425</v>
      </c>
      <c r="B4431" t="str">
        <f t="shared" ref="B4431:B4494" si="256">"89301000"</f>
        <v>89301000</v>
      </c>
      <c r="C4431" s="1">
        <v>44470</v>
      </c>
      <c r="D4431" s="1">
        <v>44474</v>
      </c>
      <c r="E4431">
        <v>1</v>
      </c>
      <c r="F4431" t="s">
        <v>67</v>
      </c>
      <c r="G4431" t="str">
        <f>"01-K10-03"</f>
        <v>01-K10-03</v>
      </c>
      <c r="H4431">
        <v>1.0016</v>
      </c>
      <c r="I4431" t="s">
        <v>3225</v>
      </c>
      <c r="J4431" t="s">
        <v>14</v>
      </c>
      <c r="K4431" t="str">
        <f>"2F9"</f>
        <v>2F9</v>
      </c>
      <c r="L4431" t="s">
        <v>15</v>
      </c>
    </row>
    <row r="4432" spans="1:12" x14ac:dyDescent="0.25">
      <c r="A4432" t="str">
        <f>"475722401"</f>
        <v>475722401</v>
      </c>
      <c r="B4432" t="str">
        <f t="shared" si="256"/>
        <v>89301000</v>
      </c>
      <c r="C4432" s="1">
        <v>44191</v>
      </c>
      <c r="D4432" s="1">
        <v>44201</v>
      </c>
      <c r="E4432">
        <v>5</v>
      </c>
      <c r="F4432" t="s">
        <v>217</v>
      </c>
      <c r="G4432" t="str">
        <f>"00-M01-04"</f>
        <v>00-M01-04</v>
      </c>
      <c r="H4432">
        <v>6.85</v>
      </c>
      <c r="I4432" t="s">
        <v>3226</v>
      </c>
      <c r="J4432" t="s">
        <v>14</v>
      </c>
      <c r="K4432" t="str">
        <f>"7T8"</f>
        <v>7T8</v>
      </c>
      <c r="L4432" t="s">
        <v>15</v>
      </c>
    </row>
    <row r="4433" spans="1:12" x14ac:dyDescent="0.25">
      <c r="A4433" t="str">
        <f>"475723445"</f>
        <v>475723445</v>
      </c>
      <c r="B4433" t="str">
        <f t="shared" si="256"/>
        <v>89301000</v>
      </c>
      <c r="C4433" s="1">
        <v>44544</v>
      </c>
      <c r="D4433" s="1">
        <v>44550</v>
      </c>
      <c r="E4433">
        <v>1</v>
      </c>
      <c r="F4433" t="s">
        <v>2648</v>
      </c>
      <c r="G4433" t="str">
        <f>"06-I12-03"</f>
        <v>06-I12-03</v>
      </c>
      <c r="H4433">
        <v>1.8894</v>
      </c>
      <c r="I4433" t="s">
        <v>3227</v>
      </c>
      <c r="J4433" t="s">
        <v>14</v>
      </c>
      <c r="K4433" t="str">
        <f>"5F1"</f>
        <v>5F1</v>
      </c>
      <c r="L4433" t="s">
        <v>15</v>
      </c>
    </row>
    <row r="4434" spans="1:12" x14ac:dyDescent="0.25">
      <c r="A4434" t="str">
        <f>"475723445"</f>
        <v>475723445</v>
      </c>
      <c r="B4434" t="str">
        <f t="shared" si="256"/>
        <v>89301000</v>
      </c>
      <c r="C4434" s="1">
        <v>44311</v>
      </c>
      <c r="D4434" s="1">
        <v>44326</v>
      </c>
      <c r="E4434">
        <v>1</v>
      </c>
      <c r="F4434" t="s">
        <v>904</v>
      </c>
      <c r="G4434" t="str">
        <f>"06-I07-06"</f>
        <v>06-I07-06</v>
      </c>
      <c r="H4434">
        <v>2.3988</v>
      </c>
      <c r="I4434" t="s">
        <v>3228</v>
      </c>
      <c r="J4434" t="s">
        <v>17</v>
      </c>
      <c r="K4434" t="str">
        <f>"5F1"</f>
        <v>5F1</v>
      </c>
      <c r="L4434" t="s">
        <v>15</v>
      </c>
    </row>
    <row r="4435" spans="1:12" x14ac:dyDescent="0.25">
      <c r="A4435" t="str">
        <f>"475731498"</f>
        <v>475731498</v>
      </c>
      <c r="B4435" t="str">
        <f t="shared" si="256"/>
        <v>89301000</v>
      </c>
      <c r="C4435" s="1">
        <v>44229</v>
      </c>
      <c r="D4435" s="1">
        <v>44239</v>
      </c>
      <c r="E4435">
        <v>1</v>
      </c>
      <c r="F4435" t="s">
        <v>962</v>
      </c>
      <c r="G4435" t="str">
        <f>"04-K08-03"</f>
        <v>04-K08-03</v>
      </c>
      <c r="H4435">
        <v>1.5965</v>
      </c>
      <c r="I4435" t="s">
        <v>3229</v>
      </c>
      <c r="J4435" t="s">
        <v>14</v>
      </c>
      <c r="K4435" t="str">
        <f>"2F5"</f>
        <v>2F5</v>
      </c>
      <c r="L4435" t="s">
        <v>15</v>
      </c>
    </row>
    <row r="4436" spans="1:12" x14ac:dyDescent="0.25">
      <c r="A4436" t="str">
        <f>"475802466"</f>
        <v>475802466</v>
      </c>
      <c r="B4436" t="str">
        <f t="shared" si="256"/>
        <v>89301000</v>
      </c>
      <c r="C4436" s="1">
        <v>44539</v>
      </c>
      <c r="D4436" s="1">
        <v>44540</v>
      </c>
      <c r="E4436">
        <v>1</v>
      </c>
      <c r="F4436" t="s">
        <v>41</v>
      </c>
      <c r="G4436" t="str">
        <f>"01-D01-03"</f>
        <v>01-D01-03</v>
      </c>
      <c r="H4436">
        <v>0.158</v>
      </c>
      <c r="I4436" t="s">
        <v>1868</v>
      </c>
      <c r="J4436" t="s">
        <v>14</v>
      </c>
      <c r="K4436" t="str">
        <f>"2F5"</f>
        <v>2F5</v>
      </c>
      <c r="L4436" t="s">
        <v>15</v>
      </c>
    </row>
    <row r="4437" spans="1:12" x14ac:dyDescent="0.25">
      <c r="A4437" t="str">
        <f>"475803417"</f>
        <v>475803417</v>
      </c>
      <c r="B4437" t="str">
        <f t="shared" si="256"/>
        <v>89301000</v>
      </c>
      <c r="C4437" s="1">
        <v>44320</v>
      </c>
      <c r="D4437" s="1">
        <v>44322</v>
      </c>
      <c r="E4437">
        <v>1</v>
      </c>
      <c r="F4437" t="s">
        <v>831</v>
      </c>
      <c r="G4437" t="str">
        <f>"02-I06-03"</f>
        <v>02-I06-03</v>
      </c>
      <c r="H4437">
        <v>0.63690000000000002</v>
      </c>
      <c r="I4437" t="s">
        <v>3230</v>
      </c>
      <c r="J4437" t="s">
        <v>17</v>
      </c>
      <c r="K4437" t="str">
        <f>"7F5"</f>
        <v>7F5</v>
      </c>
      <c r="L4437" t="s">
        <v>15</v>
      </c>
    </row>
    <row r="4438" spans="1:12" x14ac:dyDescent="0.25">
      <c r="A4438" t="str">
        <f>"475807402"</f>
        <v>475807402</v>
      </c>
      <c r="B4438" t="str">
        <f t="shared" si="256"/>
        <v>89301000</v>
      </c>
      <c r="C4438" s="1">
        <v>44447</v>
      </c>
      <c r="D4438" s="1">
        <v>44449</v>
      </c>
      <c r="E4438">
        <v>1</v>
      </c>
      <c r="F4438" t="s">
        <v>602</v>
      </c>
      <c r="G4438" t="str">
        <f>"09-K14-02"</f>
        <v>09-K14-02</v>
      </c>
      <c r="H4438">
        <v>0.50549999999999995</v>
      </c>
      <c r="J4438" t="s">
        <v>14</v>
      </c>
      <c r="K4438" t="str">
        <f>"4F4"</f>
        <v>4F4</v>
      </c>
      <c r="L4438" t="s">
        <v>15</v>
      </c>
    </row>
    <row r="4439" spans="1:12" x14ac:dyDescent="0.25">
      <c r="A4439" t="str">
        <f>"475811456"</f>
        <v>475811456</v>
      </c>
      <c r="B4439" t="str">
        <f t="shared" si="256"/>
        <v>89301000</v>
      </c>
      <c r="C4439" s="1">
        <v>44219</v>
      </c>
      <c r="D4439" s="1">
        <v>44222</v>
      </c>
      <c r="E4439">
        <v>1</v>
      </c>
      <c r="F4439" t="s">
        <v>38</v>
      </c>
      <c r="G4439" t="str">
        <f>"05-M06-06"</f>
        <v>05-M06-06</v>
      </c>
      <c r="H4439">
        <v>1.7652000000000001</v>
      </c>
      <c r="I4439" t="s">
        <v>3231</v>
      </c>
      <c r="J4439" t="s">
        <v>17</v>
      </c>
      <c r="K4439" t="str">
        <f>"1F1"</f>
        <v>1F1</v>
      </c>
      <c r="L4439" t="s">
        <v>15</v>
      </c>
    </row>
    <row r="4440" spans="1:12" x14ac:dyDescent="0.25">
      <c r="A4440" t="str">
        <f>"475811456"</f>
        <v>475811456</v>
      </c>
      <c r="B4440" t="str">
        <f t="shared" si="256"/>
        <v>89301000</v>
      </c>
      <c r="C4440" s="1">
        <v>44264</v>
      </c>
      <c r="D4440" s="1">
        <v>44265</v>
      </c>
      <c r="E4440">
        <v>1</v>
      </c>
      <c r="F4440" t="s">
        <v>1557</v>
      </c>
      <c r="G4440" t="str">
        <f>"05-M06-08"</f>
        <v>05-M06-08</v>
      </c>
      <c r="H4440">
        <v>1.4719</v>
      </c>
      <c r="I4440" t="s">
        <v>489</v>
      </c>
      <c r="J4440" t="s">
        <v>17</v>
      </c>
      <c r="K4440" t="str">
        <f>"1F1"</f>
        <v>1F1</v>
      </c>
      <c r="L4440" t="s">
        <v>15</v>
      </c>
    </row>
    <row r="4441" spans="1:12" x14ac:dyDescent="0.25">
      <c r="A4441" t="str">
        <f>"475813457"</f>
        <v>475813457</v>
      </c>
      <c r="B4441" t="str">
        <f t="shared" si="256"/>
        <v>89301000</v>
      </c>
      <c r="C4441" s="1">
        <v>44303</v>
      </c>
      <c r="D4441" s="1">
        <v>44311</v>
      </c>
      <c r="E4441">
        <v>1</v>
      </c>
      <c r="F4441" t="s">
        <v>3232</v>
      </c>
      <c r="G4441" t="str">
        <f>"11-K14-03"</f>
        <v>11-K14-03</v>
      </c>
      <c r="H4441">
        <v>0.42730000000000001</v>
      </c>
      <c r="I4441" t="s">
        <v>3233</v>
      </c>
      <c r="J4441" t="s">
        <v>14</v>
      </c>
      <c r="K4441" t="str">
        <f>"7F6"</f>
        <v>7F6</v>
      </c>
      <c r="L4441" t="s">
        <v>15</v>
      </c>
    </row>
    <row r="4442" spans="1:12" x14ac:dyDescent="0.25">
      <c r="A4442" t="str">
        <f>"475820420"</f>
        <v>475820420</v>
      </c>
      <c r="B4442" t="str">
        <f t="shared" si="256"/>
        <v>89301000</v>
      </c>
      <c r="C4442" s="1">
        <v>44546</v>
      </c>
      <c r="D4442" s="1">
        <v>44561</v>
      </c>
      <c r="E4442">
        <v>1</v>
      </c>
      <c r="F4442" t="s">
        <v>217</v>
      </c>
      <c r="G4442" t="str">
        <f>"04-K02-04"</f>
        <v>04-K02-04</v>
      </c>
      <c r="H4442">
        <v>0.88480000000000003</v>
      </c>
      <c r="I4442" t="s">
        <v>3234</v>
      </c>
      <c r="J4442" t="s">
        <v>14</v>
      </c>
      <c r="K4442" t="str">
        <f>"1F6"</f>
        <v>1F6</v>
      </c>
      <c r="L4442" t="s">
        <v>15</v>
      </c>
    </row>
    <row r="4443" spans="1:12" x14ac:dyDescent="0.25">
      <c r="A4443" t="str">
        <f>"475821464"</f>
        <v>475821464</v>
      </c>
      <c r="B4443" t="str">
        <f t="shared" si="256"/>
        <v>89301000</v>
      </c>
      <c r="C4443" s="1">
        <v>44353</v>
      </c>
      <c r="D4443" s="1">
        <v>44361</v>
      </c>
      <c r="E4443">
        <v>4</v>
      </c>
      <c r="F4443" t="s">
        <v>2407</v>
      </c>
      <c r="G4443" t="str">
        <f>"08-I06-04"</f>
        <v>08-I06-04</v>
      </c>
      <c r="H4443">
        <v>2.4260000000000002</v>
      </c>
      <c r="I4443" t="s">
        <v>3235</v>
      </c>
      <c r="J4443" t="s">
        <v>24</v>
      </c>
      <c r="K4443" t="str">
        <f>"6F6"</f>
        <v>6F6</v>
      </c>
      <c r="L4443" t="s">
        <v>15</v>
      </c>
    </row>
    <row r="4444" spans="1:12" x14ac:dyDescent="0.25">
      <c r="A4444" t="str">
        <f>"475901411"</f>
        <v>475901411</v>
      </c>
      <c r="B4444" t="str">
        <f t="shared" si="256"/>
        <v>89301000</v>
      </c>
      <c r="C4444" s="1">
        <v>44524</v>
      </c>
      <c r="D4444" s="1">
        <v>44525</v>
      </c>
      <c r="E4444">
        <v>1</v>
      </c>
      <c r="F4444" t="s">
        <v>3236</v>
      </c>
      <c r="G4444" t="str">
        <f>"13-I19-00"</f>
        <v>13-I19-00</v>
      </c>
      <c r="H4444">
        <v>0.24679999999999999</v>
      </c>
      <c r="J4444" t="s">
        <v>14</v>
      </c>
      <c r="K4444" t="str">
        <f>"6F3"</f>
        <v>6F3</v>
      </c>
      <c r="L4444" t="s">
        <v>15</v>
      </c>
    </row>
    <row r="4445" spans="1:12" x14ac:dyDescent="0.25">
      <c r="A4445" t="str">
        <f>"475903483"</f>
        <v>475903483</v>
      </c>
      <c r="B4445" t="str">
        <f t="shared" si="256"/>
        <v>89301000</v>
      </c>
      <c r="C4445" s="1">
        <v>44419</v>
      </c>
      <c r="D4445" s="1">
        <v>44423</v>
      </c>
      <c r="E4445">
        <v>1</v>
      </c>
      <c r="F4445" t="s">
        <v>475</v>
      </c>
      <c r="G4445" t="str">
        <f>"10-K04-04"</f>
        <v>10-K04-04</v>
      </c>
      <c r="H4445">
        <v>0.56330000000000002</v>
      </c>
      <c r="I4445" t="s">
        <v>3237</v>
      </c>
      <c r="J4445" t="s">
        <v>14</v>
      </c>
      <c r="K4445" t="str">
        <f>"1F1"</f>
        <v>1F1</v>
      </c>
      <c r="L4445" t="s">
        <v>15</v>
      </c>
    </row>
    <row r="4446" spans="1:12" x14ac:dyDescent="0.25">
      <c r="A4446" t="str">
        <f>"475911157"</f>
        <v>475911157</v>
      </c>
      <c r="B4446" t="str">
        <f t="shared" si="256"/>
        <v>89301000</v>
      </c>
      <c r="C4446" s="1">
        <v>44302</v>
      </c>
      <c r="D4446" s="1">
        <v>44312</v>
      </c>
      <c r="E4446">
        <v>1</v>
      </c>
      <c r="F4446" t="s">
        <v>1240</v>
      </c>
      <c r="G4446" t="str">
        <f>"11-K01-01"</f>
        <v>11-K01-01</v>
      </c>
      <c r="H4446">
        <v>1.2689999999999999</v>
      </c>
      <c r="I4446" t="s">
        <v>3238</v>
      </c>
      <c r="J4446" t="s">
        <v>14</v>
      </c>
      <c r="K4446" t="str">
        <f>"1F1"</f>
        <v>1F1</v>
      </c>
      <c r="L4446" t="s">
        <v>15</v>
      </c>
    </row>
    <row r="4447" spans="1:12" x14ac:dyDescent="0.25">
      <c r="A4447" t="str">
        <f>"475914403"</f>
        <v>475914403</v>
      </c>
      <c r="B4447" t="str">
        <f t="shared" si="256"/>
        <v>89301000</v>
      </c>
      <c r="C4447" s="1">
        <v>44491</v>
      </c>
      <c r="D4447" s="1">
        <v>44512</v>
      </c>
      <c r="E4447">
        <v>1</v>
      </c>
      <c r="F4447" t="s">
        <v>217</v>
      </c>
      <c r="G4447" t="str">
        <f>"04-K02-03"</f>
        <v>04-K02-03</v>
      </c>
      <c r="H4447">
        <v>1.2859</v>
      </c>
      <c r="I4447" t="s">
        <v>3239</v>
      </c>
      <c r="J4447" t="s">
        <v>14</v>
      </c>
      <c r="K4447" t="str">
        <f>"2F5"</f>
        <v>2F5</v>
      </c>
      <c r="L4447" t="s">
        <v>15</v>
      </c>
    </row>
    <row r="4448" spans="1:12" x14ac:dyDescent="0.25">
      <c r="A4448" t="str">
        <f>"475914404"</f>
        <v>475914404</v>
      </c>
      <c r="B4448" t="str">
        <f t="shared" si="256"/>
        <v>89301000</v>
      </c>
      <c r="C4448" s="1">
        <v>44248</v>
      </c>
      <c r="D4448" s="1">
        <v>44250</v>
      </c>
      <c r="E4448">
        <v>1</v>
      </c>
      <c r="F4448" t="s">
        <v>3027</v>
      </c>
      <c r="G4448" t="str">
        <f>"03-I22-02"</f>
        <v>03-I22-02</v>
      </c>
      <c r="H4448">
        <v>0.75970000000000004</v>
      </c>
      <c r="I4448" t="s">
        <v>3240</v>
      </c>
      <c r="J4448" t="s">
        <v>14</v>
      </c>
      <c r="K4448" t="str">
        <f>"7F1"</f>
        <v>7F1</v>
      </c>
      <c r="L4448" t="s">
        <v>15</v>
      </c>
    </row>
    <row r="4449" spans="1:12" x14ac:dyDescent="0.25">
      <c r="A4449" t="str">
        <f>"475915402"</f>
        <v>475915402</v>
      </c>
      <c r="B4449" t="str">
        <f t="shared" si="256"/>
        <v>89301000</v>
      </c>
      <c r="C4449" s="1">
        <v>44511</v>
      </c>
      <c r="D4449" s="1">
        <v>44516</v>
      </c>
      <c r="E4449">
        <v>3</v>
      </c>
      <c r="F4449" t="s">
        <v>2407</v>
      </c>
      <c r="G4449" t="str">
        <f>"08-I06-04"</f>
        <v>08-I06-04</v>
      </c>
      <c r="H4449">
        <v>2.4260000000000002</v>
      </c>
      <c r="I4449" t="s">
        <v>2361</v>
      </c>
      <c r="J4449" t="s">
        <v>24</v>
      </c>
      <c r="K4449" t="str">
        <f>"6F6"</f>
        <v>6F6</v>
      </c>
      <c r="L4449" t="s">
        <v>15</v>
      </c>
    </row>
    <row r="4450" spans="1:12" x14ac:dyDescent="0.25">
      <c r="A4450" t="str">
        <f>"475915402"</f>
        <v>475915402</v>
      </c>
      <c r="B4450" t="str">
        <f t="shared" si="256"/>
        <v>89301000</v>
      </c>
      <c r="C4450" s="1">
        <v>44516</v>
      </c>
      <c r="D4450" s="1">
        <v>44522</v>
      </c>
      <c r="E4450">
        <v>1</v>
      </c>
      <c r="F4450" t="s">
        <v>109</v>
      </c>
      <c r="G4450" t="str">
        <f>"24-M06-02"</f>
        <v>24-M06-02</v>
      </c>
      <c r="H4450">
        <v>1.0233000000000001</v>
      </c>
      <c r="I4450" t="s">
        <v>3241</v>
      </c>
      <c r="J4450" t="s">
        <v>14</v>
      </c>
      <c r="K4450" t="str">
        <f>"2F1"</f>
        <v>2F1</v>
      </c>
      <c r="L4450" t="s">
        <v>15</v>
      </c>
    </row>
    <row r="4451" spans="1:12" x14ac:dyDescent="0.25">
      <c r="A4451" t="str">
        <f>"475919427"</f>
        <v>475919427</v>
      </c>
      <c r="B4451" t="str">
        <f t="shared" si="256"/>
        <v>89301000</v>
      </c>
      <c r="C4451" s="1">
        <v>44300</v>
      </c>
      <c r="D4451" s="1">
        <v>44333</v>
      </c>
      <c r="E4451">
        <v>1</v>
      </c>
      <c r="F4451" t="s">
        <v>2662</v>
      </c>
      <c r="G4451" t="str">
        <f>"05-I06-02"</f>
        <v>05-I06-02</v>
      </c>
      <c r="H4451">
        <v>12.088699999999999</v>
      </c>
      <c r="I4451" t="s">
        <v>3242</v>
      </c>
      <c r="J4451" t="s">
        <v>17</v>
      </c>
      <c r="K4451" t="str">
        <f>"1F1"</f>
        <v>1F1</v>
      </c>
      <c r="L4451" t="s">
        <v>15</v>
      </c>
    </row>
    <row r="4452" spans="1:12" x14ac:dyDescent="0.25">
      <c r="A4452" t="str">
        <f>"475919439"</f>
        <v>475919439</v>
      </c>
      <c r="B4452" t="str">
        <f t="shared" si="256"/>
        <v>89301000</v>
      </c>
      <c r="C4452" s="1">
        <v>44545</v>
      </c>
      <c r="D4452" s="1">
        <v>44551</v>
      </c>
      <c r="E4452">
        <v>1</v>
      </c>
      <c r="F4452" t="s">
        <v>92</v>
      </c>
      <c r="G4452" t="str">
        <f>"05-K15-01"</f>
        <v>05-K15-01</v>
      </c>
      <c r="H4452">
        <v>0.83189999999999997</v>
      </c>
      <c r="I4452" t="s">
        <v>3243</v>
      </c>
      <c r="J4452" t="s">
        <v>14</v>
      </c>
      <c r="K4452" t="str">
        <f>"1F1"</f>
        <v>1F1</v>
      </c>
      <c r="L4452" t="s">
        <v>15</v>
      </c>
    </row>
    <row r="4453" spans="1:12" x14ac:dyDescent="0.25">
      <c r="A4453" t="str">
        <f>"475919439"</f>
        <v>475919439</v>
      </c>
      <c r="B4453" t="str">
        <f t="shared" si="256"/>
        <v>89301000</v>
      </c>
      <c r="C4453" s="1">
        <v>44439</v>
      </c>
      <c r="D4453" s="1">
        <v>44456</v>
      </c>
      <c r="E4453">
        <v>1</v>
      </c>
      <c r="F4453" t="s">
        <v>630</v>
      </c>
      <c r="G4453" t="str">
        <f>"06-I18-02"</f>
        <v>06-I18-02</v>
      </c>
      <c r="H4453">
        <v>2.6267</v>
      </c>
      <c r="I4453" t="s">
        <v>3244</v>
      </c>
      <c r="J4453" t="s">
        <v>24</v>
      </c>
      <c r="K4453" t="str">
        <f>"5F1"</f>
        <v>5F1</v>
      </c>
      <c r="L4453" t="s">
        <v>15</v>
      </c>
    </row>
    <row r="4454" spans="1:12" x14ac:dyDescent="0.25">
      <c r="A4454" t="str">
        <f>"475922403"</f>
        <v>475922403</v>
      </c>
      <c r="B4454" t="str">
        <f t="shared" si="256"/>
        <v>89301000</v>
      </c>
      <c r="C4454" s="1">
        <v>44262</v>
      </c>
      <c r="D4454" s="1">
        <v>44280</v>
      </c>
      <c r="E4454">
        <v>8</v>
      </c>
      <c r="F4454" t="s">
        <v>194</v>
      </c>
      <c r="G4454" t="str">
        <f>"00-M02-04"</f>
        <v>00-M02-04</v>
      </c>
      <c r="H4454">
        <v>12.071199999999999</v>
      </c>
      <c r="I4454" t="s">
        <v>3245</v>
      </c>
      <c r="J4454" t="s">
        <v>14</v>
      </c>
      <c r="K4454" t="str">
        <f>"2T9"</f>
        <v>2T9</v>
      </c>
      <c r="L4454" t="s">
        <v>15</v>
      </c>
    </row>
    <row r="4455" spans="1:12" x14ac:dyDescent="0.25">
      <c r="A4455" t="str">
        <f>"476013410"</f>
        <v>476013410</v>
      </c>
      <c r="B4455" t="str">
        <f t="shared" si="256"/>
        <v>89301000</v>
      </c>
      <c r="C4455" s="1">
        <v>44334</v>
      </c>
      <c r="D4455" s="1">
        <v>44340</v>
      </c>
      <c r="E4455">
        <v>3</v>
      </c>
      <c r="F4455" t="s">
        <v>2407</v>
      </c>
      <c r="G4455" t="str">
        <f>"08-I06-04"</f>
        <v>08-I06-04</v>
      </c>
      <c r="H4455">
        <v>2.4260000000000002</v>
      </c>
      <c r="I4455" t="s">
        <v>3246</v>
      </c>
      <c r="J4455" t="s">
        <v>24</v>
      </c>
      <c r="K4455" t="str">
        <f>"6F6"</f>
        <v>6F6</v>
      </c>
      <c r="L4455" t="s">
        <v>15</v>
      </c>
    </row>
    <row r="4456" spans="1:12" x14ac:dyDescent="0.25">
      <c r="A4456" t="str">
        <f>"476013410"</f>
        <v>476013410</v>
      </c>
      <c r="B4456" t="str">
        <f t="shared" si="256"/>
        <v>89301000</v>
      </c>
      <c r="C4456" s="1">
        <v>44340</v>
      </c>
      <c r="D4456" s="1">
        <v>44358</v>
      </c>
      <c r="E4456">
        <v>1</v>
      </c>
      <c r="F4456" t="s">
        <v>109</v>
      </c>
      <c r="G4456" t="str">
        <f>"24-M08-02"</f>
        <v>24-M08-02</v>
      </c>
      <c r="H4456">
        <v>2.3557000000000001</v>
      </c>
      <c r="I4456" t="s">
        <v>3247</v>
      </c>
      <c r="J4456" t="s">
        <v>14</v>
      </c>
      <c r="K4456" t="str">
        <f>"2F1"</f>
        <v>2F1</v>
      </c>
      <c r="L4456" t="s">
        <v>15</v>
      </c>
    </row>
    <row r="4457" spans="1:12" x14ac:dyDescent="0.25">
      <c r="A4457" t="str">
        <f>"476017403"</f>
        <v>476017403</v>
      </c>
      <c r="B4457" t="str">
        <f t="shared" si="256"/>
        <v>89301000</v>
      </c>
      <c r="C4457" s="1">
        <v>44360</v>
      </c>
      <c r="D4457" s="1">
        <v>44363</v>
      </c>
      <c r="E4457">
        <v>1</v>
      </c>
      <c r="F4457" t="s">
        <v>67</v>
      </c>
      <c r="G4457" t="str">
        <f>"01-K10-03"</f>
        <v>01-K10-03</v>
      </c>
      <c r="H4457">
        <v>1.0016</v>
      </c>
      <c r="I4457" t="s">
        <v>3248</v>
      </c>
      <c r="J4457" t="s">
        <v>14</v>
      </c>
      <c r="K4457" t="str">
        <f>"2F9"</f>
        <v>2F9</v>
      </c>
      <c r="L4457" t="s">
        <v>15</v>
      </c>
    </row>
    <row r="4458" spans="1:12" x14ac:dyDescent="0.25">
      <c r="A4458" t="str">
        <f>"476024453"</f>
        <v>476024453</v>
      </c>
      <c r="B4458" t="str">
        <f t="shared" si="256"/>
        <v>89301000</v>
      </c>
      <c r="C4458" s="1">
        <v>44333</v>
      </c>
      <c r="D4458" s="1">
        <v>44337</v>
      </c>
      <c r="E4458">
        <v>1</v>
      </c>
      <c r="F4458" t="s">
        <v>31</v>
      </c>
      <c r="G4458" t="str">
        <f>"08-I04-02"</f>
        <v>08-I04-02</v>
      </c>
      <c r="H4458">
        <v>1.6718999999999999</v>
      </c>
      <c r="I4458" t="s">
        <v>2119</v>
      </c>
      <c r="J4458" t="s">
        <v>17</v>
      </c>
      <c r="K4458" t="str">
        <f>"5F6"</f>
        <v>5F6</v>
      </c>
      <c r="L4458" t="s">
        <v>15</v>
      </c>
    </row>
    <row r="4459" spans="1:12" x14ac:dyDescent="0.25">
      <c r="A4459" t="str">
        <f>"476024742"</f>
        <v>476024742</v>
      </c>
      <c r="B4459" t="str">
        <f t="shared" si="256"/>
        <v>89301000</v>
      </c>
      <c r="C4459" s="1">
        <v>44532</v>
      </c>
      <c r="D4459" s="1">
        <v>44532</v>
      </c>
      <c r="E4459">
        <v>1</v>
      </c>
      <c r="F4459" t="s">
        <v>1604</v>
      </c>
      <c r="G4459" t="str">
        <f>"05-I25-03"</f>
        <v>05-I25-03</v>
      </c>
      <c r="H4459">
        <v>1.2622</v>
      </c>
      <c r="I4459" t="s">
        <v>3249</v>
      </c>
      <c r="J4459" t="s">
        <v>17</v>
      </c>
      <c r="K4459" t="str">
        <f>"1F1"</f>
        <v>1F1</v>
      </c>
      <c r="L4459" t="s">
        <v>15</v>
      </c>
    </row>
    <row r="4460" spans="1:12" x14ac:dyDescent="0.25">
      <c r="A4460" t="str">
        <f>"476102422"</f>
        <v>476102422</v>
      </c>
      <c r="B4460" t="str">
        <f t="shared" si="256"/>
        <v>89301000</v>
      </c>
      <c r="C4460" s="1">
        <v>44537</v>
      </c>
      <c r="D4460" s="1">
        <v>44538</v>
      </c>
      <c r="E4460">
        <v>1</v>
      </c>
      <c r="F4460" t="s">
        <v>1683</v>
      </c>
      <c r="G4460" t="str">
        <f>"05-M06-06"</f>
        <v>05-M06-06</v>
      </c>
      <c r="H4460">
        <v>1.7652000000000001</v>
      </c>
      <c r="I4460" t="s">
        <v>3250</v>
      </c>
      <c r="J4460" t="s">
        <v>17</v>
      </c>
      <c r="K4460" t="str">
        <f>"1F1"</f>
        <v>1F1</v>
      </c>
      <c r="L4460" t="s">
        <v>15</v>
      </c>
    </row>
    <row r="4461" spans="1:12" x14ac:dyDescent="0.25">
      <c r="A4461" t="str">
        <f>"476104449"</f>
        <v>476104449</v>
      </c>
      <c r="B4461" t="str">
        <f t="shared" si="256"/>
        <v>89301000</v>
      </c>
      <c r="C4461" s="1">
        <v>44438</v>
      </c>
      <c r="D4461" s="1">
        <v>44446</v>
      </c>
      <c r="E4461">
        <v>1</v>
      </c>
      <c r="F4461" t="s">
        <v>2752</v>
      </c>
      <c r="G4461" t="str">
        <f>"06-I07-05"</f>
        <v>06-I07-05</v>
      </c>
      <c r="H4461">
        <v>2.8466999999999998</v>
      </c>
      <c r="I4461" t="s">
        <v>3251</v>
      </c>
      <c r="J4461" t="s">
        <v>17</v>
      </c>
      <c r="K4461" t="str">
        <f>"5F1"</f>
        <v>5F1</v>
      </c>
      <c r="L4461" t="s">
        <v>15</v>
      </c>
    </row>
    <row r="4462" spans="1:12" x14ac:dyDescent="0.25">
      <c r="A4462" t="str">
        <f>"476104481"</f>
        <v>476104481</v>
      </c>
      <c r="B4462" t="str">
        <f t="shared" si="256"/>
        <v>89301000</v>
      </c>
      <c r="C4462" s="1">
        <v>44375</v>
      </c>
      <c r="D4462" s="1">
        <v>44379</v>
      </c>
      <c r="E4462">
        <v>1</v>
      </c>
      <c r="F4462" t="s">
        <v>1878</v>
      </c>
      <c r="G4462" t="str">
        <f>"10-K12-02"</f>
        <v>10-K12-02</v>
      </c>
      <c r="H4462">
        <v>0.94830000000000003</v>
      </c>
      <c r="I4462" t="s">
        <v>3252</v>
      </c>
      <c r="J4462" t="s">
        <v>14</v>
      </c>
      <c r="K4462" t="str">
        <f>"1F1"</f>
        <v>1F1</v>
      </c>
      <c r="L4462" t="s">
        <v>15</v>
      </c>
    </row>
    <row r="4463" spans="1:12" x14ac:dyDescent="0.25">
      <c r="A4463" t="str">
        <f>"476104481"</f>
        <v>476104481</v>
      </c>
      <c r="B4463" t="str">
        <f t="shared" si="256"/>
        <v>89301000</v>
      </c>
      <c r="C4463" s="1">
        <v>44481</v>
      </c>
      <c r="D4463" s="1">
        <v>44490</v>
      </c>
      <c r="E4463">
        <v>1</v>
      </c>
      <c r="F4463" t="s">
        <v>1878</v>
      </c>
      <c r="G4463" t="str">
        <f>"10-K12-02"</f>
        <v>10-K12-02</v>
      </c>
      <c r="H4463">
        <v>0.94830000000000003</v>
      </c>
      <c r="I4463" t="s">
        <v>3253</v>
      </c>
      <c r="J4463" t="s">
        <v>14</v>
      </c>
      <c r="K4463" t="str">
        <f>"1F1"</f>
        <v>1F1</v>
      </c>
      <c r="L4463" t="s">
        <v>15</v>
      </c>
    </row>
    <row r="4464" spans="1:12" x14ac:dyDescent="0.25">
      <c r="A4464" t="str">
        <f>"476104481"</f>
        <v>476104481</v>
      </c>
      <c r="B4464" t="str">
        <f t="shared" si="256"/>
        <v>89301000</v>
      </c>
      <c r="C4464" s="1">
        <v>44227</v>
      </c>
      <c r="D4464" s="1">
        <v>44236</v>
      </c>
      <c r="E4464">
        <v>1</v>
      </c>
      <c r="F4464" t="s">
        <v>1878</v>
      </c>
      <c r="G4464" t="str">
        <f>"10-K12-03"</f>
        <v>10-K12-03</v>
      </c>
      <c r="H4464">
        <v>0.50629999999999997</v>
      </c>
      <c r="I4464" t="s">
        <v>3254</v>
      </c>
      <c r="J4464" t="s">
        <v>14</v>
      </c>
      <c r="K4464" t="str">
        <f>"1F5"</f>
        <v>1F5</v>
      </c>
      <c r="L4464" t="s">
        <v>15</v>
      </c>
    </row>
    <row r="4465" spans="1:12" x14ac:dyDescent="0.25">
      <c r="A4465" t="str">
        <f>"476104481"</f>
        <v>476104481</v>
      </c>
      <c r="B4465" t="str">
        <f t="shared" si="256"/>
        <v>89301000</v>
      </c>
      <c r="C4465" s="1">
        <v>44276</v>
      </c>
      <c r="D4465" s="1">
        <v>44281</v>
      </c>
      <c r="E4465">
        <v>1</v>
      </c>
      <c r="F4465" t="s">
        <v>473</v>
      </c>
      <c r="G4465" t="str">
        <f>"05-K13-02"</f>
        <v>05-K13-02</v>
      </c>
      <c r="H4465">
        <v>0.60950000000000004</v>
      </c>
      <c r="I4465" t="s">
        <v>3255</v>
      </c>
      <c r="J4465" t="s">
        <v>14</v>
      </c>
      <c r="K4465" t="str">
        <f>"1F5"</f>
        <v>1F5</v>
      </c>
      <c r="L4465" t="s">
        <v>15</v>
      </c>
    </row>
    <row r="4466" spans="1:12" x14ac:dyDescent="0.25">
      <c r="A4466" t="str">
        <f>"476108425"</f>
        <v>476108425</v>
      </c>
      <c r="B4466" t="str">
        <f t="shared" si="256"/>
        <v>89301000</v>
      </c>
      <c r="C4466" s="1">
        <v>44338</v>
      </c>
      <c r="D4466" s="1">
        <v>44344</v>
      </c>
      <c r="E4466">
        <v>1</v>
      </c>
      <c r="F4466" t="s">
        <v>2706</v>
      </c>
      <c r="G4466" t="str">
        <f>"09-K01-02"</f>
        <v>09-K01-02</v>
      </c>
      <c r="H4466">
        <v>1.0527</v>
      </c>
      <c r="I4466" t="s">
        <v>3256</v>
      </c>
      <c r="J4466" t="s">
        <v>14</v>
      </c>
      <c r="K4466" t="str">
        <f>"1F5"</f>
        <v>1F5</v>
      </c>
      <c r="L4466" t="s">
        <v>15</v>
      </c>
    </row>
    <row r="4467" spans="1:12" x14ac:dyDescent="0.25">
      <c r="A4467" t="str">
        <f>"476116449"</f>
        <v>476116449</v>
      </c>
      <c r="B4467" t="str">
        <f t="shared" si="256"/>
        <v>89301000</v>
      </c>
      <c r="C4467" s="1">
        <v>44494</v>
      </c>
      <c r="D4467" s="1">
        <v>44498</v>
      </c>
      <c r="E4467">
        <v>1</v>
      </c>
      <c r="F4467" t="s">
        <v>1548</v>
      </c>
      <c r="G4467" t="str">
        <f>"05-K07-05"</f>
        <v>05-K07-05</v>
      </c>
      <c r="H4467">
        <v>0.81410000000000005</v>
      </c>
      <c r="I4467" t="s">
        <v>3257</v>
      </c>
      <c r="J4467" t="s">
        <v>14</v>
      </c>
      <c r="K4467" t="str">
        <f>"1F1"</f>
        <v>1F1</v>
      </c>
      <c r="L4467" t="s">
        <v>15</v>
      </c>
    </row>
    <row r="4468" spans="1:12" x14ac:dyDescent="0.25">
      <c r="A4468" t="str">
        <f>"476121439"</f>
        <v>476121439</v>
      </c>
      <c r="B4468" t="str">
        <f t="shared" si="256"/>
        <v>89301000</v>
      </c>
      <c r="C4468" s="1">
        <v>44318</v>
      </c>
      <c r="D4468" s="1">
        <v>44320</v>
      </c>
      <c r="E4468">
        <v>1</v>
      </c>
      <c r="F4468" t="s">
        <v>622</v>
      </c>
      <c r="G4468" t="str">
        <f>"02-I11-02"</f>
        <v>02-I11-02</v>
      </c>
      <c r="H4468">
        <v>0.64790000000000003</v>
      </c>
      <c r="I4468" t="s">
        <v>489</v>
      </c>
      <c r="J4468" t="s">
        <v>17</v>
      </c>
      <c r="K4468" t="str">
        <f>"7F5"</f>
        <v>7F5</v>
      </c>
      <c r="L4468" t="s">
        <v>15</v>
      </c>
    </row>
    <row r="4469" spans="1:12" x14ac:dyDescent="0.25">
      <c r="A4469" t="str">
        <f>"476122019"</f>
        <v>476122019</v>
      </c>
      <c r="B4469" t="str">
        <f t="shared" si="256"/>
        <v>89301000</v>
      </c>
      <c r="C4469" s="1">
        <v>44308</v>
      </c>
      <c r="D4469" s="1">
        <v>44319</v>
      </c>
      <c r="E4469">
        <v>1</v>
      </c>
      <c r="F4469" t="s">
        <v>3258</v>
      </c>
      <c r="G4469" t="str">
        <f>"02-I06-03"</f>
        <v>02-I06-03</v>
      </c>
      <c r="H4469">
        <v>1.19</v>
      </c>
      <c r="I4469" t="s">
        <v>3259</v>
      </c>
      <c r="J4469" t="s">
        <v>17</v>
      </c>
      <c r="K4469" t="str">
        <f>"7F5"</f>
        <v>7F5</v>
      </c>
      <c r="L4469" t="s">
        <v>15</v>
      </c>
    </row>
    <row r="4470" spans="1:12" x14ac:dyDescent="0.25">
      <c r="A4470" t="str">
        <f>"476122454"</f>
        <v>476122454</v>
      </c>
      <c r="B4470" t="str">
        <f t="shared" si="256"/>
        <v>89301000</v>
      </c>
      <c r="C4470" s="1">
        <v>44231</v>
      </c>
      <c r="D4470" s="1">
        <v>44232</v>
      </c>
      <c r="E4470">
        <v>1</v>
      </c>
      <c r="F4470" t="s">
        <v>240</v>
      </c>
      <c r="G4470" t="str">
        <f>"03-K13-02"</f>
        <v>03-K13-02</v>
      </c>
      <c r="H4470">
        <v>0.2555</v>
      </c>
      <c r="J4470" t="s">
        <v>14</v>
      </c>
      <c r="K4470" t="str">
        <f>"2F5"</f>
        <v>2F5</v>
      </c>
      <c r="L4470" t="s">
        <v>15</v>
      </c>
    </row>
    <row r="4471" spans="1:12" x14ac:dyDescent="0.25">
      <c r="A4471" t="str">
        <f>"476124429"</f>
        <v>476124429</v>
      </c>
      <c r="B4471" t="str">
        <f t="shared" si="256"/>
        <v>89301000</v>
      </c>
      <c r="C4471" s="1">
        <v>44264</v>
      </c>
      <c r="D4471" s="1">
        <v>44267</v>
      </c>
      <c r="E4471">
        <v>1</v>
      </c>
      <c r="F4471" t="s">
        <v>3260</v>
      </c>
      <c r="G4471" t="str">
        <f>"09-I10-02"</f>
        <v>09-I10-02</v>
      </c>
      <c r="H4471">
        <v>0.98380000000000001</v>
      </c>
      <c r="I4471" t="s">
        <v>3261</v>
      </c>
      <c r="J4471" t="s">
        <v>17</v>
      </c>
      <c r="K4471" t="str">
        <f>"6F1"</f>
        <v>6F1</v>
      </c>
      <c r="L4471" t="s">
        <v>15</v>
      </c>
    </row>
    <row r="4472" spans="1:12" x14ac:dyDescent="0.25">
      <c r="A4472" t="str">
        <f>"476205444"</f>
        <v>476205444</v>
      </c>
      <c r="B4472" t="str">
        <f t="shared" si="256"/>
        <v>89301000</v>
      </c>
      <c r="C4472" s="1">
        <v>44452</v>
      </c>
      <c r="D4472" s="1">
        <v>44456</v>
      </c>
      <c r="E4472">
        <v>1</v>
      </c>
      <c r="F4472" t="s">
        <v>1955</v>
      </c>
      <c r="G4472" t="str">
        <f>"01-K04-02"</f>
        <v>01-K04-02</v>
      </c>
      <c r="H4472">
        <v>0.80059999999999998</v>
      </c>
      <c r="I4472" t="s">
        <v>3262</v>
      </c>
      <c r="J4472" t="s">
        <v>14</v>
      </c>
      <c r="K4472" t="str">
        <f>"2F9"</f>
        <v>2F9</v>
      </c>
      <c r="L4472" t="s">
        <v>15</v>
      </c>
    </row>
    <row r="4473" spans="1:12" x14ac:dyDescent="0.25">
      <c r="A4473" t="str">
        <f>"476209405"</f>
        <v>476209405</v>
      </c>
      <c r="B4473" t="str">
        <f t="shared" si="256"/>
        <v>89301000</v>
      </c>
      <c r="C4473" s="1">
        <v>44279</v>
      </c>
      <c r="D4473" s="1">
        <v>44280</v>
      </c>
      <c r="E4473">
        <v>1</v>
      </c>
      <c r="F4473" t="s">
        <v>3236</v>
      </c>
      <c r="G4473" t="str">
        <f>"13-I19-00"</f>
        <v>13-I19-00</v>
      </c>
      <c r="H4473">
        <v>0.24679999999999999</v>
      </c>
      <c r="J4473" t="s">
        <v>14</v>
      </c>
      <c r="K4473" t="str">
        <f>"6F3"</f>
        <v>6F3</v>
      </c>
      <c r="L4473" t="s">
        <v>15</v>
      </c>
    </row>
    <row r="4474" spans="1:12" x14ac:dyDescent="0.25">
      <c r="A4474" t="str">
        <f>"476213465"</f>
        <v>476213465</v>
      </c>
      <c r="B4474" t="str">
        <f t="shared" si="256"/>
        <v>89301000</v>
      </c>
      <c r="C4474" s="1">
        <v>44313</v>
      </c>
      <c r="D4474" s="1">
        <v>44319</v>
      </c>
      <c r="E4474">
        <v>1</v>
      </c>
      <c r="F4474" t="s">
        <v>67</v>
      </c>
      <c r="G4474" t="str">
        <f>"01-M02-00"</f>
        <v>01-M02-00</v>
      </c>
      <c r="H4474">
        <v>5.3949999999999996</v>
      </c>
      <c r="I4474" t="s">
        <v>2218</v>
      </c>
      <c r="J4474" t="s">
        <v>17</v>
      </c>
      <c r="K4474" t="str">
        <f>"2F9"</f>
        <v>2F9</v>
      </c>
      <c r="L4474" t="s">
        <v>15</v>
      </c>
    </row>
    <row r="4475" spans="1:12" x14ac:dyDescent="0.25">
      <c r="A4475" t="str">
        <f>"476214408"</f>
        <v>476214408</v>
      </c>
      <c r="B4475" t="str">
        <f t="shared" si="256"/>
        <v>89301000</v>
      </c>
      <c r="C4475" s="1">
        <v>44280</v>
      </c>
      <c r="D4475" s="1">
        <v>44313</v>
      </c>
      <c r="E4475">
        <v>5</v>
      </c>
      <c r="F4475" t="s">
        <v>217</v>
      </c>
      <c r="G4475" t="str">
        <f>"00-M03-04"</f>
        <v>00-M03-04</v>
      </c>
      <c r="H4475">
        <v>25.3432</v>
      </c>
      <c r="I4475" t="s">
        <v>3263</v>
      </c>
      <c r="J4475" t="s">
        <v>14</v>
      </c>
      <c r="K4475" t="str">
        <f>"7T8"</f>
        <v>7T8</v>
      </c>
      <c r="L4475" t="s">
        <v>15</v>
      </c>
    </row>
    <row r="4476" spans="1:12" x14ac:dyDescent="0.25">
      <c r="A4476" t="str">
        <f>"476221069"</f>
        <v>476221069</v>
      </c>
      <c r="B4476" t="str">
        <f t="shared" si="256"/>
        <v>89301000</v>
      </c>
      <c r="C4476" s="1">
        <v>44483</v>
      </c>
      <c r="D4476" s="1">
        <v>44491</v>
      </c>
      <c r="E4476">
        <v>4</v>
      </c>
      <c r="F4476" t="s">
        <v>2407</v>
      </c>
      <c r="G4476" t="str">
        <f>"08-I06-04"</f>
        <v>08-I06-04</v>
      </c>
      <c r="H4476">
        <v>2.4260000000000002</v>
      </c>
      <c r="I4476" t="s">
        <v>3264</v>
      </c>
      <c r="J4476" t="s">
        <v>24</v>
      </c>
      <c r="K4476" t="str">
        <f>"6F6"</f>
        <v>6F6</v>
      </c>
      <c r="L4476" t="s">
        <v>15</v>
      </c>
    </row>
    <row r="4477" spans="1:12" x14ac:dyDescent="0.25">
      <c r="A4477" t="str">
        <f>"476221069"</f>
        <v>476221069</v>
      </c>
      <c r="B4477" t="str">
        <f t="shared" si="256"/>
        <v>89301000</v>
      </c>
      <c r="C4477" s="1">
        <v>44196</v>
      </c>
      <c r="D4477" s="1">
        <v>44198</v>
      </c>
      <c r="E4477">
        <v>1</v>
      </c>
      <c r="F4477" t="s">
        <v>1683</v>
      </c>
      <c r="G4477" t="str">
        <f>"05-M06-05"</f>
        <v>05-M06-05</v>
      </c>
      <c r="H4477">
        <v>2.3010000000000002</v>
      </c>
      <c r="I4477" t="s">
        <v>2428</v>
      </c>
      <c r="J4477" t="s">
        <v>17</v>
      </c>
      <c r="K4477" t="str">
        <f>"1F1"</f>
        <v>1F1</v>
      </c>
      <c r="L4477" t="s">
        <v>15</v>
      </c>
    </row>
    <row r="4478" spans="1:12" x14ac:dyDescent="0.25">
      <c r="A4478" t="str">
        <f>"476225617"</f>
        <v>476225617</v>
      </c>
      <c r="B4478" t="str">
        <f t="shared" si="256"/>
        <v>89301000</v>
      </c>
      <c r="C4478" s="1">
        <v>44476</v>
      </c>
      <c r="D4478" s="1">
        <v>44484</v>
      </c>
      <c r="E4478">
        <v>1</v>
      </c>
      <c r="F4478" t="s">
        <v>3265</v>
      </c>
      <c r="G4478" t="str">
        <f>"02-K11-01"</f>
        <v>02-K11-01</v>
      </c>
      <c r="H4478">
        <v>0.88200000000000001</v>
      </c>
      <c r="I4478" t="s">
        <v>3266</v>
      </c>
      <c r="J4478" t="s">
        <v>14</v>
      </c>
      <c r="K4478" t="str">
        <f>"7F5"</f>
        <v>7F5</v>
      </c>
      <c r="L4478" t="s">
        <v>15</v>
      </c>
    </row>
    <row r="4479" spans="1:12" x14ac:dyDescent="0.25">
      <c r="A4479" t="str">
        <f>"476229411"</f>
        <v>476229411</v>
      </c>
      <c r="B4479" t="str">
        <f t="shared" si="256"/>
        <v>89301000</v>
      </c>
      <c r="C4479" s="1">
        <v>44366</v>
      </c>
      <c r="D4479" s="1">
        <v>44379</v>
      </c>
      <c r="E4479">
        <v>1</v>
      </c>
      <c r="F4479" t="s">
        <v>448</v>
      </c>
      <c r="G4479" t="str">
        <f>"11-K01-01"</f>
        <v>11-K01-01</v>
      </c>
      <c r="H4479">
        <v>1.2689999999999999</v>
      </c>
      <c r="I4479" t="s">
        <v>3267</v>
      </c>
      <c r="J4479" t="s">
        <v>14</v>
      </c>
      <c r="K4479" t="str">
        <f>"1F1"</f>
        <v>1F1</v>
      </c>
      <c r="L4479" t="s">
        <v>15</v>
      </c>
    </row>
    <row r="4480" spans="1:12" x14ac:dyDescent="0.25">
      <c r="A4480" t="str">
        <f>"476229411"</f>
        <v>476229411</v>
      </c>
      <c r="B4480" t="str">
        <f t="shared" si="256"/>
        <v>89301000</v>
      </c>
      <c r="C4480" s="1">
        <v>44403</v>
      </c>
      <c r="D4480" s="1">
        <v>44405</v>
      </c>
      <c r="E4480">
        <v>1</v>
      </c>
      <c r="F4480" t="s">
        <v>2150</v>
      </c>
      <c r="G4480" t="str">
        <f>"11-K03-02"</f>
        <v>11-K03-02</v>
      </c>
      <c r="H4480">
        <v>0.6008</v>
      </c>
      <c r="I4480" t="s">
        <v>3268</v>
      </c>
      <c r="J4480" t="s">
        <v>14</v>
      </c>
      <c r="K4480" t="str">
        <f>"1F1"</f>
        <v>1F1</v>
      </c>
      <c r="L4480" t="s">
        <v>15</v>
      </c>
    </row>
    <row r="4481" spans="1:12" x14ac:dyDescent="0.25">
      <c r="A4481" t="str">
        <f>"480111431"</f>
        <v>480111431</v>
      </c>
      <c r="B4481" t="str">
        <f t="shared" si="256"/>
        <v>89301000</v>
      </c>
      <c r="C4481" s="1">
        <v>44560</v>
      </c>
      <c r="D4481" s="1">
        <v>44561</v>
      </c>
      <c r="E4481">
        <v>5</v>
      </c>
      <c r="F4481" t="s">
        <v>1581</v>
      </c>
      <c r="G4481" t="str">
        <f>"05-M07-06"</f>
        <v>05-M07-06</v>
      </c>
      <c r="H4481">
        <v>1.2513000000000001</v>
      </c>
      <c r="I4481" t="s">
        <v>2321</v>
      </c>
      <c r="J4481" t="s">
        <v>17</v>
      </c>
      <c r="K4481" t="str">
        <f>"5F1"</f>
        <v>5F1</v>
      </c>
      <c r="L4481" t="s">
        <v>15</v>
      </c>
    </row>
    <row r="4482" spans="1:12" x14ac:dyDescent="0.25">
      <c r="A4482" t="str">
        <f>"480115402"</f>
        <v>480115402</v>
      </c>
      <c r="B4482" t="str">
        <f t="shared" si="256"/>
        <v>89301000</v>
      </c>
      <c r="C4482" s="1">
        <v>44433</v>
      </c>
      <c r="D4482" s="1">
        <v>44434</v>
      </c>
      <c r="E4482">
        <v>1</v>
      </c>
      <c r="F4482" t="s">
        <v>1557</v>
      </c>
      <c r="G4482" t="str">
        <f>"05-M06-08"</f>
        <v>05-M06-08</v>
      </c>
      <c r="H4482">
        <v>1.4719</v>
      </c>
      <c r="J4482" t="s">
        <v>17</v>
      </c>
      <c r="K4482" t="str">
        <f>"1F7"</f>
        <v>1F7</v>
      </c>
      <c r="L4482" t="s">
        <v>15</v>
      </c>
    </row>
    <row r="4483" spans="1:12" x14ac:dyDescent="0.25">
      <c r="A4483" t="str">
        <f>"480116259"</f>
        <v>480116259</v>
      </c>
      <c r="B4483" t="str">
        <f t="shared" si="256"/>
        <v>89301000</v>
      </c>
      <c r="C4483" s="1">
        <v>44351</v>
      </c>
      <c r="D4483" s="1">
        <v>44358</v>
      </c>
      <c r="E4483">
        <v>1</v>
      </c>
      <c r="F4483" t="s">
        <v>3269</v>
      </c>
      <c r="G4483" t="str">
        <f>"17-K01-02"</f>
        <v>17-K01-02</v>
      </c>
      <c r="H4483">
        <v>0.99029999999999996</v>
      </c>
      <c r="I4483" t="s">
        <v>3270</v>
      </c>
      <c r="J4483" t="s">
        <v>14</v>
      </c>
      <c r="K4483" t="str">
        <f>"2F2"</f>
        <v>2F2</v>
      </c>
      <c r="L4483" t="s">
        <v>15</v>
      </c>
    </row>
    <row r="4484" spans="1:12" x14ac:dyDescent="0.25">
      <c r="A4484" t="str">
        <f>"480119127"</f>
        <v>480119127</v>
      </c>
      <c r="B4484" t="str">
        <f t="shared" si="256"/>
        <v>89301000</v>
      </c>
      <c r="C4484" s="1">
        <v>44306</v>
      </c>
      <c r="D4484" s="1">
        <v>44307</v>
      </c>
      <c r="E4484">
        <v>1</v>
      </c>
      <c r="F4484" t="s">
        <v>2200</v>
      </c>
      <c r="G4484" t="str">
        <f>"02-I13-02"</f>
        <v>02-I13-02</v>
      </c>
      <c r="H4484">
        <v>0.376</v>
      </c>
      <c r="I4484" t="s">
        <v>3271</v>
      </c>
      <c r="J4484" t="s">
        <v>14</v>
      </c>
      <c r="K4484" t="str">
        <f>"7F5"</f>
        <v>7F5</v>
      </c>
      <c r="L4484" t="s">
        <v>15</v>
      </c>
    </row>
    <row r="4485" spans="1:12" x14ac:dyDescent="0.25">
      <c r="A4485" t="str">
        <f>"480120188"</f>
        <v>480120188</v>
      </c>
      <c r="B4485" t="str">
        <f t="shared" si="256"/>
        <v>89301000</v>
      </c>
      <c r="C4485" s="1">
        <v>44246</v>
      </c>
      <c r="D4485" s="1">
        <v>44249</v>
      </c>
      <c r="E4485">
        <v>1</v>
      </c>
      <c r="F4485" t="s">
        <v>320</v>
      </c>
      <c r="G4485" t="str">
        <f>"03-I23-00"</f>
        <v>03-I23-00</v>
      </c>
      <c r="H4485">
        <v>0.47639999999999999</v>
      </c>
      <c r="I4485" t="s">
        <v>3272</v>
      </c>
      <c r="J4485" t="s">
        <v>14</v>
      </c>
      <c r="K4485" t="str">
        <f>"6F5"</f>
        <v>6F5</v>
      </c>
      <c r="L4485" t="s">
        <v>15</v>
      </c>
    </row>
    <row r="4486" spans="1:12" x14ac:dyDescent="0.25">
      <c r="A4486" t="str">
        <f>"480120445"</f>
        <v>480120445</v>
      </c>
      <c r="B4486" t="str">
        <f t="shared" si="256"/>
        <v>89301000</v>
      </c>
      <c r="C4486" s="1">
        <v>44437</v>
      </c>
      <c r="D4486" s="1">
        <v>44440</v>
      </c>
      <c r="E4486">
        <v>1</v>
      </c>
      <c r="F4486" t="s">
        <v>1928</v>
      </c>
      <c r="G4486" t="str">
        <f>"11-I16-02"</f>
        <v>11-I16-02</v>
      </c>
      <c r="H4486">
        <v>0.49480000000000002</v>
      </c>
      <c r="I4486" t="s">
        <v>1557</v>
      </c>
      <c r="J4486" t="s">
        <v>14</v>
      </c>
      <c r="K4486" t="str">
        <f>"5F1"</f>
        <v>5F1</v>
      </c>
      <c r="L4486" t="s">
        <v>15</v>
      </c>
    </row>
    <row r="4487" spans="1:12" x14ac:dyDescent="0.25">
      <c r="A4487" t="str">
        <f>"480121412"</f>
        <v>480121412</v>
      </c>
      <c r="B4487" t="str">
        <f t="shared" si="256"/>
        <v>89301000</v>
      </c>
      <c r="C4487" s="1">
        <v>44273</v>
      </c>
      <c r="D4487" s="1">
        <v>44280</v>
      </c>
      <c r="E4487">
        <v>1</v>
      </c>
      <c r="F4487" t="s">
        <v>217</v>
      </c>
      <c r="G4487" t="str">
        <f>"04-K02-04"</f>
        <v>04-K02-04</v>
      </c>
      <c r="H4487">
        <v>0.82469999999999999</v>
      </c>
      <c r="I4487" t="s">
        <v>274</v>
      </c>
      <c r="J4487" t="s">
        <v>14</v>
      </c>
      <c r="K4487" t="str">
        <f>"1F1"</f>
        <v>1F1</v>
      </c>
      <c r="L4487" t="s">
        <v>15</v>
      </c>
    </row>
    <row r="4488" spans="1:12" x14ac:dyDescent="0.25">
      <c r="A4488" t="str">
        <f>"480122033"</f>
        <v>480122033</v>
      </c>
      <c r="B4488" t="str">
        <f t="shared" si="256"/>
        <v>89301000</v>
      </c>
      <c r="C4488" s="1">
        <v>44506</v>
      </c>
      <c r="D4488" s="1">
        <v>44510</v>
      </c>
      <c r="E4488">
        <v>1</v>
      </c>
      <c r="F4488" t="s">
        <v>3273</v>
      </c>
      <c r="G4488" t="str">
        <f>"10-K04-04"</f>
        <v>10-K04-04</v>
      </c>
      <c r="H4488">
        <v>0.56330000000000002</v>
      </c>
      <c r="I4488" t="s">
        <v>3274</v>
      </c>
      <c r="J4488" t="s">
        <v>14</v>
      </c>
      <c r="K4488" t="str">
        <f>"1F1"</f>
        <v>1F1</v>
      </c>
      <c r="L4488" t="s">
        <v>15</v>
      </c>
    </row>
    <row r="4489" spans="1:12" x14ac:dyDescent="0.25">
      <c r="A4489" t="str">
        <f>"480122406"</f>
        <v>480122406</v>
      </c>
      <c r="B4489" t="str">
        <f t="shared" si="256"/>
        <v>89301000</v>
      </c>
      <c r="C4489" s="1">
        <v>44448</v>
      </c>
      <c r="D4489" s="1">
        <v>44452</v>
      </c>
      <c r="E4489">
        <v>1</v>
      </c>
      <c r="F4489" t="s">
        <v>221</v>
      </c>
      <c r="G4489" t="str">
        <f>"01-K04-02"</f>
        <v>01-K04-02</v>
      </c>
      <c r="H4489">
        <v>0.80059999999999998</v>
      </c>
      <c r="I4489" t="s">
        <v>3275</v>
      </c>
      <c r="J4489" t="s">
        <v>14</v>
      </c>
      <c r="K4489" t="str">
        <f>"2F9"</f>
        <v>2F9</v>
      </c>
      <c r="L4489" t="s">
        <v>15</v>
      </c>
    </row>
    <row r="4490" spans="1:12" x14ac:dyDescent="0.25">
      <c r="A4490" t="str">
        <f>"480124474"</f>
        <v>480124474</v>
      </c>
      <c r="B4490" t="str">
        <f t="shared" si="256"/>
        <v>89301000</v>
      </c>
      <c r="C4490" s="1">
        <v>44511</v>
      </c>
      <c r="D4490" s="1">
        <v>44523</v>
      </c>
      <c r="E4490">
        <v>1</v>
      </c>
      <c r="F4490" t="s">
        <v>3276</v>
      </c>
      <c r="G4490" t="str">
        <f>"07-I04-02"</f>
        <v>07-I04-02</v>
      </c>
      <c r="H4490">
        <v>2.0665</v>
      </c>
      <c r="I4490" t="s">
        <v>489</v>
      </c>
      <c r="J4490" t="s">
        <v>17</v>
      </c>
      <c r="K4490" t="str">
        <f>"5F1"</f>
        <v>5F1</v>
      </c>
      <c r="L4490" t="s">
        <v>15</v>
      </c>
    </row>
    <row r="4491" spans="1:12" x14ac:dyDescent="0.25">
      <c r="A4491" t="str">
        <f>"480128178"</f>
        <v>480128178</v>
      </c>
      <c r="B4491" t="str">
        <f t="shared" si="256"/>
        <v>89301000</v>
      </c>
      <c r="C4491" s="1">
        <v>44246</v>
      </c>
      <c r="D4491" s="1">
        <v>44264</v>
      </c>
      <c r="E4491">
        <v>5</v>
      </c>
      <c r="F4491" t="s">
        <v>217</v>
      </c>
      <c r="G4491" t="str">
        <f>"00-M01-04"</f>
        <v>00-M01-04</v>
      </c>
      <c r="H4491">
        <v>6.85</v>
      </c>
      <c r="I4491" t="s">
        <v>3277</v>
      </c>
      <c r="J4491" t="s">
        <v>14</v>
      </c>
      <c r="K4491" t="str">
        <f>"1T1"</f>
        <v>1T1</v>
      </c>
      <c r="L4491" t="s">
        <v>15</v>
      </c>
    </row>
    <row r="4492" spans="1:12" x14ac:dyDescent="0.25">
      <c r="A4492" t="str">
        <f>"480201403"</f>
        <v>480201403</v>
      </c>
      <c r="B4492" t="str">
        <f t="shared" si="256"/>
        <v>89301000</v>
      </c>
      <c r="C4492" s="1">
        <v>44284</v>
      </c>
      <c r="D4492" s="1">
        <v>44287</v>
      </c>
      <c r="E4492">
        <v>1</v>
      </c>
      <c r="F4492" t="s">
        <v>217</v>
      </c>
      <c r="G4492" t="str">
        <f>"04-K02-04"</f>
        <v>04-K02-04</v>
      </c>
      <c r="H4492">
        <v>0.82469999999999999</v>
      </c>
      <c r="I4492" t="s">
        <v>3278</v>
      </c>
      <c r="J4492" t="s">
        <v>14</v>
      </c>
      <c r="K4492" t="str">
        <f>"5F1"</f>
        <v>5F1</v>
      </c>
      <c r="L4492" t="s">
        <v>15</v>
      </c>
    </row>
    <row r="4493" spans="1:12" x14ac:dyDescent="0.25">
      <c r="A4493" t="str">
        <f>"480201446"</f>
        <v>480201446</v>
      </c>
      <c r="B4493" t="str">
        <f t="shared" si="256"/>
        <v>89301000</v>
      </c>
      <c r="C4493" s="1">
        <v>44357</v>
      </c>
      <c r="D4493" s="1">
        <v>44368</v>
      </c>
      <c r="E4493">
        <v>1</v>
      </c>
      <c r="F4493" t="s">
        <v>3279</v>
      </c>
      <c r="G4493" t="str">
        <f>"11-K07-01"</f>
        <v>11-K07-01</v>
      </c>
      <c r="H4493">
        <v>1.0079</v>
      </c>
      <c r="I4493" t="s">
        <v>3280</v>
      </c>
      <c r="J4493" t="s">
        <v>14</v>
      </c>
      <c r="K4493" t="str">
        <f>"4F2"</f>
        <v>4F2</v>
      </c>
      <c r="L4493" t="s">
        <v>15</v>
      </c>
    </row>
    <row r="4494" spans="1:12" x14ac:dyDescent="0.25">
      <c r="A4494" t="str">
        <f>"480221410"</f>
        <v>480221410</v>
      </c>
      <c r="B4494" t="str">
        <f t="shared" si="256"/>
        <v>89301000</v>
      </c>
      <c r="C4494" s="1">
        <v>44525</v>
      </c>
      <c r="D4494" s="1">
        <v>44536</v>
      </c>
      <c r="E4494">
        <v>8</v>
      </c>
      <c r="F4494" t="s">
        <v>217</v>
      </c>
      <c r="G4494" t="str">
        <f>"00-M02-04"</f>
        <v>00-M02-04</v>
      </c>
      <c r="H4494">
        <v>12.071199999999999</v>
      </c>
      <c r="I4494" t="s">
        <v>3281</v>
      </c>
      <c r="J4494" t="s">
        <v>14</v>
      </c>
      <c r="K4494" t="str">
        <f>"5T5"</f>
        <v>5T5</v>
      </c>
      <c r="L4494" t="s">
        <v>15</v>
      </c>
    </row>
    <row r="4495" spans="1:12" x14ac:dyDescent="0.25">
      <c r="A4495" t="str">
        <f>"480221427"</f>
        <v>480221427</v>
      </c>
      <c r="B4495" t="str">
        <f t="shared" ref="B4495:B4556" si="257">"89301000"</f>
        <v>89301000</v>
      </c>
      <c r="C4495" s="1">
        <v>44320</v>
      </c>
      <c r="D4495" s="1">
        <v>44326</v>
      </c>
      <c r="E4495">
        <v>1</v>
      </c>
      <c r="F4495" t="s">
        <v>1581</v>
      </c>
      <c r="G4495" t="str">
        <f>"05-I24-04"</f>
        <v>05-I24-04</v>
      </c>
      <c r="H4495">
        <v>2.1857000000000002</v>
      </c>
      <c r="I4495" t="s">
        <v>1959</v>
      </c>
      <c r="J4495" t="s">
        <v>14</v>
      </c>
      <c r="K4495" t="str">
        <f>"5F1"</f>
        <v>5F1</v>
      </c>
      <c r="L4495" t="s">
        <v>15</v>
      </c>
    </row>
    <row r="4496" spans="1:12" x14ac:dyDescent="0.25">
      <c r="A4496" t="str">
        <f>"480229147"</f>
        <v>480229147</v>
      </c>
      <c r="B4496" t="str">
        <f t="shared" si="257"/>
        <v>89301000</v>
      </c>
      <c r="C4496" s="1">
        <v>44245</v>
      </c>
      <c r="D4496" s="1">
        <v>44249</v>
      </c>
      <c r="E4496">
        <v>1</v>
      </c>
      <c r="F4496" t="s">
        <v>831</v>
      </c>
      <c r="G4496" t="str">
        <f>"02-I06-03"</f>
        <v>02-I06-03</v>
      </c>
      <c r="H4496">
        <v>0.63690000000000002</v>
      </c>
      <c r="I4496" t="s">
        <v>3282</v>
      </c>
      <c r="J4496" t="s">
        <v>17</v>
      </c>
      <c r="K4496" t="str">
        <f>"7F5"</f>
        <v>7F5</v>
      </c>
      <c r="L4496" t="s">
        <v>15</v>
      </c>
    </row>
    <row r="4497" spans="1:12" x14ac:dyDescent="0.25">
      <c r="A4497" t="str">
        <f>"480302414"</f>
        <v>480302414</v>
      </c>
      <c r="B4497" t="str">
        <f t="shared" si="257"/>
        <v>89301000</v>
      </c>
      <c r="C4497" s="1">
        <v>44280</v>
      </c>
      <c r="D4497" s="1">
        <v>44281</v>
      </c>
      <c r="E4497">
        <v>1</v>
      </c>
      <c r="F4497" t="s">
        <v>1557</v>
      </c>
      <c r="G4497" t="str">
        <f>"05-D01-08"</f>
        <v>05-D01-08</v>
      </c>
      <c r="H4497">
        <v>0.4093</v>
      </c>
      <c r="I4497" t="s">
        <v>3283</v>
      </c>
      <c r="J4497" t="s">
        <v>14</v>
      </c>
      <c r="K4497" t="str">
        <f>"1F7"</f>
        <v>1F7</v>
      </c>
      <c r="L4497" t="s">
        <v>15</v>
      </c>
    </row>
    <row r="4498" spans="1:12" x14ac:dyDescent="0.25">
      <c r="A4498" t="str">
        <f>"480302414"</f>
        <v>480302414</v>
      </c>
      <c r="B4498" t="str">
        <f t="shared" si="257"/>
        <v>89301000</v>
      </c>
      <c r="C4498" s="1">
        <v>44243</v>
      </c>
      <c r="D4498" s="1">
        <v>44260</v>
      </c>
      <c r="E4498">
        <v>1</v>
      </c>
      <c r="F4498" t="s">
        <v>1683</v>
      </c>
      <c r="G4498" t="str">
        <f>"05-I16-02"</f>
        <v>05-I16-02</v>
      </c>
      <c r="H4498">
        <v>9.157</v>
      </c>
      <c r="I4498" t="s">
        <v>3284</v>
      </c>
      <c r="J4498" t="s">
        <v>17</v>
      </c>
      <c r="K4498" t="str">
        <f>"5F5"</f>
        <v>5F5</v>
      </c>
      <c r="L4498" t="s">
        <v>15</v>
      </c>
    </row>
    <row r="4499" spans="1:12" x14ac:dyDescent="0.25">
      <c r="A4499" t="str">
        <f>"480307401"</f>
        <v>480307401</v>
      </c>
      <c r="B4499" t="str">
        <f t="shared" si="257"/>
        <v>89301000</v>
      </c>
      <c r="C4499" s="1">
        <v>44370</v>
      </c>
      <c r="D4499" s="1">
        <v>44375</v>
      </c>
      <c r="E4499">
        <v>5</v>
      </c>
      <c r="F4499" t="s">
        <v>3285</v>
      </c>
      <c r="G4499" t="str">
        <f>"05-K02-02"</f>
        <v>05-K02-02</v>
      </c>
      <c r="H4499">
        <v>0.84079999999999999</v>
      </c>
      <c r="I4499" t="s">
        <v>1602</v>
      </c>
      <c r="J4499" t="s">
        <v>14</v>
      </c>
      <c r="K4499" t="str">
        <f>"1F1"</f>
        <v>1F1</v>
      </c>
      <c r="L4499" t="s">
        <v>15</v>
      </c>
    </row>
    <row r="4500" spans="1:12" x14ac:dyDescent="0.25">
      <c r="A4500" t="str">
        <f>"480308045"</f>
        <v>480308045</v>
      </c>
      <c r="B4500" t="str">
        <f t="shared" si="257"/>
        <v>89301000</v>
      </c>
      <c r="C4500" s="1">
        <v>44363</v>
      </c>
      <c r="D4500" s="1">
        <v>44364</v>
      </c>
      <c r="E4500">
        <v>1</v>
      </c>
      <c r="F4500" t="s">
        <v>489</v>
      </c>
      <c r="G4500" t="str">
        <f>"05-D01-08"</f>
        <v>05-D01-08</v>
      </c>
      <c r="H4500">
        <v>0.4093</v>
      </c>
      <c r="I4500" t="s">
        <v>1892</v>
      </c>
      <c r="J4500" t="s">
        <v>14</v>
      </c>
      <c r="K4500" t="str">
        <f>"1F7"</f>
        <v>1F7</v>
      </c>
      <c r="L4500" t="s">
        <v>15</v>
      </c>
    </row>
    <row r="4501" spans="1:12" x14ac:dyDescent="0.25">
      <c r="A4501" t="str">
        <f>"480308045"</f>
        <v>480308045</v>
      </c>
      <c r="B4501" t="str">
        <f t="shared" si="257"/>
        <v>89301000</v>
      </c>
      <c r="C4501" s="1">
        <v>44453</v>
      </c>
      <c r="D4501" s="1">
        <v>44466</v>
      </c>
      <c r="E4501">
        <v>1</v>
      </c>
      <c r="F4501" t="s">
        <v>3286</v>
      </c>
      <c r="G4501" t="str">
        <f>"06-I07-06"</f>
        <v>06-I07-06</v>
      </c>
      <c r="H4501">
        <v>2.3988</v>
      </c>
      <c r="I4501" t="s">
        <v>3287</v>
      </c>
      <c r="J4501" t="s">
        <v>17</v>
      </c>
      <c r="K4501" t="str">
        <f>"5F1"</f>
        <v>5F1</v>
      </c>
      <c r="L4501" t="s">
        <v>15</v>
      </c>
    </row>
    <row r="4502" spans="1:12" x14ac:dyDescent="0.25">
      <c r="A4502" t="str">
        <f>"480308402"</f>
        <v>480308402</v>
      </c>
      <c r="B4502" t="str">
        <f t="shared" si="257"/>
        <v>89301000</v>
      </c>
      <c r="C4502" s="1">
        <v>44335</v>
      </c>
      <c r="D4502" s="1">
        <v>44339</v>
      </c>
      <c r="E4502">
        <v>1</v>
      </c>
      <c r="F4502" t="s">
        <v>1991</v>
      </c>
      <c r="G4502" t="str">
        <f>"12-M02-02"</f>
        <v>12-M02-02</v>
      </c>
      <c r="H4502">
        <v>0.995</v>
      </c>
      <c r="I4502" t="s">
        <v>3288</v>
      </c>
      <c r="J4502" t="s">
        <v>24</v>
      </c>
      <c r="K4502" t="str">
        <f>"7F6"</f>
        <v>7F6</v>
      </c>
      <c r="L4502" t="s">
        <v>15</v>
      </c>
    </row>
    <row r="4503" spans="1:12" x14ac:dyDescent="0.25">
      <c r="A4503" t="str">
        <f>"480310471"</f>
        <v>480310471</v>
      </c>
      <c r="B4503" t="str">
        <f t="shared" si="257"/>
        <v>89301000</v>
      </c>
      <c r="C4503" s="1">
        <v>44491</v>
      </c>
      <c r="D4503" s="1">
        <v>44494</v>
      </c>
      <c r="E4503">
        <v>1</v>
      </c>
      <c r="F4503" t="s">
        <v>1557</v>
      </c>
      <c r="G4503" t="str">
        <f>"05-M06-08"</f>
        <v>05-M06-08</v>
      </c>
      <c r="H4503">
        <v>1.4719</v>
      </c>
      <c r="I4503" t="s">
        <v>2773</v>
      </c>
      <c r="J4503" t="s">
        <v>17</v>
      </c>
      <c r="K4503" t="str">
        <f>"1F1"</f>
        <v>1F1</v>
      </c>
      <c r="L4503" t="s">
        <v>15</v>
      </c>
    </row>
    <row r="4504" spans="1:12" x14ac:dyDescent="0.25">
      <c r="A4504" t="str">
        <f>"480314299"</f>
        <v>480314299</v>
      </c>
      <c r="B4504" t="str">
        <f t="shared" si="257"/>
        <v>89301000</v>
      </c>
      <c r="C4504" s="1">
        <v>44446</v>
      </c>
      <c r="D4504" s="1">
        <v>44450</v>
      </c>
      <c r="E4504">
        <v>1</v>
      </c>
      <c r="F4504" t="s">
        <v>1991</v>
      </c>
      <c r="G4504" t="str">
        <f>"12-M02-02"</f>
        <v>12-M02-02</v>
      </c>
      <c r="H4504">
        <v>0.995</v>
      </c>
      <c r="J4504" t="s">
        <v>24</v>
      </c>
      <c r="K4504" t="str">
        <f>"7F6"</f>
        <v>7F6</v>
      </c>
      <c r="L4504" t="s">
        <v>15</v>
      </c>
    </row>
    <row r="4505" spans="1:12" x14ac:dyDescent="0.25">
      <c r="A4505" t="str">
        <f>"480319276"</f>
        <v>480319276</v>
      </c>
      <c r="B4505" t="str">
        <f t="shared" si="257"/>
        <v>89301000</v>
      </c>
      <c r="C4505" s="1">
        <v>44384</v>
      </c>
      <c r="D4505" s="1">
        <v>44386</v>
      </c>
      <c r="E4505">
        <v>1</v>
      </c>
      <c r="F4505" t="s">
        <v>1914</v>
      </c>
      <c r="G4505" t="str">
        <f>"04-C02-02"</f>
        <v>04-C02-02</v>
      </c>
      <c r="H4505">
        <v>0.3589</v>
      </c>
      <c r="I4505" t="s">
        <v>3289</v>
      </c>
      <c r="J4505" t="s">
        <v>14</v>
      </c>
      <c r="K4505" t="str">
        <f>"2F5"</f>
        <v>2F5</v>
      </c>
      <c r="L4505" t="s">
        <v>15</v>
      </c>
    </row>
    <row r="4506" spans="1:12" x14ac:dyDescent="0.25">
      <c r="A4506" t="str">
        <f>"480319276"</f>
        <v>480319276</v>
      </c>
      <c r="B4506" t="str">
        <f t="shared" si="257"/>
        <v>89301000</v>
      </c>
      <c r="C4506" s="1">
        <v>44207</v>
      </c>
      <c r="D4506" s="1">
        <v>44209</v>
      </c>
      <c r="E4506">
        <v>1</v>
      </c>
      <c r="F4506" t="s">
        <v>2434</v>
      </c>
      <c r="G4506" t="str">
        <f>"04-C02-02"</f>
        <v>04-C02-02</v>
      </c>
      <c r="H4506">
        <v>0.3589</v>
      </c>
      <c r="I4506" t="s">
        <v>3290</v>
      </c>
      <c r="J4506" t="s">
        <v>14</v>
      </c>
      <c r="K4506" t="str">
        <f>"2F5"</f>
        <v>2F5</v>
      </c>
      <c r="L4506" t="s">
        <v>15</v>
      </c>
    </row>
    <row r="4507" spans="1:12" x14ac:dyDescent="0.25">
      <c r="A4507" t="str">
        <f>"480322118"</f>
        <v>480322118</v>
      </c>
      <c r="B4507" t="str">
        <f t="shared" si="257"/>
        <v>89301000</v>
      </c>
      <c r="C4507" s="1">
        <v>44444</v>
      </c>
      <c r="D4507" s="1">
        <v>44449</v>
      </c>
      <c r="E4507">
        <v>1</v>
      </c>
      <c r="F4507" t="s">
        <v>2232</v>
      </c>
      <c r="G4507" t="str">
        <f>"11-I08-03"</f>
        <v>11-I08-03</v>
      </c>
      <c r="H4507">
        <v>2.0676999999999999</v>
      </c>
      <c r="I4507" t="s">
        <v>489</v>
      </c>
      <c r="J4507" t="s">
        <v>17</v>
      </c>
      <c r="K4507" t="str">
        <f>"7F6"</f>
        <v>7F6</v>
      </c>
      <c r="L4507" t="s">
        <v>15</v>
      </c>
    </row>
    <row r="4508" spans="1:12" x14ac:dyDescent="0.25">
      <c r="A4508" t="str">
        <f>"480323412"</f>
        <v>480323412</v>
      </c>
      <c r="B4508" t="str">
        <f t="shared" si="257"/>
        <v>89301000</v>
      </c>
      <c r="C4508" s="1">
        <v>44518</v>
      </c>
      <c r="D4508" s="1">
        <v>44523</v>
      </c>
      <c r="E4508">
        <v>4</v>
      </c>
      <c r="F4508" t="s">
        <v>1548</v>
      </c>
      <c r="G4508" t="str">
        <f>"05-K07-05"</f>
        <v>05-K07-05</v>
      </c>
      <c r="H4508">
        <v>0.81410000000000005</v>
      </c>
      <c r="I4508" t="s">
        <v>3291</v>
      </c>
      <c r="J4508" t="s">
        <v>14</v>
      </c>
      <c r="K4508" t="str">
        <f>"1F1"</f>
        <v>1F1</v>
      </c>
      <c r="L4508" t="s">
        <v>15</v>
      </c>
    </row>
    <row r="4509" spans="1:12" x14ac:dyDescent="0.25">
      <c r="A4509" t="str">
        <f>"480324415"</f>
        <v>480324415</v>
      </c>
      <c r="B4509" t="str">
        <f t="shared" si="257"/>
        <v>89301000</v>
      </c>
      <c r="C4509" s="1">
        <v>44375</v>
      </c>
      <c r="D4509" s="1">
        <v>44379</v>
      </c>
      <c r="E4509">
        <v>1</v>
      </c>
      <c r="F4509" t="s">
        <v>3292</v>
      </c>
      <c r="G4509" t="str">
        <f>"08-I15-02"</f>
        <v>08-I15-02</v>
      </c>
      <c r="H4509">
        <v>1.7266999999999999</v>
      </c>
      <c r="I4509" t="s">
        <v>3293</v>
      </c>
      <c r="J4509" t="s">
        <v>17</v>
      </c>
      <c r="K4509" t="str">
        <f>"5F3"</f>
        <v>5F3</v>
      </c>
      <c r="L4509" t="s">
        <v>15</v>
      </c>
    </row>
    <row r="4510" spans="1:12" x14ac:dyDescent="0.25">
      <c r="A4510" t="str">
        <f>"480331403"</f>
        <v>480331403</v>
      </c>
      <c r="B4510" t="str">
        <f t="shared" si="257"/>
        <v>89301000</v>
      </c>
      <c r="C4510" s="1">
        <v>44284</v>
      </c>
      <c r="D4510" s="1">
        <v>44292</v>
      </c>
      <c r="E4510">
        <v>1</v>
      </c>
      <c r="F4510" t="s">
        <v>3294</v>
      </c>
      <c r="G4510" t="str">
        <f>"03-K08-00"</f>
        <v>03-K08-00</v>
      </c>
      <c r="H4510">
        <v>0.68559999999999999</v>
      </c>
      <c r="I4510" t="s">
        <v>3295</v>
      </c>
      <c r="J4510" t="s">
        <v>14</v>
      </c>
      <c r="K4510" t="str">
        <f>"1F5"</f>
        <v>1F5</v>
      </c>
      <c r="L4510" t="s">
        <v>15</v>
      </c>
    </row>
    <row r="4511" spans="1:12" x14ac:dyDescent="0.25">
      <c r="A4511" t="str">
        <f>"480403410"</f>
        <v>480403410</v>
      </c>
      <c r="B4511" t="str">
        <f t="shared" si="257"/>
        <v>89301000</v>
      </c>
      <c r="C4511" s="1">
        <v>44515</v>
      </c>
      <c r="D4511" s="1">
        <v>44517</v>
      </c>
      <c r="E4511">
        <v>1</v>
      </c>
      <c r="F4511" t="s">
        <v>1545</v>
      </c>
      <c r="G4511" t="str">
        <f>"05-I14-03"</f>
        <v>05-I14-03</v>
      </c>
      <c r="H4511">
        <v>6.1292</v>
      </c>
      <c r="I4511" t="s">
        <v>3296</v>
      </c>
      <c r="J4511" t="s">
        <v>14</v>
      </c>
      <c r="K4511" t="str">
        <f>"1F1"</f>
        <v>1F1</v>
      </c>
      <c r="L4511" t="s">
        <v>15</v>
      </c>
    </row>
    <row r="4512" spans="1:12" x14ac:dyDescent="0.25">
      <c r="A4512" t="str">
        <f>"480403410"</f>
        <v>480403410</v>
      </c>
      <c r="B4512" t="str">
        <f t="shared" si="257"/>
        <v>89301000</v>
      </c>
      <c r="C4512" s="1">
        <v>44278</v>
      </c>
      <c r="D4512" s="1">
        <v>44285</v>
      </c>
      <c r="E4512">
        <v>1</v>
      </c>
      <c r="F4512" t="s">
        <v>67</v>
      </c>
      <c r="G4512" t="str">
        <f>"01-K10-02"</f>
        <v>01-K10-02</v>
      </c>
      <c r="H4512">
        <v>1.6306</v>
      </c>
      <c r="I4512" t="s">
        <v>3297</v>
      </c>
      <c r="J4512" t="s">
        <v>14</v>
      </c>
      <c r="K4512" t="str">
        <f>"2F9"</f>
        <v>2F9</v>
      </c>
      <c r="L4512" t="s">
        <v>15</v>
      </c>
    </row>
    <row r="4513" spans="1:12" x14ac:dyDescent="0.25">
      <c r="A4513" t="str">
        <f>"480403410"</f>
        <v>480403410</v>
      </c>
      <c r="B4513" t="str">
        <f t="shared" si="257"/>
        <v>89301000</v>
      </c>
      <c r="C4513" s="1">
        <v>44496</v>
      </c>
      <c r="D4513" s="1">
        <v>44497</v>
      </c>
      <c r="E4513">
        <v>1</v>
      </c>
      <c r="F4513" t="s">
        <v>1545</v>
      </c>
      <c r="G4513" t="str">
        <f>"05-D01-06"</f>
        <v>05-D01-06</v>
      </c>
      <c r="H4513">
        <v>0.7611</v>
      </c>
      <c r="I4513" t="s">
        <v>1602</v>
      </c>
      <c r="J4513" t="s">
        <v>14</v>
      </c>
      <c r="K4513" t="str">
        <f>"1F1"</f>
        <v>1F1</v>
      </c>
      <c r="L4513" t="s">
        <v>15</v>
      </c>
    </row>
    <row r="4514" spans="1:12" x14ac:dyDescent="0.25">
      <c r="A4514" t="str">
        <f>"480416403"</f>
        <v>480416403</v>
      </c>
      <c r="B4514" t="str">
        <f t="shared" si="257"/>
        <v>89301000</v>
      </c>
      <c r="C4514" s="1">
        <v>44521</v>
      </c>
      <c r="D4514" s="1">
        <v>44529</v>
      </c>
      <c r="E4514">
        <v>1</v>
      </c>
      <c r="F4514" t="s">
        <v>625</v>
      </c>
      <c r="G4514" t="str">
        <f>"04-K08-04"</f>
        <v>04-K08-04</v>
      </c>
      <c r="H4514">
        <v>0.92730000000000001</v>
      </c>
      <c r="I4514" t="s">
        <v>3298</v>
      </c>
      <c r="J4514" t="s">
        <v>14</v>
      </c>
      <c r="K4514" t="str">
        <f>"2F5"</f>
        <v>2F5</v>
      </c>
      <c r="L4514" t="s">
        <v>15</v>
      </c>
    </row>
    <row r="4515" spans="1:12" x14ac:dyDescent="0.25">
      <c r="A4515" t="str">
        <f>"480422430"</f>
        <v>480422430</v>
      </c>
      <c r="B4515" t="str">
        <f t="shared" si="257"/>
        <v>89301000</v>
      </c>
      <c r="C4515" s="1">
        <v>44245</v>
      </c>
      <c r="D4515" s="1">
        <v>44248</v>
      </c>
      <c r="E4515">
        <v>1</v>
      </c>
      <c r="F4515" t="s">
        <v>1581</v>
      </c>
      <c r="G4515" t="str">
        <f>"05-M07-04"</f>
        <v>05-M07-04</v>
      </c>
      <c r="H4515">
        <v>1.7799</v>
      </c>
      <c r="J4515" t="s">
        <v>17</v>
      </c>
      <c r="K4515" t="str">
        <f>"5F1"</f>
        <v>5F1</v>
      </c>
      <c r="L4515" t="s">
        <v>15</v>
      </c>
    </row>
    <row r="4516" spans="1:12" x14ac:dyDescent="0.25">
      <c r="A4516" t="str">
        <f>"480422430"</f>
        <v>480422430</v>
      </c>
      <c r="B4516" t="str">
        <f t="shared" si="257"/>
        <v>89301000</v>
      </c>
      <c r="C4516" s="1">
        <v>44393</v>
      </c>
      <c r="D4516" s="1">
        <v>44402</v>
      </c>
      <c r="E4516">
        <v>1</v>
      </c>
      <c r="F4516" t="s">
        <v>1555</v>
      </c>
      <c r="G4516" t="str">
        <f>"05-K12-02"</f>
        <v>05-K12-02</v>
      </c>
      <c r="H4516">
        <v>0.53600000000000003</v>
      </c>
      <c r="I4516" t="s">
        <v>1651</v>
      </c>
      <c r="J4516" t="s">
        <v>14</v>
      </c>
      <c r="K4516" t="str">
        <f>"5F1"</f>
        <v>5F1</v>
      </c>
      <c r="L4516" t="s">
        <v>15</v>
      </c>
    </row>
    <row r="4517" spans="1:12" x14ac:dyDescent="0.25">
      <c r="A4517" t="str">
        <f>"480422430"</f>
        <v>480422430</v>
      </c>
      <c r="B4517" t="str">
        <f t="shared" si="257"/>
        <v>89301000</v>
      </c>
      <c r="C4517" s="1">
        <v>44551</v>
      </c>
      <c r="D4517" s="1">
        <v>44553</v>
      </c>
      <c r="E4517">
        <v>1</v>
      </c>
      <c r="F4517" t="s">
        <v>1581</v>
      </c>
      <c r="G4517" t="str">
        <f>"05-M07-04"</f>
        <v>05-M07-04</v>
      </c>
      <c r="H4517">
        <v>1.7799</v>
      </c>
      <c r="I4517" t="s">
        <v>2979</v>
      </c>
      <c r="J4517" t="s">
        <v>17</v>
      </c>
      <c r="K4517" t="str">
        <f>"5F1"</f>
        <v>5F1</v>
      </c>
      <c r="L4517" t="s">
        <v>15</v>
      </c>
    </row>
    <row r="4518" spans="1:12" x14ac:dyDescent="0.25">
      <c r="A4518" t="str">
        <f>"480426029"</f>
        <v>480426029</v>
      </c>
      <c r="B4518" t="str">
        <f t="shared" si="257"/>
        <v>89301000</v>
      </c>
      <c r="C4518" s="1">
        <v>44322</v>
      </c>
      <c r="D4518" s="1">
        <v>44326</v>
      </c>
      <c r="E4518">
        <v>1</v>
      </c>
      <c r="F4518" t="s">
        <v>1132</v>
      </c>
      <c r="G4518" t="str">
        <f>"23-K04-02"</f>
        <v>23-K04-02</v>
      </c>
      <c r="H4518">
        <v>0.38690000000000002</v>
      </c>
      <c r="I4518" t="s">
        <v>2218</v>
      </c>
      <c r="J4518" t="s">
        <v>14</v>
      </c>
      <c r="K4518" t="str">
        <f>"2F9"</f>
        <v>2F9</v>
      </c>
      <c r="L4518" t="s">
        <v>15</v>
      </c>
    </row>
    <row r="4519" spans="1:12" x14ac:dyDescent="0.25">
      <c r="A4519" t="str">
        <f>"480428460"</f>
        <v>480428460</v>
      </c>
      <c r="B4519" t="str">
        <f t="shared" si="257"/>
        <v>89301000</v>
      </c>
      <c r="C4519" s="1">
        <v>44418</v>
      </c>
      <c r="D4519" s="1">
        <v>44419</v>
      </c>
      <c r="E4519">
        <v>1</v>
      </c>
      <c r="F4519" t="s">
        <v>1557</v>
      </c>
      <c r="G4519" t="str">
        <f>"05-D01-08"</f>
        <v>05-D01-08</v>
      </c>
      <c r="H4519">
        <v>0.4093</v>
      </c>
      <c r="I4519" t="s">
        <v>3299</v>
      </c>
      <c r="J4519" t="s">
        <v>14</v>
      </c>
      <c r="K4519" t="str">
        <f>"1F1"</f>
        <v>1F1</v>
      </c>
      <c r="L4519" t="s">
        <v>15</v>
      </c>
    </row>
    <row r="4520" spans="1:12" x14ac:dyDescent="0.25">
      <c r="A4520" t="str">
        <f>"480501417"</f>
        <v>480501417</v>
      </c>
      <c r="B4520" t="str">
        <f t="shared" si="257"/>
        <v>89301000</v>
      </c>
      <c r="C4520" s="1">
        <v>44493</v>
      </c>
      <c r="D4520" s="1">
        <v>44496</v>
      </c>
      <c r="E4520">
        <v>1</v>
      </c>
      <c r="F4520" t="s">
        <v>3300</v>
      </c>
      <c r="G4520" t="str">
        <f>"08-I19-03"</f>
        <v>08-I19-03</v>
      </c>
      <c r="H4520">
        <v>0.63449999999999995</v>
      </c>
      <c r="I4520" t="s">
        <v>3301</v>
      </c>
      <c r="J4520" t="s">
        <v>17</v>
      </c>
      <c r="K4520" t="str">
        <f>"5F3"</f>
        <v>5F3</v>
      </c>
      <c r="L4520" t="s">
        <v>15</v>
      </c>
    </row>
    <row r="4521" spans="1:12" x14ac:dyDescent="0.25">
      <c r="A4521" t="str">
        <f>"480502429"</f>
        <v>480502429</v>
      </c>
      <c r="B4521" t="str">
        <f t="shared" si="257"/>
        <v>89301000</v>
      </c>
      <c r="C4521" s="1">
        <v>44230</v>
      </c>
      <c r="D4521" s="1">
        <v>44237</v>
      </c>
      <c r="E4521">
        <v>1</v>
      </c>
      <c r="F4521" t="s">
        <v>3302</v>
      </c>
      <c r="G4521" t="str">
        <f>"02-K07-01"</f>
        <v>02-K07-01</v>
      </c>
      <c r="H4521">
        <v>0.94879999999999998</v>
      </c>
      <c r="I4521" t="s">
        <v>3303</v>
      </c>
      <c r="J4521" t="s">
        <v>14</v>
      </c>
      <c r="K4521" t="str">
        <f>"2F9"</f>
        <v>2F9</v>
      </c>
      <c r="L4521" t="s">
        <v>15</v>
      </c>
    </row>
    <row r="4522" spans="1:12" x14ac:dyDescent="0.25">
      <c r="A4522" t="str">
        <f>"480514195"</f>
        <v>480514195</v>
      </c>
      <c r="B4522" t="str">
        <f t="shared" si="257"/>
        <v>89301000</v>
      </c>
      <c r="C4522" s="1">
        <v>44330</v>
      </c>
      <c r="D4522" s="1">
        <v>44340</v>
      </c>
      <c r="E4522">
        <v>4</v>
      </c>
      <c r="F4522" t="s">
        <v>31</v>
      </c>
      <c r="G4522" t="str">
        <f>"08-I04-02"</f>
        <v>08-I04-02</v>
      </c>
      <c r="H4522">
        <v>1.7992999999999999</v>
      </c>
      <c r="I4522" t="s">
        <v>489</v>
      </c>
      <c r="J4522" t="s">
        <v>17</v>
      </c>
      <c r="K4522" t="str">
        <f>"5F6"</f>
        <v>5F6</v>
      </c>
      <c r="L4522" t="s">
        <v>15</v>
      </c>
    </row>
    <row r="4523" spans="1:12" x14ac:dyDescent="0.25">
      <c r="A4523" t="str">
        <f>"480514195"</f>
        <v>480514195</v>
      </c>
      <c r="B4523" t="str">
        <f t="shared" si="257"/>
        <v>89301000</v>
      </c>
      <c r="C4523" s="1">
        <v>44284</v>
      </c>
      <c r="D4523" s="1">
        <v>44301</v>
      </c>
      <c r="E4523">
        <v>1</v>
      </c>
      <c r="F4523" t="s">
        <v>399</v>
      </c>
      <c r="G4523" t="str">
        <f>"19-K04-02"</f>
        <v>19-K04-02</v>
      </c>
      <c r="H4523">
        <v>1.4597</v>
      </c>
      <c r="I4523" t="s">
        <v>3304</v>
      </c>
      <c r="J4523" t="s">
        <v>27</v>
      </c>
      <c r="K4523" t="str">
        <f>"3F5"</f>
        <v>3F5</v>
      </c>
      <c r="L4523" t="s">
        <v>15</v>
      </c>
    </row>
    <row r="4524" spans="1:12" x14ac:dyDescent="0.25">
      <c r="A4524" t="str">
        <f>"480514423"</f>
        <v>480514423</v>
      </c>
      <c r="B4524" t="str">
        <f t="shared" si="257"/>
        <v>89301000</v>
      </c>
      <c r="C4524" s="1">
        <v>44375</v>
      </c>
      <c r="D4524" s="1">
        <v>44378</v>
      </c>
      <c r="E4524">
        <v>1</v>
      </c>
      <c r="F4524" t="s">
        <v>1606</v>
      </c>
      <c r="G4524" t="str">
        <f>"05-M05-02"</f>
        <v>05-M05-02</v>
      </c>
      <c r="H4524">
        <v>3.516</v>
      </c>
      <c r="J4524" t="s">
        <v>24</v>
      </c>
      <c r="K4524" t="str">
        <f>"1F7"</f>
        <v>1F7</v>
      </c>
      <c r="L4524" t="s">
        <v>15</v>
      </c>
    </row>
    <row r="4525" spans="1:12" x14ac:dyDescent="0.25">
      <c r="A4525" t="str">
        <f>"480524412"</f>
        <v>480524412</v>
      </c>
      <c r="B4525" t="str">
        <f t="shared" si="257"/>
        <v>89301000</v>
      </c>
      <c r="C4525" s="1">
        <v>44254</v>
      </c>
      <c r="D4525" s="1">
        <v>44261</v>
      </c>
      <c r="E4525">
        <v>1</v>
      </c>
      <c r="F4525" t="s">
        <v>217</v>
      </c>
      <c r="G4525" t="str">
        <f>"04-K02-02"</f>
        <v>04-K02-02</v>
      </c>
      <c r="H4525">
        <v>2.5186000000000002</v>
      </c>
      <c r="I4525" t="s">
        <v>3305</v>
      </c>
      <c r="J4525" t="s">
        <v>14</v>
      </c>
      <c r="K4525" t="str">
        <f>"1F1"</f>
        <v>1F1</v>
      </c>
      <c r="L4525" t="s">
        <v>15</v>
      </c>
    </row>
    <row r="4526" spans="1:12" x14ac:dyDescent="0.25">
      <c r="A4526" t="str">
        <f>"480524412"</f>
        <v>480524412</v>
      </c>
      <c r="B4526" t="str">
        <f t="shared" si="257"/>
        <v>89301000</v>
      </c>
      <c r="C4526" s="1">
        <v>44348</v>
      </c>
      <c r="D4526" s="1">
        <v>44354</v>
      </c>
      <c r="E4526">
        <v>1</v>
      </c>
      <c r="F4526" t="s">
        <v>448</v>
      </c>
      <c r="G4526" t="str">
        <f>"11-K01-03"</f>
        <v>11-K01-03</v>
      </c>
      <c r="H4526">
        <v>0.59489999999999998</v>
      </c>
      <c r="I4526" t="s">
        <v>1528</v>
      </c>
      <c r="J4526" t="s">
        <v>14</v>
      </c>
      <c r="K4526" t="str">
        <f>"7F6"</f>
        <v>7F6</v>
      </c>
      <c r="L4526" t="s">
        <v>15</v>
      </c>
    </row>
    <row r="4527" spans="1:12" x14ac:dyDescent="0.25">
      <c r="A4527" t="str">
        <f>"480524412"</f>
        <v>480524412</v>
      </c>
      <c r="B4527" t="str">
        <f t="shared" si="257"/>
        <v>89301000</v>
      </c>
      <c r="C4527" s="1">
        <v>44442</v>
      </c>
      <c r="D4527" s="1">
        <v>44452</v>
      </c>
      <c r="E4527">
        <v>1</v>
      </c>
      <c r="F4527" t="s">
        <v>448</v>
      </c>
      <c r="G4527" t="str">
        <f>"11-K01-03"</f>
        <v>11-K01-03</v>
      </c>
      <c r="H4527">
        <v>0.59489999999999998</v>
      </c>
      <c r="I4527" t="s">
        <v>3306</v>
      </c>
      <c r="J4527" t="s">
        <v>14</v>
      </c>
      <c r="K4527" t="str">
        <f>"7F6"</f>
        <v>7F6</v>
      </c>
      <c r="L4527" t="s">
        <v>15</v>
      </c>
    </row>
    <row r="4528" spans="1:12" x14ac:dyDescent="0.25">
      <c r="A4528" t="str">
        <f>"480524431"</f>
        <v>480524431</v>
      </c>
      <c r="B4528" t="str">
        <f t="shared" si="257"/>
        <v>89301000</v>
      </c>
      <c r="C4528" s="1">
        <v>44480</v>
      </c>
      <c r="D4528" s="1">
        <v>44487</v>
      </c>
      <c r="E4528">
        <v>1</v>
      </c>
      <c r="F4528" t="s">
        <v>31</v>
      </c>
      <c r="G4528" t="str">
        <f>"08-I04-02"</f>
        <v>08-I04-02</v>
      </c>
      <c r="H4528">
        <v>1.6718999999999999</v>
      </c>
      <c r="I4528" t="s">
        <v>3307</v>
      </c>
      <c r="J4528" t="s">
        <v>17</v>
      </c>
      <c r="K4528" t="str">
        <f>"5F6"</f>
        <v>5F6</v>
      </c>
      <c r="L4528" t="s">
        <v>15</v>
      </c>
    </row>
    <row r="4529" spans="1:12" x14ac:dyDescent="0.25">
      <c r="A4529" t="str">
        <f>"480603405"</f>
        <v>480603405</v>
      </c>
      <c r="B4529" t="str">
        <f t="shared" si="257"/>
        <v>89301000</v>
      </c>
      <c r="C4529" s="1">
        <v>44298</v>
      </c>
      <c r="D4529" s="1">
        <v>44299</v>
      </c>
      <c r="E4529">
        <v>4</v>
      </c>
      <c r="F4529" t="s">
        <v>1683</v>
      </c>
      <c r="G4529" t="str">
        <f>"05-M06-06"</f>
        <v>05-M06-06</v>
      </c>
      <c r="H4529">
        <v>1.7652000000000001</v>
      </c>
      <c r="I4529" t="s">
        <v>3308</v>
      </c>
      <c r="J4529" t="s">
        <v>17</v>
      </c>
      <c r="K4529" t="str">
        <f>"1F1"</f>
        <v>1F1</v>
      </c>
      <c r="L4529" t="s">
        <v>15</v>
      </c>
    </row>
    <row r="4530" spans="1:12" x14ac:dyDescent="0.25">
      <c r="A4530" t="str">
        <f>"480603414"</f>
        <v>480603414</v>
      </c>
      <c r="B4530" t="str">
        <f t="shared" si="257"/>
        <v>89301000</v>
      </c>
      <c r="C4530" s="1">
        <v>44255</v>
      </c>
      <c r="D4530" s="1">
        <v>44263</v>
      </c>
      <c r="E4530">
        <v>8</v>
      </c>
      <c r="F4530" t="s">
        <v>962</v>
      </c>
      <c r="G4530" t="str">
        <f>"04-M01-06"</f>
        <v>04-M01-06</v>
      </c>
      <c r="H4530">
        <v>3.5308999999999999</v>
      </c>
      <c r="I4530" t="s">
        <v>3309</v>
      </c>
      <c r="J4530" t="s">
        <v>14</v>
      </c>
      <c r="K4530" t="str">
        <f>"7T8"</f>
        <v>7T8</v>
      </c>
      <c r="L4530" t="s">
        <v>15</v>
      </c>
    </row>
    <row r="4531" spans="1:12" x14ac:dyDescent="0.25">
      <c r="A4531" t="str">
        <f>"480606452"</f>
        <v>480606452</v>
      </c>
      <c r="B4531" t="str">
        <f t="shared" si="257"/>
        <v>89301000</v>
      </c>
      <c r="C4531" s="1">
        <v>44251</v>
      </c>
      <c r="D4531" s="1">
        <v>44253</v>
      </c>
      <c r="E4531">
        <v>1</v>
      </c>
      <c r="F4531" t="s">
        <v>2434</v>
      </c>
      <c r="G4531" t="str">
        <f>"04-K09-03"</f>
        <v>04-K09-03</v>
      </c>
      <c r="H4531">
        <v>0.6623</v>
      </c>
      <c r="I4531" t="s">
        <v>3310</v>
      </c>
      <c r="J4531" t="s">
        <v>14</v>
      </c>
      <c r="K4531" t="str">
        <f>"2F5"</f>
        <v>2F5</v>
      </c>
      <c r="L4531" t="s">
        <v>15</v>
      </c>
    </row>
    <row r="4532" spans="1:12" x14ac:dyDescent="0.25">
      <c r="A4532" t="str">
        <f>"480606452"</f>
        <v>480606452</v>
      </c>
      <c r="B4532" t="str">
        <f t="shared" si="257"/>
        <v>89301000</v>
      </c>
      <c r="C4532" s="1">
        <v>44238</v>
      </c>
      <c r="D4532" s="1">
        <v>44239</v>
      </c>
      <c r="E4532">
        <v>1</v>
      </c>
      <c r="F4532" t="s">
        <v>2355</v>
      </c>
      <c r="G4532" t="str">
        <f>"04-K09-03"</f>
        <v>04-K09-03</v>
      </c>
      <c r="H4532">
        <v>0.62749999999999995</v>
      </c>
      <c r="I4532" t="s">
        <v>3311</v>
      </c>
      <c r="J4532" t="s">
        <v>14</v>
      </c>
      <c r="K4532" t="str">
        <f>"2F5"</f>
        <v>2F5</v>
      </c>
      <c r="L4532" t="s">
        <v>15</v>
      </c>
    </row>
    <row r="4533" spans="1:12" x14ac:dyDescent="0.25">
      <c r="A4533" t="str">
        <f>"480606452"</f>
        <v>480606452</v>
      </c>
      <c r="B4533" t="str">
        <f t="shared" si="257"/>
        <v>89301000</v>
      </c>
      <c r="C4533" s="1">
        <v>44294</v>
      </c>
      <c r="D4533" s="1">
        <v>44300</v>
      </c>
      <c r="E4533">
        <v>7</v>
      </c>
      <c r="F4533" t="s">
        <v>2693</v>
      </c>
      <c r="G4533" t="str">
        <f>"04-I08-02"</f>
        <v>04-I08-02</v>
      </c>
      <c r="H4533">
        <v>2.2174</v>
      </c>
      <c r="I4533" t="s">
        <v>3312</v>
      </c>
      <c r="J4533" t="s">
        <v>14</v>
      </c>
      <c r="K4533" t="str">
        <f>"5F1"</f>
        <v>5F1</v>
      </c>
      <c r="L4533" t="s">
        <v>15</v>
      </c>
    </row>
    <row r="4534" spans="1:12" x14ac:dyDescent="0.25">
      <c r="A4534" t="str">
        <f>"480608178"</f>
        <v>480608178</v>
      </c>
      <c r="B4534" t="str">
        <f t="shared" si="257"/>
        <v>89301000</v>
      </c>
      <c r="C4534" s="1">
        <v>44405</v>
      </c>
      <c r="D4534" s="1">
        <v>44408</v>
      </c>
      <c r="E4534">
        <v>1</v>
      </c>
      <c r="F4534" t="s">
        <v>151</v>
      </c>
      <c r="G4534" t="str">
        <f>"06-I16-04"</f>
        <v>06-I16-04</v>
      </c>
      <c r="H4534">
        <v>0.70920000000000005</v>
      </c>
      <c r="J4534" t="s">
        <v>24</v>
      </c>
      <c r="K4534" t="str">
        <f>"5F1"</f>
        <v>5F1</v>
      </c>
      <c r="L4534" t="s">
        <v>15</v>
      </c>
    </row>
    <row r="4535" spans="1:12" x14ac:dyDescent="0.25">
      <c r="A4535" t="str">
        <f>"480610412"</f>
        <v>480610412</v>
      </c>
      <c r="B4535" t="str">
        <f t="shared" si="257"/>
        <v>89301000</v>
      </c>
      <c r="C4535" s="1">
        <v>44246</v>
      </c>
      <c r="D4535" s="1">
        <v>44257</v>
      </c>
      <c r="E4535">
        <v>4</v>
      </c>
      <c r="F4535" t="s">
        <v>1606</v>
      </c>
      <c r="G4535" t="str">
        <f>"05-I15-00"</f>
        <v>05-I15-00</v>
      </c>
      <c r="H4535">
        <v>11.7819</v>
      </c>
      <c r="I4535" t="s">
        <v>3313</v>
      </c>
      <c r="J4535" t="s">
        <v>14</v>
      </c>
      <c r="K4535" t="str">
        <f>"5F5"</f>
        <v>5F5</v>
      </c>
      <c r="L4535" t="s">
        <v>15</v>
      </c>
    </row>
    <row r="4536" spans="1:12" x14ac:dyDescent="0.25">
      <c r="A4536" t="str">
        <f>"480611405"</f>
        <v>480611405</v>
      </c>
      <c r="B4536" t="str">
        <f t="shared" si="257"/>
        <v>89301000</v>
      </c>
      <c r="C4536" s="1">
        <v>44320</v>
      </c>
      <c r="D4536" s="1">
        <v>44322</v>
      </c>
      <c r="E4536">
        <v>1</v>
      </c>
      <c r="F4536" t="s">
        <v>173</v>
      </c>
      <c r="G4536" t="str">
        <f>"08-I32-02"</f>
        <v>08-I32-02</v>
      </c>
      <c r="H4536">
        <v>0.4143</v>
      </c>
      <c r="I4536" t="s">
        <v>3314</v>
      </c>
      <c r="J4536" t="s">
        <v>14</v>
      </c>
      <c r="K4536" t="str">
        <f>"5F3"</f>
        <v>5F3</v>
      </c>
      <c r="L4536" t="s">
        <v>15</v>
      </c>
    </row>
    <row r="4537" spans="1:12" x14ac:dyDescent="0.25">
      <c r="A4537" t="str">
        <f>"480612438"</f>
        <v>480612438</v>
      </c>
      <c r="B4537" t="str">
        <f t="shared" si="257"/>
        <v>89301000</v>
      </c>
      <c r="C4537" s="1">
        <v>44523</v>
      </c>
      <c r="D4537" s="1">
        <v>44540</v>
      </c>
      <c r="E4537">
        <v>1</v>
      </c>
      <c r="F4537" t="s">
        <v>588</v>
      </c>
      <c r="G4537" t="str">
        <f>"07-K02-01"</f>
        <v>07-K02-01</v>
      </c>
      <c r="H4537">
        <v>2.6396999999999999</v>
      </c>
      <c r="I4537" t="s">
        <v>3315</v>
      </c>
      <c r="J4537" t="s">
        <v>14</v>
      </c>
      <c r="K4537" t="str">
        <f>"1F1"</f>
        <v>1F1</v>
      </c>
      <c r="L4537" t="s">
        <v>15</v>
      </c>
    </row>
    <row r="4538" spans="1:12" x14ac:dyDescent="0.25">
      <c r="A4538" t="str">
        <f>"480617440"</f>
        <v>480617440</v>
      </c>
      <c r="B4538" t="str">
        <f t="shared" si="257"/>
        <v>89301000</v>
      </c>
      <c r="C4538" s="1">
        <v>44454</v>
      </c>
      <c r="D4538" s="1">
        <v>44460</v>
      </c>
      <c r="E4538">
        <v>1</v>
      </c>
      <c r="F4538" t="s">
        <v>1557</v>
      </c>
      <c r="G4538" t="str">
        <f>"05-I14-04"</f>
        <v>05-I14-04</v>
      </c>
      <c r="H4538">
        <v>5.4002999999999997</v>
      </c>
      <c r="I4538" t="s">
        <v>3316</v>
      </c>
      <c r="J4538" t="s">
        <v>14</v>
      </c>
      <c r="K4538" t="str">
        <f>"1F7"</f>
        <v>1F7</v>
      </c>
      <c r="L4538" t="s">
        <v>15</v>
      </c>
    </row>
    <row r="4539" spans="1:12" x14ac:dyDescent="0.25">
      <c r="A4539" t="str">
        <f>"480617440"</f>
        <v>480617440</v>
      </c>
      <c r="B4539" t="str">
        <f t="shared" si="257"/>
        <v>89301000</v>
      </c>
      <c r="C4539" s="1">
        <v>44438</v>
      </c>
      <c r="D4539" s="1">
        <v>44440</v>
      </c>
      <c r="E4539">
        <v>1</v>
      </c>
      <c r="F4539" t="s">
        <v>38</v>
      </c>
      <c r="G4539" t="str">
        <f>"05-M06-06"</f>
        <v>05-M06-06</v>
      </c>
      <c r="H4539">
        <v>1.7652000000000001</v>
      </c>
      <c r="I4539" t="s">
        <v>2799</v>
      </c>
      <c r="J4539" t="s">
        <v>17</v>
      </c>
      <c r="K4539" t="str">
        <f>"1F1"</f>
        <v>1F1</v>
      </c>
      <c r="L4539" t="s">
        <v>15</v>
      </c>
    </row>
    <row r="4540" spans="1:12" x14ac:dyDescent="0.25">
      <c r="A4540" t="str">
        <f>"480624441"</f>
        <v>480624441</v>
      </c>
      <c r="B4540" t="str">
        <f t="shared" si="257"/>
        <v>89301000</v>
      </c>
      <c r="C4540" s="1">
        <v>44334</v>
      </c>
      <c r="D4540" s="1">
        <v>44343</v>
      </c>
      <c r="E4540">
        <v>1</v>
      </c>
      <c r="F4540" t="s">
        <v>1631</v>
      </c>
      <c r="G4540" t="str">
        <f>"17-K02-02"</f>
        <v>17-K02-02</v>
      </c>
      <c r="H4540">
        <v>0.71860000000000002</v>
      </c>
      <c r="I4540" t="s">
        <v>541</v>
      </c>
      <c r="J4540" t="s">
        <v>14</v>
      </c>
      <c r="K4540" t="str">
        <f>"2F2"</f>
        <v>2F2</v>
      </c>
      <c r="L4540" t="s">
        <v>15</v>
      </c>
    </row>
    <row r="4541" spans="1:12" x14ac:dyDescent="0.25">
      <c r="A4541" t="str">
        <f>"480626253"</f>
        <v>480626253</v>
      </c>
      <c r="B4541" t="str">
        <f t="shared" si="257"/>
        <v>89301000</v>
      </c>
      <c r="C4541" s="1">
        <v>44461</v>
      </c>
      <c r="D4541" s="1">
        <v>44463</v>
      </c>
      <c r="E4541">
        <v>1</v>
      </c>
      <c r="F4541" t="s">
        <v>2462</v>
      </c>
      <c r="G4541" t="str">
        <f>"06-C02-03"</f>
        <v>06-C02-03</v>
      </c>
      <c r="H4541">
        <v>0.25769999999999998</v>
      </c>
      <c r="I4541" t="s">
        <v>3317</v>
      </c>
      <c r="J4541" t="s">
        <v>14</v>
      </c>
      <c r="K4541" t="str">
        <f>"4F2"</f>
        <v>4F2</v>
      </c>
      <c r="L4541" t="s">
        <v>15</v>
      </c>
    </row>
    <row r="4542" spans="1:12" x14ac:dyDescent="0.25">
      <c r="A4542" t="str">
        <f>"480626253"</f>
        <v>480626253</v>
      </c>
      <c r="B4542" t="str">
        <f t="shared" si="257"/>
        <v>89301000</v>
      </c>
      <c r="C4542" s="1">
        <v>44392</v>
      </c>
      <c r="D4542" s="1">
        <v>44405</v>
      </c>
      <c r="E4542">
        <v>1</v>
      </c>
      <c r="F4542" t="s">
        <v>2462</v>
      </c>
      <c r="G4542" t="str">
        <f>"06-I07-04"</f>
        <v>06-I07-04</v>
      </c>
      <c r="H4542">
        <v>4.8221999999999996</v>
      </c>
      <c r="I4542" t="s">
        <v>3318</v>
      </c>
      <c r="J4542" t="s">
        <v>17</v>
      </c>
      <c r="K4542" t="str">
        <f>"5F1"</f>
        <v>5F1</v>
      </c>
      <c r="L4542" t="s">
        <v>15</v>
      </c>
    </row>
    <row r="4543" spans="1:12" x14ac:dyDescent="0.25">
      <c r="A4543" t="str">
        <f>"480626253"</f>
        <v>480626253</v>
      </c>
      <c r="B4543" t="str">
        <f t="shared" si="257"/>
        <v>89301000</v>
      </c>
      <c r="C4543" s="1">
        <v>44426</v>
      </c>
      <c r="D4543" s="1">
        <v>44428</v>
      </c>
      <c r="E4543">
        <v>1</v>
      </c>
      <c r="F4543" t="s">
        <v>2462</v>
      </c>
      <c r="G4543" t="str">
        <f>"06-C02-03"</f>
        <v>06-C02-03</v>
      </c>
      <c r="H4543">
        <v>0.25769999999999998</v>
      </c>
      <c r="I4543" t="s">
        <v>3317</v>
      </c>
      <c r="J4543" t="s">
        <v>14</v>
      </c>
      <c r="K4543" t="str">
        <f>"4F2"</f>
        <v>4F2</v>
      </c>
      <c r="L4543" t="s">
        <v>15</v>
      </c>
    </row>
    <row r="4544" spans="1:12" x14ac:dyDescent="0.25">
      <c r="A4544" t="str">
        <f>"480626253"</f>
        <v>480626253</v>
      </c>
      <c r="B4544" t="str">
        <f t="shared" si="257"/>
        <v>89301000</v>
      </c>
      <c r="C4544" s="1">
        <v>44440</v>
      </c>
      <c r="D4544" s="1">
        <v>44442</v>
      </c>
      <c r="E4544">
        <v>1</v>
      </c>
      <c r="F4544" t="s">
        <v>2462</v>
      </c>
      <c r="G4544" t="str">
        <f>"06-C02-03"</f>
        <v>06-C02-03</v>
      </c>
      <c r="H4544">
        <v>0.25769999999999998</v>
      </c>
      <c r="I4544" t="s">
        <v>541</v>
      </c>
      <c r="J4544" t="s">
        <v>14</v>
      </c>
      <c r="K4544" t="str">
        <f>"4F2"</f>
        <v>4F2</v>
      </c>
      <c r="L4544" t="s">
        <v>15</v>
      </c>
    </row>
    <row r="4545" spans="1:12" x14ac:dyDescent="0.25">
      <c r="A4545" t="str">
        <f>"480627113"</f>
        <v>480627113</v>
      </c>
      <c r="B4545" t="str">
        <f t="shared" si="257"/>
        <v>89301000</v>
      </c>
      <c r="C4545" s="1">
        <v>44475</v>
      </c>
      <c r="D4545" s="1">
        <v>44488</v>
      </c>
      <c r="E4545">
        <v>5</v>
      </c>
      <c r="F4545" t="s">
        <v>1558</v>
      </c>
      <c r="G4545" t="str">
        <f>"05-M01-02"</f>
        <v>05-M01-02</v>
      </c>
      <c r="H4545">
        <v>12.599299999999999</v>
      </c>
      <c r="I4545" t="s">
        <v>3319</v>
      </c>
      <c r="J4545" t="s">
        <v>17</v>
      </c>
      <c r="K4545" t="str">
        <f>"1F7"</f>
        <v>1F7</v>
      </c>
      <c r="L4545" t="s">
        <v>15</v>
      </c>
    </row>
    <row r="4546" spans="1:12" x14ac:dyDescent="0.25">
      <c r="A4546" t="str">
        <f>"480628419"</f>
        <v>480628419</v>
      </c>
      <c r="B4546" t="str">
        <f t="shared" si="257"/>
        <v>89301000</v>
      </c>
      <c r="C4546" s="1">
        <v>44216</v>
      </c>
      <c r="D4546" s="1">
        <v>44225</v>
      </c>
      <c r="E4546">
        <v>1</v>
      </c>
      <c r="F4546" t="s">
        <v>3320</v>
      </c>
      <c r="G4546" t="str">
        <f>"17-I07-02"</f>
        <v>17-I07-02</v>
      </c>
      <c r="H4546">
        <v>2.1909999999999998</v>
      </c>
      <c r="I4546" t="s">
        <v>3321</v>
      </c>
      <c r="J4546" t="s">
        <v>17</v>
      </c>
      <c r="K4546" t="str">
        <f>"7F1"</f>
        <v>7F1</v>
      </c>
      <c r="L4546" t="s">
        <v>15</v>
      </c>
    </row>
    <row r="4547" spans="1:12" x14ac:dyDescent="0.25">
      <c r="A4547" t="str">
        <f>"480628419"</f>
        <v>480628419</v>
      </c>
      <c r="B4547" t="str">
        <f t="shared" si="257"/>
        <v>89301000</v>
      </c>
      <c r="C4547" s="1">
        <v>44536</v>
      </c>
      <c r="D4547" s="1">
        <v>44540</v>
      </c>
      <c r="E4547">
        <v>1</v>
      </c>
      <c r="F4547" t="s">
        <v>3320</v>
      </c>
      <c r="G4547" t="str">
        <f>"17-K08-00"</f>
        <v>17-K08-00</v>
      </c>
      <c r="H4547">
        <v>0.6431</v>
      </c>
      <c r="I4547" t="s">
        <v>3322</v>
      </c>
      <c r="J4547" t="s">
        <v>14</v>
      </c>
      <c r="K4547" t="str">
        <f>"7F1"</f>
        <v>7F1</v>
      </c>
      <c r="L4547" t="s">
        <v>15</v>
      </c>
    </row>
    <row r="4548" spans="1:12" x14ac:dyDescent="0.25">
      <c r="A4548" t="str">
        <f>"480705167"</f>
        <v>480705167</v>
      </c>
      <c r="B4548" t="str">
        <f t="shared" si="257"/>
        <v>89301000</v>
      </c>
      <c r="C4548" s="1">
        <v>44298</v>
      </c>
      <c r="D4548" s="1">
        <v>44298</v>
      </c>
      <c r="E4548">
        <v>1</v>
      </c>
      <c r="F4548" t="s">
        <v>1557</v>
      </c>
      <c r="G4548" t="str">
        <f>"05-M06-08"</f>
        <v>05-M06-08</v>
      </c>
      <c r="H4548">
        <v>1.1200000000000001</v>
      </c>
      <c r="I4548" t="s">
        <v>3323</v>
      </c>
      <c r="J4548" t="s">
        <v>17</v>
      </c>
      <c r="K4548" t="str">
        <f>"1F1"</f>
        <v>1F1</v>
      </c>
      <c r="L4548" t="s">
        <v>15</v>
      </c>
    </row>
    <row r="4549" spans="1:12" x14ac:dyDescent="0.25">
      <c r="A4549" t="str">
        <f>"480709156"</f>
        <v>480709156</v>
      </c>
      <c r="B4549" t="str">
        <f t="shared" si="257"/>
        <v>89301000</v>
      </c>
      <c r="C4549" s="1">
        <v>44309</v>
      </c>
      <c r="D4549" s="1">
        <v>44309</v>
      </c>
      <c r="E4549">
        <v>1</v>
      </c>
      <c r="F4549" t="s">
        <v>1545</v>
      </c>
      <c r="G4549" t="str">
        <f>"05-D01-06"</f>
        <v>05-D01-06</v>
      </c>
      <c r="H4549">
        <v>0.40649999999999997</v>
      </c>
      <c r="I4549" t="s">
        <v>348</v>
      </c>
      <c r="J4549" t="s">
        <v>14</v>
      </c>
      <c r="K4549" t="str">
        <f>"1F1"</f>
        <v>1F1</v>
      </c>
      <c r="L4549" t="s">
        <v>15</v>
      </c>
    </row>
    <row r="4550" spans="1:12" x14ac:dyDescent="0.25">
      <c r="A4550" t="str">
        <f>"480711416"</f>
        <v>480711416</v>
      </c>
      <c r="B4550" t="str">
        <f t="shared" si="257"/>
        <v>89301000</v>
      </c>
      <c r="C4550" s="1">
        <v>44524</v>
      </c>
      <c r="D4550" s="1">
        <v>44530</v>
      </c>
      <c r="E4550">
        <v>1</v>
      </c>
      <c r="F4550" t="s">
        <v>424</v>
      </c>
      <c r="G4550" t="str">
        <f>"07-M02-04"</f>
        <v>07-M02-04</v>
      </c>
      <c r="H4550">
        <v>0.85219999999999996</v>
      </c>
      <c r="I4550" t="s">
        <v>3324</v>
      </c>
      <c r="J4550" t="s">
        <v>17</v>
      </c>
      <c r="K4550" t="str">
        <f>"1F5"</f>
        <v>1F5</v>
      </c>
      <c r="L4550" t="s">
        <v>15</v>
      </c>
    </row>
    <row r="4551" spans="1:12" x14ac:dyDescent="0.25">
      <c r="A4551" t="str">
        <f>"480721403"</f>
        <v>480721403</v>
      </c>
      <c r="B4551" t="str">
        <f t="shared" si="257"/>
        <v>89301000</v>
      </c>
      <c r="C4551" s="1">
        <v>44302</v>
      </c>
      <c r="D4551" s="1">
        <v>44305</v>
      </c>
      <c r="E4551">
        <v>1</v>
      </c>
      <c r="F4551" t="s">
        <v>41</v>
      </c>
      <c r="G4551" t="str">
        <f>"01-D01-03"</f>
        <v>01-D01-03</v>
      </c>
      <c r="H4551">
        <v>0.2054</v>
      </c>
      <c r="I4551" t="s">
        <v>3325</v>
      </c>
      <c r="J4551" t="s">
        <v>14</v>
      </c>
      <c r="K4551" t="str">
        <f>"2F5"</f>
        <v>2F5</v>
      </c>
      <c r="L4551" t="s">
        <v>15</v>
      </c>
    </row>
    <row r="4552" spans="1:12" x14ac:dyDescent="0.25">
      <c r="A4552" t="str">
        <f>"480721403"</f>
        <v>480721403</v>
      </c>
      <c r="B4552" t="str">
        <f t="shared" si="257"/>
        <v>89301000</v>
      </c>
      <c r="C4552" s="1">
        <v>44258</v>
      </c>
      <c r="D4552" s="1">
        <v>44259</v>
      </c>
      <c r="E4552">
        <v>1</v>
      </c>
      <c r="F4552" t="s">
        <v>41</v>
      </c>
      <c r="G4552" t="str">
        <f>"01-D01-03"</f>
        <v>01-D01-03</v>
      </c>
      <c r="H4552">
        <v>0.158</v>
      </c>
      <c r="I4552" t="s">
        <v>3326</v>
      </c>
      <c r="J4552" t="s">
        <v>14</v>
      </c>
      <c r="K4552" t="str">
        <f>"2F5"</f>
        <v>2F5</v>
      </c>
      <c r="L4552" t="s">
        <v>15</v>
      </c>
    </row>
    <row r="4553" spans="1:12" x14ac:dyDescent="0.25">
      <c r="A4553" t="str">
        <f>"480723410"</f>
        <v>480723410</v>
      </c>
      <c r="B4553" t="str">
        <f t="shared" si="257"/>
        <v>89301000</v>
      </c>
      <c r="C4553" s="1">
        <v>44457</v>
      </c>
      <c r="D4553" s="1">
        <v>44460</v>
      </c>
      <c r="E4553">
        <v>1</v>
      </c>
      <c r="F4553" t="s">
        <v>1606</v>
      </c>
      <c r="G4553" t="str">
        <f>"05-K05-05"</f>
        <v>05-K05-05</v>
      </c>
      <c r="H4553">
        <v>0.37819999999999998</v>
      </c>
      <c r="I4553" t="s">
        <v>489</v>
      </c>
      <c r="J4553" t="s">
        <v>14</v>
      </c>
      <c r="K4553" t="str">
        <f>"1F1"</f>
        <v>1F1</v>
      </c>
      <c r="L4553" t="s">
        <v>15</v>
      </c>
    </row>
    <row r="4554" spans="1:12" x14ac:dyDescent="0.25">
      <c r="A4554" t="str">
        <f>"480728403"</f>
        <v>480728403</v>
      </c>
      <c r="B4554" t="str">
        <f t="shared" si="257"/>
        <v>89301000</v>
      </c>
      <c r="C4554" s="1">
        <v>44320</v>
      </c>
      <c r="D4554" s="1">
        <v>44326</v>
      </c>
      <c r="E4554">
        <v>1</v>
      </c>
      <c r="F4554" t="s">
        <v>316</v>
      </c>
      <c r="G4554" t="str">
        <f>"01-K16-02"</f>
        <v>01-K16-02</v>
      </c>
      <c r="H4554">
        <v>1.0797000000000001</v>
      </c>
      <c r="I4554" t="s">
        <v>3327</v>
      </c>
      <c r="J4554" t="s">
        <v>14</v>
      </c>
      <c r="K4554" t="str">
        <f>"5F6"</f>
        <v>5F6</v>
      </c>
      <c r="L4554" t="s">
        <v>15</v>
      </c>
    </row>
    <row r="4555" spans="1:12" x14ac:dyDescent="0.25">
      <c r="A4555" t="str">
        <f>"480808404"</f>
        <v>480808404</v>
      </c>
      <c r="B4555" t="str">
        <f t="shared" si="257"/>
        <v>89301000</v>
      </c>
      <c r="C4555" s="1">
        <v>44396</v>
      </c>
      <c r="D4555" s="1">
        <v>44401</v>
      </c>
      <c r="E4555">
        <v>1</v>
      </c>
      <c r="F4555" t="s">
        <v>1679</v>
      </c>
      <c r="G4555" t="str">
        <f>"11-M06-03"</f>
        <v>11-M06-03</v>
      </c>
      <c r="H4555">
        <v>0.61519999999999997</v>
      </c>
      <c r="I4555" t="s">
        <v>3328</v>
      </c>
      <c r="J4555" t="s">
        <v>17</v>
      </c>
      <c r="K4555" t="str">
        <f>"7F6"</f>
        <v>7F6</v>
      </c>
      <c r="L4555" t="s">
        <v>15</v>
      </c>
    </row>
    <row r="4556" spans="1:12" x14ac:dyDescent="0.25">
      <c r="A4556" t="str">
        <f>"480808404"</f>
        <v>480808404</v>
      </c>
      <c r="B4556" t="str">
        <f t="shared" si="257"/>
        <v>89301000</v>
      </c>
      <c r="C4556" s="1">
        <v>44539</v>
      </c>
      <c r="D4556" s="1">
        <v>44541</v>
      </c>
      <c r="E4556">
        <v>1</v>
      </c>
      <c r="F4556" t="s">
        <v>1679</v>
      </c>
      <c r="G4556" t="str">
        <f>"11-M06-03"</f>
        <v>11-M06-03</v>
      </c>
      <c r="H4556">
        <v>0.61519999999999997</v>
      </c>
      <c r="I4556" t="s">
        <v>3329</v>
      </c>
      <c r="J4556" t="s">
        <v>17</v>
      </c>
      <c r="K4556" t="str">
        <f>"7F6"</f>
        <v>7F6</v>
      </c>
      <c r="L4556" t="s">
        <v>15</v>
      </c>
    </row>
    <row r="4557" spans="1:12" x14ac:dyDescent="0.25">
      <c r="A4557" t="str">
        <f>"480821401"</f>
        <v>480821401</v>
      </c>
      <c r="B4557" t="str">
        <f t="shared" ref="B4557:B4620" si="258">"89301000"</f>
        <v>89301000</v>
      </c>
      <c r="C4557" s="1">
        <v>44395</v>
      </c>
      <c r="D4557" s="1">
        <v>44400</v>
      </c>
      <c r="E4557">
        <v>1</v>
      </c>
      <c r="F4557" t="s">
        <v>2585</v>
      </c>
      <c r="G4557" t="str">
        <f>"12-I02-01"</f>
        <v>12-I02-01</v>
      </c>
      <c r="H4557">
        <v>3.1240999999999999</v>
      </c>
      <c r="I4557" t="s">
        <v>489</v>
      </c>
      <c r="J4557" t="s">
        <v>14</v>
      </c>
      <c r="K4557" t="str">
        <f>"7F6"</f>
        <v>7F6</v>
      </c>
      <c r="L4557" t="s">
        <v>15</v>
      </c>
    </row>
    <row r="4558" spans="1:12" x14ac:dyDescent="0.25">
      <c r="A4558" t="str">
        <f>"480823404"</f>
        <v>480823404</v>
      </c>
      <c r="B4558" t="str">
        <f t="shared" si="258"/>
        <v>89301000</v>
      </c>
      <c r="C4558" s="1">
        <v>44301</v>
      </c>
      <c r="D4558" s="1">
        <v>44301</v>
      </c>
      <c r="E4558">
        <v>1</v>
      </c>
      <c r="F4558" t="s">
        <v>2457</v>
      </c>
      <c r="G4558" t="str">
        <f>"05-D01-08"</f>
        <v>05-D01-08</v>
      </c>
      <c r="H4558">
        <v>0.21890000000000001</v>
      </c>
      <c r="I4558" t="s">
        <v>489</v>
      </c>
      <c r="J4558" t="s">
        <v>14</v>
      </c>
      <c r="K4558" t="str">
        <f>"1F7"</f>
        <v>1F7</v>
      </c>
      <c r="L4558" t="s">
        <v>15</v>
      </c>
    </row>
    <row r="4559" spans="1:12" x14ac:dyDescent="0.25">
      <c r="A4559" t="str">
        <f>"480828416"</f>
        <v>480828416</v>
      </c>
      <c r="B4559" t="str">
        <f t="shared" si="258"/>
        <v>89301000</v>
      </c>
      <c r="C4559" s="1">
        <v>44328</v>
      </c>
      <c r="D4559" s="1">
        <v>44331</v>
      </c>
      <c r="E4559">
        <v>1</v>
      </c>
      <c r="F4559" t="s">
        <v>3330</v>
      </c>
      <c r="G4559" t="str">
        <f>"08-I23-02"</f>
        <v>08-I23-02</v>
      </c>
      <c r="H4559">
        <v>0.93840000000000001</v>
      </c>
      <c r="J4559" t="s">
        <v>17</v>
      </c>
      <c r="K4559" t="str">
        <f>"6F6"</f>
        <v>6F6</v>
      </c>
      <c r="L4559" t="s">
        <v>15</v>
      </c>
    </row>
    <row r="4560" spans="1:12" x14ac:dyDescent="0.25">
      <c r="A4560" t="str">
        <f>"480911094"</f>
        <v>480911094</v>
      </c>
      <c r="B4560" t="str">
        <f t="shared" si="258"/>
        <v>89301000</v>
      </c>
      <c r="C4560" s="1">
        <v>44535</v>
      </c>
      <c r="D4560" s="1">
        <v>44540</v>
      </c>
      <c r="E4560">
        <v>1</v>
      </c>
      <c r="F4560" t="s">
        <v>3331</v>
      </c>
      <c r="G4560" t="str">
        <f>"01-I06-04"</f>
        <v>01-I06-04</v>
      </c>
      <c r="H4560">
        <v>3.6231</v>
      </c>
      <c r="I4560" t="s">
        <v>3332</v>
      </c>
      <c r="J4560" t="s">
        <v>17</v>
      </c>
      <c r="K4560" t="str">
        <f>"5F6"</f>
        <v>5F6</v>
      </c>
      <c r="L4560" t="s">
        <v>15</v>
      </c>
    </row>
    <row r="4561" spans="1:12" x14ac:dyDescent="0.25">
      <c r="A4561" t="str">
        <f>"480915252"</f>
        <v>480915252</v>
      </c>
      <c r="B4561" t="str">
        <f t="shared" si="258"/>
        <v>89301000</v>
      </c>
      <c r="C4561" s="1">
        <v>44355</v>
      </c>
      <c r="D4561" s="1">
        <v>44365</v>
      </c>
      <c r="E4561">
        <v>1</v>
      </c>
      <c r="F4561" t="s">
        <v>1704</v>
      </c>
      <c r="G4561" t="str">
        <f>"23-K05-02"</f>
        <v>23-K05-02</v>
      </c>
      <c r="H4561">
        <v>0.57279999999999998</v>
      </c>
      <c r="I4561" t="s">
        <v>3333</v>
      </c>
      <c r="J4561" t="s">
        <v>14</v>
      </c>
      <c r="K4561" t="str">
        <f>"7F5"</f>
        <v>7F5</v>
      </c>
      <c r="L4561" t="s">
        <v>15</v>
      </c>
    </row>
    <row r="4562" spans="1:12" x14ac:dyDescent="0.25">
      <c r="A4562" t="str">
        <f>"480916271"</f>
        <v>480916271</v>
      </c>
      <c r="B4562" t="str">
        <f t="shared" si="258"/>
        <v>89301000</v>
      </c>
      <c r="C4562" s="1">
        <v>44267</v>
      </c>
      <c r="D4562" s="1">
        <v>44274</v>
      </c>
      <c r="E4562">
        <v>1</v>
      </c>
      <c r="F4562" t="s">
        <v>217</v>
      </c>
      <c r="G4562" t="str">
        <f>"04-K02-03"</f>
        <v>04-K02-03</v>
      </c>
      <c r="H4562">
        <v>1.4379</v>
      </c>
      <c r="I4562" t="s">
        <v>3334</v>
      </c>
      <c r="J4562" t="s">
        <v>14</v>
      </c>
      <c r="K4562" t="str">
        <f>"7F6"</f>
        <v>7F6</v>
      </c>
      <c r="L4562" t="s">
        <v>15</v>
      </c>
    </row>
    <row r="4563" spans="1:12" x14ac:dyDescent="0.25">
      <c r="A4563" t="str">
        <f>"480920448"</f>
        <v>480920448</v>
      </c>
      <c r="B4563" t="str">
        <f t="shared" si="258"/>
        <v>89301000</v>
      </c>
      <c r="C4563" s="1">
        <v>44314</v>
      </c>
      <c r="D4563" s="1">
        <v>44320</v>
      </c>
      <c r="E4563">
        <v>1</v>
      </c>
      <c r="F4563" t="s">
        <v>2236</v>
      </c>
      <c r="G4563" t="str">
        <f>"10-K04-02"</f>
        <v>10-K04-02</v>
      </c>
      <c r="H4563">
        <v>1.0504</v>
      </c>
      <c r="I4563" t="s">
        <v>3335</v>
      </c>
      <c r="J4563" t="s">
        <v>14</v>
      </c>
      <c r="K4563" t="str">
        <f>"1F1"</f>
        <v>1F1</v>
      </c>
      <c r="L4563" t="s">
        <v>15</v>
      </c>
    </row>
    <row r="4564" spans="1:12" x14ac:dyDescent="0.25">
      <c r="A4564" t="str">
        <f>"480925282"</f>
        <v>480925282</v>
      </c>
      <c r="B4564" t="str">
        <f t="shared" si="258"/>
        <v>89301000</v>
      </c>
      <c r="C4564" s="1">
        <v>44200</v>
      </c>
      <c r="D4564" s="1">
        <v>44203</v>
      </c>
      <c r="E4564">
        <v>8</v>
      </c>
      <c r="F4564" t="s">
        <v>1894</v>
      </c>
      <c r="G4564" t="str">
        <f>"01-K11-03"</f>
        <v>01-K11-03</v>
      </c>
      <c r="H4564">
        <v>1.5643</v>
      </c>
      <c r="I4564" t="s">
        <v>3336</v>
      </c>
      <c r="J4564" t="s">
        <v>14</v>
      </c>
      <c r="K4564" t="str">
        <f>"2T9"</f>
        <v>2T9</v>
      </c>
      <c r="L4564" t="s">
        <v>15</v>
      </c>
    </row>
    <row r="4565" spans="1:12" x14ac:dyDescent="0.25">
      <c r="A4565" t="str">
        <f>"481003409"</f>
        <v>481003409</v>
      </c>
      <c r="B4565" t="str">
        <f t="shared" si="258"/>
        <v>89301000</v>
      </c>
      <c r="C4565" s="1">
        <v>44257</v>
      </c>
      <c r="D4565" s="1">
        <v>44273</v>
      </c>
      <c r="E4565">
        <v>1</v>
      </c>
      <c r="F4565" t="s">
        <v>217</v>
      </c>
      <c r="G4565" t="str">
        <f>"04-K02-04"</f>
        <v>04-K02-04</v>
      </c>
      <c r="H4565">
        <v>0.94489999999999996</v>
      </c>
      <c r="I4565" t="s">
        <v>3337</v>
      </c>
      <c r="J4565" t="s">
        <v>14</v>
      </c>
      <c r="K4565" t="str">
        <f>"1F6"</f>
        <v>1F6</v>
      </c>
      <c r="L4565" t="s">
        <v>15</v>
      </c>
    </row>
    <row r="4566" spans="1:12" x14ac:dyDescent="0.25">
      <c r="A4566" t="str">
        <f>"481006095"</f>
        <v>481006095</v>
      </c>
      <c r="B4566" t="str">
        <f t="shared" si="258"/>
        <v>89301000</v>
      </c>
      <c r="C4566" s="1">
        <v>44424</v>
      </c>
      <c r="D4566" s="1">
        <v>44445</v>
      </c>
      <c r="E4566">
        <v>4</v>
      </c>
      <c r="F4566" t="s">
        <v>1621</v>
      </c>
      <c r="G4566" t="str">
        <f>"07-K06-02"</f>
        <v>07-K06-02</v>
      </c>
      <c r="H4566">
        <v>1.2878000000000001</v>
      </c>
      <c r="I4566" t="s">
        <v>3338</v>
      </c>
      <c r="J4566" t="s">
        <v>14</v>
      </c>
      <c r="K4566" t="str">
        <f>"4F2"</f>
        <v>4F2</v>
      </c>
      <c r="L4566" t="s">
        <v>15</v>
      </c>
    </row>
    <row r="4567" spans="1:12" x14ac:dyDescent="0.25">
      <c r="A4567" t="str">
        <f>"481009401"</f>
        <v>481009401</v>
      </c>
      <c r="B4567" t="str">
        <f t="shared" si="258"/>
        <v>89301000</v>
      </c>
      <c r="C4567" s="1">
        <v>44221</v>
      </c>
      <c r="D4567" s="1">
        <v>44230</v>
      </c>
      <c r="E4567">
        <v>1</v>
      </c>
      <c r="F4567" t="s">
        <v>985</v>
      </c>
      <c r="G4567" t="str">
        <f>"04-K02-03"</f>
        <v>04-K02-03</v>
      </c>
      <c r="H4567">
        <v>1.2859</v>
      </c>
      <c r="I4567" t="s">
        <v>3339</v>
      </c>
      <c r="J4567" t="s">
        <v>14</v>
      </c>
      <c r="K4567" t="str">
        <f>"1F1"</f>
        <v>1F1</v>
      </c>
      <c r="L4567" t="s">
        <v>15</v>
      </c>
    </row>
    <row r="4568" spans="1:12" x14ac:dyDescent="0.25">
      <c r="A4568" t="str">
        <f>"481009406"</f>
        <v>481009406</v>
      </c>
      <c r="B4568" t="str">
        <f t="shared" si="258"/>
        <v>89301000</v>
      </c>
      <c r="C4568" s="1">
        <v>44487</v>
      </c>
      <c r="D4568" s="1">
        <v>44495</v>
      </c>
      <c r="E4568">
        <v>1</v>
      </c>
      <c r="F4568" t="s">
        <v>3340</v>
      </c>
      <c r="G4568" t="str">
        <f>"08-K01-01"</f>
        <v>08-K01-01</v>
      </c>
      <c r="H4568">
        <v>1.4826999999999999</v>
      </c>
      <c r="I4568" t="s">
        <v>3341</v>
      </c>
      <c r="J4568" t="s">
        <v>14</v>
      </c>
      <c r="K4568" t="str">
        <f>"1F9"</f>
        <v>1F9</v>
      </c>
      <c r="L4568" t="s">
        <v>15</v>
      </c>
    </row>
    <row r="4569" spans="1:12" x14ac:dyDescent="0.25">
      <c r="A4569" t="str">
        <f>"481012198"</f>
        <v>481012198</v>
      </c>
      <c r="B4569" t="str">
        <f t="shared" si="258"/>
        <v>89301000</v>
      </c>
      <c r="C4569" s="1">
        <v>44540</v>
      </c>
      <c r="D4569" s="1">
        <v>44550</v>
      </c>
      <c r="E4569">
        <v>5</v>
      </c>
      <c r="F4569" t="s">
        <v>1794</v>
      </c>
      <c r="G4569" t="str">
        <f>"04-M01-04"</f>
        <v>04-M01-04</v>
      </c>
      <c r="H4569">
        <v>11.1008</v>
      </c>
      <c r="I4569" t="s">
        <v>3342</v>
      </c>
      <c r="J4569" t="s">
        <v>14</v>
      </c>
      <c r="K4569" t="str">
        <f>"7T8"</f>
        <v>7T8</v>
      </c>
      <c r="L4569" t="s">
        <v>15</v>
      </c>
    </row>
    <row r="4570" spans="1:12" x14ac:dyDescent="0.25">
      <c r="A4570" t="str">
        <f>"481014409"</f>
        <v>481014409</v>
      </c>
      <c r="B4570" t="str">
        <f t="shared" si="258"/>
        <v>89301000</v>
      </c>
      <c r="C4570" s="1">
        <v>44340</v>
      </c>
      <c r="D4570" s="1">
        <v>44342</v>
      </c>
      <c r="E4570">
        <v>1</v>
      </c>
      <c r="F4570" t="s">
        <v>3343</v>
      </c>
      <c r="G4570" t="str">
        <f>"05-M06-08"</f>
        <v>05-M06-08</v>
      </c>
      <c r="H4570">
        <v>1.4719</v>
      </c>
      <c r="I4570" t="s">
        <v>3344</v>
      </c>
      <c r="J4570" t="s">
        <v>17</v>
      </c>
      <c r="K4570" t="str">
        <f>"1T1"</f>
        <v>1T1</v>
      </c>
      <c r="L4570" t="s">
        <v>15</v>
      </c>
    </row>
    <row r="4571" spans="1:12" x14ac:dyDescent="0.25">
      <c r="A4571" t="str">
        <f>"481014409"</f>
        <v>481014409</v>
      </c>
      <c r="B4571" t="str">
        <f t="shared" si="258"/>
        <v>89301000</v>
      </c>
      <c r="C4571" s="1">
        <v>44432</v>
      </c>
      <c r="D4571" s="1">
        <v>44433</v>
      </c>
      <c r="E4571">
        <v>1</v>
      </c>
      <c r="F4571" t="s">
        <v>1557</v>
      </c>
      <c r="G4571" t="str">
        <f>"05-M06-08"</f>
        <v>05-M06-08</v>
      </c>
      <c r="H4571">
        <v>1.4719</v>
      </c>
      <c r="J4571" t="s">
        <v>17</v>
      </c>
      <c r="K4571" t="str">
        <f>"1F7"</f>
        <v>1F7</v>
      </c>
      <c r="L4571" t="s">
        <v>15</v>
      </c>
    </row>
    <row r="4572" spans="1:12" x14ac:dyDescent="0.25">
      <c r="A4572" t="str">
        <f>"481016427"</f>
        <v>481016427</v>
      </c>
      <c r="B4572" t="str">
        <f t="shared" si="258"/>
        <v>89301000</v>
      </c>
      <c r="C4572" s="1">
        <v>44335</v>
      </c>
      <c r="D4572" s="1">
        <v>44339</v>
      </c>
      <c r="E4572">
        <v>1</v>
      </c>
      <c r="F4572" t="s">
        <v>1679</v>
      </c>
      <c r="G4572" t="str">
        <f>"11-M06-03"</f>
        <v>11-M06-03</v>
      </c>
      <c r="H4572">
        <v>0.61519999999999997</v>
      </c>
      <c r="I4572" t="s">
        <v>3345</v>
      </c>
      <c r="J4572" t="s">
        <v>17</v>
      </c>
      <c r="K4572" t="str">
        <f>"7F6"</f>
        <v>7F6</v>
      </c>
      <c r="L4572" t="s">
        <v>15</v>
      </c>
    </row>
    <row r="4573" spans="1:12" x14ac:dyDescent="0.25">
      <c r="A4573" t="str">
        <f>"481016427"</f>
        <v>481016427</v>
      </c>
      <c r="B4573" t="str">
        <f t="shared" si="258"/>
        <v>89301000</v>
      </c>
      <c r="C4573" s="1">
        <v>44395</v>
      </c>
      <c r="D4573" s="1">
        <v>44402</v>
      </c>
      <c r="E4573">
        <v>1</v>
      </c>
      <c r="F4573" t="s">
        <v>1679</v>
      </c>
      <c r="G4573" t="str">
        <f>"11-I01-02"</f>
        <v>11-I01-02</v>
      </c>
      <c r="H4573">
        <v>5.5476000000000001</v>
      </c>
      <c r="I4573" t="s">
        <v>3346</v>
      </c>
      <c r="J4573" t="s">
        <v>17</v>
      </c>
      <c r="K4573" t="str">
        <f>"7F6"</f>
        <v>7F6</v>
      </c>
      <c r="L4573" t="s">
        <v>15</v>
      </c>
    </row>
    <row r="4574" spans="1:12" x14ac:dyDescent="0.25">
      <c r="A4574" t="str">
        <f>"481016427"</f>
        <v>481016427</v>
      </c>
      <c r="B4574" t="str">
        <f t="shared" si="258"/>
        <v>89301000</v>
      </c>
      <c r="C4574" s="1">
        <v>44503</v>
      </c>
      <c r="D4574" s="1">
        <v>44519</v>
      </c>
      <c r="E4574">
        <v>1</v>
      </c>
      <c r="F4574" t="s">
        <v>96</v>
      </c>
      <c r="G4574" t="str">
        <f>"11-K01-02"</f>
        <v>11-K01-02</v>
      </c>
      <c r="H4574">
        <v>0.83309999999999995</v>
      </c>
      <c r="I4574" t="s">
        <v>3347</v>
      </c>
      <c r="J4574" t="s">
        <v>14</v>
      </c>
      <c r="K4574" t="str">
        <f>"5F1"</f>
        <v>5F1</v>
      </c>
      <c r="L4574" t="s">
        <v>15</v>
      </c>
    </row>
    <row r="4575" spans="1:12" x14ac:dyDescent="0.25">
      <c r="A4575" t="str">
        <f>"481016427"</f>
        <v>481016427</v>
      </c>
      <c r="B4575" t="str">
        <f t="shared" si="258"/>
        <v>89301000</v>
      </c>
      <c r="C4575" s="1">
        <v>44544</v>
      </c>
      <c r="D4575" s="1">
        <v>44551</v>
      </c>
      <c r="E4575">
        <v>1</v>
      </c>
      <c r="F4575" t="s">
        <v>448</v>
      </c>
      <c r="G4575" t="str">
        <f>"11-K01-02"</f>
        <v>11-K01-02</v>
      </c>
      <c r="H4575">
        <v>0.82289999999999996</v>
      </c>
      <c r="I4575" t="s">
        <v>3348</v>
      </c>
      <c r="J4575" t="s">
        <v>14</v>
      </c>
      <c r="K4575" t="str">
        <f>"7F6"</f>
        <v>7F6</v>
      </c>
      <c r="L4575" t="s">
        <v>15</v>
      </c>
    </row>
    <row r="4576" spans="1:12" x14ac:dyDescent="0.25">
      <c r="A4576" t="str">
        <f>"481016427"</f>
        <v>481016427</v>
      </c>
      <c r="B4576" t="str">
        <f t="shared" si="258"/>
        <v>89301000</v>
      </c>
      <c r="C4576" s="1">
        <v>44452</v>
      </c>
      <c r="D4576" s="1">
        <v>44458</v>
      </c>
      <c r="E4576">
        <v>1</v>
      </c>
      <c r="F4576" t="s">
        <v>96</v>
      </c>
      <c r="G4576" t="str">
        <f>"11-K01-03"</f>
        <v>11-K01-03</v>
      </c>
      <c r="H4576">
        <v>0.60340000000000005</v>
      </c>
      <c r="I4576" t="s">
        <v>3349</v>
      </c>
      <c r="J4576" t="s">
        <v>14</v>
      </c>
      <c r="K4576" t="str">
        <f>"7F6"</f>
        <v>7F6</v>
      </c>
      <c r="L4576" t="s">
        <v>15</v>
      </c>
    </row>
    <row r="4577" spans="1:12" x14ac:dyDescent="0.25">
      <c r="A4577" t="str">
        <f>"481019413"</f>
        <v>481019413</v>
      </c>
      <c r="B4577" t="str">
        <f t="shared" si="258"/>
        <v>89301000</v>
      </c>
      <c r="C4577" s="1">
        <v>44326</v>
      </c>
      <c r="D4577" s="1">
        <v>44336</v>
      </c>
      <c r="E4577">
        <v>8</v>
      </c>
      <c r="F4577" t="s">
        <v>1008</v>
      </c>
      <c r="G4577" t="str">
        <f>"00-M01-02"</f>
        <v>00-M01-02</v>
      </c>
      <c r="H4577">
        <v>13.3348</v>
      </c>
      <c r="I4577" t="s">
        <v>3350</v>
      </c>
      <c r="J4577" t="s">
        <v>14</v>
      </c>
      <c r="K4577" t="str">
        <f>"5T1"</f>
        <v>5T1</v>
      </c>
      <c r="L4577" t="s">
        <v>15</v>
      </c>
    </row>
    <row r="4578" spans="1:12" x14ac:dyDescent="0.25">
      <c r="A4578" t="str">
        <f>"481026100"</f>
        <v>481026100</v>
      </c>
      <c r="B4578" t="str">
        <f t="shared" si="258"/>
        <v>89301000</v>
      </c>
      <c r="C4578" s="1">
        <v>44528</v>
      </c>
      <c r="D4578" s="1">
        <v>44533</v>
      </c>
      <c r="E4578">
        <v>1</v>
      </c>
      <c r="F4578" t="s">
        <v>1699</v>
      </c>
      <c r="G4578" t="str">
        <f>"01-K10-03"</f>
        <v>01-K10-03</v>
      </c>
      <c r="H4578">
        <v>1.0016</v>
      </c>
      <c r="I4578" t="s">
        <v>3351</v>
      </c>
      <c r="J4578" t="s">
        <v>14</v>
      </c>
      <c r="K4578" t="str">
        <f>"2F9"</f>
        <v>2F9</v>
      </c>
      <c r="L4578" t="s">
        <v>15</v>
      </c>
    </row>
    <row r="4579" spans="1:12" x14ac:dyDescent="0.25">
      <c r="A4579" t="str">
        <f>"481028429"</f>
        <v>481028429</v>
      </c>
      <c r="B4579" t="str">
        <f t="shared" si="258"/>
        <v>89301000</v>
      </c>
      <c r="C4579" s="1">
        <v>44501</v>
      </c>
      <c r="D4579" s="1">
        <v>44504</v>
      </c>
      <c r="E4579">
        <v>1</v>
      </c>
      <c r="F4579" t="s">
        <v>2462</v>
      </c>
      <c r="G4579" t="str">
        <f>"06-C02-03"</f>
        <v>06-C02-03</v>
      </c>
      <c r="H4579">
        <v>0.25769999999999998</v>
      </c>
      <c r="I4579" t="s">
        <v>3352</v>
      </c>
      <c r="J4579" t="s">
        <v>14</v>
      </c>
      <c r="K4579" t="str">
        <f>"4F2"</f>
        <v>4F2</v>
      </c>
      <c r="L4579" t="s">
        <v>15</v>
      </c>
    </row>
    <row r="4580" spans="1:12" x14ac:dyDescent="0.25">
      <c r="A4580" t="str">
        <f>"481028429"</f>
        <v>481028429</v>
      </c>
      <c r="B4580" t="str">
        <f t="shared" si="258"/>
        <v>89301000</v>
      </c>
      <c r="C4580" s="1">
        <v>44525</v>
      </c>
      <c r="D4580" s="1">
        <v>44527</v>
      </c>
      <c r="E4580">
        <v>1</v>
      </c>
      <c r="F4580" t="s">
        <v>2462</v>
      </c>
      <c r="G4580" t="str">
        <f>"06-C02-03"</f>
        <v>06-C02-03</v>
      </c>
      <c r="H4580">
        <v>0.25769999999999998</v>
      </c>
      <c r="I4580" t="s">
        <v>3352</v>
      </c>
      <c r="J4580" t="s">
        <v>14</v>
      </c>
      <c r="K4580" t="str">
        <f>"4F2"</f>
        <v>4F2</v>
      </c>
      <c r="L4580" t="s">
        <v>15</v>
      </c>
    </row>
    <row r="4581" spans="1:12" x14ac:dyDescent="0.25">
      <c r="A4581" t="str">
        <f>"481028429"</f>
        <v>481028429</v>
      </c>
      <c r="B4581" t="str">
        <f t="shared" si="258"/>
        <v>89301000</v>
      </c>
      <c r="C4581" s="1">
        <v>44545</v>
      </c>
      <c r="D4581" s="1">
        <v>44547</v>
      </c>
      <c r="E4581">
        <v>1</v>
      </c>
      <c r="F4581" t="s">
        <v>2462</v>
      </c>
      <c r="G4581" t="str">
        <f>"06-C02-03"</f>
        <v>06-C02-03</v>
      </c>
      <c r="H4581">
        <v>0.25769999999999998</v>
      </c>
      <c r="I4581" t="s">
        <v>3352</v>
      </c>
      <c r="J4581" t="s">
        <v>14</v>
      </c>
      <c r="K4581" t="str">
        <f>"4F2"</f>
        <v>4F2</v>
      </c>
      <c r="L4581" t="s">
        <v>15</v>
      </c>
    </row>
    <row r="4582" spans="1:12" x14ac:dyDescent="0.25">
      <c r="A4582" t="str">
        <f>"481030190"</f>
        <v>481030190</v>
      </c>
      <c r="B4582" t="str">
        <f t="shared" si="258"/>
        <v>89301000</v>
      </c>
      <c r="C4582" s="1">
        <v>44406</v>
      </c>
      <c r="D4582" s="1">
        <v>44408</v>
      </c>
      <c r="E4582">
        <v>1</v>
      </c>
      <c r="F4582" t="s">
        <v>1875</v>
      </c>
      <c r="G4582" t="str">
        <f>"05-M05-02"</f>
        <v>05-M05-02</v>
      </c>
      <c r="H4582">
        <v>3.516</v>
      </c>
      <c r="I4582" t="s">
        <v>3353</v>
      </c>
      <c r="J4582" t="s">
        <v>24</v>
      </c>
      <c r="K4582" t="str">
        <f>"1F1"</f>
        <v>1F1</v>
      </c>
      <c r="L4582" t="s">
        <v>15</v>
      </c>
    </row>
    <row r="4583" spans="1:12" x14ac:dyDescent="0.25">
      <c r="A4583" t="str">
        <f>"481102427"</f>
        <v>481102427</v>
      </c>
      <c r="B4583" t="str">
        <f t="shared" si="258"/>
        <v>89301000</v>
      </c>
      <c r="C4583" s="1">
        <v>44265</v>
      </c>
      <c r="D4583" s="1">
        <v>44270</v>
      </c>
      <c r="E4583">
        <v>1</v>
      </c>
      <c r="F4583" t="s">
        <v>1631</v>
      </c>
      <c r="G4583" t="str">
        <f>"17-C05-03"</f>
        <v>17-C05-03</v>
      </c>
      <c r="H4583">
        <v>0.59660000000000002</v>
      </c>
      <c r="I4583" t="s">
        <v>2945</v>
      </c>
      <c r="J4583" t="s">
        <v>14</v>
      </c>
      <c r="K4583" t="str">
        <f>"2F2"</f>
        <v>2F2</v>
      </c>
      <c r="L4583" t="s">
        <v>15</v>
      </c>
    </row>
    <row r="4584" spans="1:12" x14ac:dyDescent="0.25">
      <c r="A4584" t="str">
        <f>"481102427"</f>
        <v>481102427</v>
      </c>
      <c r="B4584" t="str">
        <f t="shared" si="258"/>
        <v>89301000</v>
      </c>
      <c r="C4584" s="1">
        <v>44237</v>
      </c>
      <c r="D4584" s="1">
        <v>44244</v>
      </c>
      <c r="E4584">
        <v>1</v>
      </c>
      <c r="F4584" t="s">
        <v>1631</v>
      </c>
      <c r="G4584" t="str">
        <f>"17-C05-03"</f>
        <v>17-C05-03</v>
      </c>
      <c r="H4584">
        <v>0.66300000000000003</v>
      </c>
      <c r="I4584" t="s">
        <v>2945</v>
      </c>
      <c r="J4584" t="s">
        <v>14</v>
      </c>
      <c r="K4584" t="str">
        <f>"2F2"</f>
        <v>2F2</v>
      </c>
      <c r="L4584" t="s">
        <v>15</v>
      </c>
    </row>
    <row r="4585" spans="1:12" x14ac:dyDescent="0.25">
      <c r="A4585" t="str">
        <f>"481109062"</f>
        <v>481109062</v>
      </c>
      <c r="B4585" t="str">
        <f t="shared" si="258"/>
        <v>89301000</v>
      </c>
      <c r="C4585" s="1">
        <v>44395</v>
      </c>
      <c r="D4585" s="1">
        <v>44405</v>
      </c>
      <c r="E4585">
        <v>1</v>
      </c>
      <c r="F4585" t="s">
        <v>1991</v>
      </c>
      <c r="G4585" t="str">
        <f>"12-I03-04"</f>
        <v>12-I03-04</v>
      </c>
      <c r="H4585">
        <v>1.8419000000000001</v>
      </c>
      <c r="I4585" t="s">
        <v>3354</v>
      </c>
      <c r="J4585" t="s">
        <v>24</v>
      </c>
      <c r="K4585" t="str">
        <f>"7F6"</f>
        <v>7F6</v>
      </c>
      <c r="L4585" t="s">
        <v>15</v>
      </c>
    </row>
    <row r="4586" spans="1:12" x14ac:dyDescent="0.25">
      <c r="A4586" t="str">
        <f>"481109407"</f>
        <v>481109407</v>
      </c>
      <c r="B4586" t="str">
        <f t="shared" si="258"/>
        <v>89301000</v>
      </c>
      <c r="C4586" s="1">
        <v>44183</v>
      </c>
      <c r="D4586" s="1">
        <v>44203</v>
      </c>
      <c r="E4586">
        <v>4</v>
      </c>
      <c r="F4586" t="s">
        <v>699</v>
      </c>
      <c r="G4586" t="str">
        <f>"16-K02-01"</f>
        <v>16-K02-01</v>
      </c>
      <c r="H4586">
        <v>1.2647999999999999</v>
      </c>
      <c r="I4586" t="s">
        <v>3355</v>
      </c>
      <c r="J4586" t="s">
        <v>14</v>
      </c>
      <c r="K4586" t="str">
        <f>"1F1"</f>
        <v>1F1</v>
      </c>
      <c r="L4586" t="s">
        <v>15</v>
      </c>
    </row>
    <row r="4587" spans="1:12" x14ac:dyDescent="0.25">
      <c r="A4587" t="str">
        <f>"481117024"</f>
        <v>481117024</v>
      </c>
      <c r="B4587" t="str">
        <f t="shared" si="258"/>
        <v>89301000</v>
      </c>
      <c r="C4587" s="1">
        <v>44481</v>
      </c>
      <c r="D4587" s="1">
        <v>44487</v>
      </c>
      <c r="E4587">
        <v>1</v>
      </c>
      <c r="F4587" t="s">
        <v>2585</v>
      </c>
      <c r="G4587" t="str">
        <f>"12-I03-01"</f>
        <v>12-I03-01</v>
      </c>
      <c r="H4587">
        <v>2.6785999999999999</v>
      </c>
      <c r="I4587" t="s">
        <v>3356</v>
      </c>
      <c r="J4587" t="s">
        <v>14</v>
      </c>
      <c r="K4587" t="str">
        <f>"7F6"</f>
        <v>7F6</v>
      </c>
      <c r="L4587" t="s">
        <v>15</v>
      </c>
    </row>
    <row r="4588" spans="1:12" x14ac:dyDescent="0.25">
      <c r="A4588" t="str">
        <f>"481120247"</f>
        <v>481120247</v>
      </c>
      <c r="B4588" t="str">
        <f t="shared" si="258"/>
        <v>89301000</v>
      </c>
      <c r="C4588" s="1">
        <v>44463</v>
      </c>
      <c r="D4588" s="1">
        <v>44475</v>
      </c>
      <c r="E4588">
        <v>1</v>
      </c>
      <c r="F4588" t="s">
        <v>2133</v>
      </c>
      <c r="G4588" t="str">
        <f>"04-K06-03"</f>
        <v>04-K06-03</v>
      </c>
      <c r="H4588">
        <v>0.66259999999999997</v>
      </c>
      <c r="I4588" t="s">
        <v>3357</v>
      </c>
      <c r="J4588" t="s">
        <v>14</v>
      </c>
      <c r="K4588" t="str">
        <f t="shared" ref="K4588:K4593" si="259">"2F5"</f>
        <v>2F5</v>
      </c>
      <c r="L4588" t="s">
        <v>15</v>
      </c>
    </row>
    <row r="4589" spans="1:12" x14ac:dyDescent="0.25">
      <c r="A4589" t="str">
        <f>"481120247"</f>
        <v>481120247</v>
      </c>
      <c r="B4589" t="str">
        <f t="shared" si="258"/>
        <v>89301000</v>
      </c>
      <c r="C4589" s="1">
        <v>44287</v>
      </c>
      <c r="D4589" s="1">
        <v>44299</v>
      </c>
      <c r="E4589">
        <v>1</v>
      </c>
      <c r="F4589" t="s">
        <v>962</v>
      </c>
      <c r="G4589" t="str">
        <f>"04-K08-02"</f>
        <v>04-K08-02</v>
      </c>
      <c r="H4589">
        <v>2.6110000000000002</v>
      </c>
      <c r="I4589" t="s">
        <v>3358</v>
      </c>
      <c r="J4589" t="s">
        <v>14</v>
      </c>
      <c r="K4589" t="str">
        <f t="shared" si="259"/>
        <v>2F5</v>
      </c>
      <c r="L4589" t="s">
        <v>15</v>
      </c>
    </row>
    <row r="4590" spans="1:12" x14ac:dyDescent="0.25">
      <c r="A4590" t="str">
        <f>"481120247"</f>
        <v>481120247</v>
      </c>
      <c r="B4590" t="str">
        <f t="shared" si="258"/>
        <v>89301000</v>
      </c>
      <c r="C4590" s="1">
        <v>44499</v>
      </c>
      <c r="D4590" s="1">
        <v>44510</v>
      </c>
      <c r="E4590">
        <v>1</v>
      </c>
      <c r="F4590" t="s">
        <v>625</v>
      </c>
      <c r="G4590" t="str">
        <f>"04-M01-07"</f>
        <v>04-M01-07</v>
      </c>
      <c r="H4590">
        <v>2.6560000000000001</v>
      </c>
      <c r="I4590" t="s">
        <v>3359</v>
      </c>
      <c r="J4590" t="s">
        <v>14</v>
      </c>
      <c r="K4590" t="str">
        <f t="shared" si="259"/>
        <v>2F5</v>
      </c>
      <c r="L4590" t="s">
        <v>15</v>
      </c>
    </row>
    <row r="4591" spans="1:12" x14ac:dyDescent="0.25">
      <c r="A4591" t="str">
        <f>"481124183"</f>
        <v>481124183</v>
      </c>
      <c r="B4591" t="str">
        <f t="shared" si="258"/>
        <v>89301000</v>
      </c>
      <c r="C4591" s="1">
        <v>44424</v>
      </c>
      <c r="D4591" s="1">
        <v>44426</v>
      </c>
      <c r="E4591">
        <v>1</v>
      </c>
      <c r="F4591" t="s">
        <v>144</v>
      </c>
      <c r="G4591" t="str">
        <f>"04-K10-02"</f>
        <v>04-K10-02</v>
      </c>
      <c r="H4591">
        <v>0.38879999999999998</v>
      </c>
      <c r="I4591" t="s">
        <v>3360</v>
      </c>
      <c r="J4591" t="s">
        <v>14</v>
      </c>
      <c r="K4591" t="str">
        <f t="shared" si="259"/>
        <v>2F5</v>
      </c>
      <c r="L4591" t="s">
        <v>15</v>
      </c>
    </row>
    <row r="4592" spans="1:12" x14ac:dyDescent="0.25">
      <c r="A4592" t="str">
        <f>"481124183"</f>
        <v>481124183</v>
      </c>
      <c r="B4592" t="str">
        <f t="shared" si="258"/>
        <v>89301000</v>
      </c>
      <c r="C4592" s="1">
        <v>44397</v>
      </c>
      <c r="D4592" s="1">
        <v>44399</v>
      </c>
      <c r="E4592">
        <v>1</v>
      </c>
      <c r="F4592" t="s">
        <v>1914</v>
      </c>
      <c r="G4592" t="str">
        <f>"04-K09-03"</f>
        <v>04-K09-03</v>
      </c>
      <c r="H4592">
        <v>0.62749999999999995</v>
      </c>
      <c r="I4592" t="s">
        <v>489</v>
      </c>
      <c r="J4592" t="s">
        <v>14</v>
      </c>
      <c r="K4592" t="str">
        <f t="shared" si="259"/>
        <v>2F5</v>
      </c>
      <c r="L4592" t="s">
        <v>15</v>
      </c>
    </row>
    <row r="4593" spans="1:12" x14ac:dyDescent="0.25">
      <c r="A4593" t="str">
        <f>"481127105"</f>
        <v>481127105</v>
      </c>
      <c r="B4593" t="str">
        <f t="shared" si="258"/>
        <v>89301000</v>
      </c>
      <c r="C4593" s="1">
        <v>44249</v>
      </c>
      <c r="D4593" s="1">
        <v>44260</v>
      </c>
      <c r="E4593">
        <v>7</v>
      </c>
      <c r="F4593" t="s">
        <v>217</v>
      </c>
      <c r="G4593" t="str">
        <f>"00-M02-04"</f>
        <v>00-M02-04</v>
      </c>
      <c r="H4593">
        <v>12.071199999999999</v>
      </c>
      <c r="I4593" t="s">
        <v>3361</v>
      </c>
      <c r="J4593" t="s">
        <v>14</v>
      </c>
      <c r="K4593" t="str">
        <f t="shared" si="259"/>
        <v>2F5</v>
      </c>
      <c r="L4593" t="s">
        <v>15</v>
      </c>
    </row>
    <row r="4594" spans="1:12" x14ac:dyDescent="0.25">
      <c r="A4594" t="str">
        <f>"481128452"</f>
        <v>481128452</v>
      </c>
      <c r="B4594" t="str">
        <f t="shared" si="258"/>
        <v>89301000</v>
      </c>
      <c r="C4594" s="1">
        <v>44536</v>
      </c>
      <c r="D4594" s="1">
        <v>44537</v>
      </c>
      <c r="E4594">
        <v>1</v>
      </c>
      <c r="F4594" t="s">
        <v>1650</v>
      </c>
      <c r="G4594" t="str">
        <f>"05-D01-06"</f>
        <v>05-D01-06</v>
      </c>
      <c r="H4594">
        <v>0.7611</v>
      </c>
      <c r="I4594" t="s">
        <v>3362</v>
      </c>
      <c r="J4594" t="s">
        <v>14</v>
      </c>
      <c r="K4594" t="str">
        <f>"1F7"</f>
        <v>1F7</v>
      </c>
      <c r="L4594" t="s">
        <v>15</v>
      </c>
    </row>
    <row r="4595" spans="1:12" x14ac:dyDescent="0.25">
      <c r="A4595" t="str">
        <f>"481128452"</f>
        <v>481128452</v>
      </c>
      <c r="B4595" t="str">
        <f t="shared" si="258"/>
        <v>89301000</v>
      </c>
      <c r="C4595" s="1">
        <v>44545</v>
      </c>
      <c r="D4595" s="1">
        <v>44546</v>
      </c>
      <c r="E4595">
        <v>1</v>
      </c>
      <c r="F4595" t="s">
        <v>1936</v>
      </c>
      <c r="G4595" t="str">
        <f>"05-I14-04"</f>
        <v>05-I14-04</v>
      </c>
      <c r="H4595">
        <v>5.4002999999999997</v>
      </c>
      <c r="I4595" t="s">
        <v>3362</v>
      </c>
      <c r="J4595" t="s">
        <v>14</v>
      </c>
      <c r="K4595" t="str">
        <f>"1F1"</f>
        <v>1F1</v>
      </c>
      <c r="L4595" t="s">
        <v>15</v>
      </c>
    </row>
    <row r="4596" spans="1:12" x14ac:dyDescent="0.25">
      <c r="A4596" t="str">
        <f>"481129072"</f>
        <v>481129072</v>
      </c>
      <c r="B4596" t="str">
        <f t="shared" si="258"/>
        <v>89301000</v>
      </c>
      <c r="C4596" s="1">
        <v>44243</v>
      </c>
      <c r="D4596" s="1">
        <v>44253</v>
      </c>
      <c r="E4596">
        <v>1</v>
      </c>
      <c r="F4596" t="s">
        <v>473</v>
      </c>
      <c r="G4596" t="str">
        <f>"05-K13-02"</f>
        <v>05-K13-02</v>
      </c>
      <c r="H4596">
        <v>0.60950000000000004</v>
      </c>
      <c r="I4596" t="s">
        <v>3363</v>
      </c>
      <c r="J4596" t="s">
        <v>14</v>
      </c>
      <c r="K4596" t="str">
        <f>"1F1"</f>
        <v>1F1</v>
      </c>
      <c r="L4596" t="s">
        <v>15</v>
      </c>
    </row>
    <row r="4597" spans="1:12" x14ac:dyDescent="0.25">
      <c r="A4597" t="str">
        <f>"481129072"</f>
        <v>481129072</v>
      </c>
      <c r="B4597" t="str">
        <f t="shared" si="258"/>
        <v>89301000</v>
      </c>
      <c r="C4597" s="1">
        <v>44515</v>
      </c>
      <c r="D4597" s="1">
        <v>44517</v>
      </c>
      <c r="E4597">
        <v>1</v>
      </c>
      <c r="F4597" t="s">
        <v>3364</v>
      </c>
      <c r="G4597" t="str">
        <f>"16-K03-02"</f>
        <v>16-K03-02</v>
      </c>
      <c r="H4597">
        <v>0.92249999999999999</v>
      </c>
      <c r="I4597" t="s">
        <v>3365</v>
      </c>
      <c r="J4597" t="s">
        <v>14</v>
      </c>
      <c r="K4597" t="str">
        <f>"1F1"</f>
        <v>1F1</v>
      </c>
      <c r="L4597" t="s">
        <v>15</v>
      </c>
    </row>
    <row r="4598" spans="1:12" x14ac:dyDescent="0.25">
      <c r="A4598" t="str">
        <f>"481206446"</f>
        <v>481206446</v>
      </c>
      <c r="B4598" t="str">
        <f t="shared" si="258"/>
        <v>89301000</v>
      </c>
      <c r="C4598" s="1">
        <v>44399</v>
      </c>
      <c r="D4598" s="1">
        <v>44400</v>
      </c>
      <c r="E4598">
        <v>1</v>
      </c>
      <c r="F4598" t="s">
        <v>41</v>
      </c>
      <c r="G4598" t="str">
        <f>"01-D01-03"</f>
        <v>01-D01-03</v>
      </c>
      <c r="H4598">
        <v>0.158</v>
      </c>
      <c r="I4598" t="s">
        <v>3366</v>
      </c>
      <c r="J4598" t="s">
        <v>14</v>
      </c>
      <c r="K4598" t="str">
        <f>"2F5"</f>
        <v>2F5</v>
      </c>
      <c r="L4598" t="s">
        <v>15</v>
      </c>
    </row>
    <row r="4599" spans="1:12" x14ac:dyDescent="0.25">
      <c r="A4599" t="str">
        <f>"481206446"</f>
        <v>481206446</v>
      </c>
      <c r="B4599" t="str">
        <f t="shared" si="258"/>
        <v>89301000</v>
      </c>
      <c r="C4599" s="1">
        <v>44407</v>
      </c>
      <c r="D4599" s="1">
        <v>44410</v>
      </c>
      <c r="E4599">
        <v>1</v>
      </c>
      <c r="F4599" t="s">
        <v>41</v>
      </c>
      <c r="G4599" t="str">
        <f>"01-D01-03"</f>
        <v>01-D01-03</v>
      </c>
      <c r="H4599">
        <v>0.2054</v>
      </c>
      <c r="I4599" t="s">
        <v>3366</v>
      </c>
      <c r="J4599" t="s">
        <v>14</v>
      </c>
      <c r="K4599" t="str">
        <f>"2F5"</f>
        <v>2F5</v>
      </c>
      <c r="L4599" t="s">
        <v>15</v>
      </c>
    </row>
    <row r="4600" spans="1:12" x14ac:dyDescent="0.25">
      <c r="A4600" t="str">
        <f>"481213423"</f>
        <v>481213423</v>
      </c>
      <c r="B4600" t="str">
        <f t="shared" si="258"/>
        <v>89301000</v>
      </c>
      <c r="C4600" s="1">
        <v>44396</v>
      </c>
      <c r="D4600" s="1">
        <v>44410</v>
      </c>
      <c r="E4600">
        <v>1</v>
      </c>
      <c r="F4600" t="s">
        <v>1953</v>
      </c>
      <c r="G4600" t="str">
        <f>"07-I01-01"</f>
        <v>07-I01-01</v>
      </c>
      <c r="H4600">
        <v>9.3087</v>
      </c>
      <c r="I4600" t="s">
        <v>3367</v>
      </c>
      <c r="J4600" t="s">
        <v>17</v>
      </c>
      <c r="K4600" t="str">
        <f>"5F1"</f>
        <v>5F1</v>
      </c>
      <c r="L4600" t="s">
        <v>15</v>
      </c>
    </row>
    <row r="4601" spans="1:12" x14ac:dyDescent="0.25">
      <c r="A4601" t="str">
        <f>"481214407"</f>
        <v>481214407</v>
      </c>
      <c r="B4601" t="str">
        <f t="shared" si="258"/>
        <v>89301000</v>
      </c>
      <c r="C4601" s="1">
        <v>44397</v>
      </c>
      <c r="D4601" s="1">
        <v>44400</v>
      </c>
      <c r="E4601">
        <v>1</v>
      </c>
      <c r="F4601" t="s">
        <v>2004</v>
      </c>
      <c r="G4601" t="str">
        <f>"05-M06-06"</f>
        <v>05-M06-06</v>
      </c>
      <c r="H4601">
        <v>1.7652000000000001</v>
      </c>
      <c r="I4601" t="s">
        <v>2321</v>
      </c>
      <c r="J4601" t="s">
        <v>17</v>
      </c>
      <c r="K4601" t="str">
        <f>"1F1"</f>
        <v>1F1</v>
      </c>
      <c r="L4601" t="s">
        <v>15</v>
      </c>
    </row>
    <row r="4602" spans="1:12" x14ac:dyDescent="0.25">
      <c r="A4602" t="str">
        <f>"481216267"</f>
        <v>481216267</v>
      </c>
      <c r="B4602" t="str">
        <f t="shared" si="258"/>
        <v>89301000</v>
      </c>
      <c r="C4602" s="1">
        <v>44501</v>
      </c>
      <c r="D4602" s="1">
        <v>44502</v>
      </c>
      <c r="E4602">
        <v>1</v>
      </c>
      <c r="F4602" t="s">
        <v>1914</v>
      </c>
      <c r="G4602" t="str">
        <f>"04-C02-02"</f>
        <v>04-C02-02</v>
      </c>
      <c r="H4602">
        <v>0.3589</v>
      </c>
      <c r="I4602" t="s">
        <v>3368</v>
      </c>
      <c r="J4602" t="s">
        <v>14</v>
      </c>
      <c r="K4602" t="str">
        <f>"2F5"</f>
        <v>2F5</v>
      </c>
      <c r="L4602" t="s">
        <v>15</v>
      </c>
    </row>
    <row r="4603" spans="1:12" x14ac:dyDescent="0.25">
      <c r="A4603" t="str">
        <f>"481216267"</f>
        <v>481216267</v>
      </c>
      <c r="B4603" t="str">
        <f t="shared" si="258"/>
        <v>89301000</v>
      </c>
      <c r="C4603" s="1">
        <v>44510</v>
      </c>
      <c r="D4603" s="1">
        <v>44514</v>
      </c>
      <c r="E4603">
        <v>7</v>
      </c>
      <c r="F4603" t="s">
        <v>1914</v>
      </c>
      <c r="G4603" t="str">
        <f>"04-K09-02"</f>
        <v>04-K09-02</v>
      </c>
      <c r="H4603">
        <v>1.2861</v>
      </c>
      <c r="I4603" t="s">
        <v>3369</v>
      </c>
      <c r="J4603" t="s">
        <v>14</v>
      </c>
      <c r="K4603" t="str">
        <f>"5F1"</f>
        <v>5F1</v>
      </c>
      <c r="L4603" t="s">
        <v>15</v>
      </c>
    </row>
    <row r="4604" spans="1:12" x14ac:dyDescent="0.25">
      <c r="A4604" t="str">
        <f>"481216267"</f>
        <v>481216267</v>
      </c>
      <c r="B4604" t="str">
        <f t="shared" si="258"/>
        <v>89301000</v>
      </c>
      <c r="C4604" s="1">
        <v>44431</v>
      </c>
      <c r="D4604" s="1">
        <v>44463</v>
      </c>
      <c r="E4604">
        <v>1</v>
      </c>
      <c r="F4604" t="s">
        <v>1914</v>
      </c>
      <c r="G4604" t="str">
        <f>"04-R02-08"</f>
        <v>04-R02-08</v>
      </c>
      <c r="H4604">
        <v>2.2997000000000001</v>
      </c>
      <c r="I4604" t="s">
        <v>3370</v>
      </c>
      <c r="J4604" t="s">
        <v>14</v>
      </c>
      <c r="K4604" t="str">
        <f>"2F5"</f>
        <v>2F5</v>
      </c>
      <c r="L4604" t="s">
        <v>15</v>
      </c>
    </row>
    <row r="4605" spans="1:12" x14ac:dyDescent="0.25">
      <c r="A4605" t="str">
        <f>"481220191"</f>
        <v>481220191</v>
      </c>
      <c r="B4605" t="str">
        <f t="shared" si="258"/>
        <v>89301000</v>
      </c>
      <c r="C4605" s="1">
        <v>44216</v>
      </c>
      <c r="D4605" s="1">
        <v>44218</v>
      </c>
      <c r="E4605">
        <v>1</v>
      </c>
      <c r="F4605" t="s">
        <v>3371</v>
      </c>
      <c r="G4605" t="str">
        <f>"08-M03-02"</f>
        <v>08-M03-02</v>
      </c>
      <c r="H4605">
        <v>0.86970000000000003</v>
      </c>
      <c r="I4605" t="s">
        <v>30</v>
      </c>
      <c r="J4605" t="s">
        <v>14</v>
      </c>
      <c r="K4605" t="str">
        <f>"6F6"</f>
        <v>6F6</v>
      </c>
      <c r="L4605" t="s">
        <v>286</v>
      </c>
    </row>
    <row r="4606" spans="1:12" x14ac:dyDescent="0.25">
      <c r="A4606" t="str">
        <f>"481220412"</f>
        <v>481220412</v>
      </c>
      <c r="B4606" t="str">
        <f t="shared" si="258"/>
        <v>89301000</v>
      </c>
      <c r="C4606" s="1">
        <v>44397</v>
      </c>
      <c r="D4606" s="1">
        <v>44398</v>
      </c>
      <c r="E4606">
        <v>1</v>
      </c>
      <c r="F4606" t="s">
        <v>1557</v>
      </c>
      <c r="G4606" t="str">
        <f>"05-M06-08"</f>
        <v>05-M06-08</v>
      </c>
      <c r="H4606">
        <v>1.4719</v>
      </c>
      <c r="J4606" t="s">
        <v>17</v>
      </c>
      <c r="K4606" t="str">
        <f>"1F1"</f>
        <v>1F1</v>
      </c>
      <c r="L4606" t="s">
        <v>15</v>
      </c>
    </row>
    <row r="4607" spans="1:12" x14ac:dyDescent="0.25">
      <c r="A4607" t="str">
        <f>"481220412"</f>
        <v>481220412</v>
      </c>
      <c r="B4607" t="str">
        <f t="shared" si="258"/>
        <v>89301000</v>
      </c>
      <c r="C4607" s="1">
        <v>44367</v>
      </c>
      <c r="D4607" s="1">
        <v>44369</v>
      </c>
      <c r="E4607">
        <v>1</v>
      </c>
      <c r="F4607" t="s">
        <v>1557</v>
      </c>
      <c r="G4607" t="str">
        <f>"05-M06-08"</f>
        <v>05-M06-08</v>
      </c>
      <c r="H4607">
        <v>1.4719</v>
      </c>
      <c r="J4607" t="s">
        <v>17</v>
      </c>
      <c r="K4607" t="str">
        <f>"1F1"</f>
        <v>1F1</v>
      </c>
      <c r="L4607" t="s">
        <v>15</v>
      </c>
    </row>
    <row r="4608" spans="1:12" x14ac:dyDescent="0.25">
      <c r="A4608" t="str">
        <f>"485105410"</f>
        <v>485105410</v>
      </c>
      <c r="B4608" t="str">
        <f t="shared" si="258"/>
        <v>89301000</v>
      </c>
      <c r="C4608" s="1">
        <v>44312</v>
      </c>
      <c r="D4608" s="1">
        <v>44316</v>
      </c>
      <c r="E4608">
        <v>1</v>
      </c>
      <c r="F4608" t="s">
        <v>2935</v>
      </c>
      <c r="G4608" t="str">
        <f>"05-K13-01"</f>
        <v>05-K13-01</v>
      </c>
      <c r="H4608">
        <v>1.2979000000000001</v>
      </c>
      <c r="I4608" t="s">
        <v>3372</v>
      </c>
      <c r="J4608" t="s">
        <v>14</v>
      </c>
      <c r="K4608" t="str">
        <f>"4F4"</f>
        <v>4F4</v>
      </c>
      <c r="L4608" t="s">
        <v>15</v>
      </c>
    </row>
    <row r="4609" spans="1:12" x14ac:dyDescent="0.25">
      <c r="A4609" t="str">
        <f>"485105413"</f>
        <v>485105413</v>
      </c>
      <c r="B4609" t="str">
        <f t="shared" si="258"/>
        <v>89301000</v>
      </c>
      <c r="C4609" s="1">
        <v>44402</v>
      </c>
      <c r="D4609" s="1">
        <v>44410</v>
      </c>
      <c r="E4609">
        <v>4</v>
      </c>
      <c r="F4609" t="s">
        <v>2852</v>
      </c>
      <c r="G4609" t="str">
        <f>"08-I06-04"</f>
        <v>08-I06-04</v>
      </c>
      <c r="H4609">
        <v>2.4260000000000002</v>
      </c>
      <c r="I4609" t="s">
        <v>3373</v>
      </c>
      <c r="J4609" t="s">
        <v>24</v>
      </c>
      <c r="K4609" t="str">
        <f>"6F6"</f>
        <v>6F6</v>
      </c>
      <c r="L4609" t="s">
        <v>15</v>
      </c>
    </row>
    <row r="4610" spans="1:12" x14ac:dyDescent="0.25">
      <c r="A4610" t="str">
        <f>"485110409"</f>
        <v>485110409</v>
      </c>
      <c r="B4610" t="str">
        <f t="shared" si="258"/>
        <v>89301000</v>
      </c>
      <c r="C4610" s="1">
        <v>44247</v>
      </c>
      <c r="D4610" s="1">
        <v>44256</v>
      </c>
      <c r="E4610">
        <v>1</v>
      </c>
      <c r="F4610" t="s">
        <v>217</v>
      </c>
      <c r="G4610" t="str">
        <f>"04-K02-03"</f>
        <v>04-K02-03</v>
      </c>
      <c r="H4610">
        <v>1.2859</v>
      </c>
      <c r="I4610" t="s">
        <v>3374</v>
      </c>
      <c r="J4610" t="s">
        <v>14</v>
      </c>
      <c r="K4610" t="str">
        <f>"1F6"</f>
        <v>1F6</v>
      </c>
      <c r="L4610" t="s">
        <v>15</v>
      </c>
    </row>
    <row r="4611" spans="1:12" x14ac:dyDescent="0.25">
      <c r="A4611" t="str">
        <f>"485111429"</f>
        <v>485111429</v>
      </c>
      <c r="B4611" t="str">
        <f t="shared" si="258"/>
        <v>89301000</v>
      </c>
      <c r="C4611" s="1">
        <v>44333</v>
      </c>
      <c r="D4611" s="1">
        <v>44334</v>
      </c>
      <c r="E4611">
        <v>1</v>
      </c>
      <c r="F4611" t="s">
        <v>1938</v>
      </c>
      <c r="G4611" t="str">
        <f>"11-C01-02"</f>
        <v>11-C01-02</v>
      </c>
      <c r="H4611">
        <v>0.26300000000000001</v>
      </c>
      <c r="I4611" t="s">
        <v>3375</v>
      </c>
      <c r="J4611" t="s">
        <v>14</v>
      </c>
      <c r="K4611" t="str">
        <f>"4F2"</f>
        <v>4F2</v>
      </c>
      <c r="L4611" t="s">
        <v>15</v>
      </c>
    </row>
    <row r="4612" spans="1:12" x14ac:dyDescent="0.25">
      <c r="A4612" t="str">
        <f>"485114402"</f>
        <v>485114402</v>
      </c>
      <c r="B4612" t="str">
        <f t="shared" si="258"/>
        <v>89301000</v>
      </c>
      <c r="C4612" s="1">
        <v>44475</v>
      </c>
      <c r="D4612" s="1">
        <v>44485</v>
      </c>
      <c r="E4612">
        <v>1</v>
      </c>
      <c r="F4612" t="s">
        <v>1599</v>
      </c>
      <c r="G4612" t="str">
        <f>"05-K07-04"</f>
        <v>05-K07-04</v>
      </c>
      <c r="H4612">
        <v>1.131</v>
      </c>
      <c r="I4612" t="s">
        <v>3376</v>
      </c>
      <c r="J4612" t="s">
        <v>14</v>
      </c>
      <c r="K4612" t="str">
        <f>"1F1"</f>
        <v>1F1</v>
      </c>
      <c r="L4612" t="s">
        <v>15</v>
      </c>
    </row>
    <row r="4613" spans="1:12" x14ac:dyDescent="0.25">
      <c r="A4613" t="str">
        <f>"485116468"</f>
        <v>485116468</v>
      </c>
      <c r="B4613" t="str">
        <f t="shared" si="258"/>
        <v>89301000</v>
      </c>
      <c r="C4613" s="1">
        <v>44307</v>
      </c>
      <c r="D4613" s="1">
        <v>44313</v>
      </c>
      <c r="E4613">
        <v>1</v>
      </c>
      <c r="F4613" t="s">
        <v>3377</v>
      </c>
      <c r="G4613" t="str">
        <f>"13-K05-00"</f>
        <v>13-K05-00</v>
      </c>
      <c r="H4613">
        <v>0.63419999999999999</v>
      </c>
      <c r="I4613" t="s">
        <v>3378</v>
      </c>
      <c r="J4613" t="s">
        <v>14</v>
      </c>
      <c r="K4613" t="str">
        <f>"5F1"</f>
        <v>5F1</v>
      </c>
      <c r="L4613" t="s">
        <v>15</v>
      </c>
    </row>
    <row r="4614" spans="1:12" x14ac:dyDescent="0.25">
      <c r="A4614" t="str">
        <f>"485121417"</f>
        <v>485121417</v>
      </c>
      <c r="B4614" t="str">
        <f t="shared" si="258"/>
        <v>89301000</v>
      </c>
      <c r="C4614" s="1">
        <v>44292</v>
      </c>
      <c r="D4614" s="1">
        <v>44293</v>
      </c>
      <c r="E4614">
        <v>1</v>
      </c>
      <c r="F4614" t="s">
        <v>831</v>
      </c>
      <c r="G4614" t="str">
        <f>"02-I06-03"</f>
        <v>02-I06-03</v>
      </c>
      <c r="H4614">
        <v>0.63690000000000002</v>
      </c>
      <c r="I4614" t="s">
        <v>3379</v>
      </c>
      <c r="J4614" t="s">
        <v>17</v>
      </c>
      <c r="K4614" t="str">
        <f>"7F5"</f>
        <v>7F5</v>
      </c>
      <c r="L4614" t="s">
        <v>15</v>
      </c>
    </row>
    <row r="4615" spans="1:12" x14ac:dyDescent="0.25">
      <c r="A4615" t="str">
        <f>"485121425"</f>
        <v>485121425</v>
      </c>
      <c r="B4615" t="str">
        <f t="shared" si="258"/>
        <v>89301000</v>
      </c>
      <c r="C4615" s="1">
        <v>44452</v>
      </c>
      <c r="D4615" s="1">
        <v>44454</v>
      </c>
      <c r="E4615">
        <v>1</v>
      </c>
      <c r="F4615" t="s">
        <v>831</v>
      </c>
      <c r="G4615" t="str">
        <f>"02-I06-03"</f>
        <v>02-I06-03</v>
      </c>
      <c r="H4615">
        <v>0.63690000000000002</v>
      </c>
      <c r="I4615" t="s">
        <v>3380</v>
      </c>
      <c r="J4615" t="s">
        <v>17</v>
      </c>
      <c r="K4615" t="str">
        <f>"7F5"</f>
        <v>7F5</v>
      </c>
      <c r="L4615" t="s">
        <v>15</v>
      </c>
    </row>
    <row r="4616" spans="1:12" x14ac:dyDescent="0.25">
      <c r="A4616" t="str">
        <f>"485124415"</f>
        <v>485124415</v>
      </c>
      <c r="B4616" t="str">
        <f t="shared" si="258"/>
        <v>89301000</v>
      </c>
      <c r="C4616" s="1">
        <v>44378</v>
      </c>
      <c r="D4616" s="1">
        <v>44381</v>
      </c>
      <c r="E4616">
        <v>1</v>
      </c>
      <c r="F4616" t="s">
        <v>3381</v>
      </c>
      <c r="G4616" t="str">
        <f>"09-I06-04"</f>
        <v>09-I06-04</v>
      </c>
      <c r="H4616">
        <v>0.98829999999999996</v>
      </c>
      <c r="J4616" t="s">
        <v>17</v>
      </c>
      <c r="K4616" t="str">
        <f>"5F1"</f>
        <v>5F1</v>
      </c>
      <c r="L4616" t="s">
        <v>15</v>
      </c>
    </row>
    <row r="4617" spans="1:12" x14ac:dyDescent="0.25">
      <c r="A4617" t="str">
        <f>"485127422"</f>
        <v>485127422</v>
      </c>
      <c r="B4617" t="str">
        <f t="shared" si="258"/>
        <v>89301000</v>
      </c>
      <c r="C4617" s="1">
        <v>44494</v>
      </c>
      <c r="D4617" s="1">
        <v>44496</v>
      </c>
      <c r="E4617">
        <v>1</v>
      </c>
      <c r="F4617" t="s">
        <v>1604</v>
      </c>
      <c r="G4617" t="str">
        <f>"05-I25-03"</f>
        <v>05-I25-03</v>
      </c>
      <c r="H4617">
        <v>1.5508</v>
      </c>
      <c r="I4617" t="s">
        <v>3382</v>
      </c>
      <c r="J4617" t="s">
        <v>17</v>
      </c>
      <c r="K4617" t="str">
        <f>"1F1"</f>
        <v>1F1</v>
      </c>
      <c r="L4617" t="s">
        <v>15</v>
      </c>
    </row>
    <row r="4618" spans="1:12" x14ac:dyDescent="0.25">
      <c r="A4618" t="str">
        <f>"485127422"</f>
        <v>485127422</v>
      </c>
      <c r="B4618" t="str">
        <f t="shared" si="258"/>
        <v>89301000</v>
      </c>
      <c r="C4618" s="1">
        <v>44540</v>
      </c>
      <c r="D4618" s="1">
        <v>44545</v>
      </c>
      <c r="E4618">
        <v>1</v>
      </c>
      <c r="F4618" t="s">
        <v>1602</v>
      </c>
      <c r="G4618" t="str">
        <f>"05-K07-04"</f>
        <v>05-K07-04</v>
      </c>
      <c r="H4618">
        <v>1.131</v>
      </c>
      <c r="I4618" t="s">
        <v>3383</v>
      </c>
      <c r="J4618" t="s">
        <v>14</v>
      </c>
      <c r="K4618" t="str">
        <f>"1F1"</f>
        <v>1F1</v>
      </c>
      <c r="L4618" t="s">
        <v>15</v>
      </c>
    </row>
    <row r="4619" spans="1:12" x14ac:dyDescent="0.25">
      <c r="A4619" t="str">
        <f>"485203455"</f>
        <v>485203455</v>
      </c>
      <c r="B4619" t="str">
        <f t="shared" si="258"/>
        <v>89301000</v>
      </c>
      <c r="C4619" s="1">
        <v>44467</v>
      </c>
      <c r="D4619" s="1">
        <v>44473</v>
      </c>
      <c r="E4619">
        <v>1</v>
      </c>
      <c r="F4619" t="s">
        <v>2232</v>
      </c>
      <c r="G4619" t="str">
        <f>"11-K07-02"</f>
        <v>11-K07-02</v>
      </c>
      <c r="H4619">
        <v>0.4869</v>
      </c>
      <c r="I4619" t="s">
        <v>3384</v>
      </c>
      <c r="J4619" t="s">
        <v>14</v>
      </c>
      <c r="K4619" t="str">
        <f>"4F2"</f>
        <v>4F2</v>
      </c>
      <c r="L4619" t="s">
        <v>15</v>
      </c>
    </row>
    <row r="4620" spans="1:12" x14ac:dyDescent="0.25">
      <c r="A4620" t="str">
        <f>"485203455"</f>
        <v>485203455</v>
      </c>
      <c r="B4620" t="str">
        <f t="shared" si="258"/>
        <v>89301000</v>
      </c>
      <c r="C4620" s="1">
        <v>44421</v>
      </c>
      <c r="D4620" s="1">
        <v>44422</v>
      </c>
      <c r="E4620">
        <v>1</v>
      </c>
      <c r="F4620" t="s">
        <v>2232</v>
      </c>
      <c r="G4620" t="str">
        <f>"11-C01-02"</f>
        <v>11-C01-02</v>
      </c>
      <c r="H4620">
        <v>0.26300000000000001</v>
      </c>
      <c r="I4620" t="s">
        <v>541</v>
      </c>
      <c r="J4620" t="s">
        <v>14</v>
      </c>
      <c r="K4620" t="str">
        <f>"4F2"</f>
        <v>4F2</v>
      </c>
      <c r="L4620" t="s">
        <v>15</v>
      </c>
    </row>
    <row r="4621" spans="1:12" x14ac:dyDescent="0.25">
      <c r="A4621" t="str">
        <f>"485203455"</f>
        <v>485203455</v>
      </c>
      <c r="B4621" t="str">
        <f t="shared" ref="B4621:B4684" si="260">"89301000"</f>
        <v>89301000</v>
      </c>
      <c r="C4621" s="1">
        <v>44370</v>
      </c>
      <c r="D4621" s="1">
        <v>44373</v>
      </c>
      <c r="E4621">
        <v>1</v>
      </c>
      <c r="F4621" t="s">
        <v>2232</v>
      </c>
      <c r="G4621" t="str">
        <f>"11-K07-02"</f>
        <v>11-K07-02</v>
      </c>
      <c r="H4621">
        <v>0.4869</v>
      </c>
      <c r="I4621" t="s">
        <v>1868</v>
      </c>
      <c r="J4621" t="s">
        <v>14</v>
      </c>
      <c r="K4621" t="str">
        <f>"7F6"</f>
        <v>7F6</v>
      </c>
      <c r="L4621" t="s">
        <v>15</v>
      </c>
    </row>
    <row r="4622" spans="1:12" x14ac:dyDescent="0.25">
      <c r="A4622" t="str">
        <f>"485205413"</f>
        <v>485205413</v>
      </c>
      <c r="B4622" t="str">
        <f t="shared" si="260"/>
        <v>89301000</v>
      </c>
      <c r="C4622" s="1">
        <v>44364</v>
      </c>
      <c r="D4622" s="1">
        <v>44368</v>
      </c>
      <c r="E4622">
        <v>1</v>
      </c>
      <c r="F4622" t="s">
        <v>1688</v>
      </c>
      <c r="G4622" t="str">
        <f>"02-I06-03"</f>
        <v>02-I06-03</v>
      </c>
      <c r="H4622">
        <v>0.63690000000000002</v>
      </c>
      <c r="I4622" t="s">
        <v>3385</v>
      </c>
      <c r="J4622" t="s">
        <v>17</v>
      </c>
      <c r="K4622" t="str">
        <f>"7F5"</f>
        <v>7F5</v>
      </c>
      <c r="L4622" t="s">
        <v>15</v>
      </c>
    </row>
    <row r="4623" spans="1:12" x14ac:dyDescent="0.25">
      <c r="A4623" t="str">
        <f>"485214414"</f>
        <v>485214414</v>
      </c>
      <c r="B4623" t="str">
        <f t="shared" si="260"/>
        <v>89301000</v>
      </c>
      <c r="C4623" s="1">
        <v>44207</v>
      </c>
      <c r="D4623" s="1">
        <v>44217</v>
      </c>
      <c r="E4623">
        <v>1</v>
      </c>
      <c r="F4623" t="s">
        <v>109</v>
      </c>
      <c r="G4623" t="str">
        <f>"24-M06-02"</f>
        <v>24-M06-02</v>
      </c>
      <c r="H4623">
        <v>1.0233000000000001</v>
      </c>
      <c r="I4623" t="s">
        <v>3386</v>
      </c>
      <c r="J4623" t="s">
        <v>14</v>
      </c>
      <c r="K4623" t="str">
        <f>"2F1"</f>
        <v>2F1</v>
      </c>
      <c r="L4623" t="s">
        <v>15</v>
      </c>
    </row>
    <row r="4624" spans="1:12" x14ac:dyDescent="0.25">
      <c r="A4624" t="str">
        <f>"485220256"</f>
        <v>485220256</v>
      </c>
      <c r="B4624" t="str">
        <f t="shared" si="260"/>
        <v>89301000</v>
      </c>
      <c r="C4624" s="1">
        <v>44244</v>
      </c>
      <c r="D4624" s="1">
        <v>44245</v>
      </c>
      <c r="E4624">
        <v>1</v>
      </c>
      <c r="F4624" t="s">
        <v>1950</v>
      </c>
      <c r="G4624" t="str">
        <f>"02-I13-02"</f>
        <v>02-I13-02</v>
      </c>
      <c r="H4624">
        <v>0.376</v>
      </c>
      <c r="I4624" t="s">
        <v>3387</v>
      </c>
      <c r="J4624" t="s">
        <v>14</v>
      </c>
      <c r="K4624" t="str">
        <f>"7F5"</f>
        <v>7F5</v>
      </c>
      <c r="L4624" t="s">
        <v>15</v>
      </c>
    </row>
    <row r="4625" spans="1:12" x14ac:dyDescent="0.25">
      <c r="A4625" t="str">
        <f>"485229405"</f>
        <v>485229405</v>
      </c>
      <c r="B4625" t="str">
        <f t="shared" si="260"/>
        <v>89301000</v>
      </c>
      <c r="C4625" s="1">
        <v>44461</v>
      </c>
      <c r="D4625" s="1">
        <v>44470</v>
      </c>
      <c r="E4625">
        <v>1</v>
      </c>
      <c r="F4625" t="s">
        <v>2935</v>
      </c>
      <c r="G4625" t="str">
        <f>"05-K13-01"</f>
        <v>05-K13-01</v>
      </c>
      <c r="H4625">
        <v>1.2979000000000001</v>
      </c>
      <c r="I4625" t="s">
        <v>3388</v>
      </c>
      <c r="J4625" t="s">
        <v>14</v>
      </c>
      <c r="K4625" t="str">
        <f>"4F4"</f>
        <v>4F4</v>
      </c>
      <c r="L4625" t="s">
        <v>15</v>
      </c>
    </row>
    <row r="4626" spans="1:12" x14ac:dyDescent="0.25">
      <c r="A4626" t="str">
        <f>"485301449"</f>
        <v>485301449</v>
      </c>
      <c r="B4626" t="str">
        <f t="shared" si="260"/>
        <v>89301000</v>
      </c>
      <c r="C4626" s="1">
        <v>44487</v>
      </c>
      <c r="D4626" s="1">
        <v>44498</v>
      </c>
      <c r="E4626">
        <v>1</v>
      </c>
      <c r="F4626" t="s">
        <v>109</v>
      </c>
      <c r="G4626" t="str">
        <f>"24-M06-02"</f>
        <v>24-M06-02</v>
      </c>
      <c r="H4626">
        <v>1.0233000000000001</v>
      </c>
      <c r="I4626" t="s">
        <v>3389</v>
      </c>
      <c r="J4626" t="s">
        <v>14</v>
      </c>
      <c r="K4626" t="str">
        <f>"2F1"</f>
        <v>2F1</v>
      </c>
      <c r="L4626" t="s">
        <v>15</v>
      </c>
    </row>
    <row r="4627" spans="1:12" x14ac:dyDescent="0.25">
      <c r="A4627" t="str">
        <f>"485301449"</f>
        <v>485301449</v>
      </c>
      <c r="B4627" t="str">
        <f t="shared" si="260"/>
        <v>89301000</v>
      </c>
      <c r="C4627" s="1">
        <v>44292</v>
      </c>
      <c r="D4627" s="1">
        <v>44309</v>
      </c>
      <c r="E4627">
        <v>1</v>
      </c>
      <c r="F4627" t="s">
        <v>109</v>
      </c>
      <c r="G4627" t="str">
        <f>"24-M07-02"</f>
        <v>24-M07-02</v>
      </c>
      <c r="H4627">
        <v>1.5094000000000001</v>
      </c>
      <c r="I4627" t="s">
        <v>3390</v>
      </c>
      <c r="J4627" t="s">
        <v>14</v>
      </c>
      <c r="K4627" t="str">
        <f>"2F1"</f>
        <v>2F1</v>
      </c>
      <c r="L4627" t="s">
        <v>15</v>
      </c>
    </row>
    <row r="4628" spans="1:12" x14ac:dyDescent="0.25">
      <c r="A4628" t="str">
        <f>"485301449"</f>
        <v>485301449</v>
      </c>
      <c r="B4628" t="str">
        <f t="shared" si="260"/>
        <v>89301000</v>
      </c>
      <c r="C4628" s="1">
        <v>44479</v>
      </c>
      <c r="D4628" s="1">
        <v>44482</v>
      </c>
      <c r="E4628">
        <v>1</v>
      </c>
      <c r="F4628" t="s">
        <v>173</v>
      </c>
      <c r="G4628" t="str">
        <f>"08-I32-02"</f>
        <v>08-I32-02</v>
      </c>
      <c r="H4628">
        <v>0.4143</v>
      </c>
      <c r="J4628" t="s">
        <v>14</v>
      </c>
      <c r="K4628" t="str">
        <f>"5F3"</f>
        <v>5F3</v>
      </c>
      <c r="L4628" t="s">
        <v>15</v>
      </c>
    </row>
    <row r="4629" spans="1:12" x14ac:dyDescent="0.25">
      <c r="A4629" t="str">
        <f>"485304415"</f>
        <v>485304415</v>
      </c>
      <c r="B4629" t="str">
        <f t="shared" si="260"/>
        <v>89301000</v>
      </c>
      <c r="C4629" s="1">
        <v>44224</v>
      </c>
      <c r="D4629" s="1">
        <v>44230</v>
      </c>
      <c r="E4629">
        <v>1</v>
      </c>
      <c r="F4629" t="s">
        <v>1555</v>
      </c>
      <c r="G4629" t="str">
        <f>"05-M04-04"</f>
        <v>05-M04-04</v>
      </c>
      <c r="H4629">
        <v>1.9489000000000001</v>
      </c>
      <c r="I4629" t="s">
        <v>3391</v>
      </c>
      <c r="J4629" t="s">
        <v>17</v>
      </c>
      <c r="K4629" t="str">
        <f>"5F1"</f>
        <v>5F1</v>
      </c>
      <c r="L4629" t="s">
        <v>15</v>
      </c>
    </row>
    <row r="4630" spans="1:12" x14ac:dyDescent="0.25">
      <c r="A4630" t="str">
        <f>"485304415"</f>
        <v>485304415</v>
      </c>
      <c r="B4630" t="str">
        <f t="shared" si="260"/>
        <v>89301000</v>
      </c>
      <c r="C4630" s="1">
        <v>44355</v>
      </c>
      <c r="D4630" s="1">
        <v>44361</v>
      </c>
      <c r="E4630">
        <v>1</v>
      </c>
      <c r="F4630" t="s">
        <v>1555</v>
      </c>
      <c r="G4630" t="str">
        <f>"05-M04-04"</f>
        <v>05-M04-04</v>
      </c>
      <c r="H4630">
        <v>2.4672999999999998</v>
      </c>
      <c r="I4630" t="s">
        <v>1556</v>
      </c>
      <c r="J4630" t="s">
        <v>17</v>
      </c>
      <c r="K4630" t="str">
        <f>"5F1"</f>
        <v>5F1</v>
      </c>
      <c r="L4630" t="s">
        <v>15</v>
      </c>
    </row>
    <row r="4631" spans="1:12" x14ac:dyDescent="0.25">
      <c r="A4631" t="str">
        <f>"485305465"</f>
        <v>485305465</v>
      </c>
      <c r="B4631" t="str">
        <f t="shared" si="260"/>
        <v>89301000</v>
      </c>
      <c r="C4631" s="1">
        <v>44503</v>
      </c>
      <c r="D4631" s="1">
        <v>44512</v>
      </c>
      <c r="E4631">
        <v>1</v>
      </c>
      <c r="F4631" t="s">
        <v>2368</v>
      </c>
      <c r="G4631" t="str">
        <f>"08-I22-01"</f>
        <v>08-I22-01</v>
      </c>
      <c r="H4631">
        <v>1.88</v>
      </c>
      <c r="I4631" t="s">
        <v>3392</v>
      </c>
      <c r="J4631" t="s">
        <v>17</v>
      </c>
      <c r="K4631" t="str">
        <f>"2F5"</f>
        <v>2F5</v>
      </c>
      <c r="L4631" t="s">
        <v>15</v>
      </c>
    </row>
    <row r="4632" spans="1:12" x14ac:dyDescent="0.25">
      <c r="A4632" t="str">
        <f>"485305465"</f>
        <v>485305465</v>
      </c>
      <c r="B4632" t="str">
        <f t="shared" si="260"/>
        <v>89301000</v>
      </c>
      <c r="C4632" s="1">
        <v>44490</v>
      </c>
      <c r="D4632" s="1">
        <v>44492</v>
      </c>
      <c r="E4632">
        <v>1</v>
      </c>
      <c r="F4632" t="s">
        <v>3393</v>
      </c>
      <c r="G4632" t="str">
        <f>"08-I21-02"</f>
        <v>08-I21-02</v>
      </c>
      <c r="H4632">
        <v>1.3371999999999999</v>
      </c>
      <c r="J4632" t="s">
        <v>17</v>
      </c>
      <c r="K4632" t="str">
        <f>"6F6"</f>
        <v>6F6</v>
      </c>
      <c r="L4632" t="s">
        <v>15</v>
      </c>
    </row>
    <row r="4633" spans="1:12" x14ac:dyDescent="0.25">
      <c r="A4633" t="str">
        <f>"485309412"</f>
        <v>485309412</v>
      </c>
      <c r="B4633" t="str">
        <f t="shared" si="260"/>
        <v>89301000</v>
      </c>
      <c r="C4633" s="1">
        <v>44246</v>
      </c>
      <c r="D4633" s="1">
        <v>44260</v>
      </c>
      <c r="E4633">
        <v>1</v>
      </c>
      <c r="F4633" t="s">
        <v>217</v>
      </c>
      <c r="G4633" t="str">
        <f>"04-K02-02"</f>
        <v>04-K02-02</v>
      </c>
      <c r="H4633">
        <v>2.5186000000000002</v>
      </c>
      <c r="I4633" t="s">
        <v>3394</v>
      </c>
      <c r="J4633" t="s">
        <v>14</v>
      </c>
      <c r="K4633" t="str">
        <f>"5F1"</f>
        <v>5F1</v>
      </c>
      <c r="L4633" t="s">
        <v>15</v>
      </c>
    </row>
    <row r="4634" spans="1:12" x14ac:dyDescent="0.25">
      <c r="A4634" t="str">
        <f>"485325461"</f>
        <v>485325461</v>
      </c>
      <c r="B4634" t="str">
        <f t="shared" si="260"/>
        <v>89301000</v>
      </c>
      <c r="C4634" s="1">
        <v>44494</v>
      </c>
      <c r="D4634" s="1">
        <v>44503</v>
      </c>
      <c r="E4634">
        <v>5</v>
      </c>
      <c r="F4634" t="s">
        <v>32</v>
      </c>
      <c r="G4634" t="str">
        <f>"08-I03-05"</f>
        <v>08-I03-05</v>
      </c>
      <c r="H4634">
        <v>2.5183</v>
      </c>
      <c r="I4634" t="s">
        <v>209</v>
      </c>
      <c r="J4634" t="s">
        <v>17</v>
      </c>
      <c r="K4634" t="str">
        <f>"5F6"</f>
        <v>5F6</v>
      </c>
      <c r="L4634" t="s">
        <v>15</v>
      </c>
    </row>
    <row r="4635" spans="1:12" x14ac:dyDescent="0.25">
      <c r="A4635" t="str">
        <f>"485325461"</f>
        <v>485325461</v>
      </c>
      <c r="B4635" t="str">
        <f t="shared" si="260"/>
        <v>89301000</v>
      </c>
      <c r="C4635" s="1">
        <v>44221</v>
      </c>
      <c r="D4635" s="1">
        <v>44224</v>
      </c>
      <c r="E4635">
        <v>1</v>
      </c>
      <c r="F4635" t="s">
        <v>32</v>
      </c>
      <c r="G4635" t="str">
        <f>"08-I03-05"</f>
        <v>08-I03-05</v>
      </c>
      <c r="H4635">
        <v>2.4289000000000001</v>
      </c>
      <c r="I4635" t="s">
        <v>3395</v>
      </c>
      <c r="J4635" t="s">
        <v>17</v>
      </c>
      <c r="K4635" t="str">
        <f>"5F6"</f>
        <v>5F6</v>
      </c>
      <c r="L4635" t="s">
        <v>15</v>
      </c>
    </row>
    <row r="4636" spans="1:12" x14ac:dyDescent="0.25">
      <c r="A4636" t="str">
        <f>"485327227"</f>
        <v>485327227</v>
      </c>
      <c r="B4636" t="str">
        <f t="shared" si="260"/>
        <v>89301000</v>
      </c>
      <c r="C4636" s="1">
        <v>44394</v>
      </c>
      <c r="D4636" s="1">
        <v>44395</v>
      </c>
      <c r="E4636">
        <v>1</v>
      </c>
      <c r="F4636" t="s">
        <v>1785</v>
      </c>
      <c r="G4636" t="str">
        <f>"05-D01-06"</f>
        <v>05-D01-06</v>
      </c>
      <c r="H4636">
        <v>0.7611</v>
      </c>
      <c r="J4636" t="s">
        <v>14</v>
      </c>
      <c r="K4636" t="str">
        <f>"1F1"</f>
        <v>1F1</v>
      </c>
      <c r="L4636" t="s">
        <v>15</v>
      </c>
    </row>
    <row r="4637" spans="1:12" x14ac:dyDescent="0.25">
      <c r="A4637" t="str">
        <f>"485328407"</f>
        <v>485328407</v>
      </c>
      <c r="B4637" t="str">
        <f t="shared" si="260"/>
        <v>89301000</v>
      </c>
      <c r="C4637" s="1">
        <v>44359</v>
      </c>
      <c r="D4637" s="1">
        <v>44365</v>
      </c>
      <c r="E4637">
        <v>8</v>
      </c>
      <c r="F4637" t="s">
        <v>1602</v>
      </c>
      <c r="G4637" t="str">
        <f>"05-K07-04"</f>
        <v>05-K07-04</v>
      </c>
      <c r="H4637">
        <v>1.131</v>
      </c>
      <c r="I4637" t="s">
        <v>3396</v>
      </c>
      <c r="J4637" t="s">
        <v>14</v>
      </c>
      <c r="K4637" t="str">
        <f>"1F6"</f>
        <v>1F6</v>
      </c>
      <c r="L4637" t="s">
        <v>15</v>
      </c>
    </row>
    <row r="4638" spans="1:12" x14ac:dyDescent="0.25">
      <c r="A4638" t="str">
        <f>"485328407"</f>
        <v>485328407</v>
      </c>
      <c r="B4638" t="str">
        <f t="shared" si="260"/>
        <v>89301000</v>
      </c>
      <c r="C4638" s="1">
        <v>44297</v>
      </c>
      <c r="D4638" s="1">
        <v>44314</v>
      </c>
      <c r="E4638">
        <v>1</v>
      </c>
      <c r="F4638" t="s">
        <v>2403</v>
      </c>
      <c r="G4638" t="str">
        <f>"05-D01-06"</f>
        <v>05-D01-06</v>
      </c>
      <c r="H4638">
        <v>1.7184999999999999</v>
      </c>
      <c r="I4638" t="s">
        <v>3397</v>
      </c>
      <c r="J4638" t="s">
        <v>14</v>
      </c>
      <c r="K4638" t="str">
        <f>"1F1"</f>
        <v>1F1</v>
      </c>
      <c r="L4638" t="s">
        <v>15</v>
      </c>
    </row>
    <row r="4639" spans="1:12" x14ac:dyDescent="0.25">
      <c r="A4639" t="str">
        <f>"485328407"</f>
        <v>485328407</v>
      </c>
      <c r="B4639" t="str">
        <f t="shared" si="260"/>
        <v>89301000</v>
      </c>
      <c r="C4639" s="1">
        <v>44259</v>
      </c>
      <c r="D4639" s="1">
        <v>44273</v>
      </c>
      <c r="E4639">
        <v>1</v>
      </c>
      <c r="F4639" t="s">
        <v>1602</v>
      </c>
      <c r="G4639" t="str">
        <f>"05-K07-04"</f>
        <v>05-K07-04</v>
      </c>
      <c r="H4639">
        <v>1.131</v>
      </c>
      <c r="I4639" t="s">
        <v>3398</v>
      </c>
      <c r="J4639" t="s">
        <v>14</v>
      </c>
      <c r="K4639" t="str">
        <f>"1F6"</f>
        <v>1F6</v>
      </c>
      <c r="L4639" t="s">
        <v>15</v>
      </c>
    </row>
    <row r="4640" spans="1:12" x14ac:dyDescent="0.25">
      <c r="A4640" t="str">
        <f>"485328407"</f>
        <v>485328407</v>
      </c>
      <c r="B4640" t="str">
        <f t="shared" si="260"/>
        <v>89301000</v>
      </c>
      <c r="C4640" s="1">
        <v>44250</v>
      </c>
      <c r="D4640" s="1">
        <v>44253</v>
      </c>
      <c r="E4640">
        <v>1</v>
      </c>
      <c r="F4640" t="s">
        <v>1914</v>
      </c>
      <c r="G4640" t="str">
        <f>"04-K09-03"</f>
        <v>04-K09-03</v>
      </c>
      <c r="H4640">
        <v>0.62749999999999995</v>
      </c>
      <c r="I4640" t="s">
        <v>3399</v>
      </c>
      <c r="J4640" t="s">
        <v>14</v>
      </c>
      <c r="K4640" t="str">
        <f>"2F5"</f>
        <v>2F5</v>
      </c>
      <c r="L4640" t="s">
        <v>15</v>
      </c>
    </row>
    <row r="4641" spans="1:12" x14ac:dyDescent="0.25">
      <c r="A4641" t="str">
        <f>"485328407"</f>
        <v>485328407</v>
      </c>
      <c r="B4641" t="str">
        <f t="shared" si="260"/>
        <v>89301000</v>
      </c>
      <c r="C4641" s="1">
        <v>44327</v>
      </c>
      <c r="D4641" s="1">
        <v>44355</v>
      </c>
      <c r="E4641">
        <v>1</v>
      </c>
      <c r="F4641" t="s">
        <v>1606</v>
      </c>
      <c r="G4641" t="str">
        <f>"05-I15-00"</f>
        <v>05-I15-00</v>
      </c>
      <c r="H4641">
        <v>16.914200000000001</v>
      </c>
      <c r="I4641" t="s">
        <v>3400</v>
      </c>
      <c r="J4641" t="s">
        <v>14</v>
      </c>
      <c r="K4641" t="str">
        <f>"5F5"</f>
        <v>5F5</v>
      </c>
      <c r="L4641" t="s">
        <v>15</v>
      </c>
    </row>
    <row r="4642" spans="1:12" x14ac:dyDescent="0.25">
      <c r="A4642" t="str">
        <f>"485403449"</f>
        <v>485403449</v>
      </c>
      <c r="B4642" t="str">
        <f t="shared" si="260"/>
        <v>89301000</v>
      </c>
      <c r="C4642" s="1">
        <v>44341</v>
      </c>
      <c r="D4642" s="1">
        <v>44344</v>
      </c>
      <c r="E4642">
        <v>1</v>
      </c>
      <c r="F4642" t="s">
        <v>2497</v>
      </c>
      <c r="G4642" t="str">
        <f>"13-K07-02"</f>
        <v>13-K07-02</v>
      </c>
      <c r="H4642">
        <v>0.43990000000000001</v>
      </c>
      <c r="I4642" t="s">
        <v>3401</v>
      </c>
      <c r="J4642" t="s">
        <v>14</v>
      </c>
      <c r="K4642" t="str">
        <f>"4F2"</f>
        <v>4F2</v>
      </c>
      <c r="L4642" t="s">
        <v>15</v>
      </c>
    </row>
    <row r="4643" spans="1:12" x14ac:dyDescent="0.25">
      <c r="A4643" t="str">
        <f>"485406438"</f>
        <v>485406438</v>
      </c>
      <c r="B4643" t="str">
        <f t="shared" si="260"/>
        <v>89301000</v>
      </c>
      <c r="C4643" s="1">
        <v>44540</v>
      </c>
      <c r="D4643" s="1">
        <v>44543</v>
      </c>
      <c r="E4643">
        <v>8</v>
      </c>
      <c r="F4643" t="s">
        <v>316</v>
      </c>
      <c r="G4643" t="str">
        <f>"01-I06-02"</f>
        <v>01-I06-02</v>
      </c>
      <c r="H4643">
        <v>4.1885000000000003</v>
      </c>
      <c r="I4643" t="s">
        <v>3402</v>
      </c>
      <c r="J4643" t="s">
        <v>17</v>
      </c>
      <c r="K4643" t="str">
        <f>"7T8"</f>
        <v>7T8</v>
      </c>
      <c r="L4643" t="s">
        <v>15</v>
      </c>
    </row>
    <row r="4644" spans="1:12" x14ac:dyDescent="0.25">
      <c r="A4644" t="str">
        <f>"485408423"</f>
        <v>485408423</v>
      </c>
      <c r="B4644" t="str">
        <f t="shared" si="260"/>
        <v>89301000</v>
      </c>
      <c r="C4644" s="1">
        <v>44365</v>
      </c>
      <c r="D4644" s="1">
        <v>44397</v>
      </c>
      <c r="E4644">
        <v>4</v>
      </c>
      <c r="F4644" t="s">
        <v>307</v>
      </c>
      <c r="G4644" t="str">
        <f>"08-I06-03"</f>
        <v>08-I06-03</v>
      </c>
      <c r="H4644">
        <v>2.8616000000000001</v>
      </c>
      <c r="I4644" t="s">
        <v>3403</v>
      </c>
      <c r="J4644" t="s">
        <v>24</v>
      </c>
      <c r="K4644" t="str">
        <f>"6F6"</f>
        <v>6F6</v>
      </c>
      <c r="L4644" t="s">
        <v>15</v>
      </c>
    </row>
    <row r="4645" spans="1:12" x14ac:dyDescent="0.25">
      <c r="A4645" t="str">
        <f>"485409024"</f>
        <v>485409024</v>
      </c>
      <c r="B4645" t="str">
        <f t="shared" si="260"/>
        <v>89301000</v>
      </c>
      <c r="C4645" s="1">
        <v>44413</v>
      </c>
      <c r="D4645" s="1">
        <v>44421</v>
      </c>
      <c r="E4645">
        <v>5</v>
      </c>
      <c r="F4645" t="s">
        <v>38</v>
      </c>
      <c r="G4645" t="str">
        <f>"00-M01-03"</f>
        <v>00-M01-03</v>
      </c>
      <c r="H4645">
        <v>10.0288</v>
      </c>
      <c r="J4645" t="s">
        <v>14</v>
      </c>
      <c r="K4645" t="str">
        <f>"1T1"</f>
        <v>1T1</v>
      </c>
      <c r="L4645" t="s">
        <v>15</v>
      </c>
    </row>
    <row r="4646" spans="1:12" x14ac:dyDescent="0.25">
      <c r="A4646" t="str">
        <f>"485410409"</f>
        <v>485410409</v>
      </c>
      <c r="B4646" t="str">
        <f t="shared" si="260"/>
        <v>89301000</v>
      </c>
      <c r="C4646" s="1">
        <v>44480</v>
      </c>
      <c r="D4646" s="1">
        <v>44495</v>
      </c>
      <c r="E4646">
        <v>1</v>
      </c>
      <c r="F4646" t="s">
        <v>2701</v>
      </c>
      <c r="G4646" t="str">
        <f>"08-I04-01"</f>
        <v>08-I04-01</v>
      </c>
      <c r="H4646">
        <v>2.8736999999999999</v>
      </c>
      <c r="I4646" t="s">
        <v>3404</v>
      </c>
      <c r="J4646" t="s">
        <v>17</v>
      </c>
      <c r="K4646" t="str">
        <f>"5F6"</f>
        <v>5F6</v>
      </c>
      <c r="L4646" t="s">
        <v>15</v>
      </c>
    </row>
    <row r="4647" spans="1:12" x14ac:dyDescent="0.25">
      <c r="A4647" t="str">
        <f>"485411183"</f>
        <v>485411183</v>
      </c>
      <c r="B4647" t="str">
        <f t="shared" si="260"/>
        <v>89301000</v>
      </c>
      <c r="C4647" s="1">
        <v>44243</v>
      </c>
      <c r="D4647" s="1">
        <v>44249</v>
      </c>
      <c r="E4647">
        <v>1</v>
      </c>
      <c r="F4647" t="s">
        <v>2816</v>
      </c>
      <c r="G4647" t="str">
        <f>"11-I08-03"</f>
        <v>11-I08-03</v>
      </c>
      <c r="H4647">
        <v>2.0676999999999999</v>
      </c>
      <c r="I4647" t="s">
        <v>2910</v>
      </c>
      <c r="J4647" t="s">
        <v>17</v>
      </c>
      <c r="K4647" t="str">
        <f>"7F6"</f>
        <v>7F6</v>
      </c>
      <c r="L4647" t="s">
        <v>15</v>
      </c>
    </row>
    <row r="4648" spans="1:12" x14ac:dyDescent="0.25">
      <c r="A4648" t="str">
        <f>"485412402"</f>
        <v>485412402</v>
      </c>
      <c r="B4648" t="str">
        <f t="shared" si="260"/>
        <v>89301000</v>
      </c>
      <c r="C4648" s="1">
        <v>44241</v>
      </c>
      <c r="D4648" s="1">
        <v>44249</v>
      </c>
      <c r="E4648">
        <v>2</v>
      </c>
      <c r="F4648" t="s">
        <v>1602</v>
      </c>
      <c r="G4648" t="str">
        <f>"05-K07-03"</f>
        <v>05-K07-03</v>
      </c>
      <c r="H4648">
        <v>1.7625999999999999</v>
      </c>
      <c r="I4648" t="s">
        <v>3405</v>
      </c>
      <c r="J4648" t="s">
        <v>14</v>
      </c>
      <c r="K4648" t="str">
        <f>"1F1"</f>
        <v>1F1</v>
      </c>
      <c r="L4648" t="s">
        <v>15</v>
      </c>
    </row>
    <row r="4649" spans="1:12" x14ac:dyDescent="0.25">
      <c r="A4649" t="str">
        <f>"485413415"</f>
        <v>485413415</v>
      </c>
      <c r="B4649" t="str">
        <f t="shared" si="260"/>
        <v>89301000</v>
      </c>
      <c r="C4649" s="1">
        <v>44377</v>
      </c>
      <c r="D4649" s="1">
        <v>44381</v>
      </c>
      <c r="E4649">
        <v>1</v>
      </c>
      <c r="F4649" t="s">
        <v>3406</v>
      </c>
      <c r="G4649" t="str">
        <f>"10-I13-04"</f>
        <v>10-I13-04</v>
      </c>
      <c r="H4649">
        <v>0.66120000000000001</v>
      </c>
      <c r="I4649" t="s">
        <v>2900</v>
      </c>
      <c r="J4649" t="s">
        <v>24</v>
      </c>
      <c r="K4649" t="str">
        <f>"5F1"</f>
        <v>5F1</v>
      </c>
      <c r="L4649" t="s">
        <v>15</v>
      </c>
    </row>
    <row r="4650" spans="1:12" x14ac:dyDescent="0.25">
      <c r="A4650" t="str">
        <f>"485423408"</f>
        <v>485423408</v>
      </c>
      <c r="B4650" t="str">
        <f t="shared" si="260"/>
        <v>89301000</v>
      </c>
      <c r="C4650" s="1">
        <v>44206</v>
      </c>
      <c r="D4650" s="1">
        <v>44224</v>
      </c>
      <c r="E4650">
        <v>8</v>
      </c>
      <c r="F4650" t="s">
        <v>217</v>
      </c>
      <c r="G4650" t="str">
        <f>"00-M02-04"</f>
        <v>00-M02-04</v>
      </c>
      <c r="H4650">
        <v>12.071199999999999</v>
      </c>
      <c r="I4650" t="s">
        <v>3407</v>
      </c>
      <c r="J4650" t="s">
        <v>14</v>
      </c>
      <c r="K4650" t="str">
        <f>"7T8"</f>
        <v>7T8</v>
      </c>
      <c r="L4650" t="s">
        <v>15</v>
      </c>
    </row>
    <row r="4651" spans="1:12" x14ac:dyDescent="0.25">
      <c r="A4651" t="str">
        <f>"485424127"</f>
        <v>485424127</v>
      </c>
      <c r="B4651" t="str">
        <f t="shared" si="260"/>
        <v>89301000</v>
      </c>
      <c r="C4651" s="1">
        <v>44501</v>
      </c>
      <c r="D4651" s="1">
        <v>44505</v>
      </c>
      <c r="E4651">
        <v>1</v>
      </c>
      <c r="F4651" t="s">
        <v>2550</v>
      </c>
      <c r="G4651" t="str">
        <f>"10-K04-04"</f>
        <v>10-K04-04</v>
      </c>
      <c r="H4651">
        <v>0.61599999999999999</v>
      </c>
      <c r="I4651" t="s">
        <v>3408</v>
      </c>
      <c r="J4651" t="s">
        <v>14</v>
      </c>
      <c r="K4651" t="str">
        <f>"1F1"</f>
        <v>1F1</v>
      </c>
      <c r="L4651" t="s">
        <v>15</v>
      </c>
    </row>
    <row r="4652" spans="1:12" x14ac:dyDescent="0.25">
      <c r="A4652" t="str">
        <f>"485424127"</f>
        <v>485424127</v>
      </c>
      <c r="B4652" t="str">
        <f t="shared" si="260"/>
        <v>89301000</v>
      </c>
      <c r="C4652" s="1">
        <v>44361</v>
      </c>
      <c r="D4652" s="1">
        <v>44362</v>
      </c>
      <c r="E4652">
        <v>1</v>
      </c>
      <c r="F4652" t="s">
        <v>2550</v>
      </c>
      <c r="G4652" t="str">
        <f>"10-K04-04"</f>
        <v>10-K04-04</v>
      </c>
      <c r="H4652">
        <v>0.56330000000000002</v>
      </c>
      <c r="I4652" t="s">
        <v>3409</v>
      </c>
      <c r="J4652" t="s">
        <v>14</v>
      </c>
      <c r="K4652" t="str">
        <f>"1F1"</f>
        <v>1F1</v>
      </c>
      <c r="L4652" t="s">
        <v>15</v>
      </c>
    </row>
    <row r="4653" spans="1:12" x14ac:dyDescent="0.25">
      <c r="A4653" t="str">
        <f>"485424127"</f>
        <v>485424127</v>
      </c>
      <c r="B4653" t="str">
        <f t="shared" si="260"/>
        <v>89301000</v>
      </c>
      <c r="C4653" s="1">
        <v>44342</v>
      </c>
      <c r="D4653" s="1">
        <v>44344</v>
      </c>
      <c r="E4653">
        <v>1</v>
      </c>
      <c r="F4653" t="s">
        <v>283</v>
      </c>
      <c r="G4653" t="str">
        <f>"16-K02-03"</f>
        <v>16-K02-03</v>
      </c>
      <c r="H4653">
        <v>0.5302</v>
      </c>
      <c r="I4653" t="s">
        <v>3410</v>
      </c>
      <c r="J4653" t="s">
        <v>14</v>
      </c>
      <c r="K4653" t="str">
        <f>"1F1"</f>
        <v>1F1</v>
      </c>
      <c r="L4653" t="s">
        <v>15</v>
      </c>
    </row>
    <row r="4654" spans="1:12" x14ac:dyDescent="0.25">
      <c r="A4654" t="str">
        <f>"485424127"</f>
        <v>485424127</v>
      </c>
      <c r="B4654" t="str">
        <f t="shared" si="260"/>
        <v>89301000</v>
      </c>
      <c r="C4654" s="1">
        <v>44229</v>
      </c>
      <c r="D4654" s="1">
        <v>44232</v>
      </c>
      <c r="E4654">
        <v>1</v>
      </c>
      <c r="F4654" t="s">
        <v>3177</v>
      </c>
      <c r="G4654" t="str">
        <f>"08-I23-01"</f>
        <v>08-I23-01</v>
      </c>
      <c r="H4654">
        <v>1.7242999999999999</v>
      </c>
      <c r="I4654" t="s">
        <v>308</v>
      </c>
      <c r="J4654" t="s">
        <v>17</v>
      </c>
      <c r="K4654" t="str">
        <f>"6F6"</f>
        <v>6F6</v>
      </c>
      <c r="L4654" t="s">
        <v>15</v>
      </c>
    </row>
    <row r="4655" spans="1:12" x14ac:dyDescent="0.25">
      <c r="A4655" t="str">
        <f>"485426402"</f>
        <v>485426402</v>
      </c>
      <c r="B4655" t="str">
        <f t="shared" si="260"/>
        <v>89301000</v>
      </c>
      <c r="C4655" s="1">
        <v>44202</v>
      </c>
      <c r="D4655" s="1">
        <v>44215</v>
      </c>
      <c r="E4655">
        <v>1</v>
      </c>
      <c r="F4655" t="s">
        <v>660</v>
      </c>
      <c r="G4655" t="str">
        <f>"01-K03-08"</f>
        <v>01-K03-08</v>
      </c>
      <c r="H4655">
        <v>0.83289999999999997</v>
      </c>
      <c r="I4655" t="s">
        <v>3411</v>
      </c>
      <c r="J4655" t="s">
        <v>14</v>
      </c>
      <c r="K4655" t="str">
        <f>"2F9"</f>
        <v>2F9</v>
      </c>
      <c r="L4655" t="s">
        <v>15</v>
      </c>
    </row>
    <row r="4656" spans="1:12" x14ac:dyDescent="0.25">
      <c r="A4656" t="str">
        <f>"485503411"</f>
        <v>485503411</v>
      </c>
      <c r="B4656" t="str">
        <f t="shared" si="260"/>
        <v>89301000</v>
      </c>
      <c r="C4656" s="1">
        <v>44200</v>
      </c>
      <c r="D4656" s="1">
        <v>44206</v>
      </c>
      <c r="E4656">
        <v>1</v>
      </c>
      <c r="F4656" t="s">
        <v>31</v>
      </c>
      <c r="G4656" t="str">
        <f>"08-I04-02"</f>
        <v>08-I04-02</v>
      </c>
      <c r="H4656">
        <v>1.6718999999999999</v>
      </c>
      <c r="I4656" t="s">
        <v>3412</v>
      </c>
      <c r="J4656" t="s">
        <v>17</v>
      </c>
      <c r="K4656" t="str">
        <f>"5F6"</f>
        <v>5F6</v>
      </c>
      <c r="L4656" t="s">
        <v>15</v>
      </c>
    </row>
    <row r="4657" spans="1:12" x14ac:dyDescent="0.25">
      <c r="A4657" t="str">
        <f>"485511456"</f>
        <v>485511456</v>
      </c>
      <c r="B4657" t="str">
        <f t="shared" si="260"/>
        <v>89301000</v>
      </c>
      <c r="C4657" s="1">
        <v>44354</v>
      </c>
      <c r="D4657" s="1">
        <v>44357</v>
      </c>
      <c r="E4657">
        <v>1</v>
      </c>
      <c r="F4657" t="s">
        <v>1551</v>
      </c>
      <c r="G4657" t="str">
        <f>"09-I06-04"</f>
        <v>09-I06-04</v>
      </c>
      <c r="H4657">
        <v>0.98829999999999996</v>
      </c>
      <c r="I4657" t="s">
        <v>3413</v>
      </c>
      <c r="J4657" t="s">
        <v>17</v>
      </c>
      <c r="K4657" t="str">
        <f>"5F1"</f>
        <v>5F1</v>
      </c>
      <c r="L4657" t="s">
        <v>15</v>
      </c>
    </row>
    <row r="4658" spans="1:12" x14ac:dyDescent="0.25">
      <c r="A4658" t="str">
        <f>"485524410"</f>
        <v>485524410</v>
      </c>
      <c r="B4658" t="str">
        <f t="shared" si="260"/>
        <v>89301000</v>
      </c>
      <c r="C4658" s="1">
        <v>44544</v>
      </c>
      <c r="D4658" s="1">
        <v>44545</v>
      </c>
      <c r="E4658">
        <v>1</v>
      </c>
      <c r="F4658" t="s">
        <v>445</v>
      </c>
      <c r="G4658" t="str">
        <f>"08-I17-02"</f>
        <v>08-I17-02</v>
      </c>
      <c r="H4658">
        <v>0.98309999999999997</v>
      </c>
      <c r="I4658" t="s">
        <v>512</v>
      </c>
      <c r="J4658" t="s">
        <v>14</v>
      </c>
      <c r="K4658" t="str">
        <f>"5F3"</f>
        <v>5F3</v>
      </c>
      <c r="L4658" t="s">
        <v>15</v>
      </c>
    </row>
    <row r="4659" spans="1:12" x14ac:dyDescent="0.25">
      <c r="A4659" t="str">
        <f>"485525402"</f>
        <v>485525402</v>
      </c>
      <c r="B4659" t="str">
        <f t="shared" si="260"/>
        <v>89301000</v>
      </c>
      <c r="C4659" s="1">
        <v>44354</v>
      </c>
      <c r="D4659" s="1">
        <v>44358</v>
      </c>
      <c r="E4659">
        <v>1</v>
      </c>
      <c r="F4659" t="s">
        <v>1970</v>
      </c>
      <c r="G4659" t="str">
        <f>"01-K08-02"</f>
        <v>01-K08-02</v>
      </c>
      <c r="H4659">
        <v>0.60519999999999996</v>
      </c>
      <c r="I4659" t="s">
        <v>3414</v>
      </c>
      <c r="J4659" t="s">
        <v>14</v>
      </c>
      <c r="K4659" t="str">
        <f>"2F9"</f>
        <v>2F9</v>
      </c>
      <c r="L4659" t="s">
        <v>15</v>
      </c>
    </row>
    <row r="4660" spans="1:12" x14ac:dyDescent="0.25">
      <c r="A4660" t="str">
        <f>"485525402"</f>
        <v>485525402</v>
      </c>
      <c r="B4660" t="str">
        <f t="shared" si="260"/>
        <v>89301000</v>
      </c>
      <c r="C4660" s="1">
        <v>44431</v>
      </c>
      <c r="D4660" s="1">
        <v>44439</v>
      </c>
      <c r="E4660">
        <v>1</v>
      </c>
      <c r="F4660" t="s">
        <v>1970</v>
      </c>
      <c r="G4660" t="str">
        <f>"01-K08-02"</f>
        <v>01-K08-02</v>
      </c>
      <c r="H4660">
        <v>0.60519999999999996</v>
      </c>
      <c r="I4660" t="s">
        <v>3415</v>
      </c>
      <c r="J4660" t="s">
        <v>14</v>
      </c>
      <c r="K4660" t="str">
        <f>"2F9"</f>
        <v>2F9</v>
      </c>
      <c r="L4660" t="s">
        <v>15</v>
      </c>
    </row>
    <row r="4661" spans="1:12" x14ac:dyDescent="0.25">
      <c r="A4661" t="str">
        <f>"485605111"</f>
        <v>485605111</v>
      </c>
      <c r="B4661" t="str">
        <f t="shared" si="260"/>
        <v>89301000</v>
      </c>
      <c r="C4661" s="1">
        <v>44236</v>
      </c>
      <c r="D4661" s="1">
        <v>44246</v>
      </c>
      <c r="E4661">
        <v>1</v>
      </c>
      <c r="F4661" t="s">
        <v>3416</v>
      </c>
      <c r="G4661" t="str">
        <f>"08-K08-00"</f>
        <v>08-K08-00</v>
      </c>
      <c r="H4661">
        <v>0.51670000000000005</v>
      </c>
      <c r="I4661" t="s">
        <v>3417</v>
      </c>
      <c r="J4661" t="s">
        <v>14</v>
      </c>
      <c r="K4661" t="str">
        <f>"2F9"</f>
        <v>2F9</v>
      </c>
      <c r="L4661" t="s">
        <v>15</v>
      </c>
    </row>
    <row r="4662" spans="1:12" x14ac:dyDescent="0.25">
      <c r="A4662" t="str">
        <f>"485605111"</f>
        <v>485605111</v>
      </c>
      <c r="B4662" t="str">
        <f t="shared" si="260"/>
        <v>89301000</v>
      </c>
      <c r="C4662" s="1">
        <v>44203</v>
      </c>
      <c r="D4662" s="1">
        <v>44221</v>
      </c>
      <c r="E4662">
        <v>5</v>
      </c>
      <c r="F4662" t="s">
        <v>217</v>
      </c>
      <c r="G4662" t="str">
        <f>"04-K02-04"</f>
        <v>04-K02-04</v>
      </c>
      <c r="H4662">
        <v>1.0649999999999999</v>
      </c>
      <c r="I4662" t="s">
        <v>3418</v>
      </c>
      <c r="J4662" t="s">
        <v>14</v>
      </c>
      <c r="K4662" t="str">
        <f>"1F1"</f>
        <v>1F1</v>
      </c>
      <c r="L4662" t="s">
        <v>15</v>
      </c>
    </row>
    <row r="4663" spans="1:12" x14ac:dyDescent="0.25">
      <c r="A4663" t="str">
        <f>"485606404"</f>
        <v>485606404</v>
      </c>
      <c r="B4663" t="str">
        <f t="shared" si="260"/>
        <v>89301000</v>
      </c>
      <c r="C4663" s="1">
        <v>44230</v>
      </c>
      <c r="D4663" s="1">
        <v>44237</v>
      </c>
      <c r="E4663">
        <v>4</v>
      </c>
      <c r="F4663" t="s">
        <v>217</v>
      </c>
      <c r="G4663" t="str">
        <f>"04-K02-04"</f>
        <v>04-K02-04</v>
      </c>
      <c r="H4663">
        <v>0.82469999999999999</v>
      </c>
      <c r="I4663" t="s">
        <v>274</v>
      </c>
      <c r="J4663" t="s">
        <v>14</v>
      </c>
      <c r="K4663" t="str">
        <f>"1F6"</f>
        <v>1F6</v>
      </c>
      <c r="L4663" t="s">
        <v>15</v>
      </c>
    </row>
    <row r="4664" spans="1:12" x14ac:dyDescent="0.25">
      <c r="A4664" t="str">
        <f>"485606420"</f>
        <v>485606420</v>
      </c>
      <c r="B4664" t="str">
        <f t="shared" si="260"/>
        <v>89301000</v>
      </c>
      <c r="C4664" s="1">
        <v>44272</v>
      </c>
      <c r="D4664" s="1">
        <v>44274</v>
      </c>
      <c r="E4664">
        <v>1</v>
      </c>
      <c r="F4664" t="s">
        <v>92</v>
      </c>
      <c r="G4664" t="str">
        <f>"05-K15-02"</f>
        <v>05-K15-02</v>
      </c>
      <c r="H4664">
        <v>0.47510000000000002</v>
      </c>
      <c r="I4664" t="s">
        <v>3419</v>
      </c>
      <c r="J4664" t="s">
        <v>14</v>
      </c>
      <c r="K4664" t="str">
        <f>"1F5"</f>
        <v>1F5</v>
      </c>
      <c r="L4664" t="s">
        <v>15</v>
      </c>
    </row>
    <row r="4665" spans="1:12" x14ac:dyDescent="0.25">
      <c r="A4665" t="str">
        <f>"485611422"</f>
        <v>485611422</v>
      </c>
      <c r="B4665" t="str">
        <f t="shared" si="260"/>
        <v>89301000</v>
      </c>
      <c r="C4665" s="1">
        <v>44446</v>
      </c>
      <c r="D4665" s="1">
        <v>44460</v>
      </c>
      <c r="E4665">
        <v>1</v>
      </c>
      <c r="F4665" t="s">
        <v>2366</v>
      </c>
      <c r="G4665" t="str">
        <f>"02-I09-03"</f>
        <v>02-I09-03</v>
      </c>
      <c r="H4665">
        <v>1.2784</v>
      </c>
      <c r="I4665" t="s">
        <v>3420</v>
      </c>
      <c r="J4665" t="s">
        <v>14</v>
      </c>
      <c r="K4665" t="str">
        <f>"7F5"</f>
        <v>7F5</v>
      </c>
      <c r="L4665" t="s">
        <v>15</v>
      </c>
    </row>
    <row r="4666" spans="1:12" x14ac:dyDescent="0.25">
      <c r="A4666" t="str">
        <f>"485612407"</f>
        <v>485612407</v>
      </c>
      <c r="B4666" t="str">
        <f t="shared" si="260"/>
        <v>89301000</v>
      </c>
      <c r="C4666" s="1">
        <v>44521</v>
      </c>
      <c r="D4666" s="1">
        <v>44525</v>
      </c>
      <c r="E4666">
        <v>1</v>
      </c>
      <c r="F4666" t="s">
        <v>81</v>
      </c>
      <c r="G4666" t="str">
        <f>"10-I13-02"</f>
        <v>10-I13-02</v>
      </c>
      <c r="H4666">
        <v>1.1468</v>
      </c>
      <c r="I4666" t="s">
        <v>40</v>
      </c>
      <c r="J4666" t="s">
        <v>24</v>
      </c>
      <c r="K4666" t="str">
        <f>"5F1"</f>
        <v>5F1</v>
      </c>
      <c r="L4666" t="s">
        <v>15</v>
      </c>
    </row>
    <row r="4667" spans="1:12" x14ac:dyDescent="0.25">
      <c r="A4667" t="str">
        <f>"485617443"</f>
        <v>485617443</v>
      </c>
      <c r="B4667" t="str">
        <f t="shared" si="260"/>
        <v>89301000</v>
      </c>
      <c r="C4667" s="1">
        <v>44350</v>
      </c>
      <c r="D4667" s="1">
        <v>44358</v>
      </c>
      <c r="E4667">
        <v>1</v>
      </c>
      <c r="F4667" t="s">
        <v>407</v>
      </c>
      <c r="G4667" t="str">
        <f>"03-I10-01"</f>
        <v>03-I10-01</v>
      </c>
      <c r="H4667">
        <v>1.3720000000000001</v>
      </c>
      <c r="I4667" t="s">
        <v>3421</v>
      </c>
      <c r="J4667" t="s">
        <v>17</v>
      </c>
      <c r="K4667" t="str">
        <f>"6F5"</f>
        <v>6F5</v>
      </c>
      <c r="L4667" t="s">
        <v>15</v>
      </c>
    </row>
    <row r="4668" spans="1:12" x14ac:dyDescent="0.25">
      <c r="A4668" t="str">
        <f>"485617443"</f>
        <v>485617443</v>
      </c>
      <c r="B4668" t="str">
        <f t="shared" si="260"/>
        <v>89301000</v>
      </c>
      <c r="C4668" s="1">
        <v>44293</v>
      </c>
      <c r="D4668" s="1">
        <v>44298</v>
      </c>
      <c r="E4668">
        <v>1</v>
      </c>
      <c r="F4668" t="s">
        <v>217</v>
      </c>
      <c r="G4668" t="str">
        <f>"04-K02-04"</f>
        <v>04-K02-04</v>
      </c>
      <c r="H4668">
        <v>0.82469999999999999</v>
      </c>
      <c r="I4668" t="s">
        <v>274</v>
      </c>
      <c r="J4668" t="s">
        <v>14</v>
      </c>
      <c r="K4668" t="str">
        <f>"1F1"</f>
        <v>1F1</v>
      </c>
      <c r="L4668" t="s">
        <v>15</v>
      </c>
    </row>
    <row r="4669" spans="1:12" x14ac:dyDescent="0.25">
      <c r="A4669" t="str">
        <f>"485617443"</f>
        <v>485617443</v>
      </c>
      <c r="B4669" t="str">
        <f t="shared" si="260"/>
        <v>89301000</v>
      </c>
      <c r="C4669" s="1">
        <v>44264</v>
      </c>
      <c r="D4669" s="1">
        <v>44271</v>
      </c>
      <c r="E4669">
        <v>1</v>
      </c>
      <c r="F4669" t="s">
        <v>2507</v>
      </c>
      <c r="G4669" t="str">
        <f>"03-I10-01"</f>
        <v>03-I10-01</v>
      </c>
      <c r="H4669">
        <v>1.3720000000000001</v>
      </c>
      <c r="I4669" t="s">
        <v>3422</v>
      </c>
      <c r="J4669" t="s">
        <v>17</v>
      </c>
      <c r="K4669" t="str">
        <f>"6F5"</f>
        <v>6F5</v>
      </c>
      <c r="L4669" t="s">
        <v>15</v>
      </c>
    </row>
    <row r="4670" spans="1:12" x14ac:dyDescent="0.25">
      <c r="A4670" t="str">
        <f>"485617443"</f>
        <v>485617443</v>
      </c>
      <c r="B4670" t="str">
        <f t="shared" si="260"/>
        <v>89301000</v>
      </c>
      <c r="C4670" s="1">
        <v>44427</v>
      </c>
      <c r="D4670" s="1">
        <v>44449</v>
      </c>
      <c r="E4670">
        <v>1</v>
      </c>
      <c r="F4670" t="s">
        <v>2507</v>
      </c>
      <c r="G4670" t="str">
        <f>"03-I03-02"</f>
        <v>03-I03-02</v>
      </c>
      <c r="H4670">
        <v>5.1859000000000002</v>
      </c>
      <c r="I4670" t="s">
        <v>3423</v>
      </c>
      <c r="J4670" t="s">
        <v>17</v>
      </c>
      <c r="K4670" t="str">
        <f>"6F5"</f>
        <v>6F5</v>
      </c>
      <c r="L4670" t="s">
        <v>15</v>
      </c>
    </row>
    <row r="4671" spans="1:12" x14ac:dyDescent="0.25">
      <c r="A4671" t="str">
        <f>"485619418"</f>
        <v>485619418</v>
      </c>
      <c r="B4671" t="str">
        <f t="shared" si="260"/>
        <v>89301000</v>
      </c>
      <c r="C4671" s="1">
        <v>44380</v>
      </c>
      <c r="D4671" s="1">
        <v>44383</v>
      </c>
      <c r="E4671">
        <v>1</v>
      </c>
      <c r="F4671" t="s">
        <v>3424</v>
      </c>
      <c r="G4671" t="str">
        <f>"08-I17-02"</f>
        <v>08-I17-02</v>
      </c>
      <c r="H4671">
        <v>0.98309999999999997</v>
      </c>
      <c r="I4671" t="s">
        <v>3425</v>
      </c>
      <c r="J4671" t="s">
        <v>14</v>
      </c>
      <c r="K4671" t="str">
        <f>"5F3"</f>
        <v>5F3</v>
      </c>
      <c r="L4671" t="s">
        <v>15</v>
      </c>
    </row>
    <row r="4672" spans="1:12" x14ac:dyDescent="0.25">
      <c r="A4672" t="str">
        <f>"485626408"</f>
        <v>485626408</v>
      </c>
      <c r="B4672" t="str">
        <f t="shared" si="260"/>
        <v>89301000</v>
      </c>
      <c r="C4672" s="1">
        <v>44368</v>
      </c>
      <c r="D4672" s="1">
        <v>44369</v>
      </c>
      <c r="E4672">
        <v>1</v>
      </c>
      <c r="F4672" t="s">
        <v>831</v>
      </c>
      <c r="G4672" t="str">
        <f>"02-I06-03"</f>
        <v>02-I06-03</v>
      </c>
      <c r="H4672">
        <v>0.63690000000000002</v>
      </c>
      <c r="I4672" t="s">
        <v>3426</v>
      </c>
      <c r="J4672" t="s">
        <v>17</v>
      </c>
      <c r="K4672" t="str">
        <f>"7F5"</f>
        <v>7F5</v>
      </c>
      <c r="L4672" t="s">
        <v>15</v>
      </c>
    </row>
    <row r="4673" spans="1:12" x14ac:dyDescent="0.25">
      <c r="A4673" t="str">
        <f>"485705402"</f>
        <v>485705402</v>
      </c>
      <c r="B4673" t="str">
        <f t="shared" si="260"/>
        <v>89301000</v>
      </c>
      <c r="C4673" s="1">
        <v>44260</v>
      </c>
      <c r="D4673" s="1">
        <v>44266</v>
      </c>
      <c r="E4673">
        <v>1</v>
      </c>
      <c r="F4673" t="s">
        <v>1420</v>
      </c>
      <c r="G4673" t="str">
        <f>"03-K02-02"</f>
        <v>03-K02-02</v>
      </c>
      <c r="H4673">
        <v>0.56889999999999996</v>
      </c>
      <c r="I4673" t="s">
        <v>3427</v>
      </c>
      <c r="J4673" t="s">
        <v>14</v>
      </c>
      <c r="K4673" t="str">
        <f>"1F6"</f>
        <v>1F6</v>
      </c>
      <c r="L4673" t="s">
        <v>15</v>
      </c>
    </row>
    <row r="4674" spans="1:12" x14ac:dyDescent="0.25">
      <c r="A4674" t="str">
        <f>"485711020"</f>
        <v>485711020</v>
      </c>
      <c r="B4674" t="str">
        <f t="shared" si="260"/>
        <v>89301000</v>
      </c>
      <c r="C4674" s="1">
        <v>44349</v>
      </c>
      <c r="D4674" s="1">
        <v>44355</v>
      </c>
      <c r="E4674">
        <v>1</v>
      </c>
      <c r="F4674" t="s">
        <v>1631</v>
      </c>
      <c r="G4674" t="str">
        <f>"17-C05-03"</f>
        <v>17-C05-03</v>
      </c>
      <c r="H4674">
        <v>0.59660000000000002</v>
      </c>
      <c r="I4674" t="s">
        <v>3428</v>
      </c>
      <c r="J4674" t="s">
        <v>14</v>
      </c>
      <c r="K4674" t="str">
        <f>"2F2"</f>
        <v>2F2</v>
      </c>
      <c r="L4674" t="s">
        <v>15</v>
      </c>
    </row>
    <row r="4675" spans="1:12" x14ac:dyDescent="0.25">
      <c r="A4675" t="str">
        <f>"485711020"</f>
        <v>485711020</v>
      </c>
      <c r="B4675" t="str">
        <f t="shared" si="260"/>
        <v>89301000</v>
      </c>
      <c r="C4675" s="1">
        <v>44536</v>
      </c>
      <c r="D4675" s="1">
        <v>44538</v>
      </c>
      <c r="E4675">
        <v>7</v>
      </c>
      <c r="F4675" t="s">
        <v>1631</v>
      </c>
      <c r="G4675" t="str">
        <f>"17-K02-01"</f>
        <v>17-K02-01</v>
      </c>
      <c r="H4675">
        <v>2.3161999999999998</v>
      </c>
      <c r="I4675" t="s">
        <v>3429</v>
      </c>
      <c r="J4675" t="s">
        <v>14</v>
      </c>
      <c r="K4675" t="str">
        <f>"2F2"</f>
        <v>2F2</v>
      </c>
      <c r="L4675" t="s">
        <v>15</v>
      </c>
    </row>
    <row r="4676" spans="1:12" x14ac:dyDescent="0.25">
      <c r="A4676" t="str">
        <f>"485711020"</f>
        <v>485711020</v>
      </c>
      <c r="B4676" t="str">
        <f t="shared" si="260"/>
        <v>89301000</v>
      </c>
      <c r="C4676" s="1">
        <v>44482</v>
      </c>
      <c r="D4676" s="1">
        <v>44495</v>
      </c>
      <c r="E4676">
        <v>1</v>
      </c>
      <c r="F4676" t="s">
        <v>1631</v>
      </c>
      <c r="G4676" t="str">
        <f>"17-K02-01"</f>
        <v>17-K02-01</v>
      </c>
      <c r="H4676">
        <v>2.8917000000000002</v>
      </c>
      <c r="I4676" t="s">
        <v>3430</v>
      </c>
      <c r="J4676" t="s">
        <v>14</v>
      </c>
      <c r="K4676" t="str">
        <f>"2F2"</f>
        <v>2F2</v>
      </c>
      <c r="L4676" t="s">
        <v>15</v>
      </c>
    </row>
    <row r="4677" spans="1:12" x14ac:dyDescent="0.25">
      <c r="A4677" t="str">
        <f>"485712195"</f>
        <v>485712195</v>
      </c>
      <c r="B4677" t="str">
        <f t="shared" si="260"/>
        <v>89301000</v>
      </c>
      <c r="C4677" s="1">
        <v>44267</v>
      </c>
      <c r="D4677" s="1">
        <v>44271</v>
      </c>
      <c r="E4677">
        <v>1</v>
      </c>
      <c r="F4677" t="s">
        <v>588</v>
      </c>
      <c r="G4677" t="str">
        <f>"07-K02-03"</f>
        <v>07-K02-03</v>
      </c>
      <c r="H4677">
        <v>0.7742</v>
      </c>
      <c r="I4677" t="s">
        <v>3431</v>
      </c>
      <c r="J4677" t="s">
        <v>14</v>
      </c>
      <c r="K4677" t="str">
        <f>"1F1"</f>
        <v>1F1</v>
      </c>
      <c r="L4677" t="s">
        <v>15</v>
      </c>
    </row>
    <row r="4678" spans="1:12" x14ac:dyDescent="0.25">
      <c r="A4678" t="str">
        <f>"485717207"</f>
        <v>485717207</v>
      </c>
      <c r="B4678" t="str">
        <f t="shared" si="260"/>
        <v>89301000</v>
      </c>
      <c r="C4678" s="1">
        <v>44537</v>
      </c>
      <c r="D4678" s="1">
        <v>44539</v>
      </c>
      <c r="E4678">
        <v>1</v>
      </c>
      <c r="F4678" t="s">
        <v>1986</v>
      </c>
      <c r="G4678" t="str">
        <f>"01-K12-01"</f>
        <v>01-K12-01</v>
      </c>
      <c r="H4678">
        <v>0.71289999999999998</v>
      </c>
      <c r="I4678" t="s">
        <v>3432</v>
      </c>
      <c r="J4678" t="s">
        <v>14</v>
      </c>
      <c r="K4678" t="str">
        <f>"1F1"</f>
        <v>1F1</v>
      </c>
      <c r="L4678" t="s">
        <v>15</v>
      </c>
    </row>
    <row r="4679" spans="1:12" x14ac:dyDescent="0.25">
      <c r="A4679" t="str">
        <f>"485719407"</f>
        <v>485719407</v>
      </c>
      <c r="B4679" t="str">
        <f t="shared" si="260"/>
        <v>89301000</v>
      </c>
      <c r="C4679" s="1">
        <v>44205</v>
      </c>
      <c r="D4679" s="1">
        <v>44209</v>
      </c>
      <c r="E4679">
        <v>1</v>
      </c>
      <c r="F4679" t="s">
        <v>962</v>
      </c>
      <c r="G4679" t="str">
        <f>"04-K08-02"</f>
        <v>04-K08-02</v>
      </c>
      <c r="H4679">
        <v>2.6110000000000002</v>
      </c>
      <c r="I4679" t="s">
        <v>3433</v>
      </c>
      <c r="J4679" t="s">
        <v>14</v>
      </c>
      <c r="K4679" t="str">
        <f>"1F1"</f>
        <v>1F1</v>
      </c>
      <c r="L4679" t="s">
        <v>15</v>
      </c>
    </row>
    <row r="4680" spans="1:12" x14ac:dyDescent="0.25">
      <c r="A4680" t="str">
        <f>"485720448"</f>
        <v>485720448</v>
      </c>
      <c r="B4680" t="str">
        <f t="shared" si="260"/>
        <v>89301000</v>
      </c>
      <c r="C4680" s="1">
        <v>44488</v>
      </c>
      <c r="D4680" s="1">
        <v>44496</v>
      </c>
      <c r="E4680">
        <v>1</v>
      </c>
      <c r="F4680" t="s">
        <v>418</v>
      </c>
      <c r="G4680" t="str">
        <f>"18-K02-03"</f>
        <v>18-K02-03</v>
      </c>
      <c r="H4680">
        <v>0.87570000000000003</v>
      </c>
      <c r="J4680" t="s">
        <v>14</v>
      </c>
      <c r="K4680" t="str">
        <f>"2F9"</f>
        <v>2F9</v>
      </c>
      <c r="L4680" t="s">
        <v>15</v>
      </c>
    </row>
    <row r="4681" spans="1:12" x14ac:dyDescent="0.25">
      <c r="A4681" t="str">
        <f>"485720448"</f>
        <v>485720448</v>
      </c>
      <c r="B4681" t="str">
        <f t="shared" si="260"/>
        <v>89301000</v>
      </c>
      <c r="C4681" s="1">
        <v>44501</v>
      </c>
      <c r="D4681" s="1">
        <v>44509</v>
      </c>
      <c r="E4681">
        <v>1</v>
      </c>
      <c r="F4681" t="s">
        <v>1553</v>
      </c>
      <c r="G4681" t="str">
        <f>"04-K05-02"</f>
        <v>04-K05-02</v>
      </c>
      <c r="H4681">
        <v>1.2657</v>
      </c>
      <c r="I4681" t="s">
        <v>3434</v>
      </c>
      <c r="J4681" t="s">
        <v>14</v>
      </c>
      <c r="K4681" t="str">
        <f>"1F1"</f>
        <v>1F1</v>
      </c>
      <c r="L4681" t="s">
        <v>15</v>
      </c>
    </row>
    <row r="4682" spans="1:12" x14ac:dyDescent="0.25">
      <c r="A4682" t="str">
        <f>"485722413"</f>
        <v>485722413</v>
      </c>
      <c r="B4682" t="str">
        <f t="shared" si="260"/>
        <v>89301000</v>
      </c>
      <c r="C4682" s="1">
        <v>44322</v>
      </c>
      <c r="D4682" s="1">
        <v>44322</v>
      </c>
      <c r="E4682">
        <v>1</v>
      </c>
      <c r="F4682" t="s">
        <v>2457</v>
      </c>
      <c r="G4682" t="str">
        <f>"05-D01-08"</f>
        <v>05-D01-08</v>
      </c>
      <c r="H4682">
        <v>0.21890000000000001</v>
      </c>
      <c r="I4682" t="s">
        <v>1892</v>
      </c>
      <c r="J4682" t="s">
        <v>14</v>
      </c>
      <c r="K4682" t="str">
        <f>"1F1"</f>
        <v>1F1</v>
      </c>
      <c r="L4682" t="s">
        <v>15</v>
      </c>
    </row>
    <row r="4683" spans="1:12" x14ac:dyDescent="0.25">
      <c r="A4683" t="str">
        <f>"485728266"</f>
        <v>485728266</v>
      </c>
      <c r="B4683" t="str">
        <f t="shared" si="260"/>
        <v>89301000</v>
      </c>
      <c r="C4683" s="1">
        <v>44340</v>
      </c>
      <c r="D4683" s="1">
        <v>44342</v>
      </c>
      <c r="E4683">
        <v>1</v>
      </c>
      <c r="F4683" t="s">
        <v>831</v>
      </c>
      <c r="G4683" t="str">
        <f>"02-I06-03"</f>
        <v>02-I06-03</v>
      </c>
      <c r="H4683">
        <v>0.63690000000000002</v>
      </c>
      <c r="I4683" t="s">
        <v>3435</v>
      </c>
      <c r="J4683" t="s">
        <v>17</v>
      </c>
      <c r="K4683" t="str">
        <f>"7F5"</f>
        <v>7F5</v>
      </c>
      <c r="L4683" t="s">
        <v>15</v>
      </c>
    </row>
    <row r="4684" spans="1:12" x14ac:dyDescent="0.25">
      <c r="A4684" t="str">
        <f>"485730240"</f>
        <v>485730240</v>
      </c>
      <c r="B4684" t="str">
        <f t="shared" si="260"/>
        <v>89301000</v>
      </c>
      <c r="C4684" s="1">
        <v>44278</v>
      </c>
      <c r="D4684" s="1">
        <v>44285</v>
      </c>
      <c r="E4684">
        <v>5</v>
      </c>
      <c r="F4684" t="s">
        <v>217</v>
      </c>
      <c r="G4684" t="str">
        <f>"04-K02-03"</f>
        <v>04-K02-03</v>
      </c>
      <c r="H4684">
        <v>1.2859</v>
      </c>
      <c r="I4684" t="s">
        <v>3436</v>
      </c>
      <c r="J4684" t="s">
        <v>14</v>
      </c>
      <c r="K4684" t="str">
        <f>"1F6"</f>
        <v>1F6</v>
      </c>
      <c r="L4684" t="s">
        <v>15</v>
      </c>
    </row>
    <row r="4685" spans="1:12" x14ac:dyDescent="0.25">
      <c r="A4685" t="str">
        <f>"485805111"</f>
        <v>485805111</v>
      </c>
      <c r="B4685" t="str">
        <f t="shared" ref="B4685:B4748" si="261">"89301000"</f>
        <v>89301000</v>
      </c>
      <c r="C4685" s="1">
        <v>44435</v>
      </c>
      <c r="D4685" s="1">
        <v>44443</v>
      </c>
      <c r="E4685">
        <v>1</v>
      </c>
      <c r="F4685" t="s">
        <v>2120</v>
      </c>
      <c r="G4685" t="str">
        <f>"06-K07-02"</f>
        <v>06-K07-02</v>
      </c>
      <c r="H4685">
        <v>0.44419999999999998</v>
      </c>
      <c r="I4685" t="s">
        <v>2119</v>
      </c>
      <c r="J4685" t="s">
        <v>14</v>
      </c>
      <c r="K4685" t="str">
        <f>"5F1"</f>
        <v>5F1</v>
      </c>
      <c r="L4685" t="s">
        <v>15</v>
      </c>
    </row>
    <row r="4686" spans="1:12" x14ac:dyDescent="0.25">
      <c r="A4686" t="str">
        <f>"485805409"</f>
        <v>485805409</v>
      </c>
      <c r="B4686" t="str">
        <f t="shared" si="261"/>
        <v>89301000</v>
      </c>
      <c r="C4686" s="1">
        <v>44375</v>
      </c>
      <c r="D4686" s="1">
        <v>44378</v>
      </c>
      <c r="E4686">
        <v>1</v>
      </c>
      <c r="F4686" t="s">
        <v>1551</v>
      </c>
      <c r="G4686" t="str">
        <f>"09-I06-04"</f>
        <v>09-I06-04</v>
      </c>
      <c r="H4686">
        <v>0.98829999999999996</v>
      </c>
      <c r="J4686" t="s">
        <v>17</v>
      </c>
      <c r="K4686" t="str">
        <f>"5F1"</f>
        <v>5F1</v>
      </c>
      <c r="L4686" t="s">
        <v>15</v>
      </c>
    </row>
    <row r="4687" spans="1:12" x14ac:dyDescent="0.25">
      <c r="A4687" t="str">
        <f>"485805409"</f>
        <v>485805409</v>
      </c>
      <c r="B4687" t="str">
        <f t="shared" si="261"/>
        <v>89301000</v>
      </c>
      <c r="C4687" s="1">
        <v>44399</v>
      </c>
      <c r="D4687" s="1">
        <v>44402</v>
      </c>
      <c r="E4687">
        <v>1</v>
      </c>
      <c r="F4687" t="s">
        <v>2390</v>
      </c>
      <c r="G4687" t="str">
        <f>"17-K08-00"</f>
        <v>17-K08-00</v>
      </c>
      <c r="H4687">
        <v>0.61829999999999996</v>
      </c>
      <c r="I4687" t="s">
        <v>1551</v>
      </c>
      <c r="J4687" t="s">
        <v>14</v>
      </c>
      <c r="K4687" t="str">
        <f>"5F1"</f>
        <v>5F1</v>
      </c>
      <c r="L4687" t="s">
        <v>15</v>
      </c>
    </row>
    <row r="4688" spans="1:12" x14ac:dyDescent="0.25">
      <c r="A4688" t="str">
        <f>"485810414"</f>
        <v>485810414</v>
      </c>
      <c r="B4688" t="str">
        <f t="shared" si="261"/>
        <v>89301000</v>
      </c>
      <c r="C4688" s="1">
        <v>44258</v>
      </c>
      <c r="D4688" s="1">
        <v>44265</v>
      </c>
      <c r="E4688">
        <v>1</v>
      </c>
      <c r="F4688" t="s">
        <v>1551</v>
      </c>
      <c r="G4688" t="str">
        <f>"09-I06-03"</f>
        <v>09-I06-03</v>
      </c>
      <c r="H4688">
        <v>1.4382999999999999</v>
      </c>
      <c r="I4688" t="s">
        <v>3194</v>
      </c>
      <c r="J4688" t="s">
        <v>17</v>
      </c>
      <c r="K4688" t="str">
        <f>"5F1"</f>
        <v>5F1</v>
      </c>
      <c r="L4688" t="s">
        <v>15</v>
      </c>
    </row>
    <row r="4689" spans="1:12" x14ac:dyDescent="0.25">
      <c r="A4689" t="str">
        <f>"485820126"</f>
        <v>485820126</v>
      </c>
      <c r="B4689" t="str">
        <f t="shared" si="261"/>
        <v>89301000</v>
      </c>
      <c r="C4689" s="1">
        <v>44336</v>
      </c>
      <c r="D4689" s="1">
        <v>44338</v>
      </c>
      <c r="E4689">
        <v>1</v>
      </c>
      <c r="F4689" t="s">
        <v>2391</v>
      </c>
      <c r="G4689" t="str">
        <f>"05-M03-00"</f>
        <v>05-M03-00</v>
      </c>
      <c r="H4689">
        <v>3.3506999999999998</v>
      </c>
      <c r="J4689" t="s">
        <v>24</v>
      </c>
      <c r="K4689" t="str">
        <f>"1F7"</f>
        <v>1F7</v>
      </c>
      <c r="L4689" t="s">
        <v>15</v>
      </c>
    </row>
    <row r="4690" spans="1:12" x14ac:dyDescent="0.25">
      <c r="A4690" t="str">
        <f>"485822418"</f>
        <v>485822418</v>
      </c>
      <c r="B4690" t="str">
        <f t="shared" si="261"/>
        <v>89301000</v>
      </c>
      <c r="C4690" s="1">
        <v>44271</v>
      </c>
      <c r="D4690" s="1">
        <v>44275</v>
      </c>
      <c r="E4690">
        <v>1</v>
      </c>
      <c r="F4690" t="s">
        <v>3437</v>
      </c>
      <c r="G4690" t="str">
        <f>"03-I17-00"</f>
        <v>03-I17-00</v>
      </c>
      <c r="H4690">
        <v>0.84960000000000002</v>
      </c>
      <c r="I4690" t="s">
        <v>3438</v>
      </c>
      <c r="J4690" t="s">
        <v>24</v>
      </c>
      <c r="K4690" t="str">
        <f>"7F1"</f>
        <v>7F1</v>
      </c>
      <c r="L4690" t="s">
        <v>15</v>
      </c>
    </row>
    <row r="4691" spans="1:12" x14ac:dyDescent="0.25">
      <c r="A4691" t="str">
        <f>"485830154"</f>
        <v>485830154</v>
      </c>
      <c r="B4691" t="str">
        <f t="shared" si="261"/>
        <v>89301000</v>
      </c>
      <c r="C4691" s="1">
        <v>44361</v>
      </c>
      <c r="D4691" s="1">
        <v>44364</v>
      </c>
      <c r="E4691">
        <v>1</v>
      </c>
      <c r="F4691" t="s">
        <v>146</v>
      </c>
      <c r="G4691" t="str">
        <f>"17-C05-04"</f>
        <v>17-C05-04</v>
      </c>
      <c r="H4691">
        <v>0.7712</v>
      </c>
      <c r="I4691" t="s">
        <v>3439</v>
      </c>
      <c r="J4691" t="s">
        <v>14</v>
      </c>
      <c r="K4691" t="str">
        <f>"2F2"</f>
        <v>2F2</v>
      </c>
      <c r="L4691" t="s">
        <v>15</v>
      </c>
    </row>
    <row r="4692" spans="1:12" x14ac:dyDescent="0.25">
      <c r="A4692" t="str">
        <f>"485830154"</f>
        <v>485830154</v>
      </c>
      <c r="B4692" t="str">
        <f t="shared" si="261"/>
        <v>89301000</v>
      </c>
      <c r="C4692" s="1">
        <v>44335</v>
      </c>
      <c r="D4692" s="1">
        <v>44355</v>
      </c>
      <c r="E4692">
        <v>1</v>
      </c>
      <c r="F4692" t="s">
        <v>146</v>
      </c>
      <c r="G4692" t="str">
        <f>"17-C05-04"</f>
        <v>17-C05-04</v>
      </c>
      <c r="H4692">
        <v>1.5206</v>
      </c>
      <c r="I4692" t="s">
        <v>3440</v>
      </c>
      <c r="J4692" t="s">
        <v>14</v>
      </c>
      <c r="K4692" t="str">
        <f>"2F2"</f>
        <v>2F2</v>
      </c>
      <c r="L4692" t="s">
        <v>15</v>
      </c>
    </row>
    <row r="4693" spans="1:12" x14ac:dyDescent="0.25">
      <c r="A4693" t="str">
        <f>"485830154"</f>
        <v>485830154</v>
      </c>
      <c r="B4693" t="str">
        <f t="shared" si="261"/>
        <v>89301000</v>
      </c>
      <c r="C4693" s="1">
        <v>44395</v>
      </c>
      <c r="D4693" s="1">
        <v>44405</v>
      </c>
      <c r="E4693">
        <v>1</v>
      </c>
      <c r="F4693" t="s">
        <v>146</v>
      </c>
      <c r="G4693" t="str">
        <f>"17-K05-01"</f>
        <v>17-K05-01</v>
      </c>
      <c r="H4693">
        <v>2.6164999999999998</v>
      </c>
      <c r="I4693" t="s">
        <v>3441</v>
      </c>
      <c r="J4693" t="s">
        <v>14</v>
      </c>
      <c r="K4693" t="str">
        <f>"2F2"</f>
        <v>2F2</v>
      </c>
      <c r="L4693" t="s">
        <v>15</v>
      </c>
    </row>
    <row r="4694" spans="1:12" x14ac:dyDescent="0.25">
      <c r="A4694" t="str">
        <f>"485901412"</f>
        <v>485901412</v>
      </c>
      <c r="B4694" t="str">
        <f t="shared" si="261"/>
        <v>89301000</v>
      </c>
      <c r="C4694" s="1">
        <v>44428</v>
      </c>
      <c r="D4694" s="1">
        <v>44430</v>
      </c>
      <c r="E4694">
        <v>1</v>
      </c>
      <c r="F4694" t="s">
        <v>2049</v>
      </c>
      <c r="G4694" t="str">
        <f>"06-M01-03"</f>
        <v>06-M01-03</v>
      </c>
      <c r="H4694">
        <v>0.82450000000000001</v>
      </c>
      <c r="I4694" t="s">
        <v>1959</v>
      </c>
      <c r="J4694" t="s">
        <v>14</v>
      </c>
      <c r="K4694" t="str">
        <f>"1F1"</f>
        <v>1F1</v>
      </c>
      <c r="L4694" t="s">
        <v>15</v>
      </c>
    </row>
    <row r="4695" spans="1:12" x14ac:dyDescent="0.25">
      <c r="A4695" t="str">
        <f>"485904418"</f>
        <v>485904418</v>
      </c>
      <c r="B4695" t="str">
        <f t="shared" si="261"/>
        <v>89301000</v>
      </c>
      <c r="C4695" s="1">
        <v>44342</v>
      </c>
      <c r="D4695" s="1">
        <v>44346</v>
      </c>
      <c r="E4695">
        <v>1</v>
      </c>
      <c r="F4695" t="s">
        <v>2232</v>
      </c>
      <c r="G4695" t="str">
        <f>"11-M04-01"</f>
        <v>11-M04-01</v>
      </c>
      <c r="H4695">
        <v>2.5192999999999999</v>
      </c>
      <c r="I4695" t="s">
        <v>3442</v>
      </c>
      <c r="J4695" t="s">
        <v>14</v>
      </c>
      <c r="K4695" t="str">
        <f>"7F6"</f>
        <v>7F6</v>
      </c>
      <c r="L4695" t="s">
        <v>15</v>
      </c>
    </row>
    <row r="4696" spans="1:12" x14ac:dyDescent="0.25">
      <c r="A4696" t="str">
        <f>"485904418"</f>
        <v>485904418</v>
      </c>
      <c r="B4696" t="str">
        <f t="shared" si="261"/>
        <v>89301000</v>
      </c>
      <c r="C4696" s="1">
        <v>44306</v>
      </c>
      <c r="D4696" s="1">
        <v>44312</v>
      </c>
      <c r="E4696">
        <v>1</v>
      </c>
      <c r="F4696" t="s">
        <v>2232</v>
      </c>
      <c r="G4696" t="str">
        <f>"11-I07-04"</f>
        <v>11-I07-04</v>
      </c>
      <c r="H4696">
        <v>1.9005000000000001</v>
      </c>
      <c r="I4696" t="s">
        <v>3443</v>
      </c>
      <c r="J4696" t="s">
        <v>24</v>
      </c>
      <c r="K4696" t="str">
        <f>"7F6"</f>
        <v>7F6</v>
      </c>
      <c r="L4696" t="s">
        <v>15</v>
      </c>
    </row>
    <row r="4697" spans="1:12" x14ac:dyDescent="0.25">
      <c r="A4697" t="str">
        <f>"485904418"</f>
        <v>485904418</v>
      </c>
      <c r="B4697" t="str">
        <f t="shared" si="261"/>
        <v>89301000</v>
      </c>
      <c r="C4697" s="1">
        <v>44386</v>
      </c>
      <c r="D4697" s="1">
        <v>44401</v>
      </c>
      <c r="E4697">
        <v>1</v>
      </c>
      <c r="F4697" t="s">
        <v>2232</v>
      </c>
      <c r="G4697" t="str">
        <f>"11-I08-03"</f>
        <v>11-I08-03</v>
      </c>
      <c r="H4697">
        <v>2.4386999999999999</v>
      </c>
      <c r="I4697" t="s">
        <v>3444</v>
      </c>
      <c r="J4697" t="s">
        <v>17</v>
      </c>
      <c r="K4697" t="str">
        <f>"7F6"</f>
        <v>7F6</v>
      </c>
      <c r="L4697" t="s">
        <v>15</v>
      </c>
    </row>
    <row r="4698" spans="1:12" x14ac:dyDescent="0.25">
      <c r="A4698" t="str">
        <f>"485906161"</f>
        <v>485906161</v>
      </c>
      <c r="B4698" t="str">
        <f t="shared" si="261"/>
        <v>89301000</v>
      </c>
      <c r="C4698" s="1">
        <v>44320</v>
      </c>
      <c r="D4698" s="1">
        <v>44325</v>
      </c>
      <c r="E4698">
        <v>1</v>
      </c>
      <c r="F4698" t="s">
        <v>335</v>
      </c>
      <c r="G4698" t="str">
        <f>"07-I10-03"</f>
        <v>07-I10-03</v>
      </c>
      <c r="H4698">
        <v>2.21</v>
      </c>
      <c r="I4698" t="s">
        <v>3445</v>
      </c>
      <c r="J4698" t="s">
        <v>17</v>
      </c>
      <c r="K4698" t="str">
        <f>"5F1"</f>
        <v>5F1</v>
      </c>
      <c r="L4698" t="s">
        <v>15</v>
      </c>
    </row>
    <row r="4699" spans="1:12" x14ac:dyDescent="0.25">
      <c r="A4699" t="str">
        <f>"485906161"</f>
        <v>485906161</v>
      </c>
      <c r="B4699" t="str">
        <f t="shared" si="261"/>
        <v>89301000</v>
      </c>
      <c r="C4699" s="1">
        <v>44287</v>
      </c>
      <c r="D4699" s="1">
        <v>44292</v>
      </c>
      <c r="E4699">
        <v>1</v>
      </c>
      <c r="F4699" t="s">
        <v>1690</v>
      </c>
      <c r="G4699" t="str">
        <f>"07-K05-02"</f>
        <v>07-K05-02</v>
      </c>
      <c r="H4699">
        <v>0.60189999999999999</v>
      </c>
      <c r="I4699" t="s">
        <v>2361</v>
      </c>
      <c r="J4699" t="s">
        <v>14</v>
      </c>
      <c r="K4699" t="str">
        <f>"1F1"</f>
        <v>1F1</v>
      </c>
      <c r="L4699" t="s">
        <v>15</v>
      </c>
    </row>
    <row r="4700" spans="1:12" x14ac:dyDescent="0.25">
      <c r="A4700" t="str">
        <f>"485915141"</f>
        <v>485915141</v>
      </c>
      <c r="B4700" t="str">
        <f t="shared" si="261"/>
        <v>89301000</v>
      </c>
      <c r="C4700" s="1">
        <v>44197</v>
      </c>
      <c r="D4700" s="1">
        <v>44200</v>
      </c>
      <c r="E4700">
        <v>1</v>
      </c>
      <c r="F4700" t="s">
        <v>2365</v>
      </c>
      <c r="G4700" t="str">
        <f>"05-D01-08"</f>
        <v>05-D01-08</v>
      </c>
      <c r="H4700">
        <v>0.4093</v>
      </c>
      <c r="I4700" t="s">
        <v>3446</v>
      </c>
      <c r="J4700" t="s">
        <v>14</v>
      </c>
      <c r="K4700" t="str">
        <f>"1F1"</f>
        <v>1F1</v>
      </c>
      <c r="L4700" t="s">
        <v>15</v>
      </c>
    </row>
    <row r="4701" spans="1:12" x14ac:dyDescent="0.25">
      <c r="A4701" t="str">
        <f>"485918149"</f>
        <v>485918149</v>
      </c>
      <c r="B4701" t="str">
        <f t="shared" si="261"/>
        <v>89301000</v>
      </c>
      <c r="C4701" s="1">
        <v>44369</v>
      </c>
      <c r="D4701" s="1">
        <v>44370</v>
      </c>
      <c r="E4701">
        <v>1</v>
      </c>
      <c r="F4701" t="s">
        <v>1950</v>
      </c>
      <c r="G4701" t="str">
        <f>"02-I13-02"</f>
        <v>02-I13-02</v>
      </c>
      <c r="H4701">
        <v>0.376</v>
      </c>
      <c r="I4701" t="s">
        <v>3447</v>
      </c>
      <c r="J4701" t="s">
        <v>14</v>
      </c>
      <c r="K4701" t="str">
        <f>"7F5"</f>
        <v>7F5</v>
      </c>
      <c r="L4701" t="s">
        <v>15</v>
      </c>
    </row>
    <row r="4702" spans="1:12" x14ac:dyDescent="0.25">
      <c r="A4702" t="str">
        <f>"485918149"</f>
        <v>485918149</v>
      </c>
      <c r="B4702" t="str">
        <f t="shared" si="261"/>
        <v>89301000</v>
      </c>
      <c r="C4702" s="1">
        <v>44305</v>
      </c>
      <c r="D4702" s="1">
        <v>44312</v>
      </c>
      <c r="E4702">
        <v>1</v>
      </c>
      <c r="F4702" t="s">
        <v>217</v>
      </c>
      <c r="G4702" t="str">
        <f>"04-K02-03"</f>
        <v>04-K02-03</v>
      </c>
      <c r="H4702">
        <v>1.2859</v>
      </c>
      <c r="I4702" t="s">
        <v>3448</v>
      </c>
      <c r="J4702" t="s">
        <v>14</v>
      </c>
      <c r="K4702" t="str">
        <f>"1F1"</f>
        <v>1F1</v>
      </c>
      <c r="L4702" t="s">
        <v>15</v>
      </c>
    </row>
    <row r="4703" spans="1:12" x14ac:dyDescent="0.25">
      <c r="A4703" t="str">
        <f>"485918149"</f>
        <v>485918149</v>
      </c>
      <c r="B4703" t="str">
        <f t="shared" si="261"/>
        <v>89301000</v>
      </c>
      <c r="C4703" s="1">
        <v>44354</v>
      </c>
      <c r="D4703" s="1">
        <v>44356</v>
      </c>
      <c r="E4703">
        <v>1</v>
      </c>
      <c r="F4703" t="s">
        <v>144</v>
      </c>
      <c r="G4703" t="str">
        <f>"04-K10-02"</f>
        <v>04-K10-02</v>
      </c>
      <c r="H4703">
        <v>0.38879999999999998</v>
      </c>
      <c r="I4703" t="s">
        <v>3399</v>
      </c>
      <c r="J4703" t="s">
        <v>14</v>
      </c>
      <c r="K4703" t="str">
        <f>"2F5"</f>
        <v>2F5</v>
      </c>
      <c r="L4703" t="s">
        <v>15</v>
      </c>
    </row>
    <row r="4704" spans="1:12" x14ac:dyDescent="0.25">
      <c r="A4704" t="str">
        <f>"485922179"</f>
        <v>485922179</v>
      </c>
      <c r="B4704" t="str">
        <f t="shared" si="261"/>
        <v>89301000</v>
      </c>
      <c r="C4704" s="1">
        <v>44313</v>
      </c>
      <c r="D4704" s="1">
        <v>44316</v>
      </c>
      <c r="E4704">
        <v>1</v>
      </c>
      <c r="F4704" t="s">
        <v>67</v>
      </c>
      <c r="G4704" t="str">
        <f>"01-C02-02"</f>
        <v>01-C02-02</v>
      </c>
      <c r="H4704">
        <v>1.4877</v>
      </c>
      <c r="I4704" t="s">
        <v>348</v>
      </c>
      <c r="J4704" t="s">
        <v>14</v>
      </c>
      <c r="K4704" t="str">
        <f>"2F9"</f>
        <v>2F9</v>
      </c>
      <c r="L4704" t="s">
        <v>15</v>
      </c>
    </row>
    <row r="4705" spans="1:12" x14ac:dyDescent="0.25">
      <c r="A4705" t="str">
        <f>"485926257"</f>
        <v>485926257</v>
      </c>
      <c r="B4705" t="str">
        <f t="shared" si="261"/>
        <v>89301000</v>
      </c>
      <c r="C4705" s="1">
        <v>44284</v>
      </c>
      <c r="D4705" s="1">
        <v>44288</v>
      </c>
      <c r="E4705">
        <v>1</v>
      </c>
      <c r="F4705" t="s">
        <v>2574</v>
      </c>
      <c r="G4705" t="str">
        <f>"01-I03-01"</f>
        <v>01-I03-01</v>
      </c>
      <c r="H4705">
        <v>8.6672999999999991</v>
      </c>
      <c r="I4705" t="s">
        <v>1586</v>
      </c>
      <c r="J4705" t="s">
        <v>24</v>
      </c>
      <c r="K4705" t="str">
        <f>"5F6"</f>
        <v>5F6</v>
      </c>
      <c r="L4705" t="s">
        <v>15</v>
      </c>
    </row>
    <row r="4706" spans="1:12" x14ac:dyDescent="0.25">
      <c r="A4706" t="str">
        <f>"485926257"</f>
        <v>485926257</v>
      </c>
      <c r="B4706" t="str">
        <f t="shared" si="261"/>
        <v>89301000</v>
      </c>
      <c r="C4706" s="1">
        <v>44490</v>
      </c>
      <c r="D4706" s="1">
        <v>44492</v>
      </c>
      <c r="E4706">
        <v>1</v>
      </c>
      <c r="F4706" t="s">
        <v>2574</v>
      </c>
      <c r="G4706" t="str">
        <f>"01-K18-04"</f>
        <v>01-K18-04</v>
      </c>
      <c r="H4706">
        <v>9.1542999999999992</v>
      </c>
      <c r="I4706" t="s">
        <v>1586</v>
      </c>
      <c r="J4706" t="s">
        <v>14</v>
      </c>
      <c r="K4706" t="str">
        <f>"5F6"</f>
        <v>5F6</v>
      </c>
      <c r="L4706" t="s">
        <v>15</v>
      </c>
    </row>
    <row r="4707" spans="1:12" x14ac:dyDescent="0.25">
      <c r="A4707" t="str">
        <f>"485926257"</f>
        <v>485926257</v>
      </c>
      <c r="B4707" t="str">
        <f t="shared" si="261"/>
        <v>89301000</v>
      </c>
      <c r="C4707" s="1">
        <v>44531</v>
      </c>
      <c r="D4707" s="1">
        <v>44533</v>
      </c>
      <c r="E4707">
        <v>1</v>
      </c>
      <c r="F4707" t="s">
        <v>2574</v>
      </c>
      <c r="G4707" t="str">
        <f>"01-I03-03"</f>
        <v>01-I03-03</v>
      </c>
      <c r="H4707">
        <v>2.1598000000000002</v>
      </c>
      <c r="J4707" t="s">
        <v>24</v>
      </c>
      <c r="K4707" t="str">
        <f>"5F6"</f>
        <v>5F6</v>
      </c>
      <c r="L4707" t="s">
        <v>15</v>
      </c>
    </row>
    <row r="4708" spans="1:12" x14ac:dyDescent="0.25">
      <c r="A4708" t="str">
        <f>"485930084"</f>
        <v>485930084</v>
      </c>
      <c r="B4708" t="str">
        <f t="shared" si="261"/>
        <v>89301000</v>
      </c>
      <c r="C4708" s="1">
        <v>44370</v>
      </c>
      <c r="D4708" s="1">
        <v>44371</v>
      </c>
      <c r="E4708">
        <v>1</v>
      </c>
      <c r="F4708" t="s">
        <v>3212</v>
      </c>
      <c r="G4708" t="str">
        <f>"02-I13-02"</f>
        <v>02-I13-02</v>
      </c>
      <c r="H4708">
        <v>0.376</v>
      </c>
      <c r="I4708" t="s">
        <v>348</v>
      </c>
      <c r="J4708" t="s">
        <v>14</v>
      </c>
      <c r="K4708" t="str">
        <f>"7F5"</f>
        <v>7F5</v>
      </c>
      <c r="L4708" t="s">
        <v>15</v>
      </c>
    </row>
    <row r="4709" spans="1:12" x14ac:dyDescent="0.25">
      <c r="A4709" t="str">
        <f>"486007402"</f>
        <v>486007402</v>
      </c>
      <c r="B4709" t="str">
        <f t="shared" si="261"/>
        <v>89301000</v>
      </c>
      <c r="C4709" s="1">
        <v>44447</v>
      </c>
      <c r="D4709" s="1">
        <v>44449</v>
      </c>
      <c r="E4709">
        <v>1</v>
      </c>
      <c r="F4709" t="s">
        <v>1842</v>
      </c>
      <c r="G4709" t="str">
        <f>"05-I14-04"</f>
        <v>05-I14-04</v>
      </c>
      <c r="H4709">
        <v>5.4002999999999997</v>
      </c>
      <c r="J4709" t="s">
        <v>14</v>
      </c>
      <c r="K4709" t="str">
        <f>"1F7"</f>
        <v>1F7</v>
      </c>
      <c r="L4709" t="s">
        <v>15</v>
      </c>
    </row>
    <row r="4710" spans="1:12" x14ac:dyDescent="0.25">
      <c r="A4710" t="str">
        <f>"486009405"</f>
        <v>486009405</v>
      </c>
      <c r="B4710" t="str">
        <f t="shared" si="261"/>
        <v>89301000</v>
      </c>
      <c r="C4710" s="1">
        <v>44505</v>
      </c>
      <c r="D4710" s="1">
        <v>44505</v>
      </c>
      <c r="E4710">
        <v>1</v>
      </c>
      <c r="F4710" t="s">
        <v>320</v>
      </c>
      <c r="G4710" t="str">
        <f>"03-I23-00"</f>
        <v>03-I23-00</v>
      </c>
      <c r="H4710">
        <v>0.2389</v>
      </c>
      <c r="J4710" t="s">
        <v>14</v>
      </c>
      <c r="K4710" t="str">
        <f>"6F5"</f>
        <v>6F5</v>
      </c>
      <c r="L4710" t="s">
        <v>15</v>
      </c>
    </row>
    <row r="4711" spans="1:12" x14ac:dyDescent="0.25">
      <c r="A4711" t="str">
        <f>"486012420"</f>
        <v>486012420</v>
      </c>
      <c r="B4711" t="str">
        <f t="shared" si="261"/>
        <v>89301000</v>
      </c>
      <c r="C4711" s="1">
        <v>44431</v>
      </c>
      <c r="D4711" s="1">
        <v>44432</v>
      </c>
      <c r="E4711">
        <v>1</v>
      </c>
      <c r="F4711" t="s">
        <v>41</v>
      </c>
      <c r="G4711" t="str">
        <f>"01-D01-03"</f>
        <v>01-D01-03</v>
      </c>
      <c r="H4711">
        <v>0.158</v>
      </c>
      <c r="I4711" t="s">
        <v>3449</v>
      </c>
      <c r="J4711" t="s">
        <v>14</v>
      </c>
      <c r="K4711" t="str">
        <f>"2F5"</f>
        <v>2F5</v>
      </c>
      <c r="L4711" t="s">
        <v>15</v>
      </c>
    </row>
    <row r="4712" spans="1:12" x14ac:dyDescent="0.25">
      <c r="A4712" t="str">
        <f>"486012420"</f>
        <v>486012420</v>
      </c>
      <c r="B4712" t="str">
        <f t="shared" si="261"/>
        <v>89301000</v>
      </c>
      <c r="C4712" s="1">
        <v>44505</v>
      </c>
      <c r="D4712" s="1">
        <v>44508</v>
      </c>
      <c r="E4712">
        <v>1</v>
      </c>
      <c r="F4712" t="s">
        <v>41</v>
      </c>
      <c r="G4712" t="str">
        <f>"01-D01-03"</f>
        <v>01-D01-03</v>
      </c>
      <c r="H4712">
        <v>0.2054</v>
      </c>
      <c r="I4712" t="s">
        <v>3450</v>
      </c>
      <c r="J4712" t="s">
        <v>14</v>
      </c>
      <c r="K4712" t="str">
        <f>"2F5"</f>
        <v>2F5</v>
      </c>
      <c r="L4712" t="s">
        <v>15</v>
      </c>
    </row>
    <row r="4713" spans="1:12" x14ac:dyDescent="0.25">
      <c r="A4713" t="str">
        <f>"486015401"</f>
        <v>486015401</v>
      </c>
      <c r="B4713" t="str">
        <f t="shared" si="261"/>
        <v>89301000</v>
      </c>
      <c r="C4713" s="1">
        <v>44209</v>
      </c>
      <c r="D4713" s="1">
        <v>44225</v>
      </c>
      <c r="E4713">
        <v>1</v>
      </c>
      <c r="F4713" t="s">
        <v>1683</v>
      </c>
      <c r="G4713" t="str">
        <f>"05-M06-06"</f>
        <v>05-M06-06</v>
      </c>
      <c r="H4713">
        <v>4.0488</v>
      </c>
      <c r="I4713" t="s">
        <v>3451</v>
      </c>
      <c r="J4713" t="s">
        <v>17</v>
      </c>
      <c r="K4713" t="str">
        <f>"5F5"</f>
        <v>5F5</v>
      </c>
      <c r="L4713" t="s">
        <v>15</v>
      </c>
    </row>
    <row r="4714" spans="1:12" x14ac:dyDescent="0.25">
      <c r="A4714" t="str">
        <f>"486017407"</f>
        <v>486017407</v>
      </c>
      <c r="B4714" t="str">
        <f t="shared" si="261"/>
        <v>89301000</v>
      </c>
      <c r="C4714" s="1">
        <v>44237</v>
      </c>
      <c r="D4714" s="1">
        <v>44244</v>
      </c>
      <c r="E4714">
        <v>1</v>
      </c>
      <c r="F4714" t="s">
        <v>3452</v>
      </c>
      <c r="G4714" t="str">
        <f>"04-K08-04"</f>
        <v>04-K08-04</v>
      </c>
      <c r="H4714">
        <v>0.92730000000000001</v>
      </c>
      <c r="I4714" t="s">
        <v>3453</v>
      </c>
      <c r="J4714" t="s">
        <v>14</v>
      </c>
      <c r="K4714" t="str">
        <f>"2F5"</f>
        <v>2F5</v>
      </c>
      <c r="L4714" t="s">
        <v>15</v>
      </c>
    </row>
    <row r="4715" spans="1:12" x14ac:dyDescent="0.25">
      <c r="A4715" t="str">
        <f>"486026405"</f>
        <v>486026405</v>
      </c>
      <c r="B4715" t="str">
        <f t="shared" si="261"/>
        <v>89301000</v>
      </c>
      <c r="C4715" s="1">
        <v>44375</v>
      </c>
      <c r="D4715" s="1">
        <v>44381</v>
      </c>
      <c r="E4715">
        <v>1</v>
      </c>
      <c r="F4715" t="s">
        <v>1555</v>
      </c>
      <c r="G4715" t="str">
        <f>"05-K12-02"</f>
        <v>05-K12-02</v>
      </c>
      <c r="H4715">
        <v>0.53600000000000003</v>
      </c>
      <c r="J4715" t="s">
        <v>14</v>
      </c>
      <c r="K4715" t="str">
        <f>"5F1"</f>
        <v>5F1</v>
      </c>
      <c r="L4715" t="s">
        <v>15</v>
      </c>
    </row>
    <row r="4716" spans="1:12" x14ac:dyDescent="0.25">
      <c r="A4716" t="str">
        <f>"486101077"</f>
        <v>486101077</v>
      </c>
      <c r="B4716" t="str">
        <f t="shared" si="261"/>
        <v>89301000</v>
      </c>
      <c r="C4716" s="1">
        <v>44225</v>
      </c>
      <c r="D4716" s="1">
        <v>44230</v>
      </c>
      <c r="E4716">
        <v>4</v>
      </c>
      <c r="F4716" t="s">
        <v>3454</v>
      </c>
      <c r="G4716" t="str">
        <f>"08-K02-02"</f>
        <v>08-K02-02</v>
      </c>
      <c r="H4716">
        <v>1.2081999999999999</v>
      </c>
      <c r="I4716" t="s">
        <v>3455</v>
      </c>
      <c r="J4716" t="s">
        <v>14</v>
      </c>
      <c r="K4716" t="str">
        <f>"1F9"</f>
        <v>1F9</v>
      </c>
      <c r="L4716" t="s">
        <v>15</v>
      </c>
    </row>
    <row r="4717" spans="1:12" x14ac:dyDescent="0.25">
      <c r="A4717" t="str">
        <f>"486112119"</f>
        <v>486112119</v>
      </c>
      <c r="B4717" t="str">
        <f t="shared" si="261"/>
        <v>89301000</v>
      </c>
      <c r="C4717" s="1">
        <v>44370</v>
      </c>
      <c r="D4717" s="1">
        <v>44374</v>
      </c>
      <c r="E4717">
        <v>1</v>
      </c>
      <c r="F4717" t="s">
        <v>178</v>
      </c>
      <c r="G4717" t="str">
        <f>"11-M01-02"</f>
        <v>11-M01-02</v>
      </c>
      <c r="H4717">
        <v>1.2881</v>
      </c>
      <c r="I4717" t="s">
        <v>3456</v>
      </c>
      <c r="J4717" t="s">
        <v>17</v>
      </c>
      <c r="K4717" t="str">
        <f>"7F6"</f>
        <v>7F6</v>
      </c>
      <c r="L4717" t="s">
        <v>15</v>
      </c>
    </row>
    <row r="4718" spans="1:12" x14ac:dyDescent="0.25">
      <c r="A4718" t="str">
        <f>"486112119"</f>
        <v>486112119</v>
      </c>
      <c r="B4718" t="str">
        <f t="shared" si="261"/>
        <v>89301000</v>
      </c>
      <c r="C4718" s="1">
        <v>44402</v>
      </c>
      <c r="D4718" s="1">
        <v>44407</v>
      </c>
      <c r="E4718">
        <v>1</v>
      </c>
      <c r="F4718" t="s">
        <v>3457</v>
      </c>
      <c r="G4718" t="str">
        <f>"01-K07-02"</f>
        <v>01-K07-02</v>
      </c>
      <c r="H4718">
        <v>0.59279999999999999</v>
      </c>
      <c r="I4718" t="s">
        <v>2202</v>
      </c>
      <c r="J4718" t="s">
        <v>14</v>
      </c>
      <c r="K4718" t="str">
        <f>"2F9"</f>
        <v>2F9</v>
      </c>
      <c r="L4718" t="s">
        <v>15</v>
      </c>
    </row>
    <row r="4719" spans="1:12" x14ac:dyDescent="0.25">
      <c r="A4719" t="str">
        <f>"486117419"</f>
        <v>486117419</v>
      </c>
      <c r="B4719" t="str">
        <f t="shared" si="261"/>
        <v>89301000</v>
      </c>
      <c r="C4719" s="1">
        <v>44214</v>
      </c>
      <c r="D4719" s="1">
        <v>44217</v>
      </c>
      <c r="E4719">
        <v>1</v>
      </c>
      <c r="F4719" t="s">
        <v>41</v>
      </c>
      <c r="G4719" t="str">
        <f>"01-D01-03"</f>
        <v>01-D01-03</v>
      </c>
      <c r="H4719">
        <v>0.2054</v>
      </c>
      <c r="I4719" t="s">
        <v>3458</v>
      </c>
      <c r="J4719" t="s">
        <v>14</v>
      </c>
      <c r="K4719" t="str">
        <f>"2F5"</f>
        <v>2F5</v>
      </c>
      <c r="L4719" t="s">
        <v>15</v>
      </c>
    </row>
    <row r="4720" spans="1:12" x14ac:dyDescent="0.25">
      <c r="A4720" t="str">
        <f>"486118124"</f>
        <v>486118124</v>
      </c>
      <c r="B4720" t="str">
        <f t="shared" si="261"/>
        <v>89301000</v>
      </c>
      <c r="C4720" s="1">
        <v>44203</v>
      </c>
      <c r="D4720" s="1">
        <v>44211</v>
      </c>
      <c r="E4720">
        <v>1</v>
      </c>
      <c r="F4720" t="s">
        <v>2902</v>
      </c>
      <c r="G4720" t="str">
        <f>"07-K04-03"</f>
        <v>07-K04-03</v>
      </c>
      <c r="H4720">
        <v>1.212</v>
      </c>
      <c r="I4720" t="s">
        <v>3459</v>
      </c>
      <c r="J4720" t="s">
        <v>14</v>
      </c>
      <c r="K4720" t="str">
        <f>"1F5"</f>
        <v>1F5</v>
      </c>
      <c r="L4720" t="s">
        <v>15</v>
      </c>
    </row>
    <row r="4721" spans="1:12" x14ac:dyDescent="0.25">
      <c r="A4721" t="str">
        <f>"486125143"</f>
        <v>486125143</v>
      </c>
      <c r="B4721" t="str">
        <f t="shared" si="261"/>
        <v>89301000</v>
      </c>
      <c r="C4721" s="1">
        <v>44394</v>
      </c>
      <c r="D4721" s="1">
        <v>44397</v>
      </c>
      <c r="E4721">
        <v>1</v>
      </c>
      <c r="F4721" t="s">
        <v>1683</v>
      </c>
      <c r="G4721" t="str">
        <f>"05-M06-06"</f>
        <v>05-M06-06</v>
      </c>
      <c r="H4721">
        <v>1.7652000000000001</v>
      </c>
      <c r="I4721" t="s">
        <v>1606</v>
      </c>
      <c r="J4721" t="s">
        <v>17</v>
      </c>
      <c r="K4721" t="str">
        <f>"1T1"</f>
        <v>1T1</v>
      </c>
      <c r="L4721" t="s">
        <v>15</v>
      </c>
    </row>
    <row r="4722" spans="1:12" x14ac:dyDescent="0.25">
      <c r="A4722" t="str">
        <f>"486125143"</f>
        <v>486125143</v>
      </c>
      <c r="B4722" t="str">
        <f t="shared" si="261"/>
        <v>89301000</v>
      </c>
      <c r="C4722" s="1">
        <v>44438</v>
      </c>
      <c r="D4722" s="1">
        <v>44440</v>
      </c>
      <c r="E4722">
        <v>1</v>
      </c>
      <c r="F4722" t="s">
        <v>1557</v>
      </c>
      <c r="G4722" t="str">
        <f>"05-M06-04"</f>
        <v>05-M06-04</v>
      </c>
      <c r="H4722">
        <v>2.1958000000000002</v>
      </c>
      <c r="I4722" t="s">
        <v>3460</v>
      </c>
      <c r="J4722" t="s">
        <v>17</v>
      </c>
      <c r="K4722" t="str">
        <f>"1F1"</f>
        <v>1F1</v>
      </c>
      <c r="L4722" t="s">
        <v>15</v>
      </c>
    </row>
    <row r="4723" spans="1:12" x14ac:dyDescent="0.25">
      <c r="A4723" t="str">
        <f>"486125428"</f>
        <v>486125428</v>
      </c>
      <c r="B4723" t="str">
        <f t="shared" si="261"/>
        <v>89301000</v>
      </c>
      <c r="C4723" s="1">
        <v>44322</v>
      </c>
      <c r="D4723" s="1">
        <v>44344</v>
      </c>
      <c r="E4723">
        <v>1</v>
      </c>
      <c r="F4723" t="s">
        <v>2497</v>
      </c>
      <c r="G4723" t="str">
        <f>"13-I04-04"</f>
        <v>13-I04-04</v>
      </c>
      <c r="H4723">
        <v>3.5798999999999999</v>
      </c>
      <c r="I4723" t="s">
        <v>3461</v>
      </c>
      <c r="J4723" t="s">
        <v>106</v>
      </c>
      <c r="K4723" t="str">
        <f>"6F3"</f>
        <v>6F3</v>
      </c>
      <c r="L4723" t="s">
        <v>15</v>
      </c>
    </row>
    <row r="4724" spans="1:12" x14ac:dyDescent="0.25">
      <c r="A4724" t="str">
        <f>"486126201"</f>
        <v>486126201</v>
      </c>
      <c r="B4724" t="str">
        <f t="shared" si="261"/>
        <v>89301000</v>
      </c>
      <c r="C4724" s="1">
        <v>44391</v>
      </c>
      <c r="D4724" s="1">
        <v>44399</v>
      </c>
      <c r="E4724">
        <v>4</v>
      </c>
      <c r="F4724" t="s">
        <v>2407</v>
      </c>
      <c r="G4724" t="str">
        <f>"08-I06-04"</f>
        <v>08-I06-04</v>
      </c>
      <c r="H4724">
        <v>2.4260000000000002</v>
      </c>
      <c r="I4724" t="s">
        <v>3246</v>
      </c>
      <c r="J4724" t="s">
        <v>24</v>
      </c>
      <c r="K4724" t="str">
        <f>"6F6"</f>
        <v>6F6</v>
      </c>
      <c r="L4724" t="s">
        <v>15</v>
      </c>
    </row>
    <row r="4725" spans="1:12" x14ac:dyDescent="0.25">
      <c r="A4725" t="str">
        <f>"486127426"</f>
        <v>486127426</v>
      </c>
      <c r="B4725" t="str">
        <f t="shared" si="261"/>
        <v>89301000</v>
      </c>
      <c r="C4725" s="1">
        <v>44242</v>
      </c>
      <c r="D4725" s="1">
        <v>44247</v>
      </c>
      <c r="E4725">
        <v>1</v>
      </c>
      <c r="F4725" t="s">
        <v>3462</v>
      </c>
      <c r="G4725" t="str">
        <f>"06-I17-02"</f>
        <v>06-I17-02</v>
      </c>
      <c r="H4725">
        <v>0.97919999999999996</v>
      </c>
      <c r="I4725" t="s">
        <v>1868</v>
      </c>
      <c r="J4725" t="s">
        <v>17</v>
      </c>
      <c r="K4725" t="str">
        <f>"5F1"</f>
        <v>5F1</v>
      </c>
      <c r="L4725" t="s">
        <v>15</v>
      </c>
    </row>
    <row r="4726" spans="1:12" x14ac:dyDescent="0.25">
      <c r="A4726" t="str">
        <f>"486127426"</f>
        <v>486127426</v>
      </c>
      <c r="B4726" t="str">
        <f t="shared" si="261"/>
        <v>89301000</v>
      </c>
      <c r="C4726" s="1">
        <v>44231</v>
      </c>
      <c r="D4726" s="1">
        <v>44233</v>
      </c>
      <c r="E4726">
        <v>1</v>
      </c>
      <c r="F4726" t="s">
        <v>3462</v>
      </c>
      <c r="G4726" t="str">
        <f>"06-K09-02"</f>
        <v>06-K09-02</v>
      </c>
      <c r="H4726">
        <v>0.35549999999999998</v>
      </c>
      <c r="J4726" t="s">
        <v>14</v>
      </c>
      <c r="K4726" t="str">
        <f>"5F1"</f>
        <v>5F1</v>
      </c>
      <c r="L4726" t="s">
        <v>15</v>
      </c>
    </row>
    <row r="4727" spans="1:12" x14ac:dyDescent="0.25">
      <c r="A4727" t="str">
        <f>"486127428"</f>
        <v>486127428</v>
      </c>
      <c r="B4727" t="str">
        <f t="shared" si="261"/>
        <v>89301000</v>
      </c>
      <c r="C4727" s="1">
        <v>44526</v>
      </c>
      <c r="D4727" s="1">
        <v>44528</v>
      </c>
      <c r="E4727">
        <v>5</v>
      </c>
      <c r="F4727" t="s">
        <v>1894</v>
      </c>
      <c r="G4727" t="str">
        <f>"01-I08-03"</f>
        <v>01-I08-03</v>
      </c>
      <c r="H4727">
        <v>2.8306</v>
      </c>
      <c r="I4727" t="s">
        <v>3463</v>
      </c>
      <c r="J4727" t="s">
        <v>17</v>
      </c>
      <c r="K4727" t="str">
        <f>"5T6"</f>
        <v>5T6</v>
      </c>
      <c r="L4727" t="s">
        <v>15</v>
      </c>
    </row>
    <row r="4728" spans="1:12" x14ac:dyDescent="0.25">
      <c r="A4728" t="str">
        <f>"486128131"</f>
        <v>486128131</v>
      </c>
      <c r="B4728" t="str">
        <f t="shared" si="261"/>
        <v>89301000</v>
      </c>
      <c r="C4728" s="1">
        <v>44495</v>
      </c>
      <c r="D4728" s="1">
        <v>44496</v>
      </c>
      <c r="E4728">
        <v>1</v>
      </c>
      <c r="F4728" t="s">
        <v>240</v>
      </c>
      <c r="G4728" t="str">
        <f>"03-K13-02"</f>
        <v>03-K13-02</v>
      </c>
      <c r="H4728">
        <v>0.2555</v>
      </c>
      <c r="I4728" t="s">
        <v>3464</v>
      </c>
      <c r="J4728" t="s">
        <v>14</v>
      </c>
      <c r="K4728" t="str">
        <f>"2F5"</f>
        <v>2F5</v>
      </c>
      <c r="L4728" t="s">
        <v>15</v>
      </c>
    </row>
    <row r="4729" spans="1:12" x14ac:dyDescent="0.25">
      <c r="A4729" t="str">
        <f>"486128131"</f>
        <v>486128131</v>
      </c>
      <c r="B4729" t="str">
        <f t="shared" si="261"/>
        <v>89301000</v>
      </c>
      <c r="C4729" s="1">
        <v>44477</v>
      </c>
      <c r="D4729" s="1">
        <v>44483</v>
      </c>
      <c r="E4729">
        <v>1</v>
      </c>
      <c r="F4729" t="s">
        <v>241</v>
      </c>
      <c r="G4729" t="str">
        <f>"04-K04-02"</f>
        <v>04-K04-02</v>
      </c>
      <c r="H4729">
        <v>0.50470000000000004</v>
      </c>
      <c r="I4729" t="s">
        <v>3465</v>
      </c>
      <c r="J4729" t="s">
        <v>14</v>
      </c>
      <c r="K4729" t="str">
        <f>"2F5"</f>
        <v>2F5</v>
      </c>
      <c r="L4729" t="s">
        <v>15</v>
      </c>
    </row>
    <row r="4730" spans="1:12" x14ac:dyDescent="0.25">
      <c r="A4730" t="str">
        <f>"486128246"</f>
        <v>486128246</v>
      </c>
      <c r="B4730" t="str">
        <f t="shared" si="261"/>
        <v>89301000</v>
      </c>
      <c r="C4730" s="1">
        <v>44244</v>
      </c>
      <c r="D4730" s="1">
        <v>44252</v>
      </c>
      <c r="E4730">
        <v>1</v>
      </c>
      <c r="F4730" t="s">
        <v>2910</v>
      </c>
      <c r="G4730" t="str">
        <f>"06-I07-05"</f>
        <v>06-I07-05</v>
      </c>
      <c r="H4730">
        <v>2.8466999999999998</v>
      </c>
      <c r="J4730" t="s">
        <v>17</v>
      </c>
      <c r="K4730" t="str">
        <f>"5F1"</f>
        <v>5F1</v>
      </c>
      <c r="L4730" t="s">
        <v>15</v>
      </c>
    </row>
    <row r="4731" spans="1:12" x14ac:dyDescent="0.25">
      <c r="A4731" t="str">
        <f>"486128246"</f>
        <v>486128246</v>
      </c>
      <c r="B4731" t="str">
        <f t="shared" si="261"/>
        <v>89301000</v>
      </c>
      <c r="C4731" s="1">
        <v>44339</v>
      </c>
      <c r="D4731" s="1">
        <v>44351</v>
      </c>
      <c r="E4731">
        <v>1</v>
      </c>
      <c r="F4731" t="s">
        <v>2648</v>
      </c>
      <c r="G4731" t="str">
        <f>"06-I12-03"</f>
        <v>06-I12-03</v>
      </c>
      <c r="H4731">
        <v>1.8894</v>
      </c>
      <c r="I4731" t="s">
        <v>3466</v>
      </c>
      <c r="J4731" t="s">
        <v>14</v>
      </c>
      <c r="K4731" t="str">
        <f>"5F1"</f>
        <v>5F1</v>
      </c>
      <c r="L4731" t="s">
        <v>15</v>
      </c>
    </row>
    <row r="4732" spans="1:12" x14ac:dyDescent="0.25">
      <c r="A4732" t="str">
        <f>"486128249"</f>
        <v>486128249</v>
      </c>
      <c r="B4732" t="str">
        <f t="shared" si="261"/>
        <v>89301000</v>
      </c>
      <c r="C4732" s="1">
        <v>44419</v>
      </c>
      <c r="D4732" s="1">
        <v>44425</v>
      </c>
      <c r="E4732">
        <v>1</v>
      </c>
      <c r="F4732" t="s">
        <v>2497</v>
      </c>
      <c r="G4732" t="str">
        <f>"13-I04-01"</f>
        <v>13-I04-01</v>
      </c>
      <c r="H4732">
        <v>2.6413000000000002</v>
      </c>
      <c r="J4732" t="s">
        <v>14</v>
      </c>
      <c r="K4732" t="str">
        <f>"6F3"</f>
        <v>6F3</v>
      </c>
      <c r="L4732" t="s">
        <v>15</v>
      </c>
    </row>
    <row r="4733" spans="1:12" x14ac:dyDescent="0.25">
      <c r="A4733" t="str">
        <f>"486128249"</f>
        <v>486128249</v>
      </c>
      <c r="B4733" t="str">
        <f t="shared" si="261"/>
        <v>89301000</v>
      </c>
      <c r="C4733" s="1">
        <v>44364</v>
      </c>
      <c r="D4733" s="1">
        <v>44368</v>
      </c>
      <c r="E4733">
        <v>1</v>
      </c>
      <c r="F4733" t="s">
        <v>3467</v>
      </c>
      <c r="G4733" t="str">
        <f>"13-I14-03"</f>
        <v>13-I14-03</v>
      </c>
      <c r="H4733">
        <v>0.83199999999999996</v>
      </c>
      <c r="J4733" t="s">
        <v>24</v>
      </c>
      <c r="K4733" t="str">
        <f>"6F3"</f>
        <v>6F3</v>
      </c>
      <c r="L4733" t="s">
        <v>15</v>
      </c>
    </row>
    <row r="4734" spans="1:12" x14ac:dyDescent="0.25">
      <c r="A4734" t="str">
        <f>"486212092"</f>
        <v>486212092</v>
      </c>
      <c r="B4734" t="str">
        <f t="shared" si="261"/>
        <v>89301000</v>
      </c>
      <c r="C4734" s="1">
        <v>44301</v>
      </c>
      <c r="D4734" s="1">
        <v>44305</v>
      </c>
      <c r="E4734">
        <v>4</v>
      </c>
      <c r="F4734" t="s">
        <v>31</v>
      </c>
      <c r="G4734" t="str">
        <f>"08-I04-02"</f>
        <v>08-I04-02</v>
      </c>
      <c r="H4734">
        <v>1.6718999999999999</v>
      </c>
      <c r="I4734" t="s">
        <v>3468</v>
      </c>
      <c r="J4734" t="s">
        <v>17</v>
      </c>
      <c r="K4734" t="str">
        <f>"5F6"</f>
        <v>5F6</v>
      </c>
      <c r="L4734" t="s">
        <v>15</v>
      </c>
    </row>
    <row r="4735" spans="1:12" x14ac:dyDescent="0.25">
      <c r="A4735" t="str">
        <f>"486212401"</f>
        <v>486212401</v>
      </c>
      <c r="B4735" t="str">
        <f t="shared" si="261"/>
        <v>89301000</v>
      </c>
      <c r="C4735" s="1">
        <v>44419</v>
      </c>
      <c r="D4735" s="1">
        <v>44424</v>
      </c>
      <c r="E4735">
        <v>1</v>
      </c>
      <c r="F4735" t="s">
        <v>2637</v>
      </c>
      <c r="G4735" t="str">
        <f>"23-K05-01"</f>
        <v>23-K05-01</v>
      </c>
      <c r="H4735">
        <v>0.56999999999999995</v>
      </c>
      <c r="I4735" t="s">
        <v>2638</v>
      </c>
      <c r="J4735" t="s">
        <v>14</v>
      </c>
      <c r="K4735" t="str">
        <f>"4F7"</f>
        <v>4F7</v>
      </c>
      <c r="L4735" t="s">
        <v>15</v>
      </c>
    </row>
    <row r="4736" spans="1:12" x14ac:dyDescent="0.25">
      <c r="A4736" t="str">
        <f>"486212406"</f>
        <v>486212406</v>
      </c>
      <c r="B4736" t="str">
        <f t="shared" si="261"/>
        <v>89301000</v>
      </c>
      <c r="C4736" s="1">
        <v>44455</v>
      </c>
      <c r="D4736" s="1">
        <v>44462</v>
      </c>
      <c r="E4736">
        <v>4</v>
      </c>
      <c r="F4736" t="s">
        <v>2766</v>
      </c>
      <c r="G4736" t="str">
        <f>"08-I14-01"</f>
        <v>08-I14-01</v>
      </c>
      <c r="H4736">
        <v>3.8473000000000002</v>
      </c>
      <c r="I4736" t="s">
        <v>3469</v>
      </c>
      <c r="J4736" t="s">
        <v>17</v>
      </c>
      <c r="K4736" t="str">
        <f>"5F3"</f>
        <v>5F3</v>
      </c>
      <c r="L4736" t="s">
        <v>15</v>
      </c>
    </row>
    <row r="4737" spans="1:12" x14ac:dyDescent="0.25">
      <c r="A4737" t="str">
        <f>"486223070"</f>
        <v>486223070</v>
      </c>
      <c r="B4737" t="str">
        <f t="shared" si="261"/>
        <v>89301000</v>
      </c>
      <c r="C4737" s="1">
        <v>44465</v>
      </c>
      <c r="D4737" s="1">
        <v>44474</v>
      </c>
      <c r="E4737">
        <v>4</v>
      </c>
      <c r="F4737" t="s">
        <v>3470</v>
      </c>
      <c r="G4737" t="str">
        <f>"19-K02-03"</f>
        <v>19-K02-03</v>
      </c>
      <c r="H4737">
        <v>0.67269999999999996</v>
      </c>
      <c r="I4737" t="s">
        <v>3471</v>
      </c>
      <c r="J4737" t="s">
        <v>27</v>
      </c>
      <c r="K4737" t="str">
        <f>"2F9"</f>
        <v>2F9</v>
      </c>
      <c r="L4737" t="s">
        <v>15</v>
      </c>
    </row>
    <row r="4738" spans="1:12" x14ac:dyDescent="0.25">
      <c r="A4738" t="str">
        <f>"486223070"</f>
        <v>486223070</v>
      </c>
      <c r="B4738" t="str">
        <f t="shared" si="261"/>
        <v>89301000</v>
      </c>
      <c r="C4738" s="1">
        <v>44511</v>
      </c>
      <c r="D4738" s="1">
        <v>44542</v>
      </c>
      <c r="E4738">
        <v>8</v>
      </c>
      <c r="F4738" t="s">
        <v>67</v>
      </c>
      <c r="G4738" t="str">
        <f>"01-K10-01"</f>
        <v>01-K10-01</v>
      </c>
      <c r="H4738">
        <v>2.8119000000000001</v>
      </c>
      <c r="I4738" t="s">
        <v>3472</v>
      </c>
      <c r="J4738" t="s">
        <v>14</v>
      </c>
      <c r="K4738" t="str">
        <f>"1F6"</f>
        <v>1F6</v>
      </c>
      <c r="L4738" t="s">
        <v>15</v>
      </c>
    </row>
    <row r="4739" spans="1:12" x14ac:dyDescent="0.25">
      <c r="A4739" t="str">
        <f>"486223404"</f>
        <v>486223404</v>
      </c>
      <c r="B4739" t="str">
        <f t="shared" si="261"/>
        <v>89301000</v>
      </c>
      <c r="C4739" s="1">
        <v>44509</v>
      </c>
      <c r="D4739" s="1">
        <v>44518</v>
      </c>
      <c r="E4739">
        <v>4</v>
      </c>
      <c r="F4739" t="s">
        <v>3473</v>
      </c>
      <c r="G4739" t="str">
        <f>"08-I06-04"</f>
        <v>08-I06-04</v>
      </c>
      <c r="H4739">
        <v>2.4260000000000002</v>
      </c>
      <c r="I4739" t="s">
        <v>2361</v>
      </c>
      <c r="J4739" t="s">
        <v>24</v>
      </c>
      <c r="K4739" t="str">
        <f>"6F6"</f>
        <v>6F6</v>
      </c>
      <c r="L4739" t="s">
        <v>15</v>
      </c>
    </row>
    <row r="4740" spans="1:12" x14ac:dyDescent="0.25">
      <c r="A4740" t="str">
        <f>"486228134"</f>
        <v>486228134</v>
      </c>
      <c r="B4740" t="str">
        <f t="shared" si="261"/>
        <v>89301000</v>
      </c>
      <c r="C4740" s="1">
        <v>44291</v>
      </c>
      <c r="D4740" s="1">
        <v>44295</v>
      </c>
      <c r="E4740">
        <v>1</v>
      </c>
      <c r="F4740" t="s">
        <v>2350</v>
      </c>
      <c r="G4740" t="str">
        <f>"01-I09-02"</f>
        <v>01-I09-02</v>
      </c>
      <c r="H4740">
        <v>1.5302</v>
      </c>
      <c r="I4740" t="s">
        <v>3474</v>
      </c>
      <c r="J4740" t="s">
        <v>17</v>
      </c>
      <c r="K4740" t="str">
        <f>"5F6"</f>
        <v>5F6</v>
      </c>
      <c r="L4740" t="s">
        <v>15</v>
      </c>
    </row>
    <row r="4741" spans="1:12" x14ac:dyDescent="0.25">
      <c r="A4741" t="str">
        <f>"486229180"</f>
        <v>486229180</v>
      </c>
      <c r="B4741" t="str">
        <f t="shared" si="261"/>
        <v>89301000</v>
      </c>
      <c r="C4741" s="1">
        <v>44503</v>
      </c>
      <c r="D4741" s="1">
        <v>44505</v>
      </c>
      <c r="E4741">
        <v>1</v>
      </c>
      <c r="F4741" t="s">
        <v>2574</v>
      </c>
      <c r="G4741" t="str">
        <f>"01-I03-02"</f>
        <v>01-I03-02</v>
      </c>
      <c r="H4741">
        <v>8.6109000000000009</v>
      </c>
      <c r="I4741" t="s">
        <v>2411</v>
      </c>
      <c r="J4741" t="s">
        <v>24</v>
      </c>
      <c r="K4741" t="str">
        <f>"5F6"</f>
        <v>5F6</v>
      </c>
      <c r="L4741" t="s">
        <v>15</v>
      </c>
    </row>
    <row r="4742" spans="1:12" x14ac:dyDescent="0.25">
      <c r="A4742" t="str">
        <f>"486230163"</f>
        <v>486230163</v>
      </c>
      <c r="B4742" t="str">
        <f t="shared" si="261"/>
        <v>89301000</v>
      </c>
      <c r="C4742" s="1">
        <v>44241</v>
      </c>
      <c r="D4742" s="1">
        <v>44254</v>
      </c>
      <c r="E4742">
        <v>1</v>
      </c>
      <c r="F4742" t="s">
        <v>2752</v>
      </c>
      <c r="G4742" t="str">
        <f>"06-I07-05"</f>
        <v>06-I07-05</v>
      </c>
      <c r="H4742">
        <v>2.8466999999999998</v>
      </c>
      <c r="I4742" t="s">
        <v>3475</v>
      </c>
      <c r="J4742" t="s">
        <v>17</v>
      </c>
      <c r="K4742" t="str">
        <f>"5F1"</f>
        <v>5F1</v>
      </c>
      <c r="L4742" t="s">
        <v>15</v>
      </c>
    </row>
    <row r="4743" spans="1:12" x14ac:dyDescent="0.25">
      <c r="A4743" t="str">
        <f>"486230407"</f>
        <v>486230407</v>
      </c>
      <c r="B4743" t="str">
        <f t="shared" si="261"/>
        <v>89301000</v>
      </c>
      <c r="C4743" s="1">
        <v>44476</v>
      </c>
      <c r="D4743" s="1">
        <v>44477</v>
      </c>
      <c r="E4743">
        <v>1</v>
      </c>
      <c r="F4743" t="s">
        <v>41</v>
      </c>
      <c r="G4743" t="str">
        <f>"01-D01-03"</f>
        <v>01-D01-03</v>
      </c>
      <c r="H4743">
        <v>0.158</v>
      </c>
      <c r="I4743" t="s">
        <v>2376</v>
      </c>
      <c r="J4743" t="s">
        <v>14</v>
      </c>
      <c r="K4743" t="str">
        <f>"2F5"</f>
        <v>2F5</v>
      </c>
      <c r="L4743" t="s">
        <v>15</v>
      </c>
    </row>
    <row r="4744" spans="1:12" x14ac:dyDescent="0.25">
      <c r="A4744" t="str">
        <f>"490105017"</f>
        <v>490105017</v>
      </c>
      <c r="B4744" t="str">
        <f t="shared" si="261"/>
        <v>89301000</v>
      </c>
      <c r="C4744" s="1">
        <v>44215</v>
      </c>
      <c r="D4744" s="1">
        <v>44221</v>
      </c>
      <c r="E4744">
        <v>4</v>
      </c>
      <c r="F4744" t="s">
        <v>448</v>
      </c>
      <c r="G4744" t="str">
        <f>"11-K01-03"</f>
        <v>11-K01-03</v>
      </c>
      <c r="H4744">
        <v>0.59489999999999998</v>
      </c>
      <c r="I4744" t="s">
        <v>3476</v>
      </c>
      <c r="J4744" t="s">
        <v>14</v>
      </c>
      <c r="K4744" t="str">
        <f>"1F1"</f>
        <v>1F1</v>
      </c>
      <c r="L4744" t="s">
        <v>15</v>
      </c>
    </row>
    <row r="4745" spans="1:12" x14ac:dyDescent="0.25">
      <c r="A4745" t="str">
        <f>"490109257"</f>
        <v>490109257</v>
      </c>
      <c r="B4745" t="str">
        <f t="shared" si="261"/>
        <v>89301000</v>
      </c>
      <c r="C4745" s="1">
        <v>44361</v>
      </c>
      <c r="D4745" s="1">
        <v>44363</v>
      </c>
      <c r="E4745">
        <v>1</v>
      </c>
      <c r="F4745" t="s">
        <v>2350</v>
      </c>
      <c r="G4745" t="str">
        <f>"01-K12-01"</f>
        <v>01-K12-01</v>
      </c>
      <c r="H4745">
        <v>0.71289999999999998</v>
      </c>
      <c r="I4745" t="s">
        <v>489</v>
      </c>
      <c r="J4745" t="s">
        <v>14</v>
      </c>
      <c r="K4745" t="str">
        <f>"5F1"</f>
        <v>5F1</v>
      </c>
      <c r="L4745" t="s">
        <v>15</v>
      </c>
    </row>
    <row r="4746" spans="1:12" x14ac:dyDescent="0.25">
      <c r="A4746" t="str">
        <f>"490112143"</f>
        <v>490112143</v>
      </c>
      <c r="B4746" t="str">
        <f t="shared" si="261"/>
        <v>89301000</v>
      </c>
      <c r="C4746" s="1">
        <v>44494</v>
      </c>
      <c r="D4746" s="1">
        <v>44500</v>
      </c>
      <c r="E4746">
        <v>1</v>
      </c>
      <c r="F4746" t="s">
        <v>2585</v>
      </c>
      <c r="G4746" t="str">
        <f>"12-I02-01"</f>
        <v>12-I02-01</v>
      </c>
      <c r="H4746">
        <v>3.1240999999999999</v>
      </c>
      <c r="J4746" t="s">
        <v>14</v>
      </c>
      <c r="K4746" t="str">
        <f>"7F6"</f>
        <v>7F6</v>
      </c>
      <c r="L4746" t="s">
        <v>15</v>
      </c>
    </row>
    <row r="4747" spans="1:12" x14ac:dyDescent="0.25">
      <c r="A4747" t="str">
        <f>"490126282"</f>
        <v>490126282</v>
      </c>
      <c r="B4747" t="str">
        <f t="shared" si="261"/>
        <v>89301000</v>
      </c>
      <c r="C4747" s="1">
        <v>44377</v>
      </c>
      <c r="D4747" s="1">
        <v>44386</v>
      </c>
      <c r="E4747">
        <v>4</v>
      </c>
      <c r="F4747" t="s">
        <v>1643</v>
      </c>
      <c r="G4747" t="str">
        <f>"08-I05-07"</f>
        <v>08-I05-07</v>
      </c>
      <c r="H4747">
        <v>1.9537</v>
      </c>
      <c r="I4747" t="s">
        <v>3477</v>
      </c>
      <c r="J4747" t="s">
        <v>17</v>
      </c>
      <c r="K4747" t="str">
        <f>"6F6"</f>
        <v>6F6</v>
      </c>
      <c r="L4747" t="s">
        <v>15</v>
      </c>
    </row>
    <row r="4748" spans="1:12" x14ac:dyDescent="0.25">
      <c r="A4748" t="str">
        <f>"490129330"</f>
        <v>490129330</v>
      </c>
      <c r="B4748" t="str">
        <f t="shared" si="261"/>
        <v>89301000</v>
      </c>
      <c r="C4748" s="1">
        <v>44450</v>
      </c>
      <c r="D4748" s="1">
        <v>44460</v>
      </c>
      <c r="E4748">
        <v>1</v>
      </c>
      <c r="F4748" t="s">
        <v>67</v>
      </c>
      <c r="G4748" t="str">
        <f>"01-K10-03"</f>
        <v>01-K10-03</v>
      </c>
      <c r="H4748">
        <v>1.0016</v>
      </c>
      <c r="I4748" t="s">
        <v>3478</v>
      </c>
      <c r="J4748" t="s">
        <v>14</v>
      </c>
      <c r="K4748" t="str">
        <f>"1F1"</f>
        <v>1F1</v>
      </c>
      <c r="L4748" t="s">
        <v>15</v>
      </c>
    </row>
    <row r="4749" spans="1:12" x14ac:dyDescent="0.25">
      <c r="A4749" t="str">
        <f>"490205007"</f>
        <v>490205007</v>
      </c>
      <c r="B4749" t="str">
        <f t="shared" ref="B4749:B4812" si="262">"89301000"</f>
        <v>89301000</v>
      </c>
      <c r="C4749" s="1">
        <v>44197</v>
      </c>
      <c r="D4749" s="1">
        <v>44201</v>
      </c>
      <c r="E4749">
        <v>1</v>
      </c>
      <c r="F4749" t="s">
        <v>1006</v>
      </c>
      <c r="G4749" t="str">
        <f>"11-K14-02"</f>
        <v>11-K14-02</v>
      </c>
      <c r="H4749">
        <v>0.52259999999999995</v>
      </c>
      <c r="I4749" t="s">
        <v>3479</v>
      </c>
      <c r="J4749" t="s">
        <v>14</v>
      </c>
      <c r="K4749" t="str">
        <f>"7F6"</f>
        <v>7F6</v>
      </c>
      <c r="L4749" t="s">
        <v>15</v>
      </c>
    </row>
    <row r="4750" spans="1:12" x14ac:dyDescent="0.25">
      <c r="A4750" t="str">
        <f>"490205007"</f>
        <v>490205007</v>
      </c>
      <c r="B4750" t="str">
        <f t="shared" si="262"/>
        <v>89301000</v>
      </c>
      <c r="C4750" s="1">
        <v>44465</v>
      </c>
      <c r="D4750" s="1">
        <v>44470</v>
      </c>
      <c r="E4750">
        <v>1</v>
      </c>
      <c r="F4750" t="s">
        <v>144</v>
      </c>
      <c r="G4750" t="str">
        <f>"04-I03-04"</f>
        <v>04-I03-04</v>
      </c>
      <c r="H4750">
        <v>2.0316000000000001</v>
      </c>
      <c r="I4750" t="s">
        <v>3480</v>
      </c>
      <c r="J4750" t="s">
        <v>106</v>
      </c>
      <c r="K4750" t="str">
        <f>"5F1"</f>
        <v>5F1</v>
      </c>
      <c r="L4750" t="s">
        <v>15</v>
      </c>
    </row>
    <row r="4751" spans="1:12" x14ac:dyDescent="0.25">
      <c r="A4751" t="str">
        <f>"490215005"</f>
        <v>490215005</v>
      </c>
      <c r="B4751" t="str">
        <f t="shared" si="262"/>
        <v>89301000</v>
      </c>
      <c r="C4751" s="1">
        <v>44356</v>
      </c>
      <c r="D4751" s="1">
        <v>44362</v>
      </c>
      <c r="E4751">
        <v>5</v>
      </c>
      <c r="F4751" t="s">
        <v>38</v>
      </c>
      <c r="G4751" t="str">
        <f>"00-M01-03"</f>
        <v>00-M01-03</v>
      </c>
      <c r="H4751">
        <v>10.0288</v>
      </c>
      <c r="I4751" t="s">
        <v>3481</v>
      </c>
      <c r="J4751" t="s">
        <v>14</v>
      </c>
      <c r="K4751" t="str">
        <f>"1T1"</f>
        <v>1T1</v>
      </c>
      <c r="L4751" t="s">
        <v>15</v>
      </c>
    </row>
    <row r="4752" spans="1:12" x14ac:dyDescent="0.25">
      <c r="A4752" t="str">
        <f>"490219106"</f>
        <v>490219106</v>
      </c>
      <c r="B4752" t="str">
        <f t="shared" si="262"/>
        <v>89301000</v>
      </c>
      <c r="C4752" s="1">
        <v>44544</v>
      </c>
      <c r="D4752" s="1">
        <v>44545</v>
      </c>
      <c r="E4752">
        <v>1</v>
      </c>
      <c r="F4752" t="s">
        <v>1545</v>
      </c>
      <c r="G4752" t="str">
        <f>"05-I14-03"</f>
        <v>05-I14-03</v>
      </c>
      <c r="H4752">
        <v>6.1292</v>
      </c>
      <c r="I4752" t="s">
        <v>2119</v>
      </c>
      <c r="J4752" t="s">
        <v>14</v>
      </c>
      <c r="K4752" t="str">
        <f>"1F1"</f>
        <v>1F1</v>
      </c>
      <c r="L4752" t="s">
        <v>15</v>
      </c>
    </row>
    <row r="4753" spans="1:12" x14ac:dyDescent="0.25">
      <c r="A4753" t="str">
        <f>"490219106"</f>
        <v>490219106</v>
      </c>
      <c r="B4753" t="str">
        <f t="shared" si="262"/>
        <v>89301000</v>
      </c>
      <c r="C4753" s="1">
        <v>44536</v>
      </c>
      <c r="D4753" s="1">
        <v>44537</v>
      </c>
      <c r="E4753">
        <v>1</v>
      </c>
      <c r="F4753" t="s">
        <v>1545</v>
      </c>
      <c r="G4753" t="str">
        <f>"05-D01-06"</f>
        <v>05-D01-06</v>
      </c>
      <c r="H4753">
        <v>0.7611</v>
      </c>
      <c r="I4753" t="s">
        <v>2119</v>
      </c>
      <c r="J4753" t="s">
        <v>14</v>
      </c>
      <c r="K4753" t="str">
        <f>"1F7"</f>
        <v>1F7</v>
      </c>
      <c r="L4753" t="s">
        <v>15</v>
      </c>
    </row>
    <row r="4754" spans="1:12" x14ac:dyDescent="0.25">
      <c r="A4754" t="str">
        <f>"490219316"</f>
        <v>490219316</v>
      </c>
      <c r="B4754" t="str">
        <f t="shared" si="262"/>
        <v>89301000</v>
      </c>
      <c r="C4754" s="1">
        <v>44282</v>
      </c>
      <c r="D4754" s="1">
        <v>44283</v>
      </c>
      <c r="E4754">
        <v>1</v>
      </c>
      <c r="F4754" t="s">
        <v>1606</v>
      </c>
      <c r="G4754" t="str">
        <f>"05-D01-06"</f>
        <v>05-D01-06</v>
      </c>
      <c r="H4754">
        <v>0.7611</v>
      </c>
      <c r="I4754" t="s">
        <v>1708</v>
      </c>
      <c r="J4754" t="s">
        <v>14</v>
      </c>
      <c r="K4754" t="str">
        <f>"1F1"</f>
        <v>1F1</v>
      </c>
      <c r="L4754" t="s">
        <v>15</v>
      </c>
    </row>
    <row r="4755" spans="1:12" x14ac:dyDescent="0.25">
      <c r="A4755" t="str">
        <f>"490221083"</f>
        <v>490221083</v>
      </c>
      <c r="B4755" t="str">
        <f t="shared" si="262"/>
        <v>89301000</v>
      </c>
      <c r="C4755" s="1">
        <v>44502</v>
      </c>
      <c r="D4755" s="1">
        <v>44503</v>
      </c>
      <c r="E4755">
        <v>1</v>
      </c>
      <c r="F4755" t="s">
        <v>1557</v>
      </c>
      <c r="G4755" t="str">
        <f>"05-M06-08"</f>
        <v>05-M06-08</v>
      </c>
      <c r="H4755">
        <v>1.4719</v>
      </c>
      <c r="I4755" t="s">
        <v>3482</v>
      </c>
      <c r="J4755" t="s">
        <v>17</v>
      </c>
      <c r="K4755" t="str">
        <f>"1F7"</f>
        <v>1F7</v>
      </c>
      <c r="L4755" t="s">
        <v>15</v>
      </c>
    </row>
    <row r="4756" spans="1:12" x14ac:dyDescent="0.25">
      <c r="A4756" t="str">
        <f>"490223374"</f>
        <v>490223374</v>
      </c>
      <c r="B4756" t="str">
        <f t="shared" si="262"/>
        <v>89301000</v>
      </c>
      <c r="C4756" s="1">
        <v>44470</v>
      </c>
      <c r="D4756" s="1">
        <v>44483</v>
      </c>
      <c r="E4756">
        <v>1</v>
      </c>
      <c r="F4756" t="s">
        <v>1683</v>
      </c>
      <c r="G4756" t="str">
        <f>"05-I16-04"</f>
        <v>05-I16-04</v>
      </c>
      <c r="H4756">
        <v>6.1497999999999999</v>
      </c>
      <c r="I4756" t="s">
        <v>1606</v>
      </c>
      <c r="J4756" t="s">
        <v>17</v>
      </c>
      <c r="K4756" t="str">
        <f>"5F5"</f>
        <v>5F5</v>
      </c>
      <c r="L4756" t="s">
        <v>15</v>
      </c>
    </row>
    <row r="4757" spans="1:12" x14ac:dyDescent="0.25">
      <c r="A4757" t="str">
        <f>"490226333"</f>
        <v>490226333</v>
      </c>
      <c r="B4757" t="str">
        <f t="shared" si="262"/>
        <v>89301000</v>
      </c>
      <c r="C4757" s="1">
        <v>44304</v>
      </c>
      <c r="D4757" s="1">
        <v>44307</v>
      </c>
      <c r="E4757">
        <v>4</v>
      </c>
      <c r="F4757" t="s">
        <v>67</v>
      </c>
      <c r="G4757" t="str">
        <f>"01-K10-01"</f>
        <v>01-K10-01</v>
      </c>
      <c r="H4757">
        <v>2.0594000000000001</v>
      </c>
      <c r="I4757" t="s">
        <v>3483</v>
      </c>
      <c r="J4757" t="s">
        <v>14</v>
      </c>
      <c r="K4757" t="str">
        <f>"2T9"</f>
        <v>2T9</v>
      </c>
      <c r="L4757" t="s">
        <v>15</v>
      </c>
    </row>
    <row r="4758" spans="1:12" x14ac:dyDescent="0.25">
      <c r="A4758" t="str">
        <f>"490226333"</f>
        <v>490226333</v>
      </c>
      <c r="B4758" t="str">
        <f t="shared" si="262"/>
        <v>89301000</v>
      </c>
      <c r="C4758" s="1">
        <v>44204</v>
      </c>
      <c r="D4758" s="1">
        <v>44207</v>
      </c>
      <c r="E4758">
        <v>1</v>
      </c>
      <c r="F4758" t="s">
        <v>1561</v>
      </c>
      <c r="G4758" t="str">
        <f>"07-M02-04"</f>
        <v>07-M02-04</v>
      </c>
      <c r="H4758">
        <v>0.90980000000000005</v>
      </c>
      <c r="I4758" t="s">
        <v>3484</v>
      </c>
      <c r="J4758" t="s">
        <v>17</v>
      </c>
      <c r="K4758" t="str">
        <f>"1F5"</f>
        <v>1F5</v>
      </c>
      <c r="L4758" t="s">
        <v>15</v>
      </c>
    </row>
    <row r="4759" spans="1:12" x14ac:dyDescent="0.25">
      <c r="A4759" t="str">
        <f>"490226333"</f>
        <v>490226333</v>
      </c>
      <c r="B4759" t="str">
        <f t="shared" si="262"/>
        <v>89301000</v>
      </c>
      <c r="C4759" s="1">
        <v>44227</v>
      </c>
      <c r="D4759" s="1">
        <v>44230</v>
      </c>
      <c r="E4759">
        <v>1</v>
      </c>
      <c r="F4759" t="s">
        <v>3158</v>
      </c>
      <c r="G4759" t="str">
        <f>"05-M04-04"</f>
        <v>05-M04-04</v>
      </c>
      <c r="H4759">
        <v>2.4672999999999998</v>
      </c>
      <c r="J4759" t="s">
        <v>17</v>
      </c>
      <c r="K4759" t="str">
        <f>"5F1"</f>
        <v>5F1</v>
      </c>
      <c r="L4759" t="s">
        <v>15</v>
      </c>
    </row>
    <row r="4760" spans="1:12" x14ac:dyDescent="0.25">
      <c r="A4760" t="str">
        <f>"490226333"</f>
        <v>490226333</v>
      </c>
      <c r="B4760" t="str">
        <f t="shared" si="262"/>
        <v>89301000</v>
      </c>
      <c r="C4760" s="1">
        <v>44239</v>
      </c>
      <c r="D4760" s="1">
        <v>44245</v>
      </c>
      <c r="E4760">
        <v>1</v>
      </c>
      <c r="F4760" t="s">
        <v>1581</v>
      </c>
      <c r="G4760" t="str">
        <f>"05-K12-02"</f>
        <v>05-K12-02</v>
      </c>
      <c r="H4760">
        <v>0.53600000000000003</v>
      </c>
      <c r="I4760" t="s">
        <v>2119</v>
      </c>
      <c r="J4760" t="s">
        <v>14</v>
      </c>
      <c r="K4760" t="str">
        <f>"5F1"</f>
        <v>5F1</v>
      </c>
      <c r="L4760" t="s">
        <v>15</v>
      </c>
    </row>
    <row r="4761" spans="1:12" x14ac:dyDescent="0.25">
      <c r="A4761" t="str">
        <f>"490301068"</f>
        <v>490301068</v>
      </c>
      <c r="B4761" t="str">
        <f t="shared" si="262"/>
        <v>89301000</v>
      </c>
      <c r="C4761" s="1">
        <v>44294</v>
      </c>
      <c r="D4761" s="1">
        <v>44295</v>
      </c>
      <c r="E4761">
        <v>5</v>
      </c>
      <c r="F4761" t="s">
        <v>1842</v>
      </c>
      <c r="G4761" t="str">
        <f>"05-M06-08"</f>
        <v>05-M06-08</v>
      </c>
      <c r="H4761">
        <v>1.4719</v>
      </c>
      <c r="I4761" t="s">
        <v>3485</v>
      </c>
      <c r="J4761" t="s">
        <v>17</v>
      </c>
      <c r="K4761" t="str">
        <f>"1F1"</f>
        <v>1F1</v>
      </c>
      <c r="L4761" t="s">
        <v>15</v>
      </c>
    </row>
    <row r="4762" spans="1:12" x14ac:dyDescent="0.25">
      <c r="A4762" t="str">
        <f>"490301068"</f>
        <v>490301068</v>
      </c>
      <c r="B4762" t="str">
        <f t="shared" si="262"/>
        <v>89301000</v>
      </c>
      <c r="C4762" s="1">
        <v>44312</v>
      </c>
      <c r="D4762" s="1">
        <v>44312</v>
      </c>
      <c r="E4762">
        <v>1</v>
      </c>
      <c r="F4762" t="s">
        <v>1842</v>
      </c>
      <c r="G4762" t="str">
        <f>"05-I14-03"</f>
        <v>05-I14-03</v>
      </c>
      <c r="H4762">
        <v>5.8045</v>
      </c>
      <c r="I4762" t="s">
        <v>2381</v>
      </c>
      <c r="J4762" t="s">
        <v>14</v>
      </c>
      <c r="K4762" t="str">
        <f>"1F1"</f>
        <v>1F1</v>
      </c>
      <c r="L4762" t="s">
        <v>15</v>
      </c>
    </row>
    <row r="4763" spans="1:12" x14ac:dyDescent="0.25">
      <c r="A4763" t="str">
        <f>"490301068"</f>
        <v>490301068</v>
      </c>
      <c r="B4763" t="str">
        <f t="shared" si="262"/>
        <v>89301000</v>
      </c>
      <c r="C4763" s="1">
        <v>44419</v>
      </c>
      <c r="D4763" s="1">
        <v>44424</v>
      </c>
      <c r="E4763">
        <v>5</v>
      </c>
      <c r="F4763" t="s">
        <v>1842</v>
      </c>
      <c r="G4763" t="str">
        <f>"05-K04-02"</f>
        <v>05-K04-02</v>
      </c>
      <c r="H4763">
        <v>0.45319999999999999</v>
      </c>
      <c r="I4763" t="s">
        <v>3486</v>
      </c>
      <c r="J4763" t="s">
        <v>14</v>
      </c>
      <c r="K4763" t="str">
        <f>"1F7"</f>
        <v>1F7</v>
      </c>
      <c r="L4763" t="s">
        <v>15</v>
      </c>
    </row>
    <row r="4764" spans="1:12" x14ac:dyDescent="0.25">
      <c r="A4764" t="str">
        <f>"490303002"</f>
        <v>490303002</v>
      </c>
      <c r="B4764" t="str">
        <f t="shared" si="262"/>
        <v>89301000</v>
      </c>
      <c r="C4764" s="1">
        <v>44517</v>
      </c>
      <c r="D4764" s="1">
        <v>44520</v>
      </c>
      <c r="E4764">
        <v>1</v>
      </c>
      <c r="F4764" t="s">
        <v>3487</v>
      </c>
      <c r="G4764" t="str">
        <f>"06-I16-04"</f>
        <v>06-I16-04</v>
      </c>
      <c r="H4764">
        <v>0.67620000000000002</v>
      </c>
      <c r="J4764" t="s">
        <v>24</v>
      </c>
      <c r="K4764" t="str">
        <f>"5F1"</f>
        <v>5F1</v>
      </c>
      <c r="L4764" t="s">
        <v>15</v>
      </c>
    </row>
    <row r="4765" spans="1:12" x14ac:dyDescent="0.25">
      <c r="A4765" t="str">
        <f>"490307151"</f>
        <v>490307151</v>
      </c>
      <c r="B4765" t="str">
        <f t="shared" si="262"/>
        <v>89301000</v>
      </c>
      <c r="C4765" s="1">
        <v>44525</v>
      </c>
      <c r="D4765" s="1">
        <v>44544</v>
      </c>
      <c r="E4765">
        <v>1</v>
      </c>
      <c r="F4765" t="s">
        <v>3488</v>
      </c>
      <c r="G4765" t="str">
        <f>"19-K05-02"</f>
        <v>19-K05-02</v>
      </c>
      <c r="H4765">
        <v>1.8835999999999999</v>
      </c>
      <c r="I4765" t="s">
        <v>159</v>
      </c>
      <c r="J4765" t="s">
        <v>27</v>
      </c>
      <c r="K4765" t="str">
        <f>"3F5"</f>
        <v>3F5</v>
      </c>
      <c r="L4765" t="s">
        <v>15</v>
      </c>
    </row>
    <row r="4766" spans="1:12" x14ac:dyDescent="0.25">
      <c r="A4766" t="str">
        <f>"490308008"</f>
        <v>490308008</v>
      </c>
      <c r="B4766" t="str">
        <f t="shared" si="262"/>
        <v>89301000</v>
      </c>
      <c r="C4766" s="1">
        <v>44507</v>
      </c>
      <c r="D4766" s="1">
        <v>44515</v>
      </c>
      <c r="E4766">
        <v>1</v>
      </c>
      <c r="F4766" t="s">
        <v>2133</v>
      </c>
      <c r="G4766" t="str">
        <f>"04-K06-03"</f>
        <v>04-K06-03</v>
      </c>
      <c r="H4766">
        <v>0.66259999999999997</v>
      </c>
      <c r="I4766" t="s">
        <v>3489</v>
      </c>
      <c r="J4766" t="s">
        <v>14</v>
      </c>
      <c r="K4766" t="str">
        <f>"2F5"</f>
        <v>2F5</v>
      </c>
      <c r="L4766" t="s">
        <v>15</v>
      </c>
    </row>
    <row r="4767" spans="1:12" x14ac:dyDescent="0.25">
      <c r="A4767" t="str">
        <f>"490316029"</f>
        <v>490316029</v>
      </c>
      <c r="B4767" t="str">
        <f t="shared" si="262"/>
        <v>89301000</v>
      </c>
      <c r="C4767" s="1">
        <v>44208</v>
      </c>
      <c r="D4767" s="1">
        <v>44236</v>
      </c>
      <c r="E4767">
        <v>4</v>
      </c>
      <c r="F4767" t="s">
        <v>1794</v>
      </c>
      <c r="G4767" t="str">
        <f>"04-M01-04"</f>
        <v>04-M01-04</v>
      </c>
      <c r="H4767">
        <v>11.1008</v>
      </c>
      <c r="I4767" t="s">
        <v>3490</v>
      </c>
      <c r="J4767" t="s">
        <v>14</v>
      </c>
      <c r="K4767" t="str">
        <f>"1F5"</f>
        <v>1F5</v>
      </c>
      <c r="L4767" t="s">
        <v>15</v>
      </c>
    </row>
    <row r="4768" spans="1:12" x14ac:dyDescent="0.25">
      <c r="A4768" t="str">
        <f>"490319007"</f>
        <v>490319007</v>
      </c>
      <c r="B4768" t="str">
        <f t="shared" si="262"/>
        <v>89301000</v>
      </c>
      <c r="C4768" s="1">
        <v>44525</v>
      </c>
      <c r="D4768" s="1">
        <v>44530</v>
      </c>
      <c r="E4768">
        <v>1</v>
      </c>
      <c r="F4768" t="s">
        <v>3083</v>
      </c>
      <c r="G4768" t="str">
        <f>"04-I09-02"</f>
        <v>04-I09-02</v>
      </c>
      <c r="H4768">
        <v>0.81499999999999995</v>
      </c>
      <c r="I4768" t="s">
        <v>3491</v>
      </c>
      <c r="J4768" t="s">
        <v>14</v>
      </c>
      <c r="K4768" t="str">
        <f>"5F1"</f>
        <v>5F1</v>
      </c>
      <c r="L4768" t="s">
        <v>15</v>
      </c>
    </row>
    <row r="4769" spans="1:12" x14ac:dyDescent="0.25">
      <c r="A4769" t="str">
        <f>"490319115"</f>
        <v>490319115</v>
      </c>
      <c r="B4769" t="str">
        <f t="shared" si="262"/>
        <v>89301000</v>
      </c>
      <c r="C4769" s="1">
        <v>44437</v>
      </c>
      <c r="D4769" s="1">
        <v>44446</v>
      </c>
      <c r="E4769">
        <v>1</v>
      </c>
      <c r="F4769" t="s">
        <v>979</v>
      </c>
      <c r="G4769" t="str">
        <f>"04-K02-04"</f>
        <v>04-K02-04</v>
      </c>
      <c r="H4769">
        <v>0.82469999999999999</v>
      </c>
      <c r="I4769" t="s">
        <v>3492</v>
      </c>
      <c r="J4769" t="s">
        <v>14</v>
      </c>
      <c r="K4769" t="str">
        <f>"2F5"</f>
        <v>2F5</v>
      </c>
      <c r="L4769" t="s">
        <v>15</v>
      </c>
    </row>
    <row r="4770" spans="1:12" x14ac:dyDescent="0.25">
      <c r="A4770" t="str">
        <f>"490323075"</f>
        <v>490323075</v>
      </c>
      <c r="B4770" t="str">
        <f t="shared" si="262"/>
        <v>89301000</v>
      </c>
      <c r="C4770" s="1">
        <v>44488</v>
      </c>
      <c r="D4770" s="1">
        <v>44491</v>
      </c>
      <c r="E4770">
        <v>1</v>
      </c>
      <c r="F4770" t="s">
        <v>1555</v>
      </c>
      <c r="G4770" t="str">
        <f>"05-M07-06"</f>
        <v>05-M07-06</v>
      </c>
      <c r="H4770">
        <v>1.2513000000000001</v>
      </c>
      <c r="I4770" t="s">
        <v>3493</v>
      </c>
      <c r="J4770" t="s">
        <v>17</v>
      </c>
      <c r="K4770" t="str">
        <f>"5F1"</f>
        <v>5F1</v>
      </c>
      <c r="L4770" t="s">
        <v>15</v>
      </c>
    </row>
    <row r="4771" spans="1:12" x14ac:dyDescent="0.25">
      <c r="A4771" t="str">
        <f>"490324111"</f>
        <v>490324111</v>
      </c>
      <c r="B4771" t="str">
        <f t="shared" si="262"/>
        <v>89301000</v>
      </c>
      <c r="C4771" s="1">
        <v>44269</v>
      </c>
      <c r="D4771" s="1">
        <v>44287</v>
      </c>
      <c r="E4771">
        <v>1</v>
      </c>
      <c r="F4771" t="s">
        <v>217</v>
      </c>
      <c r="G4771" t="str">
        <f>"04-K02-03"</f>
        <v>04-K02-03</v>
      </c>
      <c r="H4771">
        <v>1.2859</v>
      </c>
      <c r="I4771" t="s">
        <v>3494</v>
      </c>
      <c r="J4771" t="s">
        <v>14</v>
      </c>
      <c r="K4771" t="str">
        <f>"5F1"</f>
        <v>5F1</v>
      </c>
      <c r="L4771" t="s">
        <v>15</v>
      </c>
    </row>
    <row r="4772" spans="1:12" x14ac:dyDescent="0.25">
      <c r="A4772" t="str">
        <f>"490331319"</f>
        <v>490331319</v>
      </c>
      <c r="B4772" t="str">
        <f t="shared" si="262"/>
        <v>89301000</v>
      </c>
      <c r="C4772" s="1">
        <v>44236</v>
      </c>
      <c r="D4772" s="1">
        <v>44250</v>
      </c>
      <c r="E4772">
        <v>7</v>
      </c>
      <c r="F4772" t="s">
        <v>1914</v>
      </c>
      <c r="G4772" t="str">
        <f>"04-I08-01"</f>
        <v>04-I08-01</v>
      </c>
      <c r="H4772">
        <v>2.9020999999999999</v>
      </c>
      <c r="I4772" t="s">
        <v>3495</v>
      </c>
      <c r="J4772" t="s">
        <v>14</v>
      </c>
      <c r="K4772" t="str">
        <f>"2F5"</f>
        <v>2F5</v>
      </c>
      <c r="L4772" t="s">
        <v>15</v>
      </c>
    </row>
    <row r="4773" spans="1:12" x14ac:dyDescent="0.25">
      <c r="A4773" t="str">
        <f>"490401011"</f>
        <v>490401011</v>
      </c>
      <c r="B4773" t="str">
        <f t="shared" si="262"/>
        <v>89301000</v>
      </c>
      <c r="C4773" s="1">
        <v>44394</v>
      </c>
      <c r="D4773" s="1">
        <v>44403</v>
      </c>
      <c r="E4773">
        <v>4</v>
      </c>
      <c r="F4773" t="s">
        <v>1548</v>
      </c>
      <c r="G4773" t="str">
        <f>"05-K07-04"</f>
        <v>05-K07-04</v>
      </c>
      <c r="H4773">
        <v>1.131</v>
      </c>
      <c r="I4773" t="s">
        <v>3496</v>
      </c>
      <c r="J4773" t="s">
        <v>14</v>
      </c>
      <c r="K4773" t="str">
        <f>"1F1"</f>
        <v>1F1</v>
      </c>
      <c r="L4773" t="s">
        <v>15</v>
      </c>
    </row>
    <row r="4774" spans="1:12" x14ac:dyDescent="0.25">
      <c r="A4774" t="str">
        <f>"490401278"</f>
        <v>490401278</v>
      </c>
      <c r="B4774" t="str">
        <f t="shared" si="262"/>
        <v>89301000</v>
      </c>
      <c r="C4774" s="1">
        <v>44470</v>
      </c>
      <c r="D4774" s="1">
        <v>44484</v>
      </c>
      <c r="E4774">
        <v>1</v>
      </c>
      <c r="F4774" t="s">
        <v>2006</v>
      </c>
      <c r="G4774" t="str">
        <f>"06-M01-03"</f>
        <v>06-M01-03</v>
      </c>
      <c r="H4774">
        <v>1.1503000000000001</v>
      </c>
      <c r="I4774" t="s">
        <v>3497</v>
      </c>
      <c r="J4774" t="s">
        <v>14</v>
      </c>
      <c r="K4774" t="str">
        <f>"4F2"</f>
        <v>4F2</v>
      </c>
      <c r="L4774" t="s">
        <v>15</v>
      </c>
    </row>
    <row r="4775" spans="1:12" x14ac:dyDescent="0.25">
      <c r="A4775" t="str">
        <f>"490403062"</f>
        <v>490403062</v>
      </c>
      <c r="B4775" t="str">
        <f t="shared" si="262"/>
        <v>89301000</v>
      </c>
      <c r="C4775" s="1">
        <v>44541</v>
      </c>
      <c r="D4775" s="1">
        <v>44542</v>
      </c>
      <c r="E4775">
        <v>7</v>
      </c>
      <c r="F4775" t="s">
        <v>962</v>
      </c>
      <c r="G4775" t="str">
        <f>"04-M01-06"</f>
        <v>04-M01-06</v>
      </c>
      <c r="H4775">
        <v>1.8546</v>
      </c>
      <c r="I4775" t="s">
        <v>3498</v>
      </c>
      <c r="J4775" t="s">
        <v>14</v>
      </c>
      <c r="K4775" t="str">
        <f>"7T8"</f>
        <v>7T8</v>
      </c>
      <c r="L4775" t="s">
        <v>15</v>
      </c>
    </row>
    <row r="4776" spans="1:12" x14ac:dyDescent="0.25">
      <c r="A4776" t="str">
        <f>"490405024"</f>
        <v>490405024</v>
      </c>
      <c r="B4776" t="str">
        <f t="shared" si="262"/>
        <v>89301000</v>
      </c>
      <c r="C4776" s="1">
        <v>44413</v>
      </c>
      <c r="D4776" s="1">
        <v>44417</v>
      </c>
      <c r="E4776">
        <v>1</v>
      </c>
      <c r="F4776" t="s">
        <v>531</v>
      </c>
      <c r="G4776" t="str">
        <f>"06-M01-03"</f>
        <v>06-M01-03</v>
      </c>
      <c r="H4776">
        <v>0.82450000000000001</v>
      </c>
      <c r="I4776" t="s">
        <v>3499</v>
      </c>
      <c r="J4776" t="s">
        <v>14</v>
      </c>
      <c r="K4776" t="str">
        <f>"5F1"</f>
        <v>5F1</v>
      </c>
      <c r="L4776" t="s">
        <v>15</v>
      </c>
    </row>
    <row r="4777" spans="1:12" x14ac:dyDescent="0.25">
      <c r="A4777" t="str">
        <f>"490405024"</f>
        <v>490405024</v>
      </c>
      <c r="B4777" t="str">
        <f t="shared" si="262"/>
        <v>89301000</v>
      </c>
      <c r="C4777" s="1">
        <v>44523</v>
      </c>
      <c r="D4777" s="1">
        <v>44525</v>
      </c>
      <c r="E4777">
        <v>1</v>
      </c>
      <c r="F4777" t="s">
        <v>531</v>
      </c>
      <c r="G4777" t="str">
        <f>"06-M01-03"</f>
        <v>06-M01-03</v>
      </c>
      <c r="H4777">
        <v>0.82450000000000001</v>
      </c>
      <c r="I4777" t="s">
        <v>3500</v>
      </c>
      <c r="J4777" t="s">
        <v>14</v>
      </c>
      <c r="K4777" t="str">
        <f>"5F1"</f>
        <v>5F1</v>
      </c>
      <c r="L4777" t="s">
        <v>15</v>
      </c>
    </row>
    <row r="4778" spans="1:12" x14ac:dyDescent="0.25">
      <c r="A4778" t="str">
        <f>"490405024"</f>
        <v>490405024</v>
      </c>
      <c r="B4778" t="str">
        <f t="shared" si="262"/>
        <v>89301000</v>
      </c>
      <c r="C4778" s="1">
        <v>44356</v>
      </c>
      <c r="D4778" s="1">
        <v>44372</v>
      </c>
      <c r="E4778">
        <v>1</v>
      </c>
      <c r="F4778" t="s">
        <v>2006</v>
      </c>
      <c r="G4778" t="str">
        <f>"06-K13-02"</f>
        <v>06-K13-02</v>
      </c>
      <c r="H4778">
        <v>0.83499999999999996</v>
      </c>
      <c r="I4778" t="s">
        <v>3501</v>
      </c>
      <c r="J4778" t="s">
        <v>14</v>
      </c>
      <c r="K4778" t="str">
        <f>"5F1"</f>
        <v>5F1</v>
      </c>
      <c r="L4778" t="s">
        <v>15</v>
      </c>
    </row>
    <row r="4779" spans="1:12" x14ac:dyDescent="0.25">
      <c r="A4779" t="str">
        <f>"490405024"</f>
        <v>490405024</v>
      </c>
      <c r="B4779" t="str">
        <f t="shared" si="262"/>
        <v>89301000</v>
      </c>
      <c r="C4779" s="1">
        <v>44340</v>
      </c>
      <c r="D4779" s="1">
        <v>44351</v>
      </c>
      <c r="E4779">
        <v>1</v>
      </c>
      <c r="F4779" t="s">
        <v>2006</v>
      </c>
      <c r="G4779" t="str">
        <f>"06-I04-03"</f>
        <v>06-I04-03</v>
      </c>
      <c r="H4779">
        <v>4.0362999999999998</v>
      </c>
      <c r="I4779" t="s">
        <v>3502</v>
      </c>
      <c r="J4779" t="s">
        <v>17</v>
      </c>
      <c r="K4779" t="str">
        <f>"5F1"</f>
        <v>5F1</v>
      </c>
      <c r="L4779" t="s">
        <v>15</v>
      </c>
    </row>
    <row r="4780" spans="1:12" x14ac:dyDescent="0.25">
      <c r="A4780" t="str">
        <f>"490407100"</f>
        <v>490407100</v>
      </c>
      <c r="B4780" t="str">
        <f t="shared" si="262"/>
        <v>89301000</v>
      </c>
      <c r="C4780" s="1">
        <v>44412</v>
      </c>
      <c r="D4780" s="1">
        <v>44415</v>
      </c>
      <c r="E4780">
        <v>1</v>
      </c>
      <c r="F4780" t="s">
        <v>496</v>
      </c>
      <c r="G4780" t="str">
        <f>"08-M03-05"</f>
        <v>08-M03-05</v>
      </c>
      <c r="H4780">
        <v>0.51759999999999995</v>
      </c>
      <c r="I4780" t="s">
        <v>3503</v>
      </c>
      <c r="J4780" t="s">
        <v>14</v>
      </c>
      <c r="K4780" t="str">
        <f>"6F6"</f>
        <v>6F6</v>
      </c>
      <c r="L4780" t="s">
        <v>15</v>
      </c>
    </row>
    <row r="4781" spans="1:12" x14ac:dyDescent="0.25">
      <c r="A4781" t="str">
        <f>"490412125"</f>
        <v>490412125</v>
      </c>
      <c r="B4781" t="str">
        <f t="shared" si="262"/>
        <v>89301000</v>
      </c>
      <c r="C4781" s="1">
        <v>44433</v>
      </c>
      <c r="D4781" s="1">
        <v>44446</v>
      </c>
      <c r="E4781">
        <v>1</v>
      </c>
      <c r="F4781" t="s">
        <v>38</v>
      </c>
      <c r="G4781" t="str">
        <f>"05-I16-02"</f>
        <v>05-I16-02</v>
      </c>
      <c r="H4781">
        <v>9.157</v>
      </c>
      <c r="I4781" t="s">
        <v>3504</v>
      </c>
      <c r="J4781" t="s">
        <v>17</v>
      </c>
      <c r="K4781" t="str">
        <f>"5F5"</f>
        <v>5F5</v>
      </c>
      <c r="L4781" t="s">
        <v>15</v>
      </c>
    </row>
    <row r="4782" spans="1:12" x14ac:dyDescent="0.25">
      <c r="A4782" t="str">
        <f>"490415002"</f>
        <v>490415002</v>
      </c>
      <c r="B4782" t="str">
        <f t="shared" si="262"/>
        <v>89301000</v>
      </c>
      <c r="C4782" s="1">
        <v>44340</v>
      </c>
      <c r="D4782" s="1">
        <v>44347</v>
      </c>
      <c r="E4782">
        <v>1</v>
      </c>
      <c r="F4782" t="s">
        <v>1875</v>
      </c>
      <c r="G4782" t="str">
        <f>"05-I15-00"</f>
        <v>05-I15-00</v>
      </c>
      <c r="H4782">
        <v>8.7135999999999996</v>
      </c>
      <c r="J4782" t="s">
        <v>14</v>
      </c>
      <c r="K4782" t="str">
        <f>"5F5"</f>
        <v>5F5</v>
      </c>
      <c r="L4782" t="s">
        <v>15</v>
      </c>
    </row>
    <row r="4783" spans="1:12" x14ac:dyDescent="0.25">
      <c r="A4783" t="str">
        <f>"490426162"</f>
        <v>490426162</v>
      </c>
      <c r="B4783" t="str">
        <f t="shared" si="262"/>
        <v>89301000</v>
      </c>
      <c r="C4783" s="1">
        <v>44357</v>
      </c>
      <c r="D4783" s="1">
        <v>44357</v>
      </c>
      <c r="E4783">
        <v>1</v>
      </c>
      <c r="F4783" t="s">
        <v>1604</v>
      </c>
      <c r="G4783" t="str">
        <f>"05-I25-03"</f>
        <v>05-I25-03</v>
      </c>
      <c r="H4783">
        <v>1.2622</v>
      </c>
      <c r="I4783" t="s">
        <v>3505</v>
      </c>
      <c r="J4783" t="s">
        <v>17</v>
      </c>
      <c r="K4783" t="str">
        <f>"1F7"</f>
        <v>1F7</v>
      </c>
      <c r="L4783" t="s">
        <v>15</v>
      </c>
    </row>
    <row r="4784" spans="1:12" x14ac:dyDescent="0.25">
      <c r="A4784" t="str">
        <f>"490428103"</f>
        <v>490428103</v>
      </c>
      <c r="B4784" t="str">
        <f t="shared" si="262"/>
        <v>89301000</v>
      </c>
      <c r="C4784" s="1">
        <v>44398</v>
      </c>
      <c r="D4784" s="1">
        <v>44412</v>
      </c>
      <c r="E4784">
        <v>1</v>
      </c>
      <c r="F4784" t="s">
        <v>2270</v>
      </c>
      <c r="G4784" t="str">
        <f>"09-K03-02"</f>
        <v>09-K03-02</v>
      </c>
      <c r="H4784">
        <v>1.0156000000000001</v>
      </c>
      <c r="I4784" t="s">
        <v>3506</v>
      </c>
      <c r="J4784" t="s">
        <v>14</v>
      </c>
      <c r="K4784" t="str">
        <f>"4F4"</f>
        <v>4F4</v>
      </c>
      <c r="L4784" t="s">
        <v>15</v>
      </c>
    </row>
    <row r="4785" spans="1:12" x14ac:dyDescent="0.25">
      <c r="A4785" t="str">
        <f>"490429002"</f>
        <v>490429002</v>
      </c>
      <c r="B4785" t="str">
        <f t="shared" si="262"/>
        <v>89301000</v>
      </c>
      <c r="C4785" s="1">
        <v>44480</v>
      </c>
      <c r="D4785" s="1">
        <v>44489</v>
      </c>
      <c r="E4785">
        <v>1</v>
      </c>
      <c r="F4785" t="s">
        <v>589</v>
      </c>
      <c r="G4785" t="str">
        <f>"07-M02-01"</f>
        <v>07-M02-01</v>
      </c>
      <c r="H4785">
        <v>2.6560999999999999</v>
      </c>
      <c r="I4785" t="s">
        <v>3507</v>
      </c>
      <c r="J4785" t="s">
        <v>17</v>
      </c>
      <c r="K4785" t="str">
        <f>"1F1"</f>
        <v>1F1</v>
      </c>
      <c r="L4785" t="s">
        <v>15</v>
      </c>
    </row>
    <row r="4786" spans="1:12" x14ac:dyDescent="0.25">
      <c r="A4786" t="str">
        <f>"490429002"</f>
        <v>490429002</v>
      </c>
      <c r="B4786" t="str">
        <f t="shared" si="262"/>
        <v>89301000</v>
      </c>
      <c r="C4786" s="1">
        <v>44502</v>
      </c>
      <c r="D4786" s="1">
        <v>44504</v>
      </c>
      <c r="E4786">
        <v>1</v>
      </c>
      <c r="F4786" t="s">
        <v>589</v>
      </c>
      <c r="G4786" t="str">
        <f>"07-M02-04"</f>
        <v>07-M02-04</v>
      </c>
      <c r="H4786">
        <v>0.73929999999999996</v>
      </c>
      <c r="I4786" t="s">
        <v>3508</v>
      </c>
      <c r="J4786" t="s">
        <v>17</v>
      </c>
      <c r="K4786" t="str">
        <f>"1F1"</f>
        <v>1F1</v>
      </c>
      <c r="L4786" t="s">
        <v>15</v>
      </c>
    </row>
    <row r="4787" spans="1:12" x14ac:dyDescent="0.25">
      <c r="A4787" t="str">
        <f>"490504047"</f>
        <v>490504047</v>
      </c>
      <c r="B4787" t="str">
        <f t="shared" si="262"/>
        <v>89301000</v>
      </c>
      <c r="C4787" s="1">
        <v>44257</v>
      </c>
      <c r="D4787" s="1">
        <v>44267</v>
      </c>
      <c r="E4787">
        <v>1</v>
      </c>
      <c r="F4787" t="s">
        <v>2910</v>
      </c>
      <c r="G4787" t="str">
        <f>"06-I05-04"</f>
        <v>06-I05-04</v>
      </c>
      <c r="H4787">
        <v>3.3546</v>
      </c>
      <c r="J4787" t="s">
        <v>17</v>
      </c>
      <c r="K4787" t="str">
        <f>"5F1"</f>
        <v>5F1</v>
      </c>
      <c r="L4787" t="s">
        <v>15</v>
      </c>
    </row>
    <row r="4788" spans="1:12" x14ac:dyDescent="0.25">
      <c r="A4788" t="str">
        <f>"490505335"</f>
        <v>490505335</v>
      </c>
      <c r="B4788" t="str">
        <f t="shared" si="262"/>
        <v>89301000</v>
      </c>
      <c r="C4788" s="1">
        <v>44391</v>
      </c>
      <c r="D4788" s="1">
        <v>44392</v>
      </c>
      <c r="E4788">
        <v>1</v>
      </c>
      <c r="F4788" t="s">
        <v>2120</v>
      </c>
      <c r="G4788" t="str">
        <f>"06-K07-02"</f>
        <v>06-K07-02</v>
      </c>
      <c r="H4788">
        <v>0.44419999999999998</v>
      </c>
      <c r="I4788" t="s">
        <v>475</v>
      </c>
      <c r="J4788" t="s">
        <v>14</v>
      </c>
      <c r="K4788" t="str">
        <f>"1F1"</f>
        <v>1F1</v>
      </c>
      <c r="L4788" t="s">
        <v>15</v>
      </c>
    </row>
    <row r="4789" spans="1:12" x14ac:dyDescent="0.25">
      <c r="A4789" t="str">
        <f>"490509109"</f>
        <v>490509109</v>
      </c>
      <c r="B4789" t="str">
        <f t="shared" si="262"/>
        <v>89301000</v>
      </c>
      <c r="C4789" s="1">
        <v>44452</v>
      </c>
      <c r="D4789" s="1">
        <v>44463</v>
      </c>
      <c r="E4789">
        <v>1</v>
      </c>
      <c r="F4789" t="s">
        <v>3509</v>
      </c>
      <c r="G4789" t="str">
        <f>"19-K04-02"</f>
        <v>19-K04-02</v>
      </c>
      <c r="H4789">
        <v>1.4597</v>
      </c>
      <c r="I4789" t="s">
        <v>3510</v>
      </c>
      <c r="J4789" t="s">
        <v>27</v>
      </c>
      <c r="K4789" t="str">
        <f>"3F5"</f>
        <v>3F5</v>
      </c>
      <c r="L4789" t="s">
        <v>15</v>
      </c>
    </row>
    <row r="4790" spans="1:12" x14ac:dyDescent="0.25">
      <c r="A4790" t="str">
        <f>"490515069"</f>
        <v>490515069</v>
      </c>
      <c r="B4790" t="str">
        <f t="shared" si="262"/>
        <v>89301000</v>
      </c>
      <c r="C4790" s="1">
        <v>44556</v>
      </c>
      <c r="D4790" s="1">
        <v>44558</v>
      </c>
      <c r="E4790">
        <v>1</v>
      </c>
      <c r="F4790" t="s">
        <v>1619</v>
      </c>
      <c r="G4790" t="str">
        <f>"05-M06-06"</f>
        <v>05-M06-06</v>
      </c>
      <c r="H4790">
        <v>1.7652000000000001</v>
      </c>
      <c r="I4790" t="s">
        <v>1892</v>
      </c>
      <c r="J4790" t="s">
        <v>17</v>
      </c>
      <c r="K4790" t="str">
        <f>"1F1"</f>
        <v>1F1</v>
      </c>
      <c r="L4790" t="s">
        <v>15</v>
      </c>
    </row>
    <row r="4791" spans="1:12" x14ac:dyDescent="0.25">
      <c r="A4791" t="str">
        <f>"490518002"</f>
        <v>490518002</v>
      </c>
      <c r="B4791" t="str">
        <f t="shared" si="262"/>
        <v>89301000</v>
      </c>
      <c r="C4791" s="1">
        <v>44493</v>
      </c>
      <c r="D4791" s="1">
        <v>44515</v>
      </c>
      <c r="E4791">
        <v>1</v>
      </c>
      <c r="F4791" t="s">
        <v>3511</v>
      </c>
      <c r="G4791" t="str">
        <f>"16-K02-02"</f>
        <v>16-K02-02</v>
      </c>
      <c r="H4791">
        <v>1.9881</v>
      </c>
      <c r="I4791" t="s">
        <v>3512</v>
      </c>
      <c r="J4791" t="s">
        <v>14</v>
      </c>
      <c r="K4791" t="str">
        <f>"2F2"</f>
        <v>2F2</v>
      </c>
      <c r="L4791" t="s">
        <v>15</v>
      </c>
    </row>
    <row r="4792" spans="1:12" x14ac:dyDescent="0.25">
      <c r="A4792" t="str">
        <f>"490526029"</f>
        <v>490526029</v>
      </c>
      <c r="B4792" t="str">
        <f t="shared" si="262"/>
        <v>89301000</v>
      </c>
      <c r="C4792" s="1">
        <v>44211</v>
      </c>
      <c r="D4792" s="1">
        <v>44228</v>
      </c>
      <c r="E4792">
        <v>1</v>
      </c>
      <c r="F4792" t="s">
        <v>3513</v>
      </c>
      <c r="G4792" t="str">
        <f>"06-K04-01"</f>
        <v>06-K04-01</v>
      </c>
      <c r="H4792">
        <v>1.9043000000000001</v>
      </c>
      <c r="I4792" t="s">
        <v>3514</v>
      </c>
      <c r="J4792" t="s">
        <v>14</v>
      </c>
      <c r="K4792" t="str">
        <f>"1F1"</f>
        <v>1F1</v>
      </c>
      <c r="L4792" t="s">
        <v>15</v>
      </c>
    </row>
    <row r="4793" spans="1:12" x14ac:dyDescent="0.25">
      <c r="A4793" t="str">
        <f>"490605053"</f>
        <v>490605053</v>
      </c>
      <c r="B4793" t="str">
        <f t="shared" si="262"/>
        <v>89301000</v>
      </c>
      <c r="C4793" s="1">
        <v>44371</v>
      </c>
      <c r="D4793" s="1">
        <v>44379</v>
      </c>
      <c r="E4793">
        <v>1</v>
      </c>
      <c r="F4793" t="s">
        <v>979</v>
      </c>
      <c r="G4793" t="str">
        <f>"04-K02-04"</f>
        <v>04-K02-04</v>
      </c>
      <c r="H4793">
        <v>0.82469999999999999</v>
      </c>
      <c r="I4793" t="s">
        <v>3515</v>
      </c>
      <c r="J4793" t="s">
        <v>14</v>
      </c>
      <c r="K4793" t="str">
        <f>"2F5"</f>
        <v>2F5</v>
      </c>
      <c r="L4793" t="s">
        <v>15</v>
      </c>
    </row>
    <row r="4794" spans="1:12" x14ac:dyDescent="0.25">
      <c r="A4794" t="str">
        <f>"490605053"</f>
        <v>490605053</v>
      </c>
      <c r="B4794" t="str">
        <f t="shared" si="262"/>
        <v>89301000</v>
      </c>
      <c r="C4794" s="1">
        <v>44383</v>
      </c>
      <c r="D4794" s="1">
        <v>44392</v>
      </c>
      <c r="E4794">
        <v>5</v>
      </c>
      <c r="F4794" t="s">
        <v>1646</v>
      </c>
      <c r="G4794" t="str">
        <f>"04-K02-04"</f>
        <v>04-K02-04</v>
      </c>
      <c r="H4794">
        <v>0.82469999999999999</v>
      </c>
      <c r="I4794" t="s">
        <v>3515</v>
      </c>
      <c r="J4794" t="s">
        <v>14</v>
      </c>
      <c r="K4794" t="str">
        <f>"2F5"</f>
        <v>2F5</v>
      </c>
      <c r="L4794" t="s">
        <v>15</v>
      </c>
    </row>
    <row r="4795" spans="1:12" x14ac:dyDescent="0.25">
      <c r="A4795" t="str">
        <f>"490608011"</f>
        <v>490608011</v>
      </c>
      <c r="B4795" t="str">
        <f t="shared" si="262"/>
        <v>89301000</v>
      </c>
      <c r="C4795" s="1">
        <v>44298</v>
      </c>
      <c r="D4795" s="1">
        <v>44300</v>
      </c>
      <c r="E4795">
        <v>1</v>
      </c>
      <c r="F4795" t="s">
        <v>283</v>
      </c>
      <c r="G4795" t="str">
        <f>"16-K02-02"</f>
        <v>16-K02-02</v>
      </c>
      <c r="H4795">
        <v>0.77459999999999996</v>
      </c>
      <c r="I4795" t="s">
        <v>3516</v>
      </c>
      <c r="J4795" t="s">
        <v>14</v>
      </c>
      <c r="K4795" t="str">
        <f>"1F1"</f>
        <v>1F1</v>
      </c>
      <c r="L4795" t="s">
        <v>15</v>
      </c>
    </row>
    <row r="4796" spans="1:12" x14ac:dyDescent="0.25">
      <c r="A4796" t="str">
        <f>"490624211"</f>
        <v>490624211</v>
      </c>
      <c r="B4796" t="str">
        <f t="shared" si="262"/>
        <v>89301000</v>
      </c>
      <c r="C4796" s="1">
        <v>44472</v>
      </c>
      <c r="D4796" s="1">
        <v>44475</v>
      </c>
      <c r="E4796">
        <v>1</v>
      </c>
      <c r="F4796" t="s">
        <v>3517</v>
      </c>
      <c r="G4796" t="str">
        <f>"08-M03-05"</f>
        <v>08-M03-05</v>
      </c>
      <c r="H4796">
        <v>0.51759999999999995</v>
      </c>
      <c r="J4796" t="s">
        <v>14</v>
      </c>
      <c r="K4796" t="str">
        <f>"6F6"</f>
        <v>6F6</v>
      </c>
      <c r="L4796" t="s">
        <v>15</v>
      </c>
    </row>
    <row r="4797" spans="1:12" x14ac:dyDescent="0.25">
      <c r="A4797" t="str">
        <f>"490703066"</f>
        <v>490703066</v>
      </c>
      <c r="B4797" t="str">
        <f t="shared" si="262"/>
        <v>89301000</v>
      </c>
      <c r="C4797" s="1">
        <v>44375</v>
      </c>
      <c r="D4797" s="1">
        <v>44384</v>
      </c>
      <c r="E4797">
        <v>8</v>
      </c>
      <c r="F4797" t="s">
        <v>538</v>
      </c>
      <c r="G4797" t="str">
        <f>"18-K01-05"</f>
        <v>18-K01-05</v>
      </c>
      <c r="H4797">
        <v>1.6713</v>
      </c>
      <c r="I4797" t="s">
        <v>3518</v>
      </c>
      <c r="J4797" t="s">
        <v>14</v>
      </c>
      <c r="K4797" t="str">
        <f>"1T1"</f>
        <v>1T1</v>
      </c>
      <c r="L4797" t="s">
        <v>15</v>
      </c>
    </row>
    <row r="4798" spans="1:12" x14ac:dyDescent="0.25">
      <c r="A4798" t="str">
        <f>"490703066"</f>
        <v>490703066</v>
      </c>
      <c r="B4798" t="str">
        <f t="shared" si="262"/>
        <v>89301000</v>
      </c>
      <c r="C4798" s="1">
        <v>44341</v>
      </c>
      <c r="D4798" s="1">
        <v>44347</v>
      </c>
      <c r="E4798">
        <v>1</v>
      </c>
      <c r="F4798" t="s">
        <v>2366</v>
      </c>
      <c r="G4798" t="str">
        <f>"02-I09-03"</f>
        <v>02-I09-03</v>
      </c>
      <c r="H4798">
        <v>0.92979999999999996</v>
      </c>
      <c r="I4798" t="s">
        <v>3519</v>
      </c>
      <c r="J4798" t="s">
        <v>14</v>
      </c>
      <c r="K4798" t="str">
        <f>"7F5"</f>
        <v>7F5</v>
      </c>
      <c r="L4798" t="s">
        <v>15</v>
      </c>
    </row>
    <row r="4799" spans="1:12" x14ac:dyDescent="0.25">
      <c r="A4799" t="str">
        <f>"490703066"</f>
        <v>490703066</v>
      </c>
      <c r="B4799" t="str">
        <f t="shared" si="262"/>
        <v>89301000</v>
      </c>
      <c r="C4799" s="1">
        <v>44278</v>
      </c>
      <c r="D4799" s="1">
        <v>44284</v>
      </c>
      <c r="E4799">
        <v>1</v>
      </c>
      <c r="F4799" t="s">
        <v>2366</v>
      </c>
      <c r="G4799" t="str">
        <f>"02-I09-03"</f>
        <v>02-I09-03</v>
      </c>
      <c r="H4799">
        <v>0.92979999999999996</v>
      </c>
      <c r="I4799" t="s">
        <v>3520</v>
      </c>
      <c r="J4799" t="s">
        <v>14</v>
      </c>
      <c r="K4799" t="str">
        <f>"7F5"</f>
        <v>7F5</v>
      </c>
      <c r="L4799" t="s">
        <v>15</v>
      </c>
    </row>
    <row r="4800" spans="1:12" x14ac:dyDescent="0.25">
      <c r="A4800" t="str">
        <f>"490719057"</f>
        <v>490719057</v>
      </c>
      <c r="B4800" t="str">
        <f t="shared" si="262"/>
        <v>89301000</v>
      </c>
      <c r="C4800" s="1">
        <v>44347</v>
      </c>
      <c r="D4800" s="1">
        <v>44350</v>
      </c>
      <c r="E4800">
        <v>7</v>
      </c>
      <c r="F4800" t="s">
        <v>3521</v>
      </c>
      <c r="G4800" t="str">
        <f>"01-K11-01"</f>
        <v>01-K11-01</v>
      </c>
      <c r="H4800">
        <v>2.3525999999999998</v>
      </c>
      <c r="I4800" t="s">
        <v>3522</v>
      </c>
      <c r="J4800" t="s">
        <v>14</v>
      </c>
      <c r="K4800" t="str">
        <f>"2T9"</f>
        <v>2T9</v>
      </c>
      <c r="L4800" t="s">
        <v>15</v>
      </c>
    </row>
    <row r="4801" spans="1:12" x14ac:dyDescent="0.25">
      <c r="A4801" t="str">
        <f>"490725002"</f>
        <v>490725002</v>
      </c>
      <c r="B4801" t="str">
        <f t="shared" si="262"/>
        <v>89301000</v>
      </c>
      <c r="C4801" s="1">
        <v>44205</v>
      </c>
      <c r="D4801" s="1">
        <v>44208</v>
      </c>
      <c r="E4801">
        <v>5</v>
      </c>
      <c r="F4801" t="s">
        <v>217</v>
      </c>
      <c r="G4801" t="str">
        <f>"04-K02-04"</f>
        <v>04-K02-04</v>
      </c>
      <c r="H4801">
        <v>0.82469999999999999</v>
      </c>
      <c r="I4801" t="s">
        <v>3523</v>
      </c>
      <c r="J4801" t="s">
        <v>14</v>
      </c>
      <c r="K4801" t="str">
        <f>"1F1"</f>
        <v>1F1</v>
      </c>
      <c r="L4801" t="s">
        <v>15</v>
      </c>
    </row>
    <row r="4802" spans="1:12" x14ac:dyDescent="0.25">
      <c r="A4802" t="str">
        <f>"490725068"</f>
        <v>490725068</v>
      </c>
      <c r="B4802" t="str">
        <f t="shared" si="262"/>
        <v>89301000</v>
      </c>
      <c r="C4802" s="1">
        <v>44515</v>
      </c>
      <c r="D4802" s="1">
        <v>44516</v>
      </c>
      <c r="E4802">
        <v>1</v>
      </c>
      <c r="F4802" t="s">
        <v>1557</v>
      </c>
      <c r="G4802" t="str">
        <f>"05-M06-08"</f>
        <v>05-M06-08</v>
      </c>
      <c r="H4802">
        <v>1.4719</v>
      </c>
      <c r="I4802" t="s">
        <v>1959</v>
      </c>
      <c r="J4802" t="s">
        <v>17</v>
      </c>
      <c r="K4802" t="str">
        <f>"1F1"</f>
        <v>1F1</v>
      </c>
      <c r="L4802" t="s">
        <v>15</v>
      </c>
    </row>
    <row r="4803" spans="1:12" x14ac:dyDescent="0.25">
      <c r="A4803" t="str">
        <f>"490725068"</f>
        <v>490725068</v>
      </c>
      <c r="B4803" t="str">
        <f t="shared" si="262"/>
        <v>89301000</v>
      </c>
      <c r="C4803" s="1">
        <v>44463</v>
      </c>
      <c r="D4803" s="1">
        <v>44466</v>
      </c>
      <c r="E4803">
        <v>1</v>
      </c>
      <c r="F4803" t="s">
        <v>1683</v>
      </c>
      <c r="G4803" t="str">
        <f>"05-M06-06"</f>
        <v>05-M06-06</v>
      </c>
      <c r="H4803">
        <v>1.7652000000000001</v>
      </c>
      <c r="I4803" t="s">
        <v>2428</v>
      </c>
      <c r="J4803" t="s">
        <v>17</v>
      </c>
      <c r="K4803" t="str">
        <f>"1F1"</f>
        <v>1F1</v>
      </c>
      <c r="L4803" t="s">
        <v>15</v>
      </c>
    </row>
    <row r="4804" spans="1:12" x14ac:dyDescent="0.25">
      <c r="A4804" t="str">
        <f>"490725068"</f>
        <v>490725068</v>
      </c>
      <c r="B4804" t="str">
        <f t="shared" si="262"/>
        <v>89301000</v>
      </c>
      <c r="C4804" s="1">
        <v>44395</v>
      </c>
      <c r="D4804" s="1">
        <v>44398</v>
      </c>
      <c r="E4804">
        <v>1</v>
      </c>
      <c r="F4804" t="s">
        <v>31</v>
      </c>
      <c r="G4804" t="str">
        <f>"08-I04-02"</f>
        <v>08-I04-02</v>
      </c>
      <c r="H4804">
        <v>1.6718999999999999</v>
      </c>
      <c r="I4804" t="s">
        <v>489</v>
      </c>
      <c r="J4804" t="s">
        <v>17</v>
      </c>
      <c r="K4804" t="str">
        <f>"5F6"</f>
        <v>5F6</v>
      </c>
      <c r="L4804" t="s">
        <v>15</v>
      </c>
    </row>
    <row r="4805" spans="1:12" x14ac:dyDescent="0.25">
      <c r="A4805" t="str">
        <f>"490730327"</f>
        <v>490730327</v>
      </c>
      <c r="B4805" t="str">
        <f t="shared" si="262"/>
        <v>89301000</v>
      </c>
      <c r="C4805" s="1">
        <v>44235</v>
      </c>
      <c r="D4805" s="1">
        <v>44242</v>
      </c>
      <c r="E4805">
        <v>1</v>
      </c>
      <c r="F4805" t="s">
        <v>3524</v>
      </c>
      <c r="G4805" t="str">
        <f>"02-I06-01"</f>
        <v>02-I06-01</v>
      </c>
      <c r="H4805">
        <v>1.3171999999999999</v>
      </c>
      <c r="I4805" t="s">
        <v>3525</v>
      </c>
      <c r="J4805" t="s">
        <v>17</v>
      </c>
      <c r="K4805" t="str">
        <f>"7F5"</f>
        <v>7F5</v>
      </c>
      <c r="L4805" t="s">
        <v>15</v>
      </c>
    </row>
    <row r="4806" spans="1:12" x14ac:dyDescent="0.25">
      <c r="A4806" t="str">
        <f>"490802029"</f>
        <v>490802029</v>
      </c>
      <c r="B4806" t="str">
        <f t="shared" si="262"/>
        <v>89301000</v>
      </c>
      <c r="C4806" s="1">
        <v>44442</v>
      </c>
      <c r="D4806" s="1">
        <v>44466</v>
      </c>
      <c r="E4806">
        <v>1</v>
      </c>
      <c r="F4806" t="s">
        <v>1569</v>
      </c>
      <c r="G4806" t="str">
        <f>"09-R01-08"</f>
        <v>09-R01-08</v>
      </c>
      <c r="H4806">
        <v>1.5649999999999999</v>
      </c>
      <c r="I4806" t="s">
        <v>3526</v>
      </c>
      <c r="J4806" t="s">
        <v>14</v>
      </c>
      <c r="K4806" t="str">
        <f>"4F2"</f>
        <v>4F2</v>
      </c>
      <c r="L4806" t="s">
        <v>15</v>
      </c>
    </row>
    <row r="4807" spans="1:12" x14ac:dyDescent="0.25">
      <c r="A4807" t="str">
        <f>"490806010"</f>
        <v>490806010</v>
      </c>
      <c r="B4807" t="str">
        <f t="shared" si="262"/>
        <v>89301000</v>
      </c>
      <c r="C4807" s="1">
        <v>44214</v>
      </c>
      <c r="D4807" s="1">
        <v>44230</v>
      </c>
      <c r="E4807">
        <v>1</v>
      </c>
      <c r="F4807" t="s">
        <v>109</v>
      </c>
      <c r="G4807" t="str">
        <f>"24-M07-02"</f>
        <v>24-M07-02</v>
      </c>
      <c r="H4807">
        <v>1.5094000000000001</v>
      </c>
      <c r="I4807" t="s">
        <v>3527</v>
      </c>
      <c r="J4807" t="s">
        <v>14</v>
      </c>
      <c r="K4807" t="str">
        <f>"2F1"</f>
        <v>2F1</v>
      </c>
      <c r="L4807" t="s">
        <v>15</v>
      </c>
    </row>
    <row r="4808" spans="1:12" x14ac:dyDescent="0.25">
      <c r="A4808" t="str">
        <f>"490817076"</f>
        <v>490817076</v>
      </c>
      <c r="B4808" t="str">
        <f t="shared" si="262"/>
        <v>89301000</v>
      </c>
      <c r="C4808" s="1">
        <v>44286</v>
      </c>
      <c r="D4808" s="1">
        <v>44286</v>
      </c>
      <c r="E4808">
        <v>1</v>
      </c>
      <c r="F4808" t="s">
        <v>1557</v>
      </c>
      <c r="G4808" t="str">
        <f>"05-M06-08"</f>
        <v>05-M06-08</v>
      </c>
      <c r="H4808">
        <v>1.1200000000000001</v>
      </c>
      <c r="I4808" t="s">
        <v>489</v>
      </c>
      <c r="J4808" t="s">
        <v>17</v>
      </c>
      <c r="K4808" t="str">
        <f>"1F1"</f>
        <v>1F1</v>
      </c>
      <c r="L4808" t="s">
        <v>15</v>
      </c>
    </row>
    <row r="4809" spans="1:12" x14ac:dyDescent="0.25">
      <c r="A4809" t="str">
        <f>"490817333"</f>
        <v>490817333</v>
      </c>
      <c r="B4809" t="str">
        <f t="shared" si="262"/>
        <v>89301000</v>
      </c>
      <c r="C4809" s="1">
        <v>44374</v>
      </c>
      <c r="D4809" s="1">
        <v>44392</v>
      </c>
      <c r="E4809">
        <v>1</v>
      </c>
      <c r="F4809" t="s">
        <v>1599</v>
      </c>
      <c r="G4809" t="str">
        <f>"00-M01-01"</f>
        <v>00-M01-01</v>
      </c>
      <c r="H4809">
        <v>16.479500000000002</v>
      </c>
      <c r="I4809" t="s">
        <v>3528</v>
      </c>
      <c r="J4809" t="s">
        <v>14</v>
      </c>
      <c r="K4809" t="str">
        <f>"1F1"</f>
        <v>1F1</v>
      </c>
      <c r="L4809" t="s">
        <v>15</v>
      </c>
    </row>
    <row r="4810" spans="1:12" x14ac:dyDescent="0.25">
      <c r="A4810" t="str">
        <f>"490821112"</f>
        <v>490821112</v>
      </c>
      <c r="B4810" t="str">
        <f t="shared" si="262"/>
        <v>89301000</v>
      </c>
      <c r="C4810" s="1">
        <v>44447</v>
      </c>
      <c r="D4810" s="1">
        <v>44455</v>
      </c>
      <c r="E4810">
        <v>1</v>
      </c>
      <c r="F4810" t="s">
        <v>3529</v>
      </c>
      <c r="G4810" t="str">
        <f>"06-I07-05"</f>
        <v>06-I07-05</v>
      </c>
      <c r="H4810">
        <v>2.8466999999999998</v>
      </c>
      <c r="I4810" t="s">
        <v>3530</v>
      </c>
      <c r="J4810" t="s">
        <v>17</v>
      </c>
      <c r="K4810" t="str">
        <f>"5F1"</f>
        <v>5F1</v>
      </c>
      <c r="L4810" t="s">
        <v>15</v>
      </c>
    </row>
    <row r="4811" spans="1:12" x14ac:dyDescent="0.25">
      <c r="A4811" t="str">
        <f>"490824007"</f>
        <v>490824007</v>
      </c>
      <c r="B4811" t="str">
        <f t="shared" si="262"/>
        <v>89301000</v>
      </c>
      <c r="C4811" s="1">
        <v>44228</v>
      </c>
      <c r="D4811" s="1">
        <v>44228</v>
      </c>
      <c r="E4811">
        <v>1</v>
      </c>
      <c r="F4811" t="s">
        <v>1567</v>
      </c>
      <c r="G4811" t="str">
        <f>"05-I25-03"</f>
        <v>05-I25-03</v>
      </c>
      <c r="H4811">
        <v>1.2622</v>
      </c>
      <c r="J4811" t="s">
        <v>17</v>
      </c>
      <c r="K4811" t="str">
        <f>"1F7"</f>
        <v>1F7</v>
      </c>
      <c r="L4811" t="s">
        <v>15</v>
      </c>
    </row>
    <row r="4812" spans="1:12" x14ac:dyDescent="0.25">
      <c r="A4812" t="str">
        <f>"490824069"</f>
        <v>490824069</v>
      </c>
      <c r="B4812" t="str">
        <f t="shared" si="262"/>
        <v>89301000</v>
      </c>
      <c r="C4812" s="1">
        <v>44511</v>
      </c>
      <c r="D4812" s="1">
        <v>44513</v>
      </c>
      <c r="E4812">
        <v>1</v>
      </c>
      <c r="F4812" t="s">
        <v>1569</v>
      </c>
      <c r="G4812" t="str">
        <f>"09-I13-05"</f>
        <v>09-I13-05</v>
      </c>
      <c r="H4812">
        <v>0.43659999999999999</v>
      </c>
      <c r="I4812" t="s">
        <v>3531</v>
      </c>
      <c r="J4812" t="s">
        <v>14</v>
      </c>
      <c r="K4812" t="str">
        <f>"6F5"</f>
        <v>6F5</v>
      </c>
      <c r="L4812" t="s">
        <v>15</v>
      </c>
    </row>
    <row r="4813" spans="1:12" x14ac:dyDescent="0.25">
      <c r="A4813" t="str">
        <f>"490824123"</f>
        <v>490824123</v>
      </c>
      <c r="B4813" t="str">
        <f t="shared" ref="B4813:B4876" si="263">"89301000"</f>
        <v>89301000</v>
      </c>
      <c r="C4813" s="1">
        <v>44250</v>
      </c>
      <c r="D4813" s="1">
        <v>44256</v>
      </c>
      <c r="E4813">
        <v>1</v>
      </c>
      <c r="F4813" t="s">
        <v>32</v>
      </c>
      <c r="G4813" t="str">
        <f>"08-I03-03"</f>
        <v>08-I03-03</v>
      </c>
      <c r="H4813">
        <v>5.3307000000000002</v>
      </c>
      <c r="I4813" t="s">
        <v>3532</v>
      </c>
      <c r="J4813" t="s">
        <v>17</v>
      </c>
      <c r="K4813" t="str">
        <f>"5F6"</f>
        <v>5F6</v>
      </c>
      <c r="L4813" t="s">
        <v>15</v>
      </c>
    </row>
    <row r="4814" spans="1:12" x14ac:dyDescent="0.25">
      <c r="A4814" t="str">
        <f>"490825285"</f>
        <v>490825285</v>
      </c>
      <c r="B4814" t="str">
        <f t="shared" si="263"/>
        <v>89301000</v>
      </c>
      <c r="C4814" s="1">
        <v>44536</v>
      </c>
      <c r="D4814" s="1">
        <v>44540</v>
      </c>
      <c r="E4814">
        <v>8</v>
      </c>
      <c r="F4814" t="s">
        <v>67</v>
      </c>
      <c r="G4814" t="str">
        <f>"01-C02-01"</f>
        <v>01-C02-01</v>
      </c>
      <c r="H4814">
        <v>2.4643000000000002</v>
      </c>
      <c r="I4814" t="s">
        <v>3533</v>
      </c>
      <c r="J4814" t="s">
        <v>14</v>
      </c>
      <c r="K4814" t="str">
        <f>"2T9"</f>
        <v>2T9</v>
      </c>
      <c r="L4814" t="s">
        <v>15</v>
      </c>
    </row>
    <row r="4815" spans="1:12" x14ac:dyDescent="0.25">
      <c r="A4815" t="str">
        <f>"490830030"</f>
        <v>490830030</v>
      </c>
      <c r="B4815" t="str">
        <f t="shared" si="263"/>
        <v>89301000</v>
      </c>
      <c r="C4815" s="1">
        <v>44242</v>
      </c>
      <c r="D4815" s="1">
        <v>44248</v>
      </c>
      <c r="E4815">
        <v>1</v>
      </c>
      <c r="F4815" t="s">
        <v>65</v>
      </c>
      <c r="G4815" t="str">
        <f>"21-K06-00"</f>
        <v>21-K06-00</v>
      </c>
      <c r="H4815">
        <v>0.49320000000000003</v>
      </c>
      <c r="I4815" t="s">
        <v>3534</v>
      </c>
      <c r="J4815" t="s">
        <v>14</v>
      </c>
      <c r="K4815" t="str">
        <f>"5F5"</f>
        <v>5F5</v>
      </c>
      <c r="L4815" t="s">
        <v>15</v>
      </c>
    </row>
    <row r="4816" spans="1:12" x14ac:dyDescent="0.25">
      <c r="A4816" t="str">
        <f>"490830030"</f>
        <v>490830030</v>
      </c>
      <c r="B4816" t="str">
        <f t="shared" si="263"/>
        <v>89301000</v>
      </c>
      <c r="C4816" s="1">
        <v>44347</v>
      </c>
      <c r="D4816" s="1">
        <v>44355</v>
      </c>
      <c r="E4816">
        <v>1</v>
      </c>
      <c r="F4816" t="s">
        <v>575</v>
      </c>
      <c r="G4816" t="str">
        <f>"18-K02-03"</f>
        <v>18-K02-03</v>
      </c>
      <c r="H4816">
        <v>0.87570000000000003</v>
      </c>
      <c r="I4816" t="s">
        <v>3535</v>
      </c>
      <c r="J4816" t="s">
        <v>14</v>
      </c>
      <c r="K4816" t="str">
        <f>"5F5"</f>
        <v>5F5</v>
      </c>
      <c r="L4816" t="s">
        <v>15</v>
      </c>
    </row>
    <row r="4817" spans="1:12" x14ac:dyDescent="0.25">
      <c r="A4817" t="str">
        <f>"490830030"</f>
        <v>490830030</v>
      </c>
      <c r="B4817" t="str">
        <f t="shared" si="263"/>
        <v>89301000</v>
      </c>
      <c r="C4817" s="1">
        <v>44378</v>
      </c>
      <c r="D4817" s="1">
        <v>44380</v>
      </c>
      <c r="E4817">
        <v>1</v>
      </c>
      <c r="F4817" t="s">
        <v>3536</v>
      </c>
      <c r="G4817" t="str">
        <f>"03-K09-01"</f>
        <v>03-K09-01</v>
      </c>
      <c r="H4817">
        <v>0.59919999999999995</v>
      </c>
      <c r="I4817" t="s">
        <v>3537</v>
      </c>
      <c r="J4817" t="s">
        <v>14</v>
      </c>
      <c r="K4817" t="str">
        <f>"7F1"</f>
        <v>7F1</v>
      </c>
      <c r="L4817" t="s">
        <v>15</v>
      </c>
    </row>
    <row r="4818" spans="1:12" x14ac:dyDescent="0.25">
      <c r="A4818" t="str">
        <f>"490907006"</f>
        <v>490907006</v>
      </c>
      <c r="B4818" t="str">
        <f t="shared" si="263"/>
        <v>89301000</v>
      </c>
      <c r="C4818" s="1">
        <v>44519</v>
      </c>
      <c r="D4818" s="1">
        <v>44530</v>
      </c>
      <c r="E4818">
        <v>5</v>
      </c>
      <c r="F4818" t="s">
        <v>217</v>
      </c>
      <c r="G4818" t="str">
        <f>"04-K02-02"</f>
        <v>04-K02-02</v>
      </c>
      <c r="H4818">
        <v>2.5186000000000002</v>
      </c>
      <c r="I4818" t="s">
        <v>2879</v>
      </c>
      <c r="J4818" t="s">
        <v>14</v>
      </c>
      <c r="K4818" t="str">
        <f>"5F1"</f>
        <v>5F1</v>
      </c>
      <c r="L4818" t="s">
        <v>15</v>
      </c>
    </row>
    <row r="4819" spans="1:12" x14ac:dyDescent="0.25">
      <c r="A4819" t="str">
        <f>"490917150"</f>
        <v>490917150</v>
      </c>
      <c r="B4819" t="str">
        <f t="shared" si="263"/>
        <v>89301000</v>
      </c>
      <c r="C4819" s="1">
        <v>44384</v>
      </c>
      <c r="D4819" s="1">
        <v>44385</v>
      </c>
      <c r="E4819">
        <v>1</v>
      </c>
      <c r="F4819" t="s">
        <v>3538</v>
      </c>
      <c r="G4819" t="str">
        <f>"08-C03-02"</f>
        <v>08-C03-02</v>
      </c>
      <c r="H4819">
        <v>1.0651999999999999</v>
      </c>
      <c r="I4819" t="s">
        <v>3539</v>
      </c>
      <c r="J4819" t="s">
        <v>14</v>
      </c>
      <c r="K4819" t="str">
        <f t="shared" ref="K4819:K4824" si="264">"4F2"</f>
        <v>4F2</v>
      </c>
      <c r="L4819" t="s">
        <v>15</v>
      </c>
    </row>
    <row r="4820" spans="1:12" x14ac:dyDescent="0.25">
      <c r="A4820" t="str">
        <f>"490917150"</f>
        <v>490917150</v>
      </c>
      <c r="B4820" t="str">
        <f t="shared" si="263"/>
        <v>89301000</v>
      </c>
      <c r="C4820" s="1">
        <v>44376</v>
      </c>
      <c r="D4820" s="1">
        <v>44377</v>
      </c>
      <c r="E4820">
        <v>1</v>
      </c>
      <c r="F4820" t="s">
        <v>3538</v>
      </c>
      <c r="G4820" t="str">
        <f>"08-C03-02"</f>
        <v>08-C03-02</v>
      </c>
      <c r="H4820">
        <v>1.0651999999999999</v>
      </c>
      <c r="I4820" t="s">
        <v>3539</v>
      </c>
      <c r="J4820" t="s">
        <v>14</v>
      </c>
      <c r="K4820" t="str">
        <f t="shared" si="264"/>
        <v>4F2</v>
      </c>
      <c r="L4820" t="s">
        <v>15</v>
      </c>
    </row>
    <row r="4821" spans="1:12" x14ac:dyDescent="0.25">
      <c r="A4821" t="str">
        <f>"490917150"</f>
        <v>490917150</v>
      </c>
      <c r="B4821" t="str">
        <f t="shared" si="263"/>
        <v>89301000</v>
      </c>
      <c r="C4821" s="1">
        <v>44362</v>
      </c>
      <c r="D4821" s="1">
        <v>44363</v>
      </c>
      <c r="E4821">
        <v>1</v>
      </c>
      <c r="F4821" t="s">
        <v>3538</v>
      </c>
      <c r="G4821" t="str">
        <f>"08-C03-02"</f>
        <v>08-C03-02</v>
      </c>
      <c r="H4821">
        <v>1.0651999999999999</v>
      </c>
      <c r="I4821" t="s">
        <v>2558</v>
      </c>
      <c r="J4821" t="s">
        <v>14</v>
      </c>
      <c r="K4821" t="str">
        <f t="shared" si="264"/>
        <v>4F2</v>
      </c>
      <c r="L4821" t="s">
        <v>15</v>
      </c>
    </row>
    <row r="4822" spans="1:12" x14ac:dyDescent="0.25">
      <c r="A4822" t="str">
        <f>"490917150"</f>
        <v>490917150</v>
      </c>
      <c r="B4822" t="str">
        <f t="shared" si="263"/>
        <v>89301000</v>
      </c>
      <c r="C4822" s="1">
        <v>44348</v>
      </c>
      <c r="D4822" s="1">
        <v>44350</v>
      </c>
      <c r="E4822">
        <v>1</v>
      </c>
      <c r="F4822" t="s">
        <v>3538</v>
      </c>
      <c r="G4822" t="str">
        <f>"08-C03-02"</f>
        <v>08-C03-02</v>
      </c>
      <c r="H4822">
        <v>1.0651999999999999</v>
      </c>
      <c r="I4822" t="s">
        <v>3540</v>
      </c>
      <c r="J4822" t="s">
        <v>14</v>
      </c>
      <c r="K4822" t="str">
        <f t="shared" si="264"/>
        <v>4F2</v>
      </c>
      <c r="L4822" t="s">
        <v>15</v>
      </c>
    </row>
    <row r="4823" spans="1:12" x14ac:dyDescent="0.25">
      <c r="A4823" t="str">
        <f>"490917150"</f>
        <v>490917150</v>
      </c>
      <c r="B4823" t="str">
        <f t="shared" si="263"/>
        <v>89301000</v>
      </c>
      <c r="C4823" s="1">
        <v>44391</v>
      </c>
      <c r="D4823" s="1">
        <v>44414</v>
      </c>
      <c r="E4823">
        <v>7</v>
      </c>
      <c r="F4823" t="s">
        <v>3538</v>
      </c>
      <c r="G4823" t="str">
        <f>"08-K09-02"</f>
        <v>08-K09-02</v>
      </c>
      <c r="H4823">
        <v>2.4359999999999999</v>
      </c>
      <c r="I4823" t="s">
        <v>3541</v>
      </c>
      <c r="J4823" t="s">
        <v>14</v>
      </c>
      <c r="K4823" t="str">
        <f t="shared" si="264"/>
        <v>4F2</v>
      </c>
      <c r="L4823" t="s">
        <v>15</v>
      </c>
    </row>
    <row r="4824" spans="1:12" x14ac:dyDescent="0.25">
      <c r="A4824" t="str">
        <f>"490917359"</f>
        <v>490917359</v>
      </c>
      <c r="B4824" t="str">
        <f t="shared" si="263"/>
        <v>89301000</v>
      </c>
      <c r="C4824" s="1">
        <v>44420</v>
      </c>
      <c r="D4824" s="1">
        <v>44421</v>
      </c>
      <c r="E4824">
        <v>1</v>
      </c>
      <c r="F4824" t="s">
        <v>2513</v>
      </c>
      <c r="G4824" t="str">
        <f>"06-K14-02"</f>
        <v>06-K14-02</v>
      </c>
      <c r="H4824">
        <v>0.57279999999999998</v>
      </c>
      <c r="I4824" t="s">
        <v>3542</v>
      </c>
      <c r="J4824" t="s">
        <v>14</v>
      </c>
      <c r="K4824" t="str">
        <f t="shared" si="264"/>
        <v>4F2</v>
      </c>
      <c r="L4824" t="s">
        <v>15</v>
      </c>
    </row>
    <row r="4825" spans="1:12" x14ac:dyDescent="0.25">
      <c r="A4825" t="str">
        <f>"490917359"</f>
        <v>490917359</v>
      </c>
      <c r="B4825" t="str">
        <f t="shared" si="263"/>
        <v>89301000</v>
      </c>
      <c r="C4825" s="1">
        <v>44354</v>
      </c>
      <c r="D4825" s="1">
        <v>44369</v>
      </c>
      <c r="E4825">
        <v>1</v>
      </c>
      <c r="F4825" t="s">
        <v>699</v>
      </c>
      <c r="G4825" t="str">
        <f>"16-K02-01"</f>
        <v>16-K02-01</v>
      </c>
      <c r="H4825">
        <v>1.2647999999999999</v>
      </c>
      <c r="I4825" t="s">
        <v>3543</v>
      </c>
      <c r="J4825" t="s">
        <v>14</v>
      </c>
      <c r="K4825" t="str">
        <f>"1F1"</f>
        <v>1F1</v>
      </c>
      <c r="L4825" t="s">
        <v>15</v>
      </c>
    </row>
    <row r="4826" spans="1:12" x14ac:dyDescent="0.25">
      <c r="A4826" t="str">
        <f>"490917359"</f>
        <v>490917359</v>
      </c>
      <c r="B4826" t="str">
        <f t="shared" si="263"/>
        <v>89301000</v>
      </c>
      <c r="C4826" s="1">
        <v>44405</v>
      </c>
      <c r="D4826" s="1">
        <v>44408</v>
      </c>
      <c r="E4826">
        <v>1</v>
      </c>
      <c r="F4826" t="s">
        <v>2513</v>
      </c>
      <c r="G4826" t="str">
        <f>"06-C02-03"</f>
        <v>06-C02-03</v>
      </c>
      <c r="H4826">
        <v>0.25769999999999998</v>
      </c>
      <c r="I4826" t="s">
        <v>2946</v>
      </c>
      <c r="J4826" t="s">
        <v>14</v>
      </c>
      <c r="K4826" t="str">
        <f>"4F2"</f>
        <v>4F2</v>
      </c>
      <c r="L4826" t="s">
        <v>15</v>
      </c>
    </row>
    <row r="4827" spans="1:12" x14ac:dyDescent="0.25">
      <c r="A4827" t="str">
        <f>"490923187"</f>
        <v>490923187</v>
      </c>
      <c r="B4827" t="str">
        <f t="shared" si="263"/>
        <v>89301000</v>
      </c>
      <c r="C4827" s="1">
        <v>44392</v>
      </c>
      <c r="D4827" s="1">
        <v>44393</v>
      </c>
      <c r="E4827">
        <v>1</v>
      </c>
      <c r="F4827" t="s">
        <v>283</v>
      </c>
      <c r="G4827" t="str">
        <f>"16-K02-02"</f>
        <v>16-K02-02</v>
      </c>
      <c r="H4827">
        <v>0.77459999999999996</v>
      </c>
      <c r="I4827" t="s">
        <v>3544</v>
      </c>
      <c r="J4827" t="s">
        <v>14</v>
      </c>
      <c r="K4827" t="str">
        <f>"1F1"</f>
        <v>1F1</v>
      </c>
      <c r="L4827" t="s">
        <v>15</v>
      </c>
    </row>
    <row r="4828" spans="1:12" x14ac:dyDescent="0.25">
      <c r="A4828" t="str">
        <f>"491012014"</f>
        <v>491012014</v>
      </c>
      <c r="B4828" t="str">
        <f t="shared" si="263"/>
        <v>89301000</v>
      </c>
      <c r="C4828" s="1">
        <v>44467</v>
      </c>
      <c r="D4828" s="1">
        <v>44468</v>
      </c>
      <c r="E4828">
        <v>5</v>
      </c>
      <c r="F4828" t="s">
        <v>979</v>
      </c>
      <c r="G4828" t="str">
        <f>"04-K02-03"</f>
        <v>04-K02-03</v>
      </c>
      <c r="H4828">
        <v>0.6724</v>
      </c>
      <c r="I4828" t="s">
        <v>3545</v>
      </c>
      <c r="J4828" t="s">
        <v>14</v>
      </c>
      <c r="K4828" t="str">
        <f>"1T1"</f>
        <v>1T1</v>
      </c>
      <c r="L4828" t="s">
        <v>15</v>
      </c>
    </row>
    <row r="4829" spans="1:12" x14ac:dyDescent="0.25">
      <c r="A4829" t="str">
        <f>"491015102"</f>
        <v>491015102</v>
      </c>
      <c r="B4829" t="str">
        <f t="shared" si="263"/>
        <v>89301000</v>
      </c>
      <c r="C4829" s="1">
        <v>44357</v>
      </c>
      <c r="D4829" s="1">
        <v>44361</v>
      </c>
      <c r="E4829">
        <v>1</v>
      </c>
      <c r="F4829" t="s">
        <v>593</v>
      </c>
      <c r="G4829" t="str">
        <f>"07-I10-06"</f>
        <v>07-I10-06</v>
      </c>
      <c r="H4829">
        <v>0.9728</v>
      </c>
      <c r="I4829" t="s">
        <v>475</v>
      </c>
      <c r="J4829" t="s">
        <v>17</v>
      </c>
      <c r="K4829" t="str">
        <f>"5F1"</f>
        <v>5F1</v>
      </c>
      <c r="L4829" t="s">
        <v>15</v>
      </c>
    </row>
    <row r="4830" spans="1:12" x14ac:dyDescent="0.25">
      <c r="A4830" t="str">
        <f t="shared" ref="A4830:A4837" si="265">"491021200"</f>
        <v>491021200</v>
      </c>
      <c r="B4830" t="str">
        <f t="shared" si="263"/>
        <v>89301000</v>
      </c>
      <c r="C4830" s="1">
        <v>44217</v>
      </c>
      <c r="D4830" s="1">
        <v>44222</v>
      </c>
      <c r="E4830">
        <v>1</v>
      </c>
      <c r="F4830" t="s">
        <v>1914</v>
      </c>
      <c r="G4830" t="str">
        <f>"04-K09-03"</f>
        <v>04-K09-03</v>
      </c>
      <c r="H4830">
        <v>0.62749999999999995</v>
      </c>
      <c r="I4830" t="s">
        <v>3546</v>
      </c>
      <c r="J4830" t="s">
        <v>14</v>
      </c>
      <c r="K4830" t="str">
        <f t="shared" ref="K4830:K4836" si="266">"2F5"</f>
        <v>2F5</v>
      </c>
      <c r="L4830" t="s">
        <v>15</v>
      </c>
    </row>
    <row r="4831" spans="1:12" x14ac:dyDescent="0.25">
      <c r="A4831" t="str">
        <f t="shared" si="265"/>
        <v>491021200</v>
      </c>
      <c r="B4831" t="str">
        <f t="shared" si="263"/>
        <v>89301000</v>
      </c>
      <c r="C4831" s="1">
        <v>44228</v>
      </c>
      <c r="D4831" s="1">
        <v>44231</v>
      </c>
      <c r="E4831">
        <v>1</v>
      </c>
      <c r="F4831" t="s">
        <v>1914</v>
      </c>
      <c r="G4831" t="str">
        <f>"04-C02-02"</f>
        <v>04-C02-02</v>
      </c>
      <c r="H4831">
        <v>0.3589</v>
      </c>
      <c r="I4831" t="s">
        <v>3547</v>
      </c>
      <c r="J4831" t="s">
        <v>14</v>
      </c>
      <c r="K4831" t="str">
        <f t="shared" si="266"/>
        <v>2F5</v>
      </c>
      <c r="L4831" t="s">
        <v>15</v>
      </c>
    </row>
    <row r="4832" spans="1:12" x14ac:dyDescent="0.25">
      <c r="A4832" t="str">
        <f t="shared" si="265"/>
        <v>491021200</v>
      </c>
      <c r="B4832" t="str">
        <f t="shared" si="263"/>
        <v>89301000</v>
      </c>
      <c r="C4832" s="1">
        <v>44285</v>
      </c>
      <c r="D4832" s="1">
        <v>44287</v>
      </c>
      <c r="E4832">
        <v>1</v>
      </c>
      <c r="F4832" t="s">
        <v>1914</v>
      </c>
      <c r="G4832" t="str">
        <f>"04-C02-02"</f>
        <v>04-C02-02</v>
      </c>
      <c r="H4832">
        <v>0.3589</v>
      </c>
      <c r="I4832" t="s">
        <v>3548</v>
      </c>
      <c r="J4832" t="s">
        <v>14</v>
      </c>
      <c r="K4832" t="str">
        <f t="shared" si="266"/>
        <v>2F5</v>
      </c>
      <c r="L4832" t="s">
        <v>15</v>
      </c>
    </row>
    <row r="4833" spans="1:12" x14ac:dyDescent="0.25">
      <c r="A4833" t="str">
        <f t="shared" si="265"/>
        <v>491021200</v>
      </c>
      <c r="B4833" t="str">
        <f t="shared" si="263"/>
        <v>89301000</v>
      </c>
      <c r="C4833" s="1">
        <v>44305</v>
      </c>
      <c r="D4833" s="1">
        <v>44309</v>
      </c>
      <c r="E4833">
        <v>1</v>
      </c>
      <c r="F4833" t="s">
        <v>1914</v>
      </c>
      <c r="G4833" t="str">
        <f>"04-C02-02"</f>
        <v>04-C02-02</v>
      </c>
      <c r="H4833">
        <v>0.36399999999999999</v>
      </c>
      <c r="I4833" t="s">
        <v>3549</v>
      </c>
      <c r="J4833" t="s">
        <v>14</v>
      </c>
      <c r="K4833" t="str">
        <f t="shared" si="266"/>
        <v>2F5</v>
      </c>
      <c r="L4833" t="s">
        <v>15</v>
      </c>
    </row>
    <row r="4834" spans="1:12" x14ac:dyDescent="0.25">
      <c r="A4834" t="str">
        <f t="shared" si="265"/>
        <v>491021200</v>
      </c>
      <c r="B4834" t="str">
        <f t="shared" si="263"/>
        <v>89301000</v>
      </c>
      <c r="C4834" s="1">
        <v>44256</v>
      </c>
      <c r="D4834" s="1">
        <v>44259</v>
      </c>
      <c r="E4834">
        <v>1</v>
      </c>
      <c r="F4834" t="s">
        <v>1914</v>
      </c>
      <c r="G4834" t="str">
        <f>"04-C02-02"</f>
        <v>04-C02-02</v>
      </c>
      <c r="H4834">
        <v>0.89390000000000003</v>
      </c>
      <c r="I4834" t="s">
        <v>3550</v>
      </c>
      <c r="J4834" t="s">
        <v>14</v>
      </c>
      <c r="K4834" t="str">
        <f t="shared" si="266"/>
        <v>2F5</v>
      </c>
      <c r="L4834" t="s">
        <v>15</v>
      </c>
    </row>
    <row r="4835" spans="1:12" x14ac:dyDescent="0.25">
      <c r="A4835" t="str">
        <f t="shared" si="265"/>
        <v>491021200</v>
      </c>
      <c r="B4835" t="str">
        <f t="shared" si="263"/>
        <v>89301000</v>
      </c>
      <c r="C4835" s="1">
        <v>44348</v>
      </c>
      <c r="D4835" s="1">
        <v>44350</v>
      </c>
      <c r="E4835">
        <v>1</v>
      </c>
      <c r="F4835" t="s">
        <v>1914</v>
      </c>
      <c r="G4835" t="str">
        <f>"04-K09-02"</f>
        <v>04-K09-02</v>
      </c>
      <c r="H4835">
        <v>0.98060000000000003</v>
      </c>
      <c r="I4835" t="s">
        <v>3551</v>
      </c>
      <c r="J4835" t="s">
        <v>14</v>
      </c>
      <c r="K4835" t="str">
        <f t="shared" si="266"/>
        <v>2F5</v>
      </c>
      <c r="L4835" t="s">
        <v>15</v>
      </c>
    </row>
    <row r="4836" spans="1:12" x14ac:dyDescent="0.25">
      <c r="A4836" t="str">
        <f t="shared" si="265"/>
        <v>491021200</v>
      </c>
      <c r="B4836" t="str">
        <f t="shared" si="263"/>
        <v>89301000</v>
      </c>
      <c r="C4836" s="1">
        <v>44327</v>
      </c>
      <c r="D4836" s="1">
        <v>44329</v>
      </c>
      <c r="E4836">
        <v>1</v>
      </c>
      <c r="F4836" t="s">
        <v>1914</v>
      </c>
      <c r="G4836" t="str">
        <f>"04-C02-02"</f>
        <v>04-C02-02</v>
      </c>
      <c r="H4836">
        <v>0.3589</v>
      </c>
      <c r="I4836" t="s">
        <v>3552</v>
      </c>
      <c r="J4836" t="s">
        <v>14</v>
      </c>
      <c r="K4836" t="str">
        <f t="shared" si="266"/>
        <v>2F5</v>
      </c>
      <c r="L4836" t="s">
        <v>15</v>
      </c>
    </row>
    <row r="4837" spans="1:12" x14ac:dyDescent="0.25">
      <c r="A4837" t="str">
        <f t="shared" si="265"/>
        <v>491021200</v>
      </c>
      <c r="B4837" t="str">
        <f t="shared" si="263"/>
        <v>89301000</v>
      </c>
      <c r="C4837" s="1">
        <v>44191</v>
      </c>
      <c r="D4837" s="1">
        <v>44202</v>
      </c>
      <c r="E4837">
        <v>1</v>
      </c>
      <c r="F4837" t="s">
        <v>1833</v>
      </c>
      <c r="G4837" t="str">
        <f>"01-K12-01"</f>
        <v>01-K12-01</v>
      </c>
      <c r="H4837">
        <v>0.71289999999999998</v>
      </c>
      <c r="I4837" t="s">
        <v>3553</v>
      </c>
      <c r="J4837" t="s">
        <v>14</v>
      </c>
      <c r="K4837" t="str">
        <f>"1F1"</f>
        <v>1F1</v>
      </c>
      <c r="L4837" t="s">
        <v>15</v>
      </c>
    </row>
    <row r="4838" spans="1:12" x14ac:dyDescent="0.25">
      <c r="A4838" t="str">
        <f>"491021201"</f>
        <v>491021201</v>
      </c>
      <c r="B4838" t="str">
        <f t="shared" si="263"/>
        <v>89301000</v>
      </c>
      <c r="C4838" s="1">
        <v>44525</v>
      </c>
      <c r="D4838" s="1">
        <v>44531</v>
      </c>
      <c r="E4838">
        <v>3</v>
      </c>
      <c r="F4838" t="s">
        <v>1968</v>
      </c>
      <c r="G4838" t="str">
        <f>"08-I05-05"</f>
        <v>08-I05-05</v>
      </c>
      <c r="H4838">
        <v>2.2932000000000001</v>
      </c>
      <c r="I4838" t="s">
        <v>3554</v>
      </c>
      <c r="J4838" t="s">
        <v>17</v>
      </c>
      <c r="K4838" t="str">
        <f>"6F6"</f>
        <v>6F6</v>
      </c>
      <c r="L4838" t="s">
        <v>15</v>
      </c>
    </row>
    <row r="4839" spans="1:12" x14ac:dyDescent="0.25">
      <c r="A4839" t="str">
        <f>"491021201"</f>
        <v>491021201</v>
      </c>
      <c r="B4839" t="str">
        <f t="shared" si="263"/>
        <v>89301000</v>
      </c>
      <c r="C4839" s="1">
        <v>44531</v>
      </c>
      <c r="D4839" s="1">
        <v>44552</v>
      </c>
      <c r="E4839">
        <v>1</v>
      </c>
      <c r="F4839" t="s">
        <v>109</v>
      </c>
      <c r="G4839" t="str">
        <f>"24-M08-02"</f>
        <v>24-M08-02</v>
      </c>
      <c r="H4839">
        <v>2.3557000000000001</v>
      </c>
      <c r="I4839" t="s">
        <v>3555</v>
      </c>
      <c r="J4839" t="s">
        <v>14</v>
      </c>
      <c r="K4839" t="str">
        <f>"2F1"</f>
        <v>2F1</v>
      </c>
      <c r="L4839" t="s">
        <v>15</v>
      </c>
    </row>
    <row r="4840" spans="1:12" x14ac:dyDescent="0.25">
      <c r="A4840" t="str">
        <f>"491030116"</f>
        <v>491030116</v>
      </c>
      <c r="B4840" t="str">
        <f t="shared" si="263"/>
        <v>89301000</v>
      </c>
      <c r="C4840" s="1">
        <v>44547</v>
      </c>
      <c r="D4840" s="1">
        <v>44551</v>
      </c>
      <c r="E4840">
        <v>1</v>
      </c>
      <c r="F4840" t="s">
        <v>31</v>
      </c>
      <c r="G4840" t="str">
        <f>"08-I04-02"</f>
        <v>08-I04-02</v>
      </c>
      <c r="H4840">
        <v>1.6718999999999999</v>
      </c>
      <c r="I4840" t="s">
        <v>489</v>
      </c>
      <c r="J4840" t="s">
        <v>17</v>
      </c>
      <c r="K4840" t="str">
        <f>"5F6"</f>
        <v>5F6</v>
      </c>
      <c r="L4840" t="s">
        <v>15</v>
      </c>
    </row>
    <row r="4841" spans="1:12" x14ac:dyDescent="0.25">
      <c r="A4841" t="str">
        <f>"491102166"</f>
        <v>491102166</v>
      </c>
      <c r="B4841" t="str">
        <f t="shared" si="263"/>
        <v>89301000</v>
      </c>
      <c r="C4841" s="1">
        <v>44427</v>
      </c>
      <c r="D4841" s="1">
        <v>44431</v>
      </c>
      <c r="E4841">
        <v>1</v>
      </c>
      <c r="F4841" t="s">
        <v>2350</v>
      </c>
      <c r="G4841" t="str">
        <f>"01-I09-02"</f>
        <v>01-I09-02</v>
      </c>
      <c r="H4841">
        <v>1.5302</v>
      </c>
      <c r="I4841" t="s">
        <v>3556</v>
      </c>
      <c r="J4841" t="s">
        <v>17</v>
      </c>
      <c r="K4841" t="str">
        <f>"5F6"</f>
        <v>5F6</v>
      </c>
      <c r="L4841" t="s">
        <v>15</v>
      </c>
    </row>
    <row r="4842" spans="1:12" x14ac:dyDescent="0.25">
      <c r="A4842" t="str">
        <f>"491113038"</f>
        <v>491113038</v>
      </c>
      <c r="B4842" t="str">
        <f t="shared" si="263"/>
        <v>89301000</v>
      </c>
      <c r="C4842" s="1">
        <v>44355</v>
      </c>
      <c r="D4842" s="1">
        <v>44364</v>
      </c>
      <c r="E4842">
        <v>1</v>
      </c>
      <c r="F4842" t="s">
        <v>1555</v>
      </c>
      <c r="G4842" t="str">
        <f>"05-M07-04"</f>
        <v>05-M07-04</v>
      </c>
      <c r="H4842">
        <v>2.1638000000000002</v>
      </c>
      <c r="I4842" t="s">
        <v>3557</v>
      </c>
      <c r="J4842" t="s">
        <v>17</v>
      </c>
      <c r="K4842" t="str">
        <f>"5F1"</f>
        <v>5F1</v>
      </c>
      <c r="L4842" t="s">
        <v>15</v>
      </c>
    </row>
    <row r="4843" spans="1:12" x14ac:dyDescent="0.25">
      <c r="A4843" t="str">
        <f>"491114111"</f>
        <v>491114111</v>
      </c>
      <c r="B4843" t="str">
        <f t="shared" si="263"/>
        <v>89301000</v>
      </c>
      <c r="C4843" s="1">
        <v>44512</v>
      </c>
      <c r="D4843" s="1">
        <v>44512</v>
      </c>
      <c r="E4843">
        <v>1</v>
      </c>
      <c r="F4843" t="s">
        <v>1557</v>
      </c>
      <c r="G4843" t="str">
        <f>"05-D01-08"</f>
        <v>05-D01-08</v>
      </c>
      <c r="H4843">
        <v>0.21890000000000001</v>
      </c>
      <c r="I4843" t="s">
        <v>3558</v>
      </c>
      <c r="J4843" t="s">
        <v>14</v>
      </c>
      <c r="K4843" t="str">
        <f>"1F1"</f>
        <v>1F1</v>
      </c>
      <c r="L4843" t="s">
        <v>15</v>
      </c>
    </row>
    <row r="4844" spans="1:12" x14ac:dyDescent="0.25">
      <c r="A4844" t="str">
        <f>"491120274"</f>
        <v>491120274</v>
      </c>
      <c r="B4844" t="str">
        <f t="shared" si="263"/>
        <v>89301000</v>
      </c>
      <c r="C4844" s="1">
        <v>44523</v>
      </c>
      <c r="D4844" s="1">
        <v>44524</v>
      </c>
      <c r="E4844">
        <v>1</v>
      </c>
      <c r="F4844" t="s">
        <v>1955</v>
      </c>
      <c r="G4844" t="str">
        <f>"01-K04-02"</f>
        <v>01-K04-02</v>
      </c>
      <c r="H4844">
        <v>0.53510000000000002</v>
      </c>
      <c r="I4844" t="s">
        <v>3559</v>
      </c>
      <c r="J4844" t="s">
        <v>14</v>
      </c>
      <c r="K4844" t="str">
        <f>"2F9"</f>
        <v>2F9</v>
      </c>
      <c r="L4844" t="s">
        <v>15</v>
      </c>
    </row>
    <row r="4845" spans="1:12" x14ac:dyDescent="0.25">
      <c r="A4845" t="str">
        <f>"491129013"</f>
        <v>491129013</v>
      </c>
      <c r="B4845" t="str">
        <f t="shared" si="263"/>
        <v>89301000</v>
      </c>
      <c r="C4845" s="1">
        <v>44312</v>
      </c>
      <c r="D4845" s="1">
        <v>44313</v>
      </c>
      <c r="E4845">
        <v>7</v>
      </c>
      <c r="F4845" t="s">
        <v>962</v>
      </c>
      <c r="G4845" t="str">
        <f>"04-K08-01"</f>
        <v>04-K08-01</v>
      </c>
      <c r="H4845">
        <v>0.52829999999999999</v>
      </c>
      <c r="I4845" t="s">
        <v>3560</v>
      </c>
      <c r="J4845" t="s">
        <v>14</v>
      </c>
      <c r="K4845" t="str">
        <f>"5T1"</f>
        <v>5T1</v>
      </c>
      <c r="L4845" t="s">
        <v>15</v>
      </c>
    </row>
    <row r="4846" spans="1:12" x14ac:dyDescent="0.25">
      <c r="A4846" t="str">
        <f>"491129027"</f>
        <v>491129027</v>
      </c>
      <c r="B4846" t="str">
        <f t="shared" si="263"/>
        <v>89301000</v>
      </c>
      <c r="C4846" s="1">
        <v>44500</v>
      </c>
      <c r="D4846" s="1">
        <v>44506</v>
      </c>
      <c r="E4846">
        <v>1</v>
      </c>
      <c r="F4846" t="s">
        <v>2585</v>
      </c>
      <c r="G4846" t="str">
        <f>"12-I03-01"</f>
        <v>12-I03-01</v>
      </c>
      <c r="H4846">
        <v>2.6785999999999999</v>
      </c>
      <c r="I4846" t="s">
        <v>3561</v>
      </c>
      <c r="J4846" t="s">
        <v>14</v>
      </c>
      <c r="K4846" t="str">
        <f>"7F6"</f>
        <v>7F6</v>
      </c>
      <c r="L4846" t="s">
        <v>15</v>
      </c>
    </row>
    <row r="4847" spans="1:12" x14ac:dyDescent="0.25">
      <c r="A4847" t="str">
        <f>"491130092"</f>
        <v>491130092</v>
      </c>
      <c r="B4847" t="str">
        <f t="shared" si="263"/>
        <v>89301000</v>
      </c>
      <c r="C4847" s="1">
        <v>44460</v>
      </c>
      <c r="D4847" s="1">
        <v>44461</v>
      </c>
      <c r="E4847">
        <v>1</v>
      </c>
      <c r="F4847" t="s">
        <v>41</v>
      </c>
      <c r="G4847" t="str">
        <f>"01-D01-03"</f>
        <v>01-D01-03</v>
      </c>
      <c r="H4847">
        <v>0.158</v>
      </c>
      <c r="I4847" t="s">
        <v>3562</v>
      </c>
      <c r="J4847" t="s">
        <v>14</v>
      </c>
      <c r="K4847" t="str">
        <f>"2F5"</f>
        <v>2F5</v>
      </c>
      <c r="L4847" t="s">
        <v>15</v>
      </c>
    </row>
    <row r="4848" spans="1:12" x14ac:dyDescent="0.25">
      <c r="A4848" t="str">
        <f>"491203076"</f>
        <v>491203076</v>
      </c>
      <c r="B4848" t="str">
        <f t="shared" si="263"/>
        <v>89301000</v>
      </c>
      <c r="C4848" s="1">
        <v>44487</v>
      </c>
      <c r="D4848" s="1">
        <v>44488</v>
      </c>
      <c r="E4848">
        <v>1</v>
      </c>
      <c r="F4848" t="s">
        <v>186</v>
      </c>
      <c r="G4848" t="str">
        <f>"05-D01-06"</f>
        <v>05-D01-06</v>
      </c>
      <c r="H4848">
        <v>0.7611</v>
      </c>
      <c r="J4848" t="s">
        <v>14</v>
      </c>
      <c r="K4848" t="str">
        <f>"1F7"</f>
        <v>1F7</v>
      </c>
      <c r="L4848" t="s">
        <v>15</v>
      </c>
    </row>
    <row r="4849" spans="1:12" x14ac:dyDescent="0.25">
      <c r="A4849" t="str">
        <f>"491203374"</f>
        <v>491203374</v>
      </c>
      <c r="B4849" t="str">
        <f t="shared" si="263"/>
        <v>89301000</v>
      </c>
      <c r="C4849" s="1">
        <v>44453</v>
      </c>
      <c r="D4849" s="1">
        <v>44454</v>
      </c>
      <c r="E4849">
        <v>1</v>
      </c>
      <c r="F4849" t="s">
        <v>1557</v>
      </c>
      <c r="G4849" t="str">
        <f>"05-I14-04"</f>
        <v>05-I14-04</v>
      </c>
      <c r="H4849">
        <v>5.4002999999999997</v>
      </c>
      <c r="J4849" t="s">
        <v>14</v>
      </c>
      <c r="K4849" t="str">
        <f>"1F7"</f>
        <v>1F7</v>
      </c>
      <c r="L4849" t="s">
        <v>15</v>
      </c>
    </row>
    <row r="4850" spans="1:12" x14ac:dyDescent="0.25">
      <c r="A4850" t="str">
        <f>"491209212"</f>
        <v>491209212</v>
      </c>
      <c r="B4850" t="str">
        <f t="shared" si="263"/>
        <v>89301000</v>
      </c>
      <c r="C4850" s="1">
        <v>44281</v>
      </c>
      <c r="D4850" s="1">
        <v>44284</v>
      </c>
      <c r="E4850">
        <v>1</v>
      </c>
      <c r="F4850" t="s">
        <v>41</v>
      </c>
      <c r="G4850" t="str">
        <f>"01-D01-03"</f>
        <v>01-D01-03</v>
      </c>
      <c r="H4850">
        <v>0.2054</v>
      </c>
      <c r="I4850" t="s">
        <v>3563</v>
      </c>
      <c r="J4850" t="s">
        <v>14</v>
      </c>
      <c r="K4850" t="str">
        <f>"2F5"</f>
        <v>2F5</v>
      </c>
      <c r="L4850" t="s">
        <v>15</v>
      </c>
    </row>
    <row r="4851" spans="1:12" x14ac:dyDescent="0.25">
      <c r="A4851" t="str">
        <f>"491209212"</f>
        <v>491209212</v>
      </c>
      <c r="B4851" t="str">
        <f t="shared" si="263"/>
        <v>89301000</v>
      </c>
      <c r="C4851" s="1">
        <v>44237</v>
      </c>
      <c r="D4851" s="1">
        <v>44238</v>
      </c>
      <c r="E4851">
        <v>1</v>
      </c>
      <c r="F4851" t="s">
        <v>41</v>
      </c>
      <c r="G4851" t="str">
        <f>"01-D01-03"</f>
        <v>01-D01-03</v>
      </c>
      <c r="H4851">
        <v>0.158</v>
      </c>
      <c r="I4851" t="s">
        <v>3564</v>
      </c>
      <c r="J4851" t="s">
        <v>14</v>
      </c>
      <c r="K4851" t="str">
        <f>"2F5"</f>
        <v>2F5</v>
      </c>
      <c r="L4851" t="s">
        <v>15</v>
      </c>
    </row>
    <row r="4852" spans="1:12" x14ac:dyDescent="0.25">
      <c r="A4852" t="str">
        <f>"491211192"</f>
        <v>491211192</v>
      </c>
      <c r="B4852" t="str">
        <f t="shared" si="263"/>
        <v>89301000</v>
      </c>
      <c r="C4852" s="1">
        <v>44272</v>
      </c>
      <c r="D4852" s="1">
        <v>44281</v>
      </c>
      <c r="E4852">
        <v>5</v>
      </c>
      <c r="F4852" t="s">
        <v>217</v>
      </c>
      <c r="G4852" t="str">
        <f>"04-K02-04"</f>
        <v>04-K02-04</v>
      </c>
      <c r="H4852">
        <v>0.82469999999999999</v>
      </c>
      <c r="I4852" t="s">
        <v>2025</v>
      </c>
      <c r="J4852" t="s">
        <v>14</v>
      </c>
      <c r="K4852" t="str">
        <f>"1F6"</f>
        <v>1F6</v>
      </c>
      <c r="L4852" t="s">
        <v>15</v>
      </c>
    </row>
    <row r="4853" spans="1:12" x14ac:dyDescent="0.25">
      <c r="A4853" t="str">
        <f>"491212240"</f>
        <v>491212240</v>
      </c>
      <c r="B4853" t="str">
        <f t="shared" si="263"/>
        <v>89301000</v>
      </c>
      <c r="C4853" s="1">
        <v>44207</v>
      </c>
      <c r="D4853" s="1">
        <v>44214</v>
      </c>
      <c r="E4853">
        <v>1</v>
      </c>
      <c r="F4853" t="s">
        <v>1553</v>
      </c>
      <c r="G4853" t="str">
        <f>"04-K05-02"</f>
        <v>04-K05-02</v>
      </c>
      <c r="H4853">
        <v>1.2657</v>
      </c>
      <c r="I4853" t="s">
        <v>3565</v>
      </c>
      <c r="J4853" t="s">
        <v>14</v>
      </c>
      <c r="K4853" t="str">
        <f>"1F1"</f>
        <v>1F1</v>
      </c>
      <c r="L4853" t="s">
        <v>15</v>
      </c>
    </row>
    <row r="4854" spans="1:12" x14ac:dyDescent="0.25">
      <c r="A4854" t="str">
        <f>"491213155"</f>
        <v>491213155</v>
      </c>
      <c r="B4854" t="str">
        <f t="shared" si="263"/>
        <v>89301000</v>
      </c>
      <c r="C4854" s="1">
        <v>44430</v>
      </c>
      <c r="D4854" s="1">
        <v>44433</v>
      </c>
      <c r="E4854">
        <v>1</v>
      </c>
      <c r="F4854" t="s">
        <v>3566</v>
      </c>
      <c r="G4854" t="str">
        <f>"08-M03-05"</f>
        <v>08-M03-05</v>
      </c>
      <c r="H4854">
        <v>0.51759999999999995</v>
      </c>
      <c r="I4854" t="s">
        <v>3567</v>
      </c>
      <c r="J4854" t="s">
        <v>14</v>
      </c>
      <c r="K4854" t="str">
        <f>"6F6"</f>
        <v>6F6</v>
      </c>
      <c r="L4854" t="s">
        <v>15</v>
      </c>
    </row>
    <row r="4855" spans="1:12" x14ac:dyDescent="0.25">
      <c r="A4855" t="str">
        <f>"491217311"</f>
        <v>491217311</v>
      </c>
      <c r="B4855" t="str">
        <f t="shared" si="263"/>
        <v>89301000</v>
      </c>
      <c r="C4855" s="1">
        <v>44305</v>
      </c>
      <c r="D4855" s="1">
        <v>44307</v>
      </c>
      <c r="E4855">
        <v>1</v>
      </c>
      <c r="F4855" t="s">
        <v>3568</v>
      </c>
      <c r="G4855" t="str">
        <f>"08-I03-08"</f>
        <v>08-I03-08</v>
      </c>
      <c r="H4855">
        <v>2.0605000000000002</v>
      </c>
      <c r="I4855" t="s">
        <v>3569</v>
      </c>
      <c r="J4855" t="s">
        <v>17</v>
      </c>
      <c r="K4855" t="str">
        <f>"5F6"</f>
        <v>5F6</v>
      </c>
      <c r="L4855" t="s">
        <v>15</v>
      </c>
    </row>
    <row r="4856" spans="1:12" x14ac:dyDescent="0.25">
      <c r="A4856" t="str">
        <f>"491218207"</f>
        <v>491218207</v>
      </c>
      <c r="B4856" t="str">
        <f t="shared" si="263"/>
        <v>89301000</v>
      </c>
      <c r="C4856" s="1">
        <v>44438</v>
      </c>
      <c r="D4856" s="1">
        <v>44445</v>
      </c>
      <c r="E4856">
        <v>7</v>
      </c>
      <c r="F4856" t="s">
        <v>2368</v>
      </c>
      <c r="G4856" t="str">
        <f>"08-K09-02"</f>
        <v>08-K09-02</v>
      </c>
      <c r="H4856">
        <v>1.0061</v>
      </c>
      <c r="I4856" t="s">
        <v>3570</v>
      </c>
      <c r="J4856" t="s">
        <v>14</v>
      </c>
      <c r="K4856" t="str">
        <f>"4F2"</f>
        <v>4F2</v>
      </c>
      <c r="L4856" t="s">
        <v>15</v>
      </c>
    </row>
    <row r="4857" spans="1:12" x14ac:dyDescent="0.25">
      <c r="A4857" t="str">
        <f>"491226037"</f>
        <v>491226037</v>
      </c>
      <c r="B4857" t="str">
        <f t="shared" si="263"/>
        <v>89301000</v>
      </c>
      <c r="C4857" s="1">
        <v>44215</v>
      </c>
      <c r="D4857" s="1">
        <v>44232</v>
      </c>
      <c r="E4857">
        <v>1</v>
      </c>
      <c r="F4857" t="s">
        <v>2281</v>
      </c>
      <c r="G4857" t="str">
        <f>"19-K04-02"</f>
        <v>19-K04-02</v>
      </c>
      <c r="H4857">
        <v>1.4597</v>
      </c>
      <c r="I4857" t="s">
        <v>3571</v>
      </c>
      <c r="J4857" t="s">
        <v>27</v>
      </c>
      <c r="K4857" t="str">
        <f>"3F5"</f>
        <v>3F5</v>
      </c>
      <c r="L4857" t="s">
        <v>15</v>
      </c>
    </row>
    <row r="4858" spans="1:12" x14ac:dyDescent="0.25">
      <c r="A4858" t="str">
        <f>"491227159"</f>
        <v>491227159</v>
      </c>
      <c r="B4858" t="str">
        <f t="shared" si="263"/>
        <v>89301000</v>
      </c>
      <c r="C4858" s="1">
        <v>44426</v>
      </c>
      <c r="D4858" s="1">
        <v>44428</v>
      </c>
      <c r="E4858">
        <v>1</v>
      </c>
      <c r="F4858" t="s">
        <v>1688</v>
      </c>
      <c r="G4858" t="str">
        <f>"02-I06-03"</f>
        <v>02-I06-03</v>
      </c>
      <c r="H4858">
        <v>0.63690000000000002</v>
      </c>
      <c r="I4858" t="s">
        <v>3572</v>
      </c>
      <c r="J4858" t="s">
        <v>17</v>
      </c>
      <c r="K4858" t="str">
        <f>"7F5"</f>
        <v>7F5</v>
      </c>
      <c r="L4858" t="s">
        <v>15</v>
      </c>
    </row>
    <row r="4859" spans="1:12" x14ac:dyDescent="0.25">
      <c r="A4859" t="str">
        <f>"491230188"</f>
        <v>491230188</v>
      </c>
      <c r="B4859" t="str">
        <f t="shared" si="263"/>
        <v>89301000</v>
      </c>
      <c r="C4859" s="1">
        <v>44514</v>
      </c>
      <c r="D4859" s="1">
        <v>44518</v>
      </c>
      <c r="E4859">
        <v>1</v>
      </c>
      <c r="F4859" t="s">
        <v>1581</v>
      </c>
      <c r="G4859" t="str">
        <f>"05-M04-04"</f>
        <v>05-M04-04</v>
      </c>
      <c r="H4859">
        <v>2.4672999999999998</v>
      </c>
      <c r="I4859" t="s">
        <v>1959</v>
      </c>
      <c r="J4859" t="s">
        <v>17</v>
      </c>
      <c r="K4859" t="str">
        <f>"5F1"</f>
        <v>5F1</v>
      </c>
      <c r="L4859" t="s">
        <v>15</v>
      </c>
    </row>
    <row r="4860" spans="1:12" x14ac:dyDescent="0.25">
      <c r="A4860" t="str">
        <f>"495103273"</f>
        <v>495103273</v>
      </c>
      <c r="B4860" t="str">
        <f t="shared" si="263"/>
        <v>89301000</v>
      </c>
      <c r="C4860" s="1">
        <v>44333</v>
      </c>
      <c r="D4860" s="1">
        <v>44340</v>
      </c>
      <c r="E4860">
        <v>1</v>
      </c>
      <c r="F4860" t="s">
        <v>3573</v>
      </c>
      <c r="G4860" t="str">
        <f>"01-K04-01"</f>
        <v>01-K04-01</v>
      </c>
      <c r="H4860">
        <v>1.1855</v>
      </c>
      <c r="I4860" t="s">
        <v>3574</v>
      </c>
      <c r="J4860" t="s">
        <v>14</v>
      </c>
      <c r="K4860" t="str">
        <f>"2F9"</f>
        <v>2F9</v>
      </c>
      <c r="L4860" t="s">
        <v>15</v>
      </c>
    </row>
    <row r="4861" spans="1:12" x14ac:dyDescent="0.25">
      <c r="A4861" t="str">
        <f>"495112328"</f>
        <v>495112328</v>
      </c>
      <c r="B4861" t="str">
        <f t="shared" si="263"/>
        <v>89301000</v>
      </c>
      <c r="C4861" s="1">
        <v>44326</v>
      </c>
      <c r="D4861" s="1">
        <v>44334</v>
      </c>
      <c r="E4861">
        <v>1</v>
      </c>
      <c r="F4861" t="s">
        <v>3575</v>
      </c>
      <c r="G4861" t="str">
        <f>"04-K06-03"</f>
        <v>04-K06-03</v>
      </c>
      <c r="H4861">
        <v>0.66259999999999997</v>
      </c>
      <c r="I4861" t="s">
        <v>3576</v>
      </c>
      <c r="J4861" t="s">
        <v>14</v>
      </c>
      <c r="K4861" t="str">
        <f>"2F5"</f>
        <v>2F5</v>
      </c>
      <c r="L4861" t="s">
        <v>15</v>
      </c>
    </row>
    <row r="4862" spans="1:12" x14ac:dyDescent="0.25">
      <c r="A4862" t="str">
        <f>"495123007"</f>
        <v>495123007</v>
      </c>
      <c r="B4862" t="str">
        <f t="shared" si="263"/>
        <v>89301000</v>
      </c>
      <c r="C4862" s="1">
        <v>44473</v>
      </c>
      <c r="D4862" s="1">
        <v>44476</v>
      </c>
      <c r="E4862">
        <v>1</v>
      </c>
      <c r="F4862" t="s">
        <v>1619</v>
      </c>
      <c r="G4862" t="str">
        <f>"05-M06-06"</f>
        <v>05-M06-06</v>
      </c>
      <c r="H4862">
        <v>1.7652000000000001</v>
      </c>
      <c r="I4862" t="s">
        <v>2672</v>
      </c>
      <c r="J4862" t="s">
        <v>17</v>
      </c>
      <c r="K4862" t="str">
        <f>"1T1"</f>
        <v>1T1</v>
      </c>
      <c r="L4862" t="s">
        <v>15</v>
      </c>
    </row>
    <row r="4863" spans="1:12" x14ac:dyDescent="0.25">
      <c r="A4863" t="str">
        <f>"495126008"</f>
        <v>495126008</v>
      </c>
      <c r="B4863" t="str">
        <f t="shared" si="263"/>
        <v>89301000</v>
      </c>
      <c r="C4863" s="1">
        <v>44276</v>
      </c>
      <c r="D4863" s="1">
        <v>44278</v>
      </c>
      <c r="E4863">
        <v>1</v>
      </c>
      <c r="F4863" t="s">
        <v>3577</v>
      </c>
      <c r="G4863" t="str">
        <f>"03-I22-03"</f>
        <v>03-I22-03</v>
      </c>
      <c r="H4863">
        <v>0.49049999999999999</v>
      </c>
      <c r="I4863" t="s">
        <v>3578</v>
      </c>
      <c r="J4863" t="s">
        <v>14</v>
      </c>
      <c r="K4863" t="str">
        <f>"7F1"</f>
        <v>7F1</v>
      </c>
      <c r="L4863" t="s">
        <v>15</v>
      </c>
    </row>
    <row r="4864" spans="1:12" x14ac:dyDescent="0.25">
      <c r="A4864" t="str">
        <f>"495126120"</f>
        <v>495126120</v>
      </c>
      <c r="B4864" t="str">
        <f t="shared" si="263"/>
        <v>89301000</v>
      </c>
      <c r="C4864" s="1">
        <v>44313</v>
      </c>
      <c r="D4864" s="1">
        <v>44322</v>
      </c>
      <c r="E4864">
        <v>5</v>
      </c>
      <c r="F4864" t="s">
        <v>841</v>
      </c>
      <c r="G4864" t="str">
        <f>"04-K03-02"</f>
        <v>04-K03-02</v>
      </c>
      <c r="H4864">
        <v>0.82599999999999996</v>
      </c>
      <c r="I4864" t="s">
        <v>3579</v>
      </c>
      <c r="J4864" t="s">
        <v>14</v>
      </c>
      <c r="K4864" t="str">
        <f>"2F5"</f>
        <v>2F5</v>
      </c>
      <c r="L4864" t="s">
        <v>15</v>
      </c>
    </row>
    <row r="4865" spans="1:12" x14ac:dyDescent="0.25">
      <c r="A4865" t="str">
        <f>"495126120"</f>
        <v>495126120</v>
      </c>
      <c r="B4865" t="str">
        <f t="shared" si="263"/>
        <v>89301000</v>
      </c>
      <c r="C4865" s="1">
        <v>44333</v>
      </c>
      <c r="D4865" s="1">
        <v>44337</v>
      </c>
      <c r="E4865">
        <v>7</v>
      </c>
      <c r="F4865" t="s">
        <v>217</v>
      </c>
      <c r="G4865" t="str">
        <f>"00-M01-04"</f>
        <v>00-M01-04</v>
      </c>
      <c r="H4865">
        <v>6.85</v>
      </c>
      <c r="I4865" t="s">
        <v>3580</v>
      </c>
      <c r="J4865" t="s">
        <v>14</v>
      </c>
      <c r="K4865" t="str">
        <f>"7T8"</f>
        <v>7T8</v>
      </c>
      <c r="L4865" t="s">
        <v>15</v>
      </c>
    </row>
    <row r="4866" spans="1:12" x14ac:dyDescent="0.25">
      <c r="A4866" t="str">
        <f>"495131225"</f>
        <v>495131225</v>
      </c>
      <c r="B4866" t="str">
        <f t="shared" si="263"/>
        <v>89301000</v>
      </c>
      <c r="C4866" s="1">
        <v>44233</v>
      </c>
      <c r="D4866" s="1">
        <v>44239</v>
      </c>
      <c r="E4866">
        <v>1</v>
      </c>
      <c r="F4866" t="s">
        <v>718</v>
      </c>
      <c r="G4866" t="str">
        <f>"06-I12-03"</f>
        <v>06-I12-03</v>
      </c>
      <c r="H4866">
        <v>1.8894</v>
      </c>
      <c r="I4866" t="s">
        <v>1572</v>
      </c>
      <c r="J4866" t="s">
        <v>14</v>
      </c>
      <c r="K4866" t="str">
        <f>"5F1"</f>
        <v>5F1</v>
      </c>
      <c r="L4866" t="s">
        <v>15</v>
      </c>
    </row>
    <row r="4867" spans="1:12" x14ac:dyDescent="0.25">
      <c r="A4867" t="str">
        <f>"495202033"</f>
        <v>495202033</v>
      </c>
      <c r="B4867" t="str">
        <f t="shared" si="263"/>
        <v>89301000</v>
      </c>
      <c r="C4867" s="1">
        <v>44320</v>
      </c>
      <c r="D4867" s="1">
        <v>44320</v>
      </c>
      <c r="E4867">
        <v>1</v>
      </c>
      <c r="F4867" t="s">
        <v>1650</v>
      </c>
      <c r="G4867" t="str">
        <f>"05-D01-06"</f>
        <v>05-D01-06</v>
      </c>
      <c r="H4867">
        <v>0.40649999999999997</v>
      </c>
      <c r="J4867" t="s">
        <v>14</v>
      </c>
      <c r="K4867" t="str">
        <f>"1F1"</f>
        <v>1F1</v>
      </c>
      <c r="L4867" t="s">
        <v>15</v>
      </c>
    </row>
    <row r="4868" spans="1:12" x14ac:dyDescent="0.25">
      <c r="A4868" t="str">
        <f>"495202033"</f>
        <v>495202033</v>
      </c>
      <c r="B4868" t="str">
        <f t="shared" si="263"/>
        <v>89301000</v>
      </c>
      <c r="C4868" s="1">
        <v>44459</v>
      </c>
      <c r="D4868" s="1">
        <v>44460</v>
      </c>
      <c r="E4868">
        <v>1</v>
      </c>
      <c r="F4868" t="s">
        <v>41</v>
      </c>
      <c r="G4868" t="str">
        <f>"01-D01-03"</f>
        <v>01-D01-03</v>
      </c>
      <c r="H4868">
        <v>0.158</v>
      </c>
      <c r="I4868" t="s">
        <v>3581</v>
      </c>
      <c r="J4868" t="s">
        <v>14</v>
      </c>
      <c r="K4868" t="str">
        <f>"2F5"</f>
        <v>2F5</v>
      </c>
      <c r="L4868" t="s">
        <v>15</v>
      </c>
    </row>
    <row r="4869" spans="1:12" x14ac:dyDescent="0.25">
      <c r="A4869" t="str">
        <f>"495202123"</f>
        <v>495202123</v>
      </c>
      <c r="B4869" t="str">
        <f t="shared" si="263"/>
        <v>89301000</v>
      </c>
      <c r="C4869" s="1">
        <v>44326</v>
      </c>
      <c r="D4869" s="1">
        <v>44333</v>
      </c>
      <c r="E4869">
        <v>4</v>
      </c>
      <c r="F4869" t="s">
        <v>1968</v>
      </c>
      <c r="G4869" t="str">
        <f>"08-I05-05"</f>
        <v>08-I05-05</v>
      </c>
      <c r="H4869">
        <v>2.2932000000000001</v>
      </c>
      <c r="I4869" t="s">
        <v>3582</v>
      </c>
      <c r="J4869" t="s">
        <v>17</v>
      </c>
      <c r="K4869" t="str">
        <f>"6F6"</f>
        <v>6F6</v>
      </c>
      <c r="L4869" t="s">
        <v>15</v>
      </c>
    </row>
    <row r="4870" spans="1:12" x14ac:dyDescent="0.25">
      <c r="A4870" t="str">
        <f>"495207182"</f>
        <v>495207182</v>
      </c>
      <c r="B4870" t="str">
        <f t="shared" si="263"/>
        <v>89301000</v>
      </c>
      <c r="C4870" s="1">
        <v>44529</v>
      </c>
      <c r="D4870" s="1">
        <v>44531</v>
      </c>
      <c r="E4870">
        <v>1</v>
      </c>
      <c r="F4870" t="s">
        <v>2734</v>
      </c>
      <c r="G4870" t="str">
        <f>"06-M01-02"</f>
        <v>06-M01-02</v>
      </c>
      <c r="H4870">
        <v>1.2191000000000001</v>
      </c>
      <c r="I4870" t="s">
        <v>3583</v>
      </c>
      <c r="J4870" t="s">
        <v>14</v>
      </c>
      <c r="K4870" t="str">
        <f>"1F5"</f>
        <v>1F5</v>
      </c>
      <c r="L4870" t="s">
        <v>15</v>
      </c>
    </row>
    <row r="4871" spans="1:12" x14ac:dyDescent="0.25">
      <c r="A4871" t="str">
        <f>"495208265"</f>
        <v>495208265</v>
      </c>
      <c r="B4871" t="str">
        <f t="shared" si="263"/>
        <v>89301000</v>
      </c>
      <c r="C4871" s="1">
        <v>44544</v>
      </c>
      <c r="D4871" s="1">
        <v>44552</v>
      </c>
      <c r="E4871">
        <v>1</v>
      </c>
      <c r="F4871" t="s">
        <v>3584</v>
      </c>
      <c r="G4871" t="str">
        <f>"08-I31-04"</f>
        <v>08-I31-04</v>
      </c>
      <c r="H4871">
        <v>0.66169999999999995</v>
      </c>
      <c r="I4871" t="s">
        <v>3585</v>
      </c>
      <c r="J4871" t="s">
        <v>14</v>
      </c>
      <c r="K4871" t="str">
        <f>"1F9"</f>
        <v>1F9</v>
      </c>
      <c r="L4871" t="s">
        <v>15</v>
      </c>
    </row>
    <row r="4872" spans="1:12" x14ac:dyDescent="0.25">
      <c r="A4872" t="str">
        <f>"495215053"</f>
        <v>495215053</v>
      </c>
      <c r="B4872" t="str">
        <f t="shared" si="263"/>
        <v>89301000</v>
      </c>
      <c r="C4872" s="1">
        <v>44368</v>
      </c>
      <c r="D4872" s="1">
        <v>44371</v>
      </c>
      <c r="E4872">
        <v>1</v>
      </c>
      <c r="F4872" t="s">
        <v>3143</v>
      </c>
      <c r="G4872" t="str">
        <f>"01-M01-03"</f>
        <v>01-M01-03</v>
      </c>
      <c r="H4872">
        <v>3.9502000000000002</v>
      </c>
      <c r="I4872" t="s">
        <v>1586</v>
      </c>
      <c r="J4872" t="s">
        <v>17</v>
      </c>
      <c r="K4872" t="str">
        <f>"5F6"</f>
        <v>5F6</v>
      </c>
      <c r="L4872" t="s">
        <v>15</v>
      </c>
    </row>
    <row r="4873" spans="1:12" x14ac:dyDescent="0.25">
      <c r="A4873" t="str">
        <f>"495218245"</f>
        <v>495218245</v>
      </c>
      <c r="B4873" t="str">
        <f t="shared" si="263"/>
        <v>89301000</v>
      </c>
      <c r="C4873" s="1">
        <v>44410</v>
      </c>
      <c r="D4873" s="1">
        <v>44415</v>
      </c>
      <c r="E4873">
        <v>1</v>
      </c>
      <c r="F4873" t="s">
        <v>3416</v>
      </c>
      <c r="G4873" t="str">
        <f>"08-I03-04"</f>
        <v>08-I03-04</v>
      </c>
      <c r="H4873">
        <v>4.7022000000000004</v>
      </c>
      <c r="I4873" t="s">
        <v>2179</v>
      </c>
      <c r="J4873" t="s">
        <v>17</v>
      </c>
      <c r="K4873" t="str">
        <f>"5F6"</f>
        <v>5F6</v>
      </c>
      <c r="L4873" t="s">
        <v>15</v>
      </c>
    </row>
    <row r="4874" spans="1:12" x14ac:dyDescent="0.25">
      <c r="A4874" t="str">
        <f>"495220007"</f>
        <v>495220007</v>
      </c>
      <c r="B4874" t="str">
        <f t="shared" si="263"/>
        <v>89301000</v>
      </c>
      <c r="C4874" s="1">
        <v>44378</v>
      </c>
      <c r="D4874" s="1">
        <v>44386</v>
      </c>
      <c r="E4874">
        <v>4</v>
      </c>
      <c r="F4874" t="s">
        <v>2407</v>
      </c>
      <c r="G4874" t="str">
        <f>"08-I06-04"</f>
        <v>08-I06-04</v>
      </c>
      <c r="H4874">
        <v>2.4260000000000002</v>
      </c>
      <c r="I4874" t="s">
        <v>3586</v>
      </c>
      <c r="J4874" t="s">
        <v>24</v>
      </c>
      <c r="K4874" t="str">
        <f>"6F6"</f>
        <v>6F6</v>
      </c>
      <c r="L4874" t="s">
        <v>15</v>
      </c>
    </row>
    <row r="4875" spans="1:12" x14ac:dyDescent="0.25">
      <c r="A4875" t="str">
        <f>"495220138"</f>
        <v>495220138</v>
      </c>
      <c r="B4875" t="str">
        <f t="shared" si="263"/>
        <v>89301000</v>
      </c>
      <c r="C4875" s="1">
        <v>44309</v>
      </c>
      <c r="D4875" s="1">
        <v>44314</v>
      </c>
      <c r="E4875">
        <v>1</v>
      </c>
      <c r="F4875" t="s">
        <v>3587</v>
      </c>
      <c r="G4875" t="str">
        <f>"04-K13-01"</f>
        <v>04-K13-01</v>
      </c>
      <c r="H4875">
        <v>0.64270000000000005</v>
      </c>
      <c r="I4875" t="s">
        <v>3588</v>
      </c>
      <c r="J4875" t="s">
        <v>14</v>
      </c>
      <c r="K4875" t="str">
        <f>"5F3"</f>
        <v>5F3</v>
      </c>
      <c r="L4875" t="s">
        <v>15</v>
      </c>
    </row>
    <row r="4876" spans="1:12" x14ac:dyDescent="0.25">
      <c r="A4876" t="str">
        <f>"495220138"</f>
        <v>495220138</v>
      </c>
      <c r="B4876" t="str">
        <f t="shared" si="263"/>
        <v>89301000</v>
      </c>
      <c r="C4876" s="1">
        <v>44360</v>
      </c>
      <c r="D4876" s="1">
        <v>44367</v>
      </c>
      <c r="E4876">
        <v>1</v>
      </c>
      <c r="F4876" t="s">
        <v>2232</v>
      </c>
      <c r="G4876" t="str">
        <f>"11-I07-01"</f>
        <v>11-I07-01</v>
      </c>
      <c r="H4876">
        <v>2.5975999999999999</v>
      </c>
      <c r="I4876" t="s">
        <v>3589</v>
      </c>
      <c r="J4876" t="s">
        <v>14</v>
      </c>
      <c r="K4876" t="str">
        <f>"7F6"</f>
        <v>7F6</v>
      </c>
      <c r="L4876" t="s">
        <v>15</v>
      </c>
    </row>
    <row r="4877" spans="1:12" x14ac:dyDescent="0.25">
      <c r="A4877" t="str">
        <f>"495223139"</f>
        <v>495223139</v>
      </c>
      <c r="B4877" t="str">
        <f t="shared" ref="B4877:B4940" si="267">"89301000"</f>
        <v>89301000</v>
      </c>
      <c r="C4877" s="1">
        <v>44330</v>
      </c>
      <c r="D4877" s="1">
        <v>44335</v>
      </c>
      <c r="E4877">
        <v>1</v>
      </c>
      <c r="F4877" t="s">
        <v>132</v>
      </c>
      <c r="G4877" t="str">
        <f>"03-I19-02"</f>
        <v>03-I19-02</v>
      </c>
      <c r="H4877">
        <v>0.88829999999999998</v>
      </c>
      <c r="I4877" t="s">
        <v>3590</v>
      </c>
      <c r="J4877" t="s">
        <v>14</v>
      </c>
      <c r="K4877" t="str">
        <f>"6F5"</f>
        <v>6F5</v>
      </c>
      <c r="L4877" t="s">
        <v>15</v>
      </c>
    </row>
    <row r="4878" spans="1:12" x14ac:dyDescent="0.25">
      <c r="A4878" t="str">
        <f>"495302031"</f>
        <v>495302031</v>
      </c>
      <c r="B4878" t="str">
        <f t="shared" si="267"/>
        <v>89301000</v>
      </c>
      <c r="C4878" s="1">
        <v>44548</v>
      </c>
      <c r="D4878" s="1">
        <v>44551</v>
      </c>
      <c r="E4878">
        <v>4</v>
      </c>
      <c r="F4878" t="s">
        <v>3591</v>
      </c>
      <c r="G4878" t="str">
        <f>"08-K11-02"</f>
        <v>08-K11-02</v>
      </c>
      <c r="H4878">
        <v>0.62390000000000001</v>
      </c>
      <c r="I4878" t="s">
        <v>381</v>
      </c>
      <c r="J4878" t="s">
        <v>14</v>
      </c>
      <c r="K4878" t="str">
        <f>"5F3"</f>
        <v>5F3</v>
      </c>
      <c r="L4878" t="s">
        <v>15</v>
      </c>
    </row>
    <row r="4879" spans="1:12" x14ac:dyDescent="0.25">
      <c r="A4879" t="str">
        <f>"495302031"</f>
        <v>495302031</v>
      </c>
      <c r="B4879" t="str">
        <f t="shared" si="267"/>
        <v>89301000</v>
      </c>
      <c r="C4879" s="1">
        <v>44316</v>
      </c>
      <c r="D4879" s="1">
        <v>44321</v>
      </c>
      <c r="E4879">
        <v>1</v>
      </c>
      <c r="F4879" t="s">
        <v>3592</v>
      </c>
      <c r="G4879" t="str">
        <f>"10-K13-02"</f>
        <v>10-K13-02</v>
      </c>
      <c r="H4879">
        <v>1.0143</v>
      </c>
      <c r="I4879" t="s">
        <v>3593</v>
      </c>
      <c r="J4879" t="s">
        <v>14</v>
      </c>
      <c r="K4879" t="str">
        <f>"1F1"</f>
        <v>1F1</v>
      </c>
      <c r="L4879" t="s">
        <v>15</v>
      </c>
    </row>
    <row r="4880" spans="1:12" x14ac:dyDescent="0.25">
      <c r="A4880" t="str">
        <f>"495302047"</f>
        <v>495302047</v>
      </c>
      <c r="B4880" t="str">
        <f t="shared" si="267"/>
        <v>89301000</v>
      </c>
      <c r="C4880" s="1">
        <v>44487</v>
      </c>
      <c r="D4880" s="1">
        <v>44490</v>
      </c>
      <c r="E4880">
        <v>1</v>
      </c>
      <c r="F4880" t="s">
        <v>1908</v>
      </c>
      <c r="G4880" t="str">
        <f>"02-I02-01"</f>
        <v>02-I02-01</v>
      </c>
      <c r="H4880">
        <v>1.2274</v>
      </c>
      <c r="I4880" t="s">
        <v>3594</v>
      </c>
      <c r="J4880" t="s">
        <v>17</v>
      </c>
      <c r="K4880" t="str">
        <f>"7F5"</f>
        <v>7F5</v>
      </c>
      <c r="L4880" t="s">
        <v>15</v>
      </c>
    </row>
    <row r="4881" spans="1:12" x14ac:dyDescent="0.25">
      <c r="A4881" t="str">
        <f>"495306095"</f>
        <v>495306095</v>
      </c>
      <c r="B4881" t="str">
        <f t="shared" si="267"/>
        <v>89301000</v>
      </c>
      <c r="C4881" s="1">
        <v>44538</v>
      </c>
      <c r="D4881" s="1">
        <v>44539</v>
      </c>
      <c r="E4881">
        <v>1</v>
      </c>
      <c r="F4881" t="s">
        <v>1132</v>
      </c>
      <c r="G4881" t="str">
        <f>"23-K04-02"</f>
        <v>23-K04-02</v>
      </c>
      <c r="H4881">
        <v>0.38690000000000002</v>
      </c>
      <c r="I4881" t="s">
        <v>3595</v>
      </c>
      <c r="J4881" t="s">
        <v>14</v>
      </c>
      <c r="K4881" t="str">
        <f>"7F1"</f>
        <v>7F1</v>
      </c>
      <c r="L4881" t="s">
        <v>15</v>
      </c>
    </row>
    <row r="4882" spans="1:12" x14ac:dyDescent="0.25">
      <c r="A4882" t="str">
        <f>"495308275"</f>
        <v>495308275</v>
      </c>
      <c r="B4882" t="str">
        <f t="shared" si="267"/>
        <v>89301000</v>
      </c>
      <c r="C4882" s="1">
        <v>44385</v>
      </c>
      <c r="D4882" s="1">
        <v>44392</v>
      </c>
      <c r="E4882">
        <v>1</v>
      </c>
      <c r="F4882" t="s">
        <v>3381</v>
      </c>
      <c r="G4882" t="str">
        <f>"09-K08-01"</f>
        <v>09-K08-01</v>
      </c>
      <c r="H4882">
        <v>1.1131</v>
      </c>
      <c r="I4882" t="s">
        <v>3596</v>
      </c>
      <c r="J4882" t="s">
        <v>14</v>
      </c>
      <c r="K4882" t="str">
        <f>"4F2"</f>
        <v>4F2</v>
      </c>
      <c r="L4882" t="s">
        <v>15</v>
      </c>
    </row>
    <row r="4883" spans="1:12" x14ac:dyDescent="0.25">
      <c r="A4883" t="str">
        <f>"495331005"</f>
        <v>495331005</v>
      </c>
      <c r="B4883" t="str">
        <f t="shared" si="267"/>
        <v>89301000</v>
      </c>
      <c r="C4883" s="1">
        <v>44436</v>
      </c>
      <c r="D4883" s="1">
        <v>44442</v>
      </c>
      <c r="E4883">
        <v>1</v>
      </c>
      <c r="F4883" t="s">
        <v>2987</v>
      </c>
      <c r="G4883" t="str">
        <f>"19-K03-03"</f>
        <v>19-K03-03</v>
      </c>
      <c r="H4883">
        <v>0.93169999999999997</v>
      </c>
      <c r="I4883" t="s">
        <v>3597</v>
      </c>
      <c r="J4883" t="s">
        <v>27</v>
      </c>
      <c r="K4883" t="str">
        <f>"3F5"</f>
        <v>3F5</v>
      </c>
      <c r="L4883" t="s">
        <v>15</v>
      </c>
    </row>
    <row r="4884" spans="1:12" x14ac:dyDescent="0.25">
      <c r="A4884" t="str">
        <f>"495404221"</f>
        <v>495404221</v>
      </c>
      <c r="B4884" t="str">
        <f t="shared" si="267"/>
        <v>89301000</v>
      </c>
      <c r="C4884" s="1">
        <v>44330</v>
      </c>
      <c r="D4884" s="1">
        <v>44331</v>
      </c>
      <c r="E4884">
        <v>1</v>
      </c>
      <c r="F4884" t="s">
        <v>2360</v>
      </c>
      <c r="G4884" t="str">
        <f>"06-M01-02"</f>
        <v>06-M01-02</v>
      </c>
      <c r="H4884">
        <v>1.2191000000000001</v>
      </c>
      <c r="I4884" t="s">
        <v>3415</v>
      </c>
      <c r="J4884" t="s">
        <v>14</v>
      </c>
      <c r="K4884" t="str">
        <f>"1F5"</f>
        <v>1F5</v>
      </c>
      <c r="L4884" t="s">
        <v>15</v>
      </c>
    </row>
    <row r="4885" spans="1:12" x14ac:dyDescent="0.25">
      <c r="A4885" t="str">
        <f>"495404221"</f>
        <v>495404221</v>
      </c>
      <c r="B4885" t="str">
        <f t="shared" si="267"/>
        <v>89301000</v>
      </c>
      <c r="C4885" s="1">
        <v>44482</v>
      </c>
      <c r="D4885" s="1">
        <v>44491</v>
      </c>
      <c r="E4885">
        <v>1</v>
      </c>
      <c r="F4885" t="s">
        <v>1240</v>
      </c>
      <c r="G4885" t="str">
        <f>"11-K01-03"</f>
        <v>11-K01-03</v>
      </c>
      <c r="H4885">
        <v>0.59489999999999998</v>
      </c>
      <c r="I4885" t="s">
        <v>3598</v>
      </c>
      <c r="J4885" t="s">
        <v>14</v>
      </c>
      <c r="K4885" t="str">
        <f>"7F6"</f>
        <v>7F6</v>
      </c>
      <c r="L4885" t="s">
        <v>15</v>
      </c>
    </row>
    <row r="4886" spans="1:12" x14ac:dyDescent="0.25">
      <c r="A4886" t="str">
        <f>"495405084"</f>
        <v>495405084</v>
      </c>
      <c r="B4886" t="str">
        <f t="shared" si="267"/>
        <v>89301000</v>
      </c>
      <c r="C4886" s="1">
        <v>44411</v>
      </c>
      <c r="D4886" s="1">
        <v>44419</v>
      </c>
      <c r="E4886">
        <v>1</v>
      </c>
      <c r="F4886" t="s">
        <v>1863</v>
      </c>
      <c r="G4886" t="str">
        <f>"07-K07-01"</f>
        <v>07-K07-01</v>
      </c>
      <c r="H4886">
        <v>1.0750999999999999</v>
      </c>
      <c r="I4886" t="s">
        <v>3599</v>
      </c>
      <c r="J4886" t="s">
        <v>14</v>
      </c>
      <c r="K4886" t="str">
        <f>"1F1"</f>
        <v>1F1</v>
      </c>
      <c r="L4886" t="s">
        <v>15</v>
      </c>
    </row>
    <row r="4887" spans="1:12" x14ac:dyDescent="0.25">
      <c r="A4887" t="str">
        <f>"495406267"</f>
        <v>495406267</v>
      </c>
      <c r="B4887" t="str">
        <f t="shared" si="267"/>
        <v>89301000</v>
      </c>
      <c r="C4887" s="1">
        <v>44391</v>
      </c>
      <c r="D4887" s="1">
        <v>44392</v>
      </c>
      <c r="E4887">
        <v>1</v>
      </c>
      <c r="F4887" t="s">
        <v>1557</v>
      </c>
      <c r="G4887" t="str">
        <f>"05-M06-08"</f>
        <v>05-M06-08</v>
      </c>
      <c r="H4887">
        <v>1.4719</v>
      </c>
      <c r="I4887" t="s">
        <v>3486</v>
      </c>
      <c r="J4887" t="s">
        <v>17</v>
      </c>
      <c r="K4887" t="str">
        <f>"1F1"</f>
        <v>1F1</v>
      </c>
      <c r="L4887" t="s">
        <v>15</v>
      </c>
    </row>
    <row r="4888" spans="1:12" x14ac:dyDescent="0.25">
      <c r="A4888" t="str">
        <f>"495408319"</f>
        <v>495408319</v>
      </c>
      <c r="B4888" t="str">
        <f t="shared" si="267"/>
        <v>89301000</v>
      </c>
      <c r="C4888" s="1">
        <v>44372</v>
      </c>
      <c r="D4888" s="1">
        <v>44373</v>
      </c>
      <c r="E4888">
        <v>1</v>
      </c>
      <c r="F4888" t="s">
        <v>2457</v>
      </c>
      <c r="G4888" t="str">
        <f>"05-D01-08"</f>
        <v>05-D01-08</v>
      </c>
      <c r="H4888">
        <v>0.4093</v>
      </c>
      <c r="I4888" t="s">
        <v>3600</v>
      </c>
      <c r="J4888" t="s">
        <v>14</v>
      </c>
      <c r="K4888" t="str">
        <f>"1F1"</f>
        <v>1F1</v>
      </c>
      <c r="L4888" t="s">
        <v>15</v>
      </c>
    </row>
    <row r="4889" spans="1:12" x14ac:dyDescent="0.25">
      <c r="A4889" t="str">
        <f>"495410076"</f>
        <v>495410076</v>
      </c>
      <c r="B4889" t="str">
        <f t="shared" si="267"/>
        <v>89301000</v>
      </c>
      <c r="C4889" s="1">
        <v>44472</v>
      </c>
      <c r="D4889" s="1">
        <v>44476</v>
      </c>
      <c r="E4889">
        <v>1</v>
      </c>
      <c r="F4889" t="s">
        <v>3145</v>
      </c>
      <c r="G4889" t="str">
        <f>"10-I13-02"</f>
        <v>10-I13-02</v>
      </c>
      <c r="H4889">
        <v>1.1468</v>
      </c>
      <c r="I4889" t="s">
        <v>489</v>
      </c>
      <c r="J4889" t="s">
        <v>24</v>
      </c>
      <c r="K4889" t="str">
        <f>"5F1"</f>
        <v>5F1</v>
      </c>
      <c r="L4889" t="s">
        <v>15</v>
      </c>
    </row>
    <row r="4890" spans="1:12" x14ac:dyDescent="0.25">
      <c r="A4890" t="str">
        <f>"495411008"</f>
        <v>495411008</v>
      </c>
      <c r="B4890" t="str">
        <f t="shared" si="267"/>
        <v>89301000</v>
      </c>
      <c r="C4890" s="1">
        <v>44247</v>
      </c>
      <c r="D4890" s="1">
        <v>44256</v>
      </c>
      <c r="E4890">
        <v>1</v>
      </c>
      <c r="F4890" t="s">
        <v>3416</v>
      </c>
      <c r="G4890" t="str">
        <f>"08-K08-00"</f>
        <v>08-K08-00</v>
      </c>
      <c r="H4890">
        <v>0.51670000000000005</v>
      </c>
      <c r="I4890" t="s">
        <v>3601</v>
      </c>
      <c r="J4890" t="s">
        <v>14</v>
      </c>
      <c r="K4890" t="str">
        <f>"2F9"</f>
        <v>2F9</v>
      </c>
      <c r="L4890" t="s">
        <v>15</v>
      </c>
    </row>
    <row r="4891" spans="1:12" x14ac:dyDescent="0.25">
      <c r="A4891" t="str">
        <f>"495415015"</f>
        <v>495415015</v>
      </c>
      <c r="B4891" t="str">
        <f t="shared" si="267"/>
        <v>89301000</v>
      </c>
      <c r="C4891" s="1">
        <v>44491</v>
      </c>
      <c r="D4891" s="1">
        <v>44502</v>
      </c>
      <c r="E4891">
        <v>1</v>
      </c>
      <c r="F4891" t="s">
        <v>217</v>
      </c>
      <c r="G4891" t="str">
        <f>"04-K02-03"</f>
        <v>04-K02-03</v>
      </c>
      <c r="H4891">
        <v>1.2859</v>
      </c>
      <c r="I4891" t="s">
        <v>3602</v>
      </c>
      <c r="J4891" t="s">
        <v>14</v>
      </c>
      <c r="K4891" t="str">
        <f>"1F1"</f>
        <v>1F1</v>
      </c>
      <c r="L4891" t="s">
        <v>15</v>
      </c>
    </row>
    <row r="4892" spans="1:12" x14ac:dyDescent="0.25">
      <c r="A4892" t="str">
        <f>"495417015"</f>
        <v>495417015</v>
      </c>
      <c r="B4892" t="str">
        <f t="shared" si="267"/>
        <v>89301000</v>
      </c>
      <c r="C4892" s="1">
        <v>44405</v>
      </c>
      <c r="D4892" s="1">
        <v>44447</v>
      </c>
      <c r="E4892">
        <v>4</v>
      </c>
      <c r="F4892" t="s">
        <v>3603</v>
      </c>
      <c r="G4892" t="str">
        <f>"01-K02-02"</f>
        <v>01-K02-02</v>
      </c>
      <c r="H4892">
        <v>4.0076999999999998</v>
      </c>
      <c r="I4892" t="s">
        <v>2183</v>
      </c>
      <c r="J4892" t="s">
        <v>14</v>
      </c>
      <c r="K4892" t="str">
        <f>"2F9"</f>
        <v>2F9</v>
      </c>
      <c r="L4892" t="s">
        <v>15</v>
      </c>
    </row>
    <row r="4893" spans="1:12" x14ac:dyDescent="0.25">
      <c r="A4893" t="str">
        <f>"495417015"</f>
        <v>495417015</v>
      </c>
      <c r="B4893" t="str">
        <f t="shared" si="267"/>
        <v>89301000</v>
      </c>
      <c r="C4893" s="1">
        <v>44295</v>
      </c>
      <c r="D4893" s="1">
        <v>44298</v>
      </c>
      <c r="E4893">
        <v>5</v>
      </c>
      <c r="F4893" t="s">
        <v>3604</v>
      </c>
      <c r="G4893" t="str">
        <f>"08-I03-04"</f>
        <v>08-I03-04</v>
      </c>
      <c r="H4893">
        <v>3.3538000000000001</v>
      </c>
      <c r="I4893" t="s">
        <v>489</v>
      </c>
      <c r="J4893" t="s">
        <v>17</v>
      </c>
      <c r="K4893" t="str">
        <f>"5F6"</f>
        <v>5F6</v>
      </c>
      <c r="L4893" t="s">
        <v>15</v>
      </c>
    </row>
    <row r="4894" spans="1:12" x14ac:dyDescent="0.25">
      <c r="A4894" t="str">
        <f>"495417148"</f>
        <v>495417148</v>
      </c>
      <c r="B4894" t="str">
        <f t="shared" si="267"/>
        <v>89301000</v>
      </c>
      <c r="C4894" s="1">
        <v>44466</v>
      </c>
      <c r="D4894" s="1">
        <v>44472</v>
      </c>
      <c r="E4894">
        <v>7</v>
      </c>
      <c r="F4894" t="s">
        <v>2819</v>
      </c>
      <c r="G4894" t="str">
        <f>"09-K07-01"</f>
        <v>09-K07-01</v>
      </c>
      <c r="H4894">
        <v>1.0827</v>
      </c>
      <c r="I4894" t="s">
        <v>3605</v>
      </c>
      <c r="J4894" t="s">
        <v>14</v>
      </c>
      <c r="K4894" t="str">
        <f>"4F2"</f>
        <v>4F2</v>
      </c>
      <c r="L4894" t="s">
        <v>15</v>
      </c>
    </row>
    <row r="4895" spans="1:12" x14ac:dyDescent="0.25">
      <c r="A4895" t="str">
        <f>"495419068"</f>
        <v>495419068</v>
      </c>
      <c r="B4895" t="str">
        <f t="shared" si="267"/>
        <v>89301000</v>
      </c>
      <c r="C4895" s="1">
        <v>44312</v>
      </c>
      <c r="D4895" s="1">
        <v>44320</v>
      </c>
      <c r="E4895">
        <v>1</v>
      </c>
      <c r="F4895" t="s">
        <v>1955</v>
      </c>
      <c r="G4895" t="str">
        <f>"01-K04-02"</f>
        <v>01-K04-02</v>
      </c>
      <c r="H4895">
        <v>0.80059999999999998</v>
      </c>
      <c r="I4895" t="s">
        <v>3606</v>
      </c>
      <c r="J4895" t="s">
        <v>14</v>
      </c>
      <c r="K4895" t="str">
        <f>"2F9"</f>
        <v>2F9</v>
      </c>
      <c r="L4895" t="s">
        <v>15</v>
      </c>
    </row>
    <row r="4896" spans="1:12" x14ac:dyDescent="0.25">
      <c r="A4896" t="str">
        <f t="shared" ref="A4896:A4902" si="268">"495420246"</f>
        <v>495420246</v>
      </c>
      <c r="B4896" t="str">
        <f t="shared" si="267"/>
        <v>89301000</v>
      </c>
      <c r="C4896" s="1">
        <v>44484</v>
      </c>
      <c r="D4896" s="1">
        <v>44487</v>
      </c>
      <c r="E4896">
        <v>1</v>
      </c>
      <c r="F4896" t="s">
        <v>2752</v>
      </c>
      <c r="G4896" t="str">
        <f>"06-C02-03"</f>
        <v>06-C02-03</v>
      </c>
      <c r="H4896">
        <v>0.25769999999999998</v>
      </c>
      <c r="I4896" t="s">
        <v>541</v>
      </c>
      <c r="J4896" t="s">
        <v>14</v>
      </c>
      <c r="K4896" t="str">
        <f>"4F2"</f>
        <v>4F2</v>
      </c>
      <c r="L4896" t="s">
        <v>15</v>
      </c>
    </row>
    <row r="4897" spans="1:12" x14ac:dyDescent="0.25">
      <c r="A4897" t="str">
        <f t="shared" si="268"/>
        <v>495420246</v>
      </c>
      <c r="B4897" t="str">
        <f t="shared" si="267"/>
        <v>89301000</v>
      </c>
      <c r="C4897" s="1">
        <v>44515</v>
      </c>
      <c r="D4897" s="1">
        <v>44517</v>
      </c>
      <c r="E4897">
        <v>1</v>
      </c>
      <c r="F4897" t="s">
        <v>2752</v>
      </c>
      <c r="G4897" t="str">
        <f>"06-C02-03"</f>
        <v>06-C02-03</v>
      </c>
      <c r="H4897">
        <v>0.25769999999999998</v>
      </c>
      <c r="I4897" t="s">
        <v>541</v>
      </c>
      <c r="J4897" t="s">
        <v>14</v>
      </c>
      <c r="K4897" t="str">
        <f>"4F2"</f>
        <v>4F2</v>
      </c>
      <c r="L4897" t="s">
        <v>15</v>
      </c>
    </row>
    <row r="4898" spans="1:12" x14ac:dyDescent="0.25">
      <c r="A4898" t="str">
        <f t="shared" si="268"/>
        <v>495420246</v>
      </c>
      <c r="B4898" t="str">
        <f t="shared" si="267"/>
        <v>89301000</v>
      </c>
      <c r="C4898" s="1">
        <v>44530</v>
      </c>
      <c r="D4898" s="1">
        <v>44533</v>
      </c>
      <c r="E4898">
        <v>1</v>
      </c>
      <c r="F4898" t="s">
        <v>2752</v>
      </c>
      <c r="G4898" t="str">
        <f>"06-C02-03"</f>
        <v>06-C02-03</v>
      </c>
      <c r="H4898">
        <v>0.25769999999999998</v>
      </c>
      <c r="I4898" t="s">
        <v>541</v>
      </c>
      <c r="J4898" t="s">
        <v>14</v>
      </c>
      <c r="K4898" t="str">
        <f>"4F2"</f>
        <v>4F2</v>
      </c>
      <c r="L4898" t="s">
        <v>15</v>
      </c>
    </row>
    <row r="4899" spans="1:12" x14ac:dyDescent="0.25">
      <c r="A4899" t="str">
        <f t="shared" si="268"/>
        <v>495420246</v>
      </c>
      <c r="B4899" t="str">
        <f t="shared" si="267"/>
        <v>89301000</v>
      </c>
      <c r="C4899" s="1">
        <v>44501</v>
      </c>
      <c r="D4899" s="1">
        <v>44504</v>
      </c>
      <c r="E4899">
        <v>1</v>
      </c>
      <c r="F4899" t="s">
        <v>2752</v>
      </c>
      <c r="G4899" t="str">
        <f>"06-C02-03"</f>
        <v>06-C02-03</v>
      </c>
      <c r="H4899">
        <v>0.25769999999999998</v>
      </c>
      <c r="I4899" t="s">
        <v>3607</v>
      </c>
      <c r="J4899" t="s">
        <v>14</v>
      </c>
      <c r="K4899" t="str">
        <f>"4F2"</f>
        <v>4F2</v>
      </c>
      <c r="L4899" t="s">
        <v>15</v>
      </c>
    </row>
    <row r="4900" spans="1:12" x14ac:dyDescent="0.25">
      <c r="A4900" t="str">
        <f t="shared" si="268"/>
        <v>495420246</v>
      </c>
      <c r="B4900" t="str">
        <f t="shared" si="267"/>
        <v>89301000</v>
      </c>
      <c r="C4900" s="1">
        <v>44545</v>
      </c>
      <c r="D4900" s="1">
        <v>44547</v>
      </c>
      <c r="E4900">
        <v>1</v>
      </c>
      <c r="F4900" t="s">
        <v>2752</v>
      </c>
      <c r="G4900" t="str">
        <f>"06-C02-03"</f>
        <v>06-C02-03</v>
      </c>
      <c r="H4900">
        <v>0.25769999999999998</v>
      </c>
      <c r="I4900" t="s">
        <v>541</v>
      </c>
      <c r="J4900" t="s">
        <v>14</v>
      </c>
      <c r="K4900" t="str">
        <f>"4F2"</f>
        <v>4F2</v>
      </c>
      <c r="L4900" t="s">
        <v>15</v>
      </c>
    </row>
    <row r="4901" spans="1:12" x14ac:dyDescent="0.25">
      <c r="A4901" t="str">
        <f t="shared" si="268"/>
        <v>495420246</v>
      </c>
      <c r="B4901" t="str">
        <f t="shared" si="267"/>
        <v>89301000</v>
      </c>
      <c r="C4901" s="1">
        <v>44426</v>
      </c>
      <c r="D4901" s="1">
        <v>44436</v>
      </c>
      <c r="E4901">
        <v>1</v>
      </c>
      <c r="F4901" t="s">
        <v>2752</v>
      </c>
      <c r="G4901" t="str">
        <f>"06-I07-05"</f>
        <v>06-I07-05</v>
      </c>
      <c r="H4901">
        <v>2.8466999999999998</v>
      </c>
      <c r="I4901" t="s">
        <v>3608</v>
      </c>
      <c r="J4901" t="s">
        <v>17</v>
      </c>
      <c r="K4901" t="str">
        <f>"5F1"</f>
        <v>5F1</v>
      </c>
      <c r="L4901" t="s">
        <v>15</v>
      </c>
    </row>
    <row r="4902" spans="1:12" x14ac:dyDescent="0.25">
      <c r="A4902" t="str">
        <f t="shared" si="268"/>
        <v>495420246</v>
      </c>
      <c r="B4902" t="str">
        <f t="shared" si="267"/>
        <v>89301000</v>
      </c>
      <c r="C4902" s="1">
        <v>44470</v>
      </c>
      <c r="D4902" s="1">
        <v>44473</v>
      </c>
      <c r="E4902">
        <v>1</v>
      </c>
      <c r="F4902" t="s">
        <v>2752</v>
      </c>
      <c r="G4902" t="str">
        <f>"06-C02-03"</f>
        <v>06-C02-03</v>
      </c>
      <c r="H4902">
        <v>0.25769999999999998</v>
      </c>
      <c r="I4902" t="s">
        <v>541</v>
      </c>
      <c r="J4902" t="s">
        <v>14</v>
      </c>
      <c r="K4902" t="str">
        <f>"4F2"</f>
        <v>4F2</v>
      </c>
      <c r="L4902" t="s">
        <v>15</v>
      </c>
    </row>
    <row r="4903" spans="1:12" x14ac:dyDescent="0.25">
      <c r="A4903" t="str">
        <f>"495427300"</f>
        <v>495427300</v>
      </c>
      <c r="B4903" t="str">
        <f t="shared" si="267"/>
        <v>89301000</v>
      </c>
      <c r="C4903" s="1">
        <v>44466</v>
      </c>
      <c r="D4903" s="1">
        <v>44483</v>
      </c>
      <c r="E4903">
        <v>1</v>
      </c>
      <c r="F4903" t="s">
        <v>1683</v>
      </c>
      <c r="G4903" t="str">
        <f>"05-I16-02"</f>
        <v>05-I16-02</v>
      </c>
      <c r="H4903">
        <v>9.157</v>
      </c>
      <c r="I4903" t="s">
        <v>1558</v>
      </c>
      <c r="J4903" t="s">
        <v>17</v>
      </c>
      <c r="K4903" t="str">
        <f>"5F5"</f>
        <v>5F5</v>
      </c>
      <c r="L4903" t="s">
        <v>15</v>
      </c>
    </row>
    <row r="4904" spans="1:12" x14ac:dyDescent="0.25">
      <c r="A4904" t="str">
        <f>"495429213"</f>
        <v>495429213</v>
      </c>
      <c r="B4904" t="str">
        <f t="shared" si="267"/>
        <v>89301000</v>
      </c>
      <c r="C4904" s="1">
        <v>44545</v>
      </c>
      <c r="D4904" s="1">
        <v>44547</v>
      </c>
      <c r="E4904">
        <v>1</v>
      </c>
      <c r="F4904" t="s">
        <v>3609</v>
      </c>
      <c r="G4904" t="str">
        <f>"17-I08-02"</f>
        <v>17-I08-02</v>
      </c>
      <c r="H4904">
        <v>1.1428</v>
      </c>
      <c r="I4904" t="s">
        <v>3610</v>
      </c>
      <c r="J4904" t="s">
        <v>14</v>
      </c>
      <c r="K4904" t="str">
        <f>"1F1"</f>
        <v>1F1</v>
      </c>
      <c r="L4904" t="s">
        <v>15</v>
      </c>
    </row>
    <row r="4905" spans="1:12" x14ac:dyDescent="0.25">
      <c r="A4905" t="str">
        <f>"495429213"</f>
        <v>495429213</v>
      </c>
      <c r="B4905" t="str">
        <f t="shared" si="267"/>
        <v>89301000</v>
      </c>
      <c r="C4905" s="1">
        <v>44557</v>
      </c>
      <c r="D4905" s="1">
        <v>44559</v>
      </c>
      <c r="E4905">
        <v>1</v>
      </c>
      <c r="F4905" t="s">
        <v>3609</v>
      </c>
      <c r="G4905" t="str">
        <f>"17-K09-02"</f>
        <v>17-K09-02</v>
      </c>
      <c r="H4905">
        <v>0.71240000000000003</v>
      </c>
      <c r="I4905" t="s">
        <v>3611</v>
      </c>
      <c r="J4905" t="s">
        <v>14</v>
      </c>
      <c r="K4905" t="str">
        <f>"1F9"</f>
        <v>1F9</v>
      </c>
      <c r="L4905" t="s">
        <v>15</v>
      </c>
    </row>
    <row r="4906" spans="1:12" x14ac:dyDescent="0.25">
      <c r="A4906" t="str">
        <f>"495430070"</f>
        <v>495430070</v>
      </c>
      <c r="B4906" t="str">
        <f t="shared" si="267"/>
        <v>89301000</v>
      </c>
      <c r="C4906" s="1">
        <v>44313</v>
      </c>
      <c r="D4906" s="1">
        <v>44314</v>
      </c>
      <c r="E4906">
        <v>1</v>
      </c>
      <c r="F4906" t="s">
        <v>831</v>
      </c>
      <c r="G4906" t="str">
        <f>"02-K05-02"</f>
        <v>02-K05-02</v>
      </c>
      <c r="H4906">
        <v>0.4531</v>
      </c>
      <c r="I4906" t="s">
        <v>489</v>
      </c>
      <c r="J4906" t="s">
        <v>14</v>
      </c>
      <c r="K4906" t="str">
        <f>"7F5"</f>
        <v>7F5</v>
      </c>
      <c r="L4906" t="s">
        <v>15</v>
      </c>
    </row>
    <row r="4907" spans="1:12" x14ac:dyDescent="0.25">
      <c r="A4907" t="str">
        <f>"495516009"</f>
        <v>495516009</v>
      </c>
      <c r="B4907" t="str">
        <f t="shared" si="267"/>
        <v>89301000</v>
      </c>
      <c r="C4907" s="1">
        <v>44340</v>
      </c>
      <c r="D4907" s="1">
        <v>44344</v>
      </c>
      <c r="E4907">
        <v>1</v>
      </c>
      <c r="F4907" t="s">
        <v>1875</v>
      </c>
      <c r="G4907" t="str">
        <f>"05-M05-02"</f>
        <v>05-M05-02</v>
      </c>
      <c r="H4907">
        <v>3.516</v>
      </c>
      <c r="I4907" t="s">
        <v>3612</v>
      </c>
      <c r="J4907" t="s">
        <v>24</v>
      </c>
      <c r="K4907" t="str">
        <f>"1F1"</f>
        <v>1F1</v>
      </c>
      <c r="L4907" t="s">
        <v>15</v>
      </c>
    </row>
    <row r="4908" spans="1:12" x14ac:dyDescent="0.25">
      <c r="A4908" t="str">
        <f>"495516009"</f>
        <v>495516009</v>
      </c>
      <c r="B4908" t="str">
        <f t="shared" si="267"/>
        <v>89301000</v>
      </c>
      <c r="C4908" s="1">
        <v>44207</v>
      </c>
      <c r="D4908" s="1">
        <v>44217</v>
      </c>
      <c r="E4908">
        <v>1</v>
      </c>
      <c r="F4908" t="s">
        <v>1780</v>
      </c>
      <c r="G4908" t="str">
        <f>"05-I06-04"</f>
        <v>05-I06-04</v>
      </c>
      <c r="H4908">
        <v>8.3698999999999995</v>
      </c>
      <c r="I4908" t="s">
        <v>3613</v>
      </c>
      <c r="J4908" t="s">
        <v>17</v>
      </c>
      <c r="K4908" t="str">
        <f>"5F5"</f>
        <v>5F5</v>
      </c>
      <c r="L4908" t="s">
        <v>15</v>
      </c>
    </row>
    <row r="4909" spans="1:12" x14ac:dyDescent="0.25">
      <c r="A4909" t="str">
        <f>"495525106"</f>
        <v>495525106</v>
      </c>
      <c r="B4909" t="str">
        <f t="shared" si="267"/>
        <v>89301000</v>
      </c>
      <c r="C4909" s="1">
        <v>44214</v>
      </c>
      <c r="D4909" s="1">
        <v>44215</v>
      </c>
      <c r="E4909">
        <v>1</v>
      </c>
      <c r="F4909" t="s">
        <v>2303</v>
      </c>
      <c r="G4909" t="str">
        <f>"13-I19-00"</f>
        <v>13-I19-00</v>
      </c>
      <c r="H4909">
        <v>0.24679999999999999</v>
      </c>
      <c r="J4909" t="s">
        <v>14</v>
      </c>
      <c r="K4909" t="str">
        <f>"6F3"</f>
        <v>6F3</v>
      </c>
      <c r="L4909" t="s">
        <v>15</v>
      </c>
    </row>
    <row r="4910" spans="1:12" x14ac:dyDescent="0.25">
      <c r="A4910" t="str">
        <f>"495531133"</f>
        <v>495531133</v>
      </c>
      <c r="B4910" t="str">
        <f t="shared" si="267"/>
        <v>89301000</v>
      </c>
      <c r="C4910" s="1">
        <v>44432</v>
      </c>
      <c r="D4910" s="1">
        <v>44435</v>
      </c>
      <c r="E4910">
        <v>1</v>
      </c>
      <c r="F4910" t="s">
        <v>2366</v>
      </c>
      <c r="G4910" t="str">
        <f>"02-I09-03"</f>
        <v>02-I09-03</v>
      </c>
      <c r="H4910">
        <v>0.92979999999999996</v>
      </c>
      <c r="I4910" t="s">
        <v>3614</v>
      </c>
      <c r="J4910" t="s">
        <v>14</v>
      </c>
      <c r="K4910" t="str">
        <f>"7F5"</f>
        <v>7F5</v>
      </c>
      <c r="L4910" t="s">
        <v>15</v>
      </c>
    </row>
    <row r="4911" spans="1:12" x14ac:dyDescent="0.25">
      <c r="A4911" t="str">
        <f>"495601334"</f>
        <v>495601334</v>
      </c>
      <c r="B4911" t="str">
        <f t="shared" si="267"/>
        <v>89301000</v>
      </c>
      <c r="C4911" s="1">
        <v>44518</v>
      </c>
      <c r="D4911" s="1">
        <v>44536</v>
      </c>
      <c r="E4911">
        <v>1</v>
      </c>
      <c r="F4911" t="s">
        <v>962</v>
      </c>
      <c r="G4911" t="str">
        <f>"04-K08-03"</f>
        <v>04-K08-03</v>
      </c>
      <c r="H4911">
        <v>1.5965</v>
      </c>
      <c r="I4911" t="s">
        <v>3615</v>
      </c>
      <c r="J4911" t="s">
        <v>14</v>
      </c>
      <c r="K4911" t="str">
        <f>"2F5"</f>
        <v>2F5</v>
      </c>
      <c r="L4911" t="s">
        <v>15</v>
      </c>
    </row>
    <row r="4912" spans="1:12" x14ac:dyDescent="0.25">
      <c r="A4912" t="str">
        <f>"495601334"</f>
        <v>495601334</v>
      </c>
      <c r="B4912" t="str">
        <f t="shared" si="267"/>
        <v>89301000</v>
      </c>
      <c r="C4912" s="1">
        <v>44369</v>
      </c>
      <c r="D4912" s="1">
        <v>44375</v>
      </c>
      <c r="E4912">
        <v>1</v>
      </c>
      <c r="F4912" t="s">
        <v>2197</v>
      </c>
      <c r="G4912" t="str">
        <f>"04-K07-03"</f>
        <v>04-K07-03</v>
      </c>
      <c r="H4912">
        <v>0.66259999999999997</v>
      </c>
      <c r="I4912" t="s">
        <v>3616</v>
      </c>
      <c r="J4912" t="s">
        <v>14</v>
      </c>
      <c r="K4912" t="str">
        <f>"2F5"</f>
        <v>2F5</v>
      </c>
      <c r="L4912" t="s">
        <v>15</v>
      </c>
    </row>
    <row r="4913" spans="1:12" x14ac:dyDescent="0.25">
      <c r="A4913" t="str">
        <f>"495601334"</f>
        <v>495601334</v>
      </c>
      <c r="B4913" t="str">
        <f t="shared" si="267"/>
        <v>89301000</v>
      </c>
      <c r="C4913" s="1">
        <v>44201</v>
      </c>
      <c r="D4913" s="1">
        <v>44209</v>
      </c>
      <c r="E4913">
        <v>1</v>
      </c>
      <c r="F4913" t="s">
        <v>627</v>
      </c>
      <c r="G4913" t="str">
        <f>"04-K08-03"</f>
        <v>04-K08-03</v>
      </c>
      <c r="H4913">
        <v>1.5965</v>
      </c>
      <c r="I4913" t="s">
        <v>3617</v>
      </c>
      <c r="J4913" t="s">
        <v>14</v>
      </c>
      <c r="K4913" t="str">
        <f>"2F5"</f>
        <v>2F5</v>
      </c>
      <c r="L4913" t="s">
        <v>15</v>
      </c>
    </row>
    <row r="4914" spans="1:12" x14ac:dyDescent="0.25">
      <c r="A4914" t="str">
        <f>"495606266"</f>
        <v>495606266</v>
      </c>
      <c r="B4914" t="str">
        <f t="shared" si="267"/>
        <v>89301000</v>
      </c>
      <c r="C4914" s="1">
        <v>44333</v>
      </c>
      <c r="D4914" s="1">
        <v>44337</v>
      </c>
      <c r="E4914">
        <v>4</v>
      </c>
      <c r="F4914" t="s">
        <v>31</v>
      </c>
      <c r="G4914" t="str">
        <f>"08-I03-06"</f>
        <v>08-I03-06</v>
      </c>
      <c r="H4914">
        <v>3.2902</v>
      </c>
      <c r="I4914" t="s">
        <v>2257</v>
      </c>
      <c r="J4914" t="s">
        <v>17</v>
      </c>
      <c r="K4914" t="str">
        <f>"5F6"</f>
        <v>5F6</v>
      </c>
      <c r="L4914" t="s">
        <v>15</v>
      </c>
    </row>
    <row r="4915" spans="1:12" x14ac:dyDescent="0.25">
      <c r="A4915" t="str">
        <f>"495607002"</f>
        <v>495607002</v>
      </c>
      <c r="B4915" t="str">
        <f t="shared" si="267"/>
        <v>89301000</v>
      </c>
      <c r="C4915" s="1">
        <v>44455</v>
      </c>
      <c r="D4915" s="1">
        <v>44459</v>
      </c>
      <c r="E4915">
        <v>1</v>
      </c>
      <c r="F4915" t="s">
        <v>1551</v>
      </c>
      <c r="G4915" t="str">
        <f>"09-I06-04"</f>
        <v>09-I06-04</v>
      </c>
      <c r="H4915">
        <v>0.98829999999999996</v>
      </c>
      <c r="I4915" t="s">
        <v>475</v>
      </c>
      <c r="J4915" t="s">
        <v>17</v>
      </c>
      <c r="K4915" t="str">
        <f>"5F1"</f>
        <v>5F1</v>
      </c>
      <c r="L4915" t="s">
        <v>15</v>
      </c>
    </row>
    <row r="4916" spans="1:12" x14ac:dyDescent="0.25">
      <c r="A4916" t="str">
        <f>"495608145"</f>
        <v>495608145</v>
      </c>
      <c r="B4916" t="str">
        <f t="shared" si="267"/>
        <v>89301000</v>
      </c>
      <c r="C4916" s="1">
        <v>44488</v>
      </c>
      <c r="D4916" s="1">
        <v>44497</v>
      </c>
      <c r="E4916">
        <v>1</v>
      </c>
      <c r="F4916" t="s">
        <v>1555</v>
      </c>
      <c r="G4916" t="str">
        <f>"05-I18-04"</f>
        <v>05-I18-04</v>
      </c>
      <c r="H4916">
        <v>3.6120999999999999</v>
      </c>
      <c r="I4916" t="s">
        <v>3618</v>
      </c>
      <c r="J4916" t="s">
        <v>14</v>
      </c>
      <c r="K4916" t="str">
        <f>"5F1"</f>
        <v>5F1</v>
      </c>
      <c r="L4916" t="s">
        <v>15</v>
      </c>
    </row>
    <row r="4917" spans="1:12" x14ac:dyDescent="0.25">
      <c r="A4917" t="str">
        <f>"495617080"</f>
        <v>495617080</v>
      </c>
      <c r="B4917" t="str">
        <f t="shared" si="267"/>
        <v>89301000</v>
      </c>
      <c r="C4917" s="1">
        <v>44209</v>
      </c>
      <c r="D4917" s="1">
        <v>44220</v>
      </c>
      <c r="E4917">
        <v>7</v>
      </c>
      <c r="F4917" t="s">
        <v>217</v>
      </c>
      <c r="G4917" t="str">
        <f>"00-M01-04"</f>
        <v>00-M01-04</v>
      </c>
      <c r="H4917">
        <v>6.85</v>
      </c>
      <c r="I4917" t="s">
        <v>3619</v>
      </c>
      <c r="J4917" t="s">
        <v>14</v>
      </c>
      <c r="K4917" t="str">
        <f>"1T1"</f>
        <v>1T1</v>
      </c>
      <c r="L4917" t="s">
        <v>15</v>
      </c>
    </row>
    <row r="4918" spans="1:12" x14ac:dyDescent="0.25">
      <c r="A4918" t="str">
        <f>"495627300"</f>
        <v>495627300</v>
      </c>
      <c r="B4918" t="str">
        <f t="shared" si="267"/>
        <v>89301000</v>
      </c>
      <c r="C4918" s="1">
        <v>44414</v>
      </c>
      <c r="D4918" s="1">
        <v>44417</v>
      </c>
      <c r="E4918">
        <v>1</v>
      </c>
      <c r="F4918" t="s">
        <v>3620</v>
      </c>
      <c r="G4918" t="str">
        <f>"02-M01-02"</f>
        <v>02-M01-02</v>
      </c>
      <c r="H4918">
        <v>0.58299999999999996</v>
      </c>
      <c r="I4918" t="s">
        <v>3621</v>
      </c>
      <c r="J4918" t="s">
        <v>14</v>
      </c>
      <c r="K4918" t="str">
        <f>"7F5"</f>
        <v>7F5</v>
      </c>
      <c r="L4918" t="s">
        <v>15</v>
      </c>
    </row>
    <row r="4919" spans="1:12" x14ac:dyDescent="0.25">
      <c r="A4919" t="str">
        <f>"495627300"</f>
        <v>495627300</v>
      </c>
      <c r="B4919" t="str">
        <f t="shared" si="267"/>
        <v>89301000</v>
      </c>
      <c r="C4919" s="1">
        <v>44495</v>
      </c>
      <c r="D4919" s="1">
        <v>44498</v>
      </c>
      <c r="E4919">
        <v>1</v>
      </c>
      <c r="F4919" t="s">
        <v>2068</v>
      </c>
      <c r="G4919" t="str">
        <f>"02-I06-02"</f>
        <v>02-I06-02</v>
      </c>
      <c r="H4919">
        <v>0.90300000000000002</v>
      </c>
      <c r="I4919" t="s">
        <v>3622</v>
      </c>
      <c r="J4919" t="s">
        <v>17</v>
      </c>
      <c r="K4919" t="str">
        <f>"7F5"</f>
        <v>7F5</v>
      </c>
      <c r="L4919" t="s">
        <v>15</v>
      </c>
    </row>
    <row r="4920" spans="1:12" x14ac:dyDescent="0.25">
      <c r="A4920" t="str">
        <f>"495704320"</f>
        <v>495704320</v>
      </c>
      <c r="B4920" t="str">
        <f t="shared" si="267"/>
        <v>89301000</v>
      </c>
      <c r="C4920" s="1">
        <v>44452</v>
      </c>
      <c r="D4920" s="1">
        <v>44463</v>
      </c>
      <c r="E4920">
        <v>1</v>
      </c>
      <c r="F4920" t="s">
        <v>1780</v>
      </c>
      <c r="G4920" t="str">
        <f>"05-I10-04"</f>
        <v>05-I10-04</v>
      </c>
      <c r="H4920">
        <v>7.7031999999999998</v>
      </c>
      <c r="I4920" t="s">
        <v>3623</v>
      </c>
      <c r="J4920" t="s">
        <v>17</v>
      </c>
      <c r="K4920" t="str">
        <f>"5F5"</f>
        <v>5F5</v>
      </c>
      <c r="L4920" t="s">
        <v>15</v>
      </c>
    </row>
    <row r="4921" spans="1:12" x14ac:dyDescent="0.25">
      <c r="A4921" t="str">
        <f>"495707178"</f>
        <v>495707178</v>
      </c>
      <c r="B4921" t="str">
        <f t="shared" si="267"/>
        <v>89301000</v>
      </c>
      <c r="C4921" s="1">
        <v>44535</v>
      </c>
      <c r="D4921" s="1">
        <v>44539</v>
      </c>
      <c r="E4921">
        <v>1</v>
      </c>
      <c r="F4921" t="s">
        <v>16</v>
      </c>
      <c r="G4921" t="str">
        <f>"08-I04-02"</f>
        <v>08-I04-02</v>
      </c>
      <c r="H4921">
        <v>1.6718999999999999</v>
      </c>
      <c r="I4921" t="s">
        <v>3624</v>
      </c>
      <c r="J4921" t="s">
        <v>17</v>
      </c>
      <c r="K4921" t="str">
        <f>"5F6"</f>
        <v>5F6</v>
      </c>
      <c r="L4921" t="s">
        <v>15</v>
      </c>
    </row>
    <row r="4922" spans="1:12" x14ac:dyDescent="0.25">
      <c r="A4922" t="str">
        <f>"495709290"</f>
        <v>495709290</v>
      </c>
      <c r="B4922" t="str">
        <f t="shared" si="267"/>
        <v>89301000</v>
      </c>
      <c r="C4922" s="1">
        <v>44440</v>
      </c>
      <c r="D4922" s="1">
        <v>44447</v>
      </c>
      <c r="E4922">
        <v>1</v>
      </c>
      <c r="F4922" t="s">
        <v>3625</v>
      </c>
      <c r="G4922" t="str">
        <f>"06-I07-05"</f>
        <v>06-I07-05</v>
      </c>
      <c r="H4922">
        <v>2.8466999999999998</v>
      </c>
      <c r="I4922" t="s">
        <v>3626</v>
      </c>
      <c r="J4922" t="s">
        <v>17</v>
      </c>
      <c r="K4922" t="str">
        <f>"5F1"</f>
        <v>5F1</v>
      </c>
      <c r="L4922" t="s">
        <v>15</v>
      </c>
    </row>
    <row r="4923" spans="1:12" x14ac:dyDescent="0.25">
      <c r="A4923" t="str">
        <f>"495711144"</f>
        <v>495711144</v>
      </c>
      <c r="B4923" t="str">
        <f t="shared" si="267"/>
        <v>89301000</v>
      </c>
      <c r="C4923" s="1">
        <v>44474</v>
      </c>
      <c r="D4923" s="1">
        <v>44480</v>
      </c>
      <c r="E4923">
        <v>1</v>
      </c>
      <c r="F4923" t="s">
        <v>3627</v>
      </c>
      <c r="G4923" t="str">
        <f>"17-K07-01"</f>
        <v>17-K07-01</v>
      </c>
      <c r="H4923">
        <v>3.2158000000000002</v>
      </c>
      <c r="I4923" t="s">
        <v>3628</v>
      </c>
      <c r="J4923" t="s">
        <v>14</v>
      </c>
      <c r="K4923" t="str">
        <f>"2F2"</f>
        <v>2F2</v>
      </c>
      <c r="L4923" t="s">
        <v>15</v>
      </c>
    </row>
    <row r="4924" spans="1:12" x14ac:dyDescent="0.25">
      <c r="A4924" t="str">
        <f>"495725004"</f>
        <v>495725004</v>
      </c>
      <c r="B4924" t="str">
        <f t="shared" si="267"/>
        <v>89301000</v>
      </c>
      <c r="C4924" s="1">
        <v>44251</v>
      </c>
      <c r="D4924" s="1">
        <v>44258</v>
      </c>
      <c r="E4924">
        <v>1</v>
      </c>
      <c r="F4924" t="s">
        <v>144</v>
      </c>
      <c r="G4924" t="str">
        <f>"04-I03-04"</f>
        <v>04-I03-04</v>
      </c>
      <c r="H4924">
        <v>2.0316000000000001</v>
      </c>
      <c r="J4924" t="s">
        <v>106</v>
      </c>
      <c r="K4924" t="str">
        <f>"5F1"</f>
        <v>5F1</v>
      </c>
      <c r="L4924" t="s">
        <v>15</v>
      </c>
    </row>
    <row r="4925" spans="1:12" x14ac:dyDescent="0.25">
      <c r="A4925" t="str">
        <f>"495730002"</f>
        <v>495730002</v>
      </c>
      <c r="B4925" t="str">
        <f t="shared" si="267"/>
        <v>89301000</v>
      </c>
      <c r="C4925" s="1">
        <v>44299</v>
      </c>
      <c r="D4925" s="1">
        <v>44335</v>
      </c>
      <c r="E4925">
        <v>4</v>
      </c>
      <c r="F4925" t="s">
        <v>217</v>
      </c>
      <c r="G4925" t="str">
        <f>"04-K02-02"</f>
        <v>04-K02-02</v>
      </c>
      <c r="H4925">
        <v>3.2684000000000002</v>
      </c>
      <c r="I4925" t="s">
        <v>3629</v>
      </c>
      <c r="J4925" t="s">
        <v>14</v>
      </c>
      <c r="K4925" t="str">
        <f>"1F1"</f>
        <v>1F1</v>
      </c>
      <c r="L4925" t="s">
        <v>15</v>
      </c>
    </row>
    <row r="4926" spans="1:12" x14ac:dyDescent="0.25">
      <c r="A4926" t="str">
        <f>"495801314"</f>
        <v>495801314</v>
      </c>
      <c r="B4926" t="str">
        <f t="shared" si="267"/>
        <v>89301000</v>
      </c>
      <c r="C4926" s="1">
        <v>44328</v>
      </c>
      <c r="D4926" s="1">
        <v>44328</v>
      </c>
      <c r="E4926">
        <v>1</v>
      </c>
      <c r="F4926" t="s">
        <v>1557</v>
      </c>
      <c r="G4926" t="str">
        <f>"05-M06-08"</f>
        <v>05-M06-08</v>
      </c>
      <c r="H4926">
        <v>1.1200000000000001</v>
      </c>
      <c r="I4926" t="s">
        <v>3630</v>
      </c>
      <c r="J4926" t="s">
        <v>17</v>
      </c>
      <c r="K4926" t="str">
        <f>"1F1"</f>
        <v>1F1</v>
      </c>
      <c r="L4926" t="s">
        <v>15</v>
      </c>
    </row>
    <row r="4927" spans="1:12" x14ac:dyDescent="0.25">
      <c r="A4927" t="str">
        <f>"495801314"</f>
        <v>495801314</v>
      </c>
      <c r="B4927" t="str">
        <f t="shared" si="267"/>
        <v>89301000</v>
      </c>
      <c r="C4927" s="1">
        <v>44346</v>
      </c>
      <c r="D4927" s="1">
        <v>44348</v>
      </c>
      <c r="E4927">
        <v>1</v>
      </c>
      <c r="F4927" t="s">
        <v>1842</v>
      </c>
      <c r="G4927" t="str">
        <f>"05-I14-03"</f>
        <v>05-I14-03</v>
      </c>
      <c r="H4927">
        <v>6.1292</v>
      </c>
      <c r="I4927" t="s">
        <v>3631</v>
      </c>
      <c r="J4927" t="s">
        <v>14</v>
      </c>
      <c r="K4927" t="str">
        <f>"1F7"</f>
        <v>1F7</v>
      </c>
      <c r="L4927" t="s">
        <v>15</v>
      </c>
    </row>
    <row r="4928" spans="1:12" x14ac:dyDescent="0.25">
      <c r="A4928" t="str">
        <f>"495802001"</f>
        <v>495802001</v>
      </c>
      <c r="B4928" t="str">
        <f t="shared" si="267"/>
        <v>89301000</v>
      </c>
      <c r="C4928" s="1">
        <v>44309</v>
      </c>
      <c r="D4928" s="1">
        <v>44316</v>
      </c>
      <c r="E4928">
        <v>1</v>
      </c>
      <c r="F4928" t="s">
        <v>3632</v>
      </c>
      <c r="G4928" t="str">
        <f>"07-K02-03"</f>
        <v>07-K02-03</v>
      </c>
      <c r="H4928">
        <v>0.7742</v>
      </c>
      <c r="I4928" t="s">
        <v>3633</v>
      </c>
      <c r="J4928" t="s">
        <v>14</v>
      </c>
      <c r="K4928" t="str">
        <f>"1F1"</f>
        <v>1F1</v>
      </c>
      <c r="L4928" t="s">
        <v>15</v>
      </c>
    </row>
    <row r="4929" spans="1:12" x14ac:dyDescent="0.25">
      <c r="A4929" t="str">
        <f>"495802001"</f>
        <v>495802001</v>
      </c>
      <c r="B4929" t="str">
        <f t="shared" si="267"/>
        <v>89301000</v>
      </c>
      <c r="C4929" s="1">
        <v>44349</v>
      </c>
      <c r="D4929" s="1">
        <v>44353</v>
      </c>
      <c r="E4929">
        <v>1</v>
      </c>
      <c r="F4929" t="s">
        <v>593</v>
      </c>
      <c r="G4929" t="str">
        <f>"07-K05-03"</f>
        <v>07-K05-03</v>
      </c>
      <c r="H4929">
        <v>0.44290000000000002</v>
      </c>
      <c r="J4929" t="s">
        <v>14</v>
      </c>
      <c r="K4929" t="str">
        <f>"5F1"</f>
        <v>5F1</v>
      </c>
      <c r="L4929" t="s">
        <v>15</v>
      </c>
    </row>
    <row r="4930" spans="1:12" x14ac:dyDescent="0.25">
      <c r="A4930" t="str">
        <f>"495808102"</f>
        <v>495808102</v>
      </c>
      <c r="B4930" t="str">
        <f t="shared" si="267"/>
        <v>89301000</v>
      </c>
      <c r="C4930" s="1">
        <v>44486</v>
      </c>
      <c r="D4930" s="1">
        <v>44492</v>
      </c>
      <c r="E4930">
        <v>1</v>
      </c>
      <c r="F4930" t="s">
        <v>217</v>
      </c>
      <c r="G4930" t="str">
        <f>"04-K02-03"</f>
        <v>04-K02-03</v>
      </c>
      <c r="H4930">
        <v>1.2859</v>
      </c>
      <c r="I4930" t="s">
        <v>3634</v>
      </c>
      <c r="J4930" t="s">
        <v>14</v>
      </c>
      <c r="K4930" t="str">
        <f>"1F1"</f>
        <v>1F1</v>
      </c>
      <c r="L4930" t="s">
        <v>15</v>
      </c>
    </row>
    <row r="4931" spans="1:12" x14ac:dyDescent="0.25">
      <c r="A4931" t="str">
        <f>"495810234"</f>
        <v>495810234</v>
      </c>
      <c r="B4931" t="str">
        <f t="shared" si="267"/>
        <v>89301000</v>
      </c>
      <c r="C4931" s="1">
        <v>44304</v>
      </c>
      <c r="D4931" s="1">
        <v>44308</v>
      </c>
      <c r="E4931">
        <v>4</v>
      </c>
      <c r="F4931" t="s">
        <v>217</v>
      </c>
      <c r="G4931" t="str">
        <f>"04-K02-04"</f>
        <v>04-K02-04</v>
      </c>
      <c r="H4931">
        <v>0.82469999999999999</v>
      </c>
      <c r="I4931" t="s">
        <v>3635</v>
      </c>
      <c r="J4931" t="s">
        <v>14</v>
      </c>
      <c r="K4931" t="str">
        <f>"1F6"</f>
        <v>1F6</v>
      </c>
      <c r="L4931" t="s">
        <v>15</v>
      </c>
    </row>
    <row r="4932" spans="1:12" x14ac:dyDescent="0.25">
      <c r="A4932" t="str">
        <f>"495813082"</f>
        <v>495813082</v>
      </c>
      <c r="B4932" t="str">
        <f t="shared" si="267"/>
        <v>89301000</v>
      </c>
      <c r="C4932" s="1">
        <v>44483</v>
      </c>
      <c r="D4932" s="1">
        <v>44484</v>
      </c>
      <c r="E4932">
        <v>1</v>
      </c>
      <c r="F4932" t="s">
        <v>1557</v>
      </c>
      <c r="G4932" t="str">
        <f>"05-M06-08"</f>
        <v>05-M06-08</v>
      </c>
      <c r="H4932">
        <v>1.4719</v>
      </c>
      <c r="I4932" t="s">
        <v>1605</v>
      </c>
      <c r="J4932" t="s">
        <v>17</v>
      </c>
      <c r="K4932" t="str">
        <f>"1F7"</f>
        <v>1F7</v>
      </c>
      <c r="L4932" t="s">
        <v>15</v>
      </c>
    </row>
    <row r="4933" spans="1:12" x14ac:dyDescent="0.25">
      <c r="A4933" t="str">
        <f>"495814097"</f>
        <v>495814097</v>
      </c>
      <c r="B4933" t="str">
        <f t="shared" si="267"/>
        <v>89301000</v>
      </c>
      <c r="C4933" s="1">
        <v>44327</v>
      </c>
      <c r="D4933" s="1">
        <v>44330</v>
      </c>
      <c r="E4933">
        <v>4</v>
      </c>
      <c r="F4933" t="s">
        <v>962</v>
      </c>
      <c r="G4933" t="str">
        <f>"04-K08-02"</f>
        <v>04-K08-02</v>
      </c>
      <c r="H4933">
        <v>2.6110000000000002</v>
      </c>
      <c r="I4933" t="s">
        <v>3636</v>
      </c>
      <c r="J4933" t="s">
        <v>14</v>
      </c>
      <c r="K4933" t="str">
        <f>"7T8"</f>
        <v>7T8</v>
      </c>
      <c r="L4933" t="s">
        <v>15</v>
      </c>
    </row>
    <row r="4934" spans="1:12" x14ac:dyDescent="0.25">
      <c r="A4934" t="str">
        <f>"495816044"</f>
        <v>495816044</v>
      </c>
      <c r="B4934" t="str">
        <f t="shared" si="267"/>
        <v>89301000</v>
      </c>
      <c r="C4934" s="1">
        <v>44242</v>
      </c>
      <c r="D4934" s="1">
        <v>44244</v>
      </c>
      <c r="E4934">
        <v>1</v>
      </c>
      <c r="F4934" t="s">
        <v>831</v>
      </c>
      <c r="G4934" t="str">
        <f>"02-I06-03"</f>
        <v>02-I06-03</v>
      </c>
      <c r="H4934">
        <v>0.63690000000000002</v>
      </c>
      <c r="I4934" t="s">
        <v>3637</v>
      </c>
      <c r="J4934" t="s">
        <v>17</v>
      </c>
      <c r="K4934" t="str">
        <f>"7F5"</f>
        <v>7F5</v>
      </c>
      <c r="L4934" t="s">
        <v>15</v>
      </c>
    </row>
    <row r="4935" spans="1:12" x14ac:dyDescent="0.25">
      <c r="A4935" t="str">
        <f>"495826020"</f>
        <v>495826020</v>
      </c>
      <c r="B4935" t="str">
        <f t="shared" si="267"/>
        <v>89301000</v>
      </c>
      <c r="C4935" s="1">
        <v>44525</v>
      </c>
      <c r="D4935" s="1">
        <v>44529</v>
      </c>
      <c r="E4935">
        <v>1</v>
      </c>
      <c r="F4935" t="s">
        <v>1551</v>
      </c>
      <c r="G4935" t="str">
        <f>"09-I06-04"</f>
        <v>09-I06-04</v>
      </c>
      <c r="H4935">
        <v>0.98829999999999996</v>
      </c>
      <c r="J4935" t="s">
        <v>17</v>
      </c>
      <c r="K4935" t="str">
        <f>"5F1"</f>
        <v>5F1</v>
      </c>
      <c r="L4935" t="s">
        <v>15</v>
      </c>
    </row>
    <row r="4936" spans="1:12" x14ac:dyDescent="0.25">
      <c r="A4936" t="str">
        <f>"495826020"</f>
        <v>495826020</v>
      </c>
      <c r="B4936" t="str">
        <f t="shared" si="267"/>
        <v>89301000</v>
      </c>
      <c r="C4936" s="1">
        <v>44218</v>
      </c>
      <c r="D4936" s="1">
        <v>44224</v>
      </c>
      <c r="E4936">
        <v>1</v>
      </c>
      <c r="F4936" t="s">
        <v>1690</v>
      </c>
      <c r="G4936" t="str">
        <f>"07-I10-05"</f>
        <v>07-I10-05</v>
      </c>
      <c r="H4936">
        <v>1.3067</v>
      </c>
      <c r="I4936" t="s">
        <v>101</v>
      </c>
      <c r="J4936" t="s">
        <v>17</v>
      </c>
      <c r="K4936" t="str">
        <f>"5F1"</f>
        <v>5F1</v>
      </c>
      <c r="L4936" t="s">
        <v>15</v>
      </c>
    </row>
    <row r="4937" spans="1:12" x14ac:dyDescent="0.25">
      <c r="A4937" t="str">
        <f>"495828092"</f>
        <v>495828092</v>
      </c>
      <c r="B4937" t="str">
        <f t="shared" si="267"/>
        <v>89301000</v>
      </c>
      <c r="C4937" s="1">
        <v>44369</v>
      </c>
      <c r="D4937" s="1">
        <v>44375</v>
      </c>
      <c r="E4937">
        <v>1</v>
      </c>
      <c r="F4937" t="s">
        <v>67</v>
      </c>
      <c r="G4937" t="str">
        <f>"01-K10-02"</f>
        <v>01-K10-02</v>
      </c>
      <c r="H4937">
        <v>1.7484999999999999</v>
      </c>
      <c r="I4937" t="s">
        <v>3638</v>
      </c>
      <c r="J4937" t="s">
        <v>14</v>
      </c>
      <c r="K4937" t="str">
        <f>"2F9"</f>
        <v>2F9</v>
      </c>
      <c r="L4937" t="s">
        <v>15</v>
      </c>
    </row>
    <row r="4938" spans="1:12" x14ac:dyDescent="0.25">
      <c r="A4938" t="str">
        <f>"495902091"</f>
        <v>495902091</v>
      </c>
      <c r="B4938" t="str">
        <f t="shared" si="267"/>
        <v>89301000</v>
      </c>
      <c r="C4938" s="1">
        <v>44546</v>
      </c>
      <c r="D4938" s="1">
        <v>44549</v>
      </c>
      <c r="E4938">
        <v>1</v>
      </c>
      <c r="F4938" t="s">
        <v>1551</v>
      </c>
      <c r="G4938" t="str">
        <f>"09-I06-04"</f>
        <v>09-I06-04</v>
      </c>
      <c r="H4938">
        <v>0.98829999999999996</v>
      </c>
      <c r="J4938" t="s">
        <v>17</v>
      </c>
      <c r="K4938" t="str">
        <f>"5F1"</f>
        <v>5F1</v>
      </c>
      <c r="L4938" t="s">
        <v>15</v>
      </c>
    </row>
    <row r="4939" spans="1:12" x14ac:dyDescent="0.25">
      <c r="A4939" t="str">
        <f>"495903092"</f>
        <v>495903092</v>
      </c>
      <c r="B4939" t="str">
        <f t="shared" si="267"/>
        <v>89301000</v>
      </c>
      <c r="C4939" s="1">
        <v>44341</v>
      </c>
      <c r="D4939" s="1">
        <v>44350</v>
      </c>
      <c r="E4939">
        <v>1</v>
      </c>
      <c r="F4939" t="s">
        <v>1606</v>
      </c>
      <c r="G4939" t="str">
        <f>"05-I15-00"</f>
        <v>05-I15-00</v>
      </c>
      <c r="H4939">
        <v>9.3231000000000002</v>
      </c>
      <c r="I4939" t="s">
        <v>1557</v>
      </c>
      <c r="J4939" t="s">
        <v>14</v>
      </c>
      <c r="K4939" t="str">
        <f>"5F5"</f>
        <v>5F5</v>
      </c>
      <c r="L4939" t="s">
        <v>15</v>
      </c>
    </row>
    <row r="4940" spans="1:12" x14ac:dyDescent="0.25">
      <c r="A4940" t="str">
        <f>"495903092"</f>
        <v>495903092</v>
      </c>
      <c r="B4940" t="str">
        <f t="shared" si="267"/>
        <v>89301000</v>
      </c>
      <c r="C4940" s="1">
        <v>44329</v>
      </c>
      <c r="D4940" s="1">
        <v>44331</v>
      </c>
      <c r="E4940">
        <v>1</v>
      </c>
      <c r="F4940" t="s">
        <v>1548</v>
      </c>
      <c r="G4940" t="str">
        <f>"05-I14-04"</f>
        <v>05-I14-04</v>
      </c>
      <c r="H4940">
        <v>5.4002999999999997</v>
      </c>
      <c r="J4940" t="s">
        <v>14</v>
      </c>
      <c r="K4940" t="str">
        <f>"1F1"</f>
        <v>1F1</v>
      </c>
      <c r="L4940" t="s">
        <v>15</v>
      </c>
    </row>
    <row r="4941" spans="1:12" x14ac:dyDescent="0.25">
      <c r="A4941" t="str">
        <f>"495903092"</f>
        <v>495903092</v>
      </c>
      <c r="B4941" t="str">
        <f t="shared" ref="B4941:B5004" si="269">"89301000"</f>
        <v>89301000</v>
      </c>
      <c r="C4941" s="1">
        <v>44308</v>
      </c>
      <c r="D4941" s="1">
        <v>44313</v>
      </c>
      <c r="E4941">
        <v>1</v>
      </c>
      <c r="F4941" t="s">
        <v>1557</v>
      </c>
      <c r="G4941" t="str">
        <f>"05-D01-08"</f>
        <v>05-D01-08</v>
      </c>
      <c r="H4941">
        <v>0.48549999999999999</v>
      </c>
      <c r="J4941" t="s">
        <v>14</v>
      </c>
      <c r="K4941" t="str">
        <f>"1F7"</f>
        <v>1F7</v>
      </c>
      <c r="L4941" t="s">
        <v>15</v>
      </c>
    </row>
    <row r="4942" spans="1:12" x14ac:dyDescent="0.25">
      <c r="A4942" t="str">
        <f>"495908295"</f>
        <v>495908295</v>
      </c>
      <c r="B4942" t="str">
        <f t="shared" si="269"/>
        <v>89301000</v>
      </c>
      <c r="C4942" s="1">
        <v>44356</v>
      </c>
      <c r="D4942" s="1">
        <v>44358</v>
      </c>
      <c r="E4942">
        <v>1</v>
      </c>
      <c r="F4942" t="s">
        <v>2068</v>
      </c>
      <c r="G4942" t="str">
        <f>"02-I06-02"</f>
        <v>02-I06-02</v>
      </c>
      <c r="H4942">
        <v>0.90300000000000002</v>
      </c>
      <c r="I4942" t="s">
        <v>3639</v>
      </c>
      <c r="J4942" t="s">
        <v>17</v>
      </c>
      <c r="K4942" t="str">
        <f>"7F5"</f>
        <v>7F5</v>
      </c>
      <c r="L4942" t="s">
        <v>15</v>
      </c>
    </row>
    <row r="4943" spans="1:12" x14ac:dyDescent="0.25">
      <c r="A4943" t="str">
        <f>"495910053"</f>
        <v>495910053</v>
      </c>
      <c r="B4943" t="str">
        <f t="shared" si="269"/>
        <v>89301000</v>
      </c>
      <c r="C4943" s="1">
        <v>44487</v>
      </c>
      <c r="D4943" s="1">
        <v>44488</v>
      </c>
      <c r="E4943">
        <v>1</v>
      </c>
      <c r="F4943" t="s">
        <v>2391</v>
      </c>
      <c r="G4943" t="str">
        <f>"05-D01-06"</f>
        <v>05-D01-06</v>
      </c>
      <c r="H4943">
        <v>0.7611</v>
      </c>
      <c r="J4943" t="s">
        <v>14</v>
      </c>
      <c r="K4943" t="str">
        <f>"1F7"</f>
        <v>1F7</v>
      </c>
      <c r="L4943" t="s">
        <v>15</v>
      </c>
    </row>
    <row r="4944" spans="1:12" x14ac:dyDescent="0.25">
      <c r="A4944" t="str">
        <f>"495914210"</f>
        <v>495914210</v>
      </c>
      <c r="B4944" t="str">
        <f t="shared" si="269"/>
        <v>89301000</v>
      </c>
      <c r="C4944" s="1">
        <v>44197</v>
      </c>
      <c r="D4944" s="1">
        <v>44204</v>
      </c>
      <c r="E4944">
        <v>2</v>
      </c>
      <c r="F4944" t="s">
        <v>324</v>
      </c>
      <c r="G4944" t="str">
        <f>"06-K01-02"</f>
        <v>06-K01-02</v>
      </c>
      <c r="H4944">
        <v>1.2551000000000001</v>
      </c>
      <c r="I4944" t="s">
        <v>3640</v>
      </c>
      <c r="J4944" t="s">
        <v>14</v>
      </c>
      <c r="K4944" t="str">
        <f>"1F1"</f>
        <v>1F1</v>
      </c>
      <c r="L4944" t="s">
        <v>15</v>
      </c>
    </row>
    <row r="4945" spans="1:12" x14ac:dyDescent="0.25">
      <c r="A4945" t="str">
        <f>"495915232"</f>
        <v>495915232</v>
      </c>
      <c r="B4945" t="str">
        <f t="shared" si="269"/>
        <v>89301000</v>
      </c>
      <c r="C4945" s="1">
        <v>44393</v>
      </c>
      <c r="D4945" s="1">
        <v>44394</v>
      </c>
      <c r="E4945">
        <v>8</v>
      </c>
      <c r="F4945" t="s">
        <v>1619</v>
      </c>
      <c r="G4945" t="str">
        <f>"05-K03-03"</f>
        <v>05-K03-03</v>
      </c>
      <c r="H4945">
        <v>0.54649999999999999</v>
      </c>
      <c r="I4945" t="s">
        <v>3641</v>
      </c>
      <c r="J4945" t="s">
        <v>14</v>
      </c>
      <c r="K4945" t="str">
        <f>"1F5"</f>
        <v>1F5</v>
      </c>
      <c r="L4945" t="s">
        <v>15</v>
      </c>
    </row>
    <row r="4946" spans="1:12" x14ac:dyDescent="0.25">
      <c r="A4946" t="str">
        <f>"495917003"</f>
        <v>495917003</v>
      </c>
      <c r="B4946" t="str">
        <f t="shared" si="269"/>
        <v>89301000</v>
      </c>
      <c r="C4946" s="1">
        <v>44452</v>
      </c>
      <c r="D4946" s="1">
        <v>44460</v>
      </c>
      <c r="E4946">
        <v>4</v>
      </c>
      <c r="F4946" t="s">
        <v>3642</v>
      </c>
      <c r="G4946" t="str">
        <f>"08-I05-03"</f>
        <v>08-I05-03</v>
      </c>
      <c r="H4946">
        <v>2.8530000000000002</v>
      </c>
      <c r="I4946" t="s">
        <v>3643</v>
      </c>
      <c r="J4946" t="s">
        <v>17</v>
      </c>
      <c r="K4946" t="str">
        <f>"6F6"</f>
        <v>6F6</v>
      </c>
      <c r="L4946" t="s">
        <v>15</v>
      </c>
    </row>
    <row r="4947" spans="1:12" x14ac:dyDescent="0.25">
      <c r="A4947" t="str">
        <f>"495920234"</f>
        <v>495920234</v>
      </c>
      <c r="B4947" t="str">
        <f t="shared" si="269"/>
        <v>89301000</v>
      </c>
      <c r="C4947" s="1">
        <v>44230</v>
      </c>
      <c r="D4947" s="1">
        <v>44235</v>
      </c>
      <c r="E4947">
        <v>1</v>
      </c>
      <c r="F4947" t="s">
        <v>3644</v>
      </c>
      <c r="G4947" t="str">
        <f>"17-K10-01"</f>
        <v>17-K10-01</v>
      </c>
      <c r="H4947">
        <v>1.6901999999999999</v>
      </c>
      <c r="I4947" t="s">
        <v>3645</v>
      </c>
      <c r="J4947" t="s">
        <v>14</v>
      </c>
      <c r="K4947" t="str">
        <f>"1F1"</f>
        <v>1F1</v>
      </c>
      <c r="L4947" t="s">
        <v>15</v>
      </c>
    </row>
    <row r="4948" spans="1:12" x14ac:dyDescent="0.25">
      <c r="A4948" t="str">
        <f>"495922006"</f>
        <v>495922006</v>
      </c>
      <c r="B4948" t="str">
        <f t="shared" si="269"/>
        <v>89301000</v>
      </c>
      <c r="C4948" s="1">
        <v>44368</v>
      </c>
      <c r="D4948" s="1">
        <v>44377</v>
      </c>
      <c r="E4948">
        <v>5</v>
      </c>
      <c r="F4948" t="s">
        <v>1955</v>
      </c>
      <c r="G4948" t="str">
        <f>"01-K04-02"</f>
        <v>01-K04-02</v>
      </c>
      <c r="H4948">
        <v>0.80059999999999998</v>
      </c>
      <c r="I4948" t="s">
        <v>3646</v>
      </c>
      <c r="J4948" t="s">
        <v>14</v>
      </c>
      <c r="K4948" t="str">
        <f>"2F9"</f>
        <v>2F9</v>
      </c>
      <c r="L4948" t="s">
        <v>15</v>
      </c>
    </row>
    <row r="4949" spans="1:12" x14ac:dyDescent="0.25">
      <c r="A4949" t="str">
        <f>"495926066"</f>
        <v>495926066</v>
      </c>
      <c r="B4949" t="str">
        <f t="shared" si="269"/>
        <v>89301000</v>
      </c>
      <c r="C4949" s="1">
        <v>44516</v>
      </c>
      <c r="D4949" s="1">
        <v>44516</v>
      </c>
      <c r="E4949">
        <v>1</v>
      </c>
      <c r="F4949" t="s">
        <v>2457</v>
      </c>
      <c r="G4949" t="str">
        <f>"05-D01-08"</f>
        <v>05-D01-08</v>
      </c>
      <c r="H4949">
        <v>0.21890000000000001</v>
      </c>
      <c r="J4949" t="s">
        <v>14</v>
      </c>
      <c r="K4949" t="str">
        <f>"1F1"</f>
        <v>1F1</v>
      </c>
      <c r="L4949" t="s">
        <v>15</v>
      </c>
    </row>
    <row r="4950" spans="1:12" x14ac:dyDescent="0.25">
      <c r="A4950" t="str">
        <f>"495929020"</f>
        <v>495929020</v>
      </c>
      <c r="B4950" t="str">
        <f t="shared" si="269"/>
        <v>89301000</v>
      </c>
      <c r="C4950" s="1">
        <v>44498</v>
      </c>
      <c r="D4950" s="1">
        <v>44499</v>
      </c>
      <c r="E4950">
        <v>1</v>
      </c>
      <c r="F4950" t="s">
        <v>3236</v>
      </c>
      <c r="G4950" t="str">
        <f>"13-I19-00"</f>
        <v>13-I19-00</v>
      </c>
      <c r="H4950">
        <v>0.24679999999999999</v>
      </c>
      <c r="J4950" t="s">
        <v>14</v>
      </c>
      <c r="K4950" t="str">
        <f>"6F3"</f>
        <v>6F3</v>
      </c>
      <c r="L4950" t="s">
        <v>15</v>
      </c>
    </row>
    <row r="4951" spans="1:12" x14ac:dyDescent="0.25">
      <c r="A4951" t="str">
        <f>"496003005"</f>
        <v>496003005</v>
      </c>
      <c r="B4951" t="str">
        <f t="shared" si="269"/>
        <v>89301000</v>
      </c>
      <c r="C4951" s="1">
        <v>44460</v>
      </c>
      <c r="D4951" s="1">
        <v>44466</v>
      </c>
      <c r="E4951">
        <v>1</v>
      </c>
      <c r="F4951" t="s">
        <v>3018</v>
      </c>
      <c r="G4951" t="str">
        <f>"10-I11-00"</f>
        <v>10-I11-00</v>
      </c>
      <c r="H4951">
        <v>1.8462000000000001</v>
      </c>
      <c r="I4951" t="s">
        <v>3647</v>
      </c>
      <c r="J4951" t="s">
        <v>24</v>
      </c>
      <c r="K4951" t="str">
        <f>"7F6"</f>
        <v>7F6</v>
      </c>
      <c r="L4951" t="s">
        <v>15</v>
      </c>
    </row>
    <row r="4952" spans="1:12" x14ac:dyDescent="0.25">
      <c r="A4952" t="str">
        <f>"496007322"</f>
        <v>496007322</v>
      </c>
      <c r="B4952" t="str">
        <f t="shared" si="269"/>
        <v>89301000</v>
      </c>
      <c r="C4952" s="1">
        <v>44538</v>
      </c>
      <c r="D4952" s="1">
        <v>44540</v>
      </c>
      <c r="E4952">
        <v>1</v>
      </c>
      <c r="F4952" t="s">
        <v>3648</v>
      </c>
      <c r="G4952" t="str">
        <f>"08-I18-02"</f>
        <v>08-I18-02</v>
      </c>
      <c r="H4952">
        <v>0.65769999999999995</v>
      </c>
      <c r="I4952" t="s">
        <v>572</v>
      </c>
      <c r="J4952" t="s">
        <v>17</v>
      </c>
      <c r="K4952" t="str">
        <f>"5F3"</f>
        <v>5F3</v>
      </c>
      <c r="L4952" t="s">
        <v>15</v>
      </c>
    </row>
    <row r="4953" spans="1:12" x14ac:dyDescent="0.25">
      <c r="A4953" t="str">
        <f>"496008195"</f>
        <v>496008195</v>
      </c>
      <c r="B4953" t="str">
        <f t="shared" si="269"/>
        <v>89301000</v>
      </c>
      <c r="C4953" s="1">
        <v>44461</v>
      </c>
      <c r="D4953" s="1">
        <v>44474</v>
      </c>
      <c r="E4953">
        <v>1</v>
      </c>
      <c r="F4953" t="s">
        <v>2807</v>
      </c>
      <c r="G4953" t="str">
        <f>"13-I04-04"</f>
        <v>13-I04-04</v>
      </c>
      <c r="H4953">
        <v>2.2545999999999999</v>
      </c>
      <c r="J4953" t="s">
        <v>106</v>
      </c>
      <c r="K4953" t="str">
        <f>"6F3"</f>
        <v>6F3</v>
      </c>
      <c r="L4953" t="s">
        <v>15</v>
      </c>
    </row>
    <row r="4954" spans="1:12" x14ac:dyDescent="0.25">
      <c r="A4954" t="str">
        <f>"496009202"</f>
        <v>496009202</v>
      </c>
      <c r="B4954" t="str">
        <f t="shared" si="269"/>
        <v>89301000</v>
      </c>
      <c r="C4954" s="1">
        <v>44461</v>
      </c>
      <c r="D4954" s="1">
        <v>44469</v>
      </c>
      <c r="E4954">
        <v>5</v>
      </c>
      <c r="F4954" t="s">
        <v>1543</v>
      </c>
      <c r="G4954" t="str">
        <f>"01-K10-03"</f>
        <v>01-K10-03</v>
      </c>
      <c r="H4954">
        <v>1.0016</v>
      </c>
      <c r="I4954" t="s">
        <v>3649</v>
      </c>
      <c r="J4954" t="s">
        <v>14</v>
      </c>
      <c r="K4954" t="str">
        <f>"2T9"</f>
        <v>2T9</v>
      </c>
      <c r="L4954" t="s">
        <v>15</v>
      </c>
    </row>
    <row r="4955" spans="1:12" x14ac:dyDescent="0.25">
      <c r="A4955" t="str">
        <f>"496010008"</f>
        <v>496010008</v>
      </c>
      <c r="B4955" t="str">
        <f t="shared" si="269"/>
        <v>89301000</v>
      </c>
      <c r="C4955" s="1">
        <v>44526</v>
      </c>
      <c r="D4955" s="1">
        <v>44550</v>
      </c>
      <c r="E4955">
        <v>2</v>
      </c>
      <c r="F4955" t="s">
        <v>1157</v>
      </c>
      <c r="G4955" t="str">
        <f>"17-K07-01"</f>
        <v>17-K07-01</v>
      </c>
      <c r="H4955">
        <v>3.6354000000000002</v>
      </c>
      <c r="I4955" t="s">
        <v>3650</v>
      </c>
      <c r="J4955" t="s">
        <v>14</v>
      </c>
      <c r="K4955" t="str">
        <f>"2F2"</f>
        <v>2F2</v>
      </c>
      <c r="L4955" t="s">
        <v>15</v>
      </c>
    </row>
    <row r="4956" spans="1:12" x14ac:dyDescent="0.25">
      <c r="A4956" t="str">
        <f>"496013080"</f>
        <v>496013080</v>
      </c>
      <c r="B4956" t="str">
        <f t="shared" si="269"/>
        <v>89301000</v>
      </c>
      <c r="C4956" s="1">
        <v>44225</v>
      </c>
      <c r="D4956" s="1">
        <v>44228</v>
      </c>
      <c r="E4956">
        <v>1</v>
      </c>
      <c r="F4956" t="s">
        <v>2111</v>
      </c>
      <c r="G4956" t="str">
        <f>"10-K15-02"</f>
        <v>10-K15-02</v>
      </c>
      <c r="H4956">
        <v>1.0346</v>
      </c>
      <c r="I4956" t="s">
        <v>3651</v>
      </c>
      <c r="J4956" t="s">
        <v>14</v>
      </c>
      <c r="K4956" t="str">
        <f>"2F5"</f>
        <v>2F5</v>
      </c>
      <c r="L4956" t="s">
        <v>15</v>
      </c>
    </row>
    <row r="4957" spans="1:12" x14ac:dyDescent="0.25">
      <c r="A4957" t="str">
        <f>"496013080"</f>
        <v>496013080</v>
      </c>
      <c r="B4957" t="str">
        <f t="shared" si="269"/>
        <v>89301000</v>
      </c>
      <c r="C4957" s="1">
        <v>44473</v>
      </c>
      <c r="D4957" s="1">
        <v>44476</v>
      </c>
      <c r="E4957">
        <v>1</v>
      </c>
      <c r="F4957" t="s">
        <v>632</v>
      </c>
      <c r="G4957" t="str">
        <f>"06-I17-04"</f>
        <v>06-I17-04</v>
      </c>
      <c r="H4957">
        <v>0.49940000000000001</v>
      </c>
      <c r="J4957" t="s">
        <v>17</v>
      </c>
      <c r="K4957" t="str">
        <f>"5F1"</f>
        <v>5F1</v>
      </c>
      <c r="L4957" t="s">
        <v>15</v>
      </c>
    </row>
    <row r="4958" spans="1:12" x14ac:dyDescent="0.25">
      <c r="A4958" t="str">
        <f>"496014232"</f>
        <v>496014232</v>
      </c>
      <c r="B4958" t="str">
        <f t="shared" si="269"/>
        <v>89301000</v>
      </c>
      <c r="C4958" s="1">
        <v>44318</v>
      </c>
      <c r="D4958" s="1">
        <v>44321</v>
      </c>
      <c r="E4958">
        <v>1</v>
      </c>
      <c r="F4958" t="s">
        <v>3652</v>
      </c>
      <c r="G4958" t="str">
        <f>"02-I07-01"</f>
        <v>02-I07-01</v>
      </c>
      <c r="H4958">
        <v>1.6749000000000001</v>
      </c>
      <c r="I4958" t="s">
        <v>3653</v>
      </c>
      <c r="J4958" t="s">
        <v>17</v>
      </c>
      <c r="K4958" t="str">
        <f>"7F5"</f>
        <v>7F5</v>
      </c>
      <c r="L4958" t="s">
        <v>15</v>
      </c>
    </row>
    <row r="4959" spans="1:12" x14ac:dyDescent="0.25">
      <c r="A4959" t="str">
        <f>"496016108"</f>
        <v>496016108</v>
      </c>
      <c r="B4959" t="str">
        <f t="shared" si="269"/>
        <v>89301000</v>
      </c>
      <c r="C4959" s="1">
        <v>44474</v>
      </c>
      <c r="D4959" s="1">
        <v>44475</v>
      </c>
      <c r="E4959">
        <v>1</v>
      </c>
      <c r="F4959" t="s">
        <v>1852</v>
      </c>
      <c r="G4959" t="str">
        <f>"06-K13-01"</f>
        <v>06-K13-01</v>
      </c>
      <c r="H4959">
        <v>0.75229999999999997</v>
      </c>
      <c r="I4959" t="s">
        <v>3654</v>
      </c>
      <c r="J4959" t="s">
        <v>14</v>
      </c>
      <c r="K4959" t="str">
        <f>"1F5"</f>
        <v>1F5</v>
      </c>
      <c r="L4959" t="s">
        <v>15</v>
      </c>
    </row>
    <row r="4960" spans="1:12" x14ac:dyDescent="0.25">
      <c r="A4960" t="str">
        <f>"496016108"</f>
        <v>496016108</v>
      </c>
      <c r="B4960" t="str">
        <f t="shared" si="269"/>
        <v>89301000</v>
      </c>
      <c r="C4960" s="1">
        <v>44455</v>
      </c>
      <c r="D4960" s="1">
        <v>44459</v>
      </c>
      <c r="E4960">
        <v>1</v>
      </c>
      <c r="F4960" t="s">
        <v>2931</v>
      </c>
      <c r="G4960" t="str">
        <f>"07-K04-04"</f>
        <v>07-K04-04</v>
      </c>
      <c r="H4960">
        <v>0.71340000000000003</v>
      </c>
      <c r="I4960" t="s">
        <v>3655</v>
      </c>
      <c r="J4960" t="s">
        <v>14</v>
      </c>
      <c r="K4960" t="str">
        <f>"1F5"</f>
        <v>1F5</v>
      </c>
      <c r="L4960" t="s">
        <v>15</v>
      </c>
    </row>
    <row r="4961" spans="1:12" x14ac:dyDescent="0.25">
      <c r="A4961" t="str">
        <f>"496016108"</f>
        <v>496016108</v>
      </c>
      <c r="B4961" t="str">
        <f t="shared" si="269"/>
        <v>89301000</v>
      </c>
      <c r="C4961" s="1">
        <v>44479</v>
      </c>
      <c r="D4961" s="1">
        <v>44480</v>
      </c>
      <c r="E4961">
        <v>1</v>
      </c>
      <c r="F4961" t="s">
        <v>1852</v>
      </c>
      <c r="G4961" t="str">
        <f>"06-K13-01"</f>
        <v>06-K13-01</v>
      </c>
      <c r="H4961">
        <v>0.75229999999999997</v>
      </c>
      <c r="I4961" t="s">
        <v>3654</v>
      </c>
      <c r="J4961" t="s">
        <v>14</v>
      </c>
      <c r="K4961" t="str">
        <f>"1F5"</f>
        <v>1F5</v>
      </c>
      <c r="L4961" t="s">
        <v>15</v>
      </c>
    </row>
    <row r="4962" spans="1:12" x14ac:dyDescent="0.25">
      <c r="A4962" t="str">
        <f>"496016108"</f>
        <v>496016108</v>
      </c>
      <c r="B4962" t="str">
        <f t="shared" si="269"/>
        <v>89301000</v>
      </c>
      <c r="C4962" s="1">
        <v>44522</v>
      </c>
      <c r="D4962" s="1">
        <v>44536</v>
      </c>
      <c r="E4962">
        <v>1</v>
      </c>
      <c r="F4962" t="s">
        <v>3656</v>
      </c>
      <c r="G4962" t="str">
        <f>"06-I04-03"</f>
        <v>06-I04-03</v>
      </c>
      <c r="H4962">
        <v>4.0362999999999998</v>
      </c>
      <c r="I4962" t="s">
        <v>3654</v>
      </c>
      <c r="J4962" t="s">
        <v>17</v>
      </c>
      <c r="K4962" t="str">
        <f>"5F1"</f>
        <v>5F1</v>
      </c>
      <c r="L4962" t="s">
        <v>15</v>
      </c>
    </row>
    <row r="4963" spans="1:12" x14ac:dyDescent="0.25">
      <c r="A4963" t="str">
        <f>"496018209"</f>
        <v>496018209</v>
      </c>
      <c r="B4963" t="str">
        <f t="shared" si="269"/>
        <v>89301000</v>
      </c>
      <c r="C4963" s="1">
        <v>44445</v>
      </c>
      <c r="D4963" s="1">
        <v>44448</v>
      </c>
      <c r="E4963">
        <v>1</v>
      </c>
      <c r="F4963" t="s">
        <v>496</v>
      </c>
      <c r="G4963" t="str">
        <f>"08-M03-05"</f>
        <v>08-M03-05</v>
      </c>
      <c r="H4963">
        <v>0.51759999999999995</v>
      </c>
      <c r="I4963" t="s">
        <v>2407</v>
      </c>
      <c r="J4963" t="s">
        <v>14</v>
      </c>
      <c r="K4963" t="str">
        <f>"6F6"</f>
        <v>6F6</v>
      </c>
      <c r="L4963" t="s">
        <v>15</v>
      </c>
    </row>
    <row r="4964" spans="1:12" x14ac:dyDescent="0.25">
      <c r="A4964" t="str">
        <f>"496026073"</f>
        <v>496026073</v>
      </c>
      <c r="B4964" t="str">
        <f t="shared" si="269"/>
        <v>89301000</v>
      </c>
      <c r="C4964" s="1">
        <v>44243</v>
      </c>
      <c r="D4964" s="1">
        <v>44251</v>
      </c>
      <c r="E4964">
        <v>1</v>
      </c>
      <c r="F4964" t="s">
        <v>67</v>
      </c>
      <c r="G4964" t="str">
        <f>"01-K10-03"</f>
        <v>01-K10-03</v>
      </c>
      <c r="H4964">
        <v>1.0016</v>
      </c>
      <c r="I4964" t="s">
        <v>2479</v>
      </c>
      <c r="J4964" t="s">
        <v>14</v>
      </c>
      <c r="K4964" t="str">
        <f>"2F9"</f>
        <v>2F9</v>
      </c>
      <c r="L4964" t="s">
        <v>15</v>
      </c>
    </row>
    <row r="4965" spans="1:12" x14ac:dyDescent="0.25">
      <c r="A4965" t="str">
        <f>"496026073"</f>
        <v>496026073</v>
      </c>
      <c r="B4965" t="str">
        <f t="shared" si="269"/>
        <v>89301000</v>
      </c>
      <c r="C4965" s="1">
        <v>44275</v>
      </c>
      <c r="D4965" s="1">
        <v>44280</v>
      </c>
      <c r="E4965">
        <v>7</v>
      </c>
      <c r="F4965" t="s">
        <v>67</v>
      </c>
      <c r="G4965" t="str">
        <f>"01-K10-03"</f>
        <v>01-K10-03</v>
      </c>
      <c r="H4965">
        <v>1.0016</v>
      </c>
      <c r="I4965" t="s">
        <v>3657</v>
      </c>
      <c r="J4965" t="s">
        <v>14</v>
      </c>
      <c r="K4965" t="str">
        <f>"2F9"</f>
        <v>2F9</v>
      </c>
      <c r="L4965" t="s">
        <v>15</v>
      </c>
    </row>
    <row r="4966" spans="1:12" x14ac:dyDescent="0.25">
      <c r="A4966" t="str">
        <f>"496029075"</f>
        <v>496029075</v>
      </c>
      <c r="B4966" t="str">
        <f t="shared" si="269"/>
        <v>89301000</v>
      </c>
      <c r="C4966" s="1">
        <v>44376</v>
      </c>
      <c r="D4966" s="1">
        <v>44390</v>
      </c>
      <c r="E4966">
        <v>1</v>
      </c>
      <c r="F4966" t="s">
        <v>1558</v>
      </c>
      <c r="G4966" t="str">
        <f>"05-M01-02"</f>
        <v>05-M01-02</v>
      </c>
      <c r="H4966">
        <v>12.599299999999999</v>
      </c>
      <c r="I4966" t="s">
        <v>3658</v>
      </c>
      <c r="J4966" t="s">
        <v>17</v>
      </c>
      <c r="K4966" t="str">
        <f>"1F1"</f>
        <v>1F1</v>
      </c>
      <c r="L4966" t="s">
        <v>15</v>
      </c>
    </row>
    <row r="4967" spans="1:12" x14ac:dyDescent="0.25">
      <c r="A4967" t="str">
        <f>"496101198"</f>
        <v>496101198</v>
      </c>
      <c r="B4967" t="str">
        <f t="shared" si="269"/>
        <v>89301000</v>
      </c>
      <c r="C4967" s="1">
        <v>44546</v>
      </c>
      <c r="D4967" s="1">
        <v>44551</v>
      </c>
      <c r="E4967">
        <v>1</v>
      </c>
      <c r="F4967" t="s">
        <v>3659</v>
      </c>
      <c r="G4967" t="str">
        <f>"10-K13-03"</f>
        <v>10-K13-03</v>
      </c>
      <c r="H4967">
        <v>0.46260000000000001</v>
      </c>
      <c r="I4967" t="s">
        <v>3660</v>
      </c>
      <c r="J4967" t="s">
        <v>14</v>
      </c>
      <c r="K4967" t="str">
        <f>"1F5"</f>
        <v>1F5</v>
      </c>
      <c r="L4967" t="s">
        <v>15</v>
      </c>
    </row>
    <row r="4968" spans="1:12" x14ac:dyDescent="0.25">
      <c r="A4968" t="str">
        <f>"496103015"</f>
        <v>496103015</v>
      </c>
      <c r="B4968" t="str">
        <f t="shared" si="269"/>
        <v>89301000</v>
      </c>
      <c r="C4968" s="1">
        <v>44431</v>
      </c>
      <c r="D4968" s="1">
        <v>44439</v>
      </c>
      <c r="E4968">
        <v>4</v>
      </c>
      <c r="F4968" t="s">
        <v>2407</v>
      </c>
      <c r="G4968" t="str">
        <f>"08-I06-04"</f>
        <v>08-I06-04</v>
      </c>
      <c r="H4968">
        <v>2.4260000000000002</v>
      </c>
      <c r="J4968" t="s">
        <v>24</v>
      </c>
      <c r="K4968" t="str">
        <f>"6F6"</f>
        <v>6F6</v>
      </c>
      <c r="L4968" t="s">
        <v>15</v>
      </c>
    </row>
    <row r="4969" spans="1:12" x14ac:dyDescent="0.25">
      <c r="A4969" t="str">
        <f>"496104079"</f>
        <v>496104079</v>
      </c>
      <c r="B4969" t="str">
        <f t="shared" si="269"/>
        <v>89301000</v>
      </c>
      <c r="C4969" s="1">
        <v>44326</v>
      </c>
      <c r="D4969" s="1">
        <v>44326</v>
      </c>
      <c r="E4969">
        <v>1</v>
      </c>
      <c r="F4969" t="s">
        <v>1962</v>
      </c>
      <c r="G4969" t="str">
        <f>"04-K15-03"</f>
        <v>04-K15-03</v>
      </c>
      <c r="H4969">
        <v>0.25090000000000001</v>
      </c>
      <c r="I4969" t="s">
        <v>3113</v>
      </c>
      <c r="J4969" t="s">
        <v>14</v>
      </c>
      <c r="K4969" t="str">
        <f>"1F1"</f>
        <v>1F1</v>
      </c>
      <c r="L4969" t="s">
        <v>15</v>
      </c>
    </row>
    <row r="4970" spans="1:12" x14ac:dyDescent="0.25">
      <c r="A4970" t="str">
        <f>"496117286"</f>
        <v>496117286</v>
      </c>
      <c r="B4970" t="str">
        <f t="shared" si="269"/>
        <v>89301000</v>
      </c>
      <c r="C4970" s="1">
        <v>44430</v>
      </c>
      <c r="D4970" s="1">
        <v>44433</v>
      </c>
      <c r="E4970">
        <v>1</v>
      </c>
      <c r="F4970" t="s">
        <v>2068</v>
      </c>
      <c r="G4970" t="str">
        <f>"02-I06-02"</f>
        <v>02-I06-02</v>
      </c>
      <c r="H4970">
        <v>0.90300000000000002</v>
      </c>
      <c r="I4970" t="s">
        <v>3661</v>
      </c>
      <c r="J4970" t="s">
        <v>17</v>
      </c>
      <c r="K4970" t="str">
        <f>"7F5"</f>
        <v>7F5</v>
      </c>
      <c r="L4970" t="s">
        <v>15</v>
      </c>
    </row>
    <row r="4971" spans="1:12" x14ac:dyDescent="0.25">
      <c r="A4971" t="str">
        <f>"496121033"</f>
        <v>496121033</v>
      </c>
      <c r="B4971" t="str">
        <f t="shared" si="269"/>
        <v>89301000</v>
      </c>
      <c r="C4971" s="1">
        <v>44474</v>
      </c>
      <c r="D4971" s="1">
        <v>44480</v>
      </c>
      <c r="E4971">
        <v>1</v>
      </c>
      <c r="F4971" t="s">
        <v>1572</v>
      </c>
      <c r="G4971" t="str">
        <f>"06-K10-03"</f>
        <v>06-K10-03</v>
      </c>
      <c r="H4971">
        <v>0.43880000000000002</v>
      </c>
      <c r="I4971" t="s">
        <v>369</v>
      </c>
      <c r="J4971" t="s">
        <v>14</v>
      </c>
      <c r="K4971" t="str">
        <f>"5F1"</f>
        <v>5F1</v>
      </c>
      <c r="L4971" t="s">
        <v>15</v>
      </c>
    </row>
    <row r="4972" spans="1:12" x14ac:dyDescent="0.25">
      <c r="A4972" t="str">
        <f>"496121051"</f>
        <v>496121051</v>
      </c>
      <c r="B4972" t="str">
        <f t="shared" si="269"/>
        <v>89301000</v>
      </c>
      <c r="C4972" s="1">
        <v>44468</v>
      </c>
      <c r="D4972" s="1">
        <v>44474</v>
      </c>
      <c r="E4972">
        <v>1</v>
      </c>
      <c r="F4972" t="s">
        <v>191</v>
      </c>
      <c r="G4972" t="str">
        <f>"02-K02-01"</f>
        <v>02-K02-01</v>
      </c>
      <c r="H4972">
        <v>0.8901</v>
      </c>
      <c r="I4972" t="s">
        <v>3662</v>
      </c>
      <c r="J4972" t="s">
        <v>14</v>
      </c>
      <c r="K4972" t="str">
        <f>"2F9"</f>
        <v>2F9</v>
      </c>
      <c r="L4972" t="s">
        <v>15</v>
      </c>
    </row>
    <row r="4973" spans="1:12" x14ac:dyDescent="0.25">
      <c r="A4973" t="str">
        <f>"496208115"</f>
        <v>496208115</v>
      </c>
      <c r="B4973" t="str">
        <f t="shared" si="269"/>
        <v>89301000</v>
      </c>
      <c r="C4973" s="1">
        <v>44333</v>
      </c>
      <c r="D4973" s="1">
        <v>44335</v>
      </c>
      <c r="E4973">
        <v>1</v>
      </c>
      <c r="F4973" t="s">
        <v>1842</v>
      </c>
      <c r="G4973" t="str">
        <f>"05-I14-03"</f>
        <v>05-I14-03</v>
      </c>
      <c r="H4973">
        <v>6.1292</v>
      </c>
      <c r="I4973" t="s">
        <v>3663</v>
      </c>
      <c r="J4973" t="s">
        <v>14</v>
      </c>
      <c r="K4973" t="str">
        <f>"1F7"</f>
        <v>1F7</v>
      </c>
      <c r="L4973" t="s">
        <v>15</v>
      </c>
    </row>
    <row r="4974" spans="1:12" x14ac:dyDescent="0.25">
      <c r="A4974" t="str">
        <f>"496208115"</f>
        <v>496208115</v>
      </c>
      <c r="B4974" t="str">
        <f t="shared" si="269"/>
        <v>89301000</v>
      </c>
      <c r="C4974" s="1">
        <v>44314</v>
      </c>
      <c r="D4974" s="1">
        <v>44314</v>
      </c>
      <c r="E4974">
        <v>4</v>
      </c>
      <c r="F4974" t="s">
        <v>1683</v>
      </c>
      <c r="G4974" t="str">
        <f>"05-M06-06"</f>
        <v>05-M06-06</v>
      </c>
      <c r="H4974">
        <v>1.2576000000000001</v>
      </c>
      <c r="I4974" t="s">
        <v>3664</v>
      </c>
      <c r="J4974" t="s">
        <v>17</v>
      </c>
      <c r="K4974" t="str">
        <f>"1F7"</f>
        <v>1F7</v>
      </c>
      <c r="L4974" t="s">
        <v>15</v>
      </c>
    </row>
    <row r="4975" spans="1:12" x14ac:dyDescent="0.25">
      <c r="A4975" t="str">
        <f>"496225171"</f>
        <v>496225171</v>
      </c>
      <c r="B4975" t="str">
        <f t="shared" si="269"/>
        <v>89301000</v>
      </c>
      <c r="C4975" s="1">
        <v>44276</v>
      </c>
      <c r="D4975" s="1">
        <v>44279</v>
      </c>
      <c r="E4975">
        <v>1</v>
      </c>
      <c r="F4975" t="s">
        <v>3665</v>
      </c>
      <c r="G4975" t="str">
        <f>"03-I19-03"</f>
        <v>03-I19-03</v>
      </c>
      <c r="H4975">
        <v>0.60699999999999998</v>
      </c>
      <c r="J4975" t="s">
        <v>14</v>
      </c>
      <c r="K4975" t="str">
        <f>"7F1"</f>
        <v>7F1</v>
      </c>
      <c r="L4975" t="s">
        <v>15</v>
      </c>
    </row>
    <row r="4976" spans="1:12" x14ac:dyDescent="0.25">
      <c r="A4976" t="str">
        <f>"500101403"</f>
        <v>500101403</v>
      </c>
      <c r="B4976" t="str">
        <f t="shared" si="269"/>
        <v>89301000</v>
      </c>
      <c r="C4976" s="1">
        <v>44201</v>
      </c>
      <c r="D4976" s="1">
        <v>44215</v>
      </c>
      <c r="E4976">
        <v>4</v>
      </c>
      <c r="F4976" t="s">
        <v>998</v>
      </c>
      <c r="G4976" t="str">
        <f>"18-K01-04"</f>
        <v>18-K01-04</v>
      </c>
      <c r="H4976">
        <v>2.4565000000000001</v>
      </c>
      <c r="I4976" t="s">
        <v>3666</v>
      </c>
      <c r="J4976" t="s">
        <v>14</v>
      </c>
      <c r="K4976" t="str">
        <f>"2F5"</f>
        <v>2F5</v>
      </c>
      <c r="L4976" t="s">
        <v>15</v>
      </c>
    </row>
    <row r="4977" spans="1:12" x14ac:dyDescent="0.25">
      <c r="A4977" t="str">
        <f>"500101549"</f>
        <v>500101549</v>
      </c>
      <c r="B4977" t="str">
        <f t="shared" si="269"/>
        <v>89301000</v>
      </c>
      <c r="C4977" s="1">
        <v>44503</v>
      </c>
      <c r="D4977" s="1">
        <v>44505</v>
      </c>
      <c r="E4977">
        <v>1</v>
      </c>
      <c r="F4977" t="s">
        <v>1650</v>
      </c>
      <c r="G4977" t="str">
        <f>"05-I14-04"</f>
        <v>05-I14-04</v>
      </c>
      <c r="H4977">
        <v>5.4002999999999997</v>
      </c>
      <c r="I4977" t="s">
        <v>3667</v>
      </c>
      <c r="J4977" t="s">
        <v>14</v>
      </c>
      <c r="K4977" t="str">
        <f>"1F1"</f>
        <v>1F1</v>
      </c>
      <c r="L4977" t="s">
        <v>15</v>
      </c>
    </row>
    <row r="4978" spans="1:12" x14ac:dyDescent="0.25">
      <c r="A4978" t="str">
        <f>"500101549"</f>
        <v>500101549</v>
      </c>
      <c r="B4978" t="str">
        <f t="shared" si="269"/>
        <v>89301000</v>
      </c>
      <c r="C4978" s="1">
        <v>44244</v>
      </c>
      <c r="D4978" s="1">
        <v>44250</v>
      </c>
      <c r="E4978">
        <v>5</v>
      </c>
      <c r="F4978" t="s">
        <v>1785</v>
      </c>
      <c r="G4978" t="str">
        <f>"05-I21-02"</f>
        <v>05-I21-02</v>
      </c>
      <c r="H4978">
        <v>1.6566000000000001</v>
      </c>
      <c r="I4978" t="s">
        <v>3668</v>
      </c>
      <c r="J4978" t="s">
        <v>14</v>
      </c>
      <c r="K4978" t="str">
        <f>"1F1"</f>
        <v>1F1</v>
      </c>
      <c r="L4978" t="s">
        <v>15</v>
      </c>
    </row>
    <row r="4979" spans="1:12" x14ac:dyDescent="0.25">
      <c r="A4979" t="str">
        <f>"500105072"</f>
        <v>500105072</v>
      </c>
      <c r="B4979" t="str">
        <f t="shared" si="269"/>
        <v>89301000</v>
      </c>
      <c r="C4979" s="1">
        <v>44409</v>
      </c>
      <c r="D4979" s="1">
        <v>44411</v>
      </c>
      <c r="E4979">
        <v>1</v>
      </c>
      <c r="F4979" t="s">
        <v>875</v>
      </c>
      <c r="G4979" t="str">
        <f>"03-I23-00"</f>
        <v>03-I23-00</v>
      </c>
      <c r="H4979">
        <v>0.47639999999999999</v>
      </c>
      <c r="I4979" t="s">
        <v>3669</v>
      </c>
      <c r="J4979" t="s">
        <v>14</v>
      </c>
      <c r="K4979" t="str">
        <f>"6F5"</f>
        <v>6F5</v>
      </c>
      <c r="L4979" t="s">
        <v>15</v>
      </c>
    </row>
    <row r="4980" spans="1:12" x14ac:dyDescent="0.25">
      <c r="A4980" t="str">
        <f>"500111108"</f>
        <v>500111108</v>
      </c>
      <c r="B4980" t="str">
        <f t="shared" si="269"/>
        <v>89301000</v>
      </c>
      <c r="C4980" s="1">
        <v>44501</v>
      </c>
      <c r="D4980" s="1">
        <v>44512</v>
      </c>
      <c r="E4980">
        <v>5</v>
      </c>
      <c r="F4980" t="s">
        <v>67</v>
      </c>
      <c r="G4980" t="str">
        <f>"01-C02-02"</f>
        <v>01-C02-02</v>
      </c>
      <c r="H4980">
        <v>1.5142</v>
      </c>
      <c r="I4980" t="s">
        <v>3670</v>
      </c>
      <c r="J4980" t="s">
        <v>14</v>
      </c>
      <c r="K4980" t="str">
        <f>"2F9"</f>
        <v>2F9</v>
      </c>
      <c r="L4980" t="s">
        <v>15</v>
      </c>
    </row>
    <row r="4981" spans="1:12" x14ac:dyDescent="0.25">
      <c r="A4981" t="str">
        <f>"500114106"</f>
        <v>500114106</v>
      </c>
      <c r="B4981" t="str">
        <f t="shared" si="269"/>
        <v>89301000</v>
      </c>
      <c r="C4981" s="1">
        <v>44235</v>
      </c>
      <c r="D4981" s="1">
        <v>44239</v>
      </c>
      <c r="E4981">
        <v>1</v>
      </c>
      <c r="F4981" t="s">
        <v>3671</v>
      </c>
      <c r="G4981" t="str">
        <f>"06-M01-03"</f>
        <v>06-M01-03</v>
      </c>
      <c r="H4981">
        <v>0.82450000000000001</v>
      </c>
      <c r="I4981" t="s">
        <v>3672</v>
      </c>
      <c r="J4981" t="s">
        <v>14</v>
      </c>
      <c r="K4981" t="str">
        <f>"4F2"</f>
        <v>4F2</v>
      </c>
      <c r="L4981" t="s">
        <v>15</v>
      </c>
    </row>
    <row r="4982" spans="1:12" x14ac:dyDescent="0.25">
      <c r="A4982" t="str">
        <f>"500114106"</f>
        <v>500114106</v>
      </c>
      <c r="B4982" t="str">
        <f t="shared" si="269"/>
        <v>89301000</v>
      </c>
      <c r="C4982" s="1">
        <v>44414</v>
      </c>
      <c r="D4982" s="1">
        <v>44418</v>
      </c>
      <c r="E4982">
        <v>8</v>
      </c>
      <c r="F4982" t="s">
        <v>3671</v>
      </c>
      <c r="G4982" t="str">
        <f>"06-K13-02"</f>
        <v>06-K13-02</v>
      </c>
      <c r="H4982">
        <v>0.60880000000000001</v>
      </c>
      <c r="I4982" t="s">
        <v>3673</v>
      </c>
      <c r="J4982" t="s">
        <v>14</v>
      </c>
      <c r="K4982" t="str">
        <f>"4F2"</f>
        <v>4F2</v>
      </c>
      <c r="L4982" t="s">
        <v>15</v>
      </c>
    </row>
    <row r="4983" spans="1:12" x14ac:dyDescent="0.25">
      <c r="A4983" t="str">
        <f>"500115016"</f>
        <v>500115016</v>
      </c>
      <c r="B4983" t="str">
        <f t="shared" si="269"/>
        <v>89301000</v>
      </c>
      <c r="C4983" s="1">
        <v>44323</v>
      </c>
      <c r="D4983" s="1">
        <v>44323</v>
      </c>
      <c r="E4983">
        <v>1</v>
      </c>
      <c r="F4983" t="s">
        <v>1842</v>
      </c>
      <c r="G4983" t="str">
        <f>"05-I14-04"</f>
        <v>05-I14-04</v>
      </c>
      <c r="H4983">
        <v>5.1692</v>
      </c>
      <c r="I4983" t="s">
        <v>1555</v>
      </c>
      <c r="J4983" t="s">
        <v>14</v>
      </c>
      <c r="K4983" t="str">
        <f>"1F1"</f>
        <v>1F1</v>
      </c>
      <c r="L4983" t="s">
        <v>15</v>
      </c>
    </row>
    <row r="4984" spans="1:12" x14ac:dyDescent="0.25">
      <c r="A4984" t="str">
        <f>"500115340"</f>
        <v>500115340</v>
      </c>
      <c r="B4984" t="str">
        <f t="shared" si="269"/>
        <v>89301000</v>
      </c>
      <c r="C4984" s="1">
        <v>44532</v>
      </c>
      <c r="D4984" s="1">
        <v>44538</v>
      </c>
      <c r="E4984">
        <v>1</v>
      </c>
      <c r="F4984" t="s">
        <v>31</v>
      </c>
      <c r="G4984" t="str">
        <f>"08-I04-02"</f>
        <v>08-I04-02</v>
      </c>
      <c r="H4984">
        <v>1.6718999999999999</v>
      </c>
      <c r="I4984" t="s">
        <v>489</v>
      </c>
      <c r="J4984" t="s">
        <v>17</v>
      </c>
      <c r="K4984" t="str">
        <f>"5F6"</f>
        <v>5F6</v>
      </c>
      <c r="L4984" t="s">
        <v>15</v>
      </c>
    </row>
    <row r="4985" spans="1:12" x14ac:dyDescent="0.25">
      <c r="A4985" t="str">
        <f>"500119268"</f>
        <v>500119268</v>
      </c>
      <c r="B4985" t="str">
        <f t="shared" si="269"/>
        <v>89301000</v>
      </c>
      <c r="C4985" s="1">
        <v>44363</v>
      </c>
      <c r="D4985" s="1">
        <v>44370</v>
      </c>
      <c r="E4985">
        <v>4</v>
      </c>
      <c r="F4985" t="s">
        <v>2407</v>
      </c>
      <c r="G4985" t="str">
        <f>"08-I06-04"</f>
        <v>08-I06-04</v>
      </c>
      <c r="H4985">
        <v>2.4260000000000002</v>
      </c>
      <c r="I4985" t="s">
        <v>3674</v>
      </c>
      <c r="J4985" t="s">
        <v>24</v>
      </c>
      <c r="K4985" t="str">
        <f>"6F6"</f>
        <v>6F6</v>
      </c>
      <c r="L4985" t="s">
        <v>15</v>
      </c>
    </row>
    <row r="4986" spans="1:12" x14ac:dyDescent="0.25">
      <c r="A4986" t="str">
        <f>"500119268"</f>
        <v>500119268</v>
      </c>
      <c r="B4986" t="str">
        <f t="shared" si="269"/>
        <v>89301000</v>
      </c>
      <c r="C4986" s="1">
        <v>44513</v>
      </c>
      <c r="D4986" s="1">
        <v>44546</v>
      </c>
      <c r="E4986">
        <v>4</v>
      </c>
      <c r="F4986" t="s">
        <v>511</v>
      </c>
      <c r="G4986" t="str">
        <f>"08-I17-01"</f>
        <v>08-I17-01</v>
      </c>
      <c r="H4986">
        <v>3.3168000000000002</v>
      </c>
      <c r="I4986" t="s">
        <v>3675</v>
      </c>
      <c r="J4986" t="s">
        <v>14</v>
      </c>
      <c r="K4986" t="str">
        <f>"1F6"</f>
        <v>1F6</v>
      </c>
      <c r="L4986" t="s">
        <v>15</v>
      </c>
    </row>
    <row r="4987" spans="1:12" x14ac:dyDescent="0.25">
      <c r="A4987" t="str">
        <f>"500120102"</f>
        <v>500120102</v>
      </c>
      <c r="B4987" t="str">
        <f t="shared" si="269"/>
        <v>89301000</v>
      </c>
      <c r="C4987" s="1">
        <v>44399</v>
      </c>
      <c r="D4987" s="1">
        <v>44405</v>
      </c>
      <c r="E4987">
        <v>1</v>
      </c>
      <c r="F4987" t="s">
        <v>3676</v>
      </c>
      <c r="G4987" t="str">
        <f>"11-I09-00"</f>
        <v>11-I09-00</v>
      </c>
      <c r="H4987">
        <v>2.7728000000000002</v>
      </c>
      <c r="I4987" t="s">
        <v>3677</v>
      </c>
      <c r="J4987" t="s">
        <v>17</v>
      </c>
      <c r="K4987" t="str">
        <f>"7F6"</f>
        <v>7F6</v>
      </c>
      <c r="L4987" t="s">
        <v>15</v>
      </c>
    </row>
    <row r="4988" spans="1:12" x14ac:dyDescent="0.25">
      <c r="A4988" t="str">
        <f>"500122092"</f>
        <v>500122092</v>
      </c>
      <c r="B4988" t="str">
        <f t="shared" si="269"/>
        <v>89301000</v>
      </c>
      <c r="C4988" s="1">
        <v>44464</v>
      </c>
      <c r="D4988" s="1">
        <v>44468</v>
      </c>
      <c r="E4988">
        <v>1</v>
      </c>
      <c r="F4988" t="s">
        <v>3678</v>
      </c>
      <c r="G4988" t="str">
        <f>"05-K13-02"</f>
        <v>05-K13-02</v>
      </c>
      <c r="H4988">
        <v>0.60950000000000004</v>
      </c>
      <c r="I4988" t="s">
        <v>3679</v>
      </c>
      <c r="J4988" t="s">
        <v>14</v>
      </c>
      <c r="K4988" t="str">
        <f>"1F1"</f>
        <v>1F1</v>
      </c>
      <c r="L4988" t="s">
        <v>15</v>
      </c>
    </row>
    <row r="4989" spans="1:12" x14ac:dyDescent="0.25">
      <c r="A4989" t="str">
        <f>"500126129"</f>
        <v>500126129</v>
      </c>
      <c r="B4989" t="str">
        <f t="shared" si="269"/>
        <v>89301000</v>
      </c>
      <c r="C4989" s="1">
        <v>44474</v>
      </c>
      <c r="D4989" s="1">
        <v>44494</v>
      </c>
      <c r="E4989">
        <v>1</v>
      </c>
      <c r="F4989" t="s">
        <v>448</v>
      </c>
      <c r="G4989" t="str">
        <f>"11-M04-01"</f>
        <v>11-M04-01</v>
      </c>
      <c r="H4989">
        <v>2.5192999999999999</v>
      </c>
      <c r="I4989" t="s">
        <v>3680</v>
      </c>
      <c r="J4989" t="s">
        <v>14</v>
      </c>
      <c r="K4989" t="str">
        <f>"1F7"</f>
        <v>1F7</v>
      </c>
      <c r="L4989" t="s">
        <v>15</v>
      </c>
    </row>
    <row r="4990" spans="1:12" x14ac:dyDescent="0.25">
      <c r="A4990" t="str">
        <f>"500126129"</f>
        <v>500126129</v>
      </c>
      <c r="B4990" t="str">
        <f t="shared" si="269"/>
        <v>89301000</v>
      </c>
      <c r="C4990" s="1">
        <v>44349</v>
      </c>
      <c r="D4990" s="1">
        <v>44351</v>
      </c>
      <c r="E4990">
        <v>4</v>
      </c>
      <c r="F4990" t="s">
        <v>1599</v>
      </c>
      <c r="G4990" t="str">
        <f>"05-K07-04"</f>
        <v>05-K07-04</v>
      </c>
      <c r="H4990">
        <v>0.85160000000000002</v>
      </c>
      <c r="I4990" t="s">
        <v>955</v>
      </c>
      <c r="J4990" t="s">
        <v>14</v>
      </c>
      <c r="K4990" t="str">
        <f>"1F7"</f>
        <v>1F7</v>
      </c>
      <c r="L4990" t="s">
        <v>15</v>
      </c>
    </row>
    <row r="4991" spans="1:12" x14ac:dyDescent="0.25">
      <c r="A4991" t="str">
        <f>"500126129"</f>
        <v>500126129</v>
      </c>
      <c r="B4991" t="str">
        <f t="shared" si="269"/>
        <v>89301000</v>
      </c>
      <c r="C4991" s="1">
        <v>44315</v>
      </c>
      <c r="D4991" s="1">
        <v>44326</v>
      </c>
      <c r="E4991">
        <v>1</v>
      </c>
      <c r="F4991" t="s">
        <v>1797</v>
      </c>
      <c r="G4991" t="str">
        <f>"11-I17-03"</f>
        <v>11-I17-03</v>
      </c>
      <c r="H4991">
        <v>0.8569</v>
      </c>
      <c r="I4991" t="s">
        <v>3681</v>
      </c>
      <c r="J4991" t="s">
        <v>14</v>
      </c>
      <c r="K4991" t="str">
        <f>"7F6"</f>
        <v>7F6</v>
      </c>
      <c r="L4991" t="s">
        <v>15</v>
      </c>
    </row>
    <row r="4992" spans="1:12" x14ac:dyDescent="0.25">
      <c r="A4992" t="str">
        <f>"500126129"</f>
        <v>500126129</v>
      </c>
      <c r="B4992" t="str">
        <f t="shared" si="269"/>
        <v>89301000</v>
      </c>
      <c r="C4992" s="1">
        <v>44296</v>
      </c>
      <c r="D4992" s="1">
        <v>44300</v>
      </c>
      <c r="E4992">
        <v>1</v>
      </c>
      <c r="F4992" t="s">
        <v>617</v>
      </c>
      <c r="G4992" t="str">
        <f>"06-K02-04"</f>
        <v>06-K02-04</v>
      </c>
      <c r="H4992">
        <v>0.3634</v>
      </c>
      <c r="I4992" t="s">
        <v>3682</v>
      </c>
      <c r="J4992" t="s">
        <v>14</v>
      </c>
      <c r="K4992" t="str">
        <f>"1F7"</f>
        <v>1F7</v>
      </c>
      <c r="L4992" t="s">
        <v>15</v>
      </c>
    </row>
    <row r="4993" spans="1:12" x14ac:dyDescent="0.25">
      <c r="A4993" t="str">
        <f>"500128145"</f>
        <v>500128145</v>
      </c>
      <c r="B4993" t="str">
        <f t="shared" si="269"/>
        <v>89301000</v>
      </c>
      <c r="C4993" s="1">
        <v>44195</v>
      </c>
      <c r="D4993" s="1">
        <v>44204</v>
      </c>
      <c r="E4993">
        <v>1</v>
      </c>
      <c r="F4993" t="s">
        <v>3513</v>
      </c>
      <c r="G4993" t="str">
        <f>"06-I06-00"</f>
        <v>06-I06-00</v>
      </c>
      <c r="H4993">
        <v>6.0377999999999998</v>
      </c>
      <c r="I4993" t="s">
        <v>3683</v>
      </c>
      <c r="J4993" t="s">
        <v>17</v>
      </c>
      <c r="K4993" t="str">
        <f>"1F5"</f>
        <v>1F5</v>
      </c>
      <c r="L4993" t="s">
        <v>15</v>
      </c>
    </row>
    <row r="4994" spans="1:12" x14ac:dyDescent="0.25">
      <c r="A4994" t="str">
        <f>"500128145"</f>
        <v>500128145</v>
      </c>
      <c r="B4994" t="str">
        <f t="shared" si="269"/>
        <v>89301000</v>
      </c>
      <c r="C4994" s="1">
        <v>44211</v>
      </c>
      <c r="D4994" s="1">
        <v>44214</v>
      </c>
      <c r="E4994">
        <v>1</v>
      </c>
      <c r="F4994" t="s">
        <v>132</v>
      </c>
      <c r="G4994" t="str">
        <f>"03-I19-02"</f>
        <v>03-I19-02</v>
      </c>
      <c r="H4994">
        <v>0.88829999999999998</v>
      </c>
      <c r="I4994" t="s">
        <v>3684</v>
      </c>
      <c r="J4994" t="s">
        <v>14</v>
      </c>
      <c r="K4994" t="str">
        <f>"6F5"</f>
        <v>6F5</v>
      </c>
      <c r="L4994" t="s">
        <v>15</v>
      </c>
    </row>
    <row r="4995" spans="1:12" x14ac:dyDescent="0.25">
      <c r="A4995" t="str">
        <f>"500130092"</f>
        <v>500130092</v>
      </c>
      <c r="B4995" t="str">
        <f t="shared" si="269"/>
        <v>89301000</v>
      </c>
      <c r="C4995" s="1">
        <v>44389</v>
      </c>
      <c r="D4995" s="1">
        <v>44396</v>
      </c>
      <c r="E4995">
        <v>1</v>
      </c>
      <c r="F4995" t="s">
        <v>146</v>
      </c>
      <c r="G4995" t="str">
        <f>"17-C05-08"</f>
        <v>17-C05-08</v>
      </c>
      <c r="H4995">
        <v>0.83779999999999999</v>
      </c>
      <c r="I4995" t="s">
        <v>3685</v>
      </c>
      <c r="J4995" t="s">
        <v>14</v>
      </c>
      <c r="K4995" t="str">
        <f>"2F2"</f>
        <v>2F2</v>
      </c>
      <c r="L4995" t="s">
        <v>15</v>
      </c>
    </row>
    <row r="4996" spans="1:12" x14ac:dyDescent="0.25">
      <c r="A4996" t="str">
        <f>"500130092"</f>
        <v>500130092</v>
      </c>
      <c r="B4996" t="str">
        <f t="shared" si="269"/>
        <v>89301000</v>
      </c>
      <c r="C4996" s="1">
        <v>44370</v>
      </c>
      <c r="D4996" s="1">
        <v>44373</v>
      </c>
      <c r="E4996">
        <v>1</v>
      </c>
      <c r="F4996" t="s">
        <v>3686</v>
      </c>
      <c r="G4996" t="str">
        <f>"17-K10-02"</f>
        <v>17-K10-02</v>
      </c>
      <c r="H4996">
        <v>0.65480000000000005</v>
      </c>
      <c r="I4996" t="s">
        <v>3687</v>
      </c>
      <c r="J4996" t="s">
        <v>14</v>
      </c>
      <c r="K4996" t="str">
        <f>"2F5"</f>
        <v>2F5</v>
      </c>
      <c r="L4996" t="s">
        <v>15</v>
      </c>
    </row>
    <row r="4997" spans="1:12" x14ac:dyDescent="0.25">
      <c r="A4997" t="str">
        <f>"500130092"</f>
        <v>500130092</v>
      </c>
      <c r="B4997" t="str">
        <f t="shared" si="269"/>
        <v>89301000</v>
      </c>
      <c r="C4997" s="1">
        <v>44412</v>
      </c>
      <c r="D4997" s="1">
        <v>44417</v>
      </c>
      <c r="E4997">
        <v>1</v>
      </c>
      <c r="F4997" t="s">
        <v>146</v>
      </c>
      <c r="G4997" t="str">
        <f>"17-C05-04"</f>
        <v>17-C05-04</v>
      </c>
      <c r="H4997">
        <v>0.7712</v>
      </c>
      <c r="I4997" t="s">
        <v>3688</v>
      </c>
      <c r="J4997" t="s">
        <v>14</v>
      </c>
      <c r="K4997" t="str">
        <f>"2F2"</f>
        <v>2F2</v>
      </c>
      <c r="L4997" t="s">
        <v>15</v>
      </c>
    </row>
    <row r="4998" spans="1:12" x14ac:dyDescent="0.25">
      <c r="A4998" t="str">
        <f>"500130092"</f>
        <v>500130092</v>
      </c>
      <c r="B4998" t="str">
        <f t="shared" si="269"/>
        <v>89301000</v>
      </c>
      <c r="C4998" s="1">
        <v>44448</v>
      </c>
      <c r="D4998" s="1">
        <v>44452</v>
      </c>
      <c r="E4998">
        <v>1</v>
      </c>
      <c r="F4998" t="s">
        <v>146</v>
      </c>
      <c r="G4998" t="str">
        <f>"17-C05-04"</f>
        <v>17-C05-04</v>
      </c>
      <c r="H4998">
        <v>0.7712</v>
      </c>
      <c r="I4998" t="s">
        <v>3689</v>
      </c>
      <c r="J4998" t="s">
        <v>14</v>
      </c>
      <c r="K4998" t="str">
        <f>"2F2"</f>
        <v>2F2</v>
      </c>
      <c r="L4998" t="s">
        <v>15</v>
      </c>
    </row>
    <row r="4999" spans="1:12" x14ac:dyDescent="0.25">
      <c r="A4999" t="str">
        <f>"500130092"</f>
        <v>500130092</v>
      </c>
      <c r="B4999" t="str">
        <f t="shared" si="269"/>
        <v>89301000</v>
      </c>
      <c r="C4999" s="1">
        <v>44473</v>
      </c>
      <c r="D4999" s="1">
        <v>44480</v>
      </c>
      <c r="E4999">
        <v>1</v>
      </c>
      <c r="F4999" t="s">
        <v>146</v>
      </c>
      <c r="G4999" t="str">
        <f>"17-C05-04"</f>
        <v>17-C05-04</v>
      </c>
      <c r="H4999">
        <v>0.7712</v>
      </c>
      <c r="I4999" t="s">
        <v>3690</v>
      </c>
      <c r="J4999" t="s">
        <v>14</v>
      </c>
      <c r="K4999" t="str">
        <f>"2F2"</f>
        <v>2F2</v>
      </c>
      <c r="L4999" t="s">
        <v>15</v>
      </c>
    </row>
    <row r="5000" spans="1:12" x14ac:dyDescent="0.25">
      <c r="A5000" t="str">
        <f>"500201063"</f>
        <v>500201063</v>
      </c>
      <c r="B5000" t="str">
        <f t="shared" si="269"/>
        <v>89301000</v>
      </c>
      <c r="C5000" s="1">
        <v>44217</v>
      </c>
      <c r="D5000" s="1">
        <v>44221</v>
      </c>
      <c r="E5000">
        <v>1</v>
      </c>
      <c r="F5000" t="s">
        <v>31</v>
      </c>
      <c r="G5000" t="str">
        <f>"08-I04-02"</f>
        <v>08-I04-02</v>
      </c>
      <c r="H5000">
        <v>1.6718999999999999</v>
      </c>
      <c r="I5000" t="s">
        <v>3691</v>
      </c>
      <c r="J5000" t="s">
        <v>17</v>
      </c>
      <c r="K5000" t="str">
        <f>"5F6"</f>
        <v>5F6</v>
      </c>
      <c r="L5000" t="s">
        <v>15</v>
      </c>
    </row>
    <row r="5001" spans="1:12" x14ac:dyDescent="0.25">
      <c r="A5001" t="str">
        <f>"500202271"</f>
        <v>500202271</v>
      </c>
      <c r="B5001" t="str">
        <f t="shared" si="269"/>
        <v>89301000</v>
      </c>
      <c r="C5001" s="1">
        <v>44343</v>
      </c>
      <c r="D5001" s="1">
        <v>44348</v>
      </c>
      <c r="E5001">
        <v>1</v>
      </c>
      <c r="F5001" t="s">
        <v>994</v>
      </c>
      <c r="G5001" t="str">
        <f>"01-I07-03"</f>
        <v>01-I07-03</v>
      </c>
      <c r="H5001">
        <v>3.2458</v>
      </c>
      <c r="I5001" t="s">
        <v>3692</v>
      </c>
      <c r="J5001" t="s">
        <v>17</v>
      </c>
      <c r="K5001" t="str">
        <f>"5F6"</f>
        <v>5F6</v>
      </c>
      <c r="L5001" t="s">
        <v>15</v>
      </c>
    </row>
    <row r="5002" spans="1:12" x14ac:dyDescent="0.25">
      <c r="A5002" t="str">
        <f>"500202271"</f>
        <v>500202271</v>
      </c>
      <c r="B5002" t="str">
        <f t="shared" si="269"/>
        <v>89301000</v>
      </c>
      <c r="C5002" s="1">
        <v>44297</v>
      </c>
      <c r="D5002" s="1">
        <v>44305</v>
      </c>
      <c r="E5002">
        <v>1</v>
      </c>
      <c r="F5002" t="s">
        <v>994</v>
      </c>
      <c r="G5002" t="str">
        <f>"01-I07-01"</f>
        <v>01-I07-01</v>
      </c>
      <c r="H5002">
        <v>6.8272000000000004</v>
      </c>
      <c r="I5002" t="s">
        <v>3499</v>
      </c>
      <c r="J5002" t="s">
        <v>17</v>
      </c>
      <c r="K5002" t="str">
        <f>"5F6"</f>
        <v>5F6</v>
      </c>
      <c r="L5002" t="s">
        <v>15</v>
      </c>
    </row>
    <row r="5003" spans="1:12" x14ac:dyDescent="0.25">
      <c r="A5003" t="str">
        <f>"500202271"</f>
        <v>500202271</v>
      </c>
      <c r="B5003" t="str">
        <f t="shared" si="269"/>
        <v>89301000</v>
      </c>
      <c r="C5003" s="1">
        <v>44278</v>
      </c>
      <c r="D5003" s="1">
        <v>44280</v>
      </c>
      <c r="E5003">
        <v>1</v>
      </c>
      <c r="F5003" t="s">
        <v>994</v>
      </c>
      <c r="G5003" t="str">
        <f>"01-I07-03"</f>
        <v>01-I07-03</v>
      </c>
      <c r="H5003">
        <v>2.7164000000000001</v>
      </c>
      <c r="I5003" t="s">
        <v>3693</v>
      </c>
      <c r="J5003" t="s">
        <v>17</v>
      </c>
      <c r="K5003" t="str">
        <f>"5F6"</f>
        <v>5F6</v>
      </c>
      <c r="L5003" t="s">
        <v>15</v>
      </c>
    </row>
    <row r="5004" spans="1:12" x14ac:dyDescent="0.25">
      <c r="A5004" t="str">
        <f>"500202271"</f>
        <v>500202271</v>
      </c>
      <c r="B5004" t="str">
        <f t="shared" si="269"/>
        <v>89301000</v>
      </c>
      <c r="C5004" s="1">
        <v>44209</v>
      </c>
      <c r="D5004" s="1">
        <v>44210</v>
      </c>
      <c r="E5004">
        <v>1</v>
      </c>
      <c r="F5004" t="s">
        <v>377</v>
      </c>
      <c r="G5004" t="str">
        <f>"01-I07-03"</f>
        <v>01-I07-03</v>
      </c>
      <c r="H5004">
        <v>1.0589</v>
      </c>
      <c r="I5004" t="s">
        <v>2479</v>
      </c>
      <c r="J5004" t="s">
        <v>17</v>
      </c>
      <c r="K5004" t="str">
        <f>"5F6"</f>
        <v>5F6</v>
      </c>
      <c r="L5004" t="s">
        <v>15</v>
      </c>
    </row>
    <row r="5005" spans="1:12" x14ac:dyDescent="0.25">
      <c r="A5005" t="str">
        <f>"500204016"</f>
        <v>500204016</v>
      </c>
      <c r="B5005" t="str">
        <f t="shared" ref="B5005:B5067" si="270">"89301000"</f>
        <v>89301000</v>
      </c>
      <c r="C5005" s="1">
        <v>44539</v>
      </c>
      <c r="D5005" s="1">
        <v>44558</v>
      </c>
      <c r="E5005">
        <v>6</v>
      </c>
      <c r="F5005" t="s">
        <v>1794</v>
      </c>
      <c r="G5005" t="str">
        <f>"04-M01-04"</f>
        <v>04-M01-04</v>
      </c>
      <c r="H5005">
        <v>11.1008</v>
      </c>
      <c r="I5005" t="s">
        <v>3694</v>
      </c>
      <c r="J5005" t="s">
        <v>14</v>
      </c>
      <c r="K5005" t="str">
        <f>"7T8"</f>
        <v>7T8</v>
      </c>
      <c r="L5005" t="s">
        <v>15</v>
      </c>
    </row>
    <row r="5006" spans="1:12" x14ac:dyDescent="0.25">
      <c r="A5006" t="str">
        <f>"500207105"</f>
        <v>500207105</v>
      </c>
      <c r="B5006" t="str">
        <f t="shared" si="270"/>
        <v>89301000</v>
      </c>
      <c r="C5006" s="1">
        <v>44335</v>
      </c>
      <c r="D5006" s="1">
        <v>44341</v>
      </c>
      <c r="E5006">
        <v>1</v>
      </c>
      <c r="F5006" t="s">
        <v>16</v>
      </c>
      <c r="G5006" t="str">
        <f>"08-I04-02"</f>
        <v>08-I04-02</v>
      </c>
      <c r="H5006">
        <v>1.6718999999999999</v>
      </c>
      <c r="I5006" t="s">
        <v>489</v>
      </c>
      <c r="J5006" t="s">
        <v>17</v>
      </c>
      <c r="K5006" t="str">
        <f>"5F6"</f>
        <v>5F6</v>
      </c>
      <c r="L5006" t="s">
        <v>15</v>
      </c>
    </row>
    <row r="5007" spans="1:12" x14ac:dyDescent="0.25">
      <c r="A5007" t="str">
        <f>"500212079"</f>
        <v>500212079</v>
      </c>
      <c r="B5007" t="str">
        <f t="shared" si="270"/>
        <v>89301000</v>
      </c>
      <c r="C5007" s="1">
        <v>44327</v>
      </c>
      <c r="D5007" s="1">
        <v>44340</v>
      </c>
      <c r="E5007">
        <v>1</v>
      </c>
      <c r="F5007" t="s">
        <v>67</v>
      </c>
      <c r="G5007" t="str">
        <f>"01-M03-01"</f>
        <v>01-M03-01</v>
      </c>
      <c r="H5007">
        <v>4.1291000000000002</v>
      </c>
      <c r="I5007" t="s">
        <v>3695</v>
      </c>
      <c r="J5007" t="s">
        <v>17</v>
      </c>
      <c r="K5007" t="str">
        <f>"2F9"</f>
        <v>2F9</v>
      </c>
      <c r="L5007" t="s">
        <v>15</v>
      </c>
    </row>
    <row r="5008" spans="1:12" x14ac:dyDescent="0.25">
      <c r="A5008" t="str">
        <f>"500213226"</f>
        <v>500213226</v>
      </c>
      <c r="B5008" t="str">
        <f t="shared" si="270"/>
        <v>89301000</v>
      </c>
      <c r="C5008" s="1">
        <v>44326</v>
      </c>
      <c r="D5008" s="1">
        <v>44345</v>
      </c>
      <c r="E5008">
        <v>1</v>
      </c>
      <c r="F5008" t="s">
        <v>1557</v>
      </c>
      <c r="G5008" t="str">
        <f>"05-I16-02"</f>
        <v>05-I16-02</v>
      </c>
      <c r="H5008">
        <v>9.157</v>
      </c>
      <c r="I5008" t="s">
        <v>3696</v>
      </c>
      <c r="J5008" t="s">
        <v>17</v>
      </c>
      <c r="K5008" t="str">
        <f>"5F5"</f>
        <v>5F5</v>
      </c>
      <c r="L5008" t="s">
        <v>15</v>
      </c>
    </row>
    <row r="5009" spans="1:12" x14ac:dyDescent="0.25">
      <c r="A5009" t="str">
        <f>"500215109"</f>
        <v>500215109</v>
      </c>
      <c r="B5009" t="str">
        <f t="shared" si="270"/>
        <v>89301000</v>
      </c>
      <c r="C5009" s="1">
        <v>44383</v>
      </c>
      <c r="D5009" s="1">
        <v>44393</v>
      </c>
      <c r="E5009">
        <v>1</v>
      </c>
      <c r="F5009" t="s">
        <v>985</v>
      </c>
      <c r="G5009" t="str">
        <f>"04-K02-03"</f>
        <v>04-K02-03</v>
      </c>
      <c r="H5009">
        <v>1.2859</v>
      </c>
      <c r="I5009" t="s">
        <v>3697</v>
      </c>
      <c r="J5009" t="s">
        <v>14</v>
      </c>
      <c r="K5009" t="str">
        <f>"2F5"</f>
        <v>2F5</v>
      </c>
      <c r="L5009" t="s">
        <v>15</v>
      </c>
    </row>
    <row r="5010" spans="1:12" x14ac:dyDescent="0.25">
      <c r="A5010" t="str">
        <f>"500219020"</f>
        <v>500219020</v>
      </c>
      <c r="B5010" t="str">
        <f t="shared" si="270"/>
        <v>89301000</v>
      </c>
      <c r="C5010" s="1">
        <v>44264</v>
      </c>
      <c r="D5010" s="1">
        <v>44266</v>
      </c>
      <c r="E5010">
        <v>1</v>
      </c>
      <c r="F5010" t="s">
        <v>92</v>
      </c>
      <c r="G5010" t="str">
        <f>"05-K15-02"</f>
        <v>05-K15-02</v>
      </c>
      <c r="H5010">
        <v>0.47510000000000002</v>
      </c>
      <c r="I5010" t="s">
        <v>3698</v>
      </c>
      <c r="J5010" t="s">
        <v>14</v>
      </c>
      <c r="K5010" t="str">
        <f>"2F9"</f>
        <v>2F9</v>
      </c>
      <c r="L5010" t="s">
        <v>15</v>
      </c>
    </row>
    <row r="5011" spans="1:12" x14ac:dyDescent="0.25">
      <c r="A5011" t="str">
        <f>"500219113"</f>
        <v>500219113</v>
      </c>
      <c r="B5011" t="str">
        <f t="shared" si="270"/>
        <v>89301000</v>
      </c>
      <c r="C5011" s="1">
        <v>44468</v>
      </c>
      <c r="D5011" s="1">
        <v>44472</v>
      </c>
      <c r="E5011">
        <v>1</v>
      </c>
      <c r="F5011" t="s">
        <v>632</v>
      </c>
      <c r="G5011" t="str">
        <f>"06-I17-04"</f>
        <v>06-I17-04</v>
      </c>
      <c r="H5011">
        <v>0.49940000000000001</v>
      </c>
      <c r="I5011" t="s">
        <v>489</v>
      </c>
      <c r="J5011" t="s">
        <v>17</v>
      </c>
      <c r="K5011" t="str">
        <f>"5F1"</f>
        <v>5F1</v>
      </c>
      <c r="L5011" t="s">
        <v>15</v>
      </c>
    </row>
    <row r="5012" spans="1:12" x14ac:dyDescent="0.25">
      <c r="A5012" t="str">
        <f>"500221032"</f>
        <v>500221032</v>
      </c>
      <c r="B5012" t="str">
        <f t="shared" si="270"/>
        <v>89301000</v>
      </c>
      <c r="C5012" s="1">
        <v>44256</v>
      </c>
      <c r="D5012" s="1">
        <v>44264</v>
      </c>
      <c r="E5012">
        <v>8</v>
      </c>
      <c r="F5012" t="s">
        <v>962</v>
      </c>
      <c r="G5012" t="str">
        <f>"04-M01-05"</f>
        <v>04-M01-05</v>
      </c>
      <c r="H5012">
        <v>6.2100999999999997</v>
      </c>
      <c r="I5012" t="s">
        <v>3699</v>
      </c>
      <c r="J5012" t="s">
        <v>14</v>
      </c>
      <c r="K5012" t="str">
        <f>"1T1"</f>
        <v>1T1</v>
      </c>
      <c r="L5012" t="s">
        <v>15</v>
      </c>
    </row>
    <row r="5013" spans="1:12" x14ac:dyDescent="0.25">
      <c r="A5013" t="str">
        <f>"500223034"</f>
        <v>500223034</v>
      </c>
      <c r="B5013" t="str">
        <f t="shared" si="270"/>
        <v>89301000</v>
      </c>
      <c r="C5013" s="1">
        <v>44327</v>
      </c>
      <c r="D5013" s="1">
        <v>44331</v>
      </c>
      <c r="E5013">
        <v>1</v>
      </c>
      <c r="F5013" t="s">
        <v>151</v>
      </c>
      <c r="G5013" t="str">
        <f>"06-I16-04"</f>
        <v>06-I16-04</v>
      </c>
      <c r="H5013">
        <v>0.67620000000000002</v>
      </c>
      <c r="J5013" t="s">
        <v>24</v>
      </c>
      <c r="K5013" t="str">
        <f>"5F1"</f>
        <v>5F1</v>
      </c>
      <c r="L5013" t="s">
        <v>15</v>
      </c>
    </row>
    <row r="5014" spans="1:12" x14ac:dyDescent="0.25">
      <c r="A5014" t="str">
        <f>"500226033"</f>
        <v>500226033</v>
      </c>
      <c r="B5014" t="str">
        <f t="shared" si="270"/>
        <v>89301000</v>
      </c>
      <c r="C5014" s="1">
        <v>44399</v>
      </c>
      <c r="D5014" s="1">
        <v>44400</v>
      </c>
      <c r="E5014">
        <v>1</v>
      </c>
      <c r="F5014" t="s">
        <v>1557</v>
      </c>
      <c r="G5014" t="str">
        <f>"05-M06-08"</f>
        <v>05-M06-08</v>
      </c>
      <c r="H5014">
        <v>1.4719</v>
      </c>
      <c r="J5014" t="s">
        <v>17</v>
      </c>
      <c r="K5014" t="str">
        <f>"1F7"</f>
        <v>1F7</v>
      </c>
      <c r="L5014" t="s">
        <v>15</v>
      </c>
    </row>
    <row r="5015" spans="1:12" x14ac:dyDescent="0.25">
      <c r="A5015" t="str">
        <f>"500301098"</f>
        <v>500301098</v>
      </c>
      <c r="B5015" t="str">
        <f t="shared" si="270"/>
        <v>89301000</v>
      </c>
      <c r="C5015" s="1">
        <v>44476</v>
      </c>
      <c r="D5015" s="1">
        <v>44477</v>
      </c>
      <c r="E5015">
        <v>4</v>
      </c>
      <c r="F5015" t="s">
        <v>392</v>
      </c>
      <c r="G5015" t="str">
        <f>"08-K03-01"</f>
        <v>08-K03-01</v>
      </c>
      <c r="H5015">
        <v>0.97540000000000004</v>
      </c>
      <c r="I5015" t="s">
        <v>2179</v>
      </c>
      <c r="J5015" t="s">
        <v>14</v>
      </c>
      <c r="K5015" t="str">
        <f>"5T6"</f>
        <v>5T6</v>
      </c>
      <c r="L5015" t="s">
        <v>15</v>
      </c>
    </row>
    <row r="5016" spans="1:12" x14ac:dyDescent="0.25">
      <c r="A5016" t="str">
        <f>"500301098"</f>
        <v>500301098</v>
      </c>
      <c r="B5016" t="str">
        <f t="shared" si="270"/>
        <v>89301000</v>
      </c>
      <c r="C5016" s="1">
        <v>44522</v>
      </c>
      <c r="D5016" s="1">
        <v>44536</v>
      </c>
      <c r="E5016">
        <v>5</v>
      </c>
      <c r="F5016" t="s">
        <v>392</v>
      </c>
      <c r="G5016" t="str">
        <f>"08-K03-01"</f>
        <v>08-K03-01</v>
      </c>
      <c r="H5016">
        <v>3.1173000000000002</v>
      </c>
      <c r="I5016" t="s">
        <v>3700</v>
      </c>
      <c r="J5016" t="s">
        <v>14</v>
      </c>
      <c r="K5016" t="str">
        <f>"5F1"</f>
        <v>5F1</v>
      </c>
      <c r="L5016" t="s">
        <v>15</v>
      </c>
    </row>
    <row r="5017" spans="1:12" x14ac:dyDescent="0.25">
      <c r="A5017" t="str">
        <f>"500302226"</f>
        <v>500302226</v>
      </c>
      <c r="B5017" t="str">
        <f t="shared" si="270"/>
        <v>89301000</v>
      </c>
      <c r="C5017" s="1">
        <v>44340</v>
      </c>
      <c r="D5017" s="1">
        <v>44344</v>
      </c>
      <c r="E5017">
        <v>1</v>
      </c>
      <c r="F5017" t="s">
        <v>97</v>
      </c>
      <c r="G5017" t="str">
        <f>"01-K03-08"</f>
        <v>01-K03-08</v>
      </c>
      <c r="H5017">
        <v>0.34789999999999999</v>
      </c>
      <c r="J5017" t="s">
        <v>14</v>
      </c>
      <c r="K5017" t="str">
        <f>"2F9"</f>
        <v>2F9</v>
      </c>
      <c r="L5017" t="s">
        <v>15</v>
      </c>
    </row>
    <row r="5018" spans="1:12" x14ac:dyDescent="0.25">
      <c r="A5018" t="str">
        <f>"500302226"</f>
        <v>500302226</v>
      </c>
      <c r="B5018" t="str">
        <f t="shared" si="270"/>
        <v>89301000</v>
      </c>
      <c r="C5018" s="1">
        <v>44228</v>
      </c>
      <c r="D5018" s="1">
        <v>44239</v>
      </c>
      <c r="E5018">
        <v>1</v>
      </c>
      <c r="F5018" t="s">
        <v>97</v>
      </c>
      <c r="G5018" t="str">
        <f>"01-K03-06"</f>
        <v>01-K03-06</v>
      </c>
      <c r="H5018">
        <v>1.0783</v>
      </c>
      <c r="I5018" t="s">
        <v>3701</v>
      </c>
      <c r="J5018" t="s">
        <v>14</v>
      </c>
      <c r="K5018" t="str">
        <f>"2F9"</f>
        <v>2F9</v>
      </c>
      <c r="L5018" t="s">
        <v>15</v>
      </c>
    </row>
    <row r="5019" spans="1:12" x14ac:dyDescent="0.25">
      <c r="A5019" t="str">
        <f>"500317330"</f>
        <v>500317330</v>
      </c>
      <c r="B5019" t="str">
        <f t="shared" si="270"/>
        <v>89301000</v>
      </c>
      <c r="C5019" s="1">
        <v>44521</v>
      </c>
      <c r="D5019" s="1">
        <v>44526</v>
      </c>
      <c r="E5019">
        <v>5</v>
      </c>
      <c r="F5019" t="s">
        <v>821</v>
      </c>
      <c r="G5019" t="str">
        <f>"05-I21-02"</f>
        <v>05-I21-02</v>
      </c>
      <c r="H5019">
        <v>4.0018000000000002</v>
      </c>
      <c r="J5019" t="s">
        <v>14</v>
      </c>
      <c r="K5019" t="str">
        <f>"1F1"</f>
        <v>1F1</v>
      </c>
      <c r="L5019" t="s">
        <v>15</v>
      </c>
    </row>
    <row r="5020" spans="1:12" x14ac:dyDescent="0.25">
      <c r="A5020" t="str">
        <f>"500318090"</f>
        <v>500318090</v>
      </c>
      <c r="B5020" t="str">
        <f t="shared" si="270"/>
        <v>89301000</v>
      </c>
      <c r="C5020" s="1">
        <v>44223</v>
      </c>
      <c r="D5020" s="1">
        <v>44226</v>
      </c>
      <c r="E5020">
        <v>1</v>
      </c>
      <c r="F5020" t="s">
        <v>2221</v>
      </c>
      <c r="G5020" t="str">
        <f>"06-C02-01"</f>
        <v>06-C02-01</v>
      </c>
      <c r="H5020">
        <v>0.27229999999999999</v>
      </c>
      <c r="I5020" t="s">
        <v>3317</v>
      </c>
      <c r="J5020" t="s">
        <v>14</v>
      </c>
      <c r="K5020" t="str">
        <f>"4F2"</f>
        <v>4F2</v>
      </c>
      <c r="L5020" t="s">
        <v>15</v>
      </c>
    </row>
    <row r="5021" spans="1:12" x14ac:dyDescent="0.25">
      <c r="A5021" t="str">
        <f>"500322326"</f>
        <v>500322326</v>
      </c>
      <c r="B5021" t="str">
        <f t="shared" si="270"/>
        <v>89301000</v>
      </c>
      <c r="C5021" s="1">
        <v>44455</v>
      </c>
      <c r="D5021" s="1">
        <v>44460</v>
      </c>
      <c r="E5021">
        <v>5</v>
      </c>
      <c r="F5021" t="s">
        <v>952</v>
      </c>
      <c r="G5021" t="str">
        <f>"04-K15-03"</f>
        <v>04-K15-03</v>
      </c>
      <c r="H5021">
        <v>0.49009999999999998</v>
      </c>
      <c r="I5021" t="s">
        <v>2103</v>
      </c>
      <c r="J5021" t="s">
        <v>14</v>
      </c>
      <c r="K5021" t="str">
        <f>"5F5"</f>
        <v>5F5</v>
      </c>
      <c r="L5021" t="s">
        <v>15</v>
      </c>
    </row>
    <row r="5022" spans="1:12" x14ac:dyDescent="0.25">
      <c r="A5022" t="str">
        <f>"500322326"</f>
        <v>500322326</v>
      </c>
      <c r="B5022" t="str">
        <f t="shared" si="270"/>
        <v>89301000</v>
      </c>
      <c r="C5022" s="1">
        <v>44386</v>
      </c>
      <c r="D5022" s="1">
        <v>44406</v>
      </c>
      <c r="E5022">
        <v>5</v>
      </c>
      <c r="F5022" t="s">
        <v>38</v>
      </c>
      <c r="G5022" t="str">
        <f>"05-D01-04"</f>
        <v>05-D01-04</v>
      </c>
      <c r="H5022">
        <v>2.1331000000000002</v>
      </c>
      <c r="I5022" t="s">
        <v>3702</v>
      </c>
      <c r="J5022" t="s">
        <v>14</v>
      </c>
      <c r="K5022" t="str">
        <f>"1F7"</f>
        <v>1F7</v>
      </c>
      <c r="L5022" t="s">
        <v>15</v>
      </c>
    </row>
    <row r="5023" spans="1:12" x14ac:dyDescent="0.25">
      <c r="A5023" t="str">
        <f>"500322326"</f>
        <v>500322326</v>
      </c>
      <c r="B5023" t="str">
        <f t="shared" si="270"/>
        <v>89301000</v>
      </c>
      <c r="C5023" s="1">
        <v>44427</v>
      </c>
      <c r="D5023" s="1">
        <v>44448</v>
      </c>
      <c r="E5023">
        <v>1</v>
      </c>
      <c r="F5023" t="s">
        <v>1557</v>
      </c>
      <c r="G5023" t="str">
        <f>"05-I16-06"</f>
        <v>05-I16-06</v>
      </c>
      <c r="H5023">
        <v>6.7869000000000002</v>
      </c>
      <c r="I5023" t="s">
        <v>3703</v>
      </c>
      <c r="J5023" t="s">
        <v>17</v>
      </c>
      <c r="K5023" t="str">
        <f>"5F5"</f>
        <v>5F5</v>
      </c>
      <c r="L5023" t="s">
        <v>15</v>
      </c>
    </row>
    <row r="5024" spans="1:12" x14ac:dyDescent="0.25">
      <c r="A5024" t="str">
        <f>"500322326"</f>
        <v>500322326</v>
      </c>
      <c r="B5024" t="str">
        <f t="shared" si="270"/>
        <v>89301000</v>
      </c>
      <c r="C5024" s="1">
        <v>44472</v>
      </c>
      <c r="D5024" s="1">
        <v>44475</v>
      </c>
      <c r="E5024">
        <v>1</v>
      </c>
      <c r="F5024" t="s">
        <v>1842</v>
      </c>
      <c r="G5024" t="str">
        <f>"05-I14-04"</f>
        <v>05-I14-04</v>
      </c>
      <c r="H5024">
        <v>5.4002999999999997</v>
      </c>
      <c r="I5024" t="s">
        <v>1602</v>
      </c>
      <c r="J5024" t="s">
        <v>14</v>
      </c>
      <c r="K5024" t="str">
        <f>"1F7"</f>
        <v>1F7</v>
      </c>
      <c r="L5024" t="s">
        <v>15</v>
      </c>
    </row>
    <row r="5025" spans="1:12" x14ac:dyDescent="0.25">
      <c r="A5025" t="str">
        <f>"500323200"</f>
        <v>500323200</v>
      </c>
      <c r="B5025" t="str">
        <f t="shared" si="270"/>
        <v>89301000</v>
      </c>
      <c r="C5025" s="1">
        <v>44328</v>
      </c>
      <c r="D5025" s="1">
        <v>44336</v>
      </c>
      <c r="E5025">
        <v>1</v>
      </c>
      <c r="F5025" t="s">
        <v>3096</v>
      </c>
      <c r="G5025" t="str">
        <f>"03-I03-02"</f>
        <v>03-I03-02</v>
      </c>
      <c r="H5025">
        <v>5.1859000000000002</v>
      </c>
      <c r="I5025" t="s">
        <v>3704</v>
      </c>
      <c r="J5025" t="s">
        <v>17</v>
      </c>
      <c r="K5025" t="str">
        <f>"6F5"</f>
        <v>6F5</v>
      </c>
      <c r="L5025" t="s">
        <v>15</v>
      </c>
    </row>
    <row r="5026" spans="1:12" x14ac:dyDescent="0.25">
      <c r="A5026" t="str">
        <f>"500328202"</f>
        <v>500328202</v>
      </c>
      <c r="B5026" t="str">
        <f t="shared" si="270"/>
        <v>89301000</v>
      </c>
      <c r="C5026" s="1">
        <v>44460</v>
      </c>
      <c r="D5026" s="1">
        <v>44461</v>
      </c>
      <c r="E5026">
        <v>1</v>
      </c>
      <c r="F5026" t="s">
        <v>3194</v>
      </c>
      <c r="G5026" t="str">
        <f>"21-K06-00"</f>
        <v>21-K06-00</v>
      </c>
      <c r="H5026">
        <v>0.49320000000000003</v>
      </c>
      <c r="I5026" t="s">
        <v>163</v>
      </c>
      <c r="J5026" t="s">
        <v>14</v>
      </c>
      <c r="K5026" t="str">
        <f>"6F1"</f>
        <v>6F1</v>
      </c>
      <c r="L5026" t="s">
        <v>15</v>
      </c>
    </row>
    <row r="5027" spans="1:12" x14ac:dyDescent="0.25">
      <c r="A5027" t="str">
        <f>"500329082"</f>
        <v>500329082</v>
      </c>
      <c r="B5027" t="str">
        <f t="shared" si="270"/>
        <v>89301000</v>
      </c>
      <c r="C5027" s="1">
        <v>44343</v>
      </c>
      <c r="D5027" s="1">
        <v>44347</v>
      </c>
      <c r="E5027">
        <v>1</v>
      </c>
      <c r="F5027" t="s">
        <v>3705</v>
      </c>
      <c r="G5027" t="str">
        <f>"01-K08-02"</f>
        <v>01-K08-02</v>
      </c>
      <c r="H5027">
        <v>0.60519999999999996</v>
      </c>
      <c r="I5027" t="s">
        <v>3706</v>
      </c>
      <c r="J5027" t="s">
        <v>14</v>
      </c>
      <c r="K5027" t="str">
        <f>"1F1"</f>
        <v>1F1</v>
      </c>
      <c r="L5027" t="s">
        <v>15</v>
      </c>
    </row>
    <row r="5028" spans="1:12" x14ac:dyDescent="0.25">
      <c r="A5028" t="str">
        <f>"500406039"</f>
        <v>500406039</v>
      </c>
      <c r="B5028" t="str">
        <f t="shared" si="270"/>
        <v>89301000</v>
      </c>
      <c r="C5028" s="1">
        <v>44417</v>
      </c>
      <c r="D5028" s="1">
        <v>44421</v>
      </c>
      <c r="E5028">
        <v>1</v>
      </c>
      <c r="F5028" t="s">
        <v>2519</v>
      </c>
      <c r="G5028" t="str">
        <f>"09-K01-04"</f>
        <v>09-K01-04</v>
      </c>
      <c r="H5028">
        <v>0.57820000000000005</v>
      </c>
      <c r="I5028" t="s">
        <v>3707</v>
      </c>
      <c r="J5028" t="s">
        <v>14</v>
      </c>
      <c r="K5028" t="str">
        <f>"4F4"</f>
        <v>4F4</v>
      </c>
      <c r="L5028" t="s">
        <v>15</v>
      </c>
    </row>
    <row r="5029" spans="1:12" x14ac:dyDescent="0.25">
      <c r="A5029" t="str">
        <f>"500407368"</f>
        <v>500407368</v>
      </c>
      <c r="B5029" t="str">
        <f t="shared" si="270"/>
        <v>89301000</v>
      </c>
      <c r="C5029" s="1">
        <v>44298</v>
      </c>
      <c r="D5029" s="1">
        <v>44298</v>
      </c>
      <c r="E5029">
        <v>1</v>
      </c>
      <c r="F5029" t="s">
        <v>1548</v>
      </c>
      <c r="G5029" t="str">
        <f>"05-I14-03"</f>
        <v>05-I14-03</v>
      </c>
      <c r="H5029">
        <v>5.8045</v>
      </c>
      <c r="J5029" t="s">
        <v>14</v>
      </c>
      <c r="K5029" t="str">
        <f>"1F1"</f>
        <v>1F1</v>
      </c>
      <c r="L5029" t="s">
        <v>15</v>
      </c>
    </row>
    <row r="5030" spans="1:12" x14ac:dyDescent="0.25">
      <c r="A5030" t="str">
        <f>"500408124"</f>
        <v>500408124</v>
      </c>
      <c r="B5030" t="str">
        <f t="shared" si="270"/>
        <v>89301000</v>
      </c>
      <c r="C5030" s="1">
        <v>44446</v>
      </c>
      <c r="D5030" s="1">
        <v>44452</v>
      </c>
      <c r="E5030">
        <v>1</v>
      </c>
      <c r="F5030" t="s">
        <v>407</v>
      </c>
      <c r="G5030" t="str">
        <f>"03-I19-02"</f>
        <v>03-I19-02</v>
      </c>
      <c r="H5030">
        <v>1.1639999999999999</v>
      </c>
      <c r="I5030" t="s">
        <v>3708</v>
      </c>
      <c r="J5030" t="s">
        <v>14</v>
      </c>
      <c r="K5030" t="str">
        <f>"6F5"</f>
        <v>6F5</v>
      </c>
      <c r="L5030" t="s">
        <v>15</v>
      </c>
    </row>
    <row r="5031" spans="1:12" x14ac:dyDescent="0.25">
      <c r="A5031" t="str">
        <f>"500409145"</f>
        <v>500409145</v>
      </c>
      <c r="B5031" t="str">
        <f t="shared" si="270"/>
        <v>89301000</v>
      </c>
      <c r="C5031" s="1">
        <v>44309</v>
      </c>
      <c r="D5031" s="1">
        <v>44330</v>
      </c>
      <c r="E5031">
        <v>1</v>
      </c>
      <c r="F5031" t="s">
        <v>1563</v>
      </c>
      <c r="G5031" t="str">
        <f>"05-I14-01"</f>
        <v>05-I14-01</v>
      </c>
      <c r="H5031">
        <v>10.0059</v>
      </c>
      <c r="I5031" t="s">
        <v>1557</v>
      </c>
      <c r="J5031" t="s">
        <v>14</v>
      </c>
      <c r="K5031" t="str">
        <f>"1F1"</f>
        <v>1F1</v>
      </c>
      <c r="L5031" t="s">
        <v>15</v>
      </c>
    </row>
    <row r="5032" spans="1:12" x14ac:dyDescent="0.25">
      <c r="A5032" t="str">
        <f>"500416316"</f>
        <v>500416316</v>
      </c>
      <c r="B5032" t="str">
        <f t="shared" si="270"/>
        <v>89301000</v>
      </c>
      <c r="C5032" s="1">
        <v>44359</v>
      </c>
      <c r="D5032" s="1">
        <v>44362</v>
      </c>
      <c r="E5032">
        <v>1</v>
      </c>
      <c r="F5032" t="s">
        <v>699</v>
      </c>
      <c r="G5032" t="str">
        <f>"16-K02-01"</f>
        <v>16-K02-01</v>
      </c>
      <c r="H5032">
        <v>1.2647999999999999</v>
      </c>
      <c r="I5032" t="s">
        <v>3709</v>
      </c>
      <c r="J5032" t="s">
        <v>14</v>
      </c>
      <c r="K5032" t="str">
        <f>"1F1"</f>
        <v>1F1</v>
      </c>
      <c r="L5032" t="s">
        <v>15</v>
      </c>
    </row>
    <row r="5033" spans="1:12" x14ac:dyDescent="0.25">
      <c r="A5033" t="str">
        <f>"500418107"</f>
        <v>500418107</v>
      </c>
      <c r="B5033" t="str">
        <f t="shared" si="270"/>
        <v>89301000</v>
      </c>
      <c r="C5033" s="1">
        <v>44396</v>
      </c>
      <c r="D5033" s="1">
        <v>44413</v>
      </c>
      <c r="E5033">
        <v>1</v>
      </c>
      <c r="F5033" t="s">
        <v>3529</v>
      </c>
      <c r="G5033" t="str">
        <f>"06-I07-03"</f>
        <v>06-I07-03</v>
      </c>
      <c r="H5033">
        <v>5.3483000000000001</v>
      </c>
      <c r="I5033" t="s">
        <v>3710</v>
      </c>
      <c r="J5033" t="s">
        <v>17</v>
      </c>
      <c r="K5033" t="str">
        <f>"5F1"</f>
        <v>5F1</v>
      </c>
      <c r="L5033" t="s">
        <v>15</v>
      </c>
    </row>
    <row r="5034" spans="1:12" x14ac:dyDescent="0.25">
      <c r="A5034" t="str">
        <f>"500418107"</f>
        <v>500418107</v>
      </c>
      <c r="B5034" t="str">
        <f t="shared" si="270"/>
        <v>89301000</v>
      </c>
      <c r="C5034" s="1">
        <v>44525</v>
      </c>
      <c r="D5034" s="1">
        <v>44527</v>
      </c>
      <c r="E5034">
        <v>1</v>
      </c>
      <c r="F5034" t="s">
        <v>1621</v>
      </c>
      <c r="G5034" t="str">
        <f>"07-C01-02"</f>
        <v>07-C01-02</v>
      </c>
      <c r="H5034">
        <v>0.30530000000000002</v>
      </c>
      <c r="I5034" t="s">
        <v>3711</v>
      </c>
      <c r="J5034" t="s">
        <v>14</v>
      </c>
      <c r="K5034" t="str">
        <f>"4F2"</f>
        <v>4F2</v>
      </c>
      <c r="L5034" t="s">
        <v>15</v>
      </c>
    </row>
    <row r="5035" spans="1:12" x14ac:dyDescent="0.25">
      <c r="A5035" t="str">
        <f>"500418107"</f>
        <v>500418107</v>
      </c>
      <c r="B5035" t="str">
        <f t="shared" si="270"/>
        <v>89301000</v>
      </c>
      <c r="C5035" s="1">
        <v>44511</v>
      </c>
      <c r="D5035" s="1">
        <v>44513</v>
      </c>
      <c r="E5035">
        <v>1</v>
      </c>
      <c r="F5035" t="s">
        <v>1621</v>
      </c>
      <c r="G5035" t="str">
        <f>"07-C01-02"</f>
        <v>07-C01-02</v>
      </c>
      <c r="H5035">
        <v>0.30530000000000002</v>
      </c>
      <c r="I5035" t="s">
        <v>3711</v>
      </c>
      <c r="J5035" t="s">
        <v>14</v>
      </c>
      <c r="K5035" t="str">
        <f>"4F2"</f>
        <v>4F2</v>
      </c>
      <c r="L5035" t="s">
        <v>15</v>
      </c>
    </row>
    <row r="5036" spans="1:12" x14ac:dyDescent="0.25">
      <c r="A5036" t="str">
        <f>"500429080"</f>
        <v>500429080</v>
      </c>
      <c r="B5036" t="str">
        <f t="shared" si="270"/>
        <v>89301000</v>
      </c>
      <c r="C5036" s="1">
        <v>44389</v>
      </c>
      <c r="D5036" s="1">
        <v>44393</v>
      </c>
      <c r="E5036">
        <v>1</v>
      </c>
      <c r="F5036" t="s">
        <v>351</v>
      </c>
      <c r="G5036" t="str">
        <f>"10-K04-04"</f>
        <v>10-K04-04</v>
      </c>
      <c r="H5036">
        <v>0.56330000000000002</v>
      </c>
      <c r="I5036" t="s">
        <v>3712</v>
      </c>
      <c r="J5036" t="s">
        <v>14</v>
      </c>
      <c r="K5036" t="str">
        <f>"1F1"</f>
        <v>1F1</v>
      </c>
      <c r="L5036" t="s">
        <v>15</v>
      </c>
    </row>
    <row r="5037" spans="1:12" x14ac:dyDescent="0.25">
      <c r="A5037" t="str">
        <f>"500430099"</f>
        <v>500430099</v>
      </c>
      <c r="B5037" t="str">
        <f t="shared" si="270"/>
        <v>89301000</v>
      </c>
      <c r="C5037" s="1">
        <v>44235</v>
      </c>
      <c r="D5037" s="1">
        <v>44236</v>
      </c>
      <c r="E5037">
        <v>5</v>
      </c>
      <c r="F5037" t="s">
        <v>38</v>
      </c>
      <c r="G5037" t="str">
        <f>"05-M06-06"</f>
        <v>05-M06-06</v>
      </c>
      <c r="H5037">
        <v>1.7652000000000001</v>
      </c>
      <c r="I5037" t="s">
        <v>3713</v>
      </c>
      <c r="J5037" t="s">
        <v>17</v>
      </c>
      <c r="K5037" t="str">
        <f>"1F7"</f>
        <v>1F7</v>
      </c>
      <c r="L5037" t="s">
        <v>15</v>
      </c>
    </row>
    <row r="5038" spans="1:12" x14ac:dyDescent="0.25">
      <c r="A5038" t="str">
        <f>"500430099"</f>
        <v>500430099</v>
      </c>
      <c r="B5038" t="str">
        <f t="shared" si="270"/>
        <v>89301000</v>
      </c>
      <c r="C5038" s="1">
        <v>44370</v>
      </c>
      <c r="D5038" s="1">
        <v>44371</v>
      </c>
      <c r="E5038">
        <v>1</v>
      </c>
      <c r="F5038" t="s">
        <v>1557</v>
      </c>
      <c r="G5038" t="str">
        <f>"05-M06-04"</f>
        <v>05-M06-04</v>
      </c>
      <c r="H5038">
        <v>2.1958000000000002</v>
      </c>
      <c r="I5038" t="s">
        <v>3714</v>
      </c>
      <c r="J5038" t="s">
        <v>17</v>
      </c>
      <c r="K5038" t="str">
        <f>"1F1"</f>
        <v>1F1</v>
      </c>
      <c r="L5038" t="s">
        <v>15</v>
      </c>
    </row>
    <row r="5039" spans="1:12" x14ac:dyDescent="0.25">
      <c r="A5039" t="str">
        <f>"500506102"</f>
        <v>500506102</v>
      </c>
      <c r="B5039" t="str">
        <f t="shared" si="270"/>
        <v>89301000</v>
      </c>
      <c r="C5039" s="1">
        <v>44265</v>
      </c>
      <c r="D5039" s="1">
        <v>44280</v>
      </c>
      <c r="E5039">
        <v>4</v>
      </c>
      <c r="F5039" t="s">
        <v>307</v>
      </c>
      <c r="G5039" t="str">
        <f>"08-I05-04"</f>
        <v>08-I05-04</v>
      </c>
      <c r="H5039">
        <v>2.6541000000000001</v>
      </c>
      <c r="I5039" t="s">
        <v>3715</v>
      </c>
      <c r="J5039" t="s">
        <v>17</v>
      </c>
      <c r="K5039" t="str">
        <f>"6F6"</f>
        <v>6F6</v>
      </c>
      <c r="L5039" t="s">
        <v>15</v>
      </c>
    </row>
    <row r="5040" spans="1:12" x14ac:dyDescent="0.25">
      <c r="A5040" t="str">
        <f>"500509155"</f>
        <v>500509155</v>
      </c>
      <c r="B5040" t="str">
        <f t="shared" si="270"/>
        <v>89301000</v>
      </c>
      <c r="C5040" s="1">
        <v>44225</v>
      </c>
      <c r="D5040" s="1">
        <v>44230</v>
      </c>
      <c r="E5040">
        <v>1</v>
      </c>
      <c r="F5040" t="s">
        <v>3027</v>
      </c>
      <c r="G5040" t="str">
        <f>"03-C01-02"</f>
        <v>03-C01-02</v>
      </c>
      <c r="H5040">
        <v>0.44900000000000001</v>
      </c>
      <c r="I5040" t="s">
        <v>3716</v>
      </c>
      <c r="J5040" t="s">
        <v>14</v>
      </c>
      <c r="K5040" t="str">
        <f>"4F2"</f>
        <v>4F2</v>
      </c>
      <c r="L5040" t="s">
        <v>15</v>
      </c>
    </row>
    <row r="5041" spans="1:12" x14ac:dyDescent="0.25">
      <c r="A5041" t="str">
        <f>"500509155"</f>
        <v>500509155</v>
      </c>
      <c r="B5041" t="str">
        <f t="shared" si="270"/>
        <v>89301000</v>
      </c>
      <c r="C5041" s="1">
        <v>44246</v>
      </c>
      <c r="D5041" s="1">
        <v>44275</v>
      </c>
      <c r="E5041">
        <v>1</v>
      </c>
      <c r="F5041" t="s">
        <v>3027</v>
      </c>
      <c r="G5041" t="str">
        <f>"03-K09-01"</f>
        <v>03-K09-01</v>
      </c>
      <c r="H5041">
        <v>1.8545</v>
      </c>
      <c r="J5041" t="s">
        <v>14</v>
      </c>
      <c r="K5041" t="str">
        <f>"4F2"</f>
        <v>4F2</v>
      </c>
      <c r="L5041" t="s">
        <v>15</v>
      </c>
    </row>
    <row r="5042" spans="1:12" x14ac:dyDescent="0.25">
      <c r="A5042" t="str">
        <f>"500509344"</f>
        <v>500509344</v>
      </c>
      <c r="B5042" t="str">
        <f t="shared" si="270"/>
        <v>89301000</v>
      </c>
      <c r="C5042" s="1">
        <v>44452</v>
      </c>
      <c r="D5042" s="1">
        <v>44455</v>
      </c>
      <c r="E5042">
        <v>5</v>
      </c>
      <c r="F5042" t="s">
        <v>1619</v>
      </c>
      <c r="G5042" t="str">
        <f>"05-M06-02"</f>
        <v>05-M06-02</v>
      </c>
      <c r="H5042">
        <v>3.8521999999999998</v>
      </c>
      <c r="I5042" t="s">
        <v>3717</v>
      </c>
      <c r="J5042" t="s">
        <v>17</v>
      </c>
      <c r="K5042" t="str">
        <f>"1T1"</f>
        <v>1T1</v>
      </c>
      <c r="L5042" t="s">
        <v>15</v>
      </c>
    </row>
    <row r="5043" spans="1:12" x14ac:dyDescent="0.25">
      <c r="A5043" t="str">
        <f>"500513037"</f>
        <v>500513037</v>
      </c>
      <c r="B5043" t="str">
        <f t="shared" si="270"/>
        <v>89301000</v>
      </c>
      <c r="C5043" s="1">
        <v>44243</v>
      </c>
      <c r="D5043" s="1">
        <v>44243</v>
      </c>
      <c r="E5043">
        <v>1</v>
      </c>
      <c r="F5043" t="s">
        <v>1557</v>
      </c>
      <c r="G5043" t="str">
        <f>"05-D01-08"</f>
        <v>05-D01-08</v>
      </c>
      <c r="H5043">
        <v>0.21890000000000001</v>
      </c>
      <c r="I5043" t="s">
        <v>3718</v>
      </c>
      <c r="J5043" t="s">
        <v>14</v>
      </c>
      <c r="K5043" t="str">
        <f>"1F1"</f>
        <v>1F1</v>
      </c>
      <c r="L5043" t="s">
        <v>15</v>
      </c>
    </row>
    <row r="5044" spans="1:12" x14ac:dyDescent="0.25">
      <c r="A5044" t="str">
        <f>"500513037"</f>
        <v>500513037</v>
      </c>
      <c r="B5044" t="str">
        <f t="shared" si="270"/>
        <v>89301000</v>
      </c>
      <c r="C5044" s="1">
        <v>44454</v>
      </c>
      <c r="D5044" s="1">
        <v>44460</v>
      </c>
      <c r="E5044">
        <v>1</v>
      </c>
      <c r="F5044" t="s">
        <v>2264</v>
      </c>
      <c r="G5044" t="str">
        <f>"11-K08-02"</f>
        <v>11-K08-02</v>
      </c>
      <c r="H5044">
        <v>0.47389999999999999</v>
      </c>
      <c r="I5044" t="s">
        <v>3719</v>
      </c>
      <c r="J5044" t="s">
        <v>14</v>
      </c>
      <c r="K5044" t="str">
        <f>"7F6"</f>
        <v>7F6</v>
      </c>
      <c r="L5044" t="s">
        <v>15</v>
      </c>
    </row>
    <row r="5045" spans="1:12" x14ac:dyDescent="0.25">
      <c r="A5045" t="str">
        <f>"500513037"</f>
        <v>500513037</v>
      </c>
      <c r="B5045" t="str">
        <f t="shared" si="270"/>
        <v>89301000</v>
      </c>
      <c r="C5045" s="1">
        <v>44280</v>
      </c>
      <c r="D5045" s="1">
        <v>44280</v>
      </c>
      <c r="E5045">
        <v>1</v>
      </c>
      <c r="F5045" t="s">
        <v>1842</v>
      </c>
      <c r="G5045" t="str">
        <f>"05-I14-03"</f>
        <v>05-I14-03</v>
      </c>
      <c r="H5045">
        <v>5.8045</v>
      </c>
      <c r="I5045" t="s">
        <v>3720</v>
      </c>
      <c r="J5045" t="s">
        <v>14</v>
      </c>
      <c r="K5045" t="str">
        <f>"1F1"</f>
        <v>1F1</v>
      </c>
      <c r="L5045" t="s">
        <v>15</v>
      </c>
    </row>
    <row r="5046" spans="1:12" x14ac:dyDescent="0.25">
      <c r="A5046" t="str">
        <f>"500519347"</f>
        <v>500519347</v>
      </c>
      <c r="B5046" t="str">
        <f t="shared" si="270"/>
        <v>89301000</v>
      </c>
      <c r="C5046" s="1">
        <v>44236</v>
      </c>
      <c r="D5046" s="1">
        <v>44237</v>
      </c>
      <c r="E5046">
        <v>7</v>
      </c>
      <c r="F5046" t="s">
        <v>2705</v>
      </c>
      <c r="G5046" t="str">
        <f>"01-K11-01"</f>
        <v>01-K11-01</v>
      </c>
      <c r="H5046">
        <v>1.5818000000000001</v>
      </c>
      <c r="I5046" t="s">
        <v>3721</v>
      </c>
      <c r="J5046" t="s">
        <v>14</v>
      </c>
      <c r="K5046" t="str">
        <f>"2T9"</f>
        <v>2T9</v>
      </c>
      <c r="L5046" t="s">
        <v>15</v>
      </c>
    </row>
    <row r="5047" spans="1:12" x14ac:dyDescent="0.25">
      <c r="A5047" t="str">
        <f>"500524154"</f>
        <v>500524154</v>
      </c>
      <c r="B5047" t="str">
        <f t="shared" si="270"/>
        <v>89301000</v>
      </c>
      <c r="C5047" s="1">
        <v>44272</v>
      </c>
      <c r="D5047" s="1">
        <v>44287</v>
      </c>
      <c r="E5047">
        <v>7</v>
      </c>
      <c r="F5047" t="s">
        <v>217</v>
      </c>
      <c r="G5047" t="str">
        <f>"00-M02-04"</f>
        <v>00-M02-04</v>
      </c>
      <c r="H5047">
        <v>12.318899999999999</v>
      </c>
      <c r="I5047" t="s">
        <v>3722</v>
      </c>
      <c r="J5047" t="s">
        <v>14</v>
      </c>
      <c r="K5047" t="str">
        <f>"7T8"</f>
        <v>7T8</v>
      </c>
      <c r="L5047" t="s">
        <v>15</v>
      </c>
    </row>
    <row r="5048" spans="1:12" x14ac:dyDescent="0.25">
      <c r="A5048" t="str">
        <f>"500525140"</f>
        <v>500525140</v>
      </c>
      <c r="B5048" t="str">
        <f t="shared" si="270"/>
        <v>89301000</v>
      </c>
      <c r="C5048" s="1">
        <v>44440</v>
      </c>
      <c r="D5048" s="1">
        <v>44441</v>
      </c>
      <c r="E5048">
        <v>1</v>
      </c>
      <c r="F5048" t="s">
        <v>3080</v>
      </c>
      <c r="G5048" t="str">
        <f>"02-I13-01"</f>
        <v>02-I13-01</v>
      </c>
      <c r="H5048">
        <v>0.69720000000000004</v>
      </c>
      <c r="I5048" t="s">
        <v>3723</v>
      </c>
      <c r="J5048" t="s">
        <v>14</v>
      </c>
      <c r="K5048" t="str">
        <f>"7F5"</f>
        <v>7F5</v>
      </c>
      <c r="L5048" t="s">
        <v>15</v>
      </c>
    </row>
    <row r="5049" spans="1:12" x14ac:dyDescent="0.25">
      <c r="A5049" t="str">
        <f>"500530121"</f>
        <v>500530121</v>
      </c>
      <c r="B5049" t="str">
        <f t="shared" si="270"/>
        <v>89301000</v>
      </c>
      <c r="C5049" s="1">
        <v>44439</v>
      </c>
      <c r="D5049" s="1">
        <v>44442</v>
      </c>
      <c r="E5049">
        <v>1</v>
      </c>
      <c r="F5049" t="s">
        <v>1716</v>
      </c>
      <c r="G5049" t="str">
        <f>"11-M05-02"</f>
        <v>11-M05-02</v>
      </c>
      <c r="H5049">
        <v>0.65690000000000004</v>
      </c>
      <c r="I5049" t="s">
        <v>1991</v>
      </c>
      <c r="J5049" t="s">
        <v>17</v>
      </c>
      <c r="K5049" t="str">
        <f>"7F6"</f>
        <v>7F6</v>
      </c>
      <c r="L5049" t="s">
        <v>15</v>
      </c>
    </row>
    <row r="5050" spans="1:12" x14ac:dyDescent="0.25">
      <c r="A5050" t="str">
        <f>"500531156"</f>
        <v>500531156</v>
      </c>
      <c r="B5050" t="str">
        <f t="shared" si="270"/>
        <v>89301000</v>
      </c>
      <c r="C5050" s="1">
        <v>44549</v>
      </c>
      <c r="D5050" s="1">
        <v>44551</v>
      </c>
      <c r="E5050">
        <v>6</v>
      </c>
      <c r="F5050" t="s">
        <v>97</v>
      </c>
      <c r="G5050" t="str">
        <f>"01-K03-08"</f>
        <v>01-K03-08</v>
      </c>
      <c r="H5050">
        <v>0.34789999999999999</v>
      </c>
      <c r="I5050" t="s">
        <v>489</v>
      </c>
      <c r="J5050" t="s">
        <v>14</v>
      </c>
      <c r="K5050" t="str">
        <f>"2T9"</f>
        <v>2T9</v>
      </c>
      <c r="L5050" t="s">
        <v>15</v>
      </c>
    </row>
    <row r="5051" spans="1:12" x14ac:dyDescent="0.25">
      <c r="A5051" t="str">
        <f>"500602028"</f>
        <v>500602028</v>
      </c>
      <c r="B5051" t="str">
        <f t="shared" si="270"/>
        <v>89301000</v>
      </c>
      <c r="C5051" s="1">
        <v>44293</v>
      </c>
      <c r="D5051" s="1">
        <v>44295</v>
      </c>
      <c r="E5051">
        <v>1</v>
      </c>
      <c r="F5051" t="s">
        <v>1683</v>
      </c>
      <c r="G5051" t="str">
        <f>"05-M06-06"</f>
        <v>05-M06-06</v>
      </c>
      <c r="H5051">
        <v>1.7652000000000001</v>
      </c>
      <c r="I5051" t="s">
        <v>2799</v>
      </c>
      <c r="J5051" t="s">
        <v>17</v>
      </c>
      <c r="K5051" t="str">
        <f>"1F7"</f>
        <v>1F7</v>
      </c>
      <c r="L5051" t="s">
        <v>15</v>
      </c>
    </row>
    <row r="5052" spans="1:12" x14ac:dyDescent="0.25">
      <c r="A5052" t="str">
        <f>"500602106"</f>
        <v>500602106</v>
      </c>
      <c r="B5052" t="str">
        <f t="shared" si="270"/>
        <v>89301000</v>
      </c>
      <c r="C5052" s="1">
        <v>44327</v>
      </c>
      <c r="D5052" s="1">
        <v>44335</v>
      </c>
      <c r="E5052">
        <v>1</v>
      </c>
      <c r="F5052" t="s">
        <v>2350</v>
      </c>
      <c r="G5052" t="str">
        <f>"01-I09-02"</f>
        <v>01-I09-02</v>
      </c>
      <c r="H5052">
        <v>1.8145</v>
      </c>
      <c r="I5052" t="s">
        <v>2216</v>
      </c>
      <c r="J5052" t="s">
        <v>17</v>
      </c>
      <c r="K5052" t="str">
        <f>"5F1"</f>
        <v>5F1</v>
      </c>
      <c r="L5052" t="s">
        <v>15</v>
      </c>
    </row>
    <row r="5053" spans="1:12" x14ac:dyDescent="0.25">
      <c r="A5053" t="str">
        <f>"500605232"</f>
        <v>500605232</v>
      </c>
      <c r="B5053" t="str">
        <f t="shared" si="270"/>
        <v>89301000</v>
      </c>
      <c r="C5053" s="1">
        <v>44284</v>
      </c>
      <c r="D5053" s="1">
        <v>44292</v>
      </c>
      <c r="E5053">
        <v>1</v>
      </c>
      <c r="F5053" t="s">
        <v>217</v>
      </c>
      <c r="G5053" t="str">
        <f>"04-K02-04"</f>
        <v>04-K02-04</v>
      </c>
      <c r="H5053">
        <v>0.82469999999999999</v>
      </c>
      <c r="I5053" t="s">
        <v>3724</v>
      </c>
      <c r="J5053" t="s">
        <v>14</v>
      </c>
      <c r="K5053" t="str">
        <f>"2F5"</f>
        <v>2F5</v>
      </c>
      <c r="L5053" t="s">
        <v>15</v>
      </c>
    </row>
    <row r="5054" spans="1:12" x14ac:dyDescent="0.25">
      <c r="A5054" t="str">
        <f>"500605232"</f>
        <v>500605232</v>
      </c>
      <c r="B5054" t="str">
        <f t="shared" si="270"/>
        <v>89301000</v>
      </c>
      <c r="C5054" s="1">
        <v>44476</v>
      </c>
      <c r="D5054" s="1">
        <v>44480</v>
      </c>
      <c r="E5054">
        <v>1</v>
      </c>
      <c r="F5054" t="s">
        <v>3575</v>
      </c>
      <c r="G5054" t="str">
        <f>"04-K06-03"</f>
        <v>04-K06-03</v>
      </c>
      <c r="H5054">
        <v>0.66259999999999997</v>
      </c>
      <c r="I5054" t="s">
        <v>3725</v>
      </c>
      <c r="J5054" t="s">
        <v>14</v>
      </c>
      <c r="K5054" t="str">
        <f>"2F5"</f>
        <v>2F5</v>
      </c>
      <c r="L5054" t="s">
        <v>15</v>
      </c>
    </row>
    <row r="5055" spans="1:12" x14ac:dyDescent="0.25">
      <c r="A5055" t="str">
        <f>"500612094"</f>
        <v>500612094</v>
      </c>
      <c r="B5055" t="str">
        <f t="shared" si="270"/>
        <v>89301000</v>
      </c>
      <c r="C5055" s="1">
        <v>44219</v>
      </c>
      <c r="D5055" s="1">
        <v>44220</v>
      </c>
      <c r="E5055">
        <v>6</v>
      </c>
      <c r="F5055" t="s">
        <v>316</v>
      </c>
      <c r="G5055" t="str">
        <f>"25-K01-02"</f>
        <v>25-K01-02</v>
      </c>
      <c r="H5055">
        <v>1.7969999999999999</v>
      </c>
      <c r="I5055" t="s">
        <v>3726</v>
      </c>
      <c r="J5055" t="s">
        <v>17</v>
      </c>
      <c r="K5055" t="str">
        <f>"5T6"</f>
        <v>5T6</v>
      </c>
      <c r="L5055" t="s">
        <v>15</v>
      </c>
    </row>
    <row r="5056" spans="1:12" x14ac:dyDescent="0.25">
      <c r="A5056" t="str">
        <f>"500614279"</f>
        <v>500614279</v>
      </c>
      <c r="B5056" t="str">
        <f t="shared" si="270"/>
        <v>89301000</v>
      </c>
      <c r="C5056" s="1">
        <v>44337</v>
      </c>
      <c r="D5056" s="1">
        <v>44344</v>
      </c>
      <c r="E5056">
        <v>1</v>
      </c>
      <c r="F5056" t="s">
        <v>1621</v>
      </c>
      <c r="G5056" t="str">
        <f>"07-K06-02"</f>
        <v>07-K06-02</v>
      </c>
      <c r="H5056">
        <v>0.45710000000000001</v>
      </c>
      <c r="I5056" t="s">
        <v>3727</v>
      </c>
      <c r="J5056" t="s">
        <v>14</v>
      </c>
      <c r="K5056" t="str">
        <f>"1F5"</f>
        <v>1F5</v>
      </c>
      <c r="L5056" t="s">
        <v>15</v>
      </c>
    </row>
    <row r="5057" spans="1:12" x14ac:dyDescent="0.25">
      <c r="A5057" t="str">
        <f>"500614279"</f>
        <v>500614279</v>
      </c>
      <c r="B5057" t="str">
        <f t="shared" si="270"/>
        <v>89301000</v>
      </c>
      <c r="C5057" s="1">
        <v>44358</v>
      </c>
      <c r="D5057" s="1">
        <v>44359</v>
      </c>
      <c r="E5057">
        <v>1</v>
      </c>
      <c r="F5057" t="s">
        <v>2055</v>
      </c>
      <c r="G5057" t="str">
        <f>"07-K08-02"</f>
        <v>07-K08-02</v>
      </c>
      <c r="H5057">
        <v>0.37209999999999999</v>
      </c>
      <c r="I5057" t="s">
        <v>3728</v>
      </c>
      <c r="J5057" t="s">
        <v>14</v>
      </c>
      <c r="K5057" t="str">
        <f>"1F5"</f>
        <v>1F5</v>
      </c>
      <c r="L5057" t="s">
        <v>15</v>
      </c>
    </row>
    <row r="5058" spans="1:12" x14ac:dyDescent="0.25">
      <c r="A5058" t="str">
        <f>"500614279"</f>
        <v>500614279</v>
      </c>
      <c r="B5058" t="str">
        <f t="shared" si="270"/>
        <v>89301000</v>
      </c>
      <c r="C5058" s="1">
        <v>44251</v>
      </c>
      <c r="D5058" s="1">
        <v>44256</v>
      </c>
      <c r="E5058">
        <v>4</v>
      </c>
      <c r="F5058" t="s">
        <v>217</v>
      </c>
      <c r="G5058" t="str">
        <f>"04-K02-03"</f>
        <v>04-K02-03</v>
      </c>
      <c r="H5058">
        <v>1.2859</v>
      </c>
      <c r="I5058" t="s">
        <v>3729</v>
      </c>
      <c r="J5058" t="s">
        <v>14</v>
      </c>
      <c r="K5058" t="str">
        <f>"1F6"</f>
        <v>1F6</v>
      </c>
      <c r="L5058" t="s">
        <v>15</v>
      </c>
    </row>
    <row r="5059" spans="1:12" x14ac:dyDescent="0.25">
      <c r="A5059" t="str">
        <f>"500627123"</f>
        <v>500627123</v>
      </c>
      <c r="B5059" t="str">
        <f t="shared" si="270"/>
        <v>89301000</v>
      </c>
      <c r="C5059" s="1">
        <v>44498</v>
      </c>
      <c r="D5059" s="1">
        <v>44499</v>
      </c>
      <c r="E5059">
        <v>1</v>
      </c>
      <c r="F5059" t="s">
        <v>1557</v>
      </c>
      <c r="G5059" t="str">
        <f>"05-D01-08"</f>
        <v>05-D01-08</v>
      </c>
      <c r="H5059">
        <v>0.4093</v>
      </c>
      <c r="I5059" t="s">
        <v>1959</v>
      </c>
      <c r="J5059" t="s">
        <v>14</v>
      </c>
      <c r="K5059" t="str">
        <f>"1F1"</f>
        <v>1F1</v>
      </c>
      <c r="L5059" t="s">
        <v>15</v>
      </c>
    </row>
    <row r="5060" spans="1:12" x14ac:dyDescent="0.25">
      <c r="A5060" t="str">
        <f>"500627123"</f>
        <v>500627123</v>
      </c>
      <c r="B5060" t="str">
        <f t="shared" si="270"/>
        <v>89301000</v>
      </c>
      <c r="C5060" s="1">
        <v>44431</v>
      </c>
      <c r="D5060" s="1">
        <v>44432</v>
      </c>
      <c r="E5060">
        <v>1</v>
      </c>
      <c r="F5060" t="s">
        <v>1557</v>
      </c>
      <c r="G5060" t="str">
        <f>"05-M06-04"</f>
        <v>05-M06-04</v>
      </c>
      <c r="H5060">
        <v>2.1958000000000002</v>
      </c>
      <c r="I5060" t="s">
        <v>1684</v>
      </c>
      <c r="J5060" t="s">
        <v>17</v>
      </c>
      <c r="K5060" t="str">
        <f>"1F7"</f>
        <v>1F7</v>
      </c>
      <c r="L5060" t="s">
        <v>15</v>
      </c>
    </row>
    <row r="5061" spans="1:12" x14ac:dyDescent="0.25">
      <c r="A5061" t="str">
        <f>"500702094"</f>
        <v>500702094</v>
      </c>
      <c r="B5061" t="str">
        <f t="shared" si="270"/>
        <v>89301000</v>
      </c>
      <c r="C5061" s="1">
        <v>44416</v>
      </c>
      <c r="D5061" s="1">
        <v>44419</v>
      </c>
      <c r="E5061">
        <v>1</v>
      </c>
      <c r="F5061" t="s">
        <v>1927</v>
      </c>
      <c r="G5061" t="str">
        <f>"05-I29-03"</f>
        <v>05-I29-03</v>
      </c>
      <c r="H5061">
        <v>0.94369999999999998</v>
      </c>
      <c r="I5061" t="s">
        <v>2966</v>
      </c>
      <c r="J5061" t="s">
        <v>14</v>
      </c>
      <c r="K5061" t="str">
        <f>"5F1"</f>
        <v>5F1</v>
      </c>
      <c r="L5061" t="s">
        <v>15</v>
      </c>
    </row>
    <row r="5062" spans="1:12" x14ac:dyDescent="0.25">
      <c r="A5062" t="str">
        <f>"500702094"</f>
        <v>500702094</v>
      </c>
      <c r="B5062" t="str">
        <f t="shared" si="270"/>
        <v>89301000</v>
      </c>
      <c r="C5062" s="1">
        <v>44341</v>
      </c>
      <c r="D5062" s="1">
        <v>44344</v>
      </c>
      <c r="E5062">
        <v>1</v>
      </c>
      <c r="F5062" t="s">
        <v>1096</v>
      </c>
      <c r="G5062" t="str">
        <f>"04-K02-03"</f>
        <v>04-K02-03</v>
      </c>
      <c r="H5062">
        <v>1.2859</v>
      </c>
      <c r="I5062" t="s">
        <v>3730</v>
      </c>
      <c r="J5062" t="s">
        <v>14</v>
      </c>
      <c r="K5062" t="str">
        <f>"1F1"</f>
        <v>1F1</v>
      </c>
      <c r="L5062" t="s">
        <v>15</v>
      </c>
    </row>
    <row r="5063" spans="1:12" x14ac:dyDescent="0.25">
      <c r="A5063" t="str">
        <f>"500714061"</f>
        <v>500714061</v>
      </c>
      <c r="B5063" t="str">
        <f t="shared" si="270"/>
        <v>89301000</v>
      </c>
      <c r="C5063" s="1">
        <v>44285</v>
      </c>
      <c r="D5063" s="1">
        <v>44287</v>
      </c>
      <c r="E5063">
        <v>1</v>
      </c>
      <c r="F5063" t="s">
        <v>1604</v>
      </c>
      <c r="G5063" t="str">
        <f>"05-I25-03"</f>
        <v>05-I25-03</v>
      </c>
      <c r="H5063">
        <v>1.5508</v>
      </c>
      <c r="I5063" t="s">
        <v>2283</v>
      </c>
      <c r="J5063" t="s">
        <v>17</v>
      </c>
      <c r="K5063" t="str">
        <f>"1F1"</f>
        <v>1F1</v>
      </c>
      <c r="L5063" t="s">
        <v>15</v>
      </c>
    </row>
    <row r="5064" spans="1:12" x14ac:dyDescent="0.25">
      <c r="A5064" t="str">
        <f>"500720218"</f>
        <v>500720218</v>
      </c>
      <c r="B5064" t="str">
        <f t="shared" si="270"/>
        <v>89301000</v>
      </c>
      <c r="C5064" s="1">
        <v>44453</v>
      </c>
      <c r="D5064" s="1">
        <v>44460</v>
      </c>
      <c r="E5064">
        <v>3</v>
      </c>
      <c r="F5064" t="s">
        <v>1968</v>
      </c>
      <c r="G5064" t="str">
        <f>"08-I05-04"</f>
        <v>08-I05-04</v>
      </c>
      <c r="H5064">
        <v>2.4581</v>
      </c>
      <c r="J5064" t="s">
        <v>17</v>
      </c>
      <c r="K5064" t="str">
        <f>"6F6"</f>
        <v>6F6</v>
      </c>
      <c r="L5064" t="s">
        <v>15</v>
      </c>
    </row>
    <row r="5065" spans="1:12" x14ac:dyDescent="0.25">
      <c r="A5065" t="str">
        <f>"500720218"</f>
        <v>500720218</v>
      </c>
      <c r="B5065" t="str">
        <f t="shared" si="270"/>
        <v>89301000</v>
      </c>
      <c r="C5065" s="1">
        <v>44460</v>
      </c>
      <c r="D5065" s="1">
        <v>44475</v>
      </c>
      <c r="E5065">
        <v>4</v>
      </c>
      <c r="F5065" t="s">
        <v>109</v>
      </c>
      <c r="G5065" t="str">
        <f>"24-M07-02"</f>
        <v>24-M07-02</v>
      </c>
      <c r="H5065">
        <v>1.5094000000000001</v>
      </c>
      <c r="I5065" t="s">
        <v>2833</v>
      </c>
      <c r="J5065" t="s">
        <v>14</v>
      </c>
      <c r="K5065" t="str">
        <f>"2F1"</f>
        <v>2F1</v>
      </c>
      <c r="L5065" t="s">
        <v>15</v>
      </c>
    </row>
    <row r="5066" spans="1:12" x14ac:dyDescent="0.25">
      <c r="A5066" t="str">
        <f>"500721135"</f>
        <v>500721135</v>
      </c>
      <c r="B5066" t="str">
        <f t="shared" si="270"/>
        <v>89301000</v>
      </c>
      <c r="C5066" s="1">
        <v>44200</v>
      </c>
      <c r="D5066" s="1">
        <v>44217</v>
      </c>
      <c r="E5066">
        <v>1</v>
      </c>
      <c r="F5066" t="s">
        <v>109</v>
      </c>
      <c r="G5066" t="str">
        <f>"24-M07-02"</f>
        <v>24-M07-02</v>
      </c>
      <c r="H5066">
        <v>1.5094000000000001</v>
      </c>
      <c r="I5066" t="s">
        <v>3731</v>
      </c>
      <c r="J5066" t="s">
        <v>14</v>
      </c>
      <c r="K5066" t="str">
        <f>"2F1"</f>
        <v>2F1</v>
      </c>
      <c r="L5066" t="s">
        <v>15</v>
      </c>
    </row>
    <row r="5067" spans="1:12" x14ac:dyDescent="0.25">
      <c r="A5067" t="str">
        <f>"500721135"</f>
        <v>500721135</v>
      </c>
      <c r="B5067" t="str">
        <f t="shared" si="270"/>
        <v>89301000</v>
      </c>
      <c r="C5067" s="1">
        <v>44414</v>
      </c>
      <c r="D5067" s="1">
        <v>44419</v>
      </c>
      <c r="E5067">
        <v>1</v>
      </c>
      <c r="F5067" t="s">
        <v>1699</v>
      </c>
      <c r="G5067" t="str">
        <f>"01-K10-03"</f>
        <v>01-K10-03</v>
      </c>
      <c r="H5067">
        <v>1.0016</v>
      </c>
      <c r="I5067" t="s">
        <v>221</v>
      </c>
      <c r="J5067" t="s">
        <v>14</v>
      </c>
      <c r="K5067" t="str">
        <f>"2F9"</f>
        <v>2F9</v>
      </c>
      <c r="L5067" t="s">
        <v>15</v>
      </c>
    </row>
    <row r="5068" spans="1:12" x14ac:dyDescent="0.25">
      <c r="A5068" t="str">
        <f>"500722033"</f>
        <v>500722033</v>
      </c>
      <c r="B5068" t="str">
        <f t="shared" ref="B5068:B5130" si="271">"89301000"</f>
        <v>89301000</v>
      </c>
      <c r="C5068" s="1">
        <v>44432</v>
      </c>
      <c r="D5068" s="1">
        <v>44447</v>
      </c>
      <c r="E5068">
        <v>1</v>
      </c>
      <c r="F5068" t="s">
        <v>3732</v>
      </c>
      <c r="G5068" t="str">
        <f>"06-I07-06"</f>
        <v>06-I07-06</v>
      </c>
      <c r="H5068">
        <v>2.3988</v>
      </c>
      <c r="I5068" t="s">
        <v>3733</v>
      </c>
      <c r="J5068" t="s">
        <v>17</v>
      </c>
      <c r="K5068" t="str">
        <f>"5F1"</f>
        <v>5F1</v>
      </c>
      <c r="L5068" t="s">
        <v>15</v>
      </c>
    </row>
    <row r="5069" spans="1:12" x14ac:dyDescent="0.25">
      <c r="A5069" t="str">
        <f>"500722216"</f>
        <v>500722216</v>
      </c>
      <c r="B5069" t="str">
        <f t="shared" si="271"/>
        <v>89301000</v>
      </c>
      <c r="C5069" s="1">
        <v>44325</v>
      </c>
      <c r="D5069" s="1">
        <v>44331</v>
      </c>
      <c r="E5069">
        <v>1</v>
      </c>
      <c r="F5069" t="s">
        <v>2585</v>
      </c>
      <c r="G5069" t="str">
        <f>"12-I03-01"</f>
        <v>12-I03-01</v>
      </c>
      <c r="H5069">
        <v>2.6785999999999999</v>
      </c>
      <c r="I5069" t="s">
        <v>3734</v>
      </c>
      <c r="J5069" t="s">
        <v>14</v>
      </c>
      <c r="K5069" t="str">
        <f>"7F6"</f>
        <v>7F6</v>
      </c>
      <c r="L5069" t="s">
        <v>15</v>
      </c>
    </row>
    <row r="5070" spans="1:12" x14ac:dyDescent="0.25">
      <c r="A5070" t="str">
        <f>"500723276"</f>
        <v>500723276</v>
      </c>
      <c r="B5070" t="str">
        <f t="shared" si="271"/>
        <v>89301000</v>
      </c>
      <c r="C5070" s="1">
        <v>44405</v>
      </c>
      <c r="D5070" s="1">
        <v>44410</v>
      </c>
      <c r="E5070">
        <v>1</v>
      </c>
      <c r="F5070" t="s">
        <v>1558</v>
      </c>
      <c r="G5070" t="str">
        <f>"05-M01-03"</f>
        <v>05-M01-03</v>
      </c>
      <c r="H5070">
        <v>12.3805</v>
      </c>
      <c r="J5070" t="s">
        <v>17</v>
      </c>
      <c r="K5070" t="str">
        <f>"1F7"</f>
        <v>1F7</v>
      </c>
      <c r="L5070" t="s">
        <v>15</v>
      </c>
    </row>
    <row r="5071" spans="1:12" x14ac:dyDescent="0.25">
      <c r="A5071" t="str">
        <f>"500723276"</f>
        <v>500723276</v>
      </c>
      <c r="B5071" t="str">
        <f t="shared" si="271"/>
        <v>89301000</v>
      </c>
      <c r="C5071" s="1">
        <v>44390</v>
      </c>
      <c r="D5071" s="1">
        <v>44393</v>
      </c>
      <c r="E5071">
        <v>1</v>
      </c>
      <c r="F5071" t="s">
        <v>1558</v>
      </c>
      <c r="G5071" t="str">
        <f>"05-D01-06"</f>
        <v>05-D01-06</v>
      </c>
      <c r="H5071">
        <v>0.7611</v>
      </c>
      <c r="I5071" t="s">
        <v>3735</v>
      </c>
      <c r="J5071" t="s">
        <v>14</v>
      </c>
      <c r="K5071" t="str">
        <f>"1F1"</f>
        <v>1F1</v>
      </c>
      <c r="L5071" t="s">
        <v>15</v>
      </c>
    </row>
    <row r="5072" spans="1:12" x14ac:dyDescent="0.25">
      <c r="A5072" t="str">
        <f>"500726085"</f>
        <v>500726085</v>
      </c>
      <c r="B5072" t="str">
        <f t="shared" si="271"/>
        <v>89301000</v>
      </c>
      <c r="C5072" s="1">
        <v>44498</v>
      </c>
      <c r="D5072" s="1">
        <v>44499</v>
      </c>
      <c r="E5072">
        <v>1</v>
      </c>
      <c r="F5072" t="s">
        <v>1563</v>
      </c>
      <c r="G5072" t="str">
        <f>"05-M05-02"</f>
        <v>05-M05-02</v>
      </c>
      <c r="H5072">
        <v>3.516</v>
      </c>
      <c r="I5072" t="s">
        <v>3736</v>
      </c>
      <c r="J5072" t="s">
        <v>24</v>
      </c>
      <c r="K5072" t="str">
        <f>"1F1"</f>
        <v>1F1</v>
      </c>
      <c r="L5072" t="s">
        <v>15</v>
      </c>
    </row>
    <row r="5073" spans="1:12" x14ac:dyDescent="0.25">
      <c r="A5073" t="str">
        <f>"500726085"</f>
        <v>500726085</v>
      </c>
      <c r="B5073" t="str">
        <f t="shared" si="271"/>
        <v>89301000</v>
      </c>
      <c r="C5073" s="1">
        <v>44392</v>
      </c>
      <c r="D5073" s="1">
        <v>44393</v>
      </c>
      <c r="E5073">
        <v>1</v>
      </c>
      <c r="F5073" t="s">
        <v>1557</v>
      </c>
      <c r="G5073" t="str">
        <f>"05-D01-08"</f>
        <v>05-D01-08</v>
      </c>
      <c r="H5073">
        <v>0.70630000000000004</v>
      </c>
      <c r="I5073" t="s">
        <v>2428</v>
      </c>
      <c r="J5073" t="s">
        <v>14</v>
      </c>
      <c r="K5073" t="str">
        <f>"1F1"</f>
        <v>1F1</v>
      </c>
      <c r="L5073" t="s">
        <v>15</v>
      </c>
    </row>
    <row r="5074" spans="1:12" x14ac:dyDescent="0.25">
      <c r="A5074" t="str">
        <f>"500729086"</f>
        <v>500729086</v>
      </c>
      <c r="B5074" t="str">
        <f t="shared" si="271"/>
        <v>89301000</v>
      </c>
      <c r="C5074" s="1">
        <v>44275</v>
      </c>
      <c r="D5074" s="1">
        <v>44289</v>
      </c>
      <c r="E5074">
        <v>8</v>
      </c>
      <c r="F5074" t="s">
        <v>962</v>
      </c>
      <c r="G5074" t="str">
        <f>"04-M01-05"</f>
        <v>04-M01-05</v>
      </c>
      <c r="H5074">
        <v>6.2100999999999997</v>
      </c>
      <c r="I5074" t="s">
        <v>3737</v>
      </c>
      <c r="J5074" t="s">
        <v>14</v>
      </c>
      <c r="K5074" t="str">
        <f>"5T1"</f>
        <v>5T1</v>
      </c>
      <c r="L5074" t="s">
        <v>15</v>
      </c>
    </row>
    <row r="5075" spans="1:12" x14ac:dyDescent="0.25">
      <c r="A5075" t="str">
        <f>"500802085"</f>
        <v>500802085</v>
      </c>
      <c r="B5075" t="str">
        <f t="shared" si="271"/>
        <v>89301000</v>
      </c>
      <c r="C5075" s="1">
        <v>44474</v>
      </c>
      <c r="D5075" s="1">
        <v>44480</v>
      </c>
      <c r="E5075">
        <v>1</v>
      </c>
      <c r="F5075" t="s">
        <v>1565</v>
      </c>
      <c r="G5075" t="str">
        <f>"01-I06-04"</f>
        <v>01-I06-04</v>
      </c>
      <c r="H5075">
        <v>3.6231</v>
      </c>
      <c r="I5075" t="s">
        <v>489</v>
      </c>
      <c r="J5075" t="s">
        <v>17</v>
      </c>
      <c r="K5075" t="str">
        <f>"5F6"</f>
        <v>5F6</v>
      </c>
      <c r="L5075" t="s">
        <v>15</v>
      </c>
    </row>
    <row r="5076" spans="1:12" x14ac:dyDescent="0.25">
      <c r="A5076" t="str">
        <f>"500803033"</f>
        <v>500803033</v>
      </c>
      <c r="B5076" t="str">
        <f t="shared" si="271"/>
        <v>89301000</v>
      </c>
      <c r="C5076" s="1">
        <v>44504</v>
      </c>
      <c r="D5076" s="1">
        <v>44506</v>
      </c>
      <c r="E5076">
        <v>1</v>
      </c>
      <c r="F5076" t="s">
        <v>1842</v>
      </c>
      <c r="G5076" t="str">
        <f>"05-I14-04"</f>
        <v>05-I14-04</v>
      </c>
      <c r="H5076">
        <v>5.4002999999999997</v>
      </c>
      <c r="I5076" t="s">
        <v>3738</v>
      </c>
      <c r="J5076" t="s">
        <v>14</v>
      </c>
      <c r="K5076" t="str">
        <f>"1F7"</f>
        <v>1F7</v>
      </c>
      <c r="L5076" t="s">
        <v>15</v>
      </c>
    </row>
    <row r="5077" spans="1:12" x14ac:dyDescent="0.25">
      <c r="A5077" t="str">
        <f>"500803033"</f>
        <v>500803033</v>
      </c>
      <c r="B5077" t="str">
        <f t="shared" si="271"/>
        <v>89301000</v>
      </c>
      <c r="C5077" s="1">
        <v>44473</v>
      </c>
      <c r="D5077" s="1">
        <v>44475</v>
      </c>
      <c r="E5077">
        <v>1</v>
      </c>
      <c r="F5077" t="s">
        <v>1619</v>
      </c>
      <c r="G5077" t="str">
        <f>"05-M06-06"</f>
        <v>05-M06-06</v>
      </c>
      <c r="H5077">
        <v>1.7652000000000001</v>
      </c>
      <c r="J5077" t="s">
        <v>17</v>
      </c>
      <c r="K5077" t="str">
        <f>"1F1"</f>
        <v>1F1</v>
      </c>
      <c r="L5077" t="s">
        <v>15</v>
      </c>
    </row>
    <row r="5078" spans="1:12" x14ac:dyDescent="0.25">
      <c r="A5078" t="str">
        <f>"500803235"</f>
        <v>500803235</v>
      </c>
      <c r="B5078" t="str">
        <f t="shared" si="271"/>
        <v>89301000</v>
      </c>
      <c r="C5078" s="1">
        <v>44371</v>
      </c>
      <c r="D5078" s="1">
        <v>44391</v>
      </c>
      <c r="E5078">
        <v>1</v>
      </c>
      <c r="F5078" t="s">
        <v>2355</v>
      </c>
      <c r="G5078" t="str">
        <f>"04-I03-04"</f>
        <v>04-I03-04</v>
      </c>
      <c r="H5078">
        <v>3.4401000000000002</v>
      </c>
      <c r="I5078" t="s">
        <v>3739</v>
      </c>
      <c r="J5078" t="s">
        <v>106</v>
      </c>
      <c r="K5078" t="str">
        <f>"2F5"</f>
        <v>2F5</v>
      </c>
      <c r="L5078" t="s">
        <v>15</v>
      </c>
    </row>
    <row r="5079" spans="1:12" x14ac:dyDescent="0.25">
      <c r="A5079" t="str">
        <f>"500803235"</f>
        <v>500803235</v>
      </c>
      <c r="B5079" t="str">
        <f t="shared" si="271"/>
        <v>89301000</v>
      </c>
      <c r="C5079" s="1">
        <v>44326</v>
      </c>
      <c r="D5079" s="1">
        <v>44329</v>
      </c>
      <c r="E5079">
        <v>1</v>
      </c>
      <c r="F5079" t="s">
        <v>144</v>
      </c>
      <c r="G5079" t="str">
        <f>"04-K10-02"</f>
        <v>04-K10-02</v>
      </c>
      <c r="H5079">
        <v>0.38879999999999998</v>
      </c>
      <c r="I5079" t="s">
        <v>3740</v>
      </c>
      <c r="J5079" t="s">
        <v>14</v>
      </c>
      <c r="K5079" t="str">
        <f>"2F5"</f>
        <v>2F5</v>
      </c>
      <c r="L5079" t="s">
        <v>15</v>
      </c>
    </row>
    <row r="5080" spans="1:12" x14ac:dyDescent="0.25">
      <c r="A5080" t="str">
        <f>"500803235"</f>
        <v>500803235</v>
      </c>
      <c r="B5080" t="str">
        <f t="shared" si="271"/>
        <v>89301000</v>
      </c>
      <c r="C5080" s="1">
        <v>44341</v>
      </c>
      <c r="D5080" s="1">
        <v>44354</v>
      </c>
      <c r="E5080">
        <v>1</v>
      </c>
      <c r="F5080" t="s">
        <v>144</v>
      </c>
      <c r="G5080" t="str">
        <f>"04-I09-01"</f>
        <v>04-I09-01</v>
      </c>
      <c r="H5080">
        <v>2.8443000000000001</v>
      </c>
      <c r="I5080" t="s">
        <v>3741</v>
      </c>
      <c r="J5080" t="s">
        <v>14</v>
      </c>
      <c r="K5080" t="str">
        <f>"5F1"</f>
        <v>5F1</v>
      </c>
      <c r="L5080" t="s">
        <v>15</v>
      </c>
    </row>
    <row r="5081" spans="1:12" x14ac:dyDescent="0.25">
      <c r="A5081" t="str">
        <f>"500807278"</f>
        <v>500807278</v>
      </c>
      <c r="B5081" t="str">
        <f t="shared" si="271"/>
        <v>89301000</v>
      </c>
      <c r="C5081" s="1">
        <v>44543</v>
      </c>
      <c r="D5081" s="1">
        <v>44560</v>
      </c>
      <c r="E5081">
        <v>1</v>
      </c>
      <c r="F5081" t="s">
        <v>217</v>
      </c>
      <c r="G5081" t="str">
        <f>"00-M01-04"</f>
        <v>00-M01-04</v>
      </c>
      <c r="H5081">
        <v>6.85</v>
      </c>
      <c r="I5081" t="s">
        <v>3742</v>
      </c>
      <c r="J5081" t="s">
        <v>14</v>
      </c>
      <c r="K5081" t="str">
        <f>"2F5"</f>
        <v>2F5</v>
      </c>
      <c r="L5081" t="s">
        <v>15</v>
      </c>
    </row>
    <row r="5082" spans="1:12" x14ac:dyDescent="0.25">
      <c r="A5082" t="str">
        <f>"500808183"</f>
        <v>500808183</v>
      </c>
      <c r="B5082" t="str">
        <f t="shared" si="271"/>
        <v>89301000</v>
      </c>
      <c r="C5082" s="1">
        <v>44499</v>
      </c>
      <c r="D5082" s="1">
        <v>44505</v>
      </c>
      <c r="E5082">
        <v>1</v>
      </c>
      <c r="F5082" t="s">
        <v>217</v>
      </c>
      <c r="G5082" t="str">
        <f>"04-K02-04"</f>
        <v>04-K02-04</v>
      </c>
      <c r="H5082">
        <v>0.82469999999999999</v>
      </c>
      <c r="I5082" t="s">
        <v>274</v>
      </c>
      <c r="J5082" t="s">
        <v>14</v>
      </c>
      <c r="K5082" t="str">
        <f>"1F1"</f>
        <v>1F1</v>
      </c>
      <c r="L5082" t="s">
        <v>15</v>
      </c>
    </row>
    <row r="5083" spans="1:12" x14ac:dyDescent="0.25">
      <c r="A5083" t="str">
        <f>"500814142"</f>
        <v>500814142</v>
      </c>
      <c r="B5083" t="str">
        <f t="shared" si="271"/>
        <v>89301000</v>
      </c>
      <c r="C5083" s="1">
        <v>44488</v>
      </c>
      <c r="D5083" s="1">
        <v>44501</v>
      </c>
      <c r="E5083">
        <v>1</v>
      </c>
      <c r="F5083" t="s">
        <v>2623</v>
      </c>
      <c r="G5083" t="str">
        <f>"17-M01-00"</f>
        <v>17-M01-00</v>
      </c>
      <c r="H5083">
        <v>11.939</v>
      </c>
      <c r="I5083" t="s">
        <v>3743</v>
      </c>
      <c r="J5083" t="s">
        <v>14</v>
      </c>
      <c r="K5083" t="str">
        <f>"2F2"</f>
        <v>2F2</v>
      </c>
      <c r="L5083" t="s">
        <v>15</v>
      </c>
    </row>
    <row r="5084" spans="1:12" x14ac:dyDescent="0.25">
      <c r="A5084" t="str">
        <f>"500814408"</f>
        <v>500814408</v>
      </c>
      <c r="B5084" t="str">
        <f t="shared" si="271"/>
        <v>89301000</v>
      </c>
      <c r="C5084" s="1">
        <v>44535</v>
      </c>
      <c r="D5084" s="1">
        <v>44544</v>
      </c>
      <c r="E5084">
        <v>1</v>
      </c>
      <c r="F5084" t="s">
        <v>217</v>
      </c>
      <c r="G5084" t="str">
        <f>"04-K02-04"</f>
        <v>04-K02-04</v>
      </c>
      <c r="H5084">
        <v>0.82469999999999999</v>
      </c>
      <c r="I5084" t="s">
        <v>274</v>
      </c>
      <c r="J5084" t="s">
        <v>14</v>
      </c>
      <c r="K5084" t="str">
        <f>"1F1"</f>
        <v>1F1</v>
      </c>
      <c r="L5084" t="s">
        <v>15</v>
      </c>
    </row>
    <row r="5085" spans="1:12" x14ac:dyDescent="0.25">
      <c r="A5085" t="str">
        <f>"500819033"</f>
        <v>500819033</v>
      </c>
      <c r="B5085" t="str">
        <f t="shared" si="271"/>
        <v>89301000</v>
      </c>
      <c r="C5085" s="1">
        <v>44467</v>
      </c>
      <c r="D5085" s="1">
        <v>44470</v>
      </c>
      <c r="E5085">
        <v>1</v>
      </c>
      <c r="F5085" t="s">
        <v>3744</v>
      </c>
      <c r="G5085" t="str">
        <f>"08-I25-02"</f>
        <v>08-I25-02</v>
      </c>
      <c r="H5085">
        <v>0.5746</v>
      </c>
      <c r="J5085" t="s">
        <v>14</v>
      </c>
      <c r="K5085" t="str">
        <f>"6F6"</f>
        <v>6F6</v>
      </c>
      <c r="L5085" t="s">
        <v>15</v>
      </c>
    </row>
    <row r="5086" spans="1:12" x14ac:dyDescent="0.25">
      <c r="A5086" t="str">
        <f>"500819033"</f>
        <v>500819033</v>
      </c>
      <c r="B5086" t="str">
        <f t="shared" si="271"/>
        <v>89301000</v>
      </c>
      <c r="C5086" s="1">
        <v>44264</v>
      </c>
      <c r="D5086" s="1">
        <v>44266</v>
      </c>
      <c r="E5086">
        <v>1</v>
      </c>
      <c r="F5086" t="s">
        <v>3744</v>
      </c>
      <c r="G5086" t="str">
        <f>"08-I25-02"</f>
        <v>08-I25-02</v>
      </c>
      <c r="H5086">
        <v>0.5746</v>
      </c>
      <c r="J5086" t="s">
        <v>14</v>
      </c>
      <c r="K5086" t="str">
        <f>"6F6"</f>
        <v>6F6</v>
      </c>
      <c r="L5086" t="s">
        <v>15</v>
      </c>
    </row>
    <row r="5087" spans="1:12" x14ac:dyDescent="0.25">
      <c r="A5087" t="str">
        <f>"500823263"</f>
        <v>500823263</v>
      </c>
      <c r="B5087" t="str">
        <f t="shared" si="271"/>
        <v>89301000</v>
      </c>
      <c r="C5087" s="1">
        <v>44395</v>
      </c>
      <c r="D5087" s="1">
        <v>44397</v>
      </c>
      <c r="E5087">
        <v>1</v>
      </c>
      <c r="F5087" t="s">
        <v>71</v>
      </c>
      <c r="G5087" t="str">
        <f>"08-M03-05"</f>
        <v>08-M03-05</v>
      </c>
      <c r="H5087">
        <v>0.51759999999999995</v>
      </c>
      <c r="I5087" t="s">
        <v>233</v>
      </c>
      <c r="J5087" t="s">
        <v>14</v>
      </c>
      <c r="K5087" t="str">
        <f>"5F3"</f>
        <v>5F3</v>
      </c>
      <c r="L5087" t="s">
        <v>15</v>
      </c>
    </row>
    <row r="5088" spans="1:12" x14ac:dyDescent="0.25">
      <c r="A5088" t="str">
        <f>"500829021"</f>
        <v>500829021</v>
      </c>
      <c r="B5088" t="str">
        <f t="shared" si="271"/>
        <v>89301000</v>
      </c>
      <c r="C5088" s="1">
        <v>44380</v>
      </c>
      <c r="D5088" s="1">
        <v>44387</v>
      </c>
      <c r="E5088">
        <v>1</v>
      </c>
      <c r="F5088" t="s">
        <v>38</v>
      </c>
      <c r="G5088" t="str">
        <f>"05-I16-04"</f>
        <v>05-I16-04</v>
      </c>
      <c r="H5088">
        <v>6.1497999999999999</v>
      </c>
      <c r="I5088" t="s">
        <v>1606</v>
      </c>
      <c r="J5088" t="s">
        <v>17</v>
      </c>
      <c r="K5088" t="str">
        <f>"5F5"</f>
        <v>5F5</v>
      </c>
      <c r="L5088" t="s">
        <v>15</v>
      </c>
    </row>
    <row r="5089" spans="1:12" x14ac:dyDescent="0.25">
      <c r="A5089" t="str">
        <f>"500902038"</f>
        <v>500902038</v>
      </c>
      <c r="B5089" t="str">
        <f t="shared" si="271"/>
        <v>89301000</v>
      </c>
      <c r="C5089" s="1">
        <v>44221</v>
      </c>
      <c r="D5089" s="1">
        <v>44235</v>
      </c>
      <c r="E5089">
        <v>1</v>
      </c>
      <c r="F5089" t="s">
        <v>2232</v>
      </c>
      <c r="G5089" t="str">
        <f>"11-K07-01"</f>
        <v>11-K07-01</v>
      </c>
      <c r="H5089">
        <v>1.0079</v>
      </c>
      <c r="I5089" t="s">
        <v>3745</v>
      </c>
      <c r="J5089" t="s">
        <v>14</v>
      </c>
      <c r="K5089" t="str">
        <f>"4F2"</f>
        <v>4F2</v>
      </c>
      <c r="L5089" t="s">
        <v>15</v>
      </c>
    </row>
    <row r="5090" spans="1:12" x14ac:dyDescent="0.25">
      <c r="A5090" t="str">
        <f>"500903344"</f>
        <v>500903344</v>
      </c>
      <c r="B5090" t="str">
        <f t="shared" si="271"/>
        <v>89301000</v>
      </c>
      <c r="C5090" s="1">
        <v>44537</v>
      </c>
      <c r="D5090" s="1">
        <v>44538</v>
      </c>
      <c r="E5090">
        <v>1</v>
      </c>
      <c r="F5090" t="s">
        <v>1842</v>
      </c>
      <c r="G5090" t="str">
        <f>"05-I14-03"</f>
        <v>05-I14-03</v>
      </c>
      <c r="H5090">
        <v>6.1292</v>
      </c>
      <c r="I5090" t="s">
        <v>2428</v>
      </c>
      <c r="J5090" t="s">
        <v>14</v>
      </c>
      <c r="K5090" t="str">
        <f>"1F1"</f>
        <v>1F1</v>
      </c>
      <c r="L5090" t="s">
        <v>15</v>
      </c>
    </row>
    <row r="5091" spans="1:12" x14ac:dyDescent="0.25">
      <c r="A5091" t="str">
        <f>"500903344"</f>
        <v>500903344</v>
      </c>
      <c r="B5091" t="str">
        <f t="shared" si="271"/>
        <v>89301000</v>
      </c>
      <c r="C5091" s="1">
        <v>44525</v>
      </c>
      <c r="D5091" s="1">
        <v>44526</v>
      </c>
      <c r="E5091">
        <v>1</v>
      </c>
      <c r="F5091" t="s">
        <v>1557</v>
      </c>
      <c r="G5091" t="str">
        <f>"05-M06-08"</f>
        <v>05-M06-08</v>
      </c>
      <c r="H5091">
        <v>1.4719</v>
      </c>
      <c r="J5091" t="s">
        <v>17</v>
      </c>
      <c r="K5091" t="str">
        <f>"1F7"</f>
        <v>1F7</v>
      </c>
      <c r="L5091" t="s">
        <v>15</v>
      </c>
    </row>
    <row r="5092" spans="1:12" x14ac:dyDescent="0.25">
      <c r="A5092" t="str">
        <f>"500904191"</f>
        <v>500904191</v>
      </c>
      <c r="B5092" t="str">
        <f t="shared" si="271"/>
        <v>89301000</v>
      </c>
      <c r="C5092" s="1">
        <v>44483</v>
      </c>
      <c r="D5092" s="1">
        <v>44492</v>
      </c>
      <c r="E5092">
        <v>1</v>
      </c>
      <c r="F5092" t="s">
        <v>3746</v>
      </c>
      <c r="G5092" t="str">
        <f>"05-I24-04"</f>
        <v>05-I24-04</v>
      </c>
      <c r="H5092">
        <v>3.5655000000000001</v>
      </c>
      <c r="I5092" t="s">
        <v>3747</v>
      </c>
      <c r="J5092" t="s">
        <v>14</v>
      </c>
      <c r="K5092" t="str">
        <f>"5F1"</f>
        <v>5F1</v>
      </c>
      <c r="L5092" t="s">
        <v>15</v>
      </c>
    </row>
    <row r="5093" spans="1:12" x14ac:dyDescent="0.25">
      <c r="A5093" t="str">
        <f>"500910060"</f>
        <v>500910060</v>
      </c>
      <c r="B5093" t="str">
        <f t="shared" si="271"/>
        <v>89301000</v>
      </c>
      <c r="C5093" s="1">
        <v>44301</v>
      </c>
      <c r="D5093" s="1">
        <v>44306</v>
      </c>
      <c r="E5093">
        <v>1</v>
      </c>
      <c r="F5093" t="s">
        <v>334</v>
      </c>
      <c r="G5093" t="str">
        <f>"06-K03-03"</f>
        <v>06-K03-03</v>
      </c>
      <c r="H5093">
        <v>0.55959999999999999</v>
      </c>
      <c r="I5093" t="s">
        <v>3748</v>
      </c>
      <c r="J5093" t="s">
        <v>14</v>
      </c>
      <c r="K5093" t="str">
        <f>"1F1"</f>
        <v>1F1</v>
      </c>
      <c r="L5093" t="s">
        <v>15</v>
      </c>
    </row>
    <row r="5094" spans="1:12" x14ac:dyDescent="0.25">
      <c r="A5094" t="str">
        <f>"500915246"</f>
        <v>500915246</v>
      </c>
      <c r="B5094" t="str">
        <f t="shared" si="271"/>
        <v>89301000</v>
      </c>
      <c r="C5094" s="1">
        <v>44193</v>
      </c>
      <c r="D5094" s="1">
        <v>44253</v>
      </c>
      <c r="E5094">
        <v>7</v>
      </c>
      <c r="F5094" t="s">
        <v>3749</v>
      </c>
      <c r="G5094" t="str">
        <f>"00-M03-03"</f>
        <v>00-M03-03</v>
      </c>
      <c r="H5094">
        <v>31.172000000000001</v>
      </c>
      <c r="I5094" t="s">
        <v>3750</v>
      </c>
      <c r="J5094" t="s">
        <v>14</v>
      </c>
      <c r="K5094" t="str">
        <f>"2T9"</f>
        <v>2T9</v>
      </c>
      <c r="L5094" t="s">
        <v>15</v>
      </c>
    </row>
    <row r="5095" spans="1:12" x14ac:dyDescent="0.25">
      <c r="A5095" t="str">
        <f>"500919053"</f>
        <v>500919053</v>
      </c>
      <c r="B5095" t="str">
        <f t="shared" si="271"/>
        <v>89301000</v>
      </c>
      <c r="C5095" s="1">
        <v>44307</v>
      </c>
      <c r="D5095" s="1">
        <v>44312</v>
      </c>
      <c r="E5095">
        <v>1</v>
      </c>
      <c r="F5095" t="s">
        <v>2434</v>
      </c>
      <c r="G5095" t="str">
        <f>"04-K09-03"</f>
        <v>04-K09-03</v>
      </c>
      <c r="H5095">
        <v>0.62749999999999995</v>
      </c>
      <c r="I5095" t="s">
        <v>3751</v>
      </c>
      <c r="J5095" t="s">
        <v>14</v>
      </c>
      <c r="K5095" t="str">
        <f>"2F5"</f>
        <v>2F5</v>
      </c>
      <c r="L5095" t="s">
        <v>15</v>
      </c>
    </row>
    <row r="5096" spans="1:12" x14ac:dyDescent="0.25">
      <c r="A5096" t="str">
        <f>"500919363"</f>
        <v>500919363</v>
      </c>
      <c r="B5096" t="str">
        <f t="shared" si="271"/>
        <v>89301000</v>
      </c>
      <c r="C5096" s="1">
        <v>44210</v>
      </c>
      <c r="D5096" s="1">
        <v>44214</v>
      </c>
      <c r="E5096">
        <v>1</v>
      </c>
      <c r="F5096" t="s">
        <v>3752</v>
      </c>
      <c r="G5096" t="str">
        <f>"03-I12-02"</f>
        <v>03-I12-02</v>
      </c>
      <c r="H5096">
        <v>1.2911999999999999</v>
      </c>
      <c r="J5096" t="s">
        <v>17</v>
      </c>
      <c r="K5096" t="str">
        <f>"7F1"</f>
        <v>7F1</v>
      </c>
      <c r="L5096" t="s">
        <v>15</v>
      </c>
    </row>
    <row r="5097" spans="1:12" x14ac:dyDescent="0.25">
      <c r="A5097" t="str">
        <f>"500925439"</f>
        <v>500925439</v>
      </c>
      <c r="B5097" t="str">
        <f t="shared" si="271"/>
        <v>89301000</v>
      </c>
      <c r="C5097" s="1">
        <v>44205</v>
      </c>
      <c r="D5097" s="1">
        <v>44235</v>
      </c>
      <c r="E5097">
        <v>5</v>
      </c>
      <c r="F5097" t="s">
        <v>962</v>
      </c>
      <c r="G5097" t="str">
        <f>"04-M01-04"</f>
        <v>04-M01-04</v>
      </c>
      <c r="H5097">
        <v>11.1008</v>
      </c>
      <c r="I5097" t="s">
        <v>3753</v>
      </c>
      <c r="J5097" t="s">
        <v>14</v>
      </c>
      <c r="K5097" t="str">
        <f>"1T1"</f>
        <v>1T1</v>
      </c>
      <c r="L5097" t="s">
        <v>15</v>
      </c>
    </row>
    <row r="5098" spans="1:12" x14ac:dyDescent="0.25">
      <c r="A5098" t="str">
        <f>"500928371"</f>
        <v>500928371</v>
      </c>
      <c r="B5098" t="str">
        <f t="shared" si="271"/>
        <v>89301000</v>
      </c>
      <c r="C5098" s="1">
        <v>44320</v>
      </c>
      <c r="D5098" s="1">
        <v>44329</v>
      </c>
      <c r="E5098">
        <v>1</v>
      </c>
      <c r="F5098" t="s">
        <v>1764</v>
      </c>
      <c r="G5098" t="str">
        <f>"01-K08-02"</f>
        <v>01-K08-02</v>
      </c>
      <c r="H5098">
        <v>0.60519999999999996</v>
      </c>
      <c r="I5098" t="s">
        <v>3754</v>
      </c>
      <c r="J5098" t="s">
        <v>14</v>
      </c>
      <c r="K5098" t="str">
        <f>"2F9"</f>
        <v>2F9</v>
      </c>
      <c r="L5098" t="s">
        <v>15</v>
      </c>
    </row>
    <row r="5099" spans="1:12" x14ac:dyDescent="0.25">
      <c r="A5099" t="str">
        <f>"500928371"</f>
        <v>500928371</v>
      </c>
      <c r="B5099" t="str">
        <f t="shared" si="271"/>
        <v>89301000</v>
      </c>
      <c r="C5099" s="1">
        <v>44361</v>
      </c>
      <c r="D5099" s="1">
        <v>44365</v>
      </c>
      <c r="E5099">
        <v>1</v>
      </c>
      <c r="F5099" t="s">
        <v>3755</v>
      </c>
      <c r="G5099" t="str">
        <f>"23-K04-02"</f>
        <v>23-K04-02</v>
      </c>
      <c r="H5099">
        <v>0.38690000000000002</v>
      </c>
      <c r="I5099" t="s">
        <v>3756</v>
      </c>
      <c r="J5099" t="s">
        <v>14</v>
      </c>
      <c r="K5099" t="str">
        <f>"2F9"</f>
        <v>2F9</v>
      </c>
      <c r="L5099" t="s">
        <v>15</v>
      </c>
    </row>
    <row r="5100" spans="1:12" x14ac:dyDescent="0.25">
      <c r="A5100" t="str">
        <f>"501003208"</f>
        <v>501003208</v>
      </c>
      <c r="B5100" t="str">
        <f t="shared" si="271"/>
        <v>89301000</v>
      </c>
      <c r="C5100" s="1">
        <v>44525</v>
      </c>
      <c r="D5100" s="1">
        <v>44536</v>
      </c>
      <c r="E5100">
        <v>7</v>
      </c>
      <c r="F5100" t="s">
        <v>217</v>
      </c>
      <c r="G5100" t="str">
        <f>"00-M02-04"</f>
        <v>00-M02-04</v>
      </c>
      <c r="H5100">
        <v>12.071199999999999</v>
      </c>
      <c r="I5100" t="s">
        <v>3757</v>
      </c>
      <c r="J5100" t="s">
        <v>14</v>
      </c>
      <c r="K5100" t="str">
        <f>"1T1"</f>
        <v>1T1</v>
      </c>
      <c r="L5100" t="s">
        <v>15</v>
      </c>
    </row>
    <row r="5101" spans="1:12" x14ac:dyDescent="0.25">
      <c r="A5101" t="str">
        <f>"501010223"</f>
        <v>501010223</v>
      </c>
      <c r="B5101" t="str">
        <f t="shared" si="271"/>
        <v>89301000</v>
      </c>
      <c r="C5101" s="1">
        <v>44351</v>
      </c>
      <c r="D5101" s="1">
        <v>44368</v>
      </c>
      <c r="E5101">
        <v>1</v>
      </c>
      <c r="F5101" t="s">
        <v>3758</v>
      </c>
      <c r="G5101" t="str">
        <f>"06-K13-02"</f>
        <v>06-K13-02</v>
      </c>
      <c r="H5101">
        <v>0.89159999999999995</v>
      </c>
      <c r="I5101" t="s">
        <v>3759</v>
      </c>
      <c r="J5101" t="s">
        <v>14</v>
      </c>
      <c r="K5101" t="str">
        <f>"4F2"</f>
        <v>4F2</v>
      </c>
      <c r="L5101" t="s">
        <v>15</v>
      </c>
    </row>
    <row r="5102" spans="1:12" x14ac:dyDescent="0.25">
      <c r="A5102" t="str">
        <f>"501012035"</f>
        <v>501012035</v>
      </c>
      <c r="B5102" t="str">
        <f t="shared" si="271"/>
        <v>89301000</v>
      </c>
      <c r="C5102" s="1">
        <v>44340</v>
      </c>
      <c r="D5102" s="1">
        <v>44343</v>
      </c>
      <c r="E5102">
        <v>1</v>
      </c>
      <c r="F5102" t="s">
        <v>2264</v>
      </c>
      <c r="G5102" t="str">
        <f>"11-I17-03"</f>
        <v>11-I17-03</v>
      </c>
      <c r="H5102">
        <v>0.50609999999999999</v>
      </c>
      <c r="I5102" t="s">
        <v>3760</v>
      </c>
      <c r="J5102" t="s">
        <v>14</v>
      </c>
      <c r="K5102" t="str">
        <f>"7F6"</f>
        <v>7F6</v>
      </c>
      <c r="L5102" t="s">
        <v>15</v>
      </c>
    </row>
    <row r="5103" spans="1:12" x14ac:dyDescent="0.25">
      <c r="A5103" t="str">
        <f>"501012035"</f>
        <v>501012035</v>
      </c>
      <c r="B5103" t="str">
        <f t="shared" si="271"/>
        <v>89301000</v>
      </c>
      <c r="C5103" s="1">
        <v>44293</v>
      </c>
      <c r="D5103" s="1">
        <v>44299</v>
      </c>
      <c r="E5103">
        <v>4</v>
      </c>
      <c r="F5103" t="s">
        <v>1643</v>
      </c>
      <c r="G5103" t="str">
        <f>"08-I05-05"</f>
        <v>08-I05-05</v>
      </c>
      <c r="H5103">
        <v>2.2932000000000001</v>
      </c>
      <c r="I5103" t="s">
        <v>3761</v>
      </c>
      <c r="J5103" t="s">
        <v>17</v>
      </c>
      <c r="K5103" t="str">
        <f>"6F6"</f>
        <v>6F6</v>
      </c>
      <c r="L5103" t="s">
        <v>15</v>
      </c>
    </row>
    <row r="5104" spans="1:12" x14ac:dyDescent="0.25">
      <c r="A5104" t="str">
        <f>"501012035"</f>
        <v>501012035</v>
      </c>
      <c r="B5104" t="str">
        <f t="shared" si="271"/>
        <v>89301000</v>
      </c>
      <c r="C5104" s="1">
        <v>44207</v>
      </c>
      <c r="D5104" s="1">
        <v>44208</v>
      </c>
      <c r="E5104">
        <v>1</v>
      </c>
      <c r="F5104" t="s">
        <v>1679</v>
      </c>
      <c r="G5104" t="str">
        <f>"11-M06-03"</f>
        <v>11-M06-03</v>
      </c>
      <c r="H5104">
        <v>0.61519999999999997</v>
      </c>
      <c r="I5104" t="s">
        <v>168</v>
      </c>
      <c r="J5104" t="s">
        <v>17</v>
      </c>
      <c r="K5104" t="str">
        <f>"7F6"</f>
        <v>7F6</v>
      </c>
      <c r="L5104" t="s">
        <v>15</v>
      </c>
    </row>
    <row r="5105" spans="1:12" x14ac:dyDescent="0.25">
      <c r="A5105" t="str">
        <f>"501012077"</f>
        <v>501012077</v>
      </c>
      <c r="B5105" t="str">
        <f t="shared" si="271"/>
        <v>89301000</v>
      </c>
      <c r="C5105" s="1">
        <v>44369</v>
      </c>
      <c r="D5105" s="1">
        <v>44396</v>
      </c>
      <c r="E5105">
        <v>4</v>
      </c>
      <c r="F5105" t="s">
        <v>2706</v>
      </c>
      <c r="G5105" t="str">
        <f>"09-K01-02"</f>
        <v>09-K01-02</v>
      </c>
      <c r="H5105">
        <v>1.6106</v>
      </c>
      <c r="I5105" t="s">
        <v>3762</v>
      </c>
      <c r="J5105" t="s">
        <v>14</v>
      </c>
      <c r="K5105" t="str">
        <f>"4F4"</f>
        <v>4F4</v>
      </c>
      <c r="L5105" t="s">
        <v>15</v>
      </c>
    </row>
    <row r="5106" spans="1:12" x14ac:dyDescent="0.25">
      <c r="A5106" t="str">
        <f>"501012077"</f>
        <v>501012077</v>
      </c>
      <c r="B5106" t="str">
        <f t="shared" si="271"/>
        <v>89301000</v>
      </c>
      <c r="C5106" s="1">
        <v>44417</v>
      </c>
      <c r="D5106" s="1">
        <v>44420</v>
      </c>
      <c r="E5106">
        <v>1</v>
      </c>
      <c r="F5106" t="s">
        <v>1581</v>
      </c>
      <c r="G5106" t="str">
        <f>"05-M07-06"</f>
        <v>05-M07-06</v>
      </c>
      <c r="H5106">
        <v>1.2513000000000001</v>
      </c>
      <c r="I5106" t="s">
        <v>2321</v>
      </c>
      <c r="J5106" t="s">
        <v>17</v>
      </c>
      <c r="K5106" t="str">
        <f>"5F1"</f>
        <v>5F1</v>
      </c>
      <c r="L5106" t="s">
        <v>15</v>
      </c>
    </row>
    <row r="5107" spans="1:12" x14ac:dyDescent="0.25">
      <c r="A5107" t="str">
        <f>"501012207"</f>
        <v>501012207</v>
      </c>
      <c r="B5107" t="str">
        <f t="shared" si="271"/>
        <v>89301000</v>
      </c>
      <c r="C5107" s="1">
        <v>44510</v>
      </c>
      <c r="D5107" s="1">
        <v>44510</v>
      </c>
      <c r="E5107">
        <v>1</v>
      </c>
      <c r="F5107" t="s">
        <v>1842</v>
      </c>
      <c r="G5107" t="str">
        <f>"05-I14-03"</f>
        <v>05-I14-03</v>
      </c>
      <c r="H5107">
        <v>5.8045</v>
      </c>
      <c r="I5107" t="s">
        <v>1548</v>
      </c>
      <c r="J5107" t="s">
        <v>14</v>
      </c>
      <c r="K5107" t="str">
        <f>"1F1"</f>
        <v>1F1</v>
      </c>
      <c r="L5107" t="s">
        <v>15</v>
      </c>
    </row>
    <row r="5108" spans="1:12" x14ac:dyDescent="0.25">
      <c r="A5108" t="str">
        <f>"501015107"</f>
        <v>501015107</v>
      </c>
      <c r="B5108" t="str">
        <f t="shared" si="271"/>
        <v>89301000</v>
      </c>
      <c r="C5108" s="1">
        <v>44389</v>
      </c>
      <c r="D5108" s="1">
        <v>44395</v>
      </c>
      <c r="E5108">
        <v>1</v>
      </c>
      <c r="F5108" t="s">
        <v>1555</v>
      </c>
      <c r="G5108" t="str">
        <f>"05-K12-02"</f>
        <v>05-K12-02</v>
      </c>
      <c r="H5108">
        <v>0.53600000000000003</v>
      </c>
      <c r="I5108" t="s">
        <v>2452</v>
      </c>
      <c r="J5108" t="s">
        <v>14</v>
      </c>
      <c r="K5108" t="str">
        <f>"5F1"</f>
        <v>5F1</v>
      </c>
      <c r="L5108" t="s">
        <v>15</v>
      </c>
    </row>
    <row r="5109" spans="1:12" x14ac:dyDescent="0.25">
      <c r="A5109" t="str">
        <f>"501028240"</f>
        <v>501028240</v>
      </c>
      <c r="B5109" t="str">
        <f t="shared" si="271"/>
        <v>89301000</v>
      </c>
      <c r="C5109" s="1">
        <v>44466</v>
      </c>
      <c r="D5109" s="1">
        <v>44468</v>
      </c>
      <c r="E5109">
        <v>1</v>
      </c>
      <c r="F5109" t="s">
        <v>287</v>
      </c>
      <c r="G5109" t="str">
        <f>"01-K16-06"</f>
        <v>01-K16-06</v>
      </c>
      <c r="H5109">
        <v>0.26469999999999999</v>
      </c>
      <c r="I5109" t="s">
        <v>3763</v>
      </c>
      <c r="J5109" t="s">
        <v>14</v>
      </c>
      <c r="K5109" t="str">
        <f>"5F3"</f>
        <v>5F3</v>
      </c>
      <c r="L5109" t="s">
        <v>15</v>
      </c>
    </row>
    <row r="5110" spans="1:12" x14ac:dyDescent="0.25">
      <c r="A5110" t="str">
        <f>"501103127"</f>
        <v>501103127</v>
      </c>
      <c r="B5110" t="str">
        <f t="shared" si="271"/>
        <v>89301000</v>
      </c>
      <c r="C5110" s="1">
        <v>44532</v>
      </c>
      <c r="D5110" s="1">
        <v>44543</v>
      </c>
      <c r="E5110">
        <v>1</v>
      </c>
      <c r="F5110" t="s">
        <v>3764</v>
      </c>
      <c r="G5110" t="str">
        <f>"08-C04-02"</f>
        <v>08-C04-02</v>
      </c>
      <c r="H5110">
        <v>0.50280000000000002</v>
      </c>
      <c r="I5110" t="s">
        <v>3765</v>
      </c>
      <c r="J5110" t="s">
        <v>14</v>
      </c>
      <c r="K5110" t="str">
        <f>"1F9"</f>
        <v>1F9</v>
      </c>
      <c r="L5110" t="s">
        <v>15</v>
      </c>
    </row>
    <row r="5111" spans="1:12" x14ac:dyDescent="0.25">
      <c r="A5111" t="str">
        <f>"501107035"</f>
        <v>501107035</v>
      </c>
      <c r="B5111" t="str">
        <f t="shared" si="271"/>
        <v>89301000</v>
      </c>
      <c r="C5111" s="1">
        <v>44317</v>
      </c>
      <c r="D5111" s="1">
        <v>44317</v>
      </c>
      <c r="E5111">
        <v>8</v>
      </c>
      <c r="F5111" t="s">
        <v>3766</v>
      </c>
      <c r="G5111" t="str">
        <f>"17-K05-01"</f>
        <v>17-K05-01</v>
      </c>
      <c r="H5111">
        <v>0.82330000000000003</v>
      </c>
      <c r="I5111" t="s">
        <v>3767</v>
      </c>
      <c r="J5111" t="s">
        <v>14</v>
      </c>
      <c r="K5111" t="str">
        <f>"2F2"</f>
        <v>2F2</v>
      </c>
      <c r="L5111" t="s">
        <v>15</v>
      </c>
    </row>
    <row r="5112" spans="1:12" x14ac:dyDescent="0.25">
      <c r="A5112" t="str">
        <f>"501107035"</f>
        <v>501107035</v>
      </c>
      <c r="B5112" t="str">
        <f t="shared" si="271"/>
        <v>89301000</v>
      </c>
      <c r="C5112" s="1">
        <v>44196</v>
      </c>
      <c r="D5112" s="1">
        <v>44207</v>
      </c>
      <c r="E5112">
        <v>1</v>
      </c>
      <c r="F5112" t="s">
        <v>3766</v>
      </c>
      <c r="G5112" t="str">
        <f>"17-K05-01"</f>
        <v>17-K05-01</v>
      </c>
      <c r="H5112">
        <v>2.6164999999999998</v>
      </c>
      <c r="I5112" t="s">
        <v>3768</v>
      </c>
      <c r="J5112" t="s">
        <v>14</v>
      </c>
      <c r="K5112" t="str">
        <f>"2F2"</f>
        <v>2F2</v>
      </c>
      <c r="L5112" t="s">
        <v>15</v>
      </c>
    </row>
    <row r="5113" spans="1:12" x14ac:dyDescent="0.25">
      <c r="A5113" t="str">
        <f>"501122083"</f>
        <v>501122083</v>
      </c>
      <c r="B5113" t="str">
        <f t="shared" si="271"/>
        <v>89301000</v>
      </c>
      <c r="C5113" s="1">
        <v>44513</v>
      </c>
      <c r="D5113" s="1">
        <v>44513</v>
      </c>
      <c r="E5113">
        <v>7</v>
      </c>
      <c r="F5113" t="s">
        <v>2004</v>
      </c>
      <c r="G5113" t="str">
        <f>"05-M06-06"</f>
        <v>05-M06-06</v>
      </c>
      <c r="H5113">
        <v>1.2576000000000001</v>
      </c>
      <c r="I5113" t="s">
        <v>1548</v>
      </c>
      <c r="J5113" t="s">
        <v>17</v>
      </c>
      <c r="K5113" t="str">
        <f>"1F1"</f>
        <v>1F1</v>
      </c>
      <c r="L5113" t="s">
        <v>15</v>
      </c>
    </row>
    <row r="5114" spans="1:12" x14ac:dyDescent="0.25">
      <c r="A5114" t="str">
        <f>"501130196"</f>
        <v>501130196</v>
      </c>
      <c r="B5114" t="str">
        <f t="shared" si="271"/>
        <v>89301000</v>
      </c>
      <c r="C5114" s="1">
        <v>44531</v>
      </c>
      <c r="D5114" s="1">
        <v>44552</v>
      </c>
      <c r="E5114">
        <v>1</v>
      </c>
      <c r="F5114" t="s">
        <v>217</v>
      </c>
      <c r="G5114" t="str">
        <f>"00-M01-04"</f>
        <v>00-M01-04</v>
      </c>
      <c r="H5114">
        <v>6.85</v>
      </c>
      <c r="I5114" t="s">
        <v>3769</v>
      </c>
      <c r="J5114" t="s">
        <v>14</v>
      </c>
      <c r="K5114" t="str">
        <f>"2F5"</f>
        <v>2F5</v>
      </c>
      <c r="L5114" t="s">
        <v>15</v>
      </c>
    </row>
    <row r="5115" spans="1:12" x14ac:dyDescent="0.25">
      <c r="A5115" t="str">
        <f>"501204077"</f>
        <v>501204077</v>
      </c>
      <c r="B5115" t="str">
        <f t="shared" si="271"/>
        <v>89301000</v>
      </c>
      <c r="C5115" s="1">
        <v>44523</v>
      </c>
      <c r="D5115" s="1">
        <v>44543</v>
      </c>
      <c r="E5115">
        <v>1</v>
      </c>
      <c r="F5115" t="s">
        <v>2623</v>
      </c>
      <c r="G5115" t="str">
        <f>"00-M08-00"</f>
        <v>00-M08-00</v>
      </c>
      <c r="H5115">
        <v>4.6101999999999999</v>
      </c>
      <c r="I5115" t="s">
        <v>3770</v>
      </c>
      <c r="J5115" t="s">
        <v>17</v>
      </c>
      <c r="K5115" t="str">
        <f>"2T2"</f>
        <v>2T2</v>
      </c>
      <c r="L5115" t="s">
        <v>15</v>
      </c>
    </row>
    <row r="5116" spans="1:12" x14ac:dyDescent="0.25">
      <c r="A5116" t="str">
        <f>"501204077"</f>
        <v>501204077</v>
      </c>
      <c r="B5116" t="str">
        <f t="shared" si="271"/>
        <v>89301000</v>
      </c>
      <c r="C5116" s="1">
        <v>44488</v>
      </c>
      <c r="D5116" s="1">
        <v>44494</v>
      </c>
      <c r="E5116">
        <v>1</v>
      </c>
      <c r="F5116" t="s">
        <v>2623</v>
      </c>
      <c r="G5116" t="str">
        <f>"00-M10-01"</f>
        <v>00-M10-01</v>
      </c>
      <c r="H5116">
        <v>3.4525999999999999</v>
      </c>
      <c r="I5116" t="s">
        <v>3771</v>
      </c>
      <c r="J5116" t="s">
        <v>24</v>
      </c>
      <c r="K5116" t="str">
        <f>"2F2"</f>
        <v>2F2</v>
      </c>
      <c r="L5116" t="s">
        <v>15</v>
      </c>
    </row>
    <row r="5117" spans="1:12" x14ac:dyDescent="0.25">
      <c r="A5117" t="str">
        <f>"501204077"</f>
        <v>501204077</v>
      </c>
      <c r="B5117" t="str">
        <f t="shared" si="271"/>
        <v>89301000</v>
      </c>
      <c r="C5117" s="1">
        <v>44480</v>
      </c>
      <c r="D5117" s="1">
        <v>44482</v>
      </c>
      <c r="E5117">
        <v>1</v>
      </c>
      <c r="F5117" t="s">
        <v>2623</v>
      </c>
      <c r="G5117" t="str">
        <f>"17-C05-06"</f>
        <v>17-C05-06</v>
      </c>
      <c r="H5117">
        <v>0.50260000000000005</v>
      </c>
      <c r="I5117" t="s">
        <v>2945</v>
      </c>
      <c r="J5117" t="s">
        <v>14</v>
      </c>
      <c r="K5117" t="str">
        <f>"2F2"</f>
        <v>2F2</v>
      </c>
      <c r="L5117" t="s">
        <v>15</v>
      </c>
    </row>
    <row r="5118" spans="1:12" x14ac:dyDescent="0.25">
      <c r="A5118" t="str">
        <f>"501210256"</f>
        <v>501210256</v>
      </c>
      <c r="B5118" t="str">
        <f t="shared" si="271"/>
        <v>89301000</v>
      </c>
      <c r="C5118" s="1">
        <v>44445</v>
      </c>
      <c r="D5118" s="1">
        <v>44446</v>
      </c>
      <c r="E5118">
        <v>1</v>
      </c>
      <c r="F5118" t="s">
        <v>1557</v>
      </c>
      <c r="G5118" t="str">
        <f>"05-M06-08"</f>
        <v>05-M06-08</v>
      </c>
      <c r="H5118">
        <v>1.4719</v>
      </c>
      <c r="I5118" t="s">
        <v>489</v>
      </c>
      <c r="J5118" t="s">
        <v>17</v>
      </c>
      <c r="K5118" t="str">
        <f>"1F7"</f>
        <v>1F7</v>
      </c>
      <c r="L5118" t="s">
        <v>15</v>
      </c>
    </row>
    <row r="5119" spans="1:12" x14ac:dyDescent="0.25">
      <c r="A5119" t="str">
        <f>"501217082"</f>
        <v>501217082</v>
      </c>
      <c r="B5119" t="str">
        <f t="shared" si="271"/>
        <v>89301000</v>
      </c>
      <c r="C5119" s="1">
        <v>44336</v>
      </c>
      <c r="D5119" s="1">
        <v>44343</v>
      </c>
      <c r="E5119">
        <v>1</v>
      </c>
      <c r="F5119" t="s">
        <v>1557</v>
      </c>
      <c r="G5119" t="str">
        <f>"05-I16-07"</f>
        <v>05-I16-07</v>
      </c>
      <c r="H5119">
        <v>4.2412000000000001</v>
      </c>
      <c r="J5119" t="s">
        <v>17</v>
      </c>
      <c r="K5119" t="str">
        <f>"5F5"</f>
        <v>5F5</v>
      </c>
      <c r="L5119" t="s">
        <v>15</v>
      </c>
    </row>
    <row r="5120" spans="1:12" x14ac:dyDescent="0.25">
      <c r="A5120" t="str">
        <f>"501217309"</f>
        <v>501217309</v>
      </c>
      <c r="B5120" t="str">
        <f t="shared" si="271"/>
        <v>89301000</v>
      </c>
      <c r="C5120" s="1">
        <v>44531</v>
      </c>
      <c r="D5120" s="1">
        <v>44537</v>
      </c>
      <c r="E5120">
        <v>2</v>
      </c>
      <c r="F5120" t="s">
        <v>316</v>
      </c>
      <c r="G5120" t="str">
        <f>"01-I08-04"</f>
        <v>01-I08-04</v>
      </c>
      <c r="H5120">
        <v>1.6155999999999999</v>
      </c>
      <c r="I5120" t="s">
        <v>3772</v>
      </c>
      <c r="J5120" t="s">
        <v>17</v>
      </c>
      <c r="K5120" t="str">
        <f>"5F6"</f>
        <v>5F6</v>
      </c>
      <c r="L5120" t="s">
        <v>15</v>
      </c>
    </row>
    <row r="5121" spans="1:12" x14ac:dyDescent="0.25">
      <c r="A5121" t="str">
        <f>"501220114"</f>
        <v>501220114</v>
      </c>
      <c r="B5121" t="str">
        <f t="shared" si="271"/>
        <v>89301000</v>
      </c>
      <c r="C5121" s="1">
        <v>44445</v>
      </c>
      <c r="D5121" s="1">
        <v>44447</v>
      </c>
      <c r="E5121">
        <v>1</v>
      </c>
      <c r="F5121" t="s">
        <v>1914</v>
      </c>
      <c r="G5121" t="str">
        <f>"04-C02-02"</f>
        <v>04-C02-02</v>
      </c>
      <c r="H5121">
        <v>0.3589</v>
      </c>
      <c r="I5121" t="s">
        <v>3773</v>
      </c>
      <c r="J5121" t="s">
        <v>14</v>
      </c>
      <c r="K5121" t="str">
        <f>"2F5"</f>
        <v>2F5</v>
      </c>
      <c r="L5121" t="s">
        <v>15</v>
      </c>
    </row>
    <row r="5122" spans="1:12" x14ac:dyDescent="0.25">
      <c r="A5122" t="str">
        <f>"501225199"</f>
        <v>501225199</v>
      </c>
      <c r="B5122" t="str">
        <f t="shared" si="271"/>
        <v>89301000</v>
      </c>
      <c r="C5122" s="1">
        <v>44201</v>
      </c>
      <c r="D5122" s="1">
        <v>44205</v>
      </c>
      <c r="E5122">
        <v>5</v>
      </c>
      <c r="F5122" t="s">
        <v>217</v>
      </c>
      <c r="G5122" t="str">
        <f>"04-K02-03"</f>
        <v>04-K02-03</v>
      </c>
      <c r="H5122">
        <v>1.2859</v>
      </c>
      <c r="I5122" t="s">
        <v>3774</v>
      </c>
      <c r="J5122" t="s">
        <v>14</v>
      </c>
      <c r="K5122" t="str">
        <f>"5F1"</f>
        <v>5F1</v>
      </c>
      <c r="L5122" t="s">
        <v>15</v>
      </c>
    </row>
    <row r="5123" spans="1:12" x14ac:dyDescent="0.25">
      <c r="A5123" t="str">
        <f>"501229162"</f>
        <v>501229162</v>
      </c>
      <c r="B5123" t="str">
        <f t="shared" si="271"/>
        <v>89301000</v>
      </c>
      <c r="C5123" s="1">
        <v>44236</v>
      </c>
      <c r="D5123" s="1">
        <v>44238</v>
      </c>
      <c r="E5123">
        <v>1</v>
      </c>
      <c r="F5123" t="s">
        <v>1928</v>
      </c>
      <c r="G5123" t="str">
        <f>"11-M02-07"</f>
        <v>11-M02-07</v>
      </c>
      <c r="H5123">
        <v>0.53769999999999996</v>
      </c>
      <c r="J5123" t="s">
        <v>14</v>
      </c>
      <c r="K5123" t="str">
        <f>"5F1"</f>
        <v>5F1</v>
      </c>
      <c r="L5123" t="s">
        <v>15</v>
      </c>
    </row>
    <row r="5124" spans="1:12" x14ac:dyDescent="0.25">
      <c r="A5124" t="str">
        <f>"501229162"</f>
        <v>501229162</v>
      </c>
      <c r="B5124" t="str">
        <f t="shared" si="271"/>
        <v>89301000</v>
      </c>
      <c r="C5124" s="1">
        <v>44265</v>
      </c>
      <c r="D5124" s="1">
        <v>44284</v>
      </c>
      <c r="E5124">
        <v>4</v>
      </c>
      <c r="F5124" t="s">
        <v>2131</v>
      </c>
      <c r="G5124" t="str">
        <f>"10-K03-03"</f>
        <v>10-K03-03</v>
      </c>
      <c r="H5124">
        <v>1.6292</v>
      </c>
      <c r="I5124" t="s">
        <v>3775</v>
      </c>
      <c r="J5124" t="s">
        <v>14</v>
      </c>
      <c r="K5124" t="str">
        <f>"1F1"</f>
        <v>1F1</v>
      </c>
      <c r="L5124" t="s">
        <v>15</v>
      </c>
    </row>
    <row r="5125" spans="1:12" x14ac:dyDescent="0.25">
      <c r="A5125" t="str">
        <f>"505108157"</f>
        <v>505108157</v>
      </c>
      <c r="B5125" t="str">
        <f t="shared" si="271"/>
        <v>89301000</v>
      </c>
      <c r="C5125" s="1">
        <v>44370</v>
      </c>
      <c r="D5125" s="1">
        <v>44378</v>
      </c>
      <c r="E5125">
        <v>4</v>
      </c>
      <c r="F5125" t="s">
        <v>2407</v>
      </c>
      <c r="G5125" t="str">
        <f>"08-I06-04"</f>
        <v>08-I06-04</v>
      </c>
      <c r="H5125">
        <v>2.4260000000000002</v>
      </c>
      <c r="I5125" t="s">
        <v>3776</v>
      </c>
      <c r="J5125" t="s">
        <v>24</v>
      </c>
      <c r="K5125" t="str">
        <f>"6F6"</f>
        <v>6F6</v>
      </c>
      <c r="L5125" t="s">
        <v>15</v>
      </c>
    </row>
    <row r="5126" spans="1:12" x14ac:dyDescent="0.25">
      <c r="A5126" t="str">
        <f>"505109059"</f>
        <v>505109059</v>
      </c>
      <c r="B5126" t="str">
        <f t="shared" si="271"/>
        <v>89301000</v>
      </c>
      <c r="C5126" s="1">
        <v>44357</v>
      </c>
      <c r="D5126" s="1">
        <v>44362</v>
      </c>
      <c r="E5126">
        <v>1</v>
      </c>
      <c r="F5126" t="s">
        <v>666</v>
      </c>
      <c r="G5126" t="str">
        <f>"09-K04-02"</f>
        <v>09-K04-02</v>
      </c>
      <c r="H5126">
        <v>0.68279999999999996</v>
      </c>
      <c r="I5126" t="s">
        <v>3777</v>
      </c>
      <c r="J5126" t="s">
        <v>14</v>
      </c>
      <c r="K5126" t="str">
        <f>"4F4"</f>
        <v>4F4</v>
      </c>
      <c r="L5126" t="s">
        <v>15</v>
      </c>
    </row>
    <row r="5127" spans="1:12" x14ac:dyDescent="0.25">
      <c r="A5127" t="str">
        <f>"505118221"</f>
        <v>505118221</v>
      </c>
      <c r="B5127" t="str">
        <f t="shared" si="271"/>
        <v>89301000</v>
      </c>
      <c r="C5127" s="1">
        <v>44229</v>
      </c>
      <c r="D5127" s="1">
        <v>44230</v>
      </c>
      <c r="E5127">
        <v>1</v>
      </c>
      <c r="F5127" t="s">
        <v>873</v>
      </c>
      <c r="G5127" t="str">
        <f>"02-I13-02"</f>
        <v>02-I13-02</v>
      </c>
      <c r="H5127">
        <v>0.376</v>
      </c>
      <c r="I5127" t="s">
        <v>3778</v>
      </c>
      <c r="J5127" t="s">
        <v>14</v>
      </c>
      <c r="K5127" t="str">
        <f>"7F5"</f>
        <v>7F5</v>
      </c>
      <c r="L5127" t="s">
        <v>15</v>
      </c>
    </row>
    <row r="5128" spans="1:12" x14ac:dyDescent="0.25">
      <c r="A5128" t="str">
        <f>"505123308"</f>
        <v>505123308</v>
      </c>
      <c r="B5128" t="str">
        <f t="shared" si="271"/>
        <v>89301000</v>
      </c>
      <c r="C5128" s="1">
        <v>44488</v>
      </c>
      <c r="D5128" s="1">
        <v>44494</v>
      </c>
      <c r="E5128">
        <v>1</v>
      </c>
      <c r="F5128" t="s">
        <v>241</v>
      </c>
      <c r="G5128" t="str">
        <f>"04-K04-01"</f>
        <v>04-K04-01</v>
      </c>
      <c r="H5128">
        <v>1.1272</v>
      </c>
      <c r="I5128" t="s">
        <v>3779</v>
      </c>
      <c r="J5128" t="s">
        <v>14</v>
      </c>
      <c r="K5128" t="str">
        <f>"2F5"</f>
        <v>2F5</v>
      </c>
      <c r="L5128" t="s">
        <v>15</v>
      </c>
    </row>
    <row r="5129" spans="1:12" x14ac:dyDescent="0.25">
      <c r="A5129" t="str">
        <f>"505127082"</f>
        <v>505127082</v>
      </c>
      <c r="B5129" t="str">
        <f t="shared" si="271"/>
        <v>89301000</v>
      </c>
      <c r="C5129" s="1">
        <v>44462</v>
      </c>
      <c r="D5129" s="1">
        <v>44473</v>
      </c>
      <c r="E5129">
        <v>1</v>
      </c>
      <c r="F5129" t="s">
        <v>1581</v>
      </c>
      <c r="G5129" t="str">
        <f>"05-I24-01"</f>
        <v>05-I24-01</v>
      </c>
      <c r="H5129">
        <v>5.1612999999999998</v>
      </c>
      <c r="I5129" t="s">
        <v>3780</v>
      </c>
      <c r="J5129" t="s">
        <v>14</v>
      </c>
      <c r="K5129" t="str">
        <f>"5F1"</f>
        <v>5F1</v>
      </c>
      <c r="L5129" t="s">
        <v>15</v>
      </c>
    </row>
    <row r="5130" spans="1:12" x14ac:dyDescent="0.25">
      <c r="A5130" t="str">
        <f>"505127082"</f>
        <v>505127082</v>
      </c>
      <c r="B5130" t="str">
        <f t="shared" si="271"/>
        <v>89301000</v>
      </c>
      <c r="C5130" s="1">
        <v>44329</v>
      </c>
      <c r="D5130" s="1">
        <v>44335</v>
      </c>
      <c r="E5130">
        <v>1</v>
      </c>
      <c r="F5130" t="s">
        <v>1555</v>
      </c>
      <c r="G5130" t="str">
        <f>"05-K12-02"</f>
        <v>05-K12-02</v>
      </c>
      <c r="H5130">
        <v>0.53600000000000003</v>
      </c>
      <c r="I5130" t="s">
        <v>2321</v>
      </c>
      <c r="J5130" t="s">
        <v>14</v>
      </c>
      <c r="K5130" t="str">
        <f>"5F1"</f>
        <v>5F1</v>
      </c>
      <c r="L5130" t="s">
        <v>15</v>
      </c>
    </row>
    <row r="5131" spans="1:12" x14ac:dyDescent="0.25">
      <c r="A5131" t="str">
        <f>"505127082"</f>
        <v>505127082</v>
      </c>
      <c r="B5131" t="str">
        <f t="shared" ref="B5131:B5194" si="272">"89301000"</f>
        <v>89301000</v>
      </c>
      <c r="C5131" s="1">
        <v>44211</v>
      </c>
      <c r="D5131" s="1">
        <v>44215</v>
      </c>
      <c r="E5131">
        <v>1</v>
      </c>
      <c r="F5131" t="s">
        <v>67</v>
      </c>
      <c r="G5131" t="str">
        <f>"01-K10-03"</f>
        <v>01-K10-03</v>
      </c>
      <c r="H5131">
        <v>1.0016</v>
      </c>
      <c r="I5131" t="s">
        <v>3781</v>
      </c>
      <c r="J5131" t="s">
        <v>14</v>
      </c>
      <c r="K5131" t="str">
        <f>"2F9"</f>
        <v>2F9</v>
      </c>
      <c r="L5131" t="s">
        <v>15</v>
      </c>
    </row>
    <row r="5132" spans="1:12" x14ac:dyDescent="0.25">
      <c r="A5132" t="str">
        <f>"505128052"</f>
        <v>505128052</v>
      </c>
      <c r="B5132" t="str">
        <f t="shared" si="272"/>
        <v>89301000</v>
      </c>
      <c r="C5132" s="1">
        <v>44385</v>
      </c>
      <c r="D5132" s="1">
        <v>44391</v>
      </c>
      <c r="E5132">
        <v>1</v>
      </c>
      <c r="F5132" t="s">
        <v>2519</v>
      </c>
      <c r="G5132" t="str">
        <f>"09-K01-04"</f>
        <v>09-K01-04</v>
      </c>
      <c r="H5132">
        <v>0.57820000000000005</v>
      </c>
      <c r="I5132" t="s">
        <v>3782</v>
      </c>
      <c r="J5132" t="s">
        <v>14</v>
      </c>
      <c r="K5132" t="str">
        <f>"4F4"</f>
        <v>4F4</v>
      </c>
      <c r="L5132" t="s">
        <v>15</v>
      </c>
    </row>
    <row r="5133" spans="1:12" x14ac:dyDescent="0.25">
      <c r="A5133" t="str">
        <f>"505130293"</f>
        <v>505130293</v>
      </c>
      <c r="B5133" t="str">
        <f t="shared" si="272"/>
        <v>89301000</v>
      </c>
      <c r="C5133" s="1">
        <v>44434</v>
      </c>
      <c r="D5133" s="1">
        <v>44436</v>
      </c>
      <c r="E5133">
        <v>1</v>
      </c>
      <c r="F5133" t="s">
        <v>3381</v>
      </c>
      <c r="G5133" t="str">
        <f>"09-K08-02"</f>
        <v>09-K08-02</v>
      </c>
      <c r="H5133">
        <v>0.54849999999999999</v>
      </c>
      <c r="I5133" t="s">
        <v>3542</v>
      </c>
      <c r="J5133" t="s">
        <v>14</v>
      </c>
      <c r="K5133" t="str">
        <f>"4F2"</f>
        <v>4F2</v>
      </c>
      <c r="L5133" t="s">
        <v>15</v>
      </c>
    </row>
    <row r="5134" spans="1:12" x14ac:dyDescent="0.25">
      <c r="A5134" t="str">
        <f>"505202095"</f>
        <v>505202095</v>
      </c>
      <c r="B5134" t="str">
        <f t="shared" si="272"/>
        <v>89301000</v>
      </c>
      <c r="C5134" s="1">
        <v>44460</v>
      </c>
      <c r="D5134" s="1">
        <v>44469</v>
      </c>
      <c r="E5134">
        <v>1</v>
      </c>
      <c r="F5134" t="s">
        <v>98</v>
      </c>
      <c r="G5134" t="str">
        <f>"19-K03-03"</f>
        <v>19-K03-03</v>
      </c>
      <c r="H5134">
        <v>0.93169999999999997</v>
      </c>
      <c r="I5134" t="s">
        <v>3783</v>
      </c>
      <c r="J5134" t="s">
        <v>27</v>
      </c>
      <c r="K5134" t="str">
        <f>"3F5"</f>
        <v>3F5</v>
      </c>
      <c r="L5134" t="s">
        <v>15</v>
      </c>
    </row>
    <row r="5135" spans="1:12" x14ac:dyDescent="0.25">
      <c r="A5135" t="str">
        <f>"505219114"</f>
        <v>505219114</v>
      </c>
      <c r="B5135" t="str">
        <f t="shared" si="272"/>
        <v>89301000</v>
      </c>
      <c r="C5135" s="1">
        <v>44476</v>
      </c>
      <c r="D5135" s="1">
        <v>44479</v>
      </c>
      <c r="E5135">
        <v>1</v>
      </c>
      <c r="F5135" t="s">
        <v>1555</v>
      </c>
      <c r="G5135" t="str">
        <f>"05-M04-04"</f>
        <v>05-M04-04</v>
      </c>
      <c r="H5135">
        <v>2.2073999999999998</v>
      </c>
      <c r="I5135" t="s">
        <v>3784</v>
      </c>
      <c r="J5135" t="s">
        <v>17</v>
      </c>
      <c r="K5135" t="str">
        <f>"5F1"</f>
        <v>5F1</v>
      </c>
      <c r="L5135" t="s">
        <v>15</v>
      </c>
    </row>
    <row r="5136" spans="1:12" x14ac:dyDescent="0.25">
      <c r="A5136" t="str">
        <f>"505220124"</f>
        <v>505220124</v>
      </c>
      <c r="B5136" t="str">
        <f t="shared" si="272"/>
        <v>89301000</v>
      </c>
      <c r="C5136" s="1">
        <v>44223</v>
      </c>
      <c r="D5136" s="1">
        <v>44230</v>
      </c>
      <c r="E5136">
        <v>1</v>
      </c>
      <c r="F5136" t="s">
        <v>2935</v>
      </c>
      <c r="G5136" t="str">
        <f>"05-K13-01"</f>
        <v>05-K13-01</v>
      </c>
      <c r="H5136">
        <v>1.2979000000000001</v>
      </c>
      <c r="I5136" t="s">
        <v>3785</v>
      </c>
      <c r="J5136" t="s">
        <v>14</v>
      </c>
      <c r="K5136" t="str">
        <f>"4F4"</f>
        <v>4F4</v>
      </c>
      <c r="L5136" t="s">
        <v>15</v>
      </c>
    </row>
    <row r="5137" spans="1:12" x14ac:dyDescent="0.25">
      <c r="A5137" t="str">
        <f>"505223008"</f>
        <v>505223008</v>
      </c>
      <c r="B5137" t="str">
        <f t="shared" si="272"/>
        <v>89301000</v>
      </c>
      <c r="C5137" s="1">
        <v>44319</v>
      </c>
      <c r="D5137" s="1">
        <v>44329</v>
      </c>
      <c r="E5137">
        <v>1</v>
      </c>
      <c r="F5137" t="s">
        <v>1581</v>
      </c>
      <c r="G5137" t="str">
        <f>"05-I24-02"</f>
        <v>05-I24-02</v>
      </c>
      <c r="H5137">
        <v>4.3616999999999999</v>
      </c>
      <c r="I5137" t="s">
        <v>489</v>
      </c>
      <c r="J5137" t="s">
        <v>14</v>
      </c>
      <c r="K5137" t="str">
        <f>"5F1"</f>
        <v>5F1</v>
      </c>
      <c r="L5137" t="s">
        <v>15</v>
      </c>
    </row>
    <row r="5138" spans="1:12" x14ac:dyDescent="0.25">
      <c r="A5138" t="str">
        <f>"505227041"</f>
        <v>505227041</v>
      </c>
      <c r="B5138" t="str">
        <f t="shared" si="272"/>
        <v>89301000</v>
      </c>
      <c r="C5138" s="1">
        <v>44364</v>
      </c>
      <c r="D5138" s="1">
        <v>44365</v>
      </c>
      <c r="E5138">
        <v>1</v>
      </c>
      <c r="F5138" t="s">
        <v>489</v>
      </c>
      <c r="G5138" t="str">
        <f>"05-D01-08"</f>
        <v>05-D01-08</v>
      </c>
      <c r="H5138">
        <v>0.4093</v>
      </c>
      <c r="J5138" t="s">
        <v>14</v>
      </c>
      <c r="K5138" t="str">
        <f>"1F7"</f>
        <v>1F7</v>
      </c>
      <c r="L5138" t="s">
        <v>15</v>
      </c>
    </row>
    <row r="5139" spans="1:12" x14ac:dyDescent="0.25">
      <c r="A5139" t="str">
        <f>"505302067"</f>
        <v>505302067</v>
      </c>
      <c r="B5139" t="str">
        <f t="shared" si="272"/>
        <v>89301000</v>
      </c>
      <c r="C5139" s="1">
        <v>44382</v>
      </c>
      <c r="D5139" s="1">
        <v>44384</v>
      </c>
      <c r="E5139">
        <v>1</v>
      </c>
      <c r="F5139" t="s">
        <v>260</v>
      </c>
      <c r="G5139" t="str">
        <f>"88-I03-00"</f>
        <v>88-I03-00</v>
      </c>
      <c r="H5139">
        <v>0.11459999999999999</v>
      </c>
      <c r="J5139" t="s">
        <v>14</v>
      </c>
      <c r="K5139" t="str">
        <f>"7F1"</f>
        <v>7F1</v>
      </c>
      <c r="L5139" t="s">
        <v>15</v>
      </c>
    </row>
    <row r="5140" spans="1:12" x14ac:dyDescent="0.25">
      <c r="A5140" t="str">
        <f>"505304117"</f>
        <v>505304117</v>
      </c>
      <c r="B5140" t="str">
        <f t="shared" si="272"/>
        <v>89301000</v>
      </c>
      <c r="C5140" s="1">
        <v>44237</v>
      </c>
      <c r="D5140" s="1">
        <v>44243</v>
      </c>
      <c r="E5140">
        <v>4</v>
      </c>
      <c r="F5140" t="s">
        <v>3609</v>
      </c>
      <c r="G5140" t="str">
        <f>"17-K09-02"</f>
        <v>17-K09-02</v>
      </c>
      <c r="H5140">
        <v>0.71240000000000003</v>
      </c>
      <c r="I5140" t="s">
        <v>3786</v>
      </c>
      <c r="J5140" t="s">
        <v>14</v>
      </c>
      <c r="K5140" t="str">
        <f>"4F2"</f>
        <v>4F2</v>
      </c>
      <c r="L5140" t="s">
        <v>15</v>
      </c>
    </row>
    <row r="5141" spans="1:12" x14ac:dyDescent="0.25">
      <c r="A5141" t="str">
        <f>"505310195"</f>
        <v>505310195</v>
      </c>
      <c r="B5141" t="str">
        <f t="shared" si="272"/>
        <v>89301000</v>
      </c>
      <c r="C5141" s="1">
        <v>44487</v>
      </c>
      <c r="D5141" s="1">
        <v>44489</v>
      </c>
      <c r="E5141">
        <v>1</v>
      </c>
      <c r="F5141" t="s">
        <v>3787</v>
      </c>
      <c r="G5141" t="str">
        <f>"11-K05-00"</f>
        <v>11-K05-00</v>
      </c>
      <c r="H5141">
        <v>0.36730000000000002</v>
      </c>
      <c r="I5141" t="s">
        <v>3788</v>
      </c>
      <c r="J5141" t="s">
        <v>14</v>
      </c>
      <c r="K5141" t="str">
        <f>"7F6"</f>
        <v>7F6</v>
      </c>
      <c r="L5141" t="s">
        <v>15</v>
      </c>
    </row>
    <row r="5142" spans="1:12" x14ac:dyDescent="0.25">
      <c r="A5142" t="str">
        <f>"505310298"</f>
        <v>505310298</v>
      </c>
      <c r="B5142" t="str">
        <f t="shared" si="272"/>
        <v>89301000</v>
      </c>
      <c r="C5142" s="1">
        <v>44294</v>
      </c>
      <c r="D5142" s="1">
        <v>44297</v>
      </c>
      <c r="E5142">
        <v>1</v>
      </c>
      <c r="F5142" t="s">
        <v>1551</v>
      </c>
      <c r="G5142" t="str">
        <f>"09-I06-04"</f>
        <v>09-I06-04</v>
      </c>
      <c r="H5142">
        <v>0.98829999999999996</v>
      </c>
      <c r="J5142" t="s">
        <v>17</v>
      </c>
      <c r="K5142" t="str">
        <f>"5F1"</f>
        <v>5F1</v>
      </c>
      <c r="L5142" t="s">
        <v>15</v>
      </c>
    </row>
    <row r="5143" spans="1:12" x14ac:dyDescent="0.25">
      <c r="A5143" t="str">
        <f>"505318175"</f>
        <v>505318175</v>
      </c>
      <c r="B5143" t="str">
        <f t="shared" si="272"/>
        <v>89301000</v>
      </c>
      <c r="C5143" s="1">
        <v>44249</v>
      </c>
      <c r="D5143" s="1">
        <v>44260</v>
      </c>
      <c r="E5143">
        <v>1</v>
      </c>
      <c r="F5143" t="s">
        <v>3789</v>
      </c>
      <c r="G5143" t="str">
        <f>"17-I06-02"</f>
        <v>17-I06-02</v>
      </c>
      <c r="H5143">
        <v>2.1663000000000001</v>
      </c>
      <c r="I5143" t="s">
        <v>3790</v>
      </c>
      <c r="J5143" t="s">
        <v>17</v>
      </c>
      <c r="K5143" t="str">
        <f>"5F1"</f>
        <v>5F1</v>
      </c>
      <c r="L5143" t="s">
        <v>15</v>
      </c>
    </row>
    <row r="5144" spans="1:12" x14ac:dyDescent="0.25">
      <c r="A5144" t="str">
        <f>"505318175"</f>
        <v>505318175</v>
      </c>
      <c r="B5144" t="str">
        <f t="shared" si="272"/>
        <v>89301000</v>
      </c>
      <c r="C5144" s="1">
        <v>44523</v>
      </c>
      <c r="D5144" s="1">
        <v>44530</v>
      </c>
      <c r="E5144">
        <v>1</v>
      </c>
      <c r="F5144" t="s">
        <v>3791</v>
      </c>
      <c r="G5144" t="str">
        <f>"17-C06-02"</f>
        <v>17-C06-02</v>
      </c>
      <c r="H5144">
        <v>0.43909999999999999</v>
      </c>
      <c r="I5144" t="s">
        <v>3792</v>
      </c>
      <c r="J5144" t="s">
        <v>14</v>
      </c>
      <c r="K5144" t="str">
        <f>"4F2"</f>
        <v>4F2</v>
      </c>
      <c r="L5144" t="s">
        <v>15</v>
      </c>
    </row>
    <row r="5145" spans="1:12" x14ac:dyDescent="0.25">
      <c r="A5145" t="str">
        <f>"505319224"</f>
        <v>505319224</v>
      </c>
      <c r="B5145" t="str">
        <f t="shared" si="272"/>
        <v>89301000</v>
      </c>
      <c r="C5145" s="1">
        <v>44476</v>
      </c>
      <c r="D5145" s="1">
        <v>44496</v>
      </c>
      <c r="E5145">
        <v>1</v>
      </c>
      <c r="F5145" t="s">
        <v>2355</v>
      </c>
      <c r="G5145" t="str">
        <f>"04-I02-02"</f>
        <v>04-I02-02</v>
      </c>
      <c r="H5145">
        <v>5.2789999999999999</v>
      </c>
      <c r="I5145" t="s">
        <v>3793</v>
      </c>
      <c r="J5145" t="s">
        <v>106</v>
      </c>
      <c r="K5145" t="str">
        <f>"5F1"</f>
        <v>5F1</v>
      </c>
      <c r="L5145" t="s">
        <v>15</v>
      </c>
    </row>
    <row r="5146" spans="1:12" x14ac:dyDescent="0.25">
      <c r="A5146" t="str">
        <f>"505320036"</f>
        <v>505320036</v>
      </c>
      <c r="B5146" t="str">
        <f t="shared" si="272"/>
        <v>89301000</v>
      </c>
      <c r="C5146" s="1">
        <v>44234</v>
      </c>
      <c r="D5146" s="1">
        <v>44242</v>
      </c>
      <c r="E5146">
        <v>3</v>
      </c>
      <c r="F5146" t="s">
        <v>1968</v>
      </c>
      <c r="G5146" t="str">
        <f>"08-I05-05"</f>
        <v>08-I05-05</v>
      </c>
      <c r="H5146">
        <v>2.2932000000000001</v>
      </c>
      <c r="I5146" t="s">
        <v>3794</v>
      </c>
      <c r="J5146" t="s">
        <v>17</v>
      </c>
      <c r="K5146" t="str">
        <f>"6F6"</f>
        <v>6F6</v>
      </c>
      <c r="L5146" t="s">
        <v>15</v>
      </c>
    </row>
    <row r="5147" spans="1:12" x14ac:dyDescent="0.25">
      <c r="A5147" t="str">
        <f>"505320036"</f>
        <v>505320036</v>
      </c>
      <c r="B5147" t="str">
        <f t="shared" si="272"/>
        <v>89301000</v>
      </c>
      <c r="C5147" s="1">
        <v>44242</v>
      </c>
      <c r="D5147" s="1">
        <v>44256</v>
      </c>
      <c r="E5147">
        <v>4</v>
      </c>
      <c r="F5147" t="s">
        <v>109</v>
      </c>
      <c r="G5147" t="str">
        <f>"24-M07-02"</f>
        <v>24-M07-02</v>
      </c>
      <c r="H5147">
        <v>1.5094000000000001</v>
      </c>
      <c r="I5147" t="s">
        <v>2833</v>
      </c>
      <c r="J5147" t="s">
        <v>14</v>
      </c>
      <c r="K5147" t="str">
        <f>"2F1"</f>
        <v>2F1</v>
      </c>
      <c r="L5147" t="s">
        <v>15</v>
      </c>
    </row>
    <row r="5148" spans="1:12" x14ac:dyDescent="0.25">
      <c r="A5148" t="str">
        <f>"505320137"</f>
        <v>505320137</v>
      </c>
      <c r="B5148" t="str">
        <f t="shared" si="272"/>
        <v>89301000</v>
      </c>
      <c r="C5148" s="1">
        <v>44331</v>
      </c>
      <c r="D5148" s="1">
        <v>44337</v>
      </c>
      <c r="E5148">
        <v>4</v>
      </c>
      <c r="F5148" t="s">
        <v>473</v>
      </c>
      <c r="G5148" t="str">
        <f>"05-K13-02"</f>
        <v>05-K13-02</v>
      </c>
      <c r="H5148">
        <v>0.60950000000000004</v>
      </c>
      <c r="I5148" t="s">
        <v>3795</v>
      </c>
      <c r="J5148" t="s">
        <v>14</v>
      </c>
      <c r="K5148" t="str">
        <f>"1F1"</f>
        <v>1F1</v>
      </c>
      <c r="L5148" t="s">
        <v>15</v>
      </c>
    </row>
    <row r="5149" spans="1:12" x14ac:dyDescent="0.25">
      <c r="A5149" t="str">
        <f>"505320352"</f>
        <v>505320352</v>
      </c>
      <c r="B5149" t="str">
        <f t="shared" si="272"/>
        <v>89301000</v>
      </c>
      <c r="C5149" s="1">
        <v>44375</v>
      </c>
      <c r="D5149" s="1">
        <v>44378</v>
      </c>
      <c r="E5149">
        <v>1</v>
      </c>
      <c r="F5149" t="s">
        <v>3796</v>
      </c>
      <c r="G5149" t="str">
        <f>"08-K01-03"</f>
        <v>08-K01-03</v>
      </c>
      <c r="H5149">
        <v>0.65310000000000001</v>
      </c>
      <c r="I5149" t="s">
        <v>3797</v>
      </c>
      <c r="J5149" t="s">
        <v>14</v>
      </c>
      <c r="K5149" t="str">
        <f>"1F9"</f>
        <v>1F9</v>
      </c>
      <c r="L5149" t="s">
        <v>15</v>
      </c>
    </row>
    <row r="5150" spans="1:12" x14ac:dyDescent="0.25">
      <c r="A5150" t="str">
        <f>"505321092"</f>
        <v>505321092</v>
      </c>
      <c r="B5150" t="str">
        <f t="shared" si="272"/>
        <v>89301000</v>
      </c>
      <c r="C5150" s="1">
        <v>44258</v>
      </c>
      <c r="D5150" s="1">
        <v>44274</v>
      </c>
      <c r="E5150">
        <v>1</v>
      </c>
      <c r="F5150" t="s">
        <v>962</v>
      </c>
      <c r="G5150" t="str">
        <f>"04-K08-02"</f>
        <v>04-K08-02</v>
      </c>
      <c r="H5150">
        <v>2.6110000000000002</v>
      </c>
      <c r="I5150" t="s">
        <v>3798</v>
      </c>
      <c r="J5150" t="s">
        <v>14</v>
      </c>
      <c r="K5150" t="str">
        <f>"1F1"</f>
        <v>1F1</v>
      </c>
      <c r="L5150" t="s">
        <v>15</v>
      </c>
    </row>
    <row r="5151" spans="1:12" x14ac:dyDescent="0.25">
      <c r="A5151" t="str">
        <f>"505321092"</f>
        <v>505321092</v>
      </c>
      <c r="B5151" t="str">
        <f t="shared" si="272"/>
        <v>89301000</v>
      </c>
      <c r="C5151" s="1">
        <v>44418</v>
      </c>
      <c r="D5151" s="1">
        <v>44448</v>
      </c>
      <c r="E5151">
        <v>7</v>
      </c>
      <c r="F5151" t="s">
        <v>3799</v>
      </c>
      <c r="G5151" t="str">
        <f>"11-M02-04"</f>
        <v>11-M02-04</v>
      </c>
      <c r="H5151">
        <v>3.9236</v>
      </c>
      <c r="I5151" t="s">
        <v>3800</v>
      </c>
      <c r="J5151" t="s">
        <v>14</v>
      </c>
      <c r="K5151" t="str">
        <f>"1F1"</f>
        <v>1F1</v>
      </c>
      <c r="L5151" t="s">
        <v>15</v>
      </c>
    </row>
    <row r="5152" spans="1:12" x14ac:dyDescent="0.25">
      <c r="A5152" t="str">
        <f>"505322108"</f>
        <v>505322108</v>
      </c>
      <c r="B5152" t="str">
        <f t="shared" si="272"/>
        <v>89301000</v>
      </c>
      <c r="C5152" s="1">
        <v>44507</v>
      </c>
      <c r="D5152" s="1">
        <v>44519</v>
      </c>
      <c r="E5152">
        <v>2</v>
      </c>
      <c r="F5152" t="s">
        <v>1938</v>
      </c>
      <c r="G5152" t="str">
        <f>"11-K07-02"</f>
        <v>11-K07-02</v>
      </c>
      <c r="H5152">
        <v>0.59899999999999998</v>
      </c>
      <c r="I5152" t="s">
        <v>3801</v>
      </c>
      <c r="J5152" t="s">
        <v>14</v>
      </c>
      <c r="K5152" t="str">
        <f>"1F1"</f>
        <v>1F1</v>
      </c>
      <c r="L5152" t="s">
        <v>15</v>
      </c>
    </row>
    <row r="5153" spans="1:12" x14ac:dyDescent="0.25">
      <c r="A5153" t="str">
        <f>"505322108"</f>
        <v>505322108</v>
      </c>
      <c r="B5153" t="str">
        <f t="shared" si="272"/>
        <v>89301000</v>
      </c>
      <c r="C5153" s="1">
        <v>44471</v>
      </c>
      <c r="D5153" s="1">
        <v>44476</v>
      </c>
      <c r="E5153">
        <v>1</v>
      </c>
      <c r="F5153" t="s">
        <v>1938</v>
      </c>
      <c r="G5153" t="str">
        <f>"11-K07-02"</f>
        <v>11-K07-02</v>
      </c>
      <c r="H5153">
        <v>0.4869</v>
      </c>
      <c r="I5153" t="s">
        <v>3802</v>
      </c>
      <c r="J5153" t="s">
        <v>14</v>
      </c>
      <c r="K5153" t="str">
        <f>"4F2"</f>
        <v>4F2</v>
      </c>
      <c r="L5153" t="s">
        <v>15</v>
      </c>
    </row>
    <row r="5154" spans="1:12" x14ac:dyDescent="0.25">
      <c r="A5154" t="str">
        <f>"505322108"</f>
        <v>505322108</v>
      </c>
      <c r="B5154" t="str">
        <f t="shared" si="272"/>
        <v>89301000</v>
      </c>
      <c r="C5154" s="1">
        <v>44455</v>
      </c>
      <c r="D5154" s="1">
        <v>44456</v>
      </c>
      <c r="E5154">
        <v>1</v>
      </c>
      <c r="F5154" t="s">
        <v>1938</v>
      </c>
      <c r="G5154" t="str">
        <f>"11-K07-02"</f>
        <v>11-K07-02</v>
      </c>
      <c r="H5154">
        <v>0.4869</v>
      </c>
      <c r="I5154" t="s">
        <v>3803</v>
      </c>
      <c r="J5154" t="s">
        <v>14</v>
      </c>
      <c r="K5154" t="str">
        <f>"7F6"</f>
        <v>7F6</v>
      </c>
      <c r="L5154" t="s">
        <v>15</v>
      </c>
    </row>
    <row r="5155" spans="1:12" x14ac:dyDescent="0.25">
      <c r="A5155" t="str">
        <f>"505322108"</f>
        <v>505322108</v>
      </c>
      <c r="B5155" t="str">
        <f t="shared" si="272"/>
        <v>89301000</v>
      </c>
      <c r="C5155" s="1">
        <v>44409</v>
      </c>
      <c r="D5155" s="1">
        <v>44414</v>
      </c>
      <c r="E5155">
        <v>1</v>
      </c>
      <c r="F5155" t="s">
        <v>448</v>
      </c>
      <c r="G5155" t="str">
        <f>"11-K01-02"</f>
        <v>11-K01-02</v>
      </c>
      <c r="H5155">
        <v>0.82289999999999996</v>
      </c>
      <c r="I5155" t="s">
        <v>3804</v>
      </c>
      <c r="J5155" t="s">
        <v>14</v>
      </c>
      <c r="K5155" t="str">
        <f>"1F5"</f>
        <v>1F5</v>
      </c>
      <c r="L5155" t="s">
        <v>15</v>
      </c>
    </row>
    <row r="5156" spans="1:12" x14ac:dyDescent="0.25">
      <c r="A5156" t="str">
        <f>"505323429"</f>
        <v>505323429</v>
      </c>
      <c r="B5156" t="str">
        <f t="shared" si="272"/>
        <v>89301000</v>
      </c>
      <c r="C5156" s="1">
        <v>44382</v>
      </c>
      <c r="D5156" s="1">
        <v>44390</v>
      </c>
      <c r="E5156">
        <v>1</v>
      </c>
      <c r="F5156" t="s">
        <v>23</v>
      </c>
      <c r="G5156" t="str">
        <f>"06-I18-04"</f>
        <v>06-I18-04</v>
      </c>
      <c r="H5156">
        <v>1.1514</v>
      </c>
      <c r="I5156" t="s">
        <v>3805</v>
      </c>
      <c r="J5156" t="s">
        <v>24</v>
      </c>
      <c r="K5156" t="str">
        <f>"5F1"</f>
        <v>5F1</v>
      </c>
      <c r="L5156" t="s">
        <v>15</v>
      </c>
    </row>
    <row r="5157" spans="1:12" x14ac:dyDescent="0.25">
      <c r="A5157" t="str">
        <f>"505324247"</f>
        <v>505324247</v>
      </c>
      <c r="B5157" t="str">
        <f t="shared" si="272"/>
        <v>89301000</v>
      </c>
      <c r="C5157" s="1">
        <v>44218</v>
      </c>
      <c r="D5157" s="1">
        <v>44218</v>
      </c>
      <c r="E5157">
        <v>1</v>
      </c>
      <c r="F5157" t="s">
        <v>1814</v>
      </c>
      <c r="G5157" t="str">
        <f>"05-D01-08"</f>
        <v>05-D01-08</v>
      </c>
      <c r="H5157">
        <v>0.21890000000000001</v>
      </c>
      <c r="J5157" t="s">
        <v>14</v>
      </c>
      <c r="K5157" t="str">
        <f>"1F7"</f>
        <v>1F7</v>
      </c>
      <c r="L5157" t="s">
        <v>15</v>
      </c>
    </row>
    <row r="5158" spans="1:12" x14ac:dyDescent="0.25">
      <c r="A5158" t="str">
        <f>"505324247"</f>
        <v>505324247</v>
      </c>
      <c r="B5158" t="str">
        <f t="shared" si="272"/>
        <v>89301000</v>
      </c>
      <c r="C5158" s="1">
        <v>44230</v>
      </c>
      <c r="D5158" s="1">
        <v>44233</v>
      </c>
      <c r="E5158">
        <v>1</v>
      </c>
      <c r="F5158" t="s">
        <v>1551</v>
      </c>
      <c r="G5158" t="str">
        <f>"09-I06-04"</f>
        <v>09-I06-04</v>
      </c>
      <c r="H5158">
        <v>0.98829999999999996</v>
      </c>
      <c r="I5158" t="s">
        <v>2119</v>
      </c>
      <c r="J5158" t="s">
        <v>17</v>
      </c>
      <c r="K5158" t="str">
        <f>"5F1"</f>
        <v>5F1</v>
      </c>
      <c r="L5158" t="s">
        <v>15</v>
      </c>
    </row>
    <row r="5159" spans="1:12" x14ac:dyDescent="0.25">
      <c r="A5159" t="str">
        <f>"505401128"</f>
        <v>505401128</v>
      </c>
      <c r="B5159" t="str">
        <f t="shared" si="272"/>
        <v>89301000</v>
      </c>
      <c r="C5159" s="1">
        <v>44332</v>
      </c>
      <c r="D5159" s="1">
        <v>44335</v>
      </c>
      <c r="E5159">
        <v>1</v>
      </c>
      <c r="F5159" t="s">
        <v>2008</v>
      </c>
      <c r="G5159" t="str">
        <f>"13-I11-03"</f>
        <v>13-I11-03</v>
      </c>
      <c r="H5159">
        <v>1.3809</v>
      </c>
      <c r="J5159" t="s">
        <v>24</v>
      </c>
      <c r="K5159" t="str">
        <f>"6F3"</f>
        <v>6F3</v>
      </c>
      <c r="L5159" t="s">
        <v>15</v>
      </c>
    </row>
    <row r="5160" spans="1:12" x14ac:dyDescent="0.25">
      <c r="A5160" t="str">
        <f>"505422250"</f>
        <v>505422250</v>
      </c>
      <c r="B5160" t="str">
        <f t="shared" si="272"/>
        <v>89301000</v>
      </c>
      <c r="C5160" s="1">
        <v>44477</v>
      </c>
      <c r="D5160" s="1">
        <v>44531</v>
      </c>
      <c r="E5160">
        <v>4</v>
      </c>
      <c r="F5160" t="s">
        <v>1847</v>
      </c>
      <c r="G5160" t="str">
        <f>"04-K07-01"</f>
        <v>04-K07-01</v>
      </c>
      <c r="H5160">
        <v>4.6795999999999998</v>
      </c>
      <c r="I5160" t="s">
        <v>3806</v>
      </c>
      <c r="J5160" t="s">
        <v>14</v>
      </c>
      <c r="K5160" t="str">
        <f>"2F5"</f>
        <v>2F5</v>
      </c>
      <c r="L5160" t="s">
        <v>15</v>
      </c>
    </row>
    <row r="5161" spans="1:12" x14ac:dyDescent="0.25">
      <c r="A5161" t="str">
        <f>"505423170"</f>
        <v>505423170</v>
      </c>
      <c r="B5161" t="str">
        <f t="shared" si="272"/>
        <v>89301000</v>
      </c>
      <c r="C5161" s="1">
        <v>44478</v>
      </c>
      <c r="D5161" s="1">
        <v>44488</v>
      </c>
      <c r="E5161">
        <v>3</v>
      </c>
      <c r="F5161" t="s">
        <v>1699</v>
      </c>
      <c r="G5161" t="str">
        <f>"01-K10-03"</f>
        <v>01-K10-03</v>
      </c>
      <c r="H5161">
        <v>1.0016</v>
      </c>
      <c r="I5161" t="s">
        <v>2975</v>
      </c>
      <c r="J5161" t="s">
        <v>14</v>
      </c>
      <c r="K5161" t="str">
        <f>"2F9"</f>
        <v>2F9</v>
      </c>
      <c r="L5161" t="s">
        <v>15</v>
      </c>
    </row>
    <row r="5162" spans="1:12" x14ac:dyDescent="0.25">
      <c r="A5162" t="str">
        <f>"505423170"</f>
        <v>505423170</v>
      </c>
      <c r="B5162" t="str">
        <f t="shared" si="272"/>
        <v>89301000</v>
      </c>
      <c r="C5162" s="1">
        <v>44530</v>
      </c>
      <c r="D5162" s="1">
        <v>44535</v>
      </c>
      <c r="E5162">
        <v>7</v>
      </c>
      <c r="F5162" t="s">
        <v>217</v>
      </c>
      <c r="G5162" t="str">
        <f>"00-M01-04"</f>
        <v>00-M01-04</v>
      </c>
      <c r="H5162">
        <v>6.85</v>
      </c>
      <c r="I5162" t="s">
        <v>3807</v>
      </c>
      <c r="J5162" t="s">
        <v>14</v>
      </c>
      <c r="K5162" t="str">
        <f>"7T8"</f>
        <v>7T8</v>
      </c>
      <c r="L5162" t="s">
        <v>15</v>
      </c>
    </row>
    <row r="5163" spans="1:12" x14ac:dyDescent="0.25">
      <c r="A5163" t="str">
        <f>"505423170"</f>
        <v>505423170</v>
      </c>
      <c r="B5163" t="str">
        <f t="shared" si="272"/>
        <v>89301000</v>
      </c>
      <c r="C5163" s="1">
        <v>44488</v>
      </c>
      <c r="D5163" s="1">
        <v>44505</v>
      </c>
      <c r="E5163">
        <v>4</v>
      </c>
      <c r="F5163" t="s">
        <v>109</v>
      </c>
      <c r="G5163" t="str">
        <f>"24-M07-01"</f>
        <v>24-M07-01</v>
      </c>
      <c r="H5163">
        <v>1.7399</v>
      </c>
      <c r="I5163" t="s">
        <v>3808</v>
      </c>
      <c r="J5163" t="s">
        <v>14</v>
      </c>
      <c r="K5163" t="str">
        <f>"2F1"</f>
        <v>2F1</v>
      </c>
      <c r="L5163" t="s">
        <v>15</v>
      </c>
    </row>
    <row r="5164" spans="1:12" x14ac:dyDescent="0.25">
      <c r="A5164" t="str">
        <f>"505504117"</f>
        <v>505504117</v>
      </c>
      <c r="B5164" t="str">
        <f t="shared" si="272"/>
        <v>89301000</v>
      </c>
      <c r="C5164" s="1">
        <v>44424</v>
      </c>
      <c r="D5164" s="1">
        <v>44447</v>
      </c>
      <c r="E5164">
        <v>4</v>
      </c>
      <c r="F5164" t="s">
        <v>3809</v>
      </c>
      <c r="G5164" t="str">
        <f>"00-M01-02"</f>
        <v>00-M01-02</v>
      </c>
      <c r="H5164">
        <v>13.3348</v>
      </c>
      <c r="I5164" t="s">
        <v>3810</v>
      </c>
      <c r="J5164" t="s">
        <v>14</v>
      </c>
      <c r="K5164" t="str">
        <f>"5F1"</f>
        <v>5F1</v>
      </c>
      <c r="L5164" t="s">
        <v>15</v>
      </c>
    </row>
    <row r="5165" spans="1:12" x14ac:dyDescent="0.25">
      <c r="A5165" t="str">
        <f>"505506099"</f>
        <v>505506099</v>
      </c>
      <c r="B5165" t="str">
        <f t="shared" si="272"/>
        <v>89301000</v>
      </c>
      <c r="C5165" s="1">
        <v>44304</v>
      </c>
      <c r="D5165" s="1">
        <v>44309</v>
      </c>
      <c r="E5165">
        <v>5</v>
      </c>
      <c r="F5165" t="s">
        <v>3811</v>
      </c>
      <c r="G5165" t="str">
        <f>"08-I04-01"</f>
        <v>08-I04-01</v>
      </c>
      <c r="H5165">
        <v>2.8736999999999999</v>
      </c>
      <c r="I5165" t="s">
        <v>1586</v>
      </c>
      <c r="J5165" t="s">
        <v>17</v>
      </c>
      <c r="K5165" t="str">
        <f>"5F6"</f>
        <v>5F6</v>
      </c>
      <c r="L5165" t="s">
        <v>15</v>
      </c>
    </row>
    <row r="5166" spans="1:12" x14ac:dyDescent="0.25">
      <c r="A5166" t="str">
        <f>"505513013"</f>
        <v>505513013</v>
      </c>
      <c r="B5166" t="str">
        <f t="shared" si="272"/>
        <v>89301000</v>
      </c>
      <c r="C5166" s="1">
        <v>44448</v>
      </c>
      <c r="D5166" s="1">
        <v>44449</v>
      </c>
      <c r="E5166">
        <v>1</v>
      </c>
      <c r="F5166" t="s">
        <v>1557</v>
      </c>
      <c r="G5166" t="str">
        <f>"05-D01-08"</f>
        <v>05-D01-08</v>
      </c>
      <c r="H5166">
        <v>0.4093</v>
      </c>
      <c r="I5166" t="s">
        <v>1962</v>
      </c>
      <c r="J5166" t="s">
        <v>14</v>
      </c>
      <c r="K5166" t="str">
        <f>"1F1"</f>
        <v>1F1</v>
      </c>
      <c r="L5166" t="s">
        <v>15</v>
      </c>
    </row>
    <row r="5167" spans="1:12" x14ac:dyDescent="0.25">
      <c r="A5167" t="str">
        <f>"505513013"</f>
        <v>505513013</v>
      </c>
      <c r="B5167" t="str">
        <f t="shared" si="272"/>
        <v>89301000</v>
      </c>
      <c r="C5167" s="1">
        <v>44469</v>
      </c>
      <c r="D5167" s="1">
        <v>44471</v>
      </c>
      <c r="E5167">
        <v>1</v>
      </c>
      <c r="F5167" t="s">
        <v>1557</v>
      </c>
      <c r="G5167" t="str">
        <f>"05-I14-04"</f>
        <v>05-I14-04</v>
      </c>
      <c r="H5167">
        <v>5.4002999999999997</v>
      </c>
      <c r="I5167" t="s">
        <v>1959</v>
      </c>
      <c r="J5167" t="s">
        <v>14</v>
      </c>
      <c r="K5167" t="str">
        <f>"1F1"</f>
        <v>1F1</v>
      </c>
      <c r="L5167" t="s">
        <v>15</v>
      </c>
    </row>
    <row r="5168" spans="1:12" x14ac:dyDescent="0.25">
      <c r="A5168" t="str">
        <f>"505514058"</f>
        <v>505514058</v>
      </c>
      <c r="B5168" t="str">
        <f t="shared" si="272"/>
        <v>89301000</v>
      </c>
      <c r="C5168" s="1">
        <v>44358</v>
      </c>
      <c r="D5168" s="1">
        <v>44359</v>
      </c>
      <c r="E5168">
        <v>1</v>
      </c>
      <c r="F5168" t="s">
        <v>1557</v>
      </c>
      <c r="G5168" t="str">
        <f>"05-D01-08"</f>
        <v>05-D01-08</v>
      </c>
      <c r="H5168">
        <v>0.4093</v>
      </c>
      <c r="I5168" t="s">
        <v>3113</v>
      </c>
      <c r="J5168" t="s">
        <v>14</v>
      </c>
      <c r="K5168" t="str">
        <f>"1F1"</f>
        <v>1F1</v>
      </c>
      <c r="L5168" t="s">
        <v>15</v>
      </c>
    </row>
    <row r="5169" spans="1:12" x14ac:dyDescent="0.25">
      <c r="A5169" t="str">
        <f>"505516021"</f>
        <v>505516021</v>
      </c>
      <c r="B5169" t="str">
        <f t="shared" si="272"/>
        <v>89301000</v>
      </c>
      <c r="C5169" s="1">
        <v>44211</v>
      </c>
      <c r="D5169" s="1">
        <v>44211</v>
      </c>
      <c r="E5169">
        <v>5</v>
      </c>
      <c r="F5169" t="s">
        <v>1557</v>
      </c>
      <c r="G5169" t="str">
        <f>"05-M06-08"</f>
        <v>05-M06-08</v>
      </c>
      <c r="H5169">
        <v>1.1200000000000001</v>
      </c>
      <c r="J5169" t="s">
        <v>17</v>
      </c>
      <c r="K5169" t="str">
        <f>"1F7"</f>
        <v>1F7</v>
      </c>
      <c r="L5169" t="s">
        <v>15</v>
      </c>
    </row>
    <row r="5170" spans="1:12" x14ac:dyDescent="0.25">
      <c r="A5170" t="str">
        <f>"505519291"</f>
        <v>505519291</v>
      </c>
      <c r="B5170" t="str">
        <f t="shared" si="272"/>
        <v>89301000</v>
      </c>
      <c r="C5170" s="1">
        <v>44445</v>
      </c>
      <c r="D5170" s="1">
        <v>44449</v>
      </c>
      <c r="E5170">
        <v>1</v>
      </c>
      <c r="F5170" t="s">
        <v>335</v>
      </c>
      <c r="G5170" t="str">
        <f>"07-I10-06"</f>
        <v>07-I10-06</v>
      </c>
      <c r="H5170">
        <v>0.9728</v>
      </c>
      <c r="I5170" t="s">
        <v>3812</v>
      </c>
      <c r="J5170" t="s">
        <v>17</v>
      </c>
      <c r="K5170" t="str">
        <f>"5F1"</f>
        <v>5F1</v>
      </c>
      <c r="L5170" t="s">
        <v>15</v>
      </c>
    </row>
    <row r="5171" spans="1:12" x14ac:dyDescent="0.25">
      <c r="A5171" t="str">
        <f>"505519363"</f>
        <v>505519363</v>
      </c>
      <c r="B5171" t="str">
        <f t="shared" si="272"/>
        <v>89301000</v>
      </c>
      <c r="C5171" s="1">
        <v>44445</v>
      </c>
      <c r="D5171" s="1">
        <v>44455</v>
      </c>
      <c r="E5171">
        <v>1</v>
      </c>
      <c r="F5171" t="s">
        <v>3813</v>
      </c>
      <c r="G5171" t="str">
        <f>"07-I03-01"</f>
        <v>07-I03-01</v>
      </c>
      <c r="H5171">
        <v>4.6047000000000002</v>
      </c>
      <c r="I5171" t="s">
        <v>3814</v>
      </c>
      <c r="J5171" t="s">
        <v>17</v>
      </c>
      <c r="K5171" t="str">
        <f>"5F1"</f>
        <v>5F1</v>
      </c>
      <c r="L5171" t="s">
        <v>15</v>
      </c>
    </row>
    <row r="5172" spans="1:12" x14ac:dyDescent="0.25">
      <c r="A5172" t="str">
        <f>"505523036"</f>
        <v>505523036</v>
      </c>
      <c r="B5172" t="str">
        <f t="shared" si="272"/>
        <v>89301000</v>
      </c>
      <c r="C5172" s="1">
        <v>44210</v>
      </c>
      <c r="D5172" s="1">
        <v>44216</v>
      </c>
      <c r="E5172">
        <v>4</v>
      </c>
      <c r="F5172" t="s">
        <v>1968</v>
      </c>
      <c r="G5172" t="str">
        <f>"08-I05-05"</f>
        <v>08-I05-05</v>
      </c>
      <c r="H5172">
        <v>2.2932000000000001</v>
      </c>
      <c r="I5172" t="s">
        <v>1969</v>
      </c>
      <c r="J5172" t="s">
        <v>17</v>
      </c>
      <c r="K5172" t="str">
        <f>"6F6"</f>
        <v>6F6</v>
      </c>
      <c r="L5172" t="s">
        <v>15</v>
      </c>
    </row>
    <row r="5173" spans="1:12" x14ac:dyDescent="0.25">
      <c r="A5173" t="str">
        <f>"505525119"</f>
        <v>505525119</v>
      </c>
      <c r="B5173" t="str">
        <f t="shared" si="272"/>
        <v>89301000</v>
      </c>
      <c r="C5173" s="1">
        <v>44536</v>
      </c>
      <c r="D5173" s="1">
        <v>44544</v>
      </c>
      <c r="E5173">
        <v>1</v>
      </c>
      <c r="F5173" t="s">
        <v>3279</v>
      </c>
      <c r="G5173" t="str">
        <f>"11-I04-02"</f>
        <v>11-I04-02</v>
      </c>
      <c r="H5173">
        <v>2.8098999999999998</v>
      </c>
      <c r="I5173" t="s">
        <v>3815</v>
      </c>
      <c r="J5173" t="s">
        <v>17</v>
      </c>
      <c r="K5173" t="str">
        <f>"7F6"</f>
        <v>7F6</v>
      </c>
      <c r="L5173" t="s">
        <v>15</v>
      </c>
    </row>
    <row r="5174" spans="1:12" x14ac:dyDescent="0.25">
      <c r="A5174" t="str">
        <f>"505525269"</f>
        <v>505525269</v>
      </c>
      <c r="B5174" t="str">
        <f t="shared" si="272"/>
        <v>89301000</v>
      </c>
      <c r="C5174" s="1">
        <v>44523</v>
      </c>
      <c r="D5174" s="1">
        <v>44530</v>
      </c>
      <c r="E5174">
        <v>4</v>
      </c>
      <c r="F5174" t="s">
        <v>2407</v>
      </c>
      <c r="G5174" t="str">
        <f>"08-I06-04"</f>
        <v>08-I06-04</v>
      </c>
      <c r="H5174">
        <v>2.4260000000000002</v>
      </c>
      <c r="I5174" t="s">
        <v>168</v>
      </c>
      <c r="J5174" t="s">
        <v>24</v>
      </c>
      <c r="K5174" t="str">
        <f>"6F6"</f>
        <v>6F6</v>
      </c>
      <c r="L5174" t="s">
        <v>15</v>
      </c>
    </row>
    <row r="5175" spans="1:12" x14ac:dyDescent="0.25">
      <c r="A5175" t="str">
        <f>"505526048"</f>
        <v>505526048</v>
      </c>
      <c r="B5175" t="str">
        <f t="shared" si="272"/>
        <v>89301000</v>
      </c>
      <c r="C5175" s="1">
        <v>44464</v>
      </c>
      <c r="D5175" s="1">
        <v>44470</v>
      </c>
      <c r="E5175">
        <v>1</v>
      </c>
      <c r="F5175" t="s">
        <v>260</v>
      </c>
      <c r="G5175" t="str">
        <f>"03-I16-01"</f>
        <v>03-I16-01</v>
      </c>
      <c r="H5175">
        <v>1.4655</v>
      </c>
      <c r="I5175" t="s">
        <v>3816</v>
      </c>
      <c r="J5175" t="s">
        <v>24</v>
      </c>
      <c r="K5175" t="str">
        <f>"7F1"</f>
        <v>7F1</v>
      </c>
      <c r="L5175" t="s">
        <v>15</v>
      </c>
    </row>
    <row r="5176" spans="1:12" x14ac:dyDescent="0.25">
      <c r="A5176" t="str">
        <f>"505604117"</f>
        <v>505604117</v>
      </c>
      <c r="B5176" t="str">
        <f t="shared" si="272"/>
        <v>89301000</v>
      </c>
      <c r="C5176" s="1">
        <v>44558</v>
      </c>
      <c r="D5176" s="1">
        <v>44558</v>
      </c>
      <c r="E5176">
        <v>1</v>
      </c>
      <c r="F5176" t="s">
        <v>3002</v>
      </c>
      <c r="G5176" t="str">
        <f>"05-D01-06"</f>
        <v>05-D01-06</v>
      </c>
      <c r="H5176">
        <v>0.40649999999999997</v>
      </c>
      <c r="I5176" t="s">
        <v>1814</v>
      </c>
      <c r="J5176" t="s">
        <v>14</v>
      </c>
      <c r="K5176" t="str">
        <f>"1F1"</f>
        <v>1F1</v>
      </c>
      <c r="L5176" t="s">
        <v>15</v>
      </c>
    </row>
    <row r="5177" spans="1:12" x14ac:dyDescent="0.25">
      <c r="A5177" t="str">
        <f>"505605078"</f>
        <v>505605078</v>
      </c>
      <c r="B5177" t="str">
        <f t="shared" si="272"/>
        <v>89301000</v>
      </c>
      <c r="C5177" s="1">
        <v>44272</v>
      </c>
      <c r="D5177" s="1">
        <v>44278</v>
      </c>
      <c r="E5177">
        <v>1</v>
      </c>
      <c r="F5177" t="s">
        <v>1581</v>
      </c>
      <c r="G5177" t="str">
        <f>"05-I24-04"</f>
        <v>05-I24-04</v>
      </c>
      <c r="H5177">
        <v>2.2829000000000002</v>
      </c>
      <c r="I5177" t="s">
        <v>3817</v>
      </c>
      <c r="J5177" t="s">
        <v>14</v>
      </c>
      <c r="K5177" t="str">
        <f>"5F1"</f>
        <v>5F1</v>
      </c>
      <c r="L5177" t="s">
        <v>15</v>
      </c>
    </row>
    <row r="5178" spans="1:12" x14ac:dyDescent="0.25">
      <c r="A5178" t="str">
        <f>"505608083"</f>
        <v>505608083</v>
      </c>
      <c r="B5178" t="str">
        <f t="shared" si="272"/>
        <v>89301000</v>
      </c>
      <c r="C5178" s="1">
        <v>44493</v>
      </c>
      <c r="D5178" s="1">
        <v>44495</v>
      </c>
      <c r="E5178">
        <v>1</v>
      </c>
      <c r="F5178" t="s">
        <v>831</v>
      </c>
      <c r="G5178" t="str">
        <f>"02-I06-03"</f>
        <v>02-I06-03</v>
      </c>
      <c r="H5178">
        <v>0.63690000000000002</v>
      </c>
      <c r="I5178" t="s">
        <v>3818</v>
      </c>
      <c r="J5178" t="s">
        <v>17</v>
      </c>
      <c r="K5178" t="str">
        <f>"7F5"</f>
        <v>7F5</v>
      </c>
      <c r="L5178" t="s">
        <v>15</v>
      </c>
    </row>
    <row r="5179" spans="1:12" x14ac:dyDescent="0.25">
      <c r="A5179" t="str">
        <f>"505608159"</f>
        <v>505608159</v>
      </c>
      <c r="B5179" t="str">
        <f t="shared" si="272"/>
        <v>89301000</v>
      </c>
      <c r="C5179" s="1">
        <v>44306</v>
      </c>
      <c r="D5179" s="1">
        <v>44309</v>
      </c>
      <c r="E5179">
        <v>4</v>
      </c>
      <c r="F5179" t="s">
        <v>609</v>
      </c>
      <c r="G5179" t="str">
        <f>"08-K13-02"</f>
        <v>08-K13-02</v>
      </c>
      <c r="H5179">
        <v>0.47210000000000002</v>
      </c>
      <c r="I5179" t="s">
        <v>3819</v>
      </c>
      <c r="J5179" t="s">
        <v>14</v>
      </c>
      <c r="K5179" t="str">
        <f>"5F3"</f>
        <v>5F3</v>
      </c>
      <c r="L5179" t="s">
        <v>15</v>
      </c>
    </row>
    <row r="5180" spans="1:12" x14ac:dyDescent="0.25">
      <c r="A5180" t="str">
        <f>"505611039"</f>
        <v>505611039</v>
      </c>
      <c r="B5180" t="str">
        <f t="shared" si="272"/>
        <v>89301000</v>
      </c>
      <c r="C5180" s="1">
        <v>44509</v>
      </c>
      <c r="D5180" s="1">
        <v>44512</v>
      </c>
      <c r="E5180">
        <v>1</v>
      </c>
      <c r="F5180" t="s">
        <v>412</v>
      </c>
      <c r="G5180" t="str">
        <f>"09-K14-02"</f>
        <v>09-K14-02</v>
      </c>
      <c r="H5180">
        <v>0.50549999999999995</v>
      </c>
      <c r="I5180" t="s">
        <v>3818</v>
      </c>
      <c r="J5180" t="s">
        <v>14</v>
      </c>
      <c r="K5180" t="str">
        <f>"4F4"</f>
        <v>4F4</v>
      </c>
      <c r="L5180" t="s">
        <v>15</v>
      </c>
    </row>
    <row r="5181" spans="1:12" x14ac:dyDescent="0.25">
      <c r="A5181" t="str">
        <f>"505611056"</f>
        <v>505611056</v>
      </c>
      <c r="B5181" t="str">
        <f t="shared" si="272"/>
        <v>89301000</v>
      </c>
      <c r="C5181" s="1">
        <v>44305</v>
      </c>
      <c r="D5181" s="1">
        <v>44308</v>
      </c>
      <c r="E5181">
        <v>1</v>
      </c>
      <c r="F5181" t="s">
        <v>3416</v>
      </c>
      <c r="G5181" t="str">
        <f>"08-K08-00"</f>
        <v>08-K08-00</v>
      </c>
      <c r="H5181">
        <v>0.51670000000000005</v>
      </c>
      <c r="I5181" t="s">
        <v>3820</v>
      </c>
      <c r="J5181" t="s">
        <v>14</v>
      </c>
      <c r="K5181" t="str">
        <f>"2F9"</f>
        <v>2F9</v>
      </c>
      <c r="L5181" t="s">
        <v>15</v>
      </c>
    </row>
    <row r="5182" spans="1:12" x14ac:dyDescent="0.25">
      <c r="A5182" t="str">
        <f>"505613239"</f>
        <v>505613239</v>
      </c>
      <c r="B5182" t="str">
        <f t="shared" si="272"/>
        <v>89301000</v>
      </c>
      <c r="C5182" s="1">
        <v>44398</v>
      </c>
      <c r="D5182" s="1">
        <v>44400</v>
      </c>
      <c r="E5182">
        <v>1</v>
      </c>
      <c r="F5182" t="s">
        <v>1604</v>
      </c>
      <c r="G5182" t="str">
        <f>"05-I25-03"</f>
        <v>05-I25-03</v>
      </c>
      <c r="H5182">
        <v>1.5508</v>
      </c>
      <c r="J5182" t="s">
        <v>17</v>
      </c>
      <c r="K5182" t="str">
        <f>"1F1"</f>
        <v>1F1</v>
      </c>
      <c r="L5182" t="s">
        <v>15</v>
      </c>
    </row>
    <row r="5183" spans="1:12" x14ac:dyDescent="0.25">
      <c r="A5183" t="str">
        <f>"505613268"</f>
        <v>505613268</v>
      </c>
      <c r="B5183" t="str">
        <f t="shared" si="272"/>
        <v>89301000</v>
      </c>
      <c r="C5183" s="1">
        <v>44545</v>
      </c>
      <c r="D5183" s="1">
        <v>44551</v>
      </c>
      <c r="E5183">
        <v>1</v>
      </c>
      <c r="F5183" t="s">
        <v>1802</v>
      </c>
      <c r="G5183" t="str">
        <f>"13-I04-01"</f>
        <v>13-I04-01</v>
      </c>
      <c r="H5183">
        <v>2.6413000000000002</v>
      </c>
      <c r="I5183" t="s">
        <v>1586</v>
      </c>
      <c r="J5183" t="s">
        <v>14</v>
      </c>
      <c r="K5183" t="str">
        <f>"6F3"</f>
        <v>6F3</v>
      </c>
      <c r="L5183" t="s">
        <v>15</v>
      </c>
    </row>
    <row r="5184" spans="1:12" x14ac:dyDescent="0.25">
      <c r="A5184" t="str">
        <f>"505613268"</f>
        <v>505613268</v>
      </c>
      <c r="B5184" t="str">
        <f t="shared" si="272"/>
        <v>89301000</v>
      </c>
      <c r="C5184" s="1">
        <v>44496</v>
      </c>
      <c r="D5184" s="1">
        <v>44497</v>
      </c>
      <c r="E5184">
        <v>1</v>
      </c>
      <c r="F5184" t="s">
        <v>1805</v>
      </c>
      <c r="G5184" t="str">
        <f>"13-I19-00"</f>
        <v>13-I19-00</v>
      </c>
      <c r="H5184">
        <v>0.24679999999999999</v>
      </c>
      <c r="J5184" t="s">
        <v>14</v>
      </c>
      <c r="K5184" t="str">
        <f>"6F3"</f>
        <v>6F3</v>
      </c>
      <c r="L5184" t="s">
        <v>15</v>
      </c>
    </row>
    <row r="5185" spans="1:12" x14ac:dyDescent="0.25">
      <c r="A5185" t="str">
        <f>"505614122"</f>
        <v>505614122</v>
      </c>
      <c r="B5185" t="str">
        <f t="shared" si="272"/>
        <v>89301000</v>
      </c>
      <c r="C5185" s="1">
        <v>44327</v>
      </c>
      <c r="D5185" s="1">
        <v>44329</v>
      </c>
      <c r="E5185">
        <v>1</v>
      </c>
      <c r="F5185" t="s">
        <v>831</v>
      </c>
      <c r="G5185" t="str">
        <f>"02-I06-03"</f>
        <v>02-I06-03</v>
      </c>
      <c r="H5185">
        <v>0.63690000000000002</v>
      </c>
      <c r="I5185" t="s">
        <v>3821</v>
      </c>
      <c r="J5185" t="s">
        <v>17</v>
      </c>
      <c r="K5185" t="str">
        <f>"7F5"</f>
        <v>7F5</v>
      </c>
      <c r="L5185" t="s">
        <v>15</v>
      </c>
    </row>
    <row r="5186" spans="1:12" x14ac:dyDescent="0.25">
      <c r="A5186" t="str">
        <f>"505618227"</f>
        <v>505618227</v>
      </c>
      <c r="B5186" t="str">
        <f t="shared" si="272"/>
        <v>89301000</v>
      </c>
      <c r="C5186" s="1">
        <v>44218</v>
      </c>
      <c r="D5186" s="1">
        <v>44225</v>
      </c>
      <c r="E5186">
        <v>1</v>
      </c>
      <c r="F5186" t="s">
        <v>217</v>
      </c>
      <c r="G5186" t="str">
        <f>"04-K02-04"</f>
        <v>04-K02-04</v>
      </c>
      <c r="H5186">
        <v>0.82469999999999999</v>
      </c>
      <c r="I5186" t="s">
        <v>3822</v>
      </c>
      <c r="J5186" t="s">
        <v>14</v>
      </c>
      <c r="K5186" t="str">
        <f>"5F1"</f>
        <v>5F1</v>
      </c>
      <c r="L5186" t="s">
        <v>15</v>
      </c>
    </row>
    <row r="5187" spans="1:12" x14ac:dyDescent="0.25">
      <c r="A5187" t="str">
        <f>"505620157"</f>
        <v>505620157</v>
      </c>
      <c r="B5187" t="str">
        <f t="shared" si="272"/>
        <v>89301000</v>
      </c>
      <c r="C5187" s="1">
        <v>44525</v>
      </c>
      <c r="D5187" s="1">
        <v>44529</v>
      </c>
      <c r="E5187">
        <v>1</v>
      </c>
      <c r="F5187" t="s">
        <v>1551</v>
      </c>
      <c r="G5187" t="str">
        <f>"09-I06-04"</f>
        <v>09-I06-04</v>
      </c>
      <c r="H5187">
        <v>0.98829999999999996</v>
      </c>
      <c r="J5187" t="s">
        <v>17</v>
      </c>
      <c r="K5187" t="str">
        <f>"5F1"</f>
        <v>5F1</v>
      </c>
      <c r="L5187" t="s">
        <v>15</v>
      </c>
    </row>
    <row r="5188" spans="1:12" x14ac:dyDescent="0.25">
      <c r="A5188" t="str">
        <f>"505620157"</f>
        <v>505620157</v>
      </c>
      <c r="B5188" t="str">
        <f t="shared" si="272"/>
        <v>89301000</v>
      </c>
      <c r="C5188" s="1">
        <v>44259</v>
      </c>
      <c r="D5188" s="1">
        <v>44261</v>
      </c>
      <c r="E5188">
        <v>1</v>
      </c>
      <c r="F5188" t="s">
        <v>550</v>
      </c>
      <c r="G5188" t="str">
        <f>"07-M02-04"</f>
        <v>07-M02-04</v>
      </c>
      <c r="H5188">
        <v>0.83299999999999996</v>
      </c>
      <c r="I5188" t="s">
        <v>3823</v>
      </c>
      <c r="J5188" t="s">
        <v>17</v>
      </c>
      <c r="K5188" t="str">
        <f>"1F5"</f>
        <v>1F5</v>
      </c>
      <c r="L5188" t="s">
        <v>15</v>
      </c>
    </row>
    <row r="5189" spans="1:12" x14ac:dyDescent="0.25">
      <c r="A5189" t="str">
        <f>"505620157"</f>
        <v>505620157</v>
      </c>
      <c r="B5189" t="str">
        <f t="shared" si="272"/>
        <v>89301000</v>
      </c>
      <c r="C5189" s="1">
        <v>44299</v>
      </c>
      <c r="D5189" s="1">
        <v>44304</v>
      </c>
      <c r="E5189">
        <v>1</v>
      </c>
      <c r="F5189" t="s">
        <v>593</v>
      </c>
      <c r="G5189" t="str">
        <f>"07-I10-05"</f>
        <v>07-I10-05</v>
      </c>
      <c r="H5189">
        <v>1.2605999999999999</v>
      </c>
      <c r="I5189" t="s">
        <v>1690</v>
      </c>
      <c r="J5189" t="s">
        <v>17</v>
      </c>
      <c r="K5189" t="str">
        <f>"5F1"</f>
        <v>5F1</v>
      </c>
      <c r="L5189" t="s">
        <v>15</v>
      </c>
    </row>
    <row r="5190" spans="1:12" x14ac:dyDescent="0.25">
      <c r="A5190" t="str">
        <f>"505620157"</f>
        <v>505620157</v>
      </c>
      <c r="B5190" t="str">
        <f t="shared" si="272"/>
        <v>89301000</v>
      </c>
      <c r="C5190" s="1">
        <v>44350</v>
      </c>
      <c r="D5190" s="1">
        <v>44352</v>
      </c>
      <c r="E5190">
        <v>1</v>
      </c>
      <c r="F5190" t="s">
        <v>550</v>
      </c>
      <c r="G5190" t="str">
        <f>"07-M02-04"</f>
        <v>07-M02-04</v>
      </c>
      <c r="H5190">
        <v>0.83479999999999999</v>
      </c>
      <c r="I5190" t="s">
        <v>3824</v>
      </c>
      <c r="J5190" t="s">
        <v>17</v>
      </c>
      <c r="K5190" t="str">
        <f>"1F1"</f>
        <v>1F1</v>
      </c>
      <c r="L5190" t="s">
        <v>15</v>
      </c>
    </row>
    <row r="5191" spans="1:12" x14ac:dyDescent="0.25">
      <c r="A5191" t="str">
        <f>"505621099"</f>
        <v>505621099</v>
      </c>
      <c r="B5191" t="str">
        <f t="shared" si="272"/>
        <v>89301000</v>
      </c>
      <c r="C5191" s="1">
        <v>44410</v>
      </c>
      <c r="D5191" s="1">
        <v>44427</v>
      </c>
      <c r="E5191">
        <v>1</v>
      </c>
      <c r="F5191" t="s">
        <v>1602</v>
      </c>
      <c r="G5191" t="str">
        <f>"05-K07-05"</f>
        <v>05-K07-05</v>
      </c>
      <c r="H5191">
        <v>0.93569999999999998</v>
      </c>
      <c r="I5191" t="s">
        <v>3825</v>
      </c>
      <c r="J5191" t="s">
        <v>14</v>
      </c>
      <c r="K5191" t="str">
        <f>"1F6"</f>
        <v>1F6</v>
      </c>
      <c r="L5191" t="s">
        <v>15</v>
      </c>
    </row>
    <row r="5192" spans="1:12" x14ac:dyDescent="0.25">
      <c r="A5192" t="str">
        <f>"505625033"</f>
        <v>505625033</v>
      </c>
      <c r="B5192" t="str">
        <f t="shared" si="272"/>
        <v>89301000</v>
      </c>
      <c r="C5192" s="1">
        <v>44304</v>
      </c>
      <c r="D5192" s="1">
        <v>44308</v>
      </c>
      <c r="E5192">
        <v>1</v>
      </c>
      <c r="F5192" t="s">
        <v>593</v>
      </c>
      <c r="G5192" t="str">
        <f>"07-I10-06"</f>
        <v>07-I10-06</v>
      </c>
      <c r="H5192">
        <v>0.9728</v>
      </c>
      <c r="I5192" t="s">
        <v>2391</v>
      </c>
      <c r="J5192" t="s">
        <v>17</v>
      </c>
      <c r="K5192" t="str">
        <f>"5F1"</f>
        <v>5F1</v>
      </c>
      <c r="L5192" t="s">
        <v>15</v>
      </c>
    </row>
    <row r="5193" spans="1:12" x14ac:dyDescent="0.25">
      <c r="A5193" t="str">
        <f>"505704046"</f>
        <v>505704046</v>
      </c>
      <c r="B5193" t="str">
        <f t="shared" si="272"/>
        <v>89301000</v>
      </c>
      <c r="C5193" s="1">
        <v>44423</v>
      </c>
      <c r="D5193" s="1">
        <v>44426</v>
      </c>
      <c r="E5193">
        <v>1</v>
      </c>
      <c r="F5193" t="s">
        <v>2900</v>
      </c>
      <c r="G5193" t="str">
        <f>"10-I13-04"</f>
        <v>10-I13-04</v>
      </c>
      <c r="H5193">
        <v>0.66120000000000001</v>
      </c>
      <c r="I5193" t="s">
        <v>1959</v>
      </c>
      <c r="J5193" t="s">
        <v>24</v>
      </c>
      <c r="K5193" t="str">
        <f>"5F1"</f>
        <v>5F1</v>
      </c>
      <c r="L5193" t="s">
        <v>15</v>
      </c>
    </row>
    <row r="5194" spans="1:12" x14ac:dyDescent="0.25">
      <c r="A5194" t="str">
        <f>"505704095"</f>
        <v>505704095</v>
      </c>
      <c r="B5194" t="str">
        <f t="shared" si="272"/>
        <v>89301000</v>
      </c>
      <c r="C5194" s="1">
        <v>44538</v>
      </c>
      <c r="D5194" s="1">
        <v>44550</v>
      </c>
      <c r="E5194">
        <v>1</v>
      </c>
      <c r="F5194" t="s">
        <v>593</v>
      </c>
      <c r="G5194" t="str">
        <f>"07-K05-03"</f>
        <v>07-K05-03</v>
      </c>
      <c r="H5194">
        <v>0.61409999999999998</v>
      </c>
      <c r="I5194" t="s">
        <v>3826</v>
      </c>
      <c r="J5194" t="s">
        <v>14</v>
      </c>
      <c r="K5194" t="str">
        <f>"1F5"</f>
        <v>1F5</v>
      </c>
      <c r="L5194" t="s">
        <v>15</v>
      </c>
    </row>
    <row r="5195" spans="1:12" x14ac:dyDescent="0.25">
      <c r="A5195" t="str">
        <f>"505705045"</f>
        <v>505705045</v>
      </c>
      <c r="B5195" t="str">
        <f t="shared" ref="B5195:B5258" si="273">"89301000"</f>
        <v>89301000</v>
      </c>
      <c r="C5195" s="1">
        <v>44285</v>
      </c>
      <c r="D5195" s="1">
        <v>44292</v>
      </c>
      <c r="E5195">
        <v>1</v>
      </c>
      <c r="F5195" t="s">
        <v>217</v>
      </c>
      <c r="G5195" t="str">
        <f>"04-K02-04"</f>
        <v>04-K02-04</v>
      </c>
      <c r="H5195">
        <v>0.82469999999999999</v>
      </c>
      <c r="I5195" t="s">
        <v>3827</v>
      </c>
      <c r="J5195" t="s">
        <v>14</v>
      </c>
      <c r="K5195" t="str">
        <f>"5F1"</f>
        <v>5F1</v>
      </c>
      <c r="L5195" t="s">
        <v>15</v>
      </c>
    </row>
    <row r="5196" spans="1:12" x14ac:dyDescent="0.25">
      <c r="A5196" t="str">
        <f>"505706149"</f>
        <v>505706149</v>
      </c>
      <c r="B5196" t="str">
        <f t="shared" si="273"/>
        <v>89301000</v>
      </c>
      <c r="C5196" s="1">
        <v>44203</v>
      </c>
      <c r="D5196" s="1">
        <v>44209</v>
      </c>
      <c r="E5196">
        <v>2</v>
      </c>
      <c r="F5196" t="s">
        <v>16</v>
      </c>
      <c r="G5196" t="str">
        <f>"08-I03-06"</f>
        <v>08-I03-06</v>
      </c>
      <c r="H5196">
        <v>3.2942</v>
      </c>
      <c r="I5196" t="s">
        <v>489</v>
      </c>
      <c r="J5196" t="s">
        <v>17</v>
      </c>
      <c r="K5196" t="str">
        <f>"5F6"</f>
        <v>5F6</v>
      </c>
      <c r="L5196" t="s">
        <v>15</v>
      </c>
    </row>
    <row r="5197" spans="1:12" x14ac:dyDescent="0.25">
      <c r="A5197" t="str">
        <f>"505706259"</f>
        <v>505706259</v>
      </c>
      <c r="B5197" t="str">
        <f t="shared" si="273"/>
        <v>89301000</v>
      </c>
      <c r="C5197" s="1">
        <v>44506</v>
      </c>
      <c r="D5197" s="1">
        <v>44509</v>
      </c>
      <c r="E5197">
        <v>1</v>
      </c>
      <c r="F5197" t="s">
        <v>2004</v>
      </c>
      <c r="G5197" t="str">
        <f>"05-M06-06"</f>
        <v>05-M06-06</v>
      </c>
      <c r="H5197">
        <v>1.7652000000000001</v>
      </c>
      <c r="J5197" t="s">
        <v>17</v>
      </c>
      <c r="K5197" t="str">
        <f>"1T1"</f>
        <v>1T1</v>
      </c>
      <c r="L5197" t="s">
        <v>15</v>
      </c>
    </row>
    <row r="5198" spans="1:12" x14ac:dyDescent="0.25">
      <c r="A5198" t="str">
        <f>"505715048"</f>
        <v>505715048</v>
      </c>
      <c r="B5198" t="str">
        <f t="shared" si="273"/>
        <v>89301000</v>
      </c>
      <c r="C5198" s="1">
        <v>44514</v>
      </c>
      <c r="D5198" s="1">
        <v>44518</v>
      </c>
      <c r="E5198">
        <v>1</v>
      </c>
      <c r="F5198" t="s">
        <v>1548</v>
      </c>
      <c r="G5198" t="str">
        <f>"05-I14-02"</f>
        <v>05-I14-02</v>
      </c>
      <c r="H5198">
        <v>6.3216999999999999</v>
      </c>
      <c r="J5198" t="s">
        <v>14</v>
      </c>
      <c r="K5198" t="str">
        <f>"1F1"</f>
        <v>1F1</v>
      </c>
      <c r="L5198" t="s">
        <v>15</v>
      </c>
    </row>
    <row r="5199" spans="1:12" x14ac:dyDescent="0.25">
      <c r="A5199" t="str">
        <f>"505717041"</f>
        <v>505717041</v>
      </c>
      <c r="B5199" t="str">
        <f t="shared" si="273"/>
        <v>89301000</v>
      </c>
      <c r="C5199" s="1">
        <v>44316</v>
      </c>
      <c r="D5199" s="1">
        <v>44328</v>
      </c>
      <c r="E5199">
        <v>5</v>
      </c>
      <c r="F5199" t="s">
        <v>1863</v>
      </c>
      <c r="G5199" t="str">
        <f>"07-K07-02"</f>
        <v>07-K07-02</v>
      </c>
      <c r="H5199">
        <v>0.64890000000000003</v>
      </c>
      <c r="I5199" t="s">
        <v>3828</v>
      </c>
      <c r="J5199" t="s">
        <v>14</v>
      </c>
      <c r="K5199" t="str">
        <f>"1F1"</f>
        <v>1F1</v>
      </c>
      <c r="L5199" t="s">
        <v>15</v>
      </c>
    </row>
    <row r="5200" spans="1:12" x14ac:dyDescent="0.25">
      <c r="A5200" t="str">
        <f>"505717351"</f>
        <v>505717351</v>
      </c>
      <c r="B5200" t="str">
        <f t="shared" si="273"/>
        <v>89301000</v>
      </c>
      <c r="C5200" s="1">
        <v>44487</v>
      </c>
      <c r="D5200" s="1">
        <v>44490</v>
      </c>
      <c r="E5200">
        <v>1</v>
      </c>
      <c r="F5200" t="s">
        <v>1551</v>
      </c>
      <c r="G5200" t="str">
        <f>"09-I06-04"</f>
        <v>09-I06-04</v>
      </c>
      <c r="H5200">
        <v>1.0182</v>
      </c>
      <c r="I5200" t="s">
        <v>489</v>
      </c>
      <c r="J5200" t="s">
        <v>17</v>
      </c>
      <c r="K5200" t="str">
        <f>"5F1"</f>
        <v>5F1</v>
      </c>
      <c r="L5200" t="s">
        <v>15</v>
      </c>
    </row>
    <row r="5201" spans="1:12" x14ac:dyDescent="0.25">
      <c r="A5201" t="str">
        <f>"505718191"</f>
        <v>505718191</v>
      </c>
      <c r="B5201" t="str">
        <f t="shared" si="273"/>
        <v>89301000</v>
      </c>
      <c r="C5201" s="1">
        <v>44272</v>
      </c>
      <c r="D5201" s="1">
        <v>44272</v>
      </c>
      <c r="E5201">
        <v>1</v>
      </c>
      <c r="F5201" t="s">
        <v>2457</v>
      </c>
      <c r="G5201" t="str">
        <f>"05-D01-08"</f>
        <v>05-D01-08</v>
      </c>
      <c r="H5201">
        <v>0.21890000000000001</v>
      </c>
      <c r="J5201" t="s">
        <v>14</v>
      </c>
      <c r="K5201" t="str">
        <f>"1F1"</f>
        <v>1F1</v>
      </c>
      <c r="L5201" t="s">
        <v>15</v>
      </c>
    </row>
    <row r="5202" spans="1:12" x14ac:dyDescent="0.25">
      <c r="A5202" t="str">
        <f>"505724138"</f>
        <v>505724138</v>
      </c>
      <c r="B5202" t="str">
        <f t="shared" si="273"/>
        <v>89301000</v>
      </c>
      <c r="C5202" s="1">
        <v>44300</v>
      </c>
      <c r="D5202" s="1">
        <v>44302</v>
      </c>
      <c r="E5202">
        <v>1</v>
      </c>
      <c r="F5202" t="s">
        <v>144</v>
      </c>
      <c r="G5202" t="str">
        <f>"04-K10-02"</f>
        <v>04-K10-02</v>
      </c>
      <c r="H5202">
        <v>0.41870000000000002</v>
      </c>
      <c r="I5202" t="s">
        <v>3829</v>
      </c>
      <c r="J5202" t="s">
        <v>14</v>
      </c>
      <c r="K5202" t="str">
        <f>"2F5"</f>
        <v>2F5</v>
      </c>
      <c r="L5202" t="s">
        <v>15</v>
      </c>
    </row>
    <row r="5203" spans="1:12" x14ac:dyDescent="0.25">
      <c r="A5203" t="str">
        <f>"505802115"</f>
        <v>505802115</v>
      </c>
      <c r="B5203" t="str">
        <f t="shared" si="273"/>
        <v>89301000</v>
      </c>
      <c r="C5203" s="1">
        <v>44501</v>
      </c>
      <c r="D5203" s="1">
        <v>44531</v>
      </c>
      <c r="E5203">
        <v>1</v>
      </c>
      <c r="F5203" t="s">
        <v>938</v>
      </c>
      <c r="G5203" t="str">
        <f>"06-I17-01"</f>
        <v>06-I17-01</v>
      </c>
      <c r="H5203">
        <v>3.0638999999999998</v>
      </c>
      <c r="I5203" t="s">
        <v>3830</v>
      </c>
      <c r="J5203" t="s">
        <v>17</v>
      </c>
      <c r="K5203" t="str">
        <f>"5F1"</f>
        <v>5F1</v>
      </c>
      <c r="L5203" t="s">
        <v>15</v>
      </c>
    </row>
    <row r="5204" spans="1:12" x14ac:dyDescent="0.25">
      <c r="A5204" t="str">
        <f>"505804220"</f>
        <v>505804220</v>
      </c>
      <c r="B5204" t="str">
        <f t="shared" si="273"/>
        <v>89301000</v>
      </c>
      <c r="C5204" s="1">
        <v>44367</v>
      </c>
      <c r="D5204" s="1">
        <v>44369</v>
      </c>
      <c r="E5204">
        <v>1</v>
      </c>
      <c r="F5204" t="s">
        <v>3831</v>
      </c>
      <c r="G5204" t="str">
        <f>"06-K15-02"</f>
        <v>06-K15-02</v>
      </c>
      <c r="H5204">
        <v>0.2777</v>
      </c>
      <c r="I5204" t="s">
        <v>3832</v>
      </c>
      <c r="J5204" t="s">
        <v>14</v>
      </c>
      <c r="K5204" t="str">
        <f>"1F1"</f>
        <v>1F1</v>
      </c>
      <c r="L5204" t="s">
        <v>15</v>
      </c>
    </row>
    <row r="5205" spans="1:12" x14ac:dyDescent="0.25">
      <c r="A5205" t="str">
        <f>"505804220"</f>
        <v>505804220</v>
      </c>
      <c r="B5205" t="str">
        <f t="shared" si="273"/>
        <v>89301000</v>
      </c>
      <c r="C5205" s="1">
        <v>44509</v>
      </c>
      <c r="D5205" s="1">
        <v>44512</v>
      </c>
      <c r="E5205">
        <v>1</v>
      </c>
      <c r="F5205" t="s">
        <v>496</v>
      </c>
      <c r="G5205" t="str">
        <f>"08-M03-05"</f>
        <v>08-M03-05</v>
      </c>
      <c r="H5205">
        <v>0.51759999999999995</v>
      </c>
      <c r="J5205" t="s">
        <v>14</v>
      </c>
      <c r="K5205" t="str">
        <f>"6F6"</f>
        <v>6F6</v>
      </c>
      <c r="L5205" t="s">
        <v>15</v>
      </c>
    </row>
    <row r="5206" spans="1:12" x14ac:dyDescent="0.25">
      <c r="A5206" t="str">
        <f>"505804264"</f>
        <v>505804264</v>
      </c>
      <c r="B5206" t="str">
        <f t="shared" si="273"/>
        <v>89301000</v>
      </c>
      <c r="C5206" s="1">
        <v>44222</v>
      </c>
      <c r="D5206" s="1">
        <v>44224</v>
      </c>
      <c r="E5206">
        <v>1</v>
      </c>
      <c r="F5206" t="s">
        <v>831</v>
      </c>
      <c r="G5206" t="str">
        <f>"02-I06-03"</f>
        <v>02-I06-03</v>
      </c>
      <c r="H5206">
        <v>0.63690000000000002</v>
      </c>
      <c r="I5206" t="s">
        <v>3833</v>
      </c>
      <c r="J5206" t="s">
        <v>17</v>
      </c>
      <c r="K5206" t="str">
        <f>"7F5"</f>
        <v>7F5</v>
      </c>
      <c r="L5206" t="s">
        <v>15</v>
      </c>
    </row>
    <row r="5207" spans="1:12" x14ac:dyDescent="0.25">
      <c r="A5207" t="str">
        <f>"505810019"</f>
        <v>505810019</v>
      </c>
      <c r="B5207" t="str">
        <f t="shared" si="273"/>
        <v>89301000</v>
      </c>
      <c r="C5207" s="1">
        <v>44546</v>
      </c>
      <c r="D5207" s="1">
        <v>44553</v>
      </c>
      <c r="E5207">
        <v>1</v>
      </c>
      <c r="F5207" t="s">
        <v>786</v>
      </c>
      <c r="G5207" t="str">
        <f>"04-K07-03"</f>
        <v>04-K07-03</v>
      </c>
      <c r="H5207">
        <v>0.66259999999999997</v>
      </c>
      <c r="I5207" t="s">
        <v>3834</v>
      </c>
      <c r="J5207" t="s">
        <v>14</v>
      </c>
      <c r="K5207" t="str">
        <f>"2F5"</f>
        <v>2F5</v>
      </c>
      <c r="L5207" t="s">
        <v>15</v>
      </c>
    </row>
    <row r="5208" spans="1:12" x14ac:dyDescent="0.25">
      <c r="A5208" t="str">
        <f>"505810019"</f>
        <v>505810019</v>
      </c>
      <c r="B5208" t="str">
        <f t="shared" si="273"/>
        <v>89301000</v>
      </c>
      <c r="C5208" s="1">
        <v>44342</v>
      </c>
      <c r="D5208" s="1">
        <v>44350</v>
      </c>
      <c r="E5208">
        <v>1</v>
      </c>
      <c r="F5208" t="s">
        <v>1602</v>
      </c>
      <c r="G5208" t="str">
        <f>"05-I14-02"</f>
        <v>05-I14-02</v>
      </c>
      <c r="H5208">
        <v>6.3216999999999999</v>
      </c>
      <c r="I5208" t="s">
        <v>3835</v>
      </c>
      <c r="J5208" t="s">
        <v>14</v>
      </c>
      <c r="K5208" t="str">
        <f>"1F1"</f>
        <v>1F1</v>
      </c>
      <c r="L5208" t="s">
        <v>15</v>
      </c>
    </row>
    <row r="5209" spans="1:12" x14ac:dyDescent="0.25">
      <c r="A5209" t="str">
        <f>"505810019"</f>
        <v>505810019</v>
      </c>
      <c r="B5209" t="str">
        <f t="shared" si="273"/>
        <v>89301000</v>
      </c>
      <c r="C5209" s="1">
        <v>44413</v>
      </c>
      <c r="D5209" s="1">
        <v>44414</v>
      </c>
      <c r="E5209">
        <v>1</v>
      </c>
      <c r="F5209" t="s">
        <v>41</v>
      </c>
      <c r="G5209" t="str">
        <f>"01-D01-03"</f>
        <v>01-D01-03</v>
      </c>
      <c r="H5209">
        <v>0.158</v>
      </c>
      <c r="I5209" t="s">
        <v>3836</v>
      </c>
      <c r="J5209" t="s">
        <v>14</v>
      </c>
      <c r="K5209" t="str">
        <f>"2F5"</f>
        <v>2F5</v>
      </c>
      <c r="L5209" t="s">
        <v>15</v>
      </c>
    </row>
    <row r="5210" spans="1:12" x14ac:dyDescent="0.25">
      <c r="A5210" t="str">
        <f>"505814091"</f>
        <v>505814091</v>
      </c>
      <c r="B5210" t="str">
        <f t="shared" si="273"/>
        <v>89301000</v>
      </c>
      <c r="C5210" s="1">
        <v>44231</v>
      </c>
      <c r="D5210" s="1">
        <v>44234</v>
      </c>
      <c r="E5210">
        <v>1</v>
      </c>
      <c r="F5210" t="s">
        <v>3158</v>
      </c>
      <c r="G5210" t="str">
        <f>"05-M04-04"</f>
        <v>05-M04-04</v>
      </c>
      <c r="H5210">
        <v>2.1322999999999999</v>
      </c>
      <c r="I5210" t="s">
        <v>489</v>
      </c>
      <c r="J5210" t="s">
        <v>17</v>
      </c>
      <c r="K5210" t="str">
        <f>"5F1"</f>
        <v>5F1</v>
      </c>
      <c r="L5210" t="s">
        <v>15</v>
      </c>
    </row>
    <row r="5211" spans="1:12" x14ac:dyDescent="0.25">
      <c r="A5211" t="str">
        <f>"505820075"</f>
        <v>505820075</v>
      </c>
      <c r="B5211" t="str">
        <f t="shared" si="273"/>
        <v>89301000</v>
      </c>
      <c r="C5211" s="1">
        <v>44457</v>
      </c>
      <c r="D5211" s="1">
        <v>44461</v>
      </c>
      <c r="E5211">
        <v>1</v>
      </c>
      <c r="F5211" t="s">
        <v>96</v>
      </c>
      <c r="G5211" t="str">
        <f>"11-K01-03"</f>
        <v>11-K01-03</v>
      </c>
      <c r="H5211">
        <v>0.59489999999999998</v>
      </c>
      <c r="I5211" t="s">
        <v>3837</v>
      </c>
      <c r="J5211" t="s">
        <v>14</v>
      </c>
      <c r="K5211" t="str">
        <f>"1F1"</f>
        <v>1F1</v>
      </c>
      <c r="L5211" t="s">
        <v>15</v>
      </c>
    </row>
    <row r="5212" spans="1:12" x14ac:dyDescent="0.25">
      <c r="A5212" t="str">
        <f>"505820089"</f>
        <v>505820089</v>
      </c>
      <c r="B5212" t="str">
        <f t="shared" si="273"/>
        <v>89301000</v>
      </c>
      <c r="C5212" s="1">
        <v>44318</v>
      </c>
      <c r="D5212" s="1">
        <v>44320</v>
      </c>
      <c r="E5212">
        <v>1</v>
      </c>
      <c r="F5212" t="s">
        <v>1579</v>
      </c>
      <c r="G5212" t="str">
        <f>"05-I25-03"</f>
        <v>05-I25-03</v>
      </c>
      <c r="H5212">
        <v>1.5508</v>
      </c>
      <c r="I5212" t="s">
        <v>489</v>
      </c>
      <c r="J5212" t="s">
        <v>17</v>
      </c>
      <c r="K5212" t="str">
        <f>"1F1"</f>
        <v>1F1</v>
      </c>
      <c r="L5212" t="s">
        <v>15</v>
      </c>
    </row>
    <row r="5213" spans="1:12" x14ac:dyDescent="0.25">
      <c r="A5213" t="str">
        <f>"505822115"</f>
        <v>505822115</v>
      </c>
      <c r="B5213" t="str">
        <f t="shared" si="273"/>
        <v>89301000</v>
      </c>
      <c r="C5213" s="1">
        <v>44529</v>
      </c>
      <c r="D5213" s="1">
        <v>44530</v>
      </c>
      <c r="E5213">
        <v>7</v>
      </c>
      <c r="F5213" t="s">
        <v>1699</v>
      </c>
      <c r="G5213" t="str">
        <f>"01-K10-01"</f>
        <v>01-K10-01</v>
      </c>
      <c r="H5213">
        <v>1.046</v>
      </c>
      <c r="I5213" t="s">
        <v>3838</v>
      </c>
      <c r="J5213" t="s">
        <v>14</v>
      </c>
      <c r="K5213" t="str">
        <f>"7T8"</f>
        <v>7T8</v>
      </c>
      <c r="L5213" t="s">
        <v>15</v>
      </c>
    </row>
    <row r="5214" spans="1:12" x14ac:dyDescent="0.25">
      <c r="A5214" t="str">
        <f>"505826294"</f>
        <v>505826294</v>
      </c>
      <c r="B5214" t="str">
        <f t="shared" si="273"/>
        <v>89301000</v>
      </c>
      <c r="C5214" s="1">
        <v>44547</v>
      </c>
      <c r="D5214" s="1">
        <v>44551</v>
      </c>
      <c r="E5214">
        <v>4</v>
      </c>
      <c r="F5214" t="s">
        <v>1615</v>
      </c>
      <c r="G5214" t="str">
        <f>"08-I13-05"</f>
        <v>08-I13-05</v>
      </c>
      <c r="H5214">
        <v>2.1778</v>
      </c>
      <c r="I5214" t="s">
        <v>1701</v>
      </c>
      <c r="J5214" t="s">
        <v>17</v>
      </c>
      <c r="K5214" t="str">
        <f>"5F3"</f>
        <v>5F3</v>
      </c>
      <c r="L5214" t="s">
        <v>15</v>
      </c>
    </row>
    <row r="5215" spans="1:12" x14ac:dyDescent="0.25">
      <c r="A5215" t="str">
        <f>"505901355"</f>
        <v>505901355</v>
      </c>
      <c r="B5215" t="str">
        <f t="shared" si="273"/>
        <v>89301000</v>
      </c>
      <c r="C5215" s="1">
        <v>44259</v>
      </c>
      <c r="D5215" s="1">
        <v>44260</v>
      </c>
      <c r="E5215">
        <v>1</v>
      </c>
      <c r="F5215" t="s">
        <v>2407</v>
      </c>
      <c r="G5215" t="str">
        <f>"08-K04-03"</f>
        <v>08-K04-03</v>
      </c>
      <c r="H5215">
        <v>0.45050000000000001</v>
      </c>
      <c r="J5215" t="s">
        <v>14</v>
      </c>
      <c r="K5215" t="str">
        <f>"6F6"</f>
        <v>6F6</v>
      </c>
      <c r="L5215" t="s">
        <v>15</v>
      </c>
    </row>
    <row r="5216" spans="1:12" x14ac:dyDescent="0.25">
      <c r="A5216" t="str">
        <f>"505901355"</f>
        <v>505901355</v>
      </c>
      <c r="B5216" t="str">
        <f t="shared" si="273"/>
        <v>89301000</v>
      </c>
      <c r="C5216" s="1">
        <v>44458</v>
      </c>
      <c r="D5216" s="1">
        <v>44458</v>
      </c>
      <c r="E5216">
        <v>1</v>
      </c>
      <c r="F5216" t="s">
        <v>2407</v>
      </c>
      <c r="G5216" t="str">
        <f>"08-K04-03"</f>
        <v>08-K04-03</v>
      </c>
      <c r="H5216">
        <v>0.23069999999999999</v>
      </c>
      <c r="J5216" t="s">
        <v>14</v>
      </c>
      <c r="K5216" t="str">
        <f>"6F6"</f>
        <v>6F6</v>
      </c>
      <c r="L5216" t="s">
        <v>15</v>
      </c>
    </row>
    <row r="5217" spans="1:12" x14ac:dyDescent="0.25">
      <c r="A5217" t="str">
        <f>"505905048"</f>
        <v>505905048</v>
      </c>
      <c r="B5217" t="str">
        <f t="shared" si="273"/>
        <v>89301000</v>
      </c>
      <c r="C5217" s="1">
        <v>44369</v>
      </c>
      <c r="D5217" s="1">
        <v>44372</v>
      </c>
      <c r="E5217">
        <v>1</v>
      </c>
      <c r="F5217" t="s">
        <v>1762</v>
      </c>
      <c r="G5217" t="str">
        <f>"04-K09-03"</f>
        <v>04-K09-03</v>
      </c>
      <c r="H5217">
        <v>0.62749999999999995</v>
      </c>
      <c r="I5217" t="s">
        <v>3839</v>
      </c>
      <c r="J5217" t="s">
        <v>14</v>
      </c>
      <c r="K5217" t="str">
        <f>"2F5"</f>
        <v>2F5</v>
      </c>
      <c r="L5217" t="s">
        <v>15</v>
      </c>
    </row>
    <row r="5218" spans="1:12" x14ac:dyDescent="0.25">
      <c r="A5218" t="str">
        <f>"505910099"</f>
        <v>505910099</v>
      </c>
      <c r="B5218" t="str">
        <f t="shared" si="273"/>
        <v>89301000</v>
      </c>
      <c r="C5218" s="1">
        <v>44232</v>
      </c>
      <c r="D5218" s="1">
        <v>44243</v>
      </c>
      <c r="E5218">
        <v>5</v>
      </c>
      <c r="F5218" t="s">
        <v>2701</v>
      </c>
      <c r="G5218" t="str">
        <f>"08-I04-01"</f>
        <v>08-I04-01</v>
      </c>
      <c r="H5218">
        <v>2.8736999999999999</v>
      </c>
      <c r="I5218" t="s">
        <v>3840</v>
      </c>
      <c r="J5218" t="s">
        <v>17</v>
      </c>
      <c r="K5218" t="str">
        <f>"5F6"</f>
        <v>5F6</v>
      </c>
      <c r="L5218" t="s">
        <v>15</v>
      </c>
    </row>
    <row r="5219" spans="1:12" x14ac:dyDescent="0.25">
      <c r="A5219" t="str">
        <f>"505916347"</f>
        <v>505916347</v>
      </c>
      <c r="B5219" t="str">
        <f t="shared" si="273"/>
        <v>89301000</v>
      </c>
      <c r="C5219" s="1">
        <v>44264</v>
      </c>
      <c r="D5219" s="1">
        <v>44271</v>
      </c>
      <c r="E5219">
        <v>1</v>
      </c>
      <c r="F5219" t="s">
        <v>1553</v>
      </c>
      <c r="G5219" t="str">
        <f>"04-K05-03"</f>
        <v>04-K05-03</v>
      </c>
      <c r="H5219">
        <v>0.74980000000000002</v>
      </c>
      <c r="I5219" t="s">
        <v>3841</v>
      </c>
      <c r="J5219" t="s">
        <v>14</v>
      </c>
      <c r="K5219" t="str">
        <f>"1F5"</f>
        <v>1F5</v>
      </c>
      <c r="L5219" t="s">
        <v>15</v>
      </c>
    </row>
    <row r="5220" spans="1:12" x14ac:dyDescent="0.25">
      <c r="A5220" t="str">
        <f>"505918192"</f>
        <v>505918192</v>
      </c>
      <c r="B5220" t="str">
        <f t="shared" si="273"/>
        <v>89301000</v>
      </c>
      <c r="C5220" s="1">
        <v>44460</v>
      </c>
      <c r="D5220" s="1">
        <v>44466</v>
      </c>
      <c r="E5220">
        <v>1</v>
      </c>
      <c r="F5220" t="s">
        <v>1553</v>
      </c>
      <c r="G5220" t="str">
        <f>"04-K05-03"</f>
        <v>04-K05-03</v>
      </c>
      <c r="H5220">
        <v>0.74980000000000002</v>
      </c>
      <c r="I5220" t="s">
        <v>3842</v>
      </c>
      <c r="J5220" t="s">
        <v>14</v>
      </c>
      <c r="K5220" t="str">
        <f>"1F1"</f>
        <v>1F1</v>
      </c>
      <c r="L5220" t="s">
        <v>15</v>
      </c>
    </row>
    <row r="5221" spans="1:12" x14ac:dyDescent="0.25">
      <c r="A5221" t="str">
        <f>"505921246"</f>
        <v>505921246</v>
      </c>
      <c r="B5221" t="str">
        <f t="shared" si="273"/>
        <v>89301000</v>
      </c>
      <c r="C5221" s="1">
        <v>44343</v>
      </c>
      <c r="D5221" s="1">
        <v>44345</v>
      </c>
      <c r="E5221">
        <v>1</v>
      </c>
      <c r="F5221" t="s">
        <v>1557</v>
      </c>
      <c r="G5221" t="str">
        <f>"05-I14-04"</f>
        <v>05-I14-04</v>
      </c>
      <c r="H5221">
        <v>5.4002999999999997</v>
      </c>
      <c r="I5221" t="s">
        <v>3843</v>
      </c>
      <c r="J5221" t="s">
        <v>14</v>
      </c>
      <c r="K5221" t="str">
        <f>"1F7"</f>
        <v>1F7</v>
      </c>
      <c r="L5221" t="s">
        <v>15</v>
      </c>
    </row>
    <row r="5222" spans="1:12" x14ac:dyDescent="0.25">
      <c r="A5222" t="str">
        <f>"505921246"</f>
        <v>505921246</v>
      </c>
      <c r="B5222" t="str">
        <f t="shared" si="273"/>
        <v>89301000</v>
      </c>
      <c r="C5222" s="1">
        <v>44326</v>
      </c>
      <c r="D5222" s="1">
        <v>44329</v>
      </c>
      <c r="E5222">
        <v>1</v>
      </c>
      <c r="F5222" t="s">
        <v>1619</v>
      </c>
      <c r="G5222" t="str">
        <f>"05-M06-06"</f>
        <v>05-M06-06</v>
      </c>
      <c r="H5222">
        <v>1.7652000000000001</v>
      </c>
      <c r="I5222" t="s">
        <v>3844</v>
      </c>
      <c r="J5222" t="s">
        <v>17</v>
      </c>
      <c r="K5222" t="str">
        <f>"1F7"</f>
        <v>1F7</v>
      </c>
      <c r="L5222" t="s">
        <v>15</v>
      </c>
    </row>
    <row r="5223" spans="1:12" x14ac:dyDescent="0.25">
      <c r="A5223" t="str">
        <f>"505923207"</f>
        <v>505923207</v>
      </c>
      <c r="B5223" t="str">
        <f t="shared" si="273"/>
        <v>89301000</v>
      </c>
      <c r="C5223" s="1">
        <v>44260</v>
      </c>
      <c r="D5223" s="1">
        <v>44262</v>
      </c>
      <c r="E5223">
        <v>1</v>
      </c>
      <c r="F5223" t="s">
        <v>320</v>
      </c>
      <c r="G5223" t="str">
        <f>"03-I23-00"</f>
        <v>03-I23-00</v>
      </c>
      <c r="H5223">
        <v>0.47639999999999999</v>
      </c>
      <c r="I5223" t="s">
        <v>3845</v>
      </c>
      <c r="J5223" t="s">
        <v>14</v>
      </c>
      <c r="K5223" t="str">
        <f>"6F5"</f>
        <v>6F5</v>
      </c>
      <c r="L5223" t="s">
        <v>15</v>
      </c>
    </row>
    <row r="5224" spans="1:12" x14ac:dyDescent="0.25">
      <c r="A5224" t="str">
        <f>"505926052"</f>
        <v>505926052</v>
      </c>
      <c r="B5224" t="str">
        <f t="shared" si="273"/>
        <v>89301000</v>
      </c>
      <c r="C5224" s="1">
        <v>44539</v>
      </c>
      <c r="D5224" s="1">
        <v>44539</v>
      </c>
      <c r="E5224">
        <v>1</v>
      </c>
      <c r="F5224" t="s">
        <v>2457</v>
      </c>
      <c r="G5224" t="str">
        <f>"05-D01-08"</f>
        <v>05-D01-08</v>
      </c>
      <c r="H5224">
        <v>0.21890000000000001</v>
      </c>
      <c r="J5224" t="s">
        <v>14</v>
      </c>
      <c r="K5224" t="str">
        <f>"1F1"</f>
        <v>1F1</v>
      </c>
      <c r="L5224" t="s">
        <v>15</v>
      </c>
    </row>
    <row r="5225" spans="1:12" x14ac:dyDescent="0.25">
      <c r="A5225" t="str">
        <f>"506001192"</f>
        <v>506001192</v>
      </c>
      <c r="B5225" t="str">
        <f t="shared" si="273"/>
        <v>89301000</v>
      </c>
      <c r="C5225" s="1">
        <v>44295</v>
      </c>
      <c r="D5225" s="1">
        <v>44306</v>
      </c>
      <c r="E5225">
        <v>1</v>
      </c>
      <c r="F5225" t="s">
        <v>2133</v>
      </c>
      <c r="G5225" t="str">
        <f>"04-K06-03"</f>
        <v>04-K06-03</v>
      </c>
      <c r="H5225">
        <v>0.66259999999999997</v>
      </c>
      <c r="I5225" t="s">
        <v>3846</v>
      </c>
      <c r="J5225" t="s">
        <v>14</v>
      </c>
      <c r="K5225" t="str">
        <f>"2F5"</f>
        <v>2F5</v>
      </c>
      <c r="L5225" t="s">
        <v>15</v>
      </c>
    </row>
    <row r="5226" spans="1:12" x14ac:dyDescent="0.25">
      <c r="A5226" t="str">
        <f>"506001192"</f>
        <v>506001192</v>
      </c>
      <c r="B5226" t="str">
        <f t="shared" si="273"/>
        <v>89301000</v>
      </c>
      <c r="C5226" s="1">
        <v>44311</v>
      </c>
      <c r="D5226" s="1">
        <v>44316</v>
      </c>
      <c r="E5226">
        <v>1</v>
      </c>
      <c r="F5226" t="s">
        <v>3847</v>
      </c>
      <c r="G5226" t="str">
        <f>"01-K12-01"</f>
        <v>01-K12-01</v>
      </c>
      <c r="H5226">
        <v>0.71289999999999998</v>
      </c>
      <c r="I5226" t="s">
        <v>3848</v>
      </c>
      <c r="J5226" t="s">
        <v>14</v>
      </c>
      <c r="K5226" t="str">
        <f>"1F5"</f>
        <v>1F5</v>
      </c>
      <c r="L5226" t="s">
        <v>15</v>
      </c>
    </row>
    <row r="5227" spans="1:12" x14ac:dyDescent="0.25">
      <c r="A5227" t="str">
        <f>"506001192"</f>
        <v>506001192</v>
      </c>
      <c r="B5227" t="str">
        <f t="shared" si="273"/>
        <v>89301000</v>
      </c>
      <c r="C5227" s="1">
        <v>44337</v>
      </c>
      <c r="D5227" s="1">
        <v>44347</v>
      </c>
      <c r="E5227">
        <v>4</v>
      </c>
      <c r="F5227" t="s">
        <v>1699</v>
      </c>
      <c r="G5227" t="str">
        <f>"01-K10-03"</f>
        <v>01-K10-03</v>
      </c>
      <c r="H5227">
        <v>1.0016</v>
      </c>
      <c r="I5227" t="s">
        <v>3849</v>
      </c>
      <c r="J5227" t="s">
        <v>14</v>
      </c>
      <c r="K5227" t="str">
        <f>"2F9"</f>
        <v>2F9</v>
      </c>
      <c r="L5227" t="s">
        <v>15</v>
      </c>
    </row>
    <row r="5228" spans="1:12" x14ac:dyDescent="0.25">
      <c r="A5228" t="str">
        <f>"506004201"</f>
        <v>506004201</v>
      </c>
      <c r="B5228" t="str">
        <f t="shared" si="273"/>
        <v>89301000</v>
      </c>
      <c r="C5228" s="1">
        <v>44503</v>
      </c>
      <c r="D5228" s="1">
        <v>44506</v>
      </c>
      <c r="E5228">
        <v>1</v>
      </c>
      <c r="F5228" t="s">
        <v>496</v>
      </c>
      <c r="G5228" t="str">
        <f>"08-M03-05"</f>
        <v>08-M03-05</v>
      </c>
      <c r="H5228">
        <v>0.51759999999999995</v>
      </c>
      <c r="J5228" t="s">
        <v>14</v>
      </c>
      <c r="K5228" t="str">
        <f>"6F6"</f>
        <v>6F6</v>
      </c>
      <c r="L5228" t="s">
        <v>15</v>
      </c>
    </row>
    <row r="5229" spans="1:12" x14ac:dyDescent="0.25">
      <c r="A5229" t="str">
        <f>"506018324"</f>
        <v>506018324</v>
      </c>
      <c r="B5229" t="str">
        <f t="shared" si="273"/>
        <v>89301000</v>
      </c>
      <c r="C5229" s="1">
        <v>44495</v>
      </c>
      <c r="D5229" s="1">
        <v>44510</v>
      </c>
      <c r="E5229">
        <v>1</v>
      </c>
      <c r="F5229" t="s">
        <v>3850</v>
      </c>
      <c r="G5229" t="str">
        <f>"06-K22-03"</f>
        <v>06-K22-03</v>
      </c>
      <c r="H5229">
        <v>0.75749999999999995</v>
      </c>
      <c r="I5229" t="s">
        <v>3733</v>
      </c>
      <c r="J5229" t="s">
        <v>14</v>
      </c>
      <c r="K5229" t="str">
        <f>"5F1"</f>
        <v>5F1</v>
      </c>
      <c r="L5229" t="s">
        <v>15</v>
      </c>
    </row>
    <row r="5230" spans="1:12" x14ac:dyDescent="0.25">
      <c r="A5230" t="str">
        <f>"506018324"</f>
        <v>506018324</v>
      </c>
      <c r="B5230" t="str">
        <f t="shared" si="273"/>
        <v>89301000</v>
      </c>
      <c r="C5230" s="1">
        <v>44241</v>
      </c>
      <c r="D5230" s="1">
        <v>44244</v>
      </c>
      <c r="E5230">
        <v>4</v>
      </c>
      <c r="F5230" t="s">
        <v>217</v>
      </c>
      <c r="G5230" t="str">
        <f>"04-K02-04"</f>
        <v>04-K02-04</v>
      </c>
      <c r="H5230">
        <v>0.82469999999999999</v>
      </c>
      <c r="I5230" t="s">
        <v>3418</v>
      </c>
      <c r="J5230" t="s">
        <v>14</v>
      </c>
      <c r="K5230" t="str">
        <f>"1F6"</f>
        <v>1F6</v>
      </c>
      <c r="L5230" t="s">
        <v>15</v>
      </c>
    </row>
    <row r="5231" spans="1:12" x14ac:dyDescent="0.25">
      <c r="A5231" t="str">
        <f>"506025168"</f>
        <v>506025168</v>
      </c>
      <c r="B5231" t="str">
        <f t="shared" si="273"/>
        <v>89301000</v>
      </c>
      <c r="C5231" s="1">
        <v>44363</v>
      </c>
      <c r="D5231" s="1">
        <v>44365</v>
      </c>
      <c r="E5231">
        <v>1</v>
      </c>
      <c r="F5231" t="s">
        <v>16</v>
      </c>
      <c r="G5231" t="str">
        <f>"08-K08-00"</f>
        <v>08-K08-00</v>
      </c>
      <c r="H5231">
        <v>0.51670000000000005</v>
      </c>
      <c r="I5231" t="s">
        <v>489</v>
      </c>
      <c r="J5231" t="s">
        <v>14</v>
      </c>
      <c r="K5231" t="str">
        <f>"5F6"</f>
        <v>5F6</v>
      </c>
      <c r="L5231" t="s">
        <v>15</v>
      </c>
    </row>
    <row r="5232" spans="1:12" x14ac:dyDescent="0.25">
      <c r="A5232" t="str">
        <f>"506026193"</f>
        <v>506026193</v>
      </c>
      <c r="B5232" t="str">
        <f t="shared" si="273"/>
        <v>89301000</v>
      </c>
      <c r="C5232" s="1">
        <v>44472</v>
      </c>
      <c r="D5232" s="1">
        <v>44477</v>
      </c>
      <c r="E5232">
        <v>1</v>
      </c>
      <c r="F5232" t="s">
        <v>3236</v>
      </c>
      <c r="G5232" t="str">
        <f>"13-I11-03"</f>
        <v>13-I11-03</v>
      </c>
      <c r="H5232">
        <v>1.3809</v>
      </c>
      <c r="J5232" t="s">
        <v>24</v>
      </c>
      <c r="K5232" t="str">
        <f>"6F3"</f>
        <v>6F3</v>
      </c>
      <c r="L5232" t="s">
        <v>15</v>
      </c>
    </row>
    <row r="5233" spans="1:12" x14ac:dyDescent="0.25">
      <c r="A5233" t="str">
        <f>"506027037"</f>
        <v>506027037</v>
      </c>
      <c r="B5233" t="str">
        <f t="shared" si="273"/>
        <v>89301000</v>
      </c>
      <c r="C5233" s="1">
        <v>44482</v>
      </c>
      <c r="D5233" s="1">
        <v>44489</v>
      </c>
      <c r="E5233">
        <v>5</v>
      </c>
      <c r="F5233" t="s">
        <v>1558</v>
      </c>
      <c r="G5233" t="str">
        <f>"05-M01-03"</f>
        <v>05-M01-03</v>
      </c>
      <c r="H5233">
        <v>12.3805</v>
      </c>
      <c r="I5233" t="s">
        <v>3851</v>
      </c>
      <c r="J5233" t="s">
        <v>17</v>
      </c>
      <c r="K5233" t="str">
        <f>"1F1"</f>
        <v>1F1</v>
      </c>
      <c r="L5233" t="s">
        <v>15</v>
      </c>
    </row>
    <row r="5234" spans="1:12" x14ac:dyDescent="0.25">
      <c r="A5234" t="str">
        <f>"506027037"</f>
        <v>506027037</v>
      </c>
      <c r="B5234" t="str">
        <f t="shared" si="273"/>
        <v>89301000</v>
      </c>
      <c r="C5234" s="1">
        <v>44432</v>
      </c>
      <c r="D5234" s="1">
        <v>44433</v>
      </c>
      <c r="E5234">
        <v>1</v>
      </c>
      <c r="F5234" t="s">
        <v>1558</v>
      </c>
      <c r="G5234" t="str">
        <f>"05-D01-06"</f>
        <v>05-D01-06</v>
      </c>
      <c r="H5234">
        <v>0.7611</v>
      </c>
      <c r="I5234" t="s">
        <v>1684</v>
      </c>
      <c r="J5234" t="s">
        <v>14</v>
      </c>
      <c r="K5234" t="str">
        <f>"1F7"</f>
        <v>1F7</v>
      </c>
      <c r="L5234" t="s">
        <v>15</v>
      </c>
    </row>
    <row r="5235" spans="1:12" x14ac:dyDescent="0.25">
      <c r="A5235" t="str">
        <f>"506105196"</f>
        <v>506105196</v>
      </c>
      <c r="B5235" t="str">
        <f t="shared" si="273"/>
        <v>89301000</v>
      </c>
      <c r="C5235" s="1">
        <v>44293</v>
      </c>
      <c r="D5235" s="1">
        <v>44297</v>
      </c>
      <c r="E5235">
        <v>1</v>
      </c>
      <c r="F5235" t="s">
        <v>3852</v>
      </c>
      <c r="G5235" t="str">
        <f>"13-I11-03"</f>
        <v>13-I11-03</v>
      </c>
      <c r="H5235">
        <v>1.3809</v>
      </c>
      <c r="J5235" t="s">
        <v>24</v>
      </c>
      <c r="K5235" t="str">
        <f>"6F3"</f>
        <v>6F3</v>
      </c>
      <c r="L5235" t="s">
        <v>15</v>
      </c>
    </row>
    <row r="5236" spans="1:12" x14ac:dyDescent="0.25">
      <c r="A5236" t="str">
        <f>"506121217"</f>
        <v>506121217</v>
      </c>
      <c r="B5236" t="str">
        <f t="shared" si="273"/>
        <v>89301000</v>
      </c>
      <c r="C5236" s="1">
        <v>44238</v>
      </c>
      <c r="D5236" s="1">
        <v>44258</v>
      </c>
      <c r="E5236">
        <v>1</v>
      </c>
      <c r="F5236" t="s">
        <v>146</v>
      </c>
      <c r="G5236" t="str">
        <f>"17-C05-04"</f>
        <v>17-C05-04</v>
      </c>
      <c r="H5236">
        <v>1.5206</v>
      </c>
      <c r="I5236" t="s">
        <v>3853</v>
      </c>
      <c r="J5236" t="s">
        <v>14</v>
      </c>
      <c r="K5236" t="str">
        <f>"2F2"</f>
        <v>2F2</v>
      </c>
      <c r="L5236" t="s">
        <v>15</v>
      </c>
    </row>
    <row r="5237" spans="1:12" x14ac:dyDescent="0.25">
      <c r="A5237" t="str">
        <f>"506122161"</f>
        <v>506122161</v>
      </c>
      <c r="B5237" t="str">
        <f t="shared" si="273"/>
        <v>89301000</v>
      </c>
      <c r="C5237" s="1">
        <v>44331</v>
      </c>
      <c r="D5237" s="1">
        <v>44337</v>
      </c>
      <c r="E5237">
        <v>1</v>
      </c>
      <c r="F5237" t="s">
        <v>3854</v>
      </c>
      <c r="G5237" t="str">
        <f>"08-K02-03"</f>
        <v>08-K02-03</v>
      </c>
      <c r="H5237">
        <v>0.73560000000000003</v>
      </c>
      <c r="I5237" t="s">
        <v>3855</v>
      </c>
      <c r="J5237" t="s">
        <v>14</v>
      </c>
      <c r="K5237" t="str">
        <f>"1F1"</f>
        <v>1F1</v>
      </c>
      <c r="L5237" t="s">
        <v>15</v>
      </c>
    </row>
    <row r="5238" spans="1:12" x14ac:dyDescent="0.25">
      <c r="A5238" t="str">
        <f>"506124257"</f>
        <v>506124257</v>
      </c>
      <c r="B5238" t="str">
        <f t="shared" si="273"/>
        <v>89301000</v>
      </c>
      <c r="C5238" s="1">
        <v>44265</v>
      </c>
      <c r="D5238" s="1">
        <v>44268</v>
      </c>
      <c r="E5238">
        <v>1</v>
      </c>
      <c r="F5238" t="s">
        <v>1581</v>
      </c>
      <c r="G5238" t="str">
        <f>"05-M07-06"</f>
        <v>05-M07-06</v>
      </c>
      <c r="H5238">
        <v>1.2513000000000001</v>
      </c>
      <c r="J5238" t="s">
        <v>17</v>
      </c>
      <c r="K5238" t="str">
        <f>"5F1"</f>
        <v>5F1</v>
      </c>
      <c r="L5238" t="s">
        <v>15</v>
      </c>
    </row>
    <row r="5239" spans="1:12" x14ac:dyDescent="0.25">
      <c r="A5239" t="str">
        <f>"506126054"</f>
        <v>506126054</v>
      </c>
      <c r="B5239" t="str">
        <f t="shared" si="273"/>
        <v>89301000</v>
      </c>
      <c r="C5239" s="1">
        <v>44252</v>
      </c>
      <c r="D5239" s="1">
        <v>44254</v>
      </c>
      <c r="E5239">
        <v>1</v>
      </c>
      <c r="F5239" t="s">
        <v>38</v>
      </c>
      <c r="G5239" t="str">
        <f>"05-D01-06"</f>
        <v>05-D01-06</v>
      </c>
      <c r="H5239">
        <v>1.8371999999999999</v>
      </c>
      <c r="J5239" t="s">
        <v>14</v>
      </c>
      <c r="K5239" t="str">
        <f>"5F5"</f>
        <v>5F5</v>
      </c>
      <c r="L5239" t="s">
        <v>15</v>
      </c>
    </row>
    <row r="5240" spans="1:12" x14ac:dyDescent="0.25">
      <c r="A5240" t="str">
        <f>"506206064"</f>
        <v>506206064</v>
      </c>
      <c r="B5240" t="str">
        <f t="shared" si="273"/>
        <v>89301000</v>
      </c>
      <c r="C5240" s="1">
        <v>44459</v>
      </c>
      <c r="D5240" s="1">
        <v>44463</v>
      </c>
      <c r="E5240">
        <v>1</v>
      </c>
      <c r="F5240" t="s">
        <v>1553</v>
      </c>
      <c r="G5240" t="str">
        <f>"04-K05-03"</f>
        <v>04-K05-03</v>
      </c>
      <c r="H5240">
        <v>0.74980000000000002</v>
      </c>
      <c r="I5240" t="s">
        <v>3856</v>
      </c>
      <c r="J5240" t="s">
        <v>14</v>
      </c>
      <c r="K5240" t="str">
        <f>"1F1"</f>
        <v>1F1</v>
      </c>
      <c r="L5240" t="s">
        <v>15</v>
      </c>
    </row>
    <row r="5241" spans="1:12" x14ac:dyDescent="0.25">
      <c r="A5241" t="str">
        <f>"506206064"</f>
        <v>506206064</v>
      </c>
      <c r="B5241" t="str">
        <f t="shared" si="273"/>
        <v>89301000</v>
      </c>
      <c r="C5241" s="1">
        <v>44472</v>
      </c>
      <c r="D5241" s="1">
        <v>44473</v>
      </c>
      <c r="E5241">
        <v>1</v>
      </c>
      <c r="F5241" t="s">
        <v>1557</v>
      </c>
      <c r="G5241" t="str">
        <f>"05-D01-08"</f>
        <v>05-D01-08</v>
      </c>
      <c r="H5241">
        <v>0.4093</v>
      </c>
      <c r="J5241" t="s">
        <v>14</v>
      </c>
      <c r="K5241" t="str">
        <f>"1F7"</f>
        <v>1F7</v>
      </c>
      <c r="L5241" t="s">
        <v>15</v>
      </c>
    </row>
    <row r="5242" spans="1:12" x14ac:dyDescent="0.25">
      <c r="A5242" t="str">
        <f>"506206064"</f>
        <v>506206064</v>
      </c>
      <c r="B5242" t="str">
        <f t="shared" si="273"/>
        <v>89301000</v>
      </c>
      <c r="C5242" s="1">
        <v>44477</v>
      </c>
      <c r="D5242" s="1">
        <v>44489</v>
      </c>
      <c r="E5242">
        <v>4</v>
      </c>
      <c r="F5242" t="s">
        <v>1557</v>
      </c>
      <c r="G5242" t="str">
        <f>"05-I16-02"</f>
        <v>05-I16-02</v>
      </c>
      <c r="H5242">
        <v>9.157</v>
      </c>
      <c r="I5242" t="s">
        <v>3857</v>
      </c>
      <c r="J5242" t="s">
        <v>17</v>
      </c>
      <c r="K5242" t="str">
        <f>"5F5"</f>
        <v>5F5</v>
      </c>
      <c r="L5242" t="s">
        <v>15</v>
      </c>
    </row>
    <row r="5243" spans="1:12" x14ac:dyDescent="0.25">
      <c r="A5243" t="str">
        <f>"506208152"</f>
        <v>506208152</v>
      </c>
      <c r="B5243" t="str">
        <f t="shared" si="273"/>
        <v>89301000</v>
      </c>
      <c r="C5243" s="1">
        <v>44474</v>
      </c>
      <c r="D5243" s="1">
        <v>44480</v>
      </c>
      <c r="E5243">
        <v>4</v>
      </c>
      <c r="F5243" t="s">
        <v>2407</v>
      </c>
      <c r="G5243" t="str">
        <f>"08-I06-04"</f>
        <v>08-I06-04</v>
      </c>
      <c r="H5243">
        <v>2.4260000000000002</v>
      </c>
      <c r="I5243" t="s">
        <v>699</v>
      </c>
      <c r="J5243" t="s">
        <v>24</v>
      </c>
      <c r="K5243" t="str">
        <f>"6F6"</f>
        <v>6F6</v>
      </c>
      <c r="L5243" t="s">
        <v>15</v>
      </c>
    </row>
    <row r="5244" spans="1:12" x14ac:dyDescent="0.25">
      <c r="A5244" t="str">
        <f>"506208175"</f>
        <v>506208175</v>
      </c>
      <c r="B5244" t="str">
        <f t="shared" si="273"/>
        <v>89301000</v>
      </c>
      <c r="C5244" s="1">
        <v>44292</v>
      </c>
      <c r="D5244" s="1">
        <v>44295</v>
      </c>
      <c r="E5244">
        <v>1</v>
      </c>
      <c r="F5244" t="s">
        <v>1878</v>
      </c>
      <c r="G5244" t="str">
        <f>"10-K12-03"</f>
        <v>10-K12-03</v>
      </c>
      <c r="H5244">
        <v>0.50629999999999997</v>
      </c>
      <c r="I5244" t="s">
        <v>3858</v>
      </c>
      <c r="J5244" t="s">
        <v>14</v>
      </c>
      <c r="K5244" t="str">
        <f>"1F5"</f>
        <v>1F5</v>
      </c>
      <c r="L5244" t="s">
        <v>15</v>
      </c>
    </row>
    <row r="5245" spans="1:12" x14ac:dyDescent="0.25">
      <c r="A5245" t="str">
        <f>"506208193"</f>
        <v>506208193</v>
      </c>
      <c r="B5245" t="str">
        <f t="shared" si="273"/>
        <v>89301000</v>
      </c>
      <c r="C5245" s="1">
        <v>44202</v>
      </c>
      <c r="D5245" s="1">
        <v>44215</v>
      </c>
      <c r="E5245">
        <v>1</v>
      </c>
      <c r="F5245" t="s">
        <v>3859</v>
      </c>
      <c r="G5245" t="str">
        <f>"04-I02-04"</f>
        <v>04-I02-04</v>
      </c>
      <c r="H5245">
        <v>3.1617999999999999</v>
      </c>
      <c r="I5245" t="s">
        <v>3860</v>
      </c>
      <c r="J5245" t="s">
        <v>106</v>
      </c>
      <c r="K5245" t="str">
        <f>"5F1"</f>
        <v>5F1</v>
      </c>
      <c r="L5245" t="s">
        <v>15</v>
      </c>
    </row>
    <row r="5246" spans="1:12" x14ac:dyDescent="0.25">
      <c r="A5246" t="str">
        <f>"506208193"</f>
        <v>506208193</v>
      </c>
      <c r="B5246" t="str">
        <f t="shared" si="273"/>
        <v>89301000</v>
      </c>
      <c r="C5246" s="1">
        <v>44395</v>
      </c>
      <c r="D5246" s="1">
        <v>44399</v>
      </c>
      <c r="E5246">
        <v>1</v>
      </c>
      <c r="F5246" t="s">
        <v>81</v>
      </c>
      <c r="G5246" t="str">
        <f>"10-I13-02"</f>
        <v>10-I13-02</v>
      </c>
      <c r="H5246">
        <v>1.1468</v>
      </c>
      <c r="J5246" t="s">
        <v>24</v>
      </c>
      <c r="K5246" t="str">
        <f>"5F1"</f>
        <v>5F1</v>
      </c>
      <c r="L5246" t="s">
        <v>15</v>
      </c>
    </row>
    <row r="5247" spans="1:12" x14ac:dyDescent="0.25">
      <c r="A5247" t="str">
        <f>"506213311"</f>
        <v>506213311</v>
      </c>
      <c r="B5247" t="str">
        <f t="shared" si="273"/>
        <v>89301000</v>
      </c>
      <c r="C5247" s="1">
        <v>44516</v>
      </c>
      <c r="D5247" s="1">
        <v>44526</v>
      </c>
      <c r="E5247">
        <v>1</v>
      </c>
      <c r="F5247" t="s">
        <v>3861</v>
      </c>
      <c r="G5247" t="str">
        <f>"11-K02-02"</f>
        <v>11-K02-02</v>
      </c>
      <c r="H5247">
        <v>1.2910999999999999</v>
      </c>
      <c r="I5247" t="s">
        <v>3862</v>
      </c>
      <c r="J5247" t="s">
        <v>14</v>
      </c>
      <c r="K5247" t="str">
        <f>"1F1"</f>
        <v>1F1</v>
      </c>
      <c r="L5247" t="s">
        <v>15</v>
      </c>
    </row>
    <row r="5248" spans="1:12" x14ac:dyDescent="0.25">
      <c r="A5248" t="str">
        <f>"506213311"</f>
        <v>506213311</v>
      </c>
      <c r="B5248" t="str">
        <f t="shared" si="273"/>
        <v>89301000</v>
      </c>
      <c r="C5248" s="1">
        <v>44270</v>
      </c>
      <c r="D5248" s="1">
        <v>44274</v>
      </c>
      <c r="E5248">
        <v>1</v>
      </c>
      <c r="F5248" t="s">
        <v>1847</v>
      </c>
      <c r="G5248" t="str">
        <f>"04-K07-02"</f>
        <v>04-K07-02</v>
      </c>
      <c r="H5248">
        <v>1.1432</v>
      </c>
      <c r="I5248" t="s">
        <v>3863</v>
      </c>
      <c r="J5248" t="s">
        <v>14</v>
      </c>
      <c r="K5248" t="str">
        <f>"2F5"</f>
        <v>2F5</v>
      </c>
      <c r="L5248" t="s">
        <v>15</v>
      </c>
    </row>
    <row r="5249" spans="1:12" x14ac:dyDescent="0.25">
      <c r="A5249" t="str">
        <f>"506213311"</f>
        <v>506213311</v>
      </c>
      <c r="B5249" t="str">
        <f t="shared" si="273"/>
        <v>89301000</v>
      </c>
      <c r="C5249" s="1">
        <v>44334</v>
      </c>
      <c r="D5249" s="1">
        <v>44363</v>
      </c>
      <c r="E5249">
        <v>4</v>
      </c>
      <c r="F5249" t="s">
        <v>2133</v>
      </c>
      <c r="G5249" t="str">
        <f>"04-K06-02"</f>
        <v>04-K06-02</v>
      </c>
      <c r="H5249">
        <v>1.7181</v>
      </c>
      <c r="I5249" t="s">
        <v>3864</v>
      </c>
      <c r="J5249" t="s">
        <v>14</v>
      </c>
      <c r="K5249" t="str">
        <f>"2F5"</f>
        <v>2F5</v>
      </c>
      <c r="L5249" t="s">
        <v>15</v>
      </c>
    </row>
    <row r="5250" spans="1:12" x14ac:dyDescent="0.25">
      <c r="A5250" t="str">
        <f>"506223391"</f>
        <v>506223391</v>
      </c>
      <c r="B5250" t="str">
        <f t="shared" si="273"/>
        <v>89301000</v>
      </c>
      <c r="C5250" s="1">
        <v>44524</v>
      </c>
      <c r="D5250" s="1">
        <v>44528</v>
      </c>
      <c r="E5250">
        <v>1</v>
      </c>
      <c r="F5250" t="s">
        <v>592</v>
      </c>
      <c r="G5250" t="str">
        <f>"03-K02-02"</f>
        <v>03-K02-02</v>
      </c>
      <c r="H5250">
        <v>0.56889999999999996</v>
      </c>
      <c r="I5250" t="s">
        <v>3865</v>
      </c>
      <c r="J5250" t="s">
        <v>14</v>
      </c>
      <c r="K5250" t="str">
        <f>"1F1"</f>
        <v>1F1</v>
      </c>
      <c r="L5250" t="s">
        <v>15</v>
      </c>
    </row>
    <row r="5251" spans="1:12" x14ac:dyDescent="0.25">
      <c r="A5251" t="str">
        <f>"506225183"</f>
        <v>506225183</v>
      </c>
      <c r="B5251" t="str">
        <f t="shared" si="273"/>
        <v>89301000</v>
      </c>
      <c r="C5251" s="1">
        <v>44336</v>
      </c>
      <c r="D5251" s="1">
        <v>44377</v>
      </c>
      <c r="E5251">
        <v>4</v>
      </c>
      <c r="F5251" t="s">
        <v>1643</v>
      </c>
      <c r="G5251" t="str">
        <f>"08-I13-04"</f>
        <v>08-I13-04</v>
      </c>
      <c r="H5251">
        <v>5.0452000000000004</v>
      </c>
      <c r="I5251" t="s">
        <v>3866</v>
      </c>
      <c r="J5251" t="s">
        <v>17</v>
      </c>
      <c r="K5251" t="str">
        <f>"1F6"</f>
        <v>1F6</v>
      </c>
      <c r="L5251" t="s">
        <v>15</v>
      </c>
    </row>
    <row r="5252" spans="1:12" x14ac:dyDescent="0.25">
      <c r="A5252" t="str">
        <f>"506225294"</f>
        <v>506225294</v>
      </c>
      <c r="B5252" t="str">
        <f t="shared" si="273"/>
        <v>89301000</v>
      </c>
      <c r="C5252" s="1">
        <v>44315</v>
      </c>
      <c r="D5252" s="1">
        <v>44322</v>
      </c>
      <c r="E5252">
        <v>1</v>
      </c>
      <c r="F5252" t="s">
        <v>1561</v>
      </c>
      <c r="G5252" t="str">
        <f>"07-M02-01"</f>
        <v>07-M02-01</v>
      </c>
      <c r="H5252">
        <v>2.5634999999999999</v>
      </c>
      <c r="I5252" t="s">
        <v>3867</v>
      </c>
      <c r="J5252" t="s">
        <v>17</v>
      </c>
      <c r="K5252" t="str">
        <f>"1F5"</f>
        <v>1F5</v>
      </c>
      <c r="L5252" t="s">
        <v>15</v>
      </c>
    </row>
    <row r="5253" spans="1:12" x14ac:dyDescent="0.25">
      <c r="A5253" t="str">
        <f>"506225294"</f>
        <v>506225294</v>
      </c>
      <c r="B5253" t="str">
        <f t="shared" si="273"/>
        <v>89301000</v>
      </c>
      <c r="C5253" s="1">
        <v>44476</v>
      </c>
      <c r="D5253" s="1">
        <v>44478</v>
      </c>
      <c r="E5253">
        <v>1</v>
      </c>
      <c r="F5253" t="s">
        <v>1561</v>
      </c>
      <c r="G5253" t="str">
        <f>"07-M02-04"</f>
        <v>07-M02-04</v>
      </c>
      <c r="H5253">
        <v>0.96960000000000002</v>
      </c>
      <c r="I5253" t="s">
        <v>3868</v>
      </c>
      <c r="J5253" t="s">
        <v>17</v>
      </c>
      <c r="K5253" t="str">
        <f>"1F5"</f>
        <v>1F5</v>
      </c>
      <c r="L5253" t="s">
        <v>15</v>
      </c>
    </row>
    <row r="5254" spans="1:12" x14ac:dyDescent="0.25">
      <c r="A5254" t="str">
        <f>"506227139"</f>
        <v>506227139</v>
      </c>
      <c r="B5254" t="str">
        <f t="shared" si="273"/>
        <v>89301000</v>
      </c>
      <c r="C5254" s="1">
        <v>44494</v>
      </c>
      <c r="D5254" s="1">
        <v>44501</v>
      </c>
      <c r="E5254">
        <v>1</v>
      </c>
      <c r="F5254" t="s">
        <v>1551</v>
      </c>
      <c r="G5254" t="str">
        <f>"09-K08-02"</f>
        <v>09-K08-02</v>
      </c>
      <c r="H5254">
        <v>0.54849999999999999</v>
      </c>
      <c r="I5254" t="s">
        <v>3869</v>
      </c>
      <c r="J5254" t="s">
        <v>14</v>
      </c>
      <c r="K5254" t="str">
        <f>"5F1"</f>
        <v>5F1</v>
      </c>
      <c r="L5254" t="s">
        <v>15</v>
      </c>
    </row>
    <row r="5255" spans="1:12" x14ac:dyDescent="0.25">
      <c r="A5255" t="str">
        <f>"506227139"</f>
        <v>506227139</v>
      </c>
      <c r="B5255" t="str">
        <f t="shared" si="273"/>
        <v>89301000</v>
      </c>
      <c r="C5255" s="1">
        <v>44275</v>
      </c>
      <c r="D5255" s="1">
        <v>44289</v>
      </c>
      <c r="E5255">
        <v>1</v>
      </c>
      <c r="F5255" t="s">
        <v>217</v>
      </c>
      <c r="G5255" t="str">
        <f>"04-K02-03"</f>
        <v>04-K02-03</v>
      </c>
      <c r="H5255">
        <v>1.2859</v>
      </c>
      <c r="I5255" t="s">
        <v>3870</v>
      </c>
      <c r="J5255" t="s">
        <v>14</v>
      </c>
      <c r="K5255" t="str">
        <f>"7F6"</f>
        <v>7F6</v>
      </c>
      <c r="L5255" t="s">
        <v>15</v>
      </c>
    </row>
    <row r="5256" spans="1:12" x14ac:dyDescent="0.25">
      <c r="A5256" t="str">
        <f>"506227139"</f>
        <v>506227139</v>
      </c>
      <c r="B5256" t="str">
        <f t="shared" si="273"/>
        <v>89301000</v>
      </c>
      <c r="C5256" s="1">
        <v>44483</v>
      </c>
      <c r="D5256" s="1">
        <v>44487</v>
      </c>
      <c r="E5256">
        <v>1</v>
      </c>
      <c r="F5256" t="s">
        <v>1551</v>
      </c>
      <c r="G5256" t="str">
        <f>"09-I06-04"</f>
        <v>09-I06-04</v>
      </c>
      <c r="H5256">
        <v>0.98829999999999996</v>
      </c>
      <c r="I5256" t="s">
        <v>2119</v>
      </c>
      <c r="J5256" t="s">
        <v>17</v>
      </c>
      <c r="K5256" t="str">
        <f>"5F1"</f>
        <v>5F1</v>
      </c>
      <c r="L5256" t="s">
        <v>15</v>
      </c>
    </row>
    <row r="5257" spans="1:12" x14ac:dyDescent="0.25">
      <c r="A5257" t="str">
        <f>"506229179"</f>
        <v>506229179</v>
      </c>
      <c r="B5257" t="str">
        <f t="shared" si="273"/>
        <v>89301000</v>
      </c>
      <c r="C5257" s="1">
        <v>44214</v>
      </c>
      <c r="D5257" s="1">
        <v>44217</v>
      </c>
      <c r="E5257">
        <v>1</v>
      </c>
      <c r="F5257" t="s">
        <v>1679</v>
      </c>
      <c r="G5257" t="str">
        <f>"11-I17-03"</f>
        <v>11-I17-03</v>
      </c>
      <c r="H5257">
        <v>0.50609999999999999</v>
      </c>
      <c r="I5257" t="s">
        <v>3871</v>
      </c>
      <c r="J5257" t="s">
        <v>14</v>
      </c>
      <c r="K5257" t="str">
        <f>"7F6"</f>
        <v>7F6</v>
      </c>
      <c r="L5257" t="s">
        <v>15</v>
      </c>
    </row>
    <row r="5258" spans="1:12" x14ac:dyDescent="0.25">
      <c r="A5258" t="str">
        <f>"506229219"</f>
        <v>506229219</v>
      </c>
      <c r="B5258" t="str">
        <f t="shared" si="273"/>
        <v>89301000</v>
      </c>
      <c r="C5258" s="1">
        <v>44306</v>
      </c>
      <c r="D5258" s="1">
        <v>44334</v>
      </c>
      <c r="E5258">
        <v>8</v>
      </c>
      <c r="F5258" t="s">
        <v>1794</v>
      </c>
      <c r="G5258" t="str">
        <f>"04-M01-06"</f>
        <v>04-M01-06</v>
      </c>
      <c r="H5258">
        <v>4.4760999999999997</v>
      </c>
      <c r="I5258" t="s">
        <v>3872</v>
      </c>
      <c r="J5258" t="s">
        <v>14</v>
      </c>
      <c r="K5258" t="str">
        <f>"7T8"</f>
        <v>7T8</v>
      </c>
      <c r="L5258" t="s">
        <v>15</v>
      </c>
    </row>
    <row r="5259" spans="1:12" x14ac:dyDescent="0.25">
      <c r="A5259" t="str">
        <f>"510102089"</f>
        <v>510102089</v>
      </c>
      <c r="B5259" t="str">
        <f t="shared" ref="B5259:B5322" si="274">"89301000"</f>
        <v>89301000</v>
      </c>
      <c r="C5259" s="1">
        <v>44448</v>
      </c>
      <c r="D5259" s="1">
        <v>44453</v>
      </c>
      <c r="E5259">
        <v>1</v>
      </c>
      <c r="F5259" t="s">
        <v>43</v>
      </c>
      <c r="G5259" t="str">
        <f>"06-I18-04"</f>
        <v>06-I18-04</v>
      </c>
      <c r="H5259">
        <v>1.1514</v>
      </c>
      <c r="J5259" t="s">
        <v>24</v>
      </c>
      <c r="K5259" t="str">
        <f>"5F1"</f>
        <v>5F1</v>
      </c>
      <c r="L5259" t="s">
        <v>15</v>
      </c>
    </row>
    <row r="5260" spans="1:12" x14ac:dyDescent="0.25">
      <c r="A5260" t="str">
        <f>"510113308"</f>
        <v>510113308</v>
      </c>
      <c r="B5260" t="str">
        <f t="shared" si="274"/>
        <v>89301000</v>
      </c>
      <c r="C5260" s="1">
        <v>44437</v>
      </c>
      <c r="D5260" s="1">
        <v>44439</v>
      </c>
      <c r="E5260">
        <v>1</v>
      </c>
      <c r="F5260" t="s">
        <v>831</v>
      </c>
      <c r="G5260" t="str">
        <f>"02-I06-03"</f>
        <v>02-I06-03</v>
      </c>
      <c r="H5260">
        <v>0.63690000000000002</v>
      </c>
      <c r="I5260" t="s">
        <v>3873</v>
      </c>
      <c r="J5260" t="s">
        <v>17</v>
      </c>
      <c r="K5260" t="str">
        <f>"7F5"</f>
        <v>7F5</v>
      </c>
      <c r="L5260" t="s">
        <v>15</v>
      </c>
    </row>
    <row r="5261" spans="1:12" x14ac:dyDescent="0.25">
      <c r="A5261" t="str">
        <f>"510120120"</f>
        <v>510120120</v>
      </c>
      <c r="B5261" t="str">
        <f t="shared" si="274"/>
        <v>89301000</v>
      </c>
      <c r="C5261" s="1">
        <v>44265</v>
      </c>
      <c r="D5261" s="1">
        <v>44274</v>
      </c>
      <c r="E5261">
        <v>1</v>
      </c>
      <c r="F5261" t="s">
        <v>1794</v>
      </c>
      <c r="G5261" t="str">
        <f>"04-K08-04"</f>
        <v>04-K08-04</v>
      </c>
      <c r="H5261">
        <v>0.92730000000000001</v>
      </c>
      <c r="I5261" t="s">
        <v>3874</v>
      </c>
      <c r="J5261" t="s">
        <v>14</v>
      </c>
      <c r="K5261" t="str">
        <f>"1F1"</f>
        <v>1F1</v>
      </c>
      <c r="L5261" t="s">
        <v>15</v>
      </c>
    </row>
    <row r="5262" spans="1:12" x14ac:dyDescent="0.25">
      <c r="A5262" t="str">
        <f>"510122115"</f>
        <v>510122115</v>
      </c>
      <c r="B5262" t="str">
        <f t="shared" si="274"/>
        <v>89301000</v>
      </c>
      <c r="C5262" s="1">
        <v>44490</v>
      </c>
      <c r="D5262" s="1">
        <v>44523</v>
      </c>
      <c r="E5262">
        <v>1</v>
      </c>
      <c r="F5262" t="s">
        <v>217</v>
      </c>
      <c r="G5262" t="str">
        <f>"00-M02-04"</f>
        <v>00-M02-04</v>
      </c>
      <c r="H5262">
        <v>12.071199999999999</v>
      </c>
      <c r="I5262" t="s">
        <v>3875</v>
      </c>
      <c r="J5262" t="s">
        <v>14</v>
      </c>
      <c r="K5262" t="str">
        <f>"2F5"</f>
        <v>2F5</v>
      </c>
      <c r="L5262" t="s">
        <v>15</v>
      </c>
    </row>
    <row r="5263" spans="1:12" x14ac:dyDescent="0.25">
      <c r="A5263" t="str">
        <f>"510122340"</f>
        <v>510122340</v>
      </c>
      <c r="B5263" t="str">
        <f t="shared" si="274"/>
        <v>89301000</v>
      </c>
      <c r="C5263" s="1">
        <v>44347</v>
      </c>
      <c r="D5263" s="1">
        <v>44348</v>
      </c>
      <c r="E5263">
        <v>1</v>
      </c>
      <c r="F5263" t="s">
        <v>174</v>
      </c>
      <c r="G5263" t="str">
        <f>"12-I14-00"</f>
        <v>12-I14-00</v>
      </c>
      <c r="H5263">
        <v>0.44350000000000001</v>
      </c>
      <c r="J5263" t="s">
        <v>14</v>
      </c>
      <c r="K5263" t="str">
        <f>"7F6"</f>
        <v>7F6</v>
      </c>
      <c r="L5263" t="s">
        <v>15</v>
      </c>
    </row>
    <row r="5264" spans="1:12" x14ac:dyDescent="0.25">
      <c r="A5264" t="str">
        <f>"510204120"</f>
        <v>510204120</v>
      </c>
      <c r="B5264" t="str">
        <f t="shared" si="274"/>
        <v>89301000</v>
      </c>
      <c r="C5264" s="1">
        <v>44225</v>
      </c>
      <c r="D5264" s="1">
        <v>44253</v>
      </c>
      <c r="E5264">
        <v>1</v>
      </c>
      <c r="F5264" t="s">
        <v>109</v>
      </c>
      <c r="G5264" t="str">
        <f>"24-M09-01"</f>
        <v>24-M09-01</v>
      </c>
      <c r="H5264">
        <v>3.4546000000000001</v>
      </c>
      <c r="I5264" t="s">
        <v>3876</v>
      </c>
      <c r="J5264" t="s">
        <v>14</v>
      </c>
      <c r="K5264" t="str">
        <f>"2F1"</f>
        <v>2F1</v>
      </c>
      <c r="L5264" t="s">
        <v>15</v>
      </c>
    </row>
    <row r="5265" spans="1:12" x14ac:dyDescent="0.25">
      <c r="A5265" t="str">
        <f>"510204120"</f>
        <v>510204120</v>
      </c>
      <c r="B5265" t="str">
        <f t="shared" si="274"/>
        <v>89301000</v>
      </c>
      <c r="C5265" s="1">
        <v>44201</v>
      </c>
      <c r="D5265" s="1">
        <v>44225</v>
      </c>
      <c r="E5265">
        <v>3</v>
      </c>
      <c r="F5265" t="s">
        <v>1581</v>
      </c>
      <c r="G5265" t="str">
        <f>"05-I23-02"</f>
        <v>05-I23-02</v>
      </c>
      <c r="H5265">
        <v>2.9106000000000001</v>
      </c>
      <c r="I5265" t="s">
        <v>3877</v>
      </c>
      <c r="J5265" t="s">
        <v>14</v>
      </c>
      <c r="K5265" t="str">
        <f>"1F1"</f>
        <v>1F1</v>
      </c>
      <c r="L5265" t="s">
        <v>15</v>
      </c>
    </row>
    <row r="5266" spans="1:12" x14ac:dyDescent="0.25">
      <c r="A5266" t="str">
        <f>"510206121"</f>
        <v>510206121</v>
      </c>
      <c r="B5266" t="str">
        <f t="shared" si="274"/>
        <v>89301000</v>
      </c>
      <c r="C5266" s="1">
        <v>44322</v>
      </c>
      <c r="D5266" s="1">
        <v>44336</v>
      </c>
      <c r="E5266">
        <v>1</v>
      </c>
      <c r="F5266" t="s">
        <v>3878</v>
      </c>
      <c r="G5266" t="str">
        <f>"08-K01-01"</f>
        <v>08-K01-01</v>
      </c>
      <c r="H5266">
        <v>1.5326</v>
      </c>
      <c r="I5266" t="s">
        <v>3879</v>
      </c>
      <c r="J5266" t="s">
        <v>14</v>
      </c>
      <c r="K5266" t="str">
        <f>"1F9"</f>
        <v>1F9</v>
      </c>
      <c r="L5266" t="s">
        <v>15</v>
      </c>
    </row>
    <row r="5267" spans="1:12" x14ac:dyDescent="0.25">
      <c r="A5267" t="str">
        <f>"510206121"</f>
        <v>510206121</v>
      </c>
      <c r="B5267" t="str">
        <f t="shared" si="274"/>
        <v>89301000</v>
      </c>
      <c r="C5267" s="1">
        <v>44445</v>
      </c>
      <c r="D5267" s="1">
        <v>44449</v>
      </c>
      <c r="E5267">
        <v>1</v>
      </c>
      <c r="F5267" t="s">
        <v>3878</v>
      </c>
      <c r="G5267" t="str">
        <f>"08-K01-02"</f>
        <v>08-K01-02</v>
      </c>
      <c r="H5267">
        <v>1.1327</v>
      </c>
      <c r="I5267" t="s">
        <v>3880</v>
      </c>
      <c r="J5267" t="s">
        <v>14</v>
      </c>
      <c r="K5267" t="str">
        <f>"1F9"</f>
        <v>1F9</v>
      </c>
      <c r="L5267" t="s">
        <v>15</v>
      </c>
    </row>
    <row r="5268" spans="1:12" x14ac:dyDescent="0.25">
      <c r="A5268" t="str">
        <f>"510211106"</f>
        <v>510211106</v>
      </c>
      <c r="B5268" t="str">
        <f t="shared" si="274"/>
        <v>89301000</v>
      </c>
      <c r="C5268" s="1">
        <v>44410</v>
      </c>
      <c r="D5268" s="1">
        <v>44414</v>
      </c>
      <c r="E5268">
        <v>1</v>
      </c>
      <c r="F5268" t="s">
        <v>1991</v>
      </c>
      <c r="G5268" t="str">
        <f>"12-M02-01"</f>
        <v>12-M02-01</v>
      </c>
      <c r="H5268">
        <v>1.2088000000000001</v>
      </c>
      <c r="I5268" t="s">
        <v>3881</v>
      </c>
      <c r="J5268" t="s">
        <v>24</v>
      </c>
      <c r="K5268" t="str">
        <f>"7F6"</f>
        <v>7F6</v>
      </c>
      <c r="L5268" t="s">
        <v>15</v>
      </c>
    </row>
    <row r="5269" spans="1:12" x14ac:dyDescent="0.25">
      <c r="A5269" t="str">
        <f>"510215120"</f>
        <v>510215120</v>
      </c>
      <c r="B5269" t="str">
        <f t="shared" si="274"/>
        <v>89301000</v>
      </c>
      <c r="C5269" s="1">
        <v>44265</v>
      </c>
      <c r="D5269" s="1">
        <v>44268</v>
      </c>
      <c r="E5269">
        <v>5</v>
      </c>
      <c r="F5269" t="s">
        <v>1683</v>
      </c>
      <c r="G5269" t="str">
        <f>"05-I03-03"</f>
        <v>05-I03-03</v>
      </c>
      <c r="H5269">
        <v>12.3264</v>
      </c>
      <c r="I5269" t="s">
        <v>3882</v>
      </c>
      <c r="J5269" t="s">
        <v>14</v>
      </c>
      <c r="K5269" t="str">
        <f>"1T1"</f>
        <v>1T1</v>
      </c>
      <c r="L5269" t="s">
        <v>15</v>
      </c>
    </row>
    <row r="5270" spans="1:12" x14ac:dyDescent="0.25">
      <c r="A5270" t="str">
        <f>"510225111"</f>
        <v>510225111</v>
      </c>
      <c r="B5270" t="str">
        <f t="shared" si="274"/>
        <v>89301000</v>
      </c>
      <c r="C5270" s="1">
        <v>44209</v>
      </c>
      <c r="D5270" s="1">
        <v>44222</v>
      </c>
      <c r="E5270">
        <v>1</v>
      </c>
      <c r="F5270" t="s">
        <v>3883</v>
      </c>
      <c r="G5270" t="str">
        <f>"06-I04-03"</f>
        <v>06-I04-03</v>
      </c>
      <c r="H5270">
        <v>4.0362999999999998</v>
      </c>
      <c r="I5270" t="s">
        <v>3884</v>
      </c>
      <c r="J5270" t="s">
        <v>17</v>
      </c>
      <c r="K5270" t="str">
        <f>"5F1"</f>
        <v>5F1</v>
      </c>
      <c r="L5270" t="s">
        <v>15</v>
      </c>
    </row>
    <row r="5271" spans="1:12" x14ac:dyDescent="0.25">
      <c r="A5271" t="str">
        <f>"510227041"</f>
        <v>510227041</v>
      </c>
      <c r="B5271" t="str">
        <f t="shared" si="274"/>
        <v>89301000</v>
      </c>
      <c r="C5271" s="1">
        <v>44309</v>
      </c>
      <c r="D5271" s="1">
        <v>44309</v>
      </c>
      <c r="E5271">
        <v>1</v>
      </c>
      <c r="F5271" t="s">
        <v>2457</v>
      </c>
      <c r="G5271" t="str">
        <f>"05-D01-08"</f>
        <v>05-D01-08</v>
      </c>
      <c r="H5271">
        <v>0.21890000000000001</v>
      </c>
      <c r="I5271" t="s">
        <v>3885</v>
      </c>
      <c r="J5271" t="s">
        <v>14</v>
      </c>
      <c r="K5271" t="str">
        <f>"1F1"</f>
        <v>1F1</v>
      </c>
      <c r="L5271" t="s">
        <v>15</v>
      </c>
    </row>
    <row r="5272" spans="1:12" x14ac:dyDescent="0.25">
      <c r="A5272" t="str">
        <f>"510227356"</f>
        <v>510227356</v>
      </c>
      <c r="B5272" t="str">
        <f t="shared" si="274"/>
        <v>89301000</v>
      </c>
      <c r="C5272" s="1">
        <v>44428</v>
      </c>
      <c r="D5272" s="1">
        <v>44431</v>
      </c>
      <c r="E5272">
        <v>1</v>
      </c>
      <c r="F5272" t="s">
        <v>41</v>
      </c>
      <c r="G5272" t="str">
        <f>"01-D01-03"</f>
        <v>01-D01-03</v>
      </c>
      <c r="H5272">
        <v>0.2054</v>
      </c>
      <c r="I5272" t="s">
        <v>3886</v>
      </c>
      <c r="J5272" t="s">
        <v>14</v>
      </c>
      <c r="K5272" t="str">
        <f>"2F5"</f>
        <v>2F5</v>
      </c>
      <c r="L5272" t="s">
        <v>15</v>
      </c>
    </row>
    <row r="5273" spans="1:12" x14ac:dyDescent="0.25">
      <c r="A5273" t="str">
        <f>"510227356"</f>
        <v>510227356</v>
      </c>
      <c r="B5273" t="str">
        <f t="shared" si="274"/>
        <v>89301000</v>
      </c>
      <c r="C5273" s="1">
        <v>44489</v>
      </c>
      <c r="D5273" s="1">
        <v>44491</v>
      </c>
      <c r="E5273">
        <v>1</v>
      </c>
      <c r="F5273" t="s">
        <v>1604</v>
      </c>
      <c r="G5273" t="str">
        <f>"05-I25-02"</f>
        <v>05-I25-02</v>
      </c>
      <c r="H5273">
        <v>2.9081000000000001</v>
      </c>
      <c r="I5273" t="s">
        <v>2391</v>
      </c>
      <c r="J5273" t="s">
        <v>17</v>
      </c>
      <c r="K5273" t="str">
        <f>"1F1"</f>
        <v>1F1</v>
      </c>
      <c r="L5273" t="s">
        <v>15</v>
      </c>
    </row>
    <row r="5274" spans="1:12" x14ac:dyDescent="0.25">
      <c r="A5274" t="str">
        <f>"510228125"</f>
        <v>510228125</v>
      </c>
      <c r="B5274" t="str">
        <f t="shared" si="274"/>
        <v>89301000</v>
      </c>
      <c r="C5274" s="1">
        <v>44349</v>
      </c>
      <c r="D5274" s="1">
        <v>44363</v>
      </c>
      <c r="E5274">
        <v>4</v>
      </c>
      <c r="F5274" t="s">
        <v>3887</v>
      </c>
      <c r="G5274" t="str">
        <f>"08-K03-01"</f>
        <v>08-K03-01</v>
      </c>
      <c r="H5274">
        <v>3.1173000000000002</v>
      </c>
      <c r="I5274" t="s">
        <v>3888</v>
      </c>
      <c r="J5274" t="s">
        <v>14</v>
      </c>
      <c r="K5274" t="str">
        <f>"1F1"</f>
        <v>1F1</v>
      </c>
      <c r="L5274" t="s">
        <v>15</v>
      </c>
    </row>
    <row r="5275" spans="1:12" x14ac:dyDescent="0.25">
      <c r="A5275" t="str">
        <f>"510228125"</f>
        <v>510228125</v>
      </c>
      <c r="B5275" t="str">
        <f t="shared" si="274"/>
        <v>89301000</v>
      </c>
      <c r="C5275" s="1">
        <v>44515</v>
      </c>
      <c r="D5275" s="1">
        <v>44519</v>
      </c>
      <c r="E5275">
        <v>8</v>
      </c>
      <c r="F5275" t="s">
        <v>217</v>
      </c>
      <c r="G5275" t="str">
        <f>"04-K02-02"</f>
        <v>04-K02-02</v>
      </c>
      <c r="H5275">
        <v>2.5186000000000002</v>
      </c>
      <c r="I5275" t="s">
        <v>2879</v>
      </c>
      <c r="J5275" t="s">
        <v>14</v>
      </c>
      <c r="K5275" t="str">
        <f>"1T1"</f>
        <v>1T1</v>
      </c>
      <c r="L5275" t="s">
        <v>15</v>
      </c>
    </row>
    <row r="5276" spans="1:12" x14ac:dyDescent="0.25">
      <c r="A5276" t="str">
        <f>"510303186"</f>
        <v>510303186</v>
      </c>
      <c r="B5276" t="str">
        <f t="shared" si="274"/>
        <v>89301000</v>
      </c>
      <c r="C5276" s="1">
        <v>44426</v>
      </c>
      <c r="D5276" s="1">
        <v>44429</v>
      </c>
      <c r="E5276">
        <v>1</v>
      </c>
      <c r="F5276" t="s">
        <v>3889</v>
      </c>
      <c r="G5276" t="str">
        <f>"05-M06-06"</f>
        <v>05-M06-06</v>
      </c>
      <c r="H5276">
        <v>1.7652000000000001</v>
      </c>
      <c r="I5276" t="s">
        <v>1892</v>
      </c>
      <c r="J5276" t="s">
        <v>17</v>
      </c>
      <c r="K5276" t="str">
        <f>"1F7"</f>
        <v>1F7</v>
      </c>
      <c r="L5276" t="s">
        <v>15</v>
      </c>
    </row>
    <row r="5277" spans="1:12" x14ac:dyDescent="0.25">
      <c r="A5277" t="str">
        <f>"510306031"</f>
        <v>510306031</v>
      </c>
      <c r="B5277" t="str">
        <f t="shared" si="274"/>
        <v>89301000</v>
      </c>
      <c r="C5277" s="1">
        <v>44444</v>
      </c>
      <c r="D5277" s="1">
        <v>44445</v>
      </c>
      <c r="E5277">
        <v>1</v>
      </c>
      <c r="F5277" t="s">
        <v>1557</v>
      </c>
      <c r="G5277" t="str">
        <f>"05-M06-08"</f>
        <v>05-M06-08</v>
      </c>
      <c r="H5277">
        <v>1.4719</v>
      </c>
      <c r="J5277" t="s">
        <v>17</v>
      </c>
      <c r="K5277" t="str">
        <f>"1F7"</f>
        <v>1F7</v>
      </c>
      <c r="L5277" t="s">
        <v>15</v>
      </c>
    </row>
    <row r="5278" spans="1:12" x14ac:dyDescent="0.25">
      <c r="A5278" t="str">
        <f>"510307120"</f>
        <v>510307120</v>
      </c>
      <c r="B5278" t="str">
        <f t="shared" si="274"/>
        <v>89301000</v>
      </c>
      <c r="C5278" s="1">
        <v>44550</v>
      </c>
      <c r="D5278" s="1">
        <v>44550</v>
      </c>
      <c r="E5278">
        <v>1</v>
      </c>
      <c r="F5278" t="s">
        <v>1962</v>
      </c>
      <c r="G5278" t="str">
        <f>"04-K15-03"</f>
        <v>04-K15-03</v>
      </c>
      <c r="H5278">
        <v>0.25090000000000001</v>
      </c>
      <c r="I5278" t="s">
        <v>489</v>
      </c>
      <c r="J5278" t="s">
        <v>14</v>
      </c>
      <c r="K5278" t="str">
        <f>"1F1"</f>
        <v>1F1</v>
      </c>
      <c r="L5278" t="s">
        <v>15</v>
      </c>
    </row>
    <row r="5279" spans="1:12" x14ac:dyDescent="0.25">
      <c r="A5279" t="str">
        <f>"510308014"</f>
        <v>510308014</v>
      </c>
      <c r="B5279" t="str">
        <f t="shared" si="274"/>
        <v>89301000</v>
      </c>
      <c r="C5279" s="1">
        <v>44490</v>
      </c>
      <c r="D5279" s="1">
        <v>44495</v>
      </c>
      <c r="E5279">
        <v>1</v>
      </c>
      <c r="F5279" t="s">
        <v>2366</v>
      </c>
      <c r="G5279" t="str">
        <f>"02-I09-03"</f>
        <v>02-I09-03</v>
      </c>
      <c r="H5279">
        <v>0.92979999999999996</v>
      </c>
      <c r="J5279" t="s">
        <v>14</v>
      </c>
      <c r="K5279" t="str">
        <f>"7F5"</f>
        <v>7F5</v>
      </c>
      <c r="L5279" t="s">
        <v>15</v>
      </c>
    </row>
    <row r="5280" spans="1:12" x14ac:dyDescent="0.25">
      <c r="A5280" t="str">
        <f>"510308082"</f>
        <v>510308082</v>
      </c>
      <c r="B5280" t="str">
        <f t="shared" si="274"/>
        <v>89301000</v>
      </c>
      <c r="C5280" s="1">
        <v>44523</v>
      </c>
      <c r="D5280" s="1">
        <v>44540</v>
      </c>
      <c r="E5280">
        <v>3</v>
      </c>
      <c r="F5280" t="s">
        <v>67</v>
      </c>
      <c r="G5280" t="str">
        <f>"01-K10-03"</f>
        <v>01-K10-03</v>
      </c>
      <c r="H5280">
        <v>5.0167999999999999</v>
      </c>
      <c r="I5280" t="s">
        <v>3890</v>
      </c>
      <c r="J5280" t="s">
        <v>14</v>
      </c>
      <c r="K5280" t="str">
        <f>"1F1"</f>
        <v>1F1</v>
      </c>
      <c r="L5280" t="s">
        <v>15</v>
      </c>
    </row>
    <row r="5281" spans="1:12" x14ac:dyDescent="0.25">
      <c r="A5281" t="str">
        <f>"510308082"</f>
        <v>510308082</v>
      </c>
      <c r="B5281" t="str">
        <f t="shared" si="274"/>
        <v>89301000</v>
      </c>
      <c r="C5281" s="1">
        <v>44540</v>
      </c>
      <c r="D5281" s="1">
        <v>44547</v>
      </c>
      <c r="E5281">
        <v>1</v>
      </c>
      <c r="F5281" t="s">
        <v>109</v>
      </c>
      <c r="G5281" t="str">
        <f>"24-M06-01"</f>
        <v>24-M06-01</v>
      </c>
      <c r="H5281">
        <v>1.1548</v>
      </c>
      <c r="I5281" t="s">
        <v>3891</v>
      </c>
      <c r="J5281" t="s">
        <v>14</v>
      </c>
      <c r="K5281" t="str">
        <f>"2F1"</f>
        <v>2F1</v>
      </c>
      <c r="L5281" t="s">
        <v>15</v>
      </c>
    </row>
    <row r="5282" spans="1:12" x14ac:dyDescent="0.25">
      <c r="A5282" t="str">
        <f>"510312020"</f>
        <v>510312020</v>
      </c>
      <c r="B5282" t="str">
        <f t="shared" si="274"/>
        <v>89301000</v>
      </c>
      <c r="C5282" s="1">
        <v>44490</v>
      </c>
      <c r="D5282" s="1">
        <v>44492</v>
      </c>
      <c r="E5282">
        <v>1</v>
      </c>
      <c r="F5282" t="s">
        <v>1683</v>
      </c>
      <c r="G5282" t="str">
        <f>"05-M06-06"</f>
        <v>05-M06-06</v>
      </c>
      <c r="H5282">
        <v>1.7652000000000001</v>
      </c>
      <c r="I5282" t="s">
        <v>3179</v>
      </c>
      <c r="J5282" t="s">
        <v>17</v>
      </c>
      <c r="K5282" t="str">
        <f>"1F1"</f>
        <v>1F1</v>
      </c>
      <c r="L5282" t="s">
        <v>15</v>
      </c>
    </row>
    <row r="5283" spans="1:12" x14ac:dyDescent="0.25">
      <c r="A5283" t="str">
        <f>"510315103"</f>
        <v>510315103</v>
      </c>
      <c r="B5283" t="str">
        <f t="shared" si="274"/>
        <v>89301000</v>
      </c>
      <c r="C5283" s="1">
        <v>44211</v>
      </c>
      <c r="D5283" s="1">
        <v>44213</v>
      </c>
      <c r="E5283">
        <v>7</v>
      </c>
      <c r="F5283" t="s">
        <v>67</v>
      </c>
      <c r="G5283" t="str">
        <f>"01-K10-03"</f>
        <v>01-K10-03</v>
      </c>
      <c r="H5283">
        <v>1.0016</v>
      </c>
      <c r="I5283" t="s">
        <v>3892</v>
      </c>
      <c r="J5283" t="s">
        <v>14</v>
      </c>
      <c r="K5283" t="str">
        <f>"2F9"</f>
        <v>2F9</v>
      </c>
      <c r="L5283" t="s">
        <v>15</v>
      </c>
    </row>
    <row r="5284" spans="1:12" x14ac:dyDescent="0.25">
      <c r="A5284" t="str">
        <f>"510316070"</f>
        <v>510316070</v>
      </c>
      <c r="B5284" t="str">
        <f t="shared" si="274"/>
        <v>89301000</v>
      </c>
      <c r="C5284" s="1">
        <v>44362</v>
      </c>
      <c r="D5284" s="1">
        <v>44367</v>
      </c>
      <c r="E5284">
        <v>1</v>
      </c>
      <c r="F5284" t="s">
        <v>2585</v>
      </c>
      <c r="G5284" t="str">
        <f>"12-I03-01"</f>
        <v>12-I03-01</v>
      </c>
      <c r="H5284">
        <v>2.6785999999999999</v>
      </c>
      <c r="I5284" t="s">
        <v>3893</v>
      </c>
      <c r="J5284" t="s">
        <v>14</v>
      </c>
      <c r="K5284" t="str">
        <f>"7F6"</f>
        <v>7F6</v>
      </c>
      <c r="L5284" t="s">
        <v>15</v>
      </c>
    </row>
    <row r="5285" spans="1:12" x14ac:dyDescent="0.25">
      <c r="A5285" t="str">
        <f>"510317094"</f>
        <v>510317094</v>
      </c>
      <c r="B5285" t="str">
        <f t="shared" si="274"/>
        <v>89301000</v>
      </c>
      <c r="C5285" s="1">
        <v>44286</v>
      </c>
      <c r="D5285" s="1">
        <v>44288</v>
      </c>
      <c r="E5285">
        <v>1</v>
      </c>
      <c r="F5285" t="s">
        <v>3894</v>
      </c>
      <c r="G5285" t="str">
        <f>"08-M03-05"</f>
        <v>08-M03-05</v>
      </c>
      <c r="H5285">
        <v>0.51759999999999995</v>
      </c>
      <c r="J5285" t="s">
        <v>14</v>
      </c>
      <c r="K5285" t="str">
        <f>"6F6"</f>
        <v>6F6</v>
      </c>
      <c r="L5285" t="s">
        <v>15</v>
      </c>
    </row>
    <row r="5286" spans="1:12" x14ac:dyDescent="0.25">
      <c r="A5286" t="str">
        <f>"510319044"</f>
        <v>510319044</v>
      </c>
      <c r="B5286" t="str">
        <f t="shared" si="274"/>
        <v>89301000</v>
      </c>
      <c r="C5286" s="1">
        <v>44412</v>
      </c>
      <c r="D5286" s="1">
        <v>44414</v>
      </c>
      <c r="E5286">
        <v>1</v>
      </c>
      <c r="F5286" t="s">
        <v>1606</v>
      </c>
      <c r="G5286" t="str">
        <f>"05-M05-02"</f>
        <v>05-M05-02</v>
      </c>
      <c r="H5286">
        <v>3.516</v>
      </c>
      <c r="I5286" t="s">
        <v>3230</v>
      </c>
      <c r="J5286" t="s">
        <v>24</v>
      </c>
      <c r="K5286" t="str">
        <f>"1F7"</f>
        <v>1F7</v>
      </c>
      <c r="L5286" t="s">
        <v>15</v>
      </c>
    </row>
    <row r="5287" spans="1:12" x14ac:dyDescent="0.25">
      <c r="A5287" t="str">
        <f t="shared" ref="A5287:A5296" si="275">"510324393"</f>
        <v>510324393</v>
      </c>
      <c r="B5287" t="str">
        <f t="shared" si="274"/>
        <v>89301000</v>
      </c>
      <c r="C5287" s="1">
        <v>44347</v>
      </c>
      <c r="D5287" s="1">
        <v>44356</v>
      </c>
      <c r="E5287">
        <v>1</v>
      </c>
      <c r="F5287" t="s">
        <v>2185</v>
      </c>
      <c r="G5287" t="str">
        <f>"07-K07-02"</f>
        <v>07-K07-02</v>
      </c>
      <c r="H5287">
        <v>0.53259999999999996</v>
      </c>
      <c r="I5287" t="s">
        <v>2119</v>
      </c>
      <c r="J5287" t="s">
        <v>14</v>
      </c>
      <c r="K5287" t="str">
        <f>"5F1"</f>
        <v>5F1</v>
      </c>
      <c r="L5287" t="s">
        <v>15</v>
      </c>
    </row>
    <row r="5288" spans="1:12" x14ac:dyDescent="0.25">
      <c r="A5288" t="str">
        <f t="shared" si="275"/>
        <v>510324393</v>
      </c>
      <c r="B5288" t="str">
        <f t="shared" si="274"/>
        <v>89301000</v>
      </c>
      <c r="C5288" s="1">
        <v>44432</v>
      </c>
      <c r="D5288" s="1">
        <v>44441</v>
      </c>
      <c r="E5288">
        <v>1</v>
      </c>
      <c r="F5288" t="s">
        <v>1953</v>
      </c>
      <c r="G5288" t="str">
        <f t="shared" ref="G5288:G5296" si="276">"07-C01-02"</f>
        <v>07-C01-02</v>
      </c>
      <c r="H5288">
        <v>0.50290000000000001</v>
      </c>
      <c r="I5288" t="s">
        <v>541</v>
      </c>
      <c r="J5288" t="s">
        <v>14</v>
      </c>
      <c r="K5288" t="str">
        <f t="shared" ref="K5288:K5296" si="277">"4F2"</f>
        <v>4F2</v>
      </c>
      <c r="L5288" t="s">
        <v>15</v>
      </c>
    </row>
    <row r="5289" spans="1:12" x14ac:dyDescent="0.25">
      <c r="A5289" t="str">
        <f t="shared" si="275"/>
        <v>510324393</v>
      </c>
      <c r="B5289" t="str">
        <f t="shared" si="274"/>
        <v>89301000</v>
      </c>
      <c r="C5289" s="1">
        <v>44452</v>
      </c>
      <c r="D5289" s="1">
        <v>44455</v>
      </c>
      <c r="E5289">
        <v>1</v>
      </c>
      <c r="F5289" t="s">
        <v>1953</v>
      </c>
      <c r="G5289" t="str">
        <f t="shared" si="276"/>
        <v>07-C01-02</v>
      </c>
      <c r="H5289">
        <v>0.30530000000000002</v>
      </c>
      <c r="I5289" t="s">
        <v>541</v>
      </c>
      <c r="J5289" t="s">
        <v>14</v>
      </c>
      <c r="K5289" t="str">
        <f t="shared" si="277"/>
        <v>4F2</v>
      </c>
      <c r="L5289" t="s">
        <v>15</v>
      </c>
    </row>
    <row r="5290" spans="1:12" x14ac:dyDescent="0.25">
      <c r="A5290" t="str">
        <f t="shared" si="275"/>
        <v>510324393</v>
      </c>
      <c r="B5290" t="str">
        <f t="shared" si="274"/>
        <v>89301000</v>
      </c>
      <c r="C5290" s="1">
        <v>44417</v>
      </c>
      <c r="D5290" s="1">
        <v>44423</v>
      </c>
      <c r="E5290">
        <v>1</v>
      </c>
      <c r="F5290" t="s">
        <v>1953</v>
      </c>
      <c r="G5290" t="str">
        <f t="shared" si="276"/>
        <v>07-C01-02</v>
      </c>
      <c r="H5290">
        <v>0.35470000000000002</v>
      </c>
      <c r="I5290" t="s">
        <v>3895</v>
      </c>
      <c r="J5290" t="s">
        <v>14</v>
      </c>
      <c r="K5290" t="str">
        <f t="shared" si="277"/>
        <v>4F2</v>
      </c>
      <c r="L5290" t="s">
        <v>15</v>
      </c>
    </row>
    <row r="5291" spans="1:12" x14ac:dyDescent="0.25">
      <c r="A5291" t="str">
        <f t="shared" si="275"/>
        <v>510324393</v>
      </c>
      <c r="B5291" t="str">
        <f t="shared" si="274"/>
        <v>89301000</v>
      </c>
      <c r="C5291" s="1">
        <v>44504</v>
      </c>
      <c r="D5291" s="1">
        <v>44507</v>
      </c>
      <c r="E5291">
        <v>1</v>
      </c>
      <c r="F5291" t="s">
        <v>1953</v>
      </c>
      <c r="G5291" t="str">
        <f t="shared" si="276"/>
        <v>07-C01-02</v>
      </c>
      <c r="H5291">
        <v>0.30530000000000002</v>
      </c>
      <c r="I5291" t="s">
        <v>3317</v>
      </c>
      <c r="J5291" t="s">
        <v>14</v>
      </c>
      <c r="K5291" t="str">
        <f t="shared" si="277"/>
        <v>4F2</v>
      </c>
      <c r="L5291" t="s">
        <v>15</v>
      </c>
    </row>
    <row r="5292" spans="1:12" x14ac:dyDescent="0.25">
      <c r="A5292" t="str">
        <f t="shared" si="275"/>
        <v>510324393</v>
      </c>
      <c r="B5292" t="str">
        <f t="shared" si="274"/>
        <v>89301000</v>
      </c>
      <c r="C5292" s="1">
        <v>44518</v>
      </c>
      <c r="D5292" s="1">
        <v>44521</v>
      </c>
      <c r="E5292">
        <v>1</v>
      </c>
      <c r="F5292" t="s">
        <v>1953</v>
      </c>
      <c r="G5292" t="str">
        <f t="shared" si="276"/>
        <v>07-C01-02</v>
      </c>
      <c r="H5292">
        <v>0.30530000000000002</v>
      </c>
      <c r="I5292" t="s">
        <v>3317</v>
      </c>
      <c r="J5292" t="s">
        <v>14</v>
      </c>
      <c r="K5292" t="str">
        <f t="shared" si="277"/>
        <v>4F2</v>
      </c>
      <c r="L5292" t="s">
        <v>15</v>
      </c>
    </row>
    <row r="5293" spans="1:12" x14ac:dyDescent="0.25">
      <c r="A5293" t="str">
        <f t="shared" si="275"/>
        <v>510324393</v>
      </c>
      <c r="B5293" t="str">
        <f t="shared" si="274"/>
        <v>89301000</v>
      </c>
      <c r="C5293" s="1">
        <v>44532</v>
      </c>
      <c r="D5293" s="1">
        <v>44535</v>
      </c>
      <c r="E5293">
        <v>1</v>
      </c>
      <c r="F5293" t="s">
        <v>1953</v>
      </c>
      <c r="G5293" t="str">
        <f t="shared" si="276"/>
        <v>07-C01-02</v>
      </c>
      <c r="H5293">
        <v>0.30530000000000002</v>
      </c>
      <c r="I5293" t="s">
        <v>541</v>
      </c>
      <c r="J5293" t="s">
        <v>14</v>
      </c>
      <c r="K5293" t="str">
        <f t="shared" si="277"/>
        <v>4F2</v>
      </c>
      <c r="L5293" t="s">
        <v>15</v>
      </c>
    </row>
    <row r="5294" spans="1:12" x14ac:dyDescent="0.25">
      <c r="A5294" t="str">
        <f t="shared" si="275"/>
        <v>510324393</v>
      </c>
      <c r="B5294" t="str">
        <f t="shared" si="274"/>
        <v>89301000</v>
      </c>
      <c r="C5294" s="1">
        <v>44389</v>
      </c>
      <c r="D5294" s="1">
        <v>44392</v>
      </c>
      <c r="E5294">
        <v>1</v>
      </c>
      <c r="F5294" t="s">
        <v>1953</v>
      </c>
      <c r="G5294" t="str">
        <f t="shared" si="276"/>
        <v>07-C01-02</v>
      </c>
      <c r="H5294">
        <v>0.30530000000000002</v>
      </c>
      <c r="I5294" t="s">
        <v>541</v>
      </c>
      <c r="J5294" t="s">
        <v>14</v>
      </c>
      <c r="K5294" t="str">
        <f t="shared" si="277"/>
        <v>4F2</v>
      </c>
      <c r="L5294" t="s">
        <v>15</v>
      </c>
    </row>
    <row r="5295" spans="1:12" x14ac:dyDescent="0.25">
      <c r="A5295" t="str">
        <f t="shared" si="275"/>
        <v>510324393</v>
      </c>
      <c r="B5295" t="str">
        <f t="shared" si="274"/>
        <v>89301000</v>
      </c>
      <c r="C5295" s="1">
        <v>44403</v>
      </c>
      <c r="D5295" s="1">
        <v>44406</v>
      </c>
      <c r="E5295">
        <v>1</v>
      </c>
      <c r="F5295" t="s">
        <v>1953</v>
      </c>
      <c r="G5295" t="str">
        <f t="shared" si="276"/>
        <v>07-C01-02</v>
      </c>
      <c r="H5295">
        <v>0.30530000000000002</v>
      </c>
      <c r="I5295" t="s">
        <v>541</v>
      </c>
      <c r="J5295" t="s">
        <v>14</v>
      </c>
      <c r="K5295" t="str">
        <f t="shared" si="277"/>
        <v>4F2</v>
      </c>
      <c r="L5295" t="s">
        <v>15</v>
      </c>
    </row>
    <row r="5296" spans="1:12" x14ac:dyDescent="0.25">
      <c r="A5296" t="str">
        <f t="shared" si="275"/>
        <v>510324393</v>
      </c>
      <c r="B5296" t="str">
        <f t="shared" si="274"/>
        <v>89301000</v>
      </c>
      <c r="C5296" s="1">
        <v>44490</v>
      </c>
      <c r="D5296" s="1">
        <v>44493</v>
      </c>
      <c r="E5296">
        <v>1</v>
      </c>
      <c r="F5296" t="s">
        <v>1953</v>
      </c>
      <c r="G5296" t="str">
        <f t="shared" si="276"/>
        <v>07-C01-02</v>
      </c>
      <c r="H5296">
        <v>0.30530000000000002</v>
      </c>
      <c r="I5296" t="s">
        <v>541</v>
      </c>
      <c r="J5296" t="s">
        <v>14</v>
      </c>
      <c r="K5296" t="str">
        <f t="shared" si="277"/>
        <v>4F2</v>
      </c>
      <c r="L5296" t="s">
        <v>15</v>
      </c>
    </row>
    <row r="5297" spans="1:12" x14ac:dyDescent="0.25">
      <c r="A5297" t="str">
        <f>"510325028"</f>
        <v>510325028</v>
      </c>
      <c r="B5297" t="str">
        <f t="shared" si="274"/>
        <v>89301000</v>
      </c>
      <c r="C5297" s="1">
        <v>44293</v>
      </c>
      <c r="D5297" s="1">
        <v>44306</v>
      </c>
      <c r="E5297">
        <v>8</v>
      </c>
      <c r="F5297" t="s">
        <v>3642</v>
      </c>
      <c r="G5297" t="str">
        <f>"08-I05-03"</f>
        <v>08-I05-03</v>
      </c>
      <c r="H5297">
        <v>2.8530000000000002</v>
      </c>
      <c r="I5297" t="s">
        <v>3896</v>
      </c>
      <c r="J5297" t="s">
        <v>17</v>
      </c>
      <c r="K5297" t="str">
        <f>"1F1"</f>
        <v>1F1</v>
      </c>
      <c r="L5297" t="s">
        <v>15</v>
      </c>
    </row>
    <row r="5298" spans="1:12" x14ac:dyDescent="0.25">
      <c r="A5298" t="str">
        <f>"510404110"</f>
        <v>510404110</v>
      </c>
      <c r="B5298" t="str">
        <f t="shared" si="274"/>
        <v>89301000</v>
      </c>
      <c r="C5298" s="1">
        <v>44474</v>
      </c>
      <c r="D5298" s="1">
        <v>44481</v>
      </c>
      <c r="E5298">
        <v>4</v>
      </c>
      <c r="F5298" t="s">
        <v>3897</v>
      </c>
      <c r="G5298" t="str">
        <f>"08-I13-06"</f>
        <v>08-I13-06</v>
      </c>
      <c r="H5298">
        <v>2.0251999999999999</v>
      </c>
      <c r="I5298" t="s">
        <v>3898</v>
      </c>
      <c r="J5298" t="s">
        <v>17</v>
      </c>
      <c r="K5298" t="str">
        <f>"5F3"</f>
        <v>5F3</v>
      </c>
      <c r="L5298" t="s">
        <v>15</v>
      </c>
    </row>
    <row r="5299" spans="1:12" x14ac:dyDescent="0.25">
      <c r="A5299" t="str">
        <f>"510404110"</f>
        <v>510404110</v>
      </c>
      <c r="B5299" t="str">
        <f t="shared" si="274"/>
        <v>89301000</v>
      </c>
      <c r="C5299" s="1">
        <v>44529</v>
      </c>
      <c r="D5299" s="1">
        <v>44538</v>
      </c>
      <c r="E5299">
        <v>1</v>
      </c>
      <c r="F5299" t="s">
        <v>2931</v>
      </c>
      <c r="G5299" t="str">
        <f>"07-K04-02"</f>
        <v>07-K04-02</v>
      </c>
      <c r="H5299">
        <v>1.4743999999999999</v>
      </c>
      <c r="I5299" t="s">
        <v>3899</v>
      </c>
      <c r="J5299" t="s">
        <v>14</v>
      </c>
      <c r="K5299" t="str">
        <f>"1F5"</f>
        <v>1F5</v>
      </c>
      <c r="L5299" t="s">
        <v>15</v>
      </c>
    </row>
    <row r="5300" spans="1:12" x14ac:dyDescent="0.25">
      <c r="A5300" t="str">
        <f>"510404110"</f>
        <v>510404110</v>
      </c>
      <c r="B5300" t="str">
        <f t="shared" si="274"/>
        <v>89301000</v>
      </c>
      <c r="C5300" s="1">
        <v>44502</v>
      </c>
      <c r="D5300" s="1">
        <v>44509</v>
      </c>
      <c r="E5300">
        <v>5</v>
      </c>
      <c r="F5300" t="s">
        <v>2931</v>
      </c>
      <c r="G5300" t="str">
        <f>"07-K04-02"</f>
        <v>07-K04-02</v>
      </c>
      <c r="H5300">
        <v>1.4743999999999999</v>
      </c>
      <c r="I5300" t="s">
        <v>3900</v>
      </c>
      <c r="J5300" t="s">
        <v>14</v>
      </c>
      <c r="K5300" t="str">
        <f>"1F1"</f>
        <v>1F1</v>
      </c>
      <c r="L5300" t="s">
        <v>15</v>
      </c>
    </row>
    <row r="5301" spans="1:12" x14ac:dyDescent="0.25">
      <c r="A5301" t="str">
        <f>"510405078"</f>
        <v>510405078</v>
      </c>
      <c r="B5301" t="str">
        <f t="shared" si="274"/>
        <v>89301000</v>
      </c>
      <c r="C5301" s="1">
        <v>44320</v>
      </c>
      <c r="D5301" s="1">
        <v>44326</v>
      </c>
      <c r="E5301">
        <v>1</v>
      </c>
      <c r="F5301" t="s">
        <v>3901</v>
      </c>
      <c r="G5301" t="str">
        <f>"07-K04-04"</f>
        <v>07-K04-04</v>
      </c>
      <c r="H5301">
        <v>0.61360000000000003</v>
      </c>
      <c r="I5301" t="s">
        <v>3902</v>
      </c>
      <c r="J5301" t="s">
        <v>14</v>
      </c>
      <c r="K5301" t="str">
        <f>"1F1"</f>
        <v>1F1</v>
      </c>
      <c r="L5301" t="s">
        <v>15</v>
      </c>
    </row>
    <row r="5302" spans="1:12" x14ac:dyDescent="0.25">
      <c r="A5302" t="str">
        <f>"510410045"</f>
        <v>510410045</v>
      </c>
      <c r="B5302" t="str">
        <f t="shared" si="274"/>
        <v>89301000</v>
      </c>
      <c r="C5302" s="1">
        <v>44503</v>
      </c>
      <c r="D5302" s="1">
        <v>44505</v>
      </c>
      <c r="E5302">
        <v>1</v>
      </c>
      <c r="F5302" t="s">
        <v>3903</v>
      </c>
      <c r="G5302" t="str">
        <f>"07-M02-03"</f>
        <v>07-M02-03</v>
      </c>
      <c r="H5302">
        <v>1.2850999999999999</v>
      </c>
      <c r="I5302" t="s">
        <v>3904</v>
      </c>
      <c r="J5302" t="s">
        <v>17</v>
      </c>
      <c r="K5302" t="str">
        <f>"4F2"</f>
        <v>4F2</v>
      </c>
      <c r="L5302" t="s">
        <v>15</v>
      </c>
    </row>
    <row r="5303" spans="1:12" x14ac:dyDescent="0.25">
      <c r="A5303" t="str">
        <f>"510410045"</f>
        <v>510410045</v>
      </c>
      <c r="B5303" t="str">
        <f t="shared" si="274"/>
        <v>89301000</v>
      </c>
      <c r="C5303" s="1">
        <v>44357</v>
      </c>
      <c r="D5303" s="1">
        <v>44358</v>
      </c>
      <c r="E5303">
        <v>1</v>
      </c>
      <c r="F5303" t="s">
        <v>888</v>
      </c>
      <c r="G5303" t="str">
        <f>"07-M02-04"</f>
        <v>07-M02-04</v>
      </c>
      <c r="H5303">
        <v>0.73929999999999996</v>
      </c>
      <c r="J5303" t="s">
        <v>17</v>
      </c>
      <c r="K5303" t="str">
        <f>"5F1"</f>
        <v>5F1</v>
      </c>
      <c r="L5303" t="s">
        <v>15</v>
      </c>
    </row>
    <row r="5304" spans="1:12" x14ac:dyDescent="0.25">
      <c r="A5304" t="str">
        <f>"510410045"</f>
        <v>510410045</v>
      </c>
      <c r="B5304" t="str">
        <f t="shared" si="274"/>
        <v>89301000</v>
      </c>
      <c r="C5304" s="1">
        <v>44536</v>
      </c>
      <c r="D5304" s="1">
        <v>44539</v>
      </c>
      <c r="E5304">
        <v>1</v>
      </c>
      <c r="F5304" t="s">
        <v>3903</v>
      </c>
      <c r="G5304" t="str">
        <f>"07-K06-02"</f>
        <v>07-K06-02</v>
      </c>
      <c r="H5304">
        <v>0.45710000000000001</v>
      </c>
      <c r="I5304" t="s">
        <v>3904</v>
      </c>
      <c r="J5304" t="s">
        <v>14</v>
      </c>
      <c r="K5304" t="str">
        <f>"4F2"</f>
        <v>4F2</v>
      </c>
      <c r="L5304" t="s">
        <v>15</v>
      </c>
    </row>
    <row r="5305" spans="1:12" x14ac:dyDescent="0.25">
      <c r="A5305" t="str">
        <f>"510410045"</f>
        <v>510410045</v>
      </c>
      <c r="B5305" t="str">
        <f t="shared" si="274"/>
        <v>89301000</v>
      </c>
      <c r="C5305" s="1">
        <v>44235</v>
      </c>
      <c r="D5305" s="1">
        <v>44245</v>
      </c>
      <c r="E5305">
        <v>1</v>
      </c>
      <c r="F5305" t="s">
        <v>649</v>
      </c>
      <c r="G5305" t="str">
        <f>"18-K02-04"</f>
        <v>18-K02-04</v>
      </c>
      <c r="H5305">
        <v>0.87590000000000001</v>
      </c>
      <c r="I5305" t="s">
        <v>3905</v>
      </c>
      <c r="J5305" t="s">
        <v>14</v>
      </c>
      <c r="K5305" t="str">
        <f>"1F1"</f>
        <v>1F1</v>
      </c>
      <c r="L5305" t="s">
        <v>15</v>
      </c>
    </row>
    <row r="5306" spans="1:12" x14ac:dyDescent="0.25">
      <c r="A5306" t="str">
        <f t="shared" ref="A5306:A5315" si="278">"510412049"</f>
        <v>510412049</v>
      </c>
      <c r="B5306" t="str">
        <f t="shared" si="274"/>
        <v>89301000</v>
      </c>
      <c r="C5306" s="1">
        <v>44274</v>
      </c>
      <c r="D5306" s="1">
        <v>44286</v>
      </c>
      <c r="E5306">
        <v>1</v>
      </c>
      <c r="F5306" t="s">
        <v>2752</v>
      </c>
      <c r="G5306" t="str">
        <f>"06-I07-05"</f>
        <v>06-I07-05</v>
      </c>
      <c r="H5306">
        <v>2.8466999999999998</v>
      </c>
      <c r="I5306" t="s">
        <v>3906</v>
      </c>
      <c r="J5306" t="s">
        <v>17</v>
      </c>
      <c r="K5306" t="str">
        <f>"5F1"</f>
        <v>5F1</v>
      </c>
      <c r="L5306" t="s">
        <v>15</v>
      </c>
    </row>
    <row r="5307" spans="1:12" x14ac:dyDescent="0.25">
      <c r="A5307" t="str">
        <f t="shared" si="278"/>
        <v>510412049</v>
      </c>
      <c r="B5307" t="str">
        <f t="shared" si="274"/>
        <v>89301000</v>
      </c>
      <c r="C5307" s="1">
        <v>44327</v>
      </c>
      <c r="D5307" s="1">
        <v>44331</v>
      </c>
      <c r="E5307">
        <v>1</v>
      </c>
      <c r="F5307" t="s">
        <v>2752</v>
      </c>
      <c r="G5307" t="str">
        <f>"06-C02-03"</f>
        <v>06-C02-03</v>
      </c>
      <c r="H5307">
        <v>0.25769999999999998</v>
      </c>
      <c r="I5307" t="s">
        <v>3907</v>
      </c>
      <c r="J5307" t="s">
        <v>14</v>
      </c>
      <c r="K5307" t="str">
        <f>"4F2"</f>
        <v>4F2</v>
      </c>
      <c r="L5307" t="s">
        <v>15</v>
      </c>
    </row>
    <row r="5308" spans="1:12" x14ac:dyDescent="0.25">
      <c r="A5308" t="str">
        <f t="shared" si="278"/>
        <v>510412049</v>
      </c>
      <c r="B5308" t="str">
        <f t="shared" si="274"/>
        <v>89301000</v>
      </c>
      <c r="C5308" s="1">
        <v>44342</v>
      </c>
      <c r="D5308" s="1">
        <v>44344</v>
      </c>
      <c r="E5308">
        <v>1</v>
      </c>
      <c r="F5308" t="s">
        <v>2752</v>
      </c>
      <c r="G5308" t="str">
        <f>"06-C02-03"</f>
        <v>06-C02-03</v>
      </c>
      <c r="H5308">
        <v>0.25769999999999998</v>
      </c>
      <c r="I5308" t="s">
        <v>3907</v>
      </c>
      <c r="J5308" t="s">
        <v>14</v>
      </c>
      <c r="K5308" t="str">
        <f>"4F2"</f>
        <v>4F2</v>
      </c>
      <c r="L5308" t="s">
        <v>15</v>
      </c>
    </row>
    <row r="5309" spans="1:12" x14ac:dyDescent="0.25">
      <c r="A5309" t="str">
        <f t="shared" si="278"/>
        <v>510412049</v>
      </c>
      <c r="B5309" t="str">
        <f t="shared" si="274"/>
        <v>89301000</v>
      </c>
      <c r="C5309" s="1">
        <v>44355</v>
      </c>
      <c r="D5309" s="1">
        <v>44362</v>
      </c>
      <c r="E5309">
        <v>1</v>
      </c>
      <c r="F5309" t="s">
        <v>2752</v>
      </c>
      <c r="G5309" t="str">
        <f>"06-K14-01"</f>
        <v>06-K14-01</v>
      </c>
      <c r="H5309">
        <v>1.17</v>
      </c>
      <c r="I5309" t="s">
        <v>3908</v>
      </c>
      <c r="J5309" t="s">
        <v>14</v>
      </c>
      <c r="K5309" t="str">
        <f>"4F2"</f>
        <v>4F2</v>
      </c>
      <c r="L5309" t="s">
        <v>15</v>
      </c>
    </row>
    <row r="5310" spans="1:12" x14ac:dyDescent="0.25">
      <c r="A5310" t="str">
        <f t="shared" si="278"/>
        <v>510412049</v>
      </c>
      <c r="B5310" t="str">
        <f t="shared" si="274"/>
        <v>89301000</v>
      </c>
      <c r="C5310" s="1">
        <v>44369</v>
      </c>
      <c r="D5310" s="1">
        <v>44371</v>
      </c>
      <c r="E5310">
        <v>1</v>
      </c>
      <c r="F5310" t="s">
        <v>2752</v>
      </c>
      <c r="G5310" t="str">
        <f>"06-C02-03"</f>
        <v>06-C02-03</v>
      </c>
      <c r="H5310">
        <v>0.25769999999999998</v>
      </c>
      <c r="I5310" t="s">
        <v>3907</v>
      </c>
      <c r="J5310" t="s">
        <v>14</v>
      </c>
      <c r="K5310" t="str">
        <f>"4F2"</f>
        <v>4F2</v>
      </c>
      <c r="L5310" t="s">
        <v>15</v>
      </c>
    </row>
    <row r="5311" spans="1:12" x14ac:dyDescent="0.25">
      <c r="A5311" t="str">
        <f t="shared" si="278"/>
        <v>510412049</v>
      </c>
      <c r="B5311" t="str">
        <f t="shared" si="274"/>
        <v>89301000</v>
      </c>
      <c r="C5311" s="1">
        <v>44249</v>
      </c>
      <c r="D5311" s="1">
        <v>44250</v>
      </c>
      <c r="E5311">
        <v>1</v>
      </c>
      <c r="F5311" t="s">
        <v>2049</v>
      </c>
      <c r="G5311" t="str">
        <f>"06-K15-02"</f>
        <v>06-K15-02</v>
      </c>
      <c r="H5311">
        <v>0.31900000000000001</v>
      </c>
      <c r="I5311" t="s">
        <v>3909</v>
      </c>
      <c r="J5311" t="s">
        <v>14</v>
      </c>
      <c r="K5311" t="str">
        <f>"1F1"</f>
        <v>1F1</v>
      </c>
      <c r="L5311" t="s">
        <v>15</v>
      </c>
    </row>
    <row r="5312" spans="1:12" x14ac:dyDescent="0.25">
      <c r="A5312" t="str">
        <f t="shared" si="278"/>
        <v>510412049</v>
      </c>
      <c r="B5312" t="str">
        <f t="shared" si="274"/>
        <v>89301000</v>
      </c>
      <c r="C5312" s="1">
        <v>44439</v>
      </c>
      <c r="D5312" s="1">
        <v>44446</v>
      </c>
      <c r="E5312">
        <v>1</v>
      </c>
      <c r="F5312" t="s">
        <v>2752</v>
      </c>
      <c r="G5312" t="str">
        <f>"06-K14-02"</f>
        <v>06-K14-02</v>
      </c>
      <c r="H5312">
        <v>0.57279999999999998</v>
      </c>
      <c r="I5312" t="s">
        <v>3910</v>
      </c>
      <c r="J5312" t="s">
        <v>14</v>
      </c>
      <c r="K5312" t="str">
        <f>"4F2"</f>
        <v>4F2</v>
      </c>
      <c r="L5312" t="s">
        <v>15</v>
      </c>
    </row>
    <row r="5313" spans="1:12" x14ac:dyDescent="0.25">
      <c r="A5313" t="str">
        <f t="shared" si="278"/>
        <v>510412049</v>
      </c>
      <c r="B5313" t="str">
        <f t="shared" si="274"/>
        <v>89301000</v>
      </c>
      <c r="C5313" s="1">
        <v>44384</v>
      </c>
      <c r="D5313" s="1">
        <v>44386</v>
      </c>
      <c r="E5313">
        <v>1</v>
      </c>
      <c r="F5313" t="s">
        <v>2752</v>
      </c>
      <c r="G5313" t="str">
        <f>"06-C02-03"</f>
        <v>06-C02-03</v>
      </c>
      <c r="H5313">
        <v>0.25769999999999998</v>
      </c>
      <c r="I5313" t="s">
        <v>3911</v>
      </c>
      <c r="J5313" t="s">
        <v>14</v>
      </c>
      <c r="K5313" t="str">
        <f>"4F2"</f>
        <v>4F2</v>
      </c>
      <c r="L5313" t="s">
        <v>15</v>
      </c>
    </row>
    <row r="5314" spans="1:12" x14ac:dyDescent="0.25">
      <c r="A5314" t="str">
        <f t="shared" si="278"/>
        <v>510412049</v>
      </c>
      <c r="B5314" t="str">
        <f t="shared" si="274"/>
        <v>89301000</v>
      </c>
      <c r="C5314" s="1">
        <v>44398</v>
      </c>
      <c r="D5314" s="1">
        <v>44400</v>
      </c>
      <c r="E5314">
        <v>1</v>
      </c>
      <c r="F5314" t="s">
        <v>2752</v>
      </c>
      <c r="G5314" t="str">
        <f>"06-C02-03"</f>
        <v>06-C02-03</v>
      </c>
      <c r="H5314">
        <v>0.25769999999999998</v>
      </c>
      <c r="I5314" t="s">
        <v>3911</v>
      </c>
      <c r="J5314" t="s">
        <v>14</v>
      </c>
      <c r="K5314" t="str">
        <f>"4F2"</f>
        <v>4F2</v>
      </c>
      <c r="L5314" t="s">
        <v>15</v>
      </c>
    </row>
    <row r="5315" spans="1:12" x14ac:dyDescent="0.25">
      <c r="A5315" t="str">
        <f t="shared" si="278"/>
        <v>510412049</v>
      </c>
      <c r="B5315" t="str">
        <f t="shared" si="274"/>
        <v>89301000</v>
      </c>
      <c r="C5315" s="1">
        <v>44425</v>
      </c>
      <c r="D5315" s="1">
        <v>44427</v>
      </c>
      <c r="E5315">
        <v>1</v>
      </c>
      <c r="F5315" t="s">
        <v>2752</v>
      </c>
      <c r="G5315" t="str">
        <f>"06-C02-03"</f>
        <v>06-C02-03</v>
      </c>
      <c r="H5315">
        <v>0.25769999999999998</v>
      </c>
      <c r="I5315" t="s">
        <v>3911</v>
      </c>
      <c r="J5315" t="s">
        <v>14</v>
      </c>
      <c r="K5315" t="str">
        <f>"4F2"</f>
        <v>4F2</v>
      </c>
      <c r="L5315" t="s">
        <v>15</v>
      </c>
    </row>
    <row r="5316" spans="1:12" x14ac:dyDescent="0.25">
      <c r="A5316" t="str">
        <f>"510422256"</f>
        <v>510422256</v>
      </c>
      <c r="B5316" t="str">
        <f t="shared" si="274"/>
        <v>89301000</v>
      </c>
      <c r="C5316" s="1">
        <v>44292</v>
      </c>
      <c r="D5316" s="1">
        <v>44303</v>
      </c>
      <c r="E5316">
        <v>1</v>
      </c>
      <c r="F5316" t="s">
        <v>2030</v>
      </c>
      <c r="G5316" t="str">
        <f>"06-I07-05"</f>
        <v>06-I07-05</v>
      </c>
      <c r="H5316">
        <v>2.8466999999999998</v>
      </c>
      <c r="J5316" t="s">
        <v>17</v>
      </c>
      <c r="K5316" t="str">
        <f>"5F1"</f>
        <v>5F1</v>
      </c>
      <c r="L5316" t="s">
        <v>15</v>
      </c>
    </row>
    <row r="5317" spans="1:12" x14ac:dyDescent="0.25">
      <c r="A5317" t="str">
        <f>"510422256"</f>
        <v>510422256</v>
      </c>
      <c r="B5317" t="str">
        <f t="shared" si="274"/>
        <v>89301000</v>
      </c>
      <c r="C5317" s="1">
        <v>44549</v>
      </c>
      <c r="D5317" s="1">
        <v>44558</v>
      </c>
      <c r="E5317">
        <v>1</v>
      </c>
      <c r="F5317" t="s">
        <v>2030</v>
      </c>
      <c r="G5317" t="str">
        <f>"06-I20-02"</f>
        <v>06-I20-02</v>
      </c>
      <c r="H5317">
        <v>1.6910000000000001</v>
      </c>
      <c r="J5317" t="s">
        <v>14</v>
      </c>
      <c r="K5317" t="str">
        <f>"5F1"</f>
        <v>5F1</v>
      </c>
      <c r="L5317" t="s">
        <v>15</v>
      </c>
    </row>
    <row r="5318" spans="1:12" x14ac:dyDescent="0.25">
      <c r="A5318" t="str">
        <f>"510423040"</f>
        <v>510423040</v>
      </c>
      <c r="B5318" t="str">
        <f t="shared" si="274"/>
        <v>89301000</v>
      </c>
      <c r="C5318" s="1">
        <v>44461</v>
      </c>
      <c r="D5318" s="1">
        <v>44466</v>
      </c>
      <c r="E5318">
        <v>1</v>
      </c>
      <c r="F5318" t="s">
        <v>3912</v>
      </c>
      <c r="G5318" t="str">
        <f>"09-K14-02"</f>
        <v>09-K14-02</v>
      </c>
      <c r="H5318">
        <v>0.50549999999999995</v>
      </c>
      <c r="I5318" t="s">
        <v>489</v>
      </c>
      <c r="J5318" t="s">
        <v>14</v>
      </c>
      <c r="K5318" t="str">
        <f>"4F4"</f>
        <v>4F4</v>
      </c>
      <c r="L5318" t="s">
        <v>15</v>
      </c>
    </row>
    <row r="5319" spans="1:12" x14ac:dyDescent="0.25">
      <c r="A5319" t="str">
        <f>"510423040"</f>
        <v>510423040</v>
      </c>
      <c r="B5319" t="str">
        <f t="shared" si="274"/>
        <v>89301000</v>
      </c>
      <c r="C5319" s="1">
        <v>44516</v>
      </c>
      <c r="D5319" s="1">
        <v>44523</v>
      </c>
      <c r="E5319">
        <v>1</v>
      </c>
      <c r="F5319" t="s">
        <v>3575</v>
      </c>
      <c r="G5319" t="str">
        <f>"04-M01-07"</f>
        <v>04-M01-07</v>
      </c>
      <c r="H5319">
        <v>2.6560000000000001</v>
      </c>
      <c r="I5319" t="s">
        <v>3913</v>
      </c>
      <c r="J5319" t="s">
        <v>14</v>
      </c>
      <c r="K5319" t="str">
        <f>"2F5"</f>
        <v>2F5</v>
      </c>
      <c r="L5319" t="s">
        <v>15</v>
      </c>
    </row>
    <row r="5320" spans="1:12" x14ac:dyDescent="0.25">
      <c r="A5320" t="str">
        <f>"510423094"</f>
        <v>510423094</v>
      </c>
      <c r="B5320" t="str">
        <f t="shared" si="274"/>
        <v>89301000</v>
      </c>
      <c r="C5320" s="1">
        <v>44447</v>
      </c>
      <c r="D5320" s="1">
        <v>44449</v>
      </c>
      <c r="E5320">
        <v>1</v>
      </c>
      <c r="F5320" t="s">
        <v>2232</v>
      </c>
      <c r="G5320" t="str">
        <f>"11-K07-02"</f>
        <v>11-K07-02</v>
      </c>
      <c r="H5320">
        <v>0.4869</v>
      </c>
      <c r="J5320" t="s">
        <v>14</v>
      </c>
      <c r="K5320" t="str">
        <f>"7F6"</f>
        <v>7F6</v>
      </c>
      <c r="L5320" t="s">
        <v>15</v>
      </c>
    </row>
    <row r="5321" spans="1:12" x14ac:dyDescent="0.25">
      <c r="A5321" t="str">
        <f>"510423094"</f>
        <v>510423094</v>
      </c>
      <c r="B5321" t="str">
        <f t="shared" si="274"/>
        <v>89301000</v>
      </c>
      <c r="C5321" s="1">
        <v>44418</v>
      </c>
      <c r="D5321" s="1">
        <v>44419</v>
      </c>
      <c r="E5321">
        <v>1</v>
      </c>
      <c r="F5321" t="s">
        <v>3914</v>
      </c>
      <c r="G5321" t="str">
        <f>"11-K09-00"</f>
        <v>11-K09-00</v>
      </c>
      <c r="H5321">
        <v>0.48459999999999998</v>
      </c>
      <c r="I5321" t="s">
        <v>699</v>
      </c>
      <c r="J5321" t="s">
        <v>14</v>
      </c>
      <c r="K5321" t="str">
        <f>"7F6"</f>
        <v>7F6</v>
      </c>
      <c r="L5321" t="s">
        <v>15</v>
      </c>
    </row>
    <row r="5322" spans="1:12" x14ac:dyDescent="0.25">
      <c r="A5322" t="str">
        <f>"510423094"</f>
        <v>510423094</v>
      </c>
      <c r="B5322" t="str">
        <f t="shared" si="274"/>
        <v>89301000</v>
      </c>
      <c r="C5322" s="1">
        <v>44477</v>
      </c>
      <c r="D5322" s="1">
        <v>44489</v>
      </c>
      <c r="E5322">
        <v>4</v>
      </c>
      <c r="F5322" t="s">
        <v>2232</v>
      </c>
      <c r="G5322" t="str">
        <f>"11-K07-02"</f>
        <v>11-K07-02</v>
      </c>
      <c r="H5322">
        <v>0.59899999999999998</v>
      </c>
      <c r="I5322" t="s">
        <v>3915</v>
      </c>
      <c r="J5322" t="s">
        <v>14</v>
      </c>
      <c r="K5322" t="str">
        <f>"4F2"</f>
        <v>4F2</v>
      </c>
      <c r="L5322" t="s">
        <v>15</v>
      </c>
    </row>
    <row r="5323" spans="1:12" x14ac:dyDescent="0.25">
      <c r="A5323" t="str">
        <f>"510503184"</f>
        <v>510503184</v>
      </c>
      <c r="B5323" t="str">
        <f t="shared" ref="B5323:B5385" si="279">"89301000"</f>
        <v>89301000</v>
      </c>
      <c r="C5323" s="1">
        <v>44330</v>
      </c>
      <c r="D5323" s="1">
        <v>44333</v>
      </c>
      <c r="E5323">
        <v>1</v>
      </c>
      <c r="F5323" t="s">
        <v>41</v>
      </c>
      <c r="G5323" t="str">
        <f>"01-D01-03"</f>
        <v>01-D01-03</v>
      </c>
      <c r="H5323">
        <v>0.2054</v>
      </c>
      <c r="I5323" t="s">
        <v>3916</v>
      </c>
      <c r="J5323" t="s">
        <v>14</v>
      </c>
      <c r="K5323" t="str">
        <f>"2F5"</f>
        <v>2F5</v>
      </c>
      <c r="L5323" t="s">
        <v>15</v>
      </c>
    </row>
    <row r="5324" spans="1:12" x14ac:dyDescent="0.25">
      <c r="A5324" t="str">
        <f>"510503184"</f>
        <v>510503184</v>
      </c>
      <c r="B5324" t="str">
        <f t="shared" si="279"/>
        <v>89301000</v>
      </c>
      <c r="C5324" s="1">
        <v>44294</v>
      </c>
      <c r="D5324" s="1">
        <v>44295</v>
      </c>
      <c r="E5324">
        <v>1</v>
      </c>
      <c r="F5324" t="s">
        <v>41</v>
      </c>
      <c r="G5324" t="str">
        <f>"01-D01-03"</f>
        <v>01-D01-03</v>
      </c>
      <c r="H5324">
        <v>0.158</v>
      </c>
      <c r="I5324" t="s">
        <v>3916</v>
      </c>
      <c r="J5324" t="s">
        <v>14</v>
      </c>
      <c r="K5324" t="str">
        <f>"2F5"</f>
        <v>2F5</v>
      </c>
      <c r="L5324" t="s">
        <v>15</v>
      </c>
    </row>
    <row r="5325" spans="1:12" x14ac:dyDescent="0.25">
      <c r="A5325" t="str">
        <f>"510503300"</f>
        <v>510503300</v>
      </c>
      <c r="B5325" t="str">
        <f t="shared" si="279"/>
        <v>89301000</v>
      </c>
      <c r="C5325" s="1">
        <v>44455</v>
      </c>
      <c r="D5325" s="1">
        <v>44463</v>
      </c>
      <c r="E5325">
        <v>1</v>
      </c>
      <c r="F5325" t="s">
        <v>448</v>
      </c>
      <c r="G5325" t="str">
        <f>"11-K01-03"</f>
        <v>11-K01-03</v>
      </c>
      <c r="H5325">
        <v>0.60450000000000004</v>
      </c>
      <c r="I5325" t="s">
        <v>3917</v>
      </c>
      <c r="J5325" t="s">
        <v>14</v>
      </c>
      <c r="K5325" t="str">
        <f>"7F6"</f>
        <v>7F6</v>
      </c>
      <c r="L5325" t="s">
        <v>15</v>
      </c>
    </row>
    <row r="5326" spans="1:12" x14ac:dyDescent="0.25">
      <c r="A5326" t="str">
        <f>"510503300"</f>
        <v>510503300</v>
      </c>
      <c r="B5326" t="str">
        <f t="shared" si="279"/>
        <v>89301000</v>
      </c>
      <c r="C5326" s="1">
        <v>44370</v>
      </c>
      <c r="D5326" s="1">
        <v>44403</v>
      </c>
      <c r="E5326">
        <v>1</v>
      </c>
      <c r="F5326" t="s">
        <v>479</v>
      </c>
      <c r="G5326" t="str">
        <f>"18-I01-01"</f>
        <v>18-I01-01</v>
      </c>
      <c r="H5326">
        <v>5.1764999999999999</v>
      </c>
      <c r="I5326" t="s">
        <v>3918</v>
      </c>
      <c r="J5326" t="s">
        <v>14</v>
      </c>
      <c r="K5326" t="str">
        <f>"1F1"</f>
        <v>1F1</v>
      </c>
      <c r="L5326" t="s">
        <v>15</v>
      </c>
    </row>
    <row r="5327" spans="1:12" x14ac:dyDescent="0.25">
      <c r="A5327" t="str">
        <f>"510503300"</f>
        <v>510503300</v>
      </c>
      <c r="B5327" t="str">
        <f t="shared" si="279"/>
        <v>89301000</v>
      </c>
      <c r="C5327" s="1">
        <v>44353</v>
      </c>
      <c r="D5327" s="1">
        <v>44355</v>
      </c>
      <c r="E5327">
        <v>1</v>
      </c>
      <c r="F5327" t="s">
        <v>1679</v>
      </c>
      <c r="G5327" t="str">
        <f>"11-M06-03"</f>
        <v>11-M06-03</v>
      </c>
      <c r="H5327">
        <v>0.61519999999999997</v>
      </c>
      <c r="I5327" t="s">
        <v>3919</v>
      </c>
      <c r="J5327" t="s">
        <v>17</v>
      </c>
      <c r="K5327" t="str">
        <f>"7F6"</f>
        <v>7F6</v>
      </c>
      <c r="L5327" t="s">
        <v>15</v>
      </c>
    </row>
    <row r="5328" spans="1:12" x14ac:dyDescent="0.25">
      <c r="A5328" t="str">
        <f>"510506178"</f>
        <v>510506178</v>
      </c>
      <c r="B5328" t="str">
        <f t="shared" si="279"/>
        <v>89301000</v>
      </c>
      <c r="C5328" s="1">
        <v>44444</v>
      </c>
      <c r="D5328" s="1">
        <v>44445</v>
      </c>
      <c r="E5328">
        <v>1</v>
      </c>
      <c r="F5328" t="s">
        <v>1557</v>
      </c>
      <c r="G5328" t="str">
        <f>"05-M06-08"</f>
        <v>05-M06-08</v>
      </c>
      <c r="H5328">
        <v>1.4719</v>
      </c>
      <c r="I5328" t="s">
        <v>489</v>
      </c>
      <c r="J5328" t="s">
        <v>17</v>
      </c>
      <c r="K5328" t="str">
        <f>"1F7"</f>
        <v>1F7</v>
      </c>
      <c r="L5328" t="s">
        <v>15</v>
      </c>
    </row>
    <row r="5329" spans="1:12" x14ac:dyDescent="0.25">
      <c r="A5329" t="str">
        <f>"510511126"</f>
        <v>510511126</v>
      </c>
      <c r="B5329" t="str">
        <f t="shared" si="279"/>
        <v>89301000</v>
      </c>
      <c r="C5329" s="1">
        <v>44455</v>
      </c>
      <c r="D5329" s="1">
        <v>44459</v>
      </c>
      <c r="E5329">
        <v>1</v>
      </c>
      <c r="F5329" t="s">
        <v>3273</v>
      </c>
      <c r="G5329" t="str">
        <f>"10-K04-02"</f>
        <v>10-K04-02</v>
      </c>
      <c r="H5329">
        <v>1.0504</v>
      </c>
      <c r="I5329" t="s">
        <v>3920</v>
      </c>
      <c r="J5329" t="s">
        <v>14</v>
      </c>
      <c r="K5329" t="str">
        <f>"1F1"</f>
        <v>1F1</v>
      </c>
      <c r="L5329" t="s">
        <v>15</v>
      </c>
    </row>
    <row r="5330" spans="1:12" x14ac:dyDescent="0.25">
      <c r="A5330" t="str">
        <f>"510516333"</f>
        <v>510516333</v>
      </c>
      <c r="B5330" t="str">
        <f t="shared" si="279"/>
        <v>89301000</v>
      </c>
      <c r="C5330" s="1">
        <v>44368</v>
      </c>
      <c r="D5330" s="1">
        <v>44370</v>
      </c>
      <c r="E5330">
        <v>1</v>
      </c>
      <c r="F5330" t="s">
        <v>3921</v>
      </c>
      <c r="G5330" t="str">
        <f>"01-C01-03"</f>
        <v>01-C01-03</v>
      </c>
      <c r="H5330">
        <v>1.6254999999999999</v>
      </c>
      <c r="I5330" t="s">
        <v>3922</v>
      </c>
      <c r="J5330" t="s">
        <v>14</v>
      </c>
      <c r="K5330" t="str">
        <f>"2F9"</f>
        <v>2F9</v>
      </c>
      <c r="L5330" t="s">
        <v>15</v>
      </c>
    </row>
    <row r="5331" spans="1:12" x14ac:dyDescent="0.25">
      <c r="A5331" t="str">
        <f>"510516333"</f>
        <v>510516333</v>
      </c>
      <c r="B5331" t="str">
        <f t="shared" si="279"/>
        <v>89301000</v>
      </c>
      <c r="C5331" s="1">
        <v>44489</v>
      </c>
      <c r="D5331" s="1">
        <v>44491</v>
      </c>
      <c r="E5331">
        <v>1</v>
      </c>
      <c r="F5331" t="s">
        <v>3921</v>
      </c>
      <c r="G5331" t="str">
        <f>"01-C01-03"</f>
        <v>01-C01-03</v>
      </c>
      <c r="H5331">
        <v>1.6254999999999999</v>
      </c>
      <c r="I5331" t="s">
        <v>3923</v>
      </c>
      <c r="J5331" t="s">
        <v>14</v>
      </c>
      <c r="K5331" t="str">
        <f>"2F9"</f>
        <v>2F9</v>
      </c>
      <c r="L5331" t="s">
        <v>15</v>
      </c>
    </row>
    <row r="5332" spans="1:12" x14ac:dyDescent="0.25">
      <c r="A5332" t="str">
        <f>"510518048"</f>
        <v>510518048</v>
      </c>
      <c r="B5332" t="str">
        <f t="shared" si="279"/>
        <v>89301000</v>
      </c>
      <c r="C5332" s="1">
        <v>44434</v>
      </c>
      <c r="D5332" s="1">
        <v>44437</v>
      </c>
      <c r="E5332">
        <v>1</v>
      </c>
      <c r="F5332" t="s">
        <v>2325</v>
      </c>
      <c r="G5332" t="str">
        <f>"09-I13-04"</f>
        <v>09-I13-04</v>
      </c>
      <c r="H5332">
        <v>0.57730000000000004</v>
      </c>
      <c r="I5332" t="s">
        <v>3924</v>
      </c>
      <c r="J5332" t="s">
        <v>14</v>
      </c>
      <c r="K5332" t="str">
        <f>"6F1"</f>
        <v>6F1</v>
      </c>
      <c r="L5332" t="s">
        <v>15</v>
      </c>
    </row>
    <row r="5333" spans="1:12" x14ac:dyDescent="0.25">
      <c r="A5333" t="str">
        <f>"510603132"</f>
        <v>510603132</v>
      </c>
      <c r="B5333" t="str">
        <f t="shared" si="279"/>
        <v>89301000</v>
      </c>
      <c r="C5333" s="1">
        <v>44244</v>
      </c>
      <c r="D5333" s="1">
        <v>44245</v>
      </c>
      <c r="E5333">
        <v>1</v>
      </c>
      <c r="F5333" t="s">
        <v>1950</v>
      </c>
      <c r="G5333" t="str">
        <f>"02-I13-02"</f>
        <v>02-I13-02</v>
      </c>
      <c r="H5333">
        <v>0.376</v>
      </c>
      <c r="I5333" t="s">
        <v>1651</v>
      </c>
      <c r="J5333" t="s">
        <v>14</v>
      </c>
      <c r="K5333" t="str">
        <f>"7F5"</f>
        <v>7F5</v>
      </c>
      <c r="L5333" t="s">
        <v>15</v>
      </c>
    </row>
    <row r="5334" spans="1:12" x14ac:dyDescent="0.25">
      <c r="A5334" t="str">
        <f>"510606098"</f>
        <v>510606098</v>
      </c>
      <c r="B5334" t="str">
        <f t="shared" si="279"/>
        <v>89301000</v>
      </c>
      <c r="C5334" s="1">
        <v>44517</v>
      </c>
      <c r="D5334" s="1">
        <v>44552</v>
      </c>
      <c r="E5334">
        <v>1</v>
      </c>
      <c r="F5334" t="s">
        <v>2585</v>
      </c>
      <c r="G5334" t="str">
        <f>"12-R02-07"</f>
        <v>12-R02-07</v>
      </c>
      <c r="H5334">
        <v>2.6831999999999998</v>
      </c>
      <c r="I5334" t="s">
        <v>3925</v>
      </c>
      <c r="J5334" t="s">
        <v>14</v>
      </c>
      <c r="K5334" t="str">
        <f>"1F1"</f>
        <v>1F1</v>
      </c>
      <c r="L5334" t="s">
        <v>15</v>
      </c>
    </row>
    <row r="5335" spans="1:12" x14ac:dyDescent="0.25">
      <c r="A5335" t="str">
        <f>"510613050"</f>
        <v>510613050</v>
      </c>
      <c r="B5335" t="str">
        <f t="shared" si="279"/>
        <v>89301000</v>
      </c>
      <c r="C5335" s="1">
        <v>44289</v>
      </c>
      <c r="D5335" s="1">
        <v>44295</v>
      </c>
      <c r="E5335">
        <v>1</v>
      </c>
      <c r="F5335" t="s">
        <v>2585</v>
      </c>
      <c r="G5335" t="str">
        <f>"12-I03-01"</f>
        <v>12-I03-01</v>
      </c>
      <c r="H5335">
        <v>2.6785999999999999</v>
      </c>
      <c r="I5335" t="s">
        <v>3926</v>
      </c>
      <c r="J5335" t="s">
        <v>14</v>
      </c>
      <c r="K5335" t="str">
        <f>"7F6"</f>
        <v>7F6</v>
      </c>
      <c r="L5335" t="s">
        <v>15</v>
      </c>
    </row>
    <row r="5336" spans="1:12" x14ac:dyDescent="0.25">
      <c r="A5336" t="str">
        <f>"510616428"</f>
        <v>510616428</v>
      </c>
      <c r="B5336" t="str">
        <f t="shared" si="279"/>
        <v>89301000</v>
      </c>
      <c r="C5336" s="1">
        <v>44485</v>
      </c>
      <c r="D5336" s="1">
        <v>44494</v>
      </c>
      <c r="E5336">
        <v>1</v>
      </c>
      <c r="F5336" t="s">
        <v>2736</v>
      </c>
      <c r="G5336" t="str">
        <f>"07-K02-03"</f>
        <v>07-K02-03</v>
      </c>
      <c r="H5336">
        <v>0.7742</v>
      </c>
      <c r="I5336" t="s">
        <v>2428</v>
      </c>
      <c r="J5336" t="s">
        <v>14</v>
      </c>
      <c r="K5336" t="str">
        <f>"1F1"</f>
        <v>1F1</v>
      </c>
      <c r="L5336" t="s">
        <v>15</v>
      </c>
    </row>
    <row r="5337" spans="1:12" x14ac:dyDescent="0.25">
      <c r="A5337" t="str">
        <f>"510629172"</f>
        <v>510629172</v>
      </c>
      <c r="B5337" t="str">
        <f t="shared" si="279"/>
        <v>89301000</v>
      </c>
      <c r="C5337" s="1">
        <v>44495</v>
      </c>
      <c r="D5337" s="1">
        <v>44503</v>
      </c>
      <c r="E5337">
        <v>5</v>
      </c>
      <c r="F5337" t="s">
        <v>1557</v>
      </c>
      <c r="G5337" t="str">
        <f>"05-I16-06"</f>
        <v>05-I16-06</v>
      </c>
      <c r="H5337">
        <v>5.2988</v>
      </c>
      <c r="I5337" t="s">
        <v>3927</v>
      </c>
      <c r="J5337" t="s">
        <v>17</v>
      </c>
      <c r="K5337" t="str">
        <f>"5F5"</f>
        <v>5F5</v>
      </c>
      <c r="L5337" t="s">
        <v>15</v>
      </c>
    </row>
    <row r="5338" spans="1:12" x14ac:dyDescent="0.25">
      <c r="A5338" t="str">
        <f>"510629172"</f>
        <v>510629172</v>
      </c>
      <c r="B5338" t="str">
        <f t="shared" si="279"/>
        <v>89301000</v>
      </c>
      <c r="C5338" s="1">
        <v>44460</v>
      </c>
      <c r="D5338" s="1">
        <v>44461</v>
      </c>
      <c r="E5338">
        <v>1</v>
      </c>
      <c r="F5338" t="s">
        <v>1557</v>
      </c>
      <c r="G5338" t="str">
        <f>"05-D01-08"</f>
        <v>05-D01-08</v>
      </c>
      <c r="H5338">
        <v>0.4093</v>
      </c>
      <c r="J5338" t="s">
        <v>14</v>
      </c>
      <c r="K5338" t="str">
        <f>"1F1"</f>
        <v>1F1</v>
      </c>
      <c r="L5338" t="s">
        <v>15</v>
      </c>
    </row>
    <row r="5339" spans="1:12" x14ac:dyDescent="0.25">
      <c r="A5339" t="str">
        <f>"510630036"</f>
        <v>510630036</v>
      </c>
      <c r="B5339" t="str">
        <f t="shared" si="279"/>
        <v>89301000</v>
      </c>
      <c r="C5339" s="1">
        <v>44213</v>
      </c>
      <c r="D5339" s="1">
        <v>44215</v>
      </c>
      <c r="E5339">
        <v>1</v>
      </c>
      <c r="F5339" t="s">
        <v>1842</v>
      </c>
      <c r="G5339" t="str">
        <f>"05-I14-04"</f>
        <v>05-I14-04</v>
      </c>
      <c r="H5339">
        <v>5.4002999999999997</v>
      </c>
      <c r="I5339" t="s">
        <v>489</v>
      </c>
      <c r="J5339" t="s">
        <v>14</v>
      </c>
      <c r="K5339" t="str">
        <f>"1F1"</f>
        <v>1F1</v>
      </c>
      <c r="L5339" t="s">
        <v>15</v>
      </c>
    </row>
    <row r="5340" spans="1:12" x14ac:dyDescent="0.25">
      <c r="A5340" t="str">
        <f>"510704289"</f>
        <v>510704289</v>
      </c>
      <c r="B5340" t="str">
        <f t="shared" si="279"/>
        <v>89301000</v>
      </c>
      <c r="C5340" s="1">
        <v>44424</v>
      </c>
      <c r="D5340" s="1">
        <v>44431</v>
      </c>
      <c r="E5340">
        <v>1</v>
      </c>
      <c r="F5340" t="s">
        <v>215</v>
      </c>
      <c r="G5340" t="str">
        <f>"08-I15-01"</f>
        <v>08-I15-01</v>
      </c>
      <c r="H5340">
        <v>2.1657999999999999</v>
      </c>
      <c r="I5340" t="s">
        <v>3928</v>
      </c>
      <c r="J5340" t="s">
        <v>17</v>
      </c>
      <c r="K5340" t="str">
        <f>"5F3"</f>
        <v>5F3</v>
      </c>
      <c r="L5340" t="s">
        <v>15</v>
      </c>
    </row>
    <row r="5341" spans="1:12" x14ac:dyDescent="0.25">
      <c r="A5341" t="str">
        <f>"510707262"</f>
        <v>510707262</v>
      </c>
      <c r="B5341" t="str">
        <f t="shared" si="279"/>
        <v>89301000</v>
      </c>
      <c r="C5341" s="1">
        <v>44547</v>
      </c>
      <c r="D5341" s="1">
        <v>44550</v>
      </c>
      <c r="E5341">
        <v>5</v>
      </c>
      <c r="F5341" t="s">
        <v>217</v>
      </c>
      <c r="G5341" t="str">
        <f>"04-K02-04"</f>
        <v>04-K02-04</v>
      </c>
      <c r="H5341">
        <v>0.82469999999999999</v>
      </c>
      <c r="I5341" t="s">
        <v>1542</v>
      </c>
      <c r="J5341" t="s">
        <v>14</v>
      </c>
      <c r="K5341" t="str">
        <f>"1F1"</f>
        <v>1F1</v>
      </c>
      <c r="L5341" t="s">
        <v>15</v>
      </c>
    </row>
    <row r="5342" spans="1:12" x14ac:dyDescent="0.25">
      <c r="A5342" t="str">
        <f>"510707317"</f>
        <v>510707317</v>
      </c>
      <c r="B5342" t="str">
        <f t="shared" si="279"/>
        <v>89301000</v>
      </c>
      <c r="C5342" s="1">
        <v>44307</v>
      </c>
      <c r="D5342" s="1">
        <v>44309</v>
      </c>
      <c r="E5342">
        <v>1</v>
      </c>
      <c r="F5342" t="s">
        <v>2397</v>
      </c>
      <c r="G5342" t="str">
        <f>"05-I14-04"</f>
        <v>05-I14-04</v>
      </c>
      <c r="H5342">
        <v>5.4002999999999997</v>
      </c>
      <c r="I5342" t="s">
        <v>1650</v>
      </c>
      <c r="J5342" t="s">
        <v>14</v>
      </c>
      <c r="K5342" t="str">
        <f>"1F7"</f>
        <v>1F7</v>
      </c>
      <c r="L5342" t="s">
        <v>15</v>
      </c>
    </row>
    <row r="5343" spans="1:12" x14ac:dyDescent="0.25">
      <c r="A5343" t="str">
        <f>"510707317"</f>
        <v>510707317</v>
      </c>
      <c r="B5343" t="str">
        <f t="shared" si="279"/>
        <v>89301000</v>
      </c>
      <c r="C5343" s="1">
        <v>44226</v>
      </c>
      <c r="D5343" s="1">
        <v>44239</v>
      </c>
      <c r="E5343">
        <v>5</v>
      </c>
      <c r="F5343" t="s">
        <v>1683</v>
      </c>
      <c r="G5343" t="str">
        <f>"00-M01-03"</f>
        <v>00-M01-03</v>
      </c>
      <c r="H5343">
        <v>9.6380999999999997</v>
      </c>
      <c r="I5343" t="s">
        <v>290</v>
      </c>
      <c r="J5343" t="s">
        <v>14</v>
      </c>
      <c r="K5343" t="str">
        <f>"1F1"</f>
        <v>1F1</v>
      </c>
      <c r="L5343" t="s">
        <v>15</v>
      </c>
    </row>
    <row r="5344" spans="1:12" x14ac:dyDescent="0.25">
      <c r="A5344" t="str">
        <f>"510707317"</f>
        <v>510707317</v>
      </c>
      <c r="B5344" t="str">
        <f t="shared" si="279"/>
        <v>89301000</v>
      </c>
      <c r="C5344" s="1">
        <v>44315</v>
      </c>
      <c r="D5344" s="1">
        <v>44320</v>
      </c>
      <c r="E5344">
        <v>1</v>
      </c>
      <c r="F5344" t="s">
        <v>1604</v>
      </c>
      <c r="G5344" t="str">
        <f>"05-I21-02"</f>
        <v>05-I21-02</v>
      </c>
      <c r="H5344">
        <v>2.2107000000000001</v>
      </c>
      <c r="I5344" t="s">
        <v>3930</v>
      </c>
      <c r="J5344" t="s">
        <v>14</v>
      </c>
      <c r="K5344" t="str">
        <f>"1F1"</f>
        <v>1F1</v>
      </c>
      <c r="L5344" t="s">
        <v>15</v>
      </c>
    </row>
    <row r="5345" spans="1:12" x14ac:dyDescent="0.25">
      <c r="A5345" t="str">
        <f>"510715080"</f>
        <v>510715080</v>
      </c>
      <c r="B5345" t="str">
        <f t="shared" si="279"/>
        <v>89301000</v>
      </c>
      <c r="C5345" s="1">
        <v>44273</v>
      </c>
      <c r="D5345" s="1">
        <v>44277</v>
      </c>
      <c r="E5345">
        <v>1</v>
      </c>
      <c r="F5345" t="s">
        <v>2585</v>
      </c>
      <c r="G5345" t="str">
        <f>"12-I03-01"</f>
        <v>12-I03-01</v>
      </c>
      <c r="H5345">
        <v>2.6785999999999999</v>
      </c>
      <c r="I5345" t="s">
        <v>3931</v>
      </c>
      <c r="J5345" t="s">
        <v>14</v>
      </c>
      <c r="K5345" t="str">
        <f>"7F6"</f>
        <v>7F6</v>
      </c>
      <c r="L5345" t="s">
        <v>15</v>
      </c>
    </row>
    <row r="5346" spans="1:12" x14ac:dyDescent="0.25">
      <c r="A5346" t="str">
        <f>"510716020"</f>
        <v>510716020</v>
      </c>
      <c r="B5346" t="str">
        <f t="shared" si="279"/>
        <v>89301000</v>
      </c>
      <c r="C5346" s="1">
        <v>44401</v>
      </c>
      <c r="D5346" s="1">
        <v>44407</v>
      </c>
      <c r="E5346">
        <v>1</v>
      </c>
      <c r="F5346" t="s">
        <v>1553</v>
      </c>
      <c r="G5346" t="str">
        <f>"04-K05-03"</f>
        <v>04-K05-03</v>
      </c>
      <c r="H5346">
        <v>0.74980000000000002</v>
      </c>
      <c r="I5346" t="s">
        <v>3932</v>
      </c>
      <c r="J5346" t="s">
        <v>14</v>
      </c>
      <c r="K5346" t="str">
        <f>"1F1"</f>
        <v>1F1</v>
      </c>
      <c r="L5346" t="s">
        <v>15</v>
      </c>
    </row>
    <row r="5347" spans="1:12" x14ac:dyDescent="0.25">
      <c r="A5347" t="str">
        <f>"510727084"</f>
        <v>510727084</v>
      </c>
      <c r="B5347" t="str">
        <f t="shared" si="279"/>
        <v>89301000</v>
      </c>
      <c r="C5347" s="1">
        <v>44271</v>
      </c>
      <c r="D5347" s="1">
        <v>44277</v>
      </c>
      <c r="E5347">
        <v>1</v>
      </c>
      <c r="F5347" t="s">
        <v>2232</v>
      </c>
      <c r="G5347" t="str">
        <f>"11-K07-02"</f>
        <v>11-K07-02</v>
      </c>
      <c r="H5347">
        <v>0.4869</v>
      </c>
      <c r="I5347" t="s">
        <v>3933</v>
      </c>
      <c r="J5347" t="s">
        <v>14</v>
      </c>
      <c r="K5347" t="str">
        <f>"4F2"</f>
        <v>4F2</v>
      </c>
      <c r="L5347" t="s">
        <v>15</v>
      </c>
    </row>
    <row r="5348" spans="1:12" x14ac:dyDescent="0.25">
      <c r="A5348" t="str">
        <f>"510727084"</f>
        <v>510727084</v>
      </c>
      <c r="B5348" t="str">
        <f t="shared" si="279"/>
        <v>89301000</v>
      </c>
      <c r="C5348" s="1">
        <v>44281</v>
      </c>
      <c r="D5348" s="1">
        <v>44285</v>
      </c>
      <c r="E5348">
        <v>1</v>
      </c>
      <c r="F5348" t="s">
        <v>217</v>
      </c>
      <c r="G5348" t="str">
        <f>"04-K02-02"</f>
        <v>04-K02-02</v>
      </c>
      <c r="H5348">
        <v>2.5186000000000002</v>
      </c>
      <c r="I5348" t="s">
        <v>3934</v>
      </c>
      <c r="J5348" t="s">
        <v>14</v>
      </c>
      <c r="K5348" t="str">
        <f>"7F6"</f>
        <v>7F6</v>
      </c>
      <c r="L5348" t="s">
        <v>15</v>
      </c>
    </row>
    <row r="5349" spans="1:12" x14ac:dyDescent="0.25">
      <c r="A5349" t="str">
        <f>"510730045"</f>
        <v>510730045</v>
      </c>
      <c r="B5349" t="str">
        <f t="shared" si="279"/>
        <v>89301000</v>
      </c>
      <c r="C5349" s="1">
        <v>44200</v>
      </c>
      <c r="D5349" s="1">
        <v>44218</v>
      </c>
      <c r="E5349">
        <v>1</v>
      </c>
      <c r="F5349" t="s">
        <v>109</v>
      </c>
      <c r="G5349" t="str">
        <f>"24-M08-01"</f>
        <v>24-M08-01</v>
      </c>
      <c r="H5349">
        <v>2.5592999999999999</v>
      </c>
      <c r="I5349" t="s">
        <v>3935</v>
      </c>
      <c r="J5349" t="s">
        <v>14</v>
      </c>
      <c r="K5349" t="str">
        <f>"2F1"</f>
        <v>2F1</v>
      </c>
      <c r="L5349" t="s">
        <v>15</v>
      </c>
    </row>
    <row r="5350" spans="1:12" x14ac:dyDescent="0.25">
      <c r="A5350" t="str">
        <f>"510814038"</f>
        <v>510814038</v>
      </c>
      <c r="B5350" t="str">
        <f t="shared" si="279"/>
        <v>89301000</v>
      </c>
      <c r="C5350" s="1">
        <v>44473</v>
      </c>
      <c r="D5350" s="1">
        <v>44477</v>
      </c>
      <c r="E5350">
        <v>1</v>
      </c>
      <c r="F5350" t="s">
        <v>1980</v>
      </c>
      <c r="G5350" t="str">
        <f>"06-K22-03"</f>
        <v>06-K22-03</v>
      </c>
      <c r="H5350">
        <v>0.49030000000000001</v>
      </c>
      <c r="I5350" t="s">
        <v>3936</v>
      </c>
      <c r="J5350" t="s">
        <v>14</v>
      </c>
      <c r="K5350" t="str">
        <f>"1F9"</f>
        <v>1F9</v>
      </c>
      <c r="L5350" t="s">
        <v>15</v>
      </c>
    </row>
    <row r="5351" spans="1:12" x14ac:dyDescent="0.25">
      <c r="A5351" t="str">
        <f>"510821327"</f>
        <v>510821327</v>
      </c>
      <c r="B5351" t="str">
        <f t="shared" si="279"/>
        <v>89301000</v>
      </c>
      <c r="C5351" s="1">
        <v>44538</v>
      </c>
      <c r="D5351" s="1">
        <v>44545</v>
      </c>
      <c r="E5351">
        <v>1</v>
      </c>
      <c r="F5351" t="s">
        <v>31</v>
      </c>
      <c r="G5351" t="str">
        <f>"08-I04-02"</f>
        <v>08-I04-02</v>
      </c>
      <c r="H5351">
        <v>1.6718999999999999</v>
      </c>
      <c r="I5351" t="s">
        <v>489</v>
      </c>
      <c r="J5351" t="s">
        <v>17</v>
      </c>
      <c r="K5351" t="str">
        <f>"5F6"</f>
        <v>5F6</v>
      </c>
      <c r="L5351" t="s">
        <v>15</v>
      </c>
    </row>
    <row r="5352" spans="1:12" x14ac:dyDescent="0.25">
      <c r="A5352" t="str">
        <f>"510822012"</f>
        <v>510822012</v>
      </c>
      <c r="B5352" t="str">
        <f t="shared" si="279"/>
        <v>89301000</v>
      </c>
      <c r="C5352" s="1">
        <v>44216</v>
      </c>
      <c r="D5352" s="1">
        <v>44218</v>
      </c>
      <c r="E5352">
        <v>1</v>
      </c>
      <c r="F5352" t="s">
        <v>3937</v>
      </c>
      <c r="G5352" t="str">
        <f>"11-I17-03"</f>
        <v>11-I17-03</v>
      </c>
      <c r="H5352">
        <v>0.50609999999999999</v>
      </c>
      <c r="I5352" t="s">
        <v>3938</v>
      </c>
      <c r="J5352" t="s">
        <v>14</v>
      </c>
      <c r="K5352" t="str">
        <f>"7F6"</f>
        <v>7F6</v>
      </c>
      <c r="L5352" t="s">
        <v>15</v>
      </c>
    </row>
    <row r="5353" spans="1:12" x14ac:dyDescent="0.25">
      <c r="A5353" t="str">
        <f>"510901265"</f>
        <v>510901265</v>
      </c>
      <c r="B5353" t="str">
        <f t="shared" si="279"/>
        <v>89301000</v>
      </c>
      <c r="C5353" s="1">
        <v>44256</v>
      </c>
      <c r="D5353" s="1">
        <v>44258</v>
      </c>
      <c r="E5353">
        <v>1</v>
      </c>
      <c r="F5353" t="s">
        <v>144</v>
      </c>
      <c r="G5353" t="str">
        <f>"04-K10-01"</f>
        <v>04-K10-01</v>
      </c>
      <c r="H5353">
        <v>0.876</v>
      </c>
      <c r="I5353" t="s">
        <v>3939</v>
      </c>
      <c r="J5353" t="s">
        <v>14</v>
      </c>
      <c r="K5353" t="str">
        <f>"2F5"</f>
        <v>2F5</v>
      </c>
      <c r="L5353" t="s">
        <v>15</v>
      </c>
    </row>
    <row r="5354" spans="1:12" x14ac:dyDescent="0.25">
      <c r="A5354" t="str">
        <f>"510903135"</f>
        <v>510903135</v>
      </c>
      <c r="B5354" t="str">
        <f t="shared" si="279"/>
        <v>89301000</v>
      </c>
      <c r="C5354" s="1">
        <v>44315</v>
      </c>
      <c r="D5354" s="1">
        <v>44319</v>
      </c>
      <c r="E5354">
        <v>4</v>
      </c>
      <c r="F5354" t="s">
        <v>3940</v>
      </c>
      <c r="G5354" t="str">
        <f>"08-I04-02"</f>
        <v>08-I04-02</v>
      </c>
      <c r="H5354">
        <v>1.6718999999999999</v>
      </c>
      <c r="I5354" t="s">
        <v>3941</v>
      </c>
      <c r="J5354" t="s">
        <v>17</v>
      </c>
      <c r="K5354" t="str">
        <f>"5F6"</f>
        <v>5F6</v>
      </c>
      <c r="L5354" t="s">
        <v>15</v>
      </c>
    </row>
    <row r="5355" spans="1:12" x14ac:dyDescent="0.25">
      <c r="A5355" t="str">
        <f>"510904068"</f>
        <v>510904068</v>
      </c>
      <c r="B5355" t="str">
        <f t="shared" si="279"/>
        <v>89301000</v>
      </c>
      <c r="C5355" s="1">
        <v>44312</v>
      </c>
      <c r="D5355" s="1">
        <v>44314</v>
      </c>
      <c r="E5355">
        <v>1</v>
      </c>
      <c r="F5355" t="s">
        <v>3942</v>
      </c>
      <c r="G5355" t="str">
        <f>"02-I06-03"</f>
        <v>02-I06-03</v>
      </c>
      <c r="H5355">
        <v>0.63690000000000002</v>
      </c>
      <c r="I5355" t="s">
        <v>3943</v>
      </c>
      <c r="J5355" t="s">
        <v>17</v>
      </c>
      <c r="K5355" t="str">
        <f>"7F5"</f>
        <v>7F5</v>
      </c>
      <c r="L5355" t="s">
        <v>15</v>
      </c>
    </row>
    <row r="5356" spans="1:12" x14ac:dyDescent="0.25">
      <c r="A5356" t="str">
        <f>"510904120"</f>
        <v>510904120</v>
      </c>
      <c r="B5356" t="str">
        <f t="shared" si="279"/>
        <v>89301000</v>
      </c>
      <c r="C5356" s="1">
        <v>44229</v>
      </c>
      <c r="D5356" s="1">
        <v>44231</v>
      </c>
      <c r="E5356">
        <v>1</v>
      </c>
      <c r="F5356" t="s">
        <v>2488</v>
      </c>
      <c r="G5356" t="str">
        <f>"09-I10-02"</f>
        <v>09-I10-02</v>
      </c>
      <c r="H5356">
        <v>0.98380000000000001</v>
      </c>
      <c r="I5356" t="s">
        <v>2321</v>
      </c>
      <c r="J5356" t="s">
        <v>17</v>
      </c>
      <c r="K5356" t="str">
        <f>"6F1"</f>
        <v>6F1</v>
      </c>
      <c r="L5356" t="s">
        <v>15</v>
      </c>
    </row>
    <row r="5357" spans="1:12" x14ac:dyDescent="0.25">
      <c r="A5357" t="str">
        <f>"510904229"</f>
        <v>510904229</v>
      </c>
      <c r="B5357" t="str">
        <f t="shared" si="279"/>
        <v>89301000</v>
      </c>
      <c r="C5357" s="1">
        <v>44494</v>
      </c>
      <c r="D5357" s="1">
        <v>44502</v>
      </c>
      <c r="E5357">
        <v>1</v>
      </c>
      <c r="F5357" t="s">
        <v>2662</v>
      </c>
      <c r="G5357" t="str">
        <f>"05-I11-02"</f>
        <v>05-I11-02</v>
      </c>
      <c r="H5357">
        <v>9.6402999999999999</v>
      </c>
      <c r="I5357" t="s">
        <v>3944</v>
      </c>
      <c r="J5357" t="s">
        <v>17</v>
      </c>
      <c r="K5357" t="str">
        <f>"5F5"</f>
        <v>5F5</v>
      </c>
      <c r="L5357" t="s">
        <v>15</v>
      </c>
    </row>
    <row r="5358" spans="1:12" x14ac:dyDescent="0.25">
      <c r="A5358" t="str">
        <f>"510904229"</f>
        <v>510904229</v>
      </c>
      <c r="B5358" t="str">
        <f t="shared" si="279"/>
        <v>89301000</v>
      </c>
      <c r="C5358" s="1">
        <v>44453</v>
      </c>
      <c r="D5358" s="1">
        <v>44455</v>
      </c>
      <c r="E5358">
        <v>1</v>
      </c>
      <c r="F5358" t="s">
        <v>2004</v>
      </c>
      <c r="G5358" t="str">
        <f>"05-D01-06"</f>
        <v>05-D01-06</v>
      </c>
      <c r="H5358">
        <v>0.7611</v>
      </c>
      <c r="J5358" t="s">
        <v>14</v>
      </c>
      <c r="K5358" t="str">
        <f>"1F1"</f>
        <v>1F1</v>
      </c>
      <c r="L5358" t="s">
        <v>15</v>
      </c>
    </row>
    <row r="5359" spans="1:12" x14ac:dyDescent="0.25">
      <c r="A5359" t="str">
        <f>"510911065"</f>
        <v>510911065</v>
      </c>
      <c r="B5359" t="str">
        <f t="shared" si="279"/>
        <v>89301000</v>
      </c>
      <c r="C5359" s="1">
        <v>44370</v>
      </c>
      <c r="D5359" s="1">
        <v>44374</v>
      </c>
      <c r="E5359">
        <v>1</v>
      </c>
      <c r="F5359" t="s">
        <v>3746</v>
      </c>
      <c r="G5359" t="str">
        <f>"05-M04-03"</f>
        <v>05-M04-03</v>
      </c>
      <c r="H5359">
        <v>3.0529000000000002</v>
      </c>
      <c r="I5359" t="s">
        <v>3945</v>
      </c>
      <c r="J5359" t="s">
        <v>17</v>
      </c>
      <c r="K5359" t="str">
        <f>"5F1"</f>
        <v>5F1</v>
      </c>
      <c r="L5359" t="s">
        <v>15</v>
      </c>
    </row>
    <row r="5360" spans="1:12" x14ac:dyDescent="0.25">
      <c r="A5360" t="str">
        <f>"510919223"</f>
        <v>510919223</v>
      </c>
      <c r="B5360" t="str">
        <f t="shared" si="279"/>
        <v>89301000</v>
      </c>
      <c r="C5360" s="1">
        <v>44215</v>
      </c>
      <c r="D5360" s="1">
        <v>44217</v>
      </c>
      <c r="E5360">
        <v>1</v>
      </c>
      <c r="F5360" t="s">
        <v>3946</v>
      </c>
      <c r="G5360" t="str">
        <f>"08-I15-03"</f>
        <v>08-I15-03</v>
      </c>
      <c r="H5360">
        <v>1.1838</v>
      </c>
      <c r="I5360" t="s">
        <v>615</v>
      </c>
      <c r="J5360" t="s">
        <v>17</v>
      </c>
      <c r="K5360" t="str">
        <f>"5F3"</f>
        <v>5F3</v>
      </c>
      <c r="L5360" t="s">
        <v>15</v>
      </c>
    </row>
    <row r="5361" spans="1:12" x14ac:dyDescent="0.25">
      <c r="A5361" t="str">
        <f>"510924097"</f>
        <v>510924097</v>
      </c>
      <c r="B5361" t="str">
        <f t="shared" si="279"/>
        <v>89301000</v>
      </c>
      <c r="C5361" s="1">
        <v>44515</v>
      </c>
      <c r="D5361" s="1">
        <v>44517</v>
      </c>
      <c r="E5361">
        <v>1</v>
      </c>
      <c r="F5361" t="s">
        <v>2819</v>
      </c>
      <c r="G5361" t="str">
        <f>"09-I10-02"</f>
        <v>09-I10-02</v>
      </c>
      <c r="H5361">
        <v>0.98380000000000001</v>
      </c>
      <c r="J5361" t="s">
        <v>17</v>
      </c>
      <c r="K5361" t="str">
        <f>"6F1"</f>
        <v>6F1</v>
      </c>
      <c r="L5361" t="s">
        <v>15</v>
      </c>
    </row>
    <row r="5362" spans="1:12" x14ac:dyDescent="0.25">
      <c r="A5362" t="str">
        <f>"510924259"</f>
        <v>510924259</v>
      </c>
      <c r="B5362" t="str">
        <f t="shared" si="279"/>
        <v>89301000</v>
      </c>
      <c r="C5362" s="1">
        <v>44194</v>
      </c>
      <c r="D5362" s="1">
        <v>44202</v>
      </c>
      <c r="E5362">
        <v>3</v>
      </c>
      <c r="F5362" t="s">
        <v>67</v>
      </c>
      <c r="G5362" t="str">
        <f>"01-K10-03"</f>
        <v>01-K10-03</v>
      </c>
      <c r="H5362">
        <v>1.0016</v>
      </c>
      <c r="I5362" t="s">
        <v>3947</v>
      </c>
      <c r="J5362" t="s">
        <v>14</v>
      </c>
      <c r="K5362" t="str">
        <f>"2F9"</f>
        <v>2F9</v>
      </c>
      <c r="L5362" t="s">
        <v>15</v>
      </c>
    </row>
    <row r="5363" spans="1:12" x14ac:dyDescent="0.25">
      <c r="A5363" t="str">
        <f>"510924259"</f>
        <v>510924259</v>
      </c>
      <c r="B5363" t="str">
        <f t="shared" si="279"/>
        <v>89301000</v>
      </c>
      <c r="C5363" s="1">
        <v>44202</v>
      </c>
      <c r="D5363" s="1">
        <v>44225</v>
      </c>
      <c r="E5363">
        <v>1</v>
      </c>
      <c r="F5363" t="s">
        <v>109</v>
      </c>
      <c r="G5363" t="str">
        <f>"24-M08-01"</f>
        <v>24-M08-01</v>
      </c>
      <c r="H5363">
        <v>2.5598000000000001</v>
      </c>
      <c r="I5363" t="s">
        <v>3948</v>
      </c>
      <c r="J5363" t="s">
        <v>14</v>
      </c>
      <c r="K5363" t="str">
        <f>"2F1"</f>
        <v>2F1</v>
      </c>
      <c r="L5363" t="s">
        <v>15</v>
      </c>
    </row>
    <row r="5364" spans="1:12" x14ac:dyDescent="0.25">
      <c r="A5364" t="str">
        <f>"510928212"</f>
        <v>510928212</v>
      </c>
      <c r="B5364" t="str">
        <f t="shared" si="279"/>
        <v>89301000</v>
      </c>
      <c r="C5364" s="1">
        <v>44516</v>
      </c>
      <c r="D5364" s="1">
        <v>44518</v>
      </c>
      <c r="E5364">
        <v>1</v>
      </c>
      <c r="F5364" t="s">
        <v>3671</v>
      </c>
      <c r="G5364" t="str">
        <f>"06-C02-02"</f>
        <v>06-C02-02</v>
      </c>
      <c r="H5364">
        <v>0.34710000000000002</v>
      </c>
      <c r="I5364" t="s">
        <v>541</v>
      </c>
      <c r="J5364" t="s">
        <v>14</v>
      </c>
      <c r="K5364" t="str">
        <f>"4F2"</f>
        <v>4F2</v>
      </c>
      <c r="L5364" t="s">
        <v>15</v>
      </c>
    </row>
    <row r="5365" spans="1:12" x14ac:dyDescent="0.25">
      <c r="A5365" t="str">
        <f>"510928212"</f>
        <v>510928212</v>
      </c>
      <c r="B5365" t="str">
        <f t="shared" si="279"/>
        <v>89301000</v>
      </c>
      <c r="C5365" s="1">
        <v>44473</v>
      </c>
      <c r="D5365" s="1">
        <v>44476</v>
      </c>
      <c r="E5365">
        <v>1</v>
      </c>
      <c r="F5365" t="s">
        <v>3671</v>
      </c>
      <c r="G5365" t="str">
        <f>"06-C02-02"</f>
        <v>06-C02-02</v>
      </c>
      <c r="H5365">
        <v>0.34710000000000002</v>
      </c>
      <c r="I5365" t="s">
        <v>541</v>
      </c>
      <c r="J5365" t="s">
        <v>14</v>
      </c>
      <c r="K5365" t="str">
        <f>"4F2"</f>
        <v>4F2</v>
      </c>
      <c r="L5365" t="s">
        <v>15</v>
      </c>
    </row>
    <row r="5366" spans="1:12" x14ac:dyDescent="0.25">
      <c r="A5366" t="str">
        <f>"510928212"</f>
        <v>510928212</v>
      </c>
      <c r="B5366" t="str">
        <f t="shared" si="279"/>
        <v>89301000</v>
      </c>
      <c r="C5366" s="1">
        <v>44488</v>
      </c>
      <c r="D5366" s="1">
        <v>44490</v>
      </c>
      <c r="E5366">
        <v>1</v>
      </c>
      <c r="F5366" t="s">
        <v>3671</v>
      </c>
      <c r="G5366" t="str">
        <f>"06-C02-02"</f>
        <v>06-C02-02</v>
      </c>
      <c r="H5366">
        <v>0.34710000000000002</v>
      </c>
      <c r="I5366" t="s">
        <v>541</v>
      </c>
      <c r="J5366" t="s">
        <v>14</v>
      </c>
      <c r="K5366" t="str">
        <f>"4F2"</f>
        <v>4F2</v>
      </c>
      <c r="L5366" t="s">
        <v>15</v>
      </c>
    </row>
    <row r="5367" spans="1:12" x14ac:dyDescent="0.25">
      <c r="A5367" t="str">
        <f>"510928212"</f>
        <v>510928212</v>
      </c>
      <c r="B5367" t="str">
        <f t="shared" si="279"/>
        <v>89301000</v>
      </c>
      <c r="C5367" s="1">
        <v>44502</v>
      </c>
      <c r="D5367" s="1">
        <v>44504</v>
      </c>
      <c r="E5367">
        <v>1</v>
      </c>
      <c r="F5367" t="s">
        <v>3671</v>
      </c>
      <c r="G5367" t="str">
        <f>"06-C02-02"</f>
        <v>06-C02-02</v>
      </c>
      <c r="H5367">
        <v>0.34710000000000002</v>
      </c>
      <c r="I5367" t="s">
        <v>541</v>
      </c>
      <c r="J5367" t="s">
        <v>14</v>
      </c>
      <c r="K5367" t="str">
        <f>"4F2"</f>
        <v>4F2</v>
      </c>
      <c r="L5367" t="s">
        <v>15</v>
      </c>
    </row>
    <row r="5368" spans="1:12" x14ac:dyDescent="0.25">
      <c r="A5368" t="str">
        <f>"511001109"</f>
        <v>511001109</v>
      </c>
      <c r="B5368" t="str">
        <f t="shared" si="279"/>
        <v>89301000</v>
      </c>
      <c r="C5368" s="1">
        <v>44445</v>
      </c>
      <c r="D5368" s="1">
        <v>44448</v>
      </c>
      <c r="E5368">
        <v>1</v>
      </c>
      <c r="F5368" t="s">
        <v>2139</v>
      </c>
      <c r="G5368" t="str">
        <f>"05-D01-06"</f>
        <v>05-D01-06</v>
      </c>
      <c r="H5368">
        <v>0.7611</v>
      </c>
      <c r="I5368" t="s">
        <v>1959</v>
      </c>
      <c r="J5368" t="s">
        <v>14</v>
      </c>
      <c r="K5368" t="str">
        <f>"1F7"</f>
        <v>1F7</v>
      </c>
      <c r="L5368" t="s">
        <v>15</v>
      </c>
    </row>
    <row r="5369" spans="1:12" x14ac:dyDescent="0.25">
      <c r="A5369" t="str">
        <f>"511003257"</f>
        <v>511003257</v>
      </c>
      <c r="B5369" t="str">
        <f t="shared" si="279"/>
        <v>89301000</v>
      </c>
      <c r="C5369" s="1">
        <v>44555</v>
      </c>
      <c r="D5369" s="1">
        <v>44561</v>
      </c>
      <c r="E5369">
        <v>1</v>
      </c>
      <c r="F5369" t="s">
        <v>1797</v>
      </c>
      <c r="G5369" t="str">
        <f>"11-K04-01"</f>
        <v>11-K04-01</v>
      </c>
      <c r="H5369">
        <v>0.88119999999999998</v>
      </c>
      <c r="I5369" t="s">
        <v>3949</v>
      </c>
      <c r="J5369" t="s">
        <v>14</v>
      </c>
      <c r="K5369" t="str">
        <f>"7F6"</f>
        <v>7F6</v>
      </c>
      <c r="L5369" t="s">
        <v>15</v>
      </c>
    </row>
    <row r="5370" spans="1:12" x14ac:dyDescent="0.25">
      <c r="A5370" t="str">
        <f>"511003257"</f>
        <v>511003257</v>
      </c>
      <c r="B5370" t="str">
        <f t="shared" si="279"/>
        <v>89301000</v>
      </c>
      <c r="C5370" s="1">
        <v>44433</v>
      </c>
      <c r="D5370" s="1">
        <v>44436</v>
      </c>
      <c r="E5370">
        <v>1</v>
      </c>
      <c r="F5370" t="s">
        <v>2264</v>
      </c>
      <c r="G5370" t="str">
        <f>"11-M06-02"</f>
        <v>11-M06-02</v>
      </c>
      <c r="H5370">
        <v>0.90400000000000003</v>
      </c>
      <c r="I5370" t="s">
        <v>3950</v>
      </c>
      <c r="J5370" t="s">
        <v>17</v>
      </c>
      <c r="K5370" t="str">
        <f>"7F6"</f>
        <v>7F6</v>
      </c>
      <c r="L5370" t="s">
        <v>15</v>
      </c>
    </row>
    <row r="5371" spans="1:12" x14ac:dyDescent="0.25">
      <c r="A5371" t="str">
        <f>"511003257"</f>
        <v>511003257</v>
      </c>
      <c r="B5371" t="str">
        <f t="shared" si="279"/>
        <v>89301000</v>
      </c>
      <c r="C5371" s="1">
        <v>44482</v>
      </c>
      <c r="D5371" s="1">
        <v>44508</v>
      </c>
      <c r="E5371">
        <v>1</v>
      </c>
      <c r="F5371" t="s">
        <v>1679</v>
      </c>
      <c r="G5371" t="str">
        <f>"11-I01-02"</f>
        <v>11-I01-02</v>
      </c>
      <c r="H5371">
        <v>5.9025999999999996</v>
      </c>
      <c r="I5371" t="s">
        <v>3951</v>
      </c>
      <c r="J5371" t="s">
        <v>17</v>
      </c>
      <c r="K5371" t="str">
        <f>"7F6"</f>
        <v>7F6</v>
      </c>
      <c r="L5371" t="s">
        <v>15</v>
      </c>
    </row>
    <row r="5372" spans="1:12" x14ac:dyDescent="0.25">
      <c r="A5372" t="str">
        <f>"511003257"</f>
        <v>511003257</v>
      </c>
      <c r="B5372" t="str">
        <f t="shared" si="279"/>
        <v>89301000</v>
      </c>
      <c r="C5372" s="1">
        <v>44511</v>
      </c>
      <c r="D5372" s="1">
        <v>44519</v>
      </c>
      <c r="E5372">
        <v>1</v>
      </c>
      <c r="F5372" t="s">
        <v>1679</v>
      </c>
      <c r="G5372" t="str">
        <f>"11-K08-02"</f>
        <v>11-K08-02</v>
      </c>
      <c r="H5372">
        <v>0.47389999999999999</v>
      </c>
      <c r="I5372" t="s">
        <v>3952</v>
      </c>
      <c r="J5372" t="s">
        <v>14</v>
      </c>
      <c r="K5372" t="str">
        <f>"7F6"</f>
        <v>7F6</v>
      </c>
      <c r="L5372" t="s">
        <v>15</v>
      </c>
    </row>
    <row r="5373" spans="1:12" x14ac:dyDescent="0.25">
      <c r="A5373" t="str">
        <f>"511024220"</f>
        <v>511024220</v>
      </c>
      <c r="B5373" t="str">
        <f t="shared" si="279"/>
        <v>89301000</v>
      </c>
      <c r="C5373" s="1">
        <v>44183</v>
      </c>
      <c r="D5373" s="1">
        <v>44198</v>
      </c>
      <c r="E5373">
        <v>7</v>
      </c>
      <c r="F5373" t="s">
        <v>217</v>
      </c>
      <c r="G5373" t="str">
        <f>"00-M02-04"</f>
        <v>00-M02-04</v>
      </c>
      <c r="H5373">
        <v>12.071199999999999</v>
      </c>
      <c r="I5373" t="s">
        <v>3953</v>
      </c>
      <c r="J5373" t="s">
        <v>14</v>
      </c>
      <c r="K5373" t="str">
        <f>"7T8"</f>
        <v>7T8</v>
      </c>
      <c r="L5373" t="s">
        <v>15</v>
      </c>
    </row>
    <row r="5374" spans="1:12" x14ac:dyDescent="0.25">
      <c r="A5374" t="str">
        <f>"511105116"</f>
        <v>511105116</v>
      </c>
      <c r="B5374" t="str">
        <f t="shared" si="279"/>
        <v>89301000</v>
      </c>
      <c r="C5374" s="1">
        <v>44410</v>
      </c>
      <c r="D5374" s="1">
        <v>44416</v>
      </c>
      <c r="E5374">
        <v>1</v>
      </c>
      <c r="F5374" t="s">
        <v>2585</v>
      </c>
      <c r="G5374" t="str">
        <f>"12-I02-01"</f>
        <v>12-I02-01</v>
      </c>
      <c r="H5374">
        <v>3.1240999999999999</v>
      </c>
      <c r="J5374" t="s">
        <v>14</v>
      </c>
      <c r="K5374" t="str">
        <f>"7F6"</f>
        <v>7F6</v>
      </c>
      <c r="L5374" t="s">
        <v>15</v>
      </c>
    </row>
    <row r="5375" spans="1:12" x14ac:dyDescent="0.25">
      <c r="A5375" t="str">
        <f>"511110011"</f>
        <v>511110011</v>
      </c>
      <c r="B5375" t="str">
        <f t="shared" si="279"/>
        <v>89301000</v>
      </c>
      <c r="C5375" s="1">
        <v>44403</v>
      </c>
      <c r="D5375" s="1">
        <v>44406</v>
      </c>
      <c r="E5375">
        <v>1</v>
      </c>
      <c r="F5375" t="s">
        <v>1842</v>
      </c>
      <c r="G5375" t="str">
        <f>"05-I14-04"</f>
        <v>05-I14-04</v>
      </c>
      <c r="H5375">
        <v>5.4002999999999997</v>
      </c>
      <c r="I5375" t="s">
        <v>3954</v>
      </c>
      <c r="J5375" t="s">
        <v>14</v>
      </c>
      <c r="K5375" t="str">
        <f>"1F1"</f>
        <v>1F1</v>
      </c>
      <c r="L5375" t="s">
        <v>15</v>
      </c>
    </row>
    <row r="5376" spans="1:12" x14ac:dyDescent="0.25">
      <c r="A5376" t="str">
        <f>"511110011"</f>
        <v>511110011</v>
      </c>
      <c r="B5376" t="str">
        <f t="shared" si="279"/>
        <v>89301000</v>
      </c>
      <c r="C5376" s="1">
        <v>44447</v>
      </c>
      <c r="D5376" s="1">
        <v>44453</v>
      </c>
      <c r="E5376">
        <v>1</v>
      </c>
      <c r="F5376" t="s">
        <v>1558</v>
      </c>
      <c r="G5376" t="str">
        <f>"05-M01-03"</f>
        <v>05-M01-03</v>
      </c>
      <c r="H5376">
        <v>12.3805</v>
      </c>
      <c r="I5376" t="s">
        <v>3955</v>
      </c>
      <c r="J5376" t="s">
        <v>17</v>
      </c>
      <c r="K5376" t="str">
        <f>"1F1"</f>
        <v>1F1</v>
      </c>
      <c r="L5376" t="s">
        <v>15</v>
      </c>
    </row>
    <row r="5377" spans="1:12" x14ac:dyDescent="0.25">
      <c r="A5377" t="str">
        <f>"511110011"</f>
        <v>511110011</v>
      </c>
      <c r="B5377" t="str">
        <f t="shared" si="279"/>
        <v>89301000</v>
      </c>
      <c r="C5377" s="1">
        <v>44386</v>
      </c>
      <c r="D5377" s="1">
        <v>44387</v>
      </c>
      <c r="E5377">
        <v>1</v>
      </c>
      <c r="F5377" t="s">
        <v>1558</v>
      </c>
      <c r="G5377" t="str">
        <f>"05-D01-04"</f>
        <v>05-D01-04</v>
      </c>
      <c r="H5377">
        <v>1.3637999999999999</v>
      </c>
      <c r="I5377" t="s">
        <v>3956</v>
      </c>
      <c r="J5377" t="s">
        <v>14</v>
      </c>
      <c r="K5377" t="str">
        <f>"1F1"</f>
        <v>1F1</v>
      </c>
      <c r="L5377" t="s">
        <v>15</v>
      </c>
    </row>
    <row r="5378" spans="1:12" x14ac:dyDescent="0.25">
      <c r="A5378" t="str">
        <f>"511117341"</f>
        <v>511117341</v>
      </c>
      <c r="B5378" t="str">
        <f t="shared" si="279"/>
        <v>89301000</v>
      </c>
      <c r="C5378" s="1">
        <v>44277</v>
      </c>
      <c r="D5378" s="1">
        <v>44279</v>
      </c>
      <c r="E5378">
        <v>1</v>
      </c>
      <c r="F5378" t="s">
        <v>3957</v>
      </c>
      <c r="G5378" t="str">
        <f>"06-K04-02"</f>
        <v>06-K04-02</v>
      </c>
      <c r="H5378">
        <v>0.88319999999999999</v>
      </c>
      <c r="I5378" t="s">
        <v>3958</v>
      </c>
      <c r="J5378" t="s">
        <v>14</v>
      </c>
      <c r="K5378" t="str">
        <f>"1F5"</f>
        <v>1F5</v>
      </c>
      <c r="L5378" t="s">
        <v>15</v>
      </c>
    </row>
    <row r="5379" spans="1:12" x14ac:dyDescent="0.25">
      <c r="A5379" t="str">
        <f>"511117341"</f>
        <v>511117341</v>
      </c>
      <c r="B5379" t="str">
        <f t="shared" si="279"/>
        <v>89301000</v>
      </c>
      <c r="C5379" s="1">
        <v>44256</v>
      </c>
      <c r="D5379" s="1">
        <v>44267</v>
      </c>
      <c r="E5379">
        <v>1</v>
      </c>
      <c r="F5379" t="s">
        <v>1863</v>
      </c>
      <c r="G5379" t="str">
        <f>"07-K07-02"</f>
        <v>07-K07-02</v>
      </c>
      <c r="H5379">
        <v>0.78069999999999995</v>
      </c>
      <c r="J5379" t="s">
        <v>14</v>
      </c>
      <c r="K5379" t="str">
        <f>"4F2"</f>
        <v>4F2</v>
      </c>
      <c r="L5379" t="s">
        <v>15</v>
      </c>
    </row>
    <row r="5380" spans="1:12" x14ac:dyDescent="0.25">
      <c r="A5380" t="str">
        <f>"511117341"</f>
        <v>511117341</v>
      </c>
      <c r="B5380" t="str">
        <f t="shared" si="279"/>
        <v>89301000</v>
      </c>
      <c r="C5380" s="1">
        <v>44237</v>
      </c>
      <c r="D5380" s="1">
        <v>44251</v>
      </c>
      <c r="E5380">
        <v>1</v>
      </c>
      <c r="F5380" t="s">
        <v>1863</v>
      </c>
      <c r="G5380" t="str">
        <f>"07-C01-02"</f>
        <v>07-C01-02</v>
      </c>
      <c r="H5380">
        <v>0.90210000000000001</v>
      </c>
      <c r="I5380" t="s">
        <v>3959</v>
      </c>
      <c r="J5380" t="s">
        <v>14</v>
      </c>
      <c r="K5380" t="str">
        <f>"4F2"</f>
        <v>4F2</v>
      </c>
      <c r="L5380" t="s">
        <v>15</v>
      </c>
    </row>
    <row r="5381" spans="1:12" x14ac:dyDescent="0.25">
      <c r="A5381" t="str">
        <f>"511119308"</f>
        <v>511119308</v>
      </c>
      <c r="B5381" t="str">
        <f t="shared" si="279"/>
        <v>89301000</v>
      </c>
      <c r="C5381" s="1">
        <v>44536</v>
      </c>
      <c r="D5381" s="1">
        <v>44537</v>
      </c>
      <c r="E5381">
        <v>1</v>
      </c>
      <c r="F5381" t="s">
        <v>1842</v>
      </c>
      <c r="G5381" t="str">
        <f>"05-I14-04"</f>
        <v>05-I14-04</v>
      </c>
      <c r="H5381">
        <v>5.4002999999999997</v>
      </c>
      <c r="I5381" t="s">
        <v>1555</v>
      </c>
      <c r="J5381" t="s">
        <v>14</v>
      </c>
      <c r="K5381" t="str">
        <f>"1F1"</f>
        <v>1F1</v>
      </c>
      <c r="L5381" t="s">
        <v>15</v>
      </c>
    </row>
    <row r="5382" spans="1:12" x14ac:dyDescent="0.25">
      <c r="A5382" t="str">
        <f>"511119308"</f>
        <v>511119308</v>
      </c>
      <c r="B5382" t="str">
        <f t="shared" si="279"/>
        <v>89301000</v>
      </c>
      <c r="C5382" s="1">
        <v>44519</v>
      </c>
      <c r="D5382" s="1">
        <v>44522</v>
      </c>
      <c r="E5382">
        <v>1</v>
      </c>
      <c r="F5382" t="s">
        <v>1557</v>
      </c>
      <c r="G5382" t="str">
        <f>"05-M06-08"</f>
        <v>05-M06-08</v>
      </c>
      <c r="H5382">
        <v>1.4719</v>
      </c>
      <c r="I5382" t="s">
        <v>1892</v>
      </c>
      <c r="J5382" t="s">
        <v>17</v>
      </c>
      <c r="K5382" t="str">
        <f>"1F1"</f>
        <v>1F1</v>
      </c>
      <c r="L5382" t="s">
        <v>15</v>
      </c>
    </row>
    <row r="5383" spans="1:12" x14ac:dyDescent="0.25">
      <c r="A5383" t="str">
        <f>"511125235"</f>
        <v>511125235</v>
      </c>
      <c r="B5383" t="str">
        <f t="shared" si="279"/>
        <v>89301000</v>
      </c>
      <c r="C5383" s="1">
        <v>44343</v>
      </c>
      <c r="D5383" s="1">
        <v>44348</v>
      </c>
      <c r="E5383">
        <v>1</v>
      </c>
      <c r="F5383" t="s">
        <v>1606</v>
      </c>
      <c r="G5383" t="str">
        <f>"05-K05-05"</f>
        <v>05-K05-05</v>
      </c>
      <c r="H5383">
        <v>0.37819999999999998</v>
      </c>
      <c r="I5383" t="s">
        <v>3960</v>
      </c>
      <c r="J5383" t="s">
        <v>14</v>
      </c>
      <c r="K5383" t="str">
        <f>"2F5"</f>
        <v>2F5</v>
      </c>
      <c r="L5383" t="s">
        <v>15</v>
      </c>
    </row>
    <row r="5384" spans="1:12" x14ac:dyDescent="0.25">
      <c r="A5384" t="str">
        <f>"511125235"</f>
        <v>511125235</v>
      </c>
      <c r="B5384" t="str">
        <f t="shared" si="279"/>
        <v>89301000</v>
      </c>
      <c r="C5384" s="1">
        <v>44388</v>
      </c>
      <c r="D5384" s="1">
        <v>44395</v>
      </c>
      <c r="E5384">
        <v>8</v>
      </c>
      <c r="F5384" t="s">
        <v>998</v>
      </c>
      <c r="G5384" t="str">
        <f>"18-K01-04"</f>
        <v>18-K01-04</v>
      </c>
      <c r="H5384">
        <v>2.4565000000000001</v>
      </c>
      <c r="I5384" t="s">
        <v>3961</v>
      </c>
      <c r="J5384" t="s">
        <v>14</v>
      </c>
      <c r="K5384" t="str">
        <f>"2F5"</f>
        <v>2F5</v>
      </c>
      <c r="L5384" t="s">
        <v>15</v>
      </c>
    </row>
    <row r="5385" spans="1:12" x14ac:dyDescent="0.25">
      <c r="A5385" t="str">
        <f>"511128340"</f>
        <v>511128340</v>
      </c>
      <c r="B5385" t="str">
        <f t="shared" si="279"/>
        <v>89301000</v>
      </c>
      <c r="C5385" s="1">
        <v>44406</v>
      </c>
      <c r="D5385" s="1">
        <v>44409</v>
      </c>
      <c r="E5385">
        <v>1</v>
      </c>
      <c r="F5385" t="s">
        <v>1679</v>
      </c>
      <c r="G5385" t="str">
        <f>"11-M06-03"</f>
        <v>11-M06-03</v>
      </c>
      <c r="H5385">
        <v>0.61519999999999997</v>
      </c>
      <c r="I5385" t="s">
        <v>3962</v>
      </c>
      <c r="J5385" t="s">
        <v>17</v>
      </c>
      <c r="K5385" t="str">
        <f>"7F6"</f>
        <v>7F6</v>
      </c>
      <c r="L5385" t="s">
        <v>15</v>
      </c>
    </row>
    <row r="5386" spans="1:12" x14ac:dyDescent="0.25">
      <c r="A5386" t="str">
        <f>"511202196"</f>
        <v>511202196</v>
      </c>
      <c r="B5386" t="str">
        <f t="shared" ref="B5386:B5448" si="280">"89301000"</f>
        <v>89301000</v>
      </c>
      <c r="C5386" s="1">
        <v>44511</v>
      </c>
      <c r="D5386" s="1">
        <v>44511</v>
      </c>
      <c r="E5386">
        <v>1</v>
      </c>
      <c r="F5386" t="s">
        <v>1557</v>
      </c>
      <c r="G5386" t="str">
        <f>"05-D01-08"</f>
        <v>05-D01-08</v>
      </c>
      <c r="H5386">
        <v>0.21890000000000001</v>
      </c>
      <c r="I5386" t="s">
        <v>1892</v>
      </c>
      <c r="J5386" t="s">
        <v>14</v>
      </c>
      <c r="K5386" t="str">
        <f>"1F1"</f>
        <v>1F1</v>
      </c>
      <c r="L5386" t="s">
        <v>15</v>
      </c>
    </row>
    <row r="5387" spans="1:12" x14ac:dyDescent="0.25">
      <c r="A5387" t="str">
        <f>"511202196"</f>
        <v>511202196</v>
      </c>
      <c r="B5387" t="str">
        <f t="shared" si="280"/>
        <v>89301000</v>
      </c>
      <c r="C5387" s="1">
        <v>44516</v>
      </c>
      <c r="D5387" s="1">
        <v>44525</v>
      </c>
      <c r="E5387">
        <v>1</v>
      </c>
      <c r="F5387" t="s">
        <v>1557</v>
      </c>
      <c r="G5387" t="str">
        <f>"05-I16-04"</f>
        <v>05-I16-04</v>
      </c>
      <c r="H5387">
        <v>6.1497999999999999</v>
      </c>
      <c r="I5387" t="s">
        <v>3504</v>
      </c>
      <c r="J5387" t="s">
        <v>17</v>
      </c>
      <c r="K5387" t="str">
        <f>"5F5"</f>
        <v>5F5</v>
      </c>
      <c r="L5387" t="s">
        <v>15</v>
      </c>
    </row>
    <row r="5388" spans="1:12" x14ac:dyDescent="0.25">
      <c r="A5388" t="str">
        <f>"511205303"</f>
        <v>511205303</v>
      </c>
      <c r="B5388" t="str">
        <f t="shared" si="280"/>
        <v>89301000</v>
      </c>
      <c r="C5388" s="1">
        <v>44200</v>
      </c>
      <c r="D5388" s="1">
        <v>44218</v>
      </c>
      <c r="E5388">
        <v>1</v>
      </c>
      <c r="F5388" t="s">
        <v>2355</v>
      </c>
      <c r="G5388" t="str">
        <f>"04-I02-02"</f>
        <v>04-I02-02</v>
      </c>
      <c r="H5388">
        <v>4.8300999999999998</v>
      </c>
      <c r="I5388" t="s">
        <v>3963</v>
      </c>
      <c r="J5388" t="s">
        <v>106</v>
      </c>
      <c r="K5388" t="str">
        <f>"2F5"</f>
        <v>2F5</v>
      </c>
      <c r="L5388" t="s">
        <v>15</v>
      </c>
    </row>
    <row r="5389" spans="1:12" x14ac:dyDescent="0.25">
      <c r="A5389" t="str">
        <f>"511207272"</f>
        <v>511207272</v>
      </c>
      <c r="B5389" t="str">
        <f t="shared" si="280"/>
        <v>89301000</v>
      </c>
      <c r="C5389" s="1">
        <v>44397</v>
      </c>
      <c r="D5389" s="1">
        <v>44398</v>
      </c>
      <c r="E5389">
        <v>1</v>
      </c>
      <c r="F5389" t="s">
        <v>489</v>
      </c>
      <c r="G5389" t="str">
        <f>"05-D01-08"</f>
        <v>05-D01-08</v>
      </c>
      <c r="H5389">
        <v>0.4093</v>
      </c>
      <c r="I5389" t="s">
        <v>1892</v>
      </c>
      <c r="J5389" t="s">
        <v>14</v>
      </c>
      <c r="K5389" t="str">
        <f>"1F1"</f>
        <v>1F1</v>
      </c>
      <c r="L5389" t="s">
        <v>15</v>
      </c>
    </row>
    <row r="5390" spans="1:12" x14ac:dyDescent="0.25">
      <c r="A5390" t="str">
        <f>"511215182"</f>
        <v>511215182</v>
      </c>
      <c r="B5390" t="str">
        <f t="shared" si="280"/>
        <v>89301000</v>
      </c>
      <c r="C5390" s="1">
        <v>44394</v>
      </c>
      <c r="D5390" s="1">
        <v>44396</v>
      </c>
      <c r="E5390">
        <v>4</v>
      </c>
      <c r="F5390" t="s">
        <v>1799</v>
      </c>
      <c r="G5390" t="str">
        <f>"19-K01-03"</f>
        <v>19-K01-03</v>
      </c>
      <c r="H5390">
        <v>0.60250000000000004</v>
      </c>
      <c r="I5390" t="s">
        <v>3964</v>
      </c>
      <c r="J5390" t="s">
        <v>27</v>
      </c>
      <c r="K5390" t="str">
        <f>"1F1"</f>
        <v>1F1</v>
      </c>
      <c r="L5390" t="s">
        <v>15</v>
      </c>
    </row>
    <row r="5391" spans="1:12" x14ac:dyDescent="0.25">
      <c r="A5391" t="str">
        <f>"511215201"</f>
        <v>511215201</v>
      </c>
      <c r="B5391" t="str">
        <f t="shared" si="280"/>
        <v>89301000</v>
      </c>
      <c r="C5391" s="1">
        <v>44473</v>
      </c>
      <c r="D5391" s="1">
        <v>44474</v>
      </c>
      <c r="E5391">
        <v>1</v>
      </c>
      <c r="F5391" t="s">
        <v>41</v>
      </c>
      <c r="G5391" t="str">
        <f>"01-D01-03"</f>
        <v>01-D01-03</v>
      </c>
      <c r="H5391">
        <v>0.158</v>
      </c>
      <c r="I5391" t="s">
        <v>3965</v>
      </c>
      <c r="J5391" t="s">
        <v>14</v>
      </c>
      <c r="K5391" t="str">
        <f>"2F5"</f>
        <v>2F5</v>
      </c>
      <c r="L5391" t="s">
        <v>15</v>
      </c>
    </row>
    <row r="5392" spans="1:12" x14ac:dyDescent="0.25">
      <c r="A5392" t="str">
        <f>"511215201"</f>
        <v>511215201</v>
      </c>
      <c r="B5392" t="str">
        <f t="shared" si="280"/>
        <v>89301000</v>
      </c>
      <c r="C5392" s="1">
        <v>44544</v>
      </c>
      <c r="D5392" s="1">
        <v>44545</v>
      </c>
      <c r="E5392">
        <v>1</v>
      </c>
      <c r="F5392" t="s">
        <v>2111</v>
      </c>
      <c r="G5392" t="str">
        <f>"10-K15-02"</f>
        <v>10-K15-02</v>
      </c>
      <c r="H5392">
        <v>0.51819999999999999</v>
      </c>
      <c r="I5392" t="s">
        <v>3966</v>
      </c>
      <c r="J5392" t="s">
        <v>14</v>
      </c>
      <c r="K5392" t="str">
        <f>"2F5"</f>
        <v>2F5</v>
      </c>
      <c r="L5392" t="s">
        <v>15</v>
      </c>
    </row>
    <row r="5393" spans="1:12" x14ac:dyDescent="0.25">
      <c r="A5393" t="str">
        <f>"511224227"</f>
        <v>511224227</v>
      </c>
      <c r="B5393" t="str">
        <f t="shared" si="280"/>
        <v>89301000</v>
      </c>
      <c r="C5393" s="1">
        <v>44358</v>
      </c>
      <c r="D5393" s="1">
        <v>44367</v>
      </c>
      <c r="E5393">
        <v>1</v>
      </c>
      <c r="F5393" t="s">
        <v>260</v>
      </c>
      <c r="G5393" t="str">
        <f>"03-I16-02"</f>
        <v>03-I16-02</v>
      </c>
      <c r="H5393">
        <v>0.98470000000000002</v>
      </c>
      <c r="I5393" t="s">
        <v>3967</v>
      </c>
      <c r="J5393" t="s">
        <v>24</v>
      </c>
      <c r="K5393" t="str">
        <f>"7F1"</f>
        <v>7F1</v>
      </c>
      <c r="L5393" t="s">
        <v>15</v>
      </c>
    </row>
    <row r="5394" spans="1:12" x14ac:dyDescent="0.25">
      <c r="A5394" t="str">
        <f>"511226037"</f>
        <v>511226037</v>
      </c>
      <c r="B5394" t="str">
        <f t="shared" si="280"/>
        <v>89301000</v>
      </c>
      <c r="C5394" s="1">
        <v>44475</v>
      </c>
      <c r="D5394" s="1">
        <v>44477</v>
      </c>
      <c r="E5394">
        <v>1</v>
      </c>
      <c r="F5394" t="s">
        <v>3968</v>
      </c>
      <c r="G5394" t="str">
        <f>"16-K02-02"</f>
        <v>16-K02-02</v>
      </c>
      <c r="H5394">
        <v>0.77459999999999996</v>
      </c>
      <c r="I5394" t="s">
        <v>3969</v>
      </c>
      <c r="J5394" t="s">
        <v>14</v>
      </c>
      <c r="K5394" t="str">
        <f>"1F1"</f>
        <v>1F1</v>
      </c>
      <c r="L5394" t="s">
        <v>15</v>
      </c>
    </row>
    <row r="5395" spans="1:12" x14ac:dyDescent="0.25">
      <c r="A5395" t="str">
        <f>"511226037"</f>
        <v>511226037</v>
      </c>
      <c r="B5395" t="str">
        <f t="shared" si="280"/>
        <v>89301000</v>
      </c>
      <c r="C5395" s="1">
        <v>44524</v>
      </c>
      <c r="D5395" s="1">
        <v>44525</v>
      </c>
      <c r="E5395">
        <v>1</v>
      </c>
      <c r="F5395" t="s">
        <v>1928</v>
      </c>
      <c r="G5395" t="str">
        <f>"11-I16-02"</f>
        <v>11-I16-02</v>
      </c>
      <c r="H5395">
        <v>0.49480000000000002</v>
      </c>
      <c r="I5395" t="s">
        <v>3970</v>
      </c>
      <c r="J5395" t="s">
        <v>14</v>
      </c>
      <c r="K5395" t="str">
        <f>"5F1"</f>
        <v>5F1</v>
      </c>
      <c r="L5395" t="s">
        <v>15</v>
      </c>
    </row>
    <row r="5396" spans="1:12" x14ac:dyDescent="0.25">
      <c r="A5396" t="str">
        <f>"511231121"</f>
        <v>511231121</v>
      </c>
      <c r="B5396" t="str">
        <f t="shared" si="280"/>
        <v>89301000</v>
      </c>
      <c r="C5396" s="1">
        <v>44350</v>
      </c>
      <c r="D5396" s="1">
        <v>44365</v>
      </c>
      <c r="E5396">
        <v>1</v>
      </c>
      <c r="F5396" t="s">
        <v>217</v>
      </c>
      <c r="G5396" t="str">
        <f>"04-K02-03"</f>
        <v>04-K02-03</v>
      </c>
      <c r="H5396">
        <v>1.2859</v>
      </c>
      <c r="I5396" t="s">
        <v>3971</v>
      </c>
      <c r="J5396" t="s">
        <v>14</v>
      </c>
      <c r="K5396" t="str">
        <f>"1F1"</f>
        <v>1F1</v>
      </c>
      <c r="L5396" t="s">
        <v>15</v>
      </c>
    </row>
    <row r="5397" spans="1:12" x14ac:dyDescent="0.25">
      <c r="A5397" t="str">
        <f>"515101140"</f>
        <v>515101140</v>
      </c>
      <c r="B5397" t="str">
        <f t="shared" si="280"/>
        <v>89301000</v>
      </c>
      <c r="C5397" s="1">
        <v>44363</v>
      </c>
      <c r="D5397" s="1">
        <v>44386</v>
      </c>
      <c r="E5397">
        <v>1</v>
      </c>
      <c r="F5397" t="s">
        <v>3276</v>
      </c>
      <c r="G5397" t="str">
        <f>"07-M02-01"</f>
        <v>07-M02-01</v>
      </c>
      <c r="H5397">
        <v>2.5634999999999999</v>
      </c>
      <c r="I5397" t="s">
        <v>3972</v>
      </c>
      <c r="J5397" t="s">
        <v>17</v>
      </c>
      <c r="K5397" t="str">
        <f>"1F1"</f>
        <v>1F1</v>
      </c>
      <c r="L5397" t="s">
        <v>15</v>
      </c>
    </row>
    <row r="5398" spans="1:12" x14ac:dyDescent="0.25">
      <c r="A5398" t="str">
        <f>"515101140"</f>
        <v>515101140</v>
      </c>
      <c r="B5398" t="str">
        <f t="shared" si="280"/>
        <v>89301000</v>
      </c>
      <c r="C5398" s="1">
        <v>44488</v>
      </c>
      <c r="D5398" s="1">
        <v>44494</v>
      </c>
      <c r="E5398">
        <v>1</v>
      </c>
      <c r="F5398" t="s">
        <v>3276</v>
      </c>
      <c r="G5398" t="str">
        <f>"07-M02-03"</f>
        <v>07-M02-03</v>
      </c>
      <c r="H5398">
        <v>1.3749</v>
      </c>
      <c r="I5398" t="s">
        <v>3973</v>
      </c>
      <c r="J5398" t="s">
        <v>17</v>
      </c>
      <c r="K5398" t="str">
        <f>"1F1"</f>
        <v>1F1</v>
      </c>
      <c r="L5398" t="s">
        <v>15</v>
      </c>
    </row>
    <row r="5399" spans="1:12" x14ac:dyDescent="0.25">
      <c r="A5399" t="str">
        <f>"515103006"</f>
        <v>515103006</v>
      </c>
      <c r="B5399" t="str">
        <f t="shared" si="280"/>
        <v>89301000</v>
      </c>
      <c r="C5399" s="1">
        <v>44489</v>
      </c>
      <c r="D5399" s="1">
        <v>44490</v>
      </c>
      <c r="E5399">
        <v>1</v>
      </c>
      <c r="F5399" t="s">
        <v>824</v>
      </c>
      <c r="G5399" t="str">
        <f>"03-K02-02"</f>
        <v>03-K02-02</v>
      </c>
      <c r="H5399">
        <v>0.56889999999999996</v>
      </c>
      <c r="I5399" t="s">
        <v>3974</v>
      </c>
      <c r="J5399" t="s">
        <v>14</v>
      </c>
      <c r="K5399" t="str">
        <f>"7F1"</f>
        <v>7F1</v>
      </c>
      <c r="L5399" t="s">
        <v>15</v>
      </c>
    </row>
    <row r="5400" spans="1:12" x14ac:dyDescent="0.25">
      <c r="A5400" t="str">
        <f>"515104060"</f>
        <v>515104060</v>
      </c>
      <c r="B5400" t="str">
        <f t="shared" si="280"/>
        <v>89301000</v>
      </c>
      <c r="C5400" s="1">
        <v>44450</v>
      </c>
      <c r="D5400" s="1">
        <v>44452</v>
      </c>
      <c r="E5400">
        <v>5</v>
      </c>
      <c r="F5400" t="s">
        <v>2914</v>
      </c>
      <c r="G5400" t="str">
        <f>"08-I14-02"</f>
        <v>08-I14-02</v>
      </c>
      <c r="H5400">
        <v>1.7324999999999999</v>
      </c>
      <c r="I5400" t="s">
        <v>3975</v>
      </c>
      <c r="J5400" t="s">
        <v>17</v>
      </c>
      <c r="K5400" t="str">
        <f>"5F3"</f>
        <v>5F3</v>
      </c>
      <c r="L5400" t="s">
        <v>15</v>
      </c>
    </row>
    <row r="5401" spans="1:12" x14ac:dyDescent="0.25">
      <c r="A5401" t="str">
        <f>"515104104"</f>
        <v>515104104</v>
      </c>
      <c r="B5401" t="str">
        <f t="shared" si="280"/>
        <v>89301000</v>
      </c>
      <c r="C5401" s="1">
        <v>44246</v>
      </c>
      <c r="D5401" s="1">
        <v>44251</v>
      </c>
      <c r="E5401">
        <v>1</v>
      </c>
      <c r="F5401" t="s">
        <v>217</v>
      </c>
      <c r="G5401" t="str">
        <f>"04-K02-04"</f>
        <v>04-K02-04</v>
      </c>
      <c r="H5401">
        <v>0.82469999999999999</v>
      </c>
      <c r="I5401" t="s">
        <v>274</v>
      </c>
      <c r="J5401" t="s">
        <v>14</v>
      </c>
      <c r="K5401" t="str">
        <f>"1F1"</f>
        <v>1F1</v>
      </c>
      <c r="L5401" t="s">
        <v>15</v>
      </c>
    </row>
    <row r="5402" spans="1:12" x14ac:dyDescent="0.25">
      <c r="A5402" t="str">
        <f>"515105047"</f>
        <v>515105047</v>
      </c>
      <c r="B5402" t="str">
        <f t="shared" si="280"/>
        <v>89301000</v>
      </c>
      <c r="C5402" s="1">
        <v>44498</v>
      </c>
      <c r="D5402" s="1">
        <v>44499</v>
      </c>
      <c r="E5402">
        <v>1</v>
      </c>
      <c r="F5402" t="s">
        <v>1545</v>
      </c>
      <c r="G5402" t="str">
        <f>"05-I14-04"</f>
        <v>05-I14-04</v>
      </c>
      <c r="H5402">
        <v>5.4002999999999997</v>
      </c>
      <c r="I5402" t="s">
        <v>2769</v>
      </c>
      <c r="J5402" t="s">
        <v>14</v>
      </c>
      <c r="K5402" t="str">
        <f>"1F7"</f>
        <v>1F7</v>
      </c>
      <c r="L5402" t="s">
        <v>15</v>
      </c>
    </row>
    <row r="5403" spans="1:12" x14ac:dyDescent="0.25">
      <c r="A5403" t="str">
        <f t="shared" ref="A5403:A5408" si="281">"515108098"</f>
        <v>515108098</v>
      </c>
      <c r="B5403" t="str">
        <f t="shared" si="280"/>
        <v>89301000</v>
      </c>
      <c r="C5403" s="1">
        <v>44314</v>
      </c>
      <c r="D5403" s="1">
        <v>44317</v>
      </c>
      <c r="E5403">
        <v>1</v>
      </c>
      <c r="F5403" t="s">
        <v>1188</v>
      </c>
      <c r="G5403" t="str">
        <f>"09-I13-03"</f>
        <v>09-I13-03</v>
      </c>
      <c r="H5403">
        <v>0.77380000000000004</v>
      </c>
      <c r="I5403" t="s">
        <v>168</v>
      </c>
      <c r="J5403" t="s">
        <v>14</v>
      </c>
      <c r="K5403" t="str">
        <f>"5F3"</f>
        <v>5F3</v>
      </c>
      <c r="L5403" t="s">
        <v>15</v>
      </c>
    </row>
    <row r="5404" spans="1:12" x14ac:dyDescent="0.25">
      <c r="A5404" t="str">
        <f t="shared" si="281"/>
        <v>515108098</v>
      </c>
      <c r="B5404" t="str">
        <f t="shared" si="280"/>
        <v>89301000</v>
      </c>
      <c r="C5404" s="1">
        <v>44476</v>
      </c>
      <c r="D5404" s="1">
        <v>44498</v>
      </c>
      <c r="E5404">
        <v>1</v>
      </c>
      <c r="F5404" t="s">
        <v>1572</v>
      </c>
      <c r="G5404" t="str">
        <f>"06-I13-02"</f>
        <v>06-I13-02</v>
      </c>
      <c r="H5404">
        <v>2.2724000000000002</v>
      </c>
      <c r="I5404" t="s">
        <v>3976</v>
      </c>
      <c r="J5404" t="s">
        <v>14</v>
      </c>
      <c r="K5404" t="str">
        <f>"5F1"</f>
        <v>5F1</v>
      </c>
      <c r="L5404" t="s">
        <v>15</v>
      </c>
    </row>
    <row r="5405" spans="1:12" x14ac:dyDescent="0.25">
      <c r="A5405" t="str">
        <f t="shared" si="281"/>
        <v>515108098</v>
      </c>
      <c r="B5405" t="str">
        <f t="shared" si="280"/>
        <v>89301000</v>
      </c>
      <c r="C5405" s="1">
        <v>44462</v>
      </c>
      <c r="D5405" s="1">
        <v>44466</v>
      </c>
      <c r="E5405">
        <v>1</v>
      </c>
      <c r="F5405" t="s">
        <v>3977</v>
      </c>
      <c r="G5405" t="str">
        <f>"17-I08-02"</f>
        <v>17-I08-02</v>
      </c>
      <c r="H5405">
        <v>1.1428</v>
      </c>
      <c r="I5405" t="s">
        <v>3978</v>
      </c>
      <c r="J5405" t="s">
        <v>14</v>
      </c>
      <c r="K5405" t="str">
        <f>"6F3"</f>
        <v>6F3</v>
      </c>
      <c r="L5405" t="s">
        <v>15</v>
      </c>
    </row>
    <row r="5406" spans="1:12" x14ac:dyDescent="0.25">
      <c r="A5406" t="str">
        <f t="shared" si="281"/>
        <v>515108098</v>
      </c>
      <c r="B5406" t="str">
        <f t="shared" si="280"/>
        <v>89301000</v>
      </c>
      <c r="C5406" s="1">
        <v>44522</v>
      </c>
      <c r="D5406" s="1">
        <v>44531</v>
      </c>
      <c r="E5406">
        <v>1</v>
      </c>
      <c r="F5406" t="s">
        <v>2497</v>
      </c>
      <c r="G5406" t="str">
        <f>"13-K07-02"</f>
        <v>13-K07-02</v>
      </c>
      <c r="H5406">
        <v>0.43509999999999999</v>
      </c>
      <c r="I5406" t="s">
        <v>3979</v>
      </c>
      <c r="J5406" t="s">
        <v>14</v>
      </c>
      <c r="K5406" t="str">
        <f>"4F2"</f>
        <v>4F2</v>
      </c>
      <c r="L5406" t="s">
        <v>15</v>
      </c>
    </row>
    <row r="5407" spans="1:12" x14ac:dyDescent="0.25">
      <c r="A5407" t="str">
        <f t="shared" si="281"/>
        <v>515108098</v>
      </c>
      <c r="B5407" t="str">
        <f t="shared" si="280"/>
        <v>89301000</v>
      </c>
      <c r="C5407" s="1">
        <v>44440</v>
      </c>
      <c r="D5407" s="1">
        <v>44443</v>
      </c>
      <c r="E5407">
        <v>1</v>
      </c>
      <c r="F5407" t="s">
        <v>3977</v>
      </c>
      <c r="G5407" t="str">
        <f>"17-I08-02"</f>
        <v>17-I08-02</v>
      </c>
      <c r="H5407">
        <v>1.1428</v>
      </c>
      <c r="I5407" t="s">
        <v>3980</v>
      </c>
      <c r="J5407" t="s">
        <v>14</v>
      </c>
      <c r="K5407" t="str">
        <f>"6F3"</f>
        <v>6F3</v>
      </c>
      <c r="L5407" t="s">
        <v>15</v>
      </c>
    </row>
    <row r="5408" spans="1:12" x14ac:dyDescent="0.25">
      <c r="A5408" t="str">
        <f t="shared" si="281"/>
        <v>515108098</v>
      </c>
      <c r="B5408" t="str">
        <f t="shared" si="280"/>
        <v>89301000</v>
      </c>
      <c r="C5408" s="1">
        <v>44547</v>
      </c>
      <c r="D5408" s="1">
        <v>44553</v>
      </c>
      <c r="E5408">
        <v>1</v>
      </c>
      <c r="F5408" t="s">
        <v>3529</v>
      </c>
      <c r="G5408" t="str">
        <f>"06-K14-02"</f>
        <v>06-K14-02</v>
      </c>
      <c r="H5408">
        <v>0.57279999999999998</v>
      </c>
      <c r="I5408" t="s">
        <v>3979</v>
      </c>
      <c r="J5408" t="s">
        <v>14</v>
      </c>
      <c r="K5408" t="str">
        <f>"4F2"</f>
        <v>4F2</v>
      </c>
      <c r="L5408" t="s">
        <v>15</v>
      </c>
    </row>
    <row r="5409" spans="1:12" x14ac:dyDescent="0.25">
      <c r="A5409" t="str">
        <f>"515110056"</f>
        <v>515110056</v>
      </c>
      <c r="B5409" t="str">
        <f t="shared" si="280"/>
        <v>89301000</v>
      </c>
      <c r="C5409" s="1">
        <v>44455</v>
      </c>
      <c r="D5409" s="1">
        <v>44468</v>
      </c>
      <c r="E5409">
        <v>1</v>
      </c>
      <c r="F5409" t="s">
        <v>2030</v>
      </c>
      <c r="G5409" t="str">
        <f>"06-I13-02"</f>
        <v>06-I13-02</v>
      </c>
      <c r="H5409">
        <v>2.0766</v>
      </c>
      <c r="I5409" t="s">
        <v>3981</v>
      </c>
      <c r="J5409" t="s">
        <v>14</v>
      </c>
      <c r="K5409" t="str">
        <f>"5F1"</f>
        <v>5F1</v>
      </c>
      <c r="L5409" t="s">
        <v>15</v>
      </c>
    </row>
    <row r="5410" spans="1:12" x14ac:dyDescent="0.25">
      <c r="A5410" t="str">
        <f>"515110106"</f>
        <v>515110106</v>
      </c>
      <c r="B5410" t="str">
        <f t="shared" si="280"/>
        <v>89301000</v>
      </c>
      <c r="C5410" s="1">
        <v>44349</v>
      </c>
      <c r="D5410" s="1">
        <v>44355</v>
      </c>
      <c r="E5410">
        <v>4</v>
      </c>
      <c r="F5410" t="s">
        <v>1968</v>
      </c>
      <c r="G5410" t="str">
        <f>"08-I05-04"</f>
        <v>08-I05-04</v>
      </c>
      <c r="H5410">
        <v>2.4581</v>
      </c>
      <c r="I5410" t="s">
        <v>3982</v>
      </c>
      <c r="J5410" t="s">
        <v>17</v>
      </c>
      <c r="K5410" t="str">
        <f>"6F6"</f>
        <v>6F6</v>
      </c>
      <c r="L5410" t="s">
        <v>15</v>
      </c>
    </row>
    <row r="5411" spans="1:12" x14ac:dyDescent="0.25">
      <c r="A5411" t="str">
        <f>"515120256"</f>
        <v>515120256</v>
      </c>
      <c r="B5411" t="str">
        <f t="shared" si="280"/>
        <v>89301000</v>
      </c>
      <c r="C5411" s="1">
        <v>44459</v>
      </c>
      <c r="D5411" s="1">
        <v>44470</v>
      </c>
      <c r="E5411">
        <v>1</v>
      </c>
      <c r="F5411" t="s">
        <v>109</v>
      </c>
      <c r="G5411" t="str">
        <f>"24-M06-02"</f>
        <v>24-M06-02</v>
      </c>
      <c r="H5411">
        <v>1.0233000000000001</v>
      </c>
      <c r="I5411" t="s">
        <v>3983</v>
      </c>
      <c r="J5411" t="s">
        <v>14</v>
      </c>
      <c r="K5411" t="str">
        <f>"2F1"</f>
        <v>2F1</v>
      </c>
      <c r="L5411" t="s">
        <v>15</v>
      </c>
    </row>
    <row r="5412" spans="1:12" x14ac:dyDescent="0.25">
      <c r="A5412" t="str">
        <f>"515124088"</f>
        <v>515124088</v>
      </c>
      <c r="B5412" t="str">
        <f t="shared" si="280"/>
        <v>89301000</v>
      </c>
      <c r="C5412" s="1">
        <v>44420</v>
      </c>
      <c r="D5412" s="1">
        <v>44434</v>
      </c>
      <c r="E5412">
        <v>1</v>
      </c>
      <c r="F5412" t="s">
        <v>3984</v>
      </c>
      <c r="G5412" t="str">
        <f>"08-I14-01"</f>
        <v>08-I14-01</v>
      </c>
      <c r="H5412">
        <v>3.8473000000000002</v>
      </c>
      <c r="I5412" t="s">
        <v>3985</v>
      </c>
      <c r="J5412" t="s">
        <v>17</v>
      </c>
      <c r="K5412" t="str">
        <f>"5F3"</f>
        <v>5F3</v>
      </c>
      <c r="L5412" t="s">
        <v>15</v>
      </c>
    </row>
    <row r="5413" spans="1:12" x14ac:dyDescent="0.25">
      <c r="A5413" t="str">
        <f>"515124381"</f>
        <v>515124381</v>
      </c>
      <c r="B5413" t="str">
        <f t="shared" si="280"/>
        <v>89301000</v>
      </c>
      <c r="C5413" s="1">
        <v>44484</v>
      </c>
      <c r="D5413" s="1">
        <v>44495</v>
      </c>
      <c r="E5413">
        <v>4</v>
      </c>
      <c r="F5413" t="s">
        <v>3986</v>
      </c>
      <c r="G5413" t="str">
        <f>"08-I05-04"</f>
        <v>08-I05-04</v>
      </c>
      <c r="H5413">
        <v>2.4581</v>
      </c>
      <c r="I5413" t="s">
        <v>3987</v>
      </c>
      <c r="J5413" t="s">
        <v>17</v>
      </c>
      <c r="K5413" t="str">
        <f>"6F6"</f>
        <v>6F6</v>
      </c>
      <c r="L5413" t="s">
        <v>15</v>
      </c>
    </row>
    <row r="5414" spans="1:12" x14ac:dyDescent="0.25">
      <c r="A5414" t="str">
        <f>"515127007"</f>
        <v>515127007</v>
      </c>
      <c r="B5414" t="str">
        <f t="shared" si="280"/>
        <v>89301000</v>
      </c>
      <c r="C5414" s="1">
        <v>44313</v>
      </c>
      <c r="D5414" s="1">
        <v>44319</v>
      </c>
      <c r="E5414">
        <v>1</v>
      </c>
      <c r="F5414" t="s">
        <v>2752</v>
      </c>
      <c r="G5414" t="str">
        <f>"06-C02-03"</f>
        <v>06-C02-03</v>
      </c>
      <c r="H5414">
        <v>0.34110000000000001</v>
      </c>
      <c r="I5414" t="s">
        <v>3988</v>
      </c>
      <c r="J5414" t="s">
        <v>14</v>
      </c>
      <c r="K5414" t="str">
        <f>"4F2"</f>
        <v>4F2</v>
      </c>
      <c r="L5414" t="s">
        <v>15</v>
      </c>
    </row>
    <row r="5415" spans="1:12" x14ac:dyDescent="0.25">
      <c r="A5415" t="str">
        <f>"515127007"</f>
        <v>515127007</v>
      </c>
      <c r="B5415" t="str">
        <f t="shared" si="280"/>
        <v>89301000</v>
      </c>
      <c r="C5415" s="1">
        <v>44239</v>
      </c>
      <c r="D5415" s="1">
        <v>44251</v>
      </c>
      <c r="E5415">
        <v>1</v>
      </c>
      <c r="F5415" t="s">
        <v>3989</v>
      </c>
      <c r="G5415" t="str">
        <f>"06-I05-04"</f>
        <v>06-I05-04</v>
      </c>
      <c r="H5415">
        <v>3.3546</v>
      </c>
      <c r="I5415" t="s">
        <v>3990</v>
      </c>
      <c r="J5415" t="s">
        <v>17</v>
      </c>
      <c r="K5415" t="str">
        <f>"5F1"</f>
        <v>5F1</v>
      </c>
      <c r="L5415" t="s">
        <v>15</v>
      </c>
    </row>
    <row r="5416" spans="1:12" x14ac:dyDescent="0.25">
      <c r="A5416" t="str">
        <f>"515127007"</f>
        <v>515127007</v>
      </c>
      <c r="B5416" t="str">
        <f t="shared" si="280"/>
        <v>89301000</v>
      </c>
      <c r="C5416" s="1">
        <v>44299</v>
      </c>
      <c r="D5416" s="1">
        <v>44301</v>
      </c>
      <c r="E5416">
        <v>1</v>
      </c>
      <c r="F5416" t="s">
        <v>2752</v>
      </c>
      <c r="G5416" t="str">
        <f>"06-C02-03"</f>
        <v>06-C02-03</v>
      </c>
      <c r="H5416">
        <v>0.25769999999999998</v>
      </c>
      <c r="I5416" t="s">
        <v>541</v>
      </c>
      <c r="J5416" t="s">
        <v>14</v>
      </c>
      <c r="K5416" t="str">
        <f>"4F2"</f>
        <v>4F2</v>
      </c>
      <c r="L5416" t="s">
        <v>15</v>
      </c>
    </row>
    <row r="5417" spans="1:12" x14ac:dyDescent="0.25">
      <c r="A5417" t="str">
        <f>"515129111"</f>
        <v>515129111</v>
      </c>
      <c r="B5417" t="str">
        <f t="shared" si="280"/>
        <v>89301000</v>
      </c>
      <c r="C5417" s="1">
        <v>44399</v>
      </c>
      <c r="D5417" s="1">
        <v>44403</v>
      </c>
      <c r="E5417">
        <v>1</v>
      </c>
      <c r="F5417" t="s">
        <v>1704</v>
      </c>
      <c r="G5417" t="str">
        <f>"23-I10-00"</f>
        <v>23-I10-00</v>
      </c>
      <c r="H5417">
        <v>0.59630000000000005</v>
      </c>
      <c r="I5417" t="s">
        <v>3594</v>
      </c>
      <c r="J5417" t="s">
        <v>14</v>
      </c>
      <c r="K5417" t="str">
        <f>"7F5"</f>
        <v>7F5</v>
      </c>
      <c r="L5417" t="s">
        <v>15</v>
      </c>
    </row>
    <row r="5418" spans="1:12" x14ac:dyDescent="0.25">
      <c r="A5418" t="str">
        <f>"515129111"</f>
        <v>515129111</v>
      </c>
      <c r="B5418" t="str">
        <f t="shared" si="280"/>
        <v>89301000</v>
      </c>
      <c r="C5418" s="1">
        <v>44420</v>
      </c>
      <c r="D5418" s="1">
        <v>44424</v>
      </c>
      <c r="E5418">
        <v>1</v>
      </c>
      <c r="F5418" t="s">
        <v>2068</v>
      </c>
      <c r="G5418" t="str">
        <f>"02-I06-02"</f>
        <v>02-I06-02</v>
      </c>
      <c r="H5418">
        <v>0.90300000000000002</v>
      </c>
      <c r="I5418" t="s">
        <v>3594</v>
      </c>
      <c r="J5418" t="s">
        <v>17</v>
      </c>
      <c r="K5418" t="str">
        <f>"7F5"</f>
        <v>7F5</v>
      </c>
      <c r="L5418" t="s">
        <v>15</v>
      </c>
    </row>
    <row r="5419" spans="1:12" x14ac:dyDescent="0.25">
      <c r="A5419" t="str">
        <f>"515131083"</f>
        <v>515131083</v>
      </c>
      <c r="B5419" t="str">
        <f t="shared" si="280"/>
        <v>89301000</v>
      </c>
      <c r="C5419" s="1">
        <v>44295</v>
      </c>
      <c r="D5419" s="1">
        <v>44296</v>
      </c>
      <c r="E5419">
        <v>1</v>
      </c>
      <c r="F5419" t="s">
        <v>1545</v>
      </c>
      <c r="G5419" t="str">
        <f>"05-I14-02"</f>
        <v>05-I14-02</v>
      </c>
      <c r="H5419">
        <v>6.3216999999999999</v>
      </c>
      <c r="I5419" t="s">
        <v>1892</v>
      </c>
      <c r="J5419" t="s">
        <v>14</v>
      </c>
      <c r="K5419" t="str">
        <f>"1F7"</f>
        <v>1F7</v>
      </c>
      <c r="L5419" t="s">
        <v>15</v>
      </c>
    </row>
    <row r="5420" spans="1:12" x14ac:dyDescent="0.25">
      <c r="A5420" t="str">
        <f>"515201122"</f>
        <v>515201122</v>
      </c>
      <c r="B5420" t="str">
        <f t="shared" si="280"/>
        <v>89301000</v>
      </c>
      <c r="C5420" s="1">
        <v>44456</v>
      </c>
      <c r="D5420" s="1">
        <v>44459</v>
      </c>
      <c r="E5420">
        <v>1</v>
      </c>
      <c r="F5420" t="s">
        <v>31</v>
      </c>
      <c r="G5420" t="str">
        <f>"08-I04-02"</f>
        <v>08-I04-02</v>
      </c>
      <c r="H5420">
        <v>1.6718999999999999</v>
      </c>
      <c r="J5420" t="s">
        <v>17</v>
      </c>
      <c r="K5420" t="str">
        <f>"5F6"</f>
        <v>5F6</v>
      </c>
      <c r="L5420" t="s">
        <v>15</v>
      </c>
    </row>
    <row r="5421" spans="1:12" x14ac:dyDescent="0.25">
      <c r="A5421" t="str">
        <f>"515213122"</f>
        <v>515213122</v>
      </c>
      <c r="B5421" t="str">
        <f t="shared" si="280"/>
        <v>89301000</v>
      </c>
      <c r="C5421" s="1">
        <v>44474</v>
      </c>
      <c r="D5421" s="1">
        <v>44475</v>
      </c>
      <c r="E5421">
        <v>1</v>
      </c>
      <c r="F5421" t="s">
        <v>1780</v>
      </c>
      <c r="G5421" t="str">
        <f>"05-D01-06"</f>
        <v>05-D01-06</v>
      </c>
      <c r="H5421">
        <v>0.7611</v>
      </c>
      <c r="I5421" t="s">
        <v>1557</v>
      </c>
      <c r="J5421" t="s">
        <v>14</v>
      </c>
      <c r="K5421" t="str">
        <f>"1F7"</f>
        <v>1F7</v>
      </c>
      <c r="L5421" t="s">
        <v>15</v>
      </c>
    </row>
    <row r="5422" spans="1:12" x14ac:dyDescent="0.25">
      <c r="A5422" t="str">
        <f>"515214027"</f>
        <v>515214027</v>
      </c>
      <c r="B5422" t="str">
        <f t="shared" si="280"/>
        <v>89301000</v>
      </c>
      <c r="C5422" s="1">
        <v>44221</v>
      </c>
      <c r="D5422" s="1">
        <v>44225</v>
      </c>
      <c r="E5422">
        <v>1</v>
      </c>
      <c r="F5422" t="s">
        <v>3991</v>
      </c>
      <c r="G5422" t="str">
        <f>"10-K03-04"</f>
        <v>10-K03-04</v>
      </c>
      <c r="H5422">
        <v>0.65159999999999996</v>
      </c>
      <c r="I5422" t="s">
        <v>3992</v>
      </c>
      <c r="J5422" t="s">
        <v>14</v>
      </c>
      <c r="K5422" t="str">
        <f>"1F1"</f>
        <v>1F1</v>
      </c>
      <c r="L5422" t="s">
        <v>15</v>
      </c>
    </row>
    <row r="5423" spans="1:12" x14ac:dyDescent="0.25">
      <c r="A5423" t="str">
        <f>"515217054"</f>
        <v>515217054</v>
      </c>
      <c r="B5423" t="str">
        <f t="shared" si="280"/>
        <v>89301000</v>
      </c>
      <c r="C5423" s="1">
        <v>44419</v>
      </c>
      <c r="D5423" s="1">
        <v>44421</v>
      </c>
      <c r="E5423">
        <v>1</v>
      </c>
      <c r="F5423" t="s">
        <v>831</v>
      </c>
      <c r="G5423" t="str">
        <f>"02-I06-03"</f>
        <v>02-I06-03</v>
      </c>
      <c r="H5423">
        <v>0.63690000000000002</v>
      </c>
      <c r="I5423" t="s">
        <v>348</v>
      </c>
      <c r="J5423" t="s">
        <v>17</v>
      </c>
      <c r="K5423" t="str">
        <f>"7F5"</f>
        <v>7F5</v>
      </c>
      <c r="L5423" t="s">
        <v>15</v>
      </c>
    </row>
    <row r="5424" spans="1:12" x14ac:dyDescent="0.25">
      <c r="A5424" t="str">
        <f>"515217054"</f>
        <v>515217054</v>
      </c>
      <c r="B5424" t="str">
        <f t="shared" si="280"/>
        <v>89301000</v>
      </c>
      <c r="C5424" s="1">
        <v>44503</v>
      </c>
      <c r="D5424" s="1">
        <v>44505</v>
      </c>
      <c r="E5424">
        <v>1</v>
      </c>
      <c r="F5424" t="s">
        <v>2068</v>
      </c>
      <c r="G5424" t="str">
        <f>"02-I06-02"</f>
        <v>02-I06-02</v>
      </c>
      <c r="H5424">
        <v>0.90300000000000002</v>
      </c>
      <c r="I5424" t="s">
        <v>348</v>
      </c>
      <c r="J5424" t="s">
        <v>17</v>
      </c>
      <c r="K5424" t="str">
        <f>"7F5"</f>
        <v>7F5</v>
      </c>
      <c r="L5424" t="s">
        <v>15</v>
      </c>
    </row>
    <row r="5425" spans="1:12" x14ac:dyDescent="0.25">
      <c r="A5425" t="str">
        <f>"515221112"</f>
        <v>515221112</v>
      </c>
      <c r="B5425" t="str">
        <f t="shared" si="280"/>
        <v>89301000</v>
      </c>
      <c r="C5425" s="1">
        <v>44262</v>
      </c>
      <c r="D5425" s="1">
        <v>44265</v>
      </c>
      <c r="E5425">
        <v>1</v>
      </c>
      <c r="F5425" t="s">
        <v>96</v>
      </c>
      <c r="G5425" t="str">
        <f>"11-I17-03"</f>
        <v>11-I17-03</v>
      </c>
      <c r="H5425">
        <v>0.50609999999999999</v>
      </c>
      <c r="I5425" t="s">
        <v>3993</v>
      </c>
      <c r="J5425" t="s">
        <v>14</v>
      </c>
      <c r="K5425" t="str">
        <f>"7F6"</f>
        <v>7F6</v>
      </c>
      <c r="L5425" t="s">
        <v>15</v>
      </c>
    </row>
    <row r="5426" spans="1:12" x14ac:dyDescent="0.25">
      <c r="A5426" t="str">
        <f>"515222049"</f>
        <v>515222049</v>
      </c>
      <c r="B5426" t="str">
        <f t="shared" si="280"/>
        <v>89301000</v>
      </c>
      <c r="C5426" s="1">
        <v>44211</v>
      </c>
      <c r="D5426" s="1">
        <v>44229</v>
      </c>
      <c r="E5426">
        <v>1</v>
      </c>
      <c r="F5426" t="s">
        <v>1870</v>
      </c>
      <c r="G5426" t="str">
        <f>"06-I07-05"</f>
        <v>06-I07-05</v>
      </c>
      <c r="H5426">
        <v>2.8466999999999998</v>
      </c>
      <c r="I5426" t="s">
        <v>3994</v>
      </c>
      <c r="J5426" t="s">
        <v>17</v>
      </c>
      <c r="K5426" t="str">
        <f>"5F1"</f>
        <v>5F1</v>
      </c>
      <c r="L5426" t="s">
        <v>15</v>
      </c>
    </row>
    <row r="5427" spans="1:12" x14ac:dyDescent="0.25">
      <c r="A5427" t="str">
        <f>"515222095"</f>
        <v>515222095</v>
      </c>
      <c r="B5427" t="str">
        <f t="shared" si="280"/>
        <v>89301000</v>
      </c>
      <c r="C5427" s="1">
        <v>44497</v>
      </c>
      <c r="D5427" s="1">
        <v>44501</v>
      </c>
      <c r="E5427">
        <v>1</v>
      </c>
      <c r="F5427" t="s">
        <v>3995</v>
      </c>
      <c r="G5427" t="str">
        <f>"05-D01-06"</f>
        <v>05-D01-06</v>
      </c>
      <c r="H5427">
        <v>0.7611</v>
      </c>
      <c r="J5427" t="s">
        <v>14</v>
      </c>
      <c r="K5427" t="str">
        <f>"1F7"</f>
        <v>1F7</v>
      </c>
      <c r="L5427" t="s">
        <v>15</v>
      </c>
    </row>
    <row r="5428" spans="1:12" x14ac:dyDescent="0.25">
      <c r="A5428" t="str">
        <f>"515224124"</f>
        <v>515224124</v>
      </c>
      <c r="B5428" t="str">
        <f t="shared" si="280"/>
        <v>89301000</v>
      </c>
      <c r="C5428" s="1">
        <v>44266</v>
      </c>
      <c r="D5428" s="1">
        <v>44274</v>
      </c>
      <c r="E5428">
        <v>1</v>
      </c>
      <c r="F5428" t="s">
        <v>217</v>
      </c>
      <c r="G5428" t="str">
        <f>"04-K02-04"</f>
        <v>04-K02-04</v>
      </c>
      <c r="H5428">
        <v>0.82469999999999999</v>
      </c>
      <c r="I5428" t="s">
        <v>3996</v>
      </c>
      <c r="J5428" t="s">
        <v>14</v>
      </c>
      <c r="K5428" t="str">
        <f>"1F1"</f>
        <v>1F1</v>
      </c>
      <c r="L5428" t="s">
        <v>15</v>
      </c>
    </row>
    <row r="5429" spans="1:12" x14ac:dyDescent="0.25">
      <c r="A5429" t="str">
        <f>"515227053"</f>
        <v>515227053</v>
      </c>
      <c r="B5429" t="str">
        <f t="shared" si="280"/>
        <v>89301000</v>
      </c>
      <c r="C5429" s="1">
        <v>44481</v>
      </c>
      <c r="D5429" s="1">
        <v>44482</v>
      </c>
      <c r="E5429">
        <v>1</v>
      </c>
      <c r="F5429" t="s">
        <v>3138</v>
      </c>
      <c r="G5429" t="str">
        <f>"17-I08-02"</f>
        <v>17-I08-02</v>
      </c>
      <c r="H5429">
        <v>1.1428</v>
      </c>
      <c r="I5429" t="s">
        <v>3997</v>
      </c>
      <c r="J5429" t="s">
        <v>14</v>
      </c>
      <c r="K5429" t="str">
        <f>"1F1"</f>
        <v>1F1</v>
      </c>
      <c r="L5429" t="s">
        <v>15</v>
      </c>
    </row>
    <row r="5430" spans="1:12" x14ac:dyDescent="0.25">
      <c r="A5430" t="str">
        <f>"515227053"</f>
        <v>515227053</v>
      </c>
      <c r="B5430" t="str">
        <f t="shared" si="280"/>
        <v>89301000</v>
      </c>
      <c r="C5430" s="1">
        <v>44539</v>
      </c>
      <c r="D5430" s="1">
        <v>44543</v>
      </c>
      <c r="E5430">
        <v>1</v>
      </c>
      <c r="F5430" t="s">
        <v>3644</v>
      </c>
      <c r="G5430" t="str">
        <f>"17-I08-02"</f>
        <v>17-I08-02</v>
      </c>
      <c r="H5430">
        <v>1.1428</v>
      </c>
      <c r="I5430" t="s">
        <v>489</v>
      </c>
      <c r="J5430" t="s">
        <v>14</v>
      </c>
      <c r="K5430" t="str">
        <f>"5F1"</f>
        <v>5F1</v>
      </c>
      <c r="L5430" t="s">
        <v>15</v>
      </c>
    </row>
    <row r="5431" spans="1:12" x14ac:dyDescent="0.25">
      <c r="A5431" t="str">
        <f>"515227210"</f>
        <v>515227210</v>
      </c>
      <c r="B5431" t="str">
        <f t="shared" si="280"/>
        <v>89301000</v>
      </c>
      <c r="C5431" s="1">
        <v>44281</v>
      </c>
      <c r="D5431" s="1">
        <v>44300</v>
      </c>
      <c r="E5431">
        <v>1</v>
      </c>
      <c r="F5431" t="s">
        <v>109</v>
      </c>
      <c r="G5431" t="str">
        <f>"24-M08-02"</f>
        <v>24-M08-02</v>
      </c>
      <c r="H5431">
        <v>2.3557000000000001</v>
      </c>
      <c r="I5431" t="s">
        <v>3998</v>
      </c>
      <c r="J5431" t="s">
        <v>14</v>
      </c>
      <c r="K5431" t="str">
        <f>"2F1"</f>
        <v>2F1</v>
      </c>
      <c r="L5431" t="s">
        <v>15</v>
      </c>
    </row>
    <row r="5432" spans="1:12" x14ac:dyDescent="0.25">
      <c r="A5432" t="str">
        <f>"515322085"</f>
        <v>515322085</v>
      </c>
      <c r="B5432" t="str">
        <f t="shared" si="280"/>
        <v>89301000</v>
      </c>
      <c r="C5432" s="1">
        <v>44334</v>
      </c>
      <c r="D5432" s="1">
        <v>44336</v>
      </c>
      <c r="E5432">
        <v>1</v>
      </c>
      <c r="F5432" t="s">
        <v>1557</v>
      </c>
      <c r="G5432" t="str">
        <f>"05-M06-08"</f>
        <v>05-M06-08</v>
      </c>
      <c r="H5432">
        <v>1.4719</v>
      </c>
      <c r="I5432" t="s">
        <v>1928</v>
      </c>
      <c r="J5432" t="s">
        <v>17</v>
      </c>
      <c r="K5432" t="str">
        <f>"1F1"</f>
        <v>1F1</v>
      </c>
      <c r="L5432" t="s">
        <v>15</v>
      </c>
    </row>
    <row r="5433" spans="1:12" x14ac:dyDescent="0.25">
      <c r="A5433" t="str">
        <f>"515322404"</f>
        <v>515322404</v>
      </c>
      <c r="B5433" t="str">
        <f t="shared" si="280"/>
        <v>89301000</v>
      </c>
      <c r="C5433" s="1">
        <v>44480</v>
      </c>
      <c r="D5433" s="1">
        <v>44487</v>
      </c>
      <c r="E5433">
        <v>5</v>
      </c>
      <c r="F5433" t="s">
        <v>1602</v>
      </c>
      <c r="G5433" t="str">
        <f>"00-M01-04"</f>
        <v>00-M01-04</v>
      </c>
      <c r="H5433">
        <v>6.85</v>
      </c>
      <c r="I5433" t="s">
        <v>3999</v>
      </c>
      <c r="J5433" t="s">
        <v>14</v>
      </c>
      <c r="K5433" t="str">
        <f>"7T8"</f>
        <v>7T8</v>
      </c>
      <c r="L5433" t="s">
        <v>15</v>
      </c>
    </row>
    <row r="5434" spans="1:12" x14ac:dyDescent="0.25">
      <c r="A5434" t="str">
        <f>"515325320"</f>
        <v>515325320</v>
      </c>
      <c r="B5434" t="str">
        <f t="shared" si="280"/>
        <v>89301000</v>
      </c>
      <c r="C5434" s="1">
        <v>44529</v>
      </c>
      <c r="D5434" s="1">
        <v>44532</v>
      </c>
      <c r="E5434">
        <v>1</v>
      </c>
      <c r="F5434" t="s">
        <v>2683</v>
      </c>
      <c r="G5434" t="str">
        <f>"08-I16-03"</f>
        <v>08-I16-03</v>
      </c>
      <c r="H5434">
        <v>1.3984000000000001</v>
      </c>
      <c r="I5434" t="s">
        <v>640</v>
      </c>
      <c r="J5434" t="s">
        <v>17</v>
      </c>
      <c r="K5434" t="str">
        <f>"5F3"</f>
        <v>5F3</v>
      </c>
      <c r="L5434" t="s">
        <v>15</v>
      </c>
    </row>
    <row r="5435" spans="1:12" x14ac:dyDescent="0.25">
      <c r="A5435" t="str">
        <f>"515328070"</f>
        <v>515328070</v>
      </c>
      <c r="B5435" t="str">
        <f t="shared" si="280"/>
        <v>89301000</v>
      </c>
      <c r="C5435" s="1">
        <v>44447</v>
      </c>
      <c r="D5435" s="1">
        <v>44448</v>
      </c>
      <c r="E5435">
        <v>1</v>
      </c>
      <c r="F5435" t="s">
        <v>1875</v>
      </c>
      <c r="G5435" t="str">
        <f>"05-M05-02"</f>
        <v>05-M05-02</v>
      </c>
      <c r="H5435">
        <v>3.516</v>
      </c>
      <c r="I5435" t="s">
        <v>1959</v>
      </c>
      <c r="J5435" t="s">
        <v>24</v>
      </c>
      <c r="K5435" t="str">
        <f>"1F7"</f>
        <v>1F7</v>
      </c>
      <c r="L5435" t="s">
        <v>15</v>
      </c>
    </row>
    <row r="5436" spans="1:12" x14ac:dyDescent="0.25">
      <c r="A5436" t="str">
        <f>"515328406"</f>
        <v>515328406</v>
      </c>
      <c r="B5436" t="str">
        <f t="shared" si="280"/>
        <v>89301000</v>
      </c>
      <c r="C5436" s="1">
        <v>44274</v>
      </c>
      <c r="D5436" s="1">
        <v>44274</v>
      </c>
      <c r="E5436">
        <v>1</v>
      </c>
      <c r="F5436" t="s">
        <v>1599</v>
      </c>
      <c r="G5436" t="str">
        <f>"05-D01-06"</f>
        <v>05-D01-06</v>
      </c>
      <c r="H5436">
        <v>0.40649999999999997</v>
      </c>
      <c r="I5436" t="s">
        <v>4001</v>
      </c>
      <c r="J5436" t="s">
        <v>14</v>
      </c>
      <c r="K5436" t="str">
        <f>"1F7"</f>
        <v>1F7</v>
      </c>
      <c r="L5436" t="s">
        <v>15</v>
      </c>
    </row>
    <row r="5437" spans="1:12" x14ac:dyDescent="0.25">
      <c r="A5437" t="str">
        <f>"515329053"</f>
        <v>515329053</v>
      </c>
      <c r="B5437" t="str">
        <f t="shared" si="280"/>
        <v>89301000</v>
      </c>
      <c r="C5437" s="1">
        <v>44218</v>
      </c>
      <c r="D5437" s="1">
        <v>44220</v>
      </c>
      <c r="E5437">
        <v>1</v>
      </c>
      <c r="F5437" t="s">
        <v>1679</v>
      </c>
      <c r="G5437" t="str">
        <f>"11-M06-03"</f>
        <v>11-M06-03</v>
      </c>
      <c r="H5437">
        <v>0.61519999999999997</v>
      </c>
      <c r="I5437" t="s">
        <v>4002</v>
      </c>
      <c r="J5437" t="s">
        <v>17</v>
      </c>
      <c r="K5437" t="str">
        <f>"7F6"</f>
        <v>7F6</v>
      </c>
      <c r="L5437" t="s">
        <v>15</v>
      </c>
    </row>
    <row r="5438" spans="1:12" x14ac:dyDescent="0.25">
      <c r="A5438" t="str">
        <f>"515329129"</f>
        <v>515329129</v>
      </c>
      <c r="B5438" t="str">
        <f t="shared" si="280"/>
        <v>89301000</v>
      </c>
      <c r="C5438" s="1">
        <v>44243</v>
      </c>
      <c r="D5438" s="1">
        <v>44246</v>
      </c>
      <c r="E5438">
        <v>1</v>
      </c>
      <c r="F5438" t="s">
        <v>1558</v>
      </c>
      <c r="G5438" t="str">
        <f>"05-D01-04"</f>
        <v>05-D01-04</v>
      </c>
      <c r="H5438">
        <v>2.0049000000000001</v>
      </c>
      <c r="I5438" t="s">
        <v>4003</v>
      </c>
      <c r="J5438" t="s">
        <v>14</v>
      </c>
      <c r="K5438" t="str">
        <f>"1F1"</f>
        <v>1F1</v>
      </c>
      <c r="L5438" t="s">
        <v>15</v>
      </c>
    </row>
    <row r="5439" spans="1:12" x14ac:dyDescent="0.25">
      <c r="A5439" t="str">
        <f>"515329129"</f>
        <v>515329129</v>
      </c>
      <c r="B5439" t="str">
        <f t="shared" si="280"/>
        <v>89301000</v>
      </c>
      <c r="C5439" s="1">
        <v>44258</v>
      </c>
      <c r="D5439" s="1">
        <v>44274</v>
      </c>
      <c r="E5439">
        <v>1</v>
      </c>
      <c r="F5439" t="s">
        <v>1813</v>
      </c>
      <c r="G5439" t="str">
        <f>"05-M01-01"</f>
        <v>05-M01-01</v>
      </c>
      <c r="H5439">
        <v>15.029299999999999</v>
      </c>
      <c r="I5439" t="s">
        <v>4004</v>
      </c>
      <c r="J5439" t="s">
        <v>17</v>
      </c>
      <c r="K5439" t="str">
        <f>"1F1"</f>
        <v>1F1</v>
      </c>
      <c r="L5439" t="s">
        <v>15</v>
      </c>
    </row>
    <row r="5440" spans="1:12" x14ac:dyDescent="0.25">
      <c r="A5440" t="str">
        <f>"515329132"</f>
        <v>515329132</v>
      </c>
      <c r="B5440" t="str">
        <f t="shared" si="280"/>
        <v>89301000</v>
      </c>
      <c r="C5440" s="1">
        <v>44168</v>
      </c>
      <c r="D5440" s="1">
        <v>44210</v>
      </c>
      <c r="E5440">
        <v>4</v>
      </c>
      <c r="F5440" t="s">
        <v>625</v>
      </c>
      <c r="G5440" t="str">
        <f>"04-M01-04"</f>
        <v>04-M01-04</v>
      </c>
      <c r="H5440">
        <v>14.0237</v>
      </c>
      <c r="I5440" t="s">
        <v>4005</v>
      </c>
      <c r="J5440" t="s">
        <v>14</v>
      </c>
      <c r="K5440" t="str">
        <f>"2F5"</f>
        <v>2F5</v>
      </c>
      <c r="L5440" t="s">
        <v>15</v>
      </c>
    </row>
    <row r="5441" spans="1:12" x14ac:dyDescent="0.25">
      <c r="A5441" t="str">
        <f>"515329132"</f>
        <v>515329132</v>
      </c>
      <c r="B5441" t="str">
        <f t="shared" si="280"/>
        <v>89301000</v>
      </c>
      <c r="C5441" s="1">
        <v>44355</v>
      </c>
      <c r="D5441" s="1">
        <v>44357</v>
      </c>
      <c r="E5441">
        <v>1</v>
      </c>
      <c r="F5441" t="s">
        <v>2623</v>
      </c>
      <c r="G5441" t="str">
        <f>"17-C05-06"</f>
        <v>17-C05-06</v>
      </c>
      <c r="H5441">
        <v>0.50260000000000005</v>
      </c>
      <c r="I5441" t="s">
        <v>4006</v>
      </c>
      <c r="J5441" t="s">
        <v>14</v>
      </c>
      <c r="K5441" t="str">
        <f>"2F2"</f>
        <v>2F2</v>
      </c>
      <c r="L5441" t="s">
        <v>15</v>
      </c>
    </row>
    <row r="5442" spans="1:12" x14ac:dyDescent="0.25">
      <c r="A5442" t="str">
        <f>"515402401"</f>
        <v>515402401</v>
      </c>
      <c r="B5442" t="str">
        <f t="shared" si="280"/>
        <v>89301000</v>
      </c>
      <c r="C5442" s="1">
        <v>44194</v>
      </c>
      <c r="D5442" s="1">
        <v>44204</v>
      </c>
      <c r="E5442">
        <v>1</v>
      </c>
      <c r="F5442" t="s">
        <v>1746</v>
      </c>
      <c r="G5442" t="str">
        <f>"08-K05-00"</f>
        <v>08-K05-00</v>
      </c>
      <c r="H5442">
        <v>0.99219999999999997</v>
      </c>
      <c r="I5442" t="s">
        <v>4007</v>
      </c>
      <c r="J5442" t="s">
        <v>14</v>
      </c>
      <c r="K5442" t="str">
        <f>"2F9"</f>
        <v>2F9</v>
      </c>
      <c r="L5442" t="s">
        <v>15</v>
      </c>
    </row>
    <row r="5443" spans="1:12" x14ac:dyDescent="0.25">
      <c r="A5443" t="str">
        <f>"515402401"</f>
        <v>515402401</v>
      </c>
      <c r="B5443" t="str">
        <f t="shared" si="280"/>
        <v>89301000</v>
      </c>
      <c r="C5443" s="1">
        <v>44383</v>
      </c>
      <c r="D5443" s="1">
        <v>44393</v>
      </c>
      <c r="E5443">
        <v>1</v>
      </c>
      <c r="F5443" t="s">
        <v>2133</v>
      </c>
      <c r="G5443" t="str">
        <f>"04-K06-03"</f>
        <v>04-K06-03</v>
      </c>
      <c r="H5443">
        <v>0.66259999999999997</v>
      </c>
      <c r="I5443" t="s">
        <v>4008</v>
      </c>
      <c r="J5443" t="s">
        <v>14</v>
      </c>
      <c r="K5443" t="str">
        <f>"2F5"</f>
        <v>2F5</v>
      </c>
      <c r="L5443" t="s">
        <v>15</v>
      </c>
    </row>
    <row r="5444" spans="1:12" x14ac:dyDescent="0.25">
      <c r="A5444" t="str">
        <f>"515402401"</f>
        <v>515402401</v>
      </c>
      <c r="B5444" t="str">
        <f t="shared" si="280"/>
        <v>89301000</v>
      </c>
      <c r="C5444" s="1">
        <v>44413</v>
      </c>
      <c r="D5444" s="1">
        <v>44417</v>
      </c>
      <c r="E5444">
        <v>1</v>
      </c>
      <c r="F5444" t="s">
        <v>2133</v>
      </c>
      <c r="G5444" t="str">
        <f>"04-K06-03"</f>
        <v>04-K06-03</v>
      </c>
      <c r="H5444">
        <v>0.66259999999999997</v>
      </c>
      <c r="I5444" t="s">
        <v>4008</v>
      </c>
      <c r="J5444" t="s">
        <v>14</v>
      </c>
      <c r="K5444" t="str">
        <f>"2F5"</f>
        <v>2F5</v>
      </c>
      <c r="L5444" t="s">
        <v>15</v>
      </c>
    </row>
    <row r="5445" spans="1:12" x14ac:dyDescent="0.25">
      <c r="A5445" t="str">
        <f>"515410097"</f>
        <v>515410097</v>
      </c>
      <c r="B5445" t="str">
        <f t="shared" si="280"/>
        <v>89301000</v>
      </c>
      <c r="C5445" s="1">
        <v>44431</v>
      </c>
      <c r="D5445" s="1">
        <v>44434</v>
      </c>
      <c r="E5445">
        <v>1</v>
      </c>
      <c r="F5445" t="s">
        <v>607</v>
      </c>
      <c r="G5445" t="str">
        <f>"11-K03-01"</f>
        <v>11-K03-01</v>
      </c>
      <c r="H5445">
        <v>1.2428999999999999</v>
      </c>
      <c r="I5445" t="s">
        <v>4009</v>
      </c>
      <c r="J5445" t="s">
        <v>14</v>
      </c>
      <c r="K5445" t="str">
        <f>"1F1"</f>
        <v>1F1</v>
      </c>
      <c r="L5445" t="s">
        <v>15</v>
      </c>
    </row>
    <row r="5446" spans="1:12" x14ac:dyDescent="0.25">
      <c r="A5446" t="str">
        <f>"515410097"</f>
        <v>515410097</v>
      </c>
      <c r="B5446" t="str">
        <f t="shared" si="280"/>
        <v>89301000</v>
      </c>
      <c r="C5446" s="1">
        <v>44447</v>
      </c>
      <c r="D5446" s="1">
        <v>44460</v>
      </c>
      <c r="E5446">
        <v>1</v>
      </c>
      <c r="F5446" t="s">
        <v>3467</v>
      </c>
      <c r="G5446" t="str">
        <f>"13-I11-01"</f>
        <v>13-I11-01</v>
      </c>
      <c r="H5446">
        <v>3.0131999999999999</v>
      </c>
      <c r="I5446" t="s">
        <v>4010</v>
      </c>
      <c r="J5446" t="s">
        <v>24</v>
      </c>
      <c r="K5446" t="str">
        <f>"6F3"</f>
        <v>6F3</v>
      </c>
      <c r="L5446" t="s">
        <v>15</v>
      </c>
    </row>
    <row r="5447" spans="1:12" x14ac:dyDescent="0.25">
      <c r="A5447" t="str">
        <f>"515410097"</f>
        <v>515410097</v>
      </c>
      <c r="B5447" t="str">
        <f t="shared" si="280"/>
        <v>89301000</v>
      </c>
      <c r="C5447" s="1">
        <v>44540</v>
      </c>
      <c r="D5447" s="1">
        <v>44552</v>
      </c>
      <c r="E5447">
        <v>1</v>
      </c>
      <c r="F5447" t="s">
        <v>448</v>
      </c>
      <c r="G5447" t="str">
        <f>"11-K01-01"</f>
        <v>11-K01-01</v>
      </c>
      <c r="H5447">
        <v>1.2689999999999999</v>
      </c>
      <c r="I5447" t="s">
        <v>4011</v>
      </c>
      <c r="J5447" t="s">
        <v>14</v>
      </c>
      <c r="K5447" t="str">
        <f>"1F6"</f>
        <v>1F6</v>
      </c>
      <c r="L5447" t="s">
        <v>15</v>
      </c>
    </row>
    <row r="5448" spans="1:12" x14ac:dyDescent="0.25">
      <c r="A5448" t="str">
        <f>"515410097"</f>
        <v>515410097</v>
      </c>
      <c r="B5448" t="str">
        <f t="shared" si="280"/>
        <v>89301000</v>
      </c>
      <c r="C5448" s="1">
        <v>44483</v>
      </c>
      <c r="D5448" s="1">
        <v>44489</v>
      </c>
      <c r="E5448">
        <v>1</v>
      </c>
      <c r="F5448" t="s">
        <v>1928</v>
      </c>
      <c r="G5448" t="str">
        <f>"11-K03-02"</f>
        <v>11-K03-02</v>
      </c>
      <c r="H5448">
        <v>0.6008</v>
      </c>
      <c r="I5448" t="s">
        <v>4012</v>
      </c>
      <c r="J5448" t="s">
        <v>14</v>
      </c>
      <c r="K5448" t="str">
        <f>"1F1"</f>
        <v>1F1</v>
      </c>
      <c r="L5448" t="s">
        <v>15</v>
      </c>
    </row>
    <row r="5449" spans="1:12" x14ac:dyDescent="0.25">
      <c r="A5449" t="str">
        <f>"515420053"</f>
        <v>515420053</v>
      </c>
      <c r="B5449" t="str">
        <f t="shared" ref="B5449:B5512" si="282">"89301000"</f>
        <v>89301000</v>
      </c>
      <c r="C5449" s="1">
        <v>44295</v>
      </c>
      <c r="D5449" s="1">
        <v>44300</v>
      </c>
      <c r="E5449">
        <v>1</v>
      </c>
      <c r="F5449" t="s">
        <v>217</v>
      </c>
      <c r="G5449" t="str">
        <f>"04-K02-04"</f>
        <v>04-K02-04</v>
      </c>
      <c r="H5449">
        <v>0.82469999999999999</v>
      </c>
      <c r="I5449" t="s">
        <v>4013</v>
      </c>
      <c r="J5449" t="s">
        <v>14</v>
      </c>
      <c r="K5449" t="str">
        <f>"1F1"</f>
        <v>1F1</v>
      </c>
      <c r="L5449" t="s">
        <v>15</v>
      </c>
    </row>
    <row r="5450" spans="1:12" x14ac:dyDescent="0.25">
      <c r="A5450" t="str">
        <f>"515425031"</f>
        <v>515425031</v>
      </c>
      <c r="B5450" t="str">
        <f t="shared" si="282"/>
        <v>89301000</v>
      </c>
      <c r="C5450" s="1">
        <v>44315</v>
      </c>
      <c r="D5450" s="1">
        <v>44321</v>
      </c>
      <c r="E5450">
        <v>1</v>
      </c>
      <c r="F5450" t="s">
        <v>2026</v>
      </c>
      <c r="G5450" t="str">
        <f>"08-K08-00"</f>
        <v>08-K08-00</v>
      </c>
      <c r="H5450">
        <v>0.51670000000000005</v>
      </c>
      <c r="I5450" t="s">
        <v>4014</v>
      </c>
      <c r="J5450" t="s">
        <v>14</v>
      </c>
      <c r="K5450" t="str">
        <f>"2F9"</f>
        <v>2F9</v>
      </c>
      <c r="L5450" t="s">
        <v>15</v>
      </c>
    </row>
    <row r="5451" spans="1:12" x14ac:dyDescent="0.25">
      <c r="A5451" t="str">
        <f>"515425050"</f>
        <v>515425050</v>
      </c>
      <c r="B5451" t="str">
        <f t="shared" si="282"/>
        <v>89301000</v>
      </c>
      <c r="C5451" s="1">
        <v>44447</v>
      </c>
      <c r="D5451" s="1">
        <v>44448</v>
      </c>
      <c r="E5451">
        <v>1</v>
      </c>
      <c r="F5451" t="s">
        <v>4015</v>
      </c>
      <c r="G5451" t="str">
        <f>"16-K04-02"</f>
        <v>16-K04-02</v>
      </c>
      <c r="H5451">
        <v>1.1209</v>
      </c>
      <c r="I5451" t="s">
        <v>4016</v>
      </c>
      <c r="J5451" t="s">
        <v>14</v>
      </c>
      <c r="K5451" t="str">
        <f>"2F2"</f>
        <v>2F2</v>
      </c>
      <c r="L5451" t="s">
        <v>15</v>
      </c>
    </row>
    <row r="5452" spans="1:12" x14ac:dyDescent="0.25">
      <c r="A5452" t="str">
        <f>"515502046"</f>
        <v>515502046</v>
      </c>
      <c r="B5452" t="str">
        <f t="shared" si="282"/>
        <v>89301000</v>
      </c>
      <c r="C5452" s="1">
        <v>44546</v>
      </c>
      <c r="D5452" s="1">
        <v>44547</v>
      </c>
      <c r="E5452">
        <v>1</v>
      </c>
      <c r="F5452" t="s">
        <v>2049</v>
      </c>
      <c r="G5452" t="str">
        <f>"06-M01-02"</f>
        <v>06-M01-02</v>
      </c>
      <c r="H5452">
        <v>1.2382</v>
      </c>
      <c r="I5452" t="s">
        <v>4017</v>
      </c>
      <c r="J5452" t="s">
        <v>14</v>
      </c>
      <c r="K5452" t="str">
        <f>"1F1"</f>
        <v>1F1</v>
      </c>
      <c r="L5452" t="s">
        <v>15</v>
      </c>
    </row>
    <row r="5453" spans="1:12" x14ac:dyDescent="0.25">
      <c r="A5453" t="str">
        <f>"515508009"</f>
        <v>515508009</v>
      </c>
      <c r="B5453" t="str">
        <f t="shared" si="282"/>
        <v>89301000</v>
      </c>
      <c r="C5453" s="1">
        <v>44480</v>
      </c>
      <c r="D5453" s="1">
        <v>44481</v>
      </c>
      <c r="E5453">
        <v>1</v>
      </c>
      <c r="F5453" t="s">
        <v>1553</v>
      </c>
      <c r="G5453" t="str">
        <f>"04-K05-03"</f>
        <v>04-K05-03</v>
      </c>
      <c r="H5453">
        <v>0.74980000000000002</v>
      </c>
      <c r="I5453" t="s">
        <v>4018</v>
      </c>
      <c r="J5453" t="s">
        <v>14</v>
      </c>
      <c r="K5453" t="str">
        <f>"1F1"</f>
        <v>1F1</v>
      </c>
      <c r="L5453" t="s">
        <v>15</v>
      </c>
    </row>
    <row r="5454" spans="1:12" x14ac:dyDescent="0.25">
      <c r="A5454" t="str">
        <f>"515509109"</f>
        <v>515509109</v>
      </c>
      <c r="B5454" t="str">
        <f t="shared" si="282"/>
        <v>89301000</v>
      </c>
      <c r="C5454" s="1">
        <v>44321</v>
      </c>
      <c r="D5454" s="1">
        <v>44327</v>
      </c>
      <c r="E5454">
        <v>1</v>
      </c>
      <c r="F5454" t="s">
        <v>2706</v>
      </c>
      <c r="G5454" t="str">
        <f>"09-K01-02"</f>
        <v>09-K01-02</v>
      </c>
      <c r="H5454">
        <v>1.0527</v>
      </c>
      <c r="I5454" t="s">
        <v>4019</v>
      </c>
      <c r="J5454" t="s">
        <v>14</v>
      </c>
      <c r="K5454" t="str">
        <f>"4F4"</f>
        <v>4F4</v>
      </c>
      <c r="L5454" t="s">
        <v>15</v>
      </c>
    </row>
    <row r="5455" spans="1:12" x14ac:dyDescent="0.25">
      <c r="A5455" t="str">
        <f>"515514282"</f>
        <v>515514282</v>
      </c>
      <c r="B5455" t="str">
        <f t="shared" si="282"/>
        <v>89301000</v>
      </c>
      <c r="C5455" s="1">
        <v>44193</v>
      </c>
      <c r="D5455" s="1">
        <v>44209</v>
      </c>
      <c r="E5455">
        <v>8</v>
      </c>
      <c r="F5455" t="s">
        <v>217</v>
      </c>
      <c r="G5455" t="str">
        <f>"00-M02-04"</f>
        <v>00-M02-04</v>
      </c>
      <c r="H5455">
        <v>12.071199999999999</v>
      </c>
      <c r="I5455" t="s">
        <v>4020</v>
      </c>
      <c r="J5455" t="s">
        <v>14</v>
      </c>
      <c r="K5455" t="str">
        <f>"7T8"</f>
        <v>7T8</v>
      </c>
      <c r="L5455" t="s">
        <v>15</v>
      </c>
    </row>
    <row r="5456" spans="1:12" x14ac:dyDescent="0.25">
      <c r="A5456" t="str">
        <f>"515520010"</f>
        <v>515520010</v>
      </c>
      <c r="B5456" t="str">
        <f t="shared" si="282"/>
        <v>89301000</v>
      </c>
      <c r="C5456" s="1">
        <v>44251</v>
      </c>
      <c r="D5456" s="1">
        <v>44259</v>
      </c>
      <c r="E5456">
        <v>1</v>
      </c>
      <c r="F5456" t="s">
        <v>588</v>
      </c>
      <c r="G5456" t="str">
        <f>"07-K02-03"</f>
        <v>07-K02-03</v>
      </c>
      <c r="H5456">
        <v>0.7742</v>
      </c>
      <c r="I5456" t="s">
        <v>4021</v>
      </c>
      <c r="J5456" t="s">
        <v>14</v>
      </c>
      <c r="K5456" t="str">
        <f>"1F5"</f>
        <v>1F5</v>
      </c>
      <c r="L5456" t="s">
        <v>15</v>
      </c>
    </row>
    <row r="5457" spans="1:12" x14ac:dyDescent="0.25">
      <c r="A5457" t="str">
        <f>"515520010"</f>
        <v>515520010</v>
      </c>
      <c r="B5457" t="str">
        <f t="shared" si="282"/>
        <v>89301000</v>
      </c>
      <c r="C5457" s="1">
        <v>44510</v>
      </c>
      <c r="D5457" s="1">
        <v>44516</v>
      </c>
      <c r="E5457">
        <v>1</v>
      </c>
      <c r="F5457" t="s">
        <v>588</v>
      </c>
      <c r="G5457" t="str">
        <f>"07-K02-03"</f>
        <v>07-K02-03</v>
      </c>
      <c r="H5457">
        <v>0.7742</v>
      </c>
      <c r="I5457" t="s">
        <v>4022</v>
      </c>
      <c r="J5457" t="s">
        <v>14</v>
      </c>
      <c r="K5457" t="str">
        <f>"1F1"</f>
        <v>1F1</v>
      </c>
      <c r="L5457" t="s">
        <v>15</v>
      </c>
    </row>
    <row r="5458" spans="1:12" x14ac:dyDescent="0.25">
      <c r="A5458" t="str">
        <f>"515529063"</f>
        <v>515529063</v>
      </c>
      <c r="B5458" t="str">
        <f t="shared" si="282"/>
        <v>89301000</v>
      </c>
      <c r="C5458" s="1">
        <v>44543</v>
      </c>
      <c r="D5458" s="1">
        <v>44546</v>
      </c>
      <c r="E5458">
        <v>1</v>
      </c>
      <c r="F5458" t="s">
        <v>266</v>
      </c>
      <c r="G5458" t="str">
        <f>"13-I14-03"</f>
        <v>13-I14-03</v>
      </c>
      <c r="H5458">
        <v>0.83199999999999996</v>
      </c>
      <c r="J5458" t="s">
        <v>24</v>
      </c>
      <c r="K5458" t="str">
        <f>"6F3"</f>
        <v>6F3</v>
      </c>
      <c r="L5458" t="s">
        <v>15</v>
      </c>
    </row>
    <row r="5459" spans="1:12" x14ac:dyDescent="0.25">
      <c r="A5459" t="str">
        <f>"515602171"</f>
        <v>515602171</v>
      </c>
      <c r="B5459" t="str">
        <f t="shared" si="282"/>
        <v>89301000</v>
      </c>
      <c r="C5459" s="1">
        <v>44460</v>
      </c>
      <c r="D5459" s="1">
        <v>44462</v>
      </c>
      <c r="E5459">
        <v>1</v>
      </c>
      <c r="F5459" t="s">
        <v>2576</v>
      </c>
      <c r="G5459" t="str">
        <f>"11-I14-02"</f>
        <v>11-I14-02</v>
      </c>
      <c r="H5459">
        <v>0.63060000000000005</v>
      </c>
      <c r="J5459" t="s">
        <v>24</v>
      </c>
      <c r="K5459" t="str">
        <f>"6F3"</f>
        <v>6F3</v>
      </c>
      <c r="L5459" t="s">
        <v>15</v>
      </c>
    </row>
    <row r="5460" spans="1:12" x14ac:dyDescent="0.25">
      <c r="A5460" t="str">
        <f>"515604342"</f>
        <v>515604342</v>
      </c>
      <c r="B5460" t="str">
        <f t="shared" si="282"/>
        <v>89301000</v>
      </c>
      <c r="C5460" s="1">
        <v>44306</v>
      </c>
      <c r="D5460" s="1">
        <v>44313</v>
      </c>
      <c r="E5460">
        <v>1</v>
      </c>
      <c r="F5460" t="s">
        <v>4023</v>
      </c>
      <c r="G5460" t="str">
        <f>"01-K14-00"</f>
        <v>01-K14-00</v>
      </c>
      <c r="H5460">
        <v>1.3210999999999999</v>
      </c>
      <c r="I5460" t="s">
        <v>4024</v>
      </c>
      <c r="J5460" t="s">
        <v>14</v>
      </c>
      <c r="K5460" t="str">
        <f>"6F1"</f>
        <v>6F1</v>
      </c>
      <c r="L5460" t="s">
        <v>15</v>
      </c>
    </row>
    <row r="5461" spans="1:12" x14ac:dyDescent="0.25">
      <c r="A5461" t="str">
        <f>"515604342"</f>
        <v>515604342</v>
      </c>
      <c r="B5461" t="str">
        <f t="shared" si="282"/>
        <v>89301000</v>
      </c>
      <c r="C5461" s="1">
        <v>44278</v>
      </c>
      <c r="D5461" s="1">
        <v>44279</v>
      </c>
      <c r="E5461">
        <v>1</v>
      </c>
      <c r="F5461" t="s">
        <v>4025</v>
      </c>
      <c r="G5461" t="str">
        <f>"08-I21-01"</f>
        <v>08-I21-01</v>
      </c>
      <c r="H5461">
        <v>1.4300999999999999</v>
      </c>
      <c r="I5461" t="s">
        <v>4026</v>
      </c>
      <c r="J5461" t="s">
        <v>17</v>
      </c>
      <c r="K5461" t="str">
        <f>"6F1"</f>
        <v>6F1</v>
      </c>
      <c r="L5461" t="s">
        <v>15</v>
      </c>
    </row>
    <row r="5462" spans="1:12" x14ac:dyDescent="0.25">
      <c r="A5462" t="str">
        <f>"515605087"</f>
        <v>515605087</v>
      </c>
      <c r="B5462" t="str">
        <f t="shared" si="282"/>
        <v>89301000</v>
      </c>
      <c r="C5462" s="1">
        <v>44384</v>
      </c>
      <c r="D5462" s="1">
        <v>44390</v>
      </c>
      <c r="E5462">
        <v>4</v>
      </c>
      <c r="F5462" t="s">
        <v>1968</v>
      </c>
      <c r="G5462" t="str">
        <f>"08-I05-04"</f>
        <v>08-I05-04</v>
      </c>
      <c r="H5462">
        <v>2.4581</v>
      </c>
      <c r="I5462" t="s">
        <v>4027</v>
      </c>
      <c r="J5462" t="s">
        <v>17</v>
      </c>
      <c r="K5462" t="str">
        <f>"6F6"</f>
        <v>6F6</v>
      </c>
      <c r="L5462" t="s">
        <v>15</v>
      </c>
    </row>
    <row r="5463" spans="1:12" x14ac:dyDescent="0.25">
      <c r="A5463" t="str">
        <f>"515606005"</f>
        <v>515606005</v>
      </c>
      <c r="B5463" t="str">
        <f t="shared" si="282"/>
        <v>89301000</v>
      </c>
      <c r="C5463" s="1">
        <v>44417</v>
      </c>
      <c r="D5463" s="1">
        <v>44421</v>
      </c>
      <c r="E5463">
        <v>1</v>
      </c>
      <c r="F5463" t="s">
        <v>1551</v>
      </c>
      <c r="G5463" t="str">
        <f>"09-I06-04"</f>
        <v>09-I06-04</v>
      </c>
      <c r="H5463">
        <v>0.98829999999999996</v>
      </c>
      <c r="I5463" t="s">
        <v>4028</v>
      </c>
      <c r="J5463" t="s">
        <v>17</v>
      </c>
      <c r="K5463" t="str">
        <f>"5F1"</f>
        <v>5F1</v>
      </c>
      <c r="L5463" t="s">
        <v>15</v>
      </c>
    </row>
    <row r="5464" spans="1:12" x14ac:dyDescent="0.25">
      <c r="A5464" t="str">
        <f>"515612177"</f>
        <v>515612177</v>
      </c>
      <c r="B5464" t="str">
        <f t="shared" si="282"/>
        <v>89301000</v>
      </c>
      <c r="C5464" s="1">
        <v>44532</v>
      </c>
      <c r="D5464" s="1">
        <v>44538</v>
      </c>
      <c r="E5464">
        <v>1</v>
      </c>
      <c r="F5464" t="s">
        <v>659</v>
      </c>
      <c r="G5464" t="str">
        <f>"04-K03-02"</f>
        <v>04-K03-02</v>
      </c>
      <c r="H5464">
        <v>0.82599999999999996</v>
      </c>
      <c r="I5464" t="s">
        <v>4029</v>
      </c>
      <c r="J5464" t="s">
        <v>14</v>
      </c>
      <c r="K5464" t="str">
        <f>"2F5"</f>
        <v>2F5</v>
      </c>
      <c r="L5464" t="s">
        <v>15</v>
      </c>
    </row>
    <row r="5465" spans="1:12" x14ac:dyDescent="0.25">
      <c r="A5465" t="str">
        <f>"515615115"</f>
        <v>515615115</v>
      </c>
      <c r="B5465" t="str">
        <f t="shared" si="282"/>
        <v>89301000</v>
      </c>
      <c r="C5465" s="1">
        <v>44221</v>
      </c>
      <c r="D5465" s="1">
        <v>44229</v>
      </c>
      <c r="E5465">
        <v>1</v>
      </c>
      <c r="F5465" t="s">
        <v>2513</v>
      </c>
      <c r="G5465" t="str">
        <f>"06-I07-05"</f>
        <v>06-I07-05</v>
      </c>
      <c r="H5465">
        <v>2.8466999999999998</v>
      </c>
      <c r="J5465" t="s">
        <v>17</v>
      </c>
      <c r="K5465" t="str">
        <f>"5F1"</f>
        <v>5F1</v>
      </c>
      <c r="L5465" t="s">
        <v>15</v>
      </c>
    </row>
    <row r="5466" spans="1:12" x14ac:dyDescent="0.25">
      <c r="A5466" t="str">
        <f>"515617012"</f>
        <v>515617012</v>
      </c>
      <c r="B5466" t="str">
        <f t="shared" si="282"/>
        <v>89301000</v>
      </c>
      <c r="C5466" s="1">
        <v>44553</v>
      </c>
      <c r="D5466" s="1">
        <v>44556</v>
      </c>
      <c r="E5466">
        <v>1</v>
      </c>
      <c r="F5466" t="s">
        <v>2232</v>
      </c>
      <c r="G5466" t="str">
        <f>"11-K07-02"</f>
        <v>11-K07-02</v>
      </c>
      <c r="H5466">
        <v>0.4869</v>
      </c>
      <c r="I5466" t="s">
        <v>4030</v>
      </c>
      <c r="J5466" t="s">
        <v>14</v>
      </c>
      <c r="K5466" t="str">
        <f>"4F2"</f>
        <v>4F2</v>
      </c>
      <c r="L5466" t="s">
        <v>15</v>
      </c>
    </row>
    <row r="5467" spans="1:12" x14ac:dyDescent="0.25">
      <c r="A5467" t="str">
        <f>"515617012"</f>
        <v>515617012</v>
      </c>
      <c r="B5467" t="str">
        <f t="shared" si="282"/>
        <v>89301000</v>
      </c>
      <c r="C5467" s="1">
        <v>44400</v>
      </c>
      <c r="D5467" s="1">
        <v>44401</v>
      </c>
      <c r="E5467">
        <v>1</v>
      </c>
      <c r="F5467" t="s">
        <v>2232</v>
      </c>
      <c r="G5467" t="str">
        <f>"11-K07-02"</f>
        <v>11-K07-02</v>
      </c>
      <c r="H5467">
        <v>0.4869</v>
      </c>
      <c r="I5467" t="s">
        <v>1586</v>
      </c>
      <c r="J5467" t="s">
        <v>14</v>
      </c>
      <c r="K5467" t="str">
        <f>"7F6"</f>
        <v>7F6</v>
      </c>
      <c r="L5467" t="s">
        <v>15</v>
      </c>
    </row>
    <row r="5468" spans="1:12" x14ac:dyDescent="0.25">
      <c r="A5468" t="str">
        <f>"515617012"</f>
        <v>515617012</v>
      </c>
      <c r="B5468" t="str">
        <f t="shared" si="282"/>
        <v>89301000</v>
      </c>
      <c r="C5468" s="1">
        <v>44487</v>
      </c>
      <c r="D5468" s="1">
        <v>44496</v>
      </c>
      <c r="E5468">
        <v>1</v>
      </c>
      <c r="F5468" t="s">
        <v>2232</v>
      </c>
      <c r="G5468" t="str">
        <f>"11-K07-01"</f>
        <v>11-K07-01</v>
      </c>
      <c r="H5468">
        <v>1.0079</v>
      </c>
      <c r="I5468" t="s">
        <v>4031</v>
      </c>
      <c r="J5468" t="s">
        <v>14</v>
      </c>
      <c r="K5468" t="str">
        <f>"4F2"</f>
        <v>4F2</v>
      </c>
      <c r="L5468" t="s">
        <v>15</v>
      </c>
    </row>
    <row r="5469" spans="1:12" x14ac:dyDescent="0.25">
      <c r="A5469" t="str">
        <f>"515621291"</f>
        <v>515621291</v>
      </c>
      <c r="B5469" t="str">
        <f t="shared" si="282"/>
        <v>89301000</v>
      </c>
      <c r="C5469" s="1">
        <v>44517</v>
      </c>
      <c r="D5469" s="1">
        <v>44519</v>
      </c>
      <c r="E5469">
        <v>5</v>
      </c>
      <c r="F5469" t="s">
        <v>316</v>
      </c>
      <c r="G5469" t="str">
        <f>"01-K16-01"</f>
        <v>01-K16-01</v>
      </c>
      <c r="H5469">
        <v>2.1194999999999999</v>
      </c>
      <c r="I5469" t="s">
        <v>4032</v>
      </c>
      <c r="J5469" t="s">
        <v>14</v>
      </c>
      <c r="K5469" t="str">
        <f>"5T6"</f>
        <v>5T6</v>
      </c>
      <c r="L5469" t="s">
        <v>15</v>
      </c>
    </row>
    <row r="5470" spans="1:12" x14ac:dyDescent="0.25">
      <c r="A5470" t="str">
        <f>"515623078"</f>
        <v>515623078</v>
      </c>
      <c r="B5470" t="str">
        <f t="shared" si="282"/>
        <v>89301000</v>
      </c>
      <c r="C5470" s="1">
        <v>44484</v>
      </c>
      <c r="D5470" s="1">
        <v>44524</v>
      </c>
      <c r="E5470">
        <v>1</v>
      </c>
      <c r="F5470" t="s">
        <v>2910</v>
      </c>
      <c r="G5470" t="str">
        <f>"06-R01-07"</f>
        <v>06-R01-07</v>
      </c>
      <c r="H5470">
        <v>3.1583000000000001</v>
      </c>
      <c r="I5470" t="s">
        <v>4033</v>
      </c>
      <c r="J5470" t="s">
        <v>14</v>
      </c>
      <c r="K5470" t="str">
        <f>"4F2"</f>
        <v>4F2</v>
      </c>
      <c r="L5470" t="s">
        <v>15</v>
      </c>
    </row>
    <row r="5471" spans="1:12" x14ac:dyDescent="0.25">
      <c r="A5471" t="str">
        <f t="shared" ref="A5471:A5476" si="283">"515625049"</f>
        <v>515625049</v>
      </c>
      <c r="B5471" t="str">
        <f t="shared" si="282"/>
        <v>89301000</v>
      </c>
      <c r="C5471" s="1">
        <v>44434</v>
      </c>
      <c r="D5471" s="1">
        <v>44435</v>
      </c>
      <c r="E5471">
        <v>5</v>
      </c>
      <c r="F5471" t="s">
        <v>3042</v>
      </c>
      <c r="G5471" t="str">
        <f>"01-I07-04"</f>
        <v>01-I07-04</v>
      </c>
      <c r="H5471">
        <v>1.5457000000000001</v>
      </c>
      <c r="I5471" t="s">
        <v>489</v>
      </c>
      <c r="J5471" t="s">
        <v>17</v>
      </c>
      <c r="K5471" t="str">
        <f>"5F6"</f>
        <v>5F6</v>
      </c>
      <c r="L5471" t="s">
        <v>15</v>
      </c>
    </row>
    <row r="5472" spans="1:12" x14ac:dyDescent="0.25">
      <c r="A5472" t="str">
        <f t="shared" si="283"/>
        <v>515625049</v>
      </c>
      <c r="B5472" t="str">
        <f t="shared" si="282"/>
        <v>89301000</v>
      </c>
      <c r="C5472" s="1">
        <v>44447</v>
      </c>
      <c r="D5472" s="1">
        <v>44464</v>
      </c>
      <c r="E5472">
        <v>1</v>
      </c>
      <c r="F5472" t="s">
        <v>146</v>
      </c>
      <c r="G5472" t="str">
        <f>"17-C05-04"</f>
        <v>17-C05-04</v>
      </c>
      <c r="H5472">
        <v>1.2958000000000001</v>
      </c>
      <c r="I5472" t="s">
        <v>4034</v>
      </c>
      <c r="J5472" t="s">
        <v>14</v>
      </c>
      <c r="K5472" t="str">
        <f>"2F2"</f>
        <v>2F2</v>
      </c>
      <c r="L5472" t="s">
        <v>15</v>
      </c>
    </row>
    <row r="5473" spans="1:12" x14ac:dyDescent="0.25">
      <c r="A5473" t="str">
        <f t="shared" si="283"/>
        <v>515625049</v>
      </c>
      <c r="B5473" t="str">
        <f t="shared" si="282"/>
        <v>89301000</v>
      </c>
      <c r="C5473" s="1">
        <v>44468</v>
      </c>
      <c r="D5473" s="1">
        <v>44475</v>
      </c>
      <c r="E5473">
        <v>1</v>
      </c>
      <c r="F5473" t="s">
        <v>146</v>
      </c>
      <c r="G5473" t="str">
        <f>"17-C05-04"</f>
        <v>17-C05-04</v>
      </c>
      <c r="H5473">
        <v>0.7712</v>
      </c>
      <c r="I5473" t="s">
        <v>4035</v>
      </c>
      <c r="J5473" t="s">
        <v>14</v>
      </c>
      <c r="K5473" t="str">
        <f>"2F2"</f>
        <v>2F2</v>
      </c>
      <c r="L5473" t="s">
        <v>15</v>
      </c>
    </row>
    <row r="5474" spans="1:12" x14ac:dyDescent="0.25">
      <c r="A5474" t="str">
        <f t="shared" si="283"/>
        <v>515625049</v>
      </c>
      <c r="B5474" t="str">
        <f t="shared" si="282"/>
        <v>89301000</v>
      </c>
      <c r="C5474" s="1">
        <v>44482</v>
      </c>
      <c r="D5474" s="1">
        <v>44491</v>
      </c>
      <c r="E5474">
        <v>1</v>
      </c>
      <c r="F5474" t="s">
        <v>2477</v>
      </c>
      <c r="G5474" t="str">
        <f>"17-C05-04"</f>
        <v>17-C05-04</v>
      </c>
      <c r="H5474">
        <v>0.7712</v>
      </c>
      <c r="I5474" t="s">
        <v>4036</v>
      </c>
      <c r="J5474" t="s">
        <v>14</v>
      </c>
      <c r="K5474" t="str">
        <f>"2F2"</f>
        <v>2F2</v>
      </c>
      <c r="L5474" t="s">
        <v>15</v>
      </c>
    </row>
    <row r="5475" spans="1:12" x14ac:dyDescent="0.25">
      <c r="A5475" t="str">
        <f t="shared" si="283"/>
        <v>515625049</v>
      </c>
      <c r="B5475" t="str">
        <f t="shared" si="282"/>
        <v>89301000</v>
      </c>
      <c r="C5475" s="1">
        <v>44503</v>
      </c>
      <c r="D5475" s="1">
        <v>44517</v>
      </c>
      <c r="E5475">
        <v>1</v>
      </c>
      <c r="F5475" t="s">
        <v>146</v>
      </c>
      <c r="G5475" t="str">
        <f>"17-C05-04"</f>
        <v>17-C05-04</v>
      </c>
      <c r="H5475">
        <v>1.071</v>
      </c>
      <c r="I5475" t="s">
        <v>4037</v>
      </c>
      <c r="J5475" t="s">
        <v>14</v>
      </c>
      <c r="K5475" t="str">
        <f>"2F2"</f>
        <v>2F2</v>
      </c>
      <c r="L5475" t="s">
        <v>15</v>
      </c>
    </row>
    <row r="5476" spans="1:12" x14ac:dyDescent="0.25">
      <c r="A5476" t="str">
        <f t="shared" si="283"/>
        <v>515625049</v>
      </c>
      <c r="B5476" t="str">
        <f t="shared" si="282"/>
        <v>89301000</v>
      </c>
      <c r="C5476" s="1">
        <v>44522</v>
      </c>
      <c r="D5476" s="1">
        <v>44530</v>
      </c>
      <c r="E5476">
        <v>1</v>
      </c>
      <c r="F5476" t="s">
        <v>146</v>
      </c>
      <c r="G5476" t="str">
        <f>"17-C05-04"</f>
        <v>17-C05-04</v>
      </c>
      <c r="H5476">
        <v>0.7712</v>
      </c>
      <c r="I5476" t="s">
        <v>4038</v>
      </c>
      <c r="J5476" t="s">
        <v>14</v>
      </c>
      <c r="K5476" t="str">
        <f>"2F2"</f>
        <v>2F2</v>
      </c>
      <c r="L5476" t="s">
        <v>15</v>
      </c>
    </row>
    <row r="5477" spans="1:12" x14ac:dyDescent="0.25">
      <c r="A5477" t="str">
        <f>"515701082"</f>
        <v>515701082</v>
      </c>
      <c r="B5477" t="str">
        <f t="shared" si="282"/>
        <v>89301000</v>
      </c>
      <c r="C5477" s="1">
        <v>44319</v>
      </c>
      <c r="D5477" s="1">
        <v>44319</v>
      </c>
      <c r="E5477">
        <v>1</v>
      </c>
      <c r="F5477" t="s">
        <v>1557</v>
      </c>
      <c r="G5477" t="str">
        <f>"05-D01-08"</f>
        <v>05-D01-08</v>
      </c>
      <c r="H5477">
        <v>0.5131</v>
      </c>
      <c r="J5477" t="s">
        <v>14</v>
      </c>
      <c r="K5477" t="str">
        <f>"1F1"</f>
        <v>1F1</v>
      </c>
      <c r="L5477" t="s">
        <v>15</v>
      </c>
    </row>
    <row r="5478" spans="1:12" x14ac:dyDescent="0.25">
      <c r="A5478" t="str">
        <f>"515701180"</f>
        <v>515701180</v>
      </c>
      <c r="B5478" t="str">
        <f t="shared" si="282"/>
        <v>89301000</v>
      </c>
      <c r="C5478" s="1">
        <v>44458</v>
      </c>
      <c r="D5478" s="1">
        <v>44474</v>
      </c>
      <c r="E5478">
        <v>1</v>
      </c>
      <c r="F5478" t="s">
        <v>538</v>
      </c>
      <c r="G5478" t="str">
        <f>"18-M01-02"</f>
        <v>18-M01-02</v>
      </c>
      <c r="H5478">
        <v>2.3319000000000001</v>
      </c>
      <c r="I5478" t="s">
        <v>4039</v>
      </c>
      <c r="J5478" t="s">
        <v>14</v>
      </c>
      <c r="K5478" t="str">
        <f>"1F1"</f>
        <v>1F1</v>
      </c>
      <c r="L5478" t="s">
        <v>15</v>
      </c>
    </row>
    <row r="5479" spans="1:12" x14ac:dyDescent="0.25">
      <c r="A5479" t="str">
        <f>"515704059"</f>
        <v>515704059</v>
      </c>
      <c r="B5479" t="str">
        <f t="shared" si="282"/>
        <v>89301000</v>
      </c>
      <c r="C5479" s="1">
        <v>44483</v>
      </c>
      <c r="D5479" s="1">
        <v>44484</v>
      </c>
      <c r="E5479">
        <v>1</v>
      </c>
      <c r="F5479" t="s">
        <v>2910</v>
      </c>
      <c r="G5479" t="str">
        <f>"06-K14-02"</f>
        <v>06-K14-02</v>
      </c>
      <c r="H5479">
        <v>0.57279999999999998</v>
      </c>
      <c r="J5479" t="s">
        <v>14</v>
      </c>
      <c r="K5479" t="str">
        <f>"5F1"</f>
        <v>5F1</v>
      </c>
      <c r="L5479" t="s">
        <v>15</v>
      </c>
    </row>
    <row r="5480" spans="1:12" x14ac:dyDescent="0.25">
      <c r="A5480" t="str">
        <f>"515707045"</f>
        <v>515707045</v>
      </c>
      <c r="B5480" t="str">
        <f t="shared" si="282"/>
        <v>89301000</v>
      </c>
      <c r="C5480" s="1">
        <v>44524</v>
      </c>
      <c r="D5480" s="1">
        <v>44529</v>
      </c>
      <c r="E5480">
        <v>1</v>
      </c>
      <c r="F5480" t="s">
        <v>1802</v>
      </c>
      <c r="G5480" t="str">
        <f>"13-I04-01"</f>
        <v>13-I04-01</v>
      </c>
      <c r="H5480">
        <v>2.6413000000000002</v>
      </c>
      <c r="J5480" t="s">
        <v>14</v>
      </c>
      <c r="K5480" t="str">
        <f>"6F3"</f>
        <v>6F3</v>
      </c>
      <c r="L5480" t="s">
        <v>15</v>
      </c>
    </row>
    <row r="5481" spans="1:12" x14ac:dyDescent="0.25">
      <c r="A5481" t="str">
        <f>"515707045"</f>
        <v>515707045</v>
      </c>
      <c r="B5481" t="str">
        <f t="shared" si="282"/>
        <v>89301000</v>
      </c>
      <c r="C5481" s="1">
        <v>44477</v>
      </c>
      <c r="D5481" s="1">
        <v>44478</v>
      </c>
      <c r="E5481">
        <v>1</v>
      </c>
      <c r="F5481" t="s">
        <v>3236</v>
      </c>
      <c r="G5481" t="str">
        <f>"13-I19-00"</f>
        <v>13-I19-00</v>
      </c>
      <c r="H5481">
        <v>0.24679999999999999</v>
      </c>
      <c r="J5481" t="s">
        <v>14</v>
      </c>
      <c r="K5481" t="str">
        <f>"6F3"</f>
        <v>6F3</v>
      </c>
      <c r="L5481" t="s">
        <v>15</v>
      </c>
    </row>
    <row r="5482" spans="1:12" x14ac:dyDescent="0.25">
      <c r="A5482" t="str">
        <f>"515710021"</f>
        <v>515710021</v>
      </c>
      <c r="B5482" t="str">
        <f t="shared" si="282"/>
        <v>89301000</v>
      </c>
      <c r="C5482" s="1">
        <v>44530</v>
      </c>
      <c r="D5482" s="1">
        <v>44536</v>
      </c>
      <c r="E5482">
        <v>1</v>
      </c>
      <c r="F5482" t="s">
        <v>1931</v>
      </c>
      <c r="G5482" t="str">
        <f>"03-K04-01"</f>
        <v>03-K04-01</v>
      </c>
      <c r="H5482">
        <v>0.46660000000000001</v>
      </c>
      <c r="I5482" t="s">
        <v>4040</v>
      </c>
      <c r="J5482" t="s">
        <v>14</v>
      </c>
      <c r="K5482" t="str">
        <f>"7F1"</f>
        <v>7F1</v>
      </c>
      <c r="L5482" t="s">
        <v>15</v>
      </c>
    </row>
    <row r="5483" spans="1:12" x14ac:dyDescent="0.25">
      <c r="A5483" t="str">
        <f>"515713017"</f>
        <v>515713017</v>
      </c>
      <c r="B5483" t="str">
        <f t="shared" si="282"/>
        <v>89301000</v>
      </c>
      <c r="C5483" s="1">
        <v>44371</v>
      </c>
      <c r="D5483" s="1">
        <v>44373</v>
      </c>
      <c r="E5483">
        <v>1</v>
      </c>
      <c r="F5483" t="s">
        <v>4041</v>
      </c>
      <c r="G5483" t="str">
        <f>"01-K18-04"</f>
        <v>01-K18-04</v>
      </c>
      <c r="H5483">
        <v>0.49890000000000001</v>
      </c>
      <c r="I5483" t="s">
        <v>4042</v>
      </c>
      <c r="J5483" t="s">
        <v>14</v>
      </c>
      <c r="K5483" t="str">
        <f>"2F9"</f>
        <v>2F9</v>
      </c>
      <c r="L5483" t="s">
        <v>15</v>
      </c>
    </row>
    <row r="5484" spans="1:12" x14ac:dyDescent="0.25">
      <c r="A5484" t="str">
        <f>"515718037"</f>
        <v>515718037</v>
      </c>
      <c r="B5484" t="str">
        <f t="shared" si="282"/>
        <v>89301000</v>
      </c>
      <c r="C5484" s="1">
        <v>44454</v>
      </c>
      <c r="D5484" s="1">
        <v>44454</v>
      </c>
      <c r="E5484">
        <v>1</v>
      </c>
      <c r="F5484" t="s">
        <v>320</v>
      </c>
      <c r="G5484" t="str">
        <f>"03-K08-00"</f>
        <v>03-K08-00</v>
      </c>
      <c r="H5484">
        <v>0.21490000000000001</v>
      </c>
      <c r="I5484" t="s">
        <v>4043</v>
      </c>
      <c r="J5484" t="s">
        <v>14</v>
      </c>
      <c r="K5484" t="str">
        <f>"6F5"</f>
        <v>6F5</v>
      </c>
      <c r="L5484" t="s">
        <v>15</v>
      </c>
    </row>
    <row r="5485" spans="1:12" x14ac:dyDescent="0.25">
      <c r="A5485" t="str">
        <f>"515725021"</f>
        <v>515725021</v>
      </c>
      <c r="B5485" t="str">
        <f t="shared" si="282"/>
        <v>89301000</v>
      </c>
      <c r="C5485" s="1">
        <v>44343</v>
      </c>
      <c r="D5485" s="1">
        <v>44351</v>
      </c>
      <c r="E5485">
        <v>1</v>
      </c>
      <c r="F5485" t="s">
        <v>2693</v>
      </c>
      <c r="G5485" t="str">
        <f>"04-I03-04"</f>
        <v>04-I03-04</v>
      </c>
      <c r="H5485">
        <v>2.0316000000000001</v>
      </c>
      <c r="I5485" t="s">
        <v>4044</v>
      </c>
      <c r="J5485" t="s">
        <v>106</v>
      </c>
      <c r="K5485" t="str">
        <f>"5F1"</f>
        <v>5F1</v>
      </c>
      <c r="L5485" t="s">
        <v>15</v>
      </c>
    </row>
    <row r="5486" spans="1:12" x14ac:dyDescent="0.25">
      <c r="A5486" t="str">
        <f>"515725021"</f>
        <v>515725021</v>
      </c>
      <c r="B5486" t="str">
        <f t="shared" si="282"/>
        <v>89301000</v>
      </c>
      <c r="C5486" s="1">
        <v>44314</v>
      </c>
      <c r="D5486" s="1">
        <v>44316</v>
      </c>
      <c r="E5486">
        <v>1</v>
      </c>
      <c r="F5486" t="s">
        <v>2355</v>
      </c>
      <c r="G5486" t="str">
        <f>"04-K09-03"</f>
        <v>04-K09-03</v>
      </c>
      <c r="H5486">
        <v>0.62749999999999995</v>
      </c>
      <c r="I5486" t="s">
        <v>4045</v>
      </c>
      <c r="J5486" t="s">
        <v>14</v>
      </c>
      <c r="K5486" t="str">
        <f>"2F5"</f>
        <v>2F5</v>
      </c>
      <c r="L5486" t="s">
        <v>15</v>
      </c>
    </row>
    <row r="5487" spans="1:12" x14ac:dyDescent="0.25">
      <c r="A5487" t="str">
        <f>"515727095"</f>
        <v>515727095</v>
      </c>
      <c r="B5487" t="str">
        <f t="shared" si="282"/>
        <v>89301000</v>
      </c>
      <c r="C5487" s="1">
        <v>44536</v>
      </c>
      <c r="D5487" s="1">
        <v>44538</v>
      </c>
      <c r="E5487">
        <v>1</v>
      </c>
      <c r="F5487" t="s">
        <v>4046</v>
      </c>
      <c r="G5487" t="str">
        <f>"03-K09-01"</f>
        <v>03-K09-01</v>
      </c>
      <c r="H5487">
        <v>0.59919999999999995</v>
      </c>
      <c r="I5487" t="s">
        <v>4047</v>
      </c>
      <c r="J5487" t="s">
        <v>14</v>
      </c>
      <c r="K5487" t="str">
        <f>"7F1"</f>
        <v>7F1</v>
      </c>
      <c r="L5487" t="s">
        <v>15</v>
      </c>
    </row>
    <row r="5488" spans="1:12" x14ac:dyDescent="0.25">
      <c r="A5488" t="str">
        <f>"515727165"</f>
        <v>515727165</v>
      </c>
      <c r="B5488" t="str">
        <f t="shared" si="282"/>
        <v>89301000</v>
      </c>
      <c r="C5488" s="1">
        <v>44389</v>
      </c>
      <c r="D5488" s="1">
        <v>44393</v>
      </c>
      <c r="E5488">
        <v>1</v>
      </c>
      <c r="F5488" t="s">
        <v>4048</v>
      </c>
      <c r="G5488" t="str">
        <f>"17-K06-00"</f>
        <v>17-K06-00</v>
      </c>
      <c r="H5488">
        <v>0.99050000000000005</v>
      </c>
      <c r="I5488" t="s">
        <v>2520</v>
      </c>
      <c r="J5488" t="s">
        <v>14</v>
      </c>
      <c r="K5488" t="str">
        <f>"4F4"</f>
        <v>4F4</v>
      </c>
      <c r="L5488" t="s">
        <v>15</v>
      </c>
    </row>
    <row r="5489" spans="1:12" x14ac:dyDescent="0.25">
      <c r="A5489" t="str">
        <f>"515727165"</f>
        <v>515727165</v>
      </c>
      <c r="B5489" t="str">
        <f t="shared" si="282"/>
        <v>89301000</v>
      </c>
      <c r="C5489" s="1">
        <v>44335</v>
      </c>
      <c r="D5489" s="1">
        <v>44341</v>
      </c>
      <c r="E5489">
        <v>1</v>
      </c>
      <c r="F5489" t="s">
        <v>2433</v>
      </c>
      <c r="G5489" t="str">
        <f>"09-K04-02"</f>
        <v>09-K04-02</v>
      </c>
      <c r="H5489">
        <v>0.68279999999999996</v>
      </c>
      <c r="I5489" t="s">
        <v>4049</v>
      </c>
      <c r="J5489" t="s">
        <v>14</v>
      </c>
      <c r="K5489" t="str">
        <f>"4F4"</f>
        <v>4F4</v>
      </c>
      <c r="L5489" t="s">
        <v>15</v>
      </c>
    </row>
    <row r="5490" spans="1:12" x14ac:dyDescent="0.25">
      <c r="A5490" t="str">
        <f>"515728082"</f>
        <v>515728082</v>
      </c>
      <c r="B5490" t="str">
        <f t="shared" si="282"/>
        <v>89301000</v>
      </c>
      <c r="C5490" s="1">
        <v>44323</v>
      </c>
      <c r="D5490" s="1">
        <v>44326</v>
      </c>
      <c r="E5490">
        <v>1</v>
      </c>
      <c r="F5490" t="s">
        <v>41</v>
      </c>
      <c r="G5490" t="str">
        <f>"01-D01-03"</f>
        <v>01-D01-03</v>
      </c>
      <c r="H5490">
        <v>0.2054</v>
      </c>
      <c r="I5490" t="s">
        <v>4050</v>
      </c>
      <c r="J5490" t="s">
        <v>14</v>
      </c>
      <c r="K5490" t="str">
        <f>"2F5"</f>
        <v>2F5</v>
      </c>
      <c r="L5490" t="s">
        <v>15</v>
      </c>
    </row>
    <row r="5491" spans="1:12" x14ac:dyDescent="0.25">
      <c r="A5491" t="str">
        <f>"515810110"</f>
        <v>515810110</v>
      </c>
      <c r="B5491" t="str">
        <f t="shared" si="282"/>
        <v>89301000</v>
      </c>
      <c r="C5491" s="1">
        <v>44395</v>
      </c>
      <c r="D5491" s="1">
        <v>44400</v>
      </c>
      <c r="E5491">
        <v>1</v>
      </c>
      <c r="F5491" t="s">
        <v>2232</v>
      </c>
      <c r="G5491" t="str">
        <f>"11-I07-01"</f>
        <v>11-I07-01</v>
      </c>
      <c r="H5491">
        <v>2.5975999999999999</v>
      </c>
      <c r="I5491" t="s">
        <v>489</v>
      </c>
      <c r="J5491" t="s">
        <v>14</v>
      </c>
      <c r="K5491" t="str">
        <f>"7F6"</f>
        <v>7F6</v>
      </c>
      <c r="L5491" t="s">
        <v>15</v>
      </c>
    </row>
    <row r="5492" spans="1:12" x14ac:dyDescent="0.25">
      <c r="A5492" t="str">
        <f>"515822030"</f>
        <v>515822030</v>
      </c>
      <c r="B5492" t="str">
        <f t="shared" si="282"/>
        <v>89301000</v>
      </c>
      <c r="C5492" s="1">
        <v>44486</v>
      </c>
      <c r="D5492" s="1">
        <v>44489</v>
      </c>
      <c r="E5492">
        <v>1</v>
      </c>
      <c r="F5492" t="s">
        <v>67</v>
      </c>
      <c r="G5492" t="str">
        <f>"01-K10-03"</f>
        <v>01-K10-03</v>
      </c>
      <c r="H5492">
        <v>1.0016</v>
      </c>
      <c r="I5492" t="s">
        <v>2321</v>
      </c>
      <c r="J5492" t="s">
        <v>14</v>
      </c>
      <c r="K5492" t="str">
        <f>"2F9"</f>
        <v>2F9</v>
      </c>
      <c r="L5492" t="s">
        <v>15</v>
      </c>
    </row>
    <row r="5493" spans="1:12" x14ac:dyDescent="0.25">
      <c r="A5493" t="str">
        <f>"515829074"</f>
        <v>515829074</v>
      </c>
      <c r="B5493" t="str">
        <f t="shared" si="282"/>
        <v>89301000</v>
      </c>
      <c r="C5493" s="1">
        <v>44385</v>
      </c>
      <c r="D5493" s="1">
        <v>44403</v>
      </c>
      <c r="E5493">
        <v>1</v>
      </c>
      <c r="F5493" t="s">
        <v>2497</v>
      </c>
      <c r="G5493" t="str">
        <f>"13-C01-02"</f>
        <v>13-C01-02</v>
      </c>
      <c r="H5493">
        <v>0.7409</v>
      </c>
      <c r="I5493" t="s">
        <v>4051</v>
      </c>
      <c r="J5493" t="s">
        <v>14</v>
      </c>
      <c r="K5493" t="str">
        <f>"4F2"</f>
        <v>4F2</v>
      </c>
      <c r="L5493" t="s">
        <v>15</v>
      </c>
    </row>
    <row r="5494" spans="1:12" x14ac:dyDescent="0.25">
      <c r="A5494" t="str">
        <f>"515829074"</f>
        <v>515829074</v>
      </c>
      <c r="B5494" t="str">
        <f t="shared" si="282"/>
        <v>89301000</v>
      </c>
      <c r="C5494" s="1">
        <v>44372</v>
      </c>
      <c r="D5494" s="1">
        <v>44379</v>
      </c>
      <c r="E5494">
        <v>1</v>
      </c>
      <c r="F5494" t="s">
        <v>1572</v>
      </c>
      <c r="G5494" t="str">
        <f>"06-K10-03"</f>
        <v>06-K10-03</v>
      </c>
      <c r="H5494">
        <v>0.43880000000000002</v>
      </c>
      <c r="J5494" t="s">
        <v>14</v>
      </c>
      <c r="K5494" t="str">
        <f>"5F1"</f>
        <v>5F1</v>
      </c>
      <c r="L5494" t="s">
        <v>15</v>
      </c>
    </row>
    <row r="5495" spans="1:12" x14ac:dyDescent="0.25">
      <c r="A5495" t="str">
        <f>"515901045"</f>
        <v>515901045</v>
      </c>
      <c r="B5495" t="str">
        <f t="shared" si="282"/>
        <v>89301000</v>
      </c>
      <c r="C5495" s="1">
        <v>44238</v>
      </c>
      <c r="D5495" s="1">
        <v>44239</v>
      </c>
      <c r="E5495">
        <v>1</v>
      </c>
      <c r="F5495" t="s">
        <v>2120</v>
      </c>
      <c r="G5495" t="str">
        <f>"06-K07-02"</f>
        <v>06-K07-02</v>
      </c>
      <c r="H5495">
        <v>0.44419999999999998</v>
      </c>
      <c r="I5495" t="s">
        <v>4052</v>
      </c>
      <c r="J5495" t="s">
        <v>14</v>
      </c>
      <c r="K5495" t="str">
        <f>"1F1"</f>
        <v>1F1</v>
      </c>
      <c r="L5495" t="s">
        <v>15</v>
      </c>
    </row>
    <row r="5496" spans="1:12" x14ac:dyDescent="0.25">
      <c r="A5496" t="str">
        <f>"515906145"</f>
        <v>515906145</v>
      </c>
      <c r="B5496" t="str">
        <f t="shared" si="282"/>
        <v>89301000</v>
      </c>
      <c r="C5496" s="1">
        <v>44379</v>
      </c>
      <c r="D5496" s="1">
        <v>44380</v>
      </c>
      <c r="E5496">
        <v>1</v>
      </c>
      <c r="F5496" t="s">
        <v>3813</v>
      </c>
      <c r="G5496" t="str">
        <f>"07-K07-02"</f>
        <v>07-K07-02</v>
      </c>
      <c r="H5496">
        <v>0.53259999999999996</v>
      </c>
      <c r="I5496" t="s">
        <v>4053</v>
      </c>
      <c r="J5496" t="s">
        <v>14</v>
      </c>
      <c r="K5496" t="str">
        <f>"1F5"</f>
        <v>1F5</v>
      </c>
      <c r="L5496" t="s">
        <v>15</v>
      </c>
    </row>
    <row r="5497" spans="1:12" x14ac:dyDescent="0.25">
      <c r="A5497" t="str">
        <f>"515906145"</f>
        <v>515906145</v>
      </c>
      <c r="B5497" t="str">
        <f t="shared" si="282"/>
        <v>89301000</v>
      </c>
      <c r="C5497" s="1">
        <v>44409</v>
      </c>
      <c r="D5497" s="1">
        <v>44422</v>
      </c>
      <c r="E5497">
        <v>8</v>
      </c>
      <c r="F5497" t="s">
        <v>3813</v>
      </c>
      <c r="G5497" t="str">
        <f>"07-K07-01"</f>
        <v>07-K07-01</v>
      </c>
      <c r="H5497">
        <v>1.0750999999999999</v>
      </c>
      <c r="I5497" t="s">
        <v>4054</v>
      </c>
      <c r="J5497" t="s">
        <v>14</v>
      </c>
      <c r="K5497" t="str">
        <f>"4F2"</f>
        <v>4F2</v>
      </c>
      <c r="L5497" t="s">
        <v>15</v>
      </c>
    </row>
    <row r="5498" spans="1:12" x14ac:dyDescent="0.25">
      <c r="A5498" t="str">
        <f>"515917213"</f>
        <v>515917213</v>
      </c>
      <c r="B5498" t="str">
        <f t="shared" si="282"/>
        <v>89301000</v>
      </c>
      <c r="C5498" s="1">
        <v>44390</v>
      </c>
      <c r="D5498" s="1">
        <v>44391</v>
      </c>
      <c r="E5498">
        <v>1</v>
      </c>
      <c r="F5498" t="s">
        <v>1950</v>
      </c>
      <c r="G5498" t="str">
        <f>"02-I13-02"</f>
        <v>02-I13-02</v>
      </c>
      <c r="H5498">
        <v>0.376</v>
      </c>
      <c r="J5498" t="s">
        <v>14</v>
      </c>
      <c r="K5498" t="str">
        <f>"7F5"</f>
        <v>7F5</v>
      </c>
      <c r="L5498" t="s">
        <v>15</v>
      </c>
    </row>
    <row r="5499" spans="1:12" x14ac:dyDescent="0.25">
      <c r="A5499" t="str">
        <f>"515920150"</f>
        <v>515920150</v>
      </c>
      <c r="B5499" t="str">
        <f t="shared" si="282"/>
        <v>89301000</v>
      </c>
      <c r="C5499" s="1">
        <v>44256</v>
      </c>
      <c r="D5499" s="1">
        <v>44260</v>
      </c>
      <c r="E5499">
        <v>5</v>
      </c>
      <c r="F5499" t="s">
        <v>31</v>
      </c>
      <c r="G5499" t="str">
        <f>"08-I04-02"</f>
        <v>08-I04-02</v>
      </c>
      <c r="H5499">
        <v>1.6718999999999999</v>
      </c>
      <c r="J5499" t="s">
        <v>17</v>
      </c>
      <c r="K5499" t="str">
        <f>"5F6"</f>
        <v>5F6</v>
      </c>
      <c r="L5499" t="s">
        <v>15</v>
      </c>
    </row>
    <row r="5500" spans="1:12" x14ac:dyDescent="0.25">
      <c r="A5500" t="str">
        <f>"515923209"</f>
        <v>515923209</v>
      </c>
      <c r="B5500" t="str">
        <f t="shared" si="282"/>
        <v>89301000</v>
      </c>
      <c r="C5500" s="1">
        <v>44204</v>
      </c>
      <c r="D5500" s="1">
        <v>44217</v>
      </c>
      <c r="E5500">
        <v>1</v>
      </c>
      <c r="F5500" t="s">
        <v>307</v>
      </c>
      <c r="G5500" t="str">
        <f>"08-I28-02"</f>
        <v>08-I28-02</v>
      </c>
      <c r="H5500">
        <v>1.9322999999999999</v>
      </c>
      <c r="I5500" t="s">
        <v>4055</v>
      </c>
      <c r="J5500" t="s">
        <v>17</v>
      </c>
      <c r="K5500" t="str">
        <f>"5F3"</f>
        <v>5F3</v>
      </c>
      <c r="L5500" t="s">
        <v>15</v>
      </c>
    </row>
    <row r="5501" spans="1:12" x14ac:dyDescent="0.25">
      <c r="A5501" t="str">
        <f>"515925066"</f>
        <v>515925066</v>
      </c>
      <c r="B5501" t="str">
        <f t="shared" si="282"/>
        <v>89301000</v>
      </c>
      <c r="C5501" s="1">
        <v>44291</v>
      </c>
      <c r="D5501" s="1">
        <v>44294</v>
      </c>
      <c r="E5501">
        <v>4</v>
      </c>
      <c r="F5501" t="s">
        <v>4056</v>
      </c>
      <c r="G5501" t="str">
        <f>"08-K04-03"</f>
        <v>08-K04-03</v>
      </c>
      <c r="H5501">
        <v>0.45050000000000001</v>
      </c>
      <c r="I5501" t="s">
        <v>4057</v>
      </c>
      <c r="J5501" t="s">
        <v>14</v>
      </c>
      <c r="K5501" t="str">
        <f>"1F1"</f>
        <v>1F1</v>
      </c>
      <c r="L5501" t="s">
        <v>15</v>
      </c>
    </row>
    <row r="5502" spans="1:12" x14ac:dyDescent="0.25">
      <c r="A5502" t="str">
        <f>"516001112"</f>
        <v>516001112</v>
      </c>
      <c r="B5502" t="str">
        <f t="shared" si="282"/>
        <v>89301000</v>
      </c>
      <c r="C5502" s="1">
        <v>44438</v>
      </c>
      <c r="D5502" s="1">
        <v>44446</v>
      </c>
      <c r="E5502">
        <v>1</v>
      </c>
      <c r="F5502" t="s">
        <v>300</v>
      </c>
      <c r="G5502" t="str">
        <f>"11-M03-02"</f>
        <v>11-M03-02</v>
      </c>
      <c r="H5502">
        <v>1.2824</v>
      </c>
      <c r="I5502" t="s">
        <v>4058</v>
      </c>
      <c r="J5502" t="s">
        <v>17</v>
      </c>
      <c r="K5502" t="str">
        <f>"7F6"</f>
        <v>7F6</v>
      </c>
      <c r="L5502" t="s">
        <v>15</v>
      </c>
    </row>
    <row r="5503" spans="1:12" x14ac:dyDescent="0.25">
      <c r="A5503" t="str">
        <f>"516001112"</f>
        <v>516001112</v>
      </c>
      <c r="B5503" t="str">
        <f t="shared" si="282"/>
        <v>89301000</v>
      </c>
      <c r="C5503" s="1">
        <v>44311</v>
      </c>
      <c r="D5503" s="1">
        <v>44314</v>
      </c>
      <c r="E5503">
        <v>1</v>
      </c>
      <c r="F5503" t="s">
        <v>300</v>
      </c>
      <c r="G5503" t="str">
        <f>"11-M05-02"</f>
        <v>11-M05-02</v>
      </c>
      <c r="H5503">
        <v>0.68659999999999999</v>
      </c>
      <c r="I5503" t="s">
        <v>4059</v>
      </c>
      <c r="J5503" t="s">
        <v>17</v>
      </c>
      <c r="K5503" t="str">
        <f>"7F6"</f>
        <v>7F6</v>
      </c>
      <c r="L5503" t="s">
        <v>15</v>
      </c>
    </row>
    <row r="5504" spans="1:12" x14ac:dyDescent="0.25">
      <c r="A5504" t="str">
        <f>"516001112"</f>
        <v>516001112</v>
      </c>
      <c r="B5504" t="str">
        <f t="shared" si="282"/>
        <v>89301000</v>
      </c>
      <c r="C5504" s="1">
        <v>44220</v>
      </c>
      <c r="D5504" s="1">
        <v>44224</v>
      </c>
      <c r="E5504">
        <v>1</v>
      </c>
      <c r="F5504" t="s">
        <v>81</v>
      </c>
      <c r="G5504" t="str">
        <f>"10-I13-02"</f>
        <v>10-I13-02</v>
      </c>
      <c r="H5504">
        <v>1.1468</v>
      </c>
      <c r="I5504" t="s">
        <v>3194</v>
      </c>
      <c r="J5504" t="s">
        <v>24</v>
      </c>
      <c r="K5504" t="str">
        <f>"5F5"</f>
        <v>5F5</v>
      </c>
      <c r="L5504" t="s">
        <v>15</v>
      </c>
    </row>
    <row r="5505" spans="1:12" x14ac:dyDescent="0.25">
      <c r="A5505" t="str">
        <f>"516004112"</f>
        <v>516004112</v>
      </c>
      <c r="B5505" t="str">
        <f t="shared" si="282"/>
        <v>89301000</v>
      </c>
      <c r="C5505" s="1">
        <v>44332</v>
      </c>
      <c r="D5505" s="1">
        <v>44334</v>
      </c>
      <c r="E5505">
        <v>1</v>
      </c>
      <c r="F5505" t="s">
        <v>1604</v>
      </c>
      <c r="G5505" t="str">
        <f>"05-I25-03"</f>
        <v>05-I25-03</v>
      </c>
      <c r="H5505">
        <v>1.5508</v>
      </c>
      <c r="I5505" t="s">
        <v>4060</v>
      </c>
      <c r="J5505" t="s">
        <v>17</v>
      </c>
      <c r="K5505" t="str">
        <f>"1F1"</f>
        <v>1F1</v>
      </c>
      <c r="L5505" t="s">
        <v>15</v>
      </c>
    </row>
    <row r="5506" spans="1:12" x14ac:dyDescent="0.25">
      <c r="A5506" t="str">
        <f>"516015010"</f>
        <v>516015010</v>
      </c>
      <c r="B5506" t="str">
        <f t="shared" si="282"/>
        <v>89301000</v>
      </c>
      <c r="C5506" s="1">
        <v>44293</v>
      </c>
      <c r="D5506" s="1">
        <v>44296</v>
      </c>
      <c r="E5506">
        <v>1</v>
      </c>
      <c r="F5506" t="s">
        <v>3158</v>
      </c>
      <c r="G5506" t="str">
        <f>"05-M04-03"</f>
        <v>05-M04-03</v>
      </c>
      <c r="H5506">
        <v>3.0529000000000002</v>
      </c>
      <c r="J5506" t="s">
        <v>17</v>
      </c>
      <c r="K5506" t="str">
        <f>"5F3"</f>
        <v>5F3</v>
      </c>
      <c r="L5506" t="s">
        <v>15</v>
      </c>
    </row>
    <row r="5507" spans="1:12" x14ac:dyDescent="0.25">
      <c r="A5507" t="str">
        <f>"516015010"</f>
        <v>516015010</v>
      </c>
      <c r="B5507" t="str">
        <f t="shared" si="282"/>
        <v>89301000</v>
      </c>
      <c r="C5507" s="1">
        <v>44418</v>
      </c>
      <c r="D5507" s="1">
        <v>44421</v>
      </c>
      <c r="E5507">
        <v>1</v>
      </c>
      <c r="F5507" t="s">
        <v>1581</v>
      </c>
      <c r="G5507" t="str">
        <f>"05-M07-04"</f>
        <v>05-M07-04</v>
      </c>
      <c r="H5507">
        <v>1.7799</v>
      </c>
      <c r="I5507" t="s">
        <v>2321</v>
      </c>
      <c r="J5507" t="s">
        <v>17</v>
      </c>
      <c r="K5507" t="str">
        <f>"5F1"</f>
        <v>5F1</v>
      </c>
      <c r="L5507" t="s">
        <v>15</v>
      </c>
    </row>
    <row r="5508" spans="1:12" x14ac:dyDescent="0.25">
      <c r="A5508" t="str">
        <f>"516018203"</f>
        <v>516018203</v>
      </c>
      <c r="B5508" t="str">
        <f t="shared" si="282"/>
        <v>89301000</v>
      </c>
      <c r="C5508" s="1">
        <v>44338</v>
      </c>
      <c r="D5508" s="1">
        <v>44348</v>
      </c>
      <c r="E5508">
        <v>4</v>
      </c>
      <c r="F5508" t="s">
        <v>1794</v>
      </c>
      <c r="G5508" t="str">
        <f>"04-K08-02"</f>
        <v>04-K08-02</v>
      </c>
      <c r="H5508">
        <v>2.6110000000000002</v>
      </c>
      <c r="I5508" t="s">
        <v>4061</v>
      </c>
      <c r="J5508" t="s">
        <v>14</v>
      </c>
      <c r="K5508" t="str">
        <f>"2F5"</f>
        <v>2F5</v>
      </c>
      <c r="L5508" t="s">
        <v>15</v>
      </c>
    </row>
    <row r="5509" spans="1:12" x14ac:dyDescent="0.25">
      <c r="A5509" t="str">
        <f>"516018203"</f>
        <v>516018203</v>
      </c>
      <c r="B5509" t="str">
        <f t="shared" si="282"/>
        <v>89301000</v>
      </c>
      <c r="C5509" s="1">
        <v>44298</v>
      </c>
      <c r="D5509" s="1">
        <v>44316</v>
      </c>
      <c r="E5509">
        <v>1</v>
      </c>
      <c r="F5509" t="s">
        <v>962</v>
      </c>
      <c r="G5509" t="str">
        <f>"04-M01-05"</f>
        <v>04-M01-05</v>
      </c>
      <c r="H5509">
        <v>6.2100999999999997</v>
      </c>
      <c r="I5509" t="s">
        <v>4062</v>
      </c>
      <c r="J5509" t="s">
        <v>14</v>
      </c>
      <c r="K5509" t="str">
        <f>"2F5"</f>
        <v>2F5</v>
      </c>
      <c r="L5509" t="s">
        <v>15</v>
      </c>
    </row>
    <row r="5510" spans="1:12" x14ac:dyDescent="0.25">
      <c r="A5510" t="str">
        <f>"516018289"</f>
        <v>516018289</v>
      </c>
      <c r="B5510" t="str">
        <f t="shared" si="282"/>
        <v>89301000</v>
      </c>
      <c r="C5510" s="1">
        <v>44294</v>
      </c>
      <c r="D5510" s="1">
        <v>44296</v>
      </c>
      <c r="E5510">
        <v>1</v>
      </c>
      <c r="F5510" t="s">
        <v>540</v>
      </c>
      <c r="G5510" t="str">
        <f>"17-C05-08"</f>
        <v>17-C05-08</v>
      </c>
      <c r="H5510">
        <v>0.83779999999999999</v>
      </c>
      <c r="I5510" t="s">
        <v>4063</v>
      </c>
      <c r="J5510" t="s">
        <v>14</v>
      </c>
      <c r="K5510" t="str">
        <f>"2F2"</f>
        <v>2F2</v>
      </c>
      <c r="L5510" t="s">
        <v>15</v>
      </c>
    </row>
    <row r="5511" spans="1:12" x14ac:dyDescent="0.25">
      <c r="A5511" t="str">
        <f>"516018289"</f>
        <v>516018289</v>
      </c>
      <c r="B5511" t="str">
        <f t="shared" si="282"/>
        <v>89301000</v>
      </c>
      <c r="C5511" s="1">
        <v>44237</v>
      </c>
      <c r="D5511" s="1">
        <v>44244</v>
      </c>
      <c r="E5511">
        <v>1</v>
      </c>
      <c r="F5511" t="s">
        <v>540</v>
      </c>
      <c r="G5511" t="str">
        <f>"17-K05-02"</f>
        <v>17-K05-02</v>
      </c>
      <c r="H5511">
        <v>0.94220000000000004</v>
      </c>
      <c r="I5511" t="s">
        <v>4064</v>
      </c>
      <c r="J5511" t="s">
        <v>14</v>
      </c>
      <c r="K5511" t="str">
        <f>"2F2"</f>
        <v>2F2</v>
      </c>
      <c r="L5511" t="s">
        <v>15</v>
      </c>
    </row>
    <row r="5512" spans="1:12" x14ac:dyDescent="0.25">
      <c r="A5512" t="str">
        <f>"516018289"</f>
        <v>516018289</v>
      </c>
      <c r="B5512" t="str">
        <f t="shared" si="282"/>
        <v>89301000</v>
      </c>
      <c r="C5512" s="1">
        <v>44266</v>
      </c>
      <c r="D5512" s="1">
        <v>44268</v>
      </c>
      <c r="E5512">
        <v>1</v>
      </c>
      <c r="F5512" t="s">
        <v>540</v>
      </c>
      <c r="G5512" t="str">
        <f>"17-C05-08"</f>
        <v>17-C05-08</v>
      </c>
      <c r="H5512">
        <v>0.83779999999999999</v>
      </c>
      <c r="I5512" t="s">
        <v>4063</v>
      </c>
      <c r="J5512" t="s">
        <v>14</v>
      </c>
      <c r="K5512" t="str">
        <f>"2F2"</f>
        <v>2F2</v>
      </c>
      <c r="L5512" t="s">
        <v>15</v>
      </c>
    </row>
    <row r="5513" spans="1:12" x14ac:dyDescent="0.25">
      <c r="A5513" t="str">
        <f>"516018289"</f>
        <v>516018289</v>
      </c>
      <c r="B5513" t="str">
        <f t="shared" ref="B5513:B5576" si="284">"89301000"</f>
        <v>89301000</v>
      </c>
      <c r="C5513" s="1">
        <v>44322</v>
      </c>
      <c r="D5513" s="1">
        <v>44324</v>
      </c>
      <c r="E5513">
        <v>1</v>
      </c>
      <c r="F5513" t="s">
        <v>540</v>
      </c>
      <c r="G5513" t="str">
        <f>"17-C05-08"</f>
        <v>17-C05-08</v>
      </c>
      <c r="H5513">
        <v>0.83779999999999999</v>
      </c>
      <c r="I5513" t="s">
        <v>4063</v>
      </c>
      <c r="J5513" t="s">
        <v>14</v>
      </c>
      <c r="K5513" t="str">
        <f>"2F2"</f>
        <v>2F2</v>
      </c>
      <c r="L5513" t="s">
        <v>15</v>
      </c>
    </row>
    <row r="5514" spans="1:12" x14ac:dyDescent="0.25">
      <c r="A5514" t="str">
        <f>"516020278"</f>
        <v>516020278</v>
      </c>
      <c r="B5514" t="str">
        <f t="shared" si="284"/>
        <v>89301000</v>
      </c>
      <c r="C5514" s="1">
        <v>44510</v>
      </c>
      <c r="D5514" s="1">
        <v>44523</v>
      </c>
      <c r="E5514">
        <v>4</v>
      </c>
      <c r="F5514" t="s">
        <v>217</v>
      </c>
      <c r="G5514" t="str">
        <f>"04-K02-04"</f>
        <v>04-K02-04</v>
      </c>
      <c r="H5514">
        <v>0.82469999999999999</v>
      </c>
      <c r="I5514" t="s">
        <v>4065</v>
      </c>
      <c r="J5514" t="s">
        <v>14</v>
      </c>
      <c r="K5514" t="str">
        <f>"5F1"</f>
        <v>5F1</v>
      </c>
      <c r="L5514" t="s">
        <v>15</v>
      </c>
    </row>
    <row r="5515" spans="1:12" x14ac:dyDescent="0.25">
      <c r="A5515" t="str">
        <f>"516025148"</f>
        <v>516025148</v>
      </c>
      <c r="B5515" t="str">
        <f t="shared" si="284"/>
        <v>89301000</v>
      </c>
      <c r="C5515" s="1">
        <v>44518</v>
      </c>
      <c r="D5515" s="1">
        <v>44529</v>
      </c>
      <c r="E5515">
        <v>1</v>
      </c>
      <c r="F5515" t="s">
        <v>217</v>
      </c>
      <c r="G5515" t="str">
        <f>"04-K02-03"</f>
        <v>04-K02-03</v>
      </c>
      <c r="H5515">
        <v>1.2859</v>
      </c>
      <c r="I5515" t="s">
        <v>4066</v>
      </c>
      <c r="J5515" t="s">
        <v>14</v>
      </c>
      <c r="K5515" t="str">
        <f>"1F6"</f>
        <v>1F6</v>
      </c>
      <c r="L5515" t="s">
        <v>15</v>
      </c>
    </row>
    <row r="5516" spans="1:12" x14ac:dyDescent="0.25">
      <c r="A5516" t="str">
        <f>"516103298"</f>
        <v>516103298</v>
      </c>
      <c r="B5516" t="str">
        <f t="shared" si="284"/>
        <v>89301000</v>
      </c>
      <c r="C5516" s="1">
        <v>44330</v>
      </c>
      <c r="D5516" s="1">
        <v>44330</v>
      </c>
      <c r="E5516">
        <v>1</v>
      </c>
      <c r="F5516" t="s">
        <v>1557</v>
      </c>
      <c r="G5516" t="str">
        <f>"05-D01-08"</f>
        <v>05-D01-08</v>
      </c>
      <c r="H5516">
        <v>0.21890000000000001</v>
      </c>
      <c r="I5516" t="s">
        <v>4067</v>
      </c>
      <c r="J5516" t="s">
        <v>14</v>
      </c>
      <c r="K5516" t="str">
        <f>"1F1"</f>
        <v>1F1</v>
      </c>
      <c r="L5516" t="s">
        <v>15</v>
      </c>
    </row>
    <row r="5517" spans="1:12" x14ac:dyDescent="0.25">
      <c r="A5517" t="str">
        <f>"516104170"</f>
        <v>516104170</v>
      </c>
      <c r="B5517" t="str">
        <f t="shared" si="284"/>
        <v>89301000</v>
      </c>
      <c r="C5517" s="1">
        <v>44502</v>
      </c>
      <c r="D5517" s="1">
        <v>44505</v>
      </c>
      <c r="E5517">
        <v>1</v>
      </c>
      <c r="F5517" t="s">
        <v>1878</v>
      </c>
      <c r="G5517" t="str">
        <f>"10-K12-03"</f>
        <v>10-K12-03</v>
      </c>
      <c r="H5517">
        <v>0.50629999999999997</v>
      </c>
      <c r="I5517" t="s">
        <v>4068</v>
      </c>
      <c r="J5517" t="s">
        <v>14</v>
      </c>
      <c r="K5517" t="str">
        <f>"1F1"</f>
        <v>1F1</v>
      </c>
      <c r="L5517" t="s">
        <v>15</v>
      </c>
    </row>
    <row r="5518" spans="1:12" x14ac:dyDescent="0.25">
      <c r="A5518" t="str">
        <f>"516106231"</f>
        <v>516106231</v>
      </c>
      <c r="B5518" t="str">
        <f t="shared" si="284"/>
        <v>89301000</v>
      </c>
      <c r="C5518" s="1">
        <v>44550</v>
      </c>
      <c r="D5518" s="1">
        <v>44551</v>
      </c>
      <c r="E5518">
        <v>1</v>
      </c>
      <c r="F5518" t="s">
        <v>2057</v>
      </c>
      <c r="G5518" t="str">
        <f>"05-D01-06"</f>
        <v>05-D01-06</v>
      </c>
      <c r="H5518">
        <v>0.7611</v>
      </c>
      <c r="I5518" t="s">
        <v>1892</v>
      </c>
      <c r="J5518" t="s">
        <v>14</v>
      </c>
      <c r="K5518" t="str">
        <f>"1F7"</f>
        <v>1F7</v>
      </c>
      <c r="L5518" t="s">
        <v>15</v>
      </c>
    </row>
    <row r="5519" spans="1:12" x14ac:dyDescent="0.25">
      <c r="A5519" t="str">
        <f>"516111234"</f>
        <v>516111234</v>
      </c>
      <c r="B5519" t="str">
        <f t="shared" si="284"/>
        <v>89301000</v>
      </c>
      <c r="C5519" s="1">
        <v>44458</v>
      </c>
      <c r="D5519" s="1">
        <v>44459</v>
      </c>
      <c r="E5519">
        <v>1</v>
      </c>
      <c r="F5519" t="s">
        <v>1936</v>
      </c>
      <c r="G5519" t="str">
        <f>"05-D01-06"</f>
        <v>05-D01-06</v>
      </c>
      <c r="H5519">
        <v>0.7611</v>
      </c>
      <c r="J5519" t="s">
        <v>14</v>
      </c>
      <c r="K5519" t="str">
        <f>"1F7"</f>
        <v>1F7</v>
      </c>
      <c r="L5519" t="s">
        <v>15</v>
      </c>
    </row>
    <row r="5520" spans="1:12" x14ac:dyDescent="0.25">
      <c r="A5520" t="str">
        <f>"516111234"</f>
        <v>516111234</v>
      </c>
      <c r="B5520" t="str">
        <f t="shared" si="284"/>
        <v>89301000</v>
      </c>
      <c r="C5520" s="1">
        <v>44473</v>
      </c>
      <c r="D5520" s="1">
        <v>44490</v>
      </c>
      <c r="E5520">
        <v>4</v>
      </c>
      <c r="F5520" t="s">
        <v>1548</v>
      </c>
      <c r="G5520" t="str">
        <f>"05-K07-04"</f>
        <v>05-K07-04</v>
      </c>
      <c r="H5520">
        <v>1.131</v>
      </c>
      <c r="I5520" t="s">
        <v>4069</v>
      </c>
      <c r="J5520" t="s">
        <v>14</v>
      </c>
      <c r="K5520" t="str">
        <f>"1F1"</f>
        <v>1F1</v>
      </c>
      <c r="L5520" t="s">
        <v>15</v>
      </c>
    </row>
    <row r="5521" spans="1:12" x14ac:dyDescent="0.25">
      <c r="A5521" t="str">
        <f>"516111289"</f>
        <v>516111289</v>
      </c>
      <c r="B5521" t="str">
        <f t="shared" si="284"/>
        <v>89301000</v>
      </c>
      <c r="C5521" s="1">
        <v>44368</v>
      </c>
      <c r="D5521" s="1">
        <v>44369</v>
      </c>
      <c r="E5521">
        <v>1</v>
      </c>
      <c r="F5521" t="s">
        <v>4070</v>
      </c>
      <c r="G5521" t="str">
        <f>"09-I13-05"</f>
        <v>09-I13-05</v>
      </c>
      <c r="H5521">
        <v>0.43659999999999999</v>
      </c>
      <c r="I5521" t="s">
        <v>4071</v>
      </c>
      <c r="J5521" t="s">
        <v>14</v>
      </c>
      <c r="K5521" t="str">
        <f>"6F1"</f>
        <v>6F1</v>
      </c>
      <c r="L5521" t="s">
        <v>15</v>
      </c>
    </row>
    <row r="5522" spans="1:12" x14ac:dyDescent="0.25">
      <c r="A5522" t="str">
        <f>"516112042"</f>
        <v>516112042</v>
      </c>
      <c r="B5522" t="str">
        <f t="shared" si="284"/>
        <v>89301000</v>
      </c>
      <c r="C5522" s="1">
        <v>44393</v>
      </c>
      <c r="D5522" s="1">
        <v>44397</v>
      </c>
      <c r="E5522">
        <v>7</v>
      </c>
      <c r="F5522" t="s">
        <v>1794</v>
      </c>
      <c r="G5522" t="str">
        <f>"25-I02-01"</f>
        <v>25-I02-01</v>
      </c>
      <c r="H5522">
        <v>7.2126000000000001</v>
      </c>
      <c r="I5522" t="s">
        <v>4072</v>
      </c>
      <c r="J5522" t="s">
        <v>17</v>
      </c>
      <c r="K5522" t="str">
        <f>"7T8"</f>
        <v>7T8</v>
      </c>
      <c r="L5522" t="s">
        <v>15</v>
      </c>
    </row>
    <row r="5523" spans="1:12" x14ac:dyDescent="0.25">
      <c r="A5523" t="str">
        <f>"516125218"</f>
        <v>516125218</v>
      </c>
      <c r="B5523" t="str">
        <f t="shared" si="284"/>
        <v>89301000</v>
      </c>
      <c r="C5523" s="1">
        <v>44221</v>
      </c>
      <c r="D5523" s="1">
        <v>44233</v>
      </c>
      <c r="E5523">
        <v>8</v>
      </c>
      <c r="F5523" t="s">
        <v>1619</v>
      </c>
      <c r="G5523" t="str">
        <f>"88-I05-00"</f>
        <v>88-I05-00</v>
      </c>
      <c r="H5523">
        <v>0.11459999999999999</v>
      </c>
      <c r="I5523" t="s">
        <v>4073</v>
      </c>
      <c r="J5523" t="s">
        <v>14</v>
      </c>
      <c r="K5523" t="str">
        <f>"7T8"</f>
        <v>7T8</v>
      </c>
      <c r="L5523" t="s">
        <v>15</v>
      </c>
    </row>
    <row r="5524" spans="1:12" x14ac:dyDescent="0.25">
      <c r="A5524" t="str">
        <f>"516202167"</f>
        <v>516202167</v>
      </c>
      <c r="B5524" t="str">
        <f t="shared" si="284"/>
        <v>89301000</v>
      </c>
      <c r="C5524" s="1">
        <v>44407</v>
      </c>
      <c r="D5524" s="1">
        <v>44411</v>
      </c>
      <c r="E5524">
        <v>1</v>
      </c>
      <c r="F5524" t="s">
        <v>38</v>
      </c>
      <c r="G5524" t="str">
        <f>"05-D01-06"</f>
        <v>05-D01-06</v>
      </c>
      <c r="H5524">
        <v>0.7611</v>
      </c>
      <c r="J5524" t="s">
        <v>14</v>
      </c>
      <c r="K5524" t="str">
        <f>"1T1"</f>
        <v>1T1</v>
      </c>
      <c r="L5524" t="s">
        <v>15</v>
      </c>
    </row>
    <row r="5525" spans="1:12" x14ac:dyDescent="0.25">
      <c r="A5525" t="str">
        <f t="shared" ref="A5525:A5530" si="285">"516203036"</f>
        <v>516203036</v>
      </c>
      <c r="B5525" t="str">
        <f t="shared" si="284"/>
        <v>89301000</v>
      </c>
      <c r="C5525" s="1">
        <v>44445</v>
      </c>
      <c r="D5525" s="1">
        <v>44469</v>
      </c>
      <c r="E5525">
        <v>1</v>
      </c>
      <c r="F5525" t="s">
        <v>1914</v>
      </c>
      <c r="G5525" t="str">
        <f>"04-R02-03"</f>
        <v>04-R02-03</v>
      </c>
      <c r="H5525">
        <v>3.585</v>
      </c>
      <c r="I5525" t="s">
        <v>4074</v>
      </c>
      <c r="J5525" t="s">
        <v>14</v>
      </c>
      <c r="K5525" t="str">
        <f t="shared" ref="K5525:K5530" si="286">"2F5"</f>
        <v>2F5</v>
      </c>
      <c r="L5525" t="s">
        <v>15</v>
      </c>
    </row>
    <row r="5526" spans="1:12" x14ac:dyDescent="0.25">
      <c r="A5526" t="str">
        <f t="shared" si="285"/>
        <v>516203036</v>
      </c>
      <c r="B5526" t="str">
        <f t="shared" si="284"/>
        <v>89301000</v>
      </c>
      <c r="C5526" s="1">
        <v>44349</v>
      </c>
      <c r="D5526" s="1">
        <v>44350</v>
      </c>
      <c r="E5526">
        <v>1</v>
      </c>
      <c r="F5526" t="s">
        <v>1914</v>
      </c>
      <c r="G5526" t="str">
        <f>"04-K09-03"</f>
        <v>04-K09-03</v>
      </c>
      <c r="H5526">
        <v>0.62749999999999995</v>
      </c>
      <c r="I5526" t="s">
        <v>4075</v>
      </c>
      <c r="J5526" t="s">
        <v>14</v>
      </c>
      <c r="K5526" t="str">
        <f t="shared" si="286"/>
        <v>2F5</v>
      </c>
      <c r="L5526" t="s">
        <v>15</v>
      </c>
    </row>
    <row r="5527" spans="1:12" x14ac:dyDescent="0.25">
      <c r="A5527" t="str">
        <f t="shared" si="285"/>
        <v>516203036</v>
      </c>
      <c r="B5527" t="str">
        <f t="shared" si="284"/>
        <v>89301000</v>
      </c>
      <c r="C5527" s="1">
        <v>44300</v>
      </c>
      <c r="D5527" s="1">
        <v>44302</v>
      </c>
      <c r="E5527">
        <v>1</v>
      </c>
      <c r="F5527" t="s">
        <v>1914</v>
      </c>
      <c r="G5527" t="str">
        <f>"04-C02-02"</f>
        <v>04-C02-02</v>
      </c>
      <c r="H5527">
        <v>0.3589</v>
      </c>
      <c r="I5527" t="s">
        <v>4076</v>
      </c>
      <c r="J5527" t="s">
        <v>14</v>
      </c>
      <c r="K5527" t="str">
        <f t="shared" si="286"/>
        <v>2F5</v>
      </c>
      <c r="L5527" t="s">
        <v>15</v>
      </c>
    </row>
    <row r="5528" spans="1:12" x14ac:dyDescent="0.25">
      <c r="A5528" t="str">
        <f t="shared" si="285"/>
        <v>516203036</v>
      </c>
      <c r="B5528" t="str">
        <f t="shared" si="284"/>
        <v>89301000</v>
      </c>
      <c r="C5528" s="1">
        <v>44256</v>
      </c>
      <c r="D5528" s="1">
        <v>44259</v>
      </c>
      <c r="E5528">
        <v>1</v>
      </c>
      <c r="F5528" t="s">
        <v>1914</v>
      </c>
      <c r="G5528" t="str">
        <f>"04-C02-02"</f>
        <v>04-C02-02</v>
      </c>
      <c r="H5528">
        <v>0.3589</v>
      </c>
      <c r="I5528" t="s">
        <v>4076</v>
      </c>
      <c r="J5528" t="s">
        <v>14</v>
      </c>
      <c r="K5528" t="str">
        <f t="shared" si="286"/>
        <v>2F5</v>
      </c>
      <c r="L5528" t="s">
        <v>15</v>
      </c>
    </row>
    <row r="5529" spans="1:12" x14ac:dyDescent="0.25">
      <c r="A5529" t="str">
        <f t="shared" si="285"/>
        <v>516203036</v>
      </c>
      <c r="B5529" t="str">
        <f t="shared" si="284"/>
        <v>89301000</v>
      </c>
      <c r="C5529" s="1">
        <v>44222</v>
      </c>
      <c r="D5529" s="1">
        <v>44232</v>
      </c>
      <c r="E5529">
        <v>1</v>
      </c>
      <c r="F5529" t="s">
        <v>1914</v>
      </c>
      <c r="G5529" t="str">
        <f>"04-C02-02"</f>
        <v>04-C02-02</v>
      </c>
      <c r="H5529">
        <v>0.45319999999999999</v>
      </c>
      <c r="I5529" t="s">
        <v>4076</v>
      </c>
      <c r="J5529" t="s">
        <v>14</v>
      </c>
      <c r="K5529" t="str">
        <f t="shared" si="286"/>
        <v>2F5</v>
      </c>
      <c r="L5529" t="s">
        <v>15</v>
      </c>
    </row>
    <row r="5530" spans="1:12" x14ac:dyDescent="0.25">
      <c r="A5530" t="str">
        <f t="shared" si="285"/>
        <v>516203036</v>
      </c>
      <c r="B5530" t="str">
        <f t="shared" si="284"/>
        <v>89301000</v>
      </c>
      <c r="C5530" s="1">
        <v>44278</v>
      </c>
      <c r="D5530" s="1">
        <v>44281</v>
      </c>
      <c r="E5530">
        <v>1</v>
      </c>
      <c r="F5530" t="s">
        <v>1914</v>
      </c>
      <c r="G5530" t="str">
        <f>"04-C02-02"</f>
        <v>04-C02-02</v>
      </c>
      <c r="H5530">
        <v>0.3589</v>
      </c>
      <c r="I5530" t="s">
        <v>4077</v>
      </c>
      <c r="J5530" t="s">
        <v>14</v>
      </c>
      <c r="K5530" t="str">
        <f t="shared" si="286"/>
        <v>2F5</v>
      </c>
      <c r="L5530" t="s">
        <v>15</v>
      </c>
    </row>
    <row r="5531" spans="1:12" x14ac:dyDescent="0.25">
      <c r="A5531" t="str">
        <f>"516207064"</f>
        <v>516207064</v>
      </c>
      <c r="B5531" t="str">
        <f t="shared" si="284"/>
        <v>89301000</v>
      </c>
      <c r="C5531" s="1">
        <v>44252</v>
      </c>
      <c r="D5531" s="1">
        <v>44267</v>
      </c>
      <c r="E5531">
        <v>1</v>
      </c>
      <c r="F5531" t="s">
        <v>2623</v>
      </c>
      <c r="G5531" t="str">
        <f>"17-I03-00"</f>
        <v>17-I03-00</v>
      </c>
      <c r="H5531">
        <v>6.5178000000000003</v>
      </c>
      <c r="I5531" t="s">
        <v>4078</v>
      </c>
      <c r="J5531" t="s">
        <v>17</v>
      </c>
      <c r="K5531" t="str">
        <f>"2F2"</f>
        <v>2F2</v>
      </c>
      <c r="L5531" t="s">
        <v>15</v>
      </c>
    </row>
    <row r="5532" spans="1:12" x14ac:dyDescent="0.25">
      <c r="A5532" t="str">
        <f>"516207064"</f>
        <v>516207064</v>
      </c>
      <c r="B5532" t="str">
        <f t="shared" si="284"/>
        <v>89301000</v>
      </c>
      <c r="C5532" s="1">
        <v>44516</v>
      </c>
      <c r="D5532" s="1">
        <v>44526</v>
      </c>
      <c r="E5532">
        <v>8</v>
      </c>
      <c r="F5532" t="s">
        <v>2623</v>
      </c>
      <c r="G5532" t="str">
        <f>"17-C05-06"</f>
        <v>17-C05-06</v>
      </c>
      <c r="H5532">
        <v>0.83609999999999995</v>
      </c>
      <c r="I5532" t="s">
        <v>4079</v>
      </c>
      <c r="J5532" t="s">
        <v>14</v>
      </c>
      <c r="K5532" t="str">
        <f>"2F2"</f>
        <v>2F2</v>
      </c>
      <c r="L5532" t="s">
        <v>15</v>
      </c>
    </row>
    <row r="5533" spans="1:12" x14ac:dyDescent="0.25">
      <c r="A5533" t="str">
        <f>"516211073"</f>
        <v>516211073</v>
      </c>
      <c r="B5533" t="str">
        <f t="shared" si="284"/>
        <v>89301000</v>
      </c>
      <c r="C5533" s="1">
        <v>44217</v>
      </c>
      <c r="D5533" s="1">
        <v>44225</v>
      </c>
      <c r="E5533">
        <v>1</v>
      </c>
      <c r="F5533" t="s">
        <v>1558</v>
      </c>
      <c r="G5533" t="str">
        <f>"05-I06-04"</f>
        <v>05-I06-04</v>
      </c>
      <c r="H5533">
        <v>8.3698999999999995</v>
      </c>
      <c r="I5533" t="s">
        <v>2662</v>
      </c>
      <c r="J5533" t="s">
        <v>17</v>
      </c>
      <c r="K5533" t="str">
        <f>"5F5"</f>
        <v>5F5</v>
      </c>
      <c r="L5533" t="s">
        <v>15</v>
      </c>
    </row>
    <row r="5534" spans="1:12" x14ac:dyDescent="0.25">
      <c r="A5534" t="str">
        <f>"516220108"</f>
        <v>516220108</v>
      </c>
      <c r="B5534" t="str">
        <f t="shared" si="284"/>
        <v>89301000</v>
      </c>
      <c r="C5534" s="1">
        <v>44432</v>
      </c>
      <c r="D5534" s="1">
        <v>44438</v>
      </c>
      <c r="E5534">
        <v>1</v>
      </c>
      <c r="F5534" t="s">
        <v>4080</v>
      </c>
      <c r="G5534" t="str">
        <f>"04-K07-03"</f>
        <v>04-K07-03</v>
      </c>
      <c r="H5534">
        <v>0.66259999999999997</v>
      </c>
      <c r="I5534" t="s">
        <v>4081</v>
      </c>
      <c r="J5534" t="s">
        <v>14</v>
      </c>
      <c r="K5534" t="str">
        <f>"2F5"</f>
        <v>2F5</v>
      </c>
      <c r="L5534" t="s">
        <v>15</v>
      </c>
    </row>
    <row r="5535" spans="1:12" x14ac:dyDescent="0.25">
      <c r="A5535" t="str">
        <f>"516220108"</f>
        <v>516220108</v>
      </c>
      <c r="B5535" t="str">
        <f t="shared" si="284"/>
        <v>89301000</v>
      </c>
      <c r="C5535" s="1">
        <v>44533</v>
      </c>
      <c r="D5535" s="1">
        <v>44534</v>
      </c>
      <c r="E5535">
        <v>1</v>
      </c>
      <c r="F5535" t="s">
        <v>1650</v>
      </c>
      <c r="G5535" t="str">
        <f>"05-I14-03"</f>
        <v>05-I14-03</v>
      </c>
      <c r="H5535">
        <v>6.1292</v>
      </c>
      <c r="I5535" t="s">
        <v>3692</v>
      </c>
      <c r="J5535" t="s">
        <v>14</v>
      </c>
      <c r="K5535" t="str">
        <f>"1F1"</f>
        <v>1F1</v>
      </c>
      <c r="L5535" t="s">
        <v>15</v>
      </c>
    </row>
    <row r="5536" spans="1:12" x14ac:dyDescent="0.25">
      <c r="A5536" t="str">
        <f>"516221159"</f>
        <v>516221159</v>
      </c>
      <c r="B5536" t="str">
        <f t="shared" si="284"/>
        <v>89301000</v>
      </c>
      <c r="C5536" s="1">
        <v>44346</v>
      </c>
      <c r="D5536" s="1">
        <v>44347</v>
      </c>
      <c r="E5536">
        <v>1</v>
      </c>
      <c r="F5536" t="s">
        <v>489</v>
      </c>
      <c r="G5536" t="str">
        <f>"05-D01-08"</f>
        <v>05-D01-08</v>
      </c>
      <c r="H5536">
        <v>0.4093</v>
      </c>
      <c r="I5536" t="s">
        <v>1892</v>
      </c>
      <c r="J5536" t="s">
        <v>14</v>
      </c>
      <c r="K5536" t="str">
        <f>"1F7"</f>
        <v>1F7</v>
      </c>
      <c r="L5536" t="s">
        <v>15</v>
      </c>
    </row>
    <row r="5537" spans="1:12" x14ac:dyDescent="0.25">
      <c r="A5537" t="str">
        <f>"516221192"</f>
        <v>516221192</v>
      </c>
      <c r="B5537" t="str">
        <f t="shared" si="284"/>
        <v>89301000</v>
      </c>
      <c r="C5537" s="1">
        <v>44426</v>
      </c>
      <c r="D5537" s="1">
        <v>44435</v>
      </c>
      <c r="E5537">
        <v>1</v>
      </c>
      <c r="F5537" t="s">
        <v>1955</v>
      </c>
      <c r="G5537" t="str">
        <f>"01-K04-02"</f>
        <v>01-K04-02</v>
      </c>
      <c r="H5537">
        <v>0.80059999999999998</v>
      </c>
      <c r="J5537" t="s">
        <v>14</v>
      </c>
      <c r="K5537" t="str">
        <f>"2F9"</f>
        <v>2F9</v>
      </c>
      <c r="L5537" t="s">
        <v>15</v>
      </c>
    </row>
    <row r="5538" spans="1:12" x14ac:dyDescent="0.25">
      <c r="A5538" t="str">
        <f>"516226267"</f>
        <v>516226267</v>
      </c>
      <c r="B5538" t="str">
        <f t="shared" si="284"/>
        <v>89301000</v>
      </c>
      <c r="C5538" s="1">
        <v>44273</v>
      </c>
      <c r="D5538" s="1">
        <v>44276</v>
      </c>
      <c r="E5538">
        <v>1</v>
      </c>
      <c r="F5538" t="s">
        <v>3083</v>
      </c>
      <c r="G5538" t="str">
        <f>"04-I09-02"</f>
        <v>04-I09-02</v>
      </c>
      <c r="H5538">
        <v>0.81499999999999995</v>
      </c>
      <c r="I5538" t="s">
        <v>2511</v>
      </c>
      <c r="J5538" t="s">
        <v>14</v>
      </c>
      <c r="K5538" t="str">
        <f>"5F1"</f>
        <v>5F1</v>
      </c>
      <c r="L5538" t="s">
        <v>15</v>
      </c>
    </row>
    <row r="5539" spans="1:12" x14ac:dyDescent="0.25">
      <c r="A5539" t="str">
        <f>"516227196"</f>
        <v>516227196</v>
      </c>
      <c r="B5539" t="str">
        <f t="shared" si="284"/>
        <v>89301000</v>
      </c>
      <c r="C5539" s="1">
        <v>44273</v>
      </c>
      <c r="D5539" s="1">
        <v>44276</v>
      </c>
      <c r="E5539">
        <v>1</v>
      </c>
      <c r="F5539" t="s">
        <v>1555</v>
      </c>
      <c r="G5539" t="str">
        <f>"05-M07-04"</f>
        <v>05-M07-04</v>
      </c>
      <c r="H5539">
        <v>1.7799</v>
      </c>
      <c r="I5539" t="s">
        <v>168</v>
      </c>
      <c r="J5539" t="s">
        <v>17</v>
      </c>
      <c r="K5539" t="str">
        <f>"5F3"</f>
        <v>5F3</v>
      </c>
      <c r="L5539" t="s">
        <v>15</v>
      </c>
    </row>
    <row r="5540" spans="1:12" x14ac:dyDescent="0.25">
      <c r="A5540" t="str">
        <f>"516229194"</f>
        <v>516229194</v>
      </c>
      <c r="B5540" t="str">
        <f t="shared" si="284"/>
        <v>89301000</v>
      </c>
      <c r="C5540" s="1">
        <v>44467</v>
      </c>
      <c r="D5540" s="1">
        <v>44477</v>
      </c>
      <c r="E5540">
        <v>1</v>
      </c>
      <c r="F5540" t="s">
        <v>4082</v>
      </c>
      <c r="G5540" t="str">
        <f>"01-I06-02"</f>
        <v>01-I06-02</v>
      </c>
      <c r="H5540">
        <v>5.1687000000000003</v>
      </c>
      <c r="I5540" t="s">
        <v>97</v>
      </c>
      <c r="J5540" t="s">
        <v>17</v>
      </c>
      <c r="K5540" t="str">
        <f>"5F6"</f>
        <v>5F6</v>
      </c>
      <c r="L5540" t="s">
        <v>15</v>
      </c>
    </row>
    <row r="5541" spans="1:12" x14ac:dyDescent="0.25">
      <c r="A5541" t="str">
        <f>"516229348"</f>
        <v>516229348</v>
      </c>
      <c r="B5541" t="str">
        <f t="shared" si="284"/>
        <v>89301000</v>
      </c>
      <c r="C5541" s="1">
        <v>44377</v>
      </c>
      <c r="D5541" s="1">
        <v>44378</v>
      </c>
      <c r="E5541">
        <v>1</v>
      </c>
      <c r="F5541" t="s">
        <v>1569</v>
      </c>
      <c r="G5541" t="str">
        <f>"09-I12-02"</f>
        <v>09-I12-02</v>
      </c>
      <c r="H5541">
        <v>0.78990000000000005</v>
      </c>
      <c r="I5541" t="s">
        <v>2119</v>
      </c>
      <c r="J5541" t="s">
        <v>14</v>
      </c>
      <c r="K5541" t="str">
        <f>"6F1"</f>
        <v>6F1</v>
      </c>
      <c r="L5541" t="s">
        <v>15</v>
      </c>
    </row>
    <row r="5542" spans="1:12" x14ac:dyDescent="0.25">
      <c r="A5542" t="str">
        <f>"516230168"</f>
        <v>516230168</v>
      </c>
      <c r="B5542" t="str">
        <f t="shared" si="284"/>
        <v>89301000</v>
      </c>
      <c r="C5542" s="1">
        <v>44335</v>
      </c>
      <c r="D5542" s="1">
        <v>44339</v>
      </c>
      <c r="E5542">
        <v>1</v>
      </c>
      <c r="F5542" t="s">
        <v>197</v>
      </c>
      <c r="G5542" t="str">
        <f>"03-I18-02"</f>
        <v>03-I18-02</v>
      </c>
      <c r="H5542">
        <v>0.84370000000000001</v>
      </c>
      <c r="I5542" t="s">
        <v>4083</v>
      </c>
      <c r="J5542" t="s">
        <v>24</v>
      </c>
      <c r="K5542" t="str">
        <f>"6F5"</f>
        <v>6F5</v>
      </c>
      <c r="L5542" t="s">
        <v>15</v>
      </c>
    </row>
    <row r="5543" spans="1:12" x14ac:dyDescent="0.25">
      <c r="A5543" t="str">
        <f>"520101291"</f>
        <v>520101291</v>
      </c>
      <c r="B5543" t="str">
        <f t="shared" si="284"/>
        <v>89301000</v>
      </c>
      <c r="C5543" s="1">
        <v>44425</v>
      </c>
      <c r="D5543" s="1">
        <v>44431</v>
      </c>
      <c r="E5543">
        <v>1</v>
      </c>
      <c r="F5543" t="s">
        <v>472</v>
      </c>
      <c r="G5543" t="str">
        <f>"12-K01-02"</f>
        <v>12-K01-02</v>
      </c>
      <c r="H5543">
        <v>0.502</v>
      </c>
      <c r="I5543" t="s">
        <v>4084</v>
      </c>
      <c r="J5543" t="s">
        <v>14</v>
      </c>
      <c r="K5543" t="str">
        <f>"7F6"</f>
        <v>7F6</v>
      </c>
      <c r="L5543" t="s">
        <v>15</v>
      </c>
    </row>
    <row r="5544" spans="1:12" x14ac:dyDescent="0.25">
      <c r="A5544" t="str">
        <f>"520101542"</f>
        <v>520101542</v>
      </c>
      <c r="B5544" t="str">
        <f t="shared" si="284"/>
        <v>89301000</v>
      </c>
      <c r="C5544" s="1">
        <v>44431</v>
      </c>
      <c r="D5544" s="1">
        <v>44432</v>
      </c>
      <c r="E5544">
        <v>1</v>
      </c>
      <c r="F5544" t="s">
        <v>174</v>
      </c>
      <c r="G5544" t="str">
        <f>"12-I14-00"</f>
        <v>12-I14-00</v>
      </c>
      <c r="H5544">
        <v>0.44350000000000001</v>
      </c>
      <c r="I5544" t="s">
        <v>4085</v>
      </c>
      <c r="J5544" t="s">
        <v>14</v>
      </c>
      <c r="K5544" t="str">
        <f>"7F6"</f>
        <v>7F6</v>
      </c>
      <c r="L5544" t="s">
        <v>15</v>
      </c>
    </row>
    <row r="5545" spans="1:12" x14ac:dyDescent="0.25">
      <c r="A5545" t="str">
        <f>"520101542"</f>
        <v>520101542</v>
      </c>
      <c r="B5545" t="str">
        <f t="shared" si="284"/>
        <v>89301000</v>
      </c>
      <c r="C5545" s="1">
        <v>44376</v>
      </c>
      <c r="D5545" s="1">
        <v>44379</v>
      </c>
      <c r="E5545">
        <v>1</v>
      </c>
      <c r="F5545" t="s">
        <v>792</v>
      </c>
      <c r="G5545" t="str">
        <f>"11-M04-03"</f>
        <v>11-M04-03</v>
      </c>
      <c r="H5545">
        <v>1.0784</v>
      </c>
      <c r="I5545" t="s">
        <v>4086</v>
      </c>
      <c r="J5545" t="s">
        <v>14</v>
      </c>
      <c r="K5545" t="str">
        <f>"7F6"</f>
        <v>7F6</v>
      </c>
      <c r="L5545" t="s">
        <v>15</v>
      </c>
    </row>
    <row r="5546" spans="1:12" x14ac:dyDescent="0.25">
      <c r="A5546" t="str">
        <f>"520101542"</f>
        <v>520101542</v>
      </c>
      <c r="B5546" t="str">
        <f t="shared" si="284"/>
        <v>89301000</v>
      </c>
      <c r="C5546" s="1">
        <v>44486</v>
      </c>
      <c r="D5546" s="1">
        <v>44491</v>
      </c>
      <c r="E5546">
        <v>1</v>
      </c>
      <c r="F5546" t="s">
        <v>2474</v>
      </c>
      <c r="G5546" t="str">
        <f>"11-K08-02"</f>
        <v>11-K08-02</v>
      </c>
      <c r="H5546">
        <v>0.47389999999999999</v>
      </c>
      <c r="I5546" t="s">
        <v>4087</v>
      </c>
      <c r="J5546" t="s">
        <v>14</v>
      </c>
      <c r="K5546" t="str">
        <f>"7F6"</f>
        <v>7F6</v>
      </c>
      <c r="L5546" t="s">
        <v>15</v>
      </c>
    </row>
    <row r="5547" spans="1:12" x14ac:dyDescent="0.25">
      <c r="A5547" t="str">
        <f>"520102316"</f>
        <v>520102316</v>
      </c>
      <c r="B5547" t="str">
        <f t="shared" si="284"/>
        <v>89301000</v>
      </c>
      <c r="C5547" s="1">
        <v>44477</v>
      </c>
      <c r="D5547" s="1">
        <v>44482</v>
      </c>
      <c r="E5547">
        <v>1</v>
      </c>
      <c r="F5547" t="s">
        <v>1553</v>
      </c>
      <c r="G5547" t="str">
        <f>"04-K05-03"</f>
        <v>04-K05-03</v>
      </c>
      <c r="H5547">
        <v>0.74980000000000002</v>
      </c>
      <c r="I5547" t="s">
        <v>4088</v>
      </c>
      <c r="J5547" t="s">
        <v>14</v>
      </c>
      <c r="K5547" t="str">
        <f>"1F1"</f>
        <v>1F1</v>
      </c>
      <c r="L5547" t="s">
        <v>15</v>
      </c>
    </row>
    <row r="5548" spans="1:12" x14ac:dyDescent="0.25">
      <c r="A5548" t="str">
        <f>"520109042"</f>
        <v>520109042</v>
      </c>
      <c r="B5548" t="str">
        <f t="shared" si="284"/>
        <v>89301000</v>
      </c>
      <c r="C5548" s="1">
        <v>44427</v>
      </c>
      <c r="D5548" s="1">
        <v>44433</v>
      </c>
      <c r="E5548">
        <v>1</v>
      </c>
      <c r="F5548" t="s">
        <v>41</v>
      </c>
      <c r="G5548" t="str">
        <f>"01-D01-03"</f>
        <v>01-D01-03</v>
      </c>
      <c r="H5548">
        <v>0.34760000000000002</v>
      </c>
      <c r="I5548" t="s">
        <v>4089</v>
      </c>
      <c r="J5548" t="s">
        <v>14</v>
      </c>
      <c r="K5548" t="str">
        <f>"2F5"</f>
        <v>2F5</v>
      </c>
      <c r="L5548" t="s">
        <v>15</v>
      </c>
    </row>
    <row r="5549" spans="1:12" x14ac:dyDescent="0.25">
      <c r="A5549" t="str">
        <f>"520111194"</f>
        <v>520111194</v>
      </c>
      <c r="B5549" t="str">
        <f t="shared" si="284"/>
        <v>89301000</v>
      </c>
      <c r="C5549" s="1">
        <v>44238</v>
      </c>
      <c r="D5549" s="1">
        <v>44245</v>
      </c>
      <c r="E5549">
        <v>5</v>
      </c>
      <c r="F5549" t="s">
        <v>1643</v>
      </c>
      <c r="G5549" t="str">
        <f>"08-I05-05"</f>
        <v>08-I05-05</v>
      </c>
      <c r="H5549">
        <v>2.2932000000000001</v>
      </c>
      <c r="I5549" t="s">
        <v>4090</v>
      </c>
      <c r="J5549" t="s">
        <v>17</v>
      </c>
      <c r="K5549" t="str">
        <f>"6F6"</f>
        <v>6F6</v>
      </c>
      <c r="L5549" t="s">
        <v>15</v>
      </c>
    </row>
    <row r="5550" spans="1:12" x14ac:dyDescent="0.25">
      <c r="A5550" t="str">
        <f>"520118119"</f>
        <v>520118119</v>
      </c>
      <c r="B5550" t="str">
        <f t="shared" si="284"/>
        <v>89301000</v>
      </c>
      <c r="C5550" s="1">
        <v>44348</v>
      </c>
      <c r="D5550" s="1">
        <v>44351</v>
      </c>
      <c r="E5550">
        <v>1</v>
      </c>
      <c r="F5550" t="s">
        <v>2111</v>
      </c>
      <c r="G5550" t="str">
        <f>"10-K15-02"</f>
        <v>10-K15-02</v>
      </c>
      <c r="H5550">
        <v>1.0346</v>
      </c>
      <c r="I5550" t="s">
        <v>4091</v>
      </c>
      <c r="J5550" t="s">
        <v>14</v>
      </c>
      <c r="K5550" t="str">
        <f>"2F5"</f>
        <v>2F5</v>
      </c>
      <c r="L5550" t="s">
        <v>15</v>
      </c>
    </row>
    <row r="5551" spans="1:12" x14ac:dyDescent="0.25">
      <c r="A5551" t="str">
        <f>"520120279"</f>
        <v>520120279</v>
      </c>
      <c r="B5551" t="str">
        <f t="shared" si="284"/>
        <v>89301000</v>
      </c>
      <c r="C5551" s="1">
        <v>44329</v>
      </c>
      <c r="D5551" s="1">
        <v>44329</v>
      </c>
      <c r="E5551">
        <v>1</v>
      </c>
      <c r="F5551" t="s">
        <v>1548</v>
      </c>
      <c r="G5551" t="str">
        <f>"05-I14-03"</f>
        <v>05-I14-03</v>
      </c>
      <c r="H5551">
        <v>5.8045</v>
      </c>
      <c r="J5551" t="s">
        <v>14</v>
      </c>
      <c r="K5551" t="str">
        <f>"1F1"</f>
        <v>1F1</v>
      </c>
      <c r="L5551" t="s">
        <v>15</v>
      </c>
    </row>
    <row r="5552" spans="1:12" x14ac:dyDescent="0.25">
      <c r="A5552" t="str">
        <f>"520120279"</f>
        <v>520120279</v>
      </c>
      <c r="B5552" t="str">
        <f t="shared" si="284"/>
        <v>89301000</v>
      </c>
      <c r="C5552" s="1">
        <v>44530</v>
      </c>
      <c r="D5552" s="1">
        <v>44543</v>
      </c>
      <c r="E5552">
        <v>1</v>
      </c>
      <c r="F5552" t="s">
        <v>1683</v>
      </c>
      <c r="G5552" t="str">
        <f>"05-I16-04"</f>
        <v>05-I16-04</v>
      </c>
      <c r="H5552">
        <v>6.1497999999999999</v>
      </c>
      <c r="I5552" t="s">
        <v>1606</v>
      </c>
      <c r="J5552" t="s">
        <v>17</v>
      </c>
      <c r="K5552" t="str">
        <f>"5F5"</f>
        <v>5F5</v>
      </c>
      <c r="L5552" t="s">
        <v>15</v>
      </c>
    </row>
    <row r="5553" spans="1:12" x14ac:dyDescent="0.25">
      <c r="A5553" t="str">
        <f>"520121053"</f>
        <v>520121053</v>
      </c>
      <c r="B5553" t="str">
        <f t="shared" si="284"/>
        <v>89301000</v>
      </c>
      <c r="C5553" s="1">
        <v>44390</v>
      </c>
      <c r="D5553" s="1">
        <v>44393</v>
      </c>
      <c r="E5553">
        <v>1</v>
      </c>
      <c r="F5553" t="s">
        <v>1931</v>
      </c>
      <c r="G5553" t="str">
        <f>"03-K04-01"</f>
        <v>03-K04-01</v>
      </c>
      <c r="H5553">
        <v>0.46660000000000001</v>
      </c>
      <c r="J5553" t="s">
        <v>14</v>
      </c>
      <c r="K5553" t="str">
        <f>"7F1"</f>
        <v>7F1</v>
      </c>
      <c r="L5553" t="s">
        <v>15</v>
      </c>
    </row>
    <row r="5554" spans="1:12" x14ac:dyDescent="0.25">
      <c r="A5554" t="str">
        <f>"520124070"</f>
        <v>520124070</v>
      </c>
      <c r="B5554" t="str">
        <f t="shared" si="284"/>
        <v>89301000</v>
      </c>
      <c r="C5554" s="1">
        <v>44302</v>
      </c>
      <c r="D5554" s="1">
        <v>44312</v>
      </c>
      <c r="E5554">
        <v>5</v>
      </c>
      <c r="F5554" t="s">
        <v>217</v>
      </c>
      <c r="G5554" t="str">
        <f>"00-M01-04"</f>
        <v>00-M01-04</v>
      </c>
      <c r="H5554">
        <v>6.85</v>
      </c>
      <c r="I5554" t="s">
        <v>4092</v>
      </c>
      <c r="J5554" t="s">
        <v>14</v>
      </c>
      <c r="K5554" t="str">
        <f>"2F5"</f>
        <v>2F5</v>
      </c>
      <c r="L5554" t="s">
        <v>15</v>
      </c>
    </row>
    <row r="5555" spans="1:12" x14ac:dyDescent="0.25">
      <c r="A5555" t="str">
        <f>"520125133"</f>
        <v>520125133</v>
      </c>
      <c r="B5555" t="str">
        <f t="shared" si="284"/>
        <v>89301000</v>
      </c>
      <c r="C5555" s="1">
        <v>44372</v>
      </c>
      <c r="D5555" s="1">
        <v>44375</v>
      </c>
      <c r="E5555">
        <v>1</v>
      </c>
      <c r="F5555" t="s">
        <v>320</v>
      </c>
      <c r="G5555" t="str">
        <f>"03-I23-00"</f>
        <v>03-I23-00</v>
      </c>
      <c r="H5555">
        <v>0.47639999999999999</v>
      </c>
      <c r="I5555" t="s">
        <v>4093</v>
      </c>
      <c r="J5555" t="s">
        <v>14</v>
      </c>
      <c r="K5555" t="str">
        <f>"6F5"</f>
        <v>6F5</v>
      </c>
      <c r="L5555" t="s">
        <v>15</v>
      </c>
    </row>
    <row r="5556" spans="1:12" x14ac:dyDescent="0.25">
      <c r="A5556" t="str">
        <f>"520208033"</f>
        <v>520208033</v>
      </c>
      <c r="B5556" t="str">
        <f t="shared" si="284"/>
        <v>89301000</v>
      </c>
      <c r="C5556" s="1">
        <v>44250</v>
      </c>
      <c r="D5556" s="1">
        <v>44256</v>
      </c>
      <c r="E5556">
        <v>1</v>
      </c>
      <c r="F5556" t="s">
        <v>2585</v>
      </c>
      <c r="G5556" t="str">
        <f>"12-I02-01"</f>
        <v>12-I02-01</v>
      </c>
      <c r="H5556">
        <v>3.1240999999999999</v>
      </c>
      <c r="I5556" t="s">
        <v>168</v>
      </c>
      <c r="J5556" t="s">
        <v>14</v>
      </c>
      <c r="K5556" t="str">
        <f>"7F6"</f>
        <v>7F6</v>
      </c>
      <c r="L5556" t="s">
        <v>15</v>
      </c>
    </row>
    <row r="5557" spans="1:12" x14ac:dyDescent="0.25">
      <c r="A5557" t="str">
        <f>"520219212"</f>
        <v>520219212</v>
      </c>
      <c r="B5557" t="str">
        <f t="shared" si="284"/>
        <v>89301000</v>
      </c>
      <c r="C5557" s="1">
        <v>44446</v>
      </c>
      <c r="D5557" s="1">
        <v>44448</v>
      </c>
      <c r="E5557">
        <v>1</v>
      </c>
      <c r="F5557" t="s">
        <v>4094</v>
      </c>
      <c r="G5557" t="str">
        <f>"01-I13-00"</f>
        <v>01-I13-00</v>
      </c>
      <c r="H5557">
        <v>0.42880000000000001</v>
      </c>
      <c r="I5557" t="s">
        <v>4095</v>
      </c>
      <c r="J5557" t="s">
        <v>14</v>
      </c>
      <c r="K5557" t="str">
        <f>"6F1"</f>
        <v>6F1</v>
      </c>
      <c r="L5557" t="s">
        <v>15</v>
      </c>
    </row>
    <row r="5558" spans="1:12" x14ac:dyDescent="0.25">
      <c r="A5558" t="str">
        <f>"520219212"</f>
        <v>520219212</v>
      </c>
      <c r="B5558" t="str">
        <f t="shared" si="284"/>
        <v>89301000</v>
      </c>
      <c r="C5558" s="1">
        <v>44468</v>
      </c>
      <c r="D5558" s="1">
        <v>44469</v>
      </c>
      <c r="E5558">
        <v>1</v>
      </c>
      <c r="F5558" t="s">
        <v>4096</v>
      </c>
      <c r="G5558" t="str">
        <f>"08-I26-03"</f>
        <v>08-I26-03</v>
      </c>
      <c r="H5558">
        <v>0.45679999999999998</v>
      </c>
      <c r="I5558" t="s">
        <v>4097</v>
      </c>
      <c r="J5558" t="s">
        <v>14</v>
      </c>
      <c r="K5558" t="str">
        <f>"6F1"</f>
        <v>6F1</v>
      </c>
      <c r="L5558" t="s">
        <v>15</v>
      </c>
    </row>
    <row r="5559" spans="1:12" x14ac:dyDescent="0.25">
      <c r="A5559" t="str">
        <f>"520219212"</f>
        <v>520219212</v>
      </c>
      <c r="B5559" t="str">
        <f t="shared" si="284"/>
        <v>89301000</v>
      </c>
      <c r="C5559" s="1">
        <v>44207</v>
      </c>
      <c r="D5559" s="1">
        <v>44216</v>
      </c>
      <c r="E5559">
        <v>4</v>
      </c>
      <c r="F5559" t="s">
        <v>962</v>
      </c>
      <c r="G5559" t="str">
        <f>"04-M01-05"</f>
        <v>04-M01-05</v>
      </c>
      <c r="H5559">
        <v>6.2100999999999997</v>
      </c>
      <c r="I5559" t="s">
        <v>4098</v>
      </c>
      <c r="J5559" t="s">
        <v>14</v>
      </c>
      <c r="K5559" t="str">
        <f>"7T8"</f>
        <v>7T8</v>
      </c>
      <c r="L5559" t="s">
        <v>15</v>
      </c>
    </row>
    <row r="5560" spans="1:12" x14ac:dyDescent="0.25">
      <c r="A5560" t="str">
        <f>"520222104"</f>
        <v>520222104</v>
      </c>
      <c r="B5560" t="str">
        <f t="shared" si="284"/>
        <v>89301000</v>
      </c>
      <c r="C5560" s="1">
        <v>44264</v>
      </c>
      <c r="D5560" s="1">
        <v>44265</v>
      </c>
      <c r="E5560">
        <v>5</v>
      </c>
      <c r="F5560" t="s">
        <v>774</v>
      </c>
      <c r="G5560" t="str">
        <f>"03-I18-01"</f>
        <v>03-I18-01</v>
      </c>
      <c r="H5560">
        <v>1.4430000000000001</v>
      </c>
      <c r="I5560" t="s">
        <v>4099</v>
      </c>
      <c r="J5560" t="s">
        <v>24</v>
      </c>
      <c r="K5560" t="str">
        <f>"5T1"</f>
        <v>5T1</v>
      </c>
      <c r="L5560" t="s">
        <v>15</v>
      </c>
    </row>
    <row r="5561" spans="1:12" x14ac:dyDescent="0.25">
      <c r="A5561" t="str">
        <f>"520226190"</f>
        <v>520226190</v>
      </c>
      <c r="B5561" t="str">
        <f t="shared" si="284"/>
        <v>89301000</v>
      </c>
      <c r="C5561" s="1">
        <v>44474</v>
      </c>
      <c r="D5561" s="1">
        <v>44482</v>
      </c>
      <c r="E5561">
        <v>1</v>
      </c>
      <c r="F5561" t="s">
        <v>4100</v>
      </c>
      <c r="G5561" t="str">
        <f>"09-K02-00"</f>
        <v>09-K02-00</v>
      </c>
      <c r="H5561">
        <v>1.1361000000000001</v>
      </c>
      <c r="I5561" t="s">
        <v>4101</v>
      </c>
      <c r="J5561" t="s">
        <v>14</v>
      </c>
      <c r="K5561" t="str">
        <f>"4F4"</f>
        <v>4F4</v>
      </c>
      <c r="L5561" t="s">
        <v>15</v>
      </c>
    </row>
    <row r="5562" spans="1:12" x14ac:dyDescent="0.25">
      <c r="A5562" t="str">
        <f>"520229117"</f>
        <v>520229117</v>
      </c>
      <c r="B5562" t="str">
        <f t="shared" si="284"/>
        <v>89301000</v>
      </c>
      <c r="C5562" s="1">
        <v>44302</v>
      </c>
      <c r="D5562" s="1">
        <v>44306</v>
      </c>
      <c r="E5562">
        <v>1</v>
      </c>
      <c r="F5562" t="s">
        <v>1563</v>
      </c>
      <c r="G5562" t="str">
        <f>"05-K05-05"</f>
        <v>05-K05-05</v>
      </c>
      <c r="H5562">
        <v>0.37819999999999998</v>
      </c>
      <c r="I5562" t="s">
        <v>1842</v>
      </c>
      <c r="J5562" t="s">
        <v>14</v>
      </c>
      <c r="K5562" t="str">
        <f>"1F1"</f>
        <v>1F1</v>
      </c>
      <c r="L5562" t="s">
        <v>15</v>
      </c>
    </row>
    <row r="5563" spans="1:12" x14ac:dyDescent="0.25">
      <c r="A5563" t="str">
        <f>"520302120"</f>
        <v>520302120</v>
      </c>
      <c r="B5563" t="str">
        <f t="shared" si="284"/>
        <v>89301000</v>
      </c>
      <c r="C5563" s="1">
        <v>44350</v>
      </c>
      <c r="D5563" s="1">
        <v>44363</v>
      </c>
      <c r="E5563">
        <v>1</v>
      </c>
      <c r="F5563" t="s">
        <v>3083</v>
      </c>
      <c r="G5563" t="str">
        <f>"04-I05-03"</f>
        <v>04-I05-03</v>
      </c>
      <c r="H5563">
        <v>2.1143000000000001</v>
      </c>
      <c r="I5563" t="s">
        <v>4102</v>
      </c>
      <c r="J5563" t="s">
        <v>106</v>
      </c>
      <c r="K5563" t="str">
        <f>"2F5"</f>
        <v>2F5</v>
      </c>
      <c r="L5563" t="s">
        <v>15</v>
      </c>
    </row>
    <row r="5564" spans="1:12" x14ac:dyDescent="0.25">
      <c r="A5564" t="str">
        <f>"520302120"</f>
        <v>520302120</v>
      </c>
      <c r="B5564" t="str">
        <f t="shared" si="284"/>
        <v>89301000</v>
      </c>
      <c r="C5564" s="1">
        <v>44371</v>
      </c>
      <c r="D5564" s="1">
        <v>44378</v>
      </c>
      <c r="E5564">
        <v>1</v>
      </c>
      <c r="F5564" t="s">
        <v>4103</v>
      </c>
      <c r="G5564" t="str">
        <f>"08-K03-02"</f>
        <v>08-K03-02</v>
      </c>
      <c r="H5564">
        <v>1.5813999999999999</v>
      </c>
      <c r="I5564" t="s">
        <v>4104</v>
      </c>
      <c r="J5564" t="s">
        <v>14</v>
      </c>
      <c r="K5564" t="str">
        <f>"5F1"</f>
        <v>5F1</v>
      </c>
      <c r="L5564" t="s">
        <v>15</v>
      </c>
    </row>
    <row r="5565" spans="1:12" x14ac:dyDescent="0.25">
      <c r="A5565" t="str">
        <f>"520314148"</f>
        <v>520314148</v>
      </c>
      <c r="B5565" t="str">
        <f t="shared" si="284"/>
        <v>89301000</v>
      </c>
      <c r="C5565" s="1">
        <v>44558</v>
      </c>
      <c r="D5565" s="1">
        <v>44561</v>
      </c>
      <c r="E5565">
        <v>5</v>
      </c>
      <c r="F5565" t="s">
        <v>3568</v>
      </c>
      <c r="G5565" t="str">
        <f>"08-I03-08"</f>
        <v>08-I03-08</v>
      </c>
      <c r="H5565">
        <v>2.0605000000000002</v>
      </c>
      <c r="I5565" t="s">
        <v>3569</v>
      </c>
      <c r="J5565" t="s">
        <v>17</v>
      </c>
      <c r="K5565" t="str">
        <f>"5T6"</f>
        <v>5T6</v>
      </c>
      <c r="L5565" t="s">
        <v>15</v>
      </c>
    </row>
    <row r="5566" spans="1:12" x14ac:dyDescent="0.25">
      <c r="A5566" t="str">
        <f>"520328367"</f>
        <v>520328367</v>
      </c>
      <c r="B5566" t="str">
        <f t="shared" si="284"/>
        <v>89301000</v>
      </c>
      <c r="C5566" s="1">
        <v>44455</v>
      </c>
      <c r="D5566" s="1">
        <v>44462</v>
      </c>
      <c r="E5566">
        <v>1</v>
      </c>
      <c r="F5566" t="s">
        <v>952</v>
      </c>
      <c r="G5566" t="str">
        <f>"04-I08-04"</f>
        <v>04-I08-04</v>
      </c>
      <c r="H5566">
        <v>0.94230000000000003</v>
      </c>
      <c r="I5566" t="s">
        <v>4105</v>
      </c>
      <c r="J5566" t="s">
        <v>14</v>
      </c>
      <c r="K5566" t="str">
        <f>"2F5"</f>
        <v>2F5</v>
      </c>
      <c r="L5566" t="s">
        <v>15</v>
      </c>
    </row>
    <row r="5567" spans="1:12" x14ac:dyDescent="0.25">
      <c r="A5567" t="str">
        <f>"520404323"</f>
        <v>520404323</v>
      </c>
      <c r="B5567" t="str">
        <f t="shared" si="284"/>
        <v>89301000</v>
      </c>
      <c r="C5567" s="1">
        <v>44335</v>
      </c>
      <c r="D5567" s="1">
        <v>44406</v>
      </c>
      <c r="E5567">
        <v>2</v>
      </c>
      <c r="F5567" t="s">
        <v>67</v>
      </c>
      <c r="G5567" t="str">
        <f>"00-M04-04"</f>
        <v>00-M04-04</v>
      </c>
      <c r="H5567">
        <v>42.117699999999999</v>
      </c>
      <c r="I5567" t="s">
        <v>4106</v>
      </c>
      <c r="J5567" t="s">
        <v>14</v>
      </c>
      <c r="K5567" t="str">
        <f>"2T9"</f>
        <v>2T9</v>
      </c>
      <c r="L5567" t="s">
        <v>15</v>
      </c>
    </row>
    <row r="5568" spans="1:12" x14ac:dyDescent="0.25">
      <c r="A5568" t="str">
        <f>"520409013"</f>
        <v>520409013</v>
      </c>
      <c r="B5568" t="str">
        <f t="shared" si="284"/>
        <v>89301000</v>
      </c>
      <c r="C5568" s="1">
        <v>44468</v>
      </c>
      <c r="D5568" s="1">
        <v>44469</v>
      </c>
      <c r="E5568">
        <v>1</v>
      </c>
      <c r="F5568" t="s">
        <v>2111</v>
      </c>
      <c r="G5568" t="str">
        <f>"10-K15-02"</f>
        <v>10-K15-02</v>
      </c>
      <c r="H5568">
        <v>0.51819999999999999</v>
      </c>
      <c r="I5568" t="s">
        <v>4107</v>
      </c>
      <c r="J5568" t="s">
        <v>14</v>
      </c>
      <c r="K5568" t="str">
        <f>"2F5"</f>
        <v>2F5</v>
      </c>
      <c r="L5568" t="s">
        <v>15</v>
      </c>
    </row>
    <row r="5569" spans="1:12" x14ac:dyDescent="0.25">
      <c r="A5569" t="str">
        <f>"520419321"</f>
        <v>520419321</v>
      </c>
      <c r="B5569" t="str">
        <f t="shared" si="284"/>
        <v>89301000</v>
      </c>
      <c r="C5569" s="1">
        <v>44524</v>
      </c>
      <c r="D5569" s="1">
        <v>44526</v>
      </c>
      <c r="E5569">
        <v>1</v>
      </c>
      <c r="F5569" t="s">
        <v>1679</v>
      </c>
      <c r="G5569" t="str">
        <f>"11-I17-03"</f>
        <v>11-I17-03</v>
      </c>
      <c r="H5569">
        <v>0.50609999999999999</v>
      </c>
      <c r="I5569" t="s">
        <v>4108</v>
      </c>
      <c r="J5569" t="s">
        <v>14</v>
      </c>
      <c r="K5569" t="str">
        <f>"7F6"</f>
        <v>7F6</v>
      </c>
      <c r="L5569" t="s">
        <v>15</v>
      </c>
    </row>
    <row r="5570" spans="1:12" x14ac:dyDescent="0.25">
      <c r="A5570" t="str">
        <f>"520419321"</f>
        <v>520419321</v>
      </c>
      <c r="B5570" t="str">
        <f t="shared" si="284"/>
        <v>89301000</v>
      </c>
      <c r="C5570" s="1">
        <v>44398</v>
      </c>
      <c r="D5570" s="1">
        <v>44400</v>
      </c>
      <c r="E5570">
        <v>1</v>
      </c>
      <c r="F5570" t="s">
        <v>2264</v>
      </c>
      <c r="G5570" t="str">
        <f>"11-M06-03"</f>
        <v>11-M06-03</v>
      </c>
      <c r="H5570">
        <v>0.61519999999999997</v>
      </c>
      <c r="I5570" t="s">
        <v>4109</v>
      </c>
      <c r="J5570" t="s">
        <v>17</v>
      </c>
      <c r="K5570" t="str">
        <f>"7F6"</f>
        <v>7F6</v>
      </c>
      <c r="L5570" t="s">
        <v>15</v>
      </c>
    </row>
    <row r="5571" spans="1:12" x14ac:dyDescent="0.25">
      <c r="A5571" t="str">
        <f>"520423311"</f>
        <v>520423311</v>
      </c>
      <c r="B5571" t="str">
        <f t="shared" si="284"/>
        <v>89301000</v>
      </c>
      <c r="C5571" s="1">
        <v>44536</v>
      </c>
      <c r="D5571" s="1">
        <v>44551</v>
      </c>
      <c r="E5571">
        <v>1</v>
      </c>
      <c r="F5571" t="s">
        <v>2434</v>
      </c>
      <c r="G5571" t="str">
        <f>"04-I02-04"</f>
        <v>04-I02-04</v>
      </c>
      <c r="H5571">
        <v>3.1617999999999999</v>
      </c>
      <c r="I5571" t="s">
        <v>4110</v>
      </c>
      <c r="J5571" t="s">
        <v>106</v>
      </c>
      <c r="K5571" t="str">
        <f>"2F5"</f>
        <v>2F5</v>
      </c>
      <c r="L5571" t="s">
        <v>15</v>
      </c>
    </row>
    <row r="5572" spans="1:12" x14ac:dyDescent="0.25">
      <c r="A5572" t="str">
        <f>"520501138"</f>
        <v>520501138</v>
      </c>
      <c r="B5572" t="str">
        <f t="shared" si="284"/>
        <v>89301000</v>
      </c>
      <c r="C5572" s="1">
        <v>44532</v>
      </c>
      <c r="D5572" s="1">
        <v>44551</v>
      </c>
      <c r="E5572">
        <v>1</v>
      </c>
      <c r="F5572" t="s">
        <v>2549</v>
      </c>
      <c r="G5572" t="str">
        <f>"10-I02-01"</f>
        <v>10-I02-01</v>
      </c>
      <c r="H5572">
        <v>3.7246999999999999</v>
      </c>
      <c r="I5572" t="s">
        <v>4111</v>
      </c>
      <c r="J5572" t="s">
        <v>14</v>
      </c>
      <c r="K5572" t="str">
        <f>"1F1"</f>
        <v>1F1</v>
      </c>
      <c r="L5572" t="s">
        <v>15</v>
      </c>
    </row>
    <row r="5573" spans="1:12" x14ac:dyDescent="0.25">
      <c r="A5573" t="str">
        <f>"520504028"</f>
        <v>520504028</v>
      </c>
      <c r="B5573" t="str">
        <f t="shared" si="284"/>
        <v>89301000</v>
      </c>
      <c r="C5573" s="1">
        <v>44400</v>
      </c>
      <c r="D5573" s="1">
        <v>44401</v>
      </c>
      <c r="E5573">
        <v>5</v>
      </c>
      <c r="F5573" t="s">
        <v>1683</v>
      </c>
      <c r="G5573" t="str">
        <f>"05-K03-03"</f>
        <v>05-K03-03</v>
      </c>
      <c r="H5573">
        <v>0.54649999999999999</v>
      </c>
      <c r="J5573" t="s">
        <v>14</v>
      </c>
      <c r="K5573" t="str">
        <f>"1F1"</f>
        <v>1F1</v>
      </c>
      <c r="L5573" t="s">
        <v>15</v>
      </c>
    </row>
    <row r="5574" spans="1:12" x14ac:dyDescent="0.25">
      <c r="A5574" t="str">
        <f>"520506025"</f>
        <v>520506025</v>
      </c>
      <c r="B5574" t="str">
        <f t="shared" si="284"/>
        <v>89301000</v>
      </c>
      <c r="C5574" s="1">
        <v>44473</v>
      </c>
      <c r="D5574" s="1">
        <v>44482</v>
      </c>
      <c r="E5574">
        <v>1</v>
      </c>
      <c r="F5574" t="s">
        <v>3462</v>
      </c>
      <c r="G5574" t="str">
        <f>"06-I17-02"</f>
        <v>06-I17-02</v>
      </c>
      <c r="H5574">
        <v>0.97919999999999996</v>
      </c>
      <c r="J5574" t="s">
        <v>17</v>
      </c>
      <c r="K5574" t="str">
        <f>"5F1"</f>
        <v>5F1</v>
      </c>
      <c r="L5574" t="s">
        <v>15</v>
      </c>
    </row>
    <row r="5575" spans="1:12" x14ac:dyDescent="0.25">
      <c r="A5575" t="str">
        <f>"520507208"</f>
        <v>520507208</v>
      </c>
      <c r="B5575" t="str">
        <f t="shared" si="284"/>
        <v>89301000</v>
      </c>
      <c r="C5575" s="1">
        <v>44351</v>
      </c>
      <c r="D5575" s="1">
        <v>44365</v>
      </c>
      <c r="E5575">
        <v>5</v>
      </c>
      <c r="F5575" t="s">
        <v>1543</v>
      </c>
      <c r="G5575" t="str">
        <f>"01-M02-00"</f>
        <v>01-M02-00</v>
      </c>
      <c r="H5575">
        <v>5.4023000000000003</v>
      </c>
      <c r="I5575" t="s">
        <v>4112</v>
      </c>
      <c r="J5575" t="s">
        <v>17</v>
      </c>
      <c r="K5575" t="str">
        <f>"2T9"</f>
        <v>2T9</v>
      </c>
      <c r="L5575" t="s">
        <v>15</v>
      </c>
    </row>
    <row r="5576" spans="1:12" x14ac:dyDescent="0.25">
      <c r="A5576" t="str">
        <f>"520508068"</f>
        <v>520508068</v>
      </c>
      <c r="B5576" t="str">
        <f t="shared" si="284"/>
        <v>89301000</v>
      </c>
      <c r="C5576" s="1">
        <v>44371</v>
      </c>
      <c r="D5576" s="1">
        <v>44377</v>
      </c>
      <c r="E5576">
        <v>3</v>
      </c>
      <c r="F5576" t="s">
        <v>2407</v>
      </c>
      <c r="G5576" t="str">
        <f>"08-I06-04"</f>
        <v>08-I06-04</v>
      </c>
      <c r="H5576">
        <v>2.4260000000000002</v>
      </c>
      <c r="I5576" t="s">
        <v>4113</v>
      </c>
      <c r="J5576" t="s">
        <v>24</v>
      </c>
      <c r="K5576" t="str">
        <f>"6F6"</f>
        <v>6F6</v>
      </c>
      <c r="L5576" t="s">
        <v>15</v>
      </c>
    </row>
    <row r="5577" spans="1:12" x14ac:dyDescent="0.25">
      <c r="A5577" t="str">
        <f>"520508068"</f>
        <v>520508068</v>
      </c>
      <c r="B5577" t="str">
        <f t="shared" ref="B5577:B5640" si="287">"89301000"</f>
        <v>89301000</v>
      </c>
      <c r="C5577" s="1">
        <v>44377</v>
      </c>
      <c r="D5577" s="1">
        <v>44386</v>
      </c>
      <c r="E5577">
        <v>1</v>
      </c>
      <c r="F5577" t="s">
        <v>109</v>
      </c>
      <c r="G5577" t="str">
        <f>"24-M06-02"</f>
        <v>24-M06-02</v>
      </c>
      <c r="H5577">
        <v>1.0233000000000001</v>
      </c>
      <c r="I5577" t="s">
        <v>4114</v>
      </c>
      <c r="J5577" t="s">
        <v>14</v>
      </c>
      <c r="K5577" t="str">
        <f>"2F1"</f>
        <v>2F1</v>
      </c>
      <c r="L5577" t="s">
        <v>15</v>
      </c>
    </row>
    <row r="5578" spans="1:12" x14ac:dyDescent="0.25">
      <c r="A5578" t="str">
        <f>"520510037"</f>
        <v>520510037</v>
      </c>
      <c r="B5578" t="str">
        <f t="shared" si="287"/>
        <v>89301000</v>
      </c>
      <c r="C5578" s="1">
        <v>44368</v>
      </c>
      <c r="D5578" s="1">
        <v>44370</v>
      </c>
      <c r="E5578">
        <v>1</v>
      </c>
      <c r="F5578" t="s">
        <v>831</v>
      </c>
      <c r="G5578" t="str">
        <f>"02-I06-03"</f>
        <v>02-I06-03</v>
      </c>
      <c r="H5578">
        <v>0.63690000000000002</v>
      </c>
      <c r="I5578" t="s">
        <v>4115</v>
      </c>
      <c r="J5578" t="s">
        <v>17</v>
      </c>
      <c r="K5578" t="str">
        <f>"7F5"</f>
        <v>7F5</v>
      </c>
      <c r="L5578" t="s">
        <v>15</v>
      </c>
    </row>
    <row r="5579" spans="1:12" x14ac:dyDescent="0.25">
      <c r="A5579" t="str">
        <f>"520515002"</f>
        <v>520515002</v>
      </c>
      <c r="B5579" t="str">
        <f t="shared" si="287"/>
        <v>89301000</v>
      </c>
      <c r="C5579" s="1">
        <v>44328</v>
      </c>
      <c r="D5579" s="1">
        <v>44330</v>
      </c>
      <c r="E5579">
        <v>1</v>
      </c>
      <c r="F5579" t="s">
        <v>1762</v>
      </c>
      <c r="G5579" t="str">
        <f>"04-M02-02"</f>
        <v>04-M02-02</v>
      </c>
      <c r="H5579">
        <v>2.1122999999999998</v>
      </c>
      <c r="I5579" t="s">
        <v>4116</v>
      </c>
      <c r="J5579" t="s">
        <v>14</v>
      </c>
      <c r="K5579" t="str">
        <f>"2F5"</f>
        <v>2F5</v>
      </c>
      <c r="L5579" t="s">
        <v>15</v>
      </c>
    </row>
    <row r="5580" spans="1:12" x14ac:dyDescent="0.25">
      <c r="A5580" t="str">
        <f>"520521203"</f>
        <v>520521203</v>
      </c>
      <c r="B5580" t="str">
        <f t="shared" si="287"/>
        <v>89301000</v>
      </c>
      <c r="C5580" s="1">
        <v>44494</v>
      </c>
      <c r="D5580" s="1">
        <v>44495</v>
      </c>
      <c r="E5580">
        <v>1</v>
      </c>
      <c r="F5580" t="s">
        <v>1557</v>
      </c>
      <c r="G5580" t="str">
        <f>"05-D01-08"</f>
        <v>05-D01-08</v>
      </c>
      <c r="H5580">
        <v>0.4093</v>
      </c>
      <c r="J5580" t="s">
        <v>14</v>
      </c>
      <c r="K5580" t="str">
        <f>"1F7"</f>
        <v>1F7</v>
      </c>
      <c r="L5580" t="s">
        <v>15</v>
      </c>
    </row>
    <row r="5581" spans="1:12" x14ac:dyDescent="0.25">
      <c r="A5581" t="str">
        <f>"520522005"</f>
        <v>520522005</v>
      </c>
      <c r="B5581" t="str">
        <f t="shared" si="287"/>
        <v>89301000</v>
      </c>
      <c r="C5581" s="1">
        <v>44185</v>
      </c>
      <c r="D5581" s="1">
        <v>44222</v>
      </c>
      <c r="E5581">
        <v>5</v>
      </c>
      <c r="F5581" t="s">
        <v>4117</v>
      </c>
      <c r="G5581" t="str">
        <f>"00-M03-01"</f>
        <v>00-M03-01</v>
      </c>
      <c r="H5581">
        <v>32.226300000000002</v>
      </c>
      <c r="I5581" t="s">
        <v>4118</v>
      </c>
      <c r="J5581" t="s">
        <v>14</v>
      </c>
      <c r="K5581" t="str">
        <f>"5T5"</f>
        <v>5T5</v>
      </c>
      <c r="L5581" t="s">
        <v>15</v>
      </c>
    </row>
    <row r="5582" spans="1:12" x14ac:dyDescent="0.25">
      <c r="A5582" t="str">
        <f>"520526356"</f>
        <v>520526356</v>
      </c>
      <c r="B5582" t="str">
        <f t="shared" si="287"/>
        <v>89301000</v>
      </c>
      <c r="C5582" s="1">
        <v>44510</v>
      </c>
      <c r="D5582" s="1">
        <v>44512</v>
      </c>
      <c r="E5582">
        <v>1</v>
      </c>
      <c r="F5582" t="s">
        <v>1679</v>
      </c>
      <c r="G5582" t="str">
        <f>"11-M06-03"</f>
        <v>11-M06-03</v>
      </c>
      <c r="H5582">
        <v>0.61519999999999997</v>
      </c>
      <c r="I5582" t="s">
        <v>4119</v>
      </c>
      <c r="J5582" t="s">
        <v>17</v>
      </c>
      <c r="K5582" t="str">
        <f>"7F6"</f>
        <v>7F6</v>
      </c>
      <c r="L5582" t="s">
        <v>15</v>
      </c>
    </row>
    <row r="5583" spans="1:12" x14ac:dyDescent="0.25">
      <c r="A5583" t="str">
        <f>"520526356"</f>
        <v>520526356</v>
      </c>
      <c r="B5583" t="str">
        <f t="shared" si="287"/>
        <v>89301000</v>
      </c>
      <c r="C5583" s="1">
        <v>44258</v>
      </c>
      <c r="D5583" s="1">
        <v>44261</v>
      </c>
      <c r="E5583">
        <v>1</v>
      </c>
      <c r="F5583" t="s">
        <v>1679</v>
      </c>
      <c r="G5583" t="str">
        <f>"11-M06-02"</f>
        <v>11-M06-02</v>
      </c>
      <c r="H5583">
        <v>0.96440000000000003</v>
      </c>
      <c r="I5583" t="s">
        <v>4120</v>
      </c>
      <c r="J5583" t="s">
        <v>17</v>
      </c>
      <c r="K5583" t="str">
        <f>"7F6"</f>
        <v>7F6</v>
      </c>
      <c r="L5583" t="s">
        <v>15</v>
      </c>
    </row>
    <row r="5584" spans="1:12" x14ac:dyDescent="0.25">
      <c r="A5584" t="str">
        <f>"520526356"</f>
        <v>520526356</v>
      </c>
      <c r="B5584" t="str">
        <f t="shared" si="287"/>
        <v>89301000</v>
      </c>
      <c r="C5584" s="1">
        <v>44377</v>
      </c>
      <c r="D5584" s="1">
        <v>44379</v>
      </c>
      <c r="E5584">
        <v>1</v>
      </c>
      <c r="F5584" t="s">
        <v>1679</v>
      </c>
      <c r="G5584" t="str">
        <f>"11-M06-03"</f>
        <v>11-M06-03</v>
      </c>
      <c r="H5584">
        <v>0.61519999999999997</v>
      </c>
      <c r="I5584" t="s">
        <v>4121</v>
      </c>
      <c r="J5584" t="s">
        <v>17</v>
      </c>
      <c r="K5584" t="str">
        <f>"7F6"</f>
        <v>7F6</v>
      </c>
      <c r="L5584" t="s">
        <v>15</v>
      </c>
    </row>
    <row r="5585" spans="1:12" x14ac:dyDescent="0.25">
      <c r="A5585" t="str">
        <f>"520529119"</f>
        <v>520529119</v>
      </c>
      <c r="B5585" t="str">
        <f t="shared" si="287"/>
        <v>89301000</v>
      </c>
      <c r="C5585" s="1">
        <v>44205</v>
      </c>
      <c r="D5585" s="1">
        <v>44216</v>
      </c>
      <c r="E5585">
        <v>8</v>
      </c>
      <c r="F5585" t="s">
        <v>217</v>
      </c>
      <c r="G5585" t="str">
        <f>"04-K02-04"</f>
        <v>04-K02-04</v>
      </c>
      <c r="H5585">
        <v>0.82469999999999999</v>
      </c>
      <c r="I5585" t="s">
        <v>274</v>
      </c>
      <c r="J5585" t="s">
        <v>14</v>
      </c>
      <c r="K5585" t="str">
        <f>"1F1"</f>
        <v>1F1</v>
      </c>
      <c r="L5585" t="s">
        <v>15</v>
      </c>
    </row>
    <row r="5586" spans="1:12" x14ac:dyDescent="0.25">
      <c r="A5586" t="str">
        <f>"520530340"</f>
        <v>520530340</v>
      </c>
      <c r="B5586" t="str">
        <f t="shared" si="287"/>
        <v>89301000</v>
      </c>
      <c r="C5586" s="1">
        <v>44214</v>
      </c>
      <c r="D5586" s="1">
        <v>44216</v>
      </c>
      <c r="E5586">
        <v>1</v>
      </c>
      <c r="F5586" t="s">
        <v>445</v>
      </c>
      <c r="G5586" t="str">
        <f>"08-I17-02"</f>
        <v>08-I17-02</v>
      </c>
      <c r="H5586">
        <v>0.98309999999999997</v>
      </c>
      <c r="I5586" t="s">
        <v>4122</v>
      </c>
      <c r="J5586" t="s">
        <v>14</v>
      </c>
      <c r="K5586" t="str">
        <f>"5F3"</f>
        <v>5F3</v>
      </c>
      <c r="L5586" t="s">
        <v>15</v>
      </c>
    </row>
    <row r="5587" spans="1:12" x14ac:dyDescent="0.25">
      <c r="A5587" t="str">
        <f>"520605181"</f>
        <v>520605181</v>
      </c>
      <c r="B5587" t="str">
        <f t="shared" si="287"/>
        <v>89301000</v>
      </c>
      <c r="C5587" s="1">
        <v>44480</v>
      </c>
      <c r="D5587" s="1">
        <v>44516</v>
      </c>
      <c r="E5587">
        <v>5</v>
      </c>
      <c r="F5587" t="s">
        <v>866</v>
      </c>
      <c r="G5587" t="str">
        <f>"25-I01-00"</f>
        <v>25-I01-00</v>
      </c>
      <c r="H5587">
        <v>10.487399999999999</v>
      </c>
      <c r="I5587" t="s">
        <v>4123</v>
      </c>
      <c r="J5587" t="s">
        <v>17</v>
      </c>
      <c r="K5587" t="str">
        <f>"5F3"</f>
        <v>5F3</v>
      </c>
      <c r="L5587" t="s">
        <v>15</v>
      </c>
    </row>
    <row r="5588" spans="1:12" x14ac:dyDescent="0.25">
      <c r="A5588" t="str">
        <f>"520617033"</f>
        <v>520617033</v>
      </c>
      <c r="B5588" t="str">
        <f t="shared" si="287"/>
        <v>89301000</v>
      </c>
      <c r="C5588" s="1">
        <v>44516</v>
      </c>
      <c r="D5588" s="1">
        <v>44526</v>
      </c>
      <c r="E5588">
        <v>1</v>
      </c>
      <c r="F5588" t="s">
        <v>109</v>
      </c>
      <c r="G5588" t="str">
        <f>"24-M06-01"</f>
        <v>24-M06-01</v>
      </c>
      <c r="H5588">
        <v>1.1548</v>
      </c>
      <c r="I5588" t="s">
        <v>1729</v>
      </c>
      <c r="J5588" t="s">
        <v>14</v>
      </c>
      <c r="K5588" t="str">
        <f>"2F1"</f>
        <v>2F1</v>
      </c>
      <c r="L5588" t="s">
        <v>15</v>
      </c>
    </row>
    <row r="5589" spans="1:12" x14ac:dyDescent="0.25">
      <c r="A5589" t="str">
        <f>"520617033"</f>
        <v>520617033</v>
      </c>
      <c r="B5589" t="str">
        <f t="shared" si="287"/>
        <v>89301000</v>
      </c>
      <c r="C5589" s="1">
        <v>44511</v>
      </c>
      <c r="D5589" s="1">
        <v>44516</v>
      </c>
      <c r="E5589">
        <v>3</v>
      </c>
      <c r="F5589" t="s">
        <v>1699</v>
      </c>
      <c r="G5589" t="str">
        <f>"01-K10-03"</f>
        <v>01-K10-03</v>
      </c>
      <c r="H5589">
        <v>1.0016</v>
      </c>
      <c r="I5589" t="s">
        <v>2305</v>
      </c>
      <c r="J5589" t="s">
        <v>14</v>
      </c>
      <c r="K5589" t="str">
        <f>"2F9"</f>
        <v>2F9</v>
      </c>
      <c r="L5589" t="s">
        <v>15</v>
      </c>
    </row>
    <row r="5590" spans="1:12" x14ac:dyDescent="0.25">
      <c r="A5590" t="str">
        <f>"520618033"</f>
        <v>520618033</v>
      </c>
      <c r="B5590" t="str">
        <f t="shared" si="287"/>
        <v>89301000</v>
      </c>
      <c r="C5590" s="1">
        <v>44357</v>
      </c>
      <c r="D5590" s="1">
        <v>44358</v>
      </c>
      <c r="E5590">
        <v>1</v>
      </c>
      <c r="F5590" t="s">
        <v>1557</v>
      </c>
      <c r="G5590" t="str">
        <f>"05-M06-08"</f>
        <v>05-M06-08</v>
      </c>
      <c r="H5590">
        <v>1.4719</v>
      </c>
      <c r="I5590" t="s">
        <v>489</v>
      </c>
      <c r="J5590" t="s">
        <v>17</v>
      </c>
      <c r="K5590" t="str">
        <f>"1F7"</f>
        <v>1F7</v>
      </c>
      <c r="L5590" t="s">
        <v>15</v>
      </c>
    </row>
    <row r="5591" spans="1:12" x14ac:dyDescent="0.25">
      <c r="A5591" t="str">
        <f>"520623188"</f>
        <v>520623188</v>
      </c>
      <c r="B5591" t="str">
        <f t="shared" si="287"/>
        <v>89301000</v>
      </c>
      <c r="C5591" s="1">
        <v>44229</v>
      </c>
      <c r="D5591" s="1">
        <v>44231</v>
      </c>
      <c r="E5591">
        <v>1</v>
      </c>
      <c r="F5591" t="s">
        <v>831</v>
      </c>
      <c r="G5591" t="str">
        <f>"02-I06-03"</f>
        <v>02-I06-03</v>
      </c>
      <c r="H5591">
        <v>0.63690000000000002</v>
      </c>
      <c r="I5591" t="s">
        <v>4124</v>
      </c>
      <c r="J5591" t="s">
        <v>17</v>
      </c>
      <c r="K5591" t="str">
        <f>"7F5"</f>
        <v>7F5</v>
      </c>
      <c r="L5591" t="s">
        <v>15</v>
      </c>
    </row>
    <row r="5592" spans="1:12" x14ac:dyDescent="0.25">
      <c r="A5592" t="str">
        <f>"520629009"</f>
        <v>520629009</v>
      </c>
      <c r="B5592" t="str">
        <f t="shared" si="287"/>
        <v>89301000</v>
      </c>
      <c r="C5592" s="1">
        <v>44357</v>
      </c>
      <c r="D5592" s="1">
        <v>44358</v>
      </c>
      <c r="E5592">
        <v>1</v>
      </c>
      <c r="F5592" t="s">
        <v>475</v>
      </c>
      <c r="G5592" t="str">
        <f>"10-K04-04"</f>
        <v>10-K04-04</v>
      </c>
      <c r="H5592">
        <v>0.56330000000000002</v>
      </c>
      <c r="I5592" t="s">
        <v>4125</v>
      </c>
      <c r="J5592" t="s">
        <v>14</v>
      </c>
      <c r="K5592" t="str">
        <f>"1F1"</f>
        <v>1F1</v>
      </c>
      <c r="L5592" t="s">
        <v>15</v>
      </c>
    </row>
    <row r="5593" spans="1:12" x14ac:dyDescent="0.25">
      <c r="A5593" t="str">
        <f>"520716034"</f>
        <v>520716034</v>
      </c>
      <c r="B5593" t="str">
        <f t="shared" si="287"/>
        <v>89301000</v>
      </c>
      <c r="C5593" s="1">
        <v>44417</v>
      </c>
      <c r="D5593" s="1">
        <v>44455</v>
      </c>
      <c r="E5593">
        <v>1</v>
      </c>
      <c r="F5593" t="s">
        <v>911</v>
      </c>
      <c r="G5593" t="str">
        <f>"17-C01-02"</f>
        <v>17-C01-02</v>
      </c>
      <c r="H5593">
        <v>11.111800000000001</v>
      </c>
      <c r="I5593" t="s">
        <v>4126</v>
      </c>
      <c r="J5593" t="s">
        <v>14</v>
      </c>
      <c r="K5593" t="str">
        <f>"2F2"</f>
        <v>2F2</v>
      </c>
      <c r="L5593" t="s">
        <v>15</v>
      </c>
    </row>
    <row r="5594" spans="1:12" x14ac:dyDescent="0.25">
      <c r="A5594" t="str">
        <f>"520716034"</f>
        <v>520716034</v>
      </c>
      <c r="B5594" t="str">
        <f t="shared" si="287"/>
        <v>89301000</v>
      </c>
      <c r="C5594" s="1">
        <v>44514</v>
      </c>
      <c r="D5594" s="1">
        <v>44519</v>
      </c>
      <c r="E5594">
        <v>8</v>
      </c>
      <c r="F5594" t="s">
        <v>911</v>
      </c>
      <c r="G5594" t="str">
        <f>"17-K01-01"</f>
        <v>17-K01-01</v>
      </c>
      <c r="H5594">
        <v>3.7873000000000001</v>
      </c>
      <c r="I5594" t="s">
        <v>4127</v>
      </c>
      <c r="J5594" t="s">
        <v>14</v>
      </c>
      <c r="K5594" t="str">
        <f>"2F2"</f>
        <v>2F2</v>
      </c>
      <c r="L5594" t="s">
        <v>15</v>
      </c>
    </row>
    <row r="5595" spans="1:12" x14ac:dyDescent="0.25">
      <c r="A5595" t="str">
        <f>"520716034"</f>
        <v>520716034</v>
      </c>
      <c r="B5595" t="str">
        <f t="shared" si="287"/>
        <v>89301000</v>
      </c>
      <c r="C5595" s="1">
        <v>44498</v>
      </c>
      <c r="D5595" s="1">
        <v>44505</v>
      </c>
      <c r="E5595">
        <v>1</v>
      </c>
      <c r="F5595" t="s">
        <v>911</v>
      </c>
      <c r="G5595" t="str">
        <f>"17-C04-01"</f>
        <v>17-C04-01</v>
      </c>
      <c r="H5595">
        <v>5.1555999999999997</v>
      </c>
      <c r="I5595" t="s">
        <v>4128</v>
      </c>
      <c r="J5595" t="s">
        <v>14</v>
      </c>
      <c r="K5595" t="str">
        <f>"2F2"</f>
        <v>2F2</v>
      </c>
      <c r="L5595" t="s">
        <v>15</v>
      </c>
    </row>
    <row r="5596" spans="1:12" x14ac:dyDescent="0.25">
      <c r="A5596" t="str">
        <f>"520723027"</f>
        <v>520723027</v>
      </c>
      <c r="B5596" t="str">
        <f t="shared" si="287"/>
        <v>89301000</v>
      </c>
      <c r="C5596" s="1">
        <v>44266</v>
      </c>
      <c r="D5596" s="1">
        <v>44267</v>
      </c>
      <c r="E5596">
        <v>7</v>
      </c>
      <c r="F5596" t="s">
        <v>1970</v>
      </c>
      <c r="G5596" t="str">
        <f>"01-K08-02"</f>
        <v>01-K08-02</v>
      </c>
      <c r="H5596">
        <v>0.60519999999999996</v>
      </c>
      <c r="J5596" t="s">
        <v>14</v>
      </c>
      <c r="K5596" t="str">
        <f>"2T9"</f>
        <v>2T9</v>
      </c>
      <c r="L5596" t="s">
        <v>15</v>
      </c>
    </row>
    <row r="5597" spans="1:12" x14ac:dyDescent="0.25">
      <c r="A5597" t="str">
        <f>"520726194"</f>
        <v>520726194</v>
      </c>
      <c r="B5597" t="str">
        <f t="shared" si="287"/>
        <v>89301000</v>
      </c>
      <c r="C5597" s="1">
        <v>44267</v>
      </c>
      <c r="D5597" s="1">
        <v>44267</v>
      </c>
      <c r="E5597">
        <v>1</v>
      </c>
      <c r="F5597" t="s">
        <v>1557</v>
      </c>
      <c r="G5597" t="str">
        <f>"05-M06-08"</f>
        <v>05-M06-08</v>
      </c>
      <c r="H5597">
        <v>1.1200000000000001</v>
      </c>
      <c r="I5597" t="s">
        <v>4129</v>
      </c>
      <c r="J5597" t="s">
        <v>17</v>
      </c>
      <c r="K5597" t="str">
        <f>"1F7"</f>
        <v>1F7</v>
      </c>
      <c r="L5597" t="s">
        <v>15</v>
      </c>
    </row>
    <row r="5598" spans="1:12" x14ac:dyDescent="0.25">
      <c r="A5598" t="str">
        <f>"520804057"</f>
        <v>520804057</v>
      </c>
      <c r="B5598" t="str">
        <f t="shared" si="287"/>
        <v>89301000</v>
      </c>
      <c r="C5598" s="1">
        <v>44370</v>
      </c>
      <c r="D5598" s="1">
        <v>44371</v>
      </c>
      <c r="E5598">
        <v>1</v>
      </c>
      <c r="F5598" t="s">
        <v>1557</v>
      </c>
      <c r="G5598" t="str">
        <f>"05-M06-07"</f>
        <v>05-M06-07</v>
      </c>
      <c r="H5598">
        <v>1.8717999999999999</v>
      </c>
      <c r="I5598" t="s">
        <v>4130</v>
      </c>
      <c r="J5598" t="s">
        <v>17</v>
      </c>
      <c r="K5598" t="str">
        <f>"1F7"</f>
        <v>1F7</v>
      </c>
      <c r="L5598" t="s">
        <v>15</v>
      </c>
    </row>
    <row r="5599" spans="1:12" x14ac:dyDescent="0.25">
      <c r="A5599" t="str">
        <f>"520816052"</f>
        <v>520816052</v>
      </c>
      <c r="B5599" t="str">
        <f t="shared" si="287"/>
        <v>89301000</v>
      </c>
      <c r="C5599" s="1">
        <v>44315</v>
      </c>
      <c r="D5599" s="1">
        <v>44315</v>
      </c>
      <c r="E5599">
        <v>1</v>
      </c>
      <c r="F5599" t="s">
        <v>1842</v>
      </c>
      <c r="G5599" t="str">
        <f>"05-I14-04"</f>
        <v>05-I14-04</v>
      </c>
      <c r="H5599">
        <v>5.1692</v>
      </c>
      <c r="I5599" t="s">
        <v>4131</v>
      </c>
      <c r="J5599" t="s">
        <v>14</v>
      </c>
      <c r="K5599" t="str">
        <f>"1F1"</f>
        <v>1F1</v>
      </c>
      <c r="L5599" t="s">
        <v>15</v>
      </c>
    </row>
    <row r="5600" spans="1:12" x14ac:dyDescent="0.25">
      <c r="A5600" t="str">
        <f>"520817098"</f>
        <v>520817098</v>
      </c>
      <c r="B5600" t="str">
        <f t="shared" si="287"/>
        <v>89301000</v>
      </c>
      <c r="C5600" s="1">
        <v>44230</v>
      </c>
      <c r="D5600" s="1">
        <v>44230</v>
      </c>
      <c r="E5600">
        <v>1</v>
      </c>
      <c r="F5600" t="s">
        <v>1557</v>
      </c>
      <c r="G5600" t="str">
        <f>"05-D01-08"</f>
        <v>05-D01-08</v>
      </c>
      <c r="H5600">
        <v>0.21890000000000001</v>
      </c>
      <c r="J5600" t="s">
        <v>14</v>
      </c>
      <c r="K5600" t="str">
        <f>"1F7"</f>
        <v>1F7</v>
      </c>
      <c r="L5600" t="s">
        <v>15</v>
      </c>
    </row>
    <row r="5601" spans="1:12" x14ac:dyDescent="0.25">
      <c r="A5601" t="str">
        <f>"520817098"</f>
        <v>520817098</v>
      </c>
      <c r="B5601" t="str">
        <f t="shared" si="287"/>
        <v>89301000</v>
      </c>
      <c r="C5601" s="1">
        <v>44299</v>
      </c>
      <c r="D5601" s="1">
        <v>44307</v>
      </c>
      <c r="E5601">
        <v>1</v>
      </c>
      <c r="F5601" t="s">
        <v>1557</v>
      </c>
      <c r="G5601" t="str">
        <f>"05-I16-06"</f>
        <v>05-I16-06</v>
      </c>
      <c r="H5601">
        <v>5.2988</v>
      </c>
      <c r="J5601" t="s">
        <v>17</v>
      </c>
      <c r="K5601" t="str">
        <f>"5F5"</f>
        <v>5F5</v>
      </c>
      <c r="L5601" t="s">
        <v>15</v>
      </c>
    </row>
    <row r="5602" spans="1:12" x14ac:dyDescent="0.25">
      <c r="A5602" t="str">
        <f>"520822230"</f>
        <v>520822230</v>
      </c>
      <c r="B5602" t="str">
        <f t="shared" si="287"/>
        <v>89301000</v>
      </c>
      <c r="C5602" s="1">
        <v>44495</v>
      </c>
      <c r="D5602" s="1">
        <v>44501</v>
      </c>
      <c r="E5602">
        <v>1</v>
      </c>
      <c r="F5602" t="s">
        <v>1602</v>
      </c>
      <c r="G5602" t="str">
        <f>"05-K07-05"</f>
        <v>05-K07-05</v>
      </c>
      <c r="H5602">
        <v>0.81410000000000005</v>
      </c>
      <c r="I5602" t="s">
        <v>4132</v>
      </c>
      <c r="J5602" t="s">
        <v>14</v>
      </c>
      <c r="K5602" t="str">
        <f>"1F1"</f>
        <v>1F1</v>
      </c>
      <c r="L5602" t="s">
        <v>15</v>
      </c>
    </row>
    <row r="5603" spans="1:12" x14ac:dyDescent="0.25">
      <c r="A5603" t="str">
        <f>"520822230"</f>
        <v>520822230</v>
      </c>
      <c r="B5603" t="str">
        <f t="shared" si="287"/>
        <v>89301000</v>
      </c>
      <c r="C5603" s="1">
        <v>44464</v>
      </c>
      <c r="D5603" s="1">
        <v>44469</v>
      </c>
      <c r="E5603">
        <v>1</v>
      </c>
      <c r="F5603" t="s">
        <v>1548</v>
      </c>
      <c r="G5603" t="str">
        <f>"05-K07-05"</f>
        <v>05-K07-05</v>
      </c>
      <c r="H5603">
        <v>0.81410000000000005</v>
      </c>
      <c r="I5603" t="s">
        <v>4133</v>
      </c>
      <c r="J5603" t="s">
        <v>14</v>
      </c>
      <c r="K5603" t="str">
        <f>"1F1"</f>
        <v>1F1</v>
      </c>
      <c r="L5603" t="s">
        <v>15</v>
      </c>
    </row>
    <row r="5604" spans="1:12" x14ac:dyDescent="0.25">
      <c r="A5604" t="str">
        <f>"520902133"</f>
        <v>520902133</v>
      </c>
      <c r="B5604" t="str">
        <f t="shared" si="287"/>
        <v>89301000</v>
      </c>
      <c r="C5604" s="1">
        <v>44342</v>
      </c>
      <c r="D5604" s="1">
        <v>44349</v>
      </c>
      <c r="E5604">
        <v>1</v>
      </c>
      <c r="F5604" t="s">
        <v>2120</v>
      </c>
      <c r="G5604" t="str">
        <f>"06-K07-02"</f>
        <v>06-K07-02</v>
      </c>
      <c r="H5604">
        <v>0.44419999999999998</v>
      </c>
      <c r="I5604" t="s">
        <v>489</v>
      </c>
      <c r="J5604" t="s">
        <v>14</v>
      </c>
      <c r="K5604" t="str">
        <f>"5F1"</f>
        <v>5F1</v>
      </c>
      <c r="L5604" t="s">
        <v>15</v>
      </c>
    </row>
    <row r="5605" spans="1:12" x14ac:dyDescent="0.25">
      <c r="A5605" t="str">
        <f>"520902133"</f>
        <v>520902133</v>
      </c>
      <c r="B5605" t="str">
        <f t="shared" si="287"/>
        <v>89301000</v>
      </c>
      <c r="C5605" s="1">
        <v>44308</v>
      </c>
      <c r="D5605" s="1">
        <v>44316</v>
      </c>
      <c r="E5605">
        <v>1</v>
      </c>
      <c r="F5605" t="s">
        <v>709</v>
      </c>
      <c r="G5605" t="str">
        <f>"06-K10-03"</f>
        <v>06-K10-03</v>
      </c>
      <c r="H5605">
        <v>0.56259999999999999</v>
      </c>
      <c r="J5605" t="s">
        <v>14</v>
      </c>
      <c r="K5605" t="str">
        <f>"5F1"</f>
        <v>5F1</v>
      </c>
      <c r="L5605" t="s">
        <v>15</v>
      </c>
    </row>
    <row r="5606" spans="1:12" x14ac:dyDescent="0.25">
      <c r="A5606" t="str">
        <f>"520902133"</f>
        <v>520902133</v>
      </c>
      <c r="B5606" t="str">
        <f t="shared" si="287"/>
        <v>89301000</v>
      </c>
      <c r="C5606" s="1">
        <v>44370</v>
      </c>
      <c r="D5606" s="1">
        <v>44384</v>
      </c>
      <c r="E5606">
        <v>1</v>
      </c>
      <c r="F5606" t="s">
        <v>1572</v>
      </c>
      <c r="G5606" t="str">
        <f>"06-I12-03"</f>
        <v>06-I12-03</v>
      </c>
      <c r="H5606">
        <v>1.8894</v>
      </c>
      <c r="I5606" t="s">
        <v>2910</v>
      </c>
      <c r="J5606" t="s">
        <v>14</v>
      </c>
      <c r="K5606" t="str">
        <f>"5F1"</f>
        <v>5F1</v>
      </c>
      <c r="L5606" t="s">
        <v>15</v>
      </c>
    </row>
    <row r="5607" spans="1:12" x14ac:dyDescent="0.25">
      <c r="A5607" t="str">
        <f>"520905122"</f>
        <v>520905122</v>
      </c>
      <c r="B5607" t="str">
        <f t="shared" si="287"/>
        <v>89301000</v>
      </c>
      <c r="C5607" s="1">
        <v>44549</v>
      </c>
      <c r="D5607" s="1">
        <v>44553</v>
      </c>
      <c r="E5607">
        <v>1</v>
      </c>
      <c r="F5607" t="s">
        <v>4134</v>
      </c>
      <c r="G5607" t="str">
        <f>"08-I04-02"</f>
        <v>08-I04-02</v>
      </c>
      <c r="H5607">
        <v>1.6718999999999999</v>
      </c>
      <c r="J5607" t="s">
        <v>17</v>
      </c>
      <c r="K5607" t="str">
        <f>"5F6"</f>
        <v>5F6</v>
      </c>
      <c r="L5607" t="s">
        <v>15</v>
      </c>
    </row>
    <row r="5608" spans="1:12" x14ac:dyDescent="0.25">
      <c r="A5608" t="str">
        <f>"520907366"</f>
        <v>520907366</v>
      </c>
      <c r="B5608" t="str">
        <f t="shared" si="287"/>
        <v>89301000</v>
      </c>
      <c r="C5608" s="1">
        <v>44539</v>
      </c>
      <c r="D5608" s="1">
        <v>44540</v>
      </c>
      <c r="E5608">
        <v>1</v>
      </c>
      <c r="F5608" t="s">
        <v>2603</v>
      </c>
      <c r="G5608" t="str">
        <f>"05-D01-08"</f>
        <v>05-D01-08</v>
      </c>
      <c r="H5608">
        <v>0.4093</v>
      </c>
      <c r="I5608" t="s">
        <v>4135</v>
      </c>
      <c r="J5608" t="s">
        <v>14</v>
      </c>
      <c r="K5608" t="str">
        <f>"1F7"</f>
        <v>1F7</v>
      </c>
      <c r="L5608" t="s">
        <v>15</v>
      </c>
    </row>
    <row r="5609" spans="1:12" x14ac:dyDescent="0.25">
      <c r="A5609" t="str">
        <f>"520910045"</f>
        <v>520910045</v>
      </c>
      <c r="B5609" t="str">
        <f t="shared" si="287"/>
        <v>89301000</v>
      </c>
      <c r="C5609" s="1">
        <v>44344</v>
      </c>
      <c r="D5609" s="1">
        <v>44347</v>
      </c>
      <c r="E5609">
        <v>1</v>
      </c>
      <c r="F5609" t="s">
        <v>4136</v>
      </c>
      <c r="G5609" t="str">
        <f>"04-K15-03"</f>
        <v>04-K15-03</v>
      </c>
      <c r="H5609">
        <v>0.49009999999999998</v>
      </c>
      <c r="I5609" t="s">
        <v>4137</v>
      </c>
      <c r="J5609" t="s">
        <v>14</v>
      </c>
      <c r="K5609" t="str">
        <f>"2F5"</f>
        <v>2F5</v>
      </c>
      <c r="L5609" t="s">
        <v>15</v>
      </c>
    </row>
    <row r="5610" spans="1:12" x14ac:dyDescent="0.25">
      <c r="A5610" t="str">
        <f>"520910045"</f>
        <v>520910045</v>
      </c>
      <c r="B5610" t="str">
        <f t="shared" si="287"/>
        <v>89301000</v>
      </c>
      <c r="C5610" s="1">
        <v>44299</v>
      </c>
      <c r="D5610" s="1">
        <v>44300</v>
      </c>
      <c r="E5610">
        <v>1</v>
      </c>
      <c r="F5610" t="s">
        <v>2111</v>
      </c>
      <c r="G5610" t="str">
        <f>"10-K15-02"</f>
        <v>10-K15-02</v>
      </c>
      <c r="H5610">
        <v>0.51819999999999999</v>
      </c>
      <c r="I5610" t="s">
        <v>4137</v>
      </c>
      <c r="J5610" t="s">
        <v>14</v>
      </c>
      <c r="K5610" t="str">
        <f>"2F5"</f>
        <v>2F5</v>
      </c>
      <c r="L5610" t="s">
        <v>15</v>
      </c>
    </row>
    <row r="5611" spans="1:12" x14ac:dyDescent="0.25">
      <c r="A5611" t="str">
        <f>"520910093"</f>
        <v>520910093</v>
      </c>
      <c r="B5611" t="str">
        <f t="shared" si="287"/>
        <v>89301000</v>
      </c>
      <c r="C5611" s="1">
        <v>44370</v>
      </c>
      <c r="D5611" s="1">
        <v>44377</v>
      </c>
      <c r="E5611">
        <v>1</v>
      </c>
      <c r="F5611" t="s">
        <v>109</v>
      </c>
      <c r="G5611" t="str">
        <f>"24-M06-02"</f>
        <v>24-M06-02</v>
      </c>
      <c r="H5611">
        <v>1.0233000000000001</v>
      </c>
      <c r="I5611" t="s">
        <v>4138</v>
      </c>
      <c r="J5611" t="s">
        <v>14</v>
      </c>
      <c r="K5611" t="str">
        <f>"2F1"</f>
        <v>2F1</v>
      </c>
      <c r="L5611" t="s">
        <v>15</v>
      </c>
    </row>
    <row r="5612" spans="1:12" x14ac:dyDescent="0.25">
      <c r="A5612" t="str">
        <f>"520921112"</f>
        <v>520921112</v>
      </c>
      <c r="B5612" t="str">
        <f t="shared" si="287"/>
        <v>89301000</v>
      </c>
      <c r="C5612" s="1">
        <v>44399</v>
      </c>
      <c r="D5612" s="1">
        <v>44411</v>
      </c>
      <c r="E5612">
        <v>5</v>
      </c>
      <c r="F5612" t="s">
        <v>3746</v>
      </c>
      <c r="G5612" t="str">
        <f>"05-I24-01"</f>
        <v>05-I24-01</v>
      </c>
      <c r="H5612">
        <v>5.1612999999999998</v>
      </c>
      <c r="I5612" t="s">
        <v>4139</v>
      </c>
      <c r="J5612" t="s">
        <v>14</v>
      </c>
      <c r="K5612" t="str">
        <f>"5F1"</f>
        <v>5F1</v>
      </c>
      <c r="L5612" t="s">
        <v>15</v>
      </c>
    </row>
    <row r="5613" spans="1:12" x14ac:dyDescent="0.25">
      <c r="A5613" t="str">
        <f>"520927148"</f>
        <v>520927148</v>
      </c>
      <c r="B5613" t="str">
        <f t="shared" si="287"/>
        <v>89301000</v>
      </c>
      <c r="C5613" s="1">
        <v>44403</v>
      </c>
      <c r="D5613" s="1">
        <v>44404</v>
      </c>
      <c r="E5613">
        <v>1</v>
      </c>
      <c r="F5613" t="s">
        <v>1557</v>
      </c>
      <c r="G5613" t="str">
        <f>"05-M06-08"</f>
        <v>05-M06-08</v>
      </c>
      <c r="H5613">
        <v>1.4719</v>
      </c>
      <c r="I5613" t="s">
        <v>2119</v>
      </c>
      <c r="J5613" t="s">
        <v>17</v>
      </c>
      <c r="K5613" t="str">
        <f>"1F7"</f>
        <v>1F7</v>
      </c>
      <c r="L5613" t="s">
        <v>15</v>
      </c>
    </row>
    <row r="5614" spans="1:12" x14ac:dyDescent="0.25">
      <c r="A5614" t="str">
        <f>"521002421"</f>
        <v>521002421</v>
      </c>
      <c r="B5614" t="str">
        <f t="shared" si="287"/>
        <v>89301000</v>
      </c>
      <c r="C5614" s="1">
        <v>44418</v>
      </c>
      <c r="D5614" s="1">
        <v>44419</v>
      </c>
      <c r="E5614">
        <v>5</v>
      </c>
      <c r="F5614" t="s">
        <v>287</v>
      </c>
      <c r="G5614" t="str">
        <f>"01-K16-06"</f>
        <v>01-K16-06</v>
      </c>
      <c r="H5614">
        <v>0.26469999999999999</v>
      </c>
      <c r="I5614" t="s">
        <v>4140</v>
      </c>
      <c r="J5614" t="s">
        <v>14</v>
      </c>
      <c r="K5614" t="str">
        <f>"5F3"</f>
        <v>5F3</v>
      </c>
      <c r="L5614" t="s">
        <v>15</v>
      </c>
    </row>
    <row r="5615" spans="1:12" x14ac:dyDescent="0.25">
      <c r="A5615" t="str">
        <f>"521003042"</f>
        <v>521003042</v>
      </c>
      <c r="B5615" t="str">
        <f t="shared" si="287"/>
        <v>89301000</v>
      </c>
      <c r="C5615" s="1">
        <v>44244</v>
      </c>
      <c r="D5615" s="1">
        <v>44246</v>
      </c>
      <c r="E5615">
        <v>1</v>
      </c>
      <c r="F5615" t="s">
        <v>81</v>
      </c>
      <c r="G5615" t="str">
        <f>"10-I13-02"</f>
        <v>10-I13-02</v>
      </c>
      <c r="H5615">
        <v>1.1468</v>
      </c>
      <c r="J5615" t="s">
        <v>24</v>
      </c>
      <c r="K5615" t="str">
        <f>"5F1"</f>
        <v>5F1</v>
      </c>
      <c r="L5615" t="s">
        <v>15</v>
      </c>
    </row>
    <row r="5616" spans="1:12" x14ac:dyDescent="0.25">
      <c r="A5616" t="str">
        <f>"521003042"</f>
        <v>521003042</v>
      </c>
      <c r="B5616" t="str">
        <f t="shared" si="287"/>
        <v>89301000</v>
      </c>
      <c r="C5616" s="1">
        <v>44278</v>
      </c>
      <c r="D5616" s="1">
        <v>44282</v>
      </c>
      <c r="E5616">
        <v>1</v>
      </c>
      <c r="F5616" t="s">
        <v>79</v>
      </c>
      <c r="G5616" t="str">
        <f>"10-R02-01"</f>
        <v>10-R02-01</v>
      </c>
      <c r="H5616">
        <v>0.9698</v>
      </c>
      <c r="I5616" t="s">
        <v>80</v>
      </c>
      <c r="J5616" t="s">
        <v>24</v>
      </c>
      <c r="K5616" t="str">
        <f>"4F7"</f>
        <v>4F7</v>
      </c>
      <c r="L5616" t="s">
        <v>15</v>
      </c>
    </row>
    <row r="5617" spans="1:12" x14ac:dyDescent="0.25">
      <c r="A5617" t="str">
        <f>"521107230"</f>
        <v>521107230</v>
      </c>
      <c r="B5617" t="str">
        <f t="shared" si="287"/>
        <v>89301000</v>
      </c>
      <c r="C5617" s="1">
        <v>44217</v>
      </c>
      <c r="D5617" s="1">
        <v>44219</v>
      </c>
      <c r="E5617">
        <v>1</v>
      </c>
      <c r="F5617" t="s">
        <v>3625</v>
      </c>
      <c r="G5617" t="str">
        <f>"06-C02-03"</f>
        <v>06-C02-03</v>
      </c>
      <c r="H5617">
        <v>0.25769999999999998</v>
      </c>
      <c r="I5617" t="s">
        <v>4141</v>
      </c>
      <c r="J5617" t="s">
        <v>14</v>
      </c>
      <c r="K5617" t="str">
        <f>"4F2"</f>
        <v>4F2</v>
      </c>
      <c r="L5617" t="s">
        <v>15</v>
      </c>
    </row>
    <row r="5618" spans="1:12" x14ac:dyDescent="0.25">
      <c r="A5618" t="str">
        <f>"521107230"</f>
        <v>521107230</v>
      </c>
      <c r="B5618" t="str">
        <f t="shared" si="287"/>
        <v>89301000</v>
      </c>
      <c r="C5618" s="1">
        <v>44231</v>
      </c>
      <c r="D5618" s="1">
        <v>44233</v>
      </c>
      <c r="E5618">
        <v>1</v>
      </c>
      <c r="F5618" t="s">
        <v>3625</v>
      </c>
      <c r="G5618" t="str">
        <f>"06-C02-03"</f>
        <v>06-C02-03</v>
      </c>
      <c r="H5618">
        <v>0.25769999999999998</v>
      </c>
      <c r="I5618" t="s">
        <v>4141</v>
      </c>
      <c r="J5618" t="s">
        <v>14</v>
      </c>
      <c r="K5618" t="str">
        <f>"4F2"</f>
        <v>4F2</v>
      </c>
      <c r="L5618" t="s">
        <v>15</v>
      </c>
    </row>
    <row r="5619" spans="1:12" x14ac:dyDescent="0.25">
      <c r="A5619" t="str">
        <f>"521107230"</f>
        <v>521107230</v>
      </c>
      <c r="B5619" t="str">
        <f t="shared" si="287"/>
        <v>89301000</v>
      </c>
      <c r="C5619" s="1">
        <v>44203</v>
      </c>
      <c r="D5619" s="1">
        <v>44205</v>
      </c>
      <c r="E5619">
        <v>1</v>
      </c>
      <c r="F5619" t="s">
        <v>3625</v>
      </c>
      <c r="G5619" t="str">
        <f>"06-C02-03"</f>
        <v>06-C02-03</v>
      </c>
      <c r="H5619">
        <v>0.25769999999999998</v>
      </c>
      <c r="I5619" t="s">
        <v>4141</v>
      </c>
      <c r="J5619" t="s">
        <v>14</v>
      </c>
      <c r="K5619" t="str">
        <f>"4F2"</f>
        <v>4F2</v>
      </c>
      <c r="L5619" t="s">
        <v>15</v>
      </c>
    </row>
    <row r="5620" spans="1:12" x14ac:dyDescent="0.25">
      <c r="A5620" t="str">
        <f>"521112216"</f>
        <v>521112216</v>
      </c>
      <c r="B5620" t="str">
        <f t="shared" si="287"/>
        <v>89301000</v>
      </c>
      <c r="C5620" s="1">
        <v>44206</v>
      </c>
      <c r="D5620" s="1">
        <v>44216</v>
      </c>
      <c r="E5620">
        <v>2</v>
      </c>
      <c r="F5620" t="s">
        <v>67</v>
      </c>
      <c r="G5620" t="str">
        <f>"01-M02-00"</f>
        <v>01-M02-00</v>
      </c>
      <c r="H5620">
        <v>5.4023000000000003</v>
      </c>
      <c r="I5620" t="s">
        <v>4142</v>
      </c>
      <c r="J5620" t="s">
        <v>17</v>
      </c>
      <c r="K5620" t="str">
        <f>"2T9"</f>
        <v>2T9</v>
      </c>
      <c r="L5620" t="s">
        <v>15</v>
      </c>
    </row>
    <row r="5621" spans="1:12" x14ac:dyDescent="0.25">
      <c r="A5621" t="str">
        <f>"521113201"</f>
        <v>521113201</v>
      </c>
      <c r="B5621" t="str">
        <f t="shared" si="287"/>
        <v>89301000</v>
      </c>
      <c r="C5621" s="1">
        <v>44529</v>
      </c>
      <c r="D5621" s="1">
        <v>44538</v>
      </c>
      <c r="E5621">
        <v>7</v>
      </c>
      <c r="F5621" t="s">
        <v>217</v>
      </c>
      <c r="G5621" t="str">
        <f>"04-K02-04"</f>
        <v>04-K02-04</v>
      </c>
      <c r="H5621">
        <v>0.82469999999999999</v>
      </c>
      <c r="I5621" t="s">
        <v>4143</v>
      </c>
      <c r="J5621" t="s">
        <v>14</v>
      </c>
      <c r="K5621" t="str">
        <f>"5F1"</f>
        <v>5F1</v>
      </c>
      <c r="L5621" t="s">
        <v>15</v>
      </c>
    </row>
    <row r="5622" spans="1:12" x14ac:dyDescent="0.25">
      <c r="A5622" t="str">
        <f>"521113201"</f>
        <v>521113201</v>
      </c>
      <c r="B5622" t="str">
        <f t="shared" si="287"/>
        <v>89301000</v>
      </c>
      <c r="C5622" s="1">
        <v>44399</v>
      </c>
      <c r="D5622" s="1">
        <v>44411</v>
      </c>
      <c r="E5622">
        <v>1</v>
      </c>
      <c r="F5622" t="s">
        <v>979</v>
      </c>
      <c r="G5622" t="str">
        <f>"04-K02-04"</f>
        <v>04-K02-04</v>
      </c>
      <c r="H5622">
        <v>0.82469999999999999</v>
      </c>
      <c r="I5622" t="s">
        <v>4144</v>
      </c>
      <c r="J5622" t="s">
        <v>14</v>
      </c>
      <c r="K5622" t="str">
        <f>"2F5"</f>
        <v>2F5</v>
      </c>
      <c r="L5622" t="s">
        <v>15</v>
      </c>
    </row>
    <row r="5623" spans="1:12" x14ac:dyDescent="0.25">
      <c r="A5623" t="str">
        <f>"521113201"</f>
        <v>521113201</v>
      </c>
      <c r="B5623" t="str">
        <f t="shared" si="287"/>
        <v>89301000</v>
      </c>
      <c r="C5623" s="1">
        <v>44242</v>
      </c>
      <c r="D5623" s="1">
        <v>44249</v>
      </c>
      <c r="E5623">
        <v>1</v>
      </c>
      <c r="F5623" t="s">
        <v>4145</v>
      </c>
      <c r="G5623" t="str">
        <f>"04-K14-03"</f>
        <v>04-K14-03</v>
      </c>
      <c r="H5623">
        <v>0.78710000000000002</v>
      </c>
      <c r="I5623" t="s">
        <v>4146</v>
      </c>
      <c r="J5623" t="s">
        <v>14</v>
      </c>
      <c r="K5623" t="str">
        <f>"2F5"</f>
        <v>2F5</v>
      </c>
      <c r="L5623" t="s">
        <v>15</v>
      </c>
    </row>
    <row r="5624" spans="1:12" x14ac:dyDescent="0.25">
      <c r="A5624" t="str">
        <f>"521119255"</f>
        <v>521119255</v>
      </c>
      <c r="B5624" t="str">
        <f t="shared" si="287"/>
        <v>89301000</v>
      </c>
      <c r="C5624" s="1">
        <v>44510</v>
      </c>
      <c r="D5624" s="1">
        <v>44530</v>
      </c>
      <c r="E5624">
        <v>1</v>
      </c>
      <c r="F5624" t="s">
        <v>96</v>
      </c>
      <c r="G5624" t="str">
        <f>"11-I17-03"</f>
        <v>11-I17-03</v>
      </c>
      <c r="H5624">
        <v>1.5001</v>
      </c>
      <c r="I5624" t="s">
        <v>4147</v>
      </c>
      <c r="J5624" t="s">
        <v>14</v>
      </c>
      <c r="K5624" t="str">
        <f>"7F6"</f>
        <v>7F6</v>
      </c>
      <c r="L5624" t="s">
        <v>15</v>
      </c>
    </row>
    <row r="5625" spans="1:12" x14ac:dyDescent="0.25">
      <c r="A5625" t="str">
        <f>"521119255"</f>
        <v>521119255</v>
      </c>
      <c r="B5625" t="str">
        <f t="shared" si="287"/>
        <v>89301000</v>
      </c>
      <c r="C5625" s="1">
        <v>44499</v>
      </c>
      <c r="D5625" s="1">
        <v>44502</v>
      </c>
      <c r="E5625">
        <v>1</v>
      </c>
      <c r="F5625" t="s">
        <v>96</v>
      </c>
      <c r="G5625" t="str">
        <f>"11-K01-03"</f>
        <v>11-K01-03</v>
      </c>
      <c r="H5625">
        <v>0.59489999999999998</v>
      </c>
      <c r="I5625" t="s">
        <v>4148</v>
      </c>
      <c r="J5625" t="s">
        <v>14</v>
      </c>
      <c r="K5625" t="str">
        <f>"7F6"</f>
        <v>7F6</v>
      </c>
      <c r="L5625" t="s">
        <v>15</v>
      </c>
    </row>
    <row r="5626" spans="1:12" x14ac:dyDescent="0.25">
      <c r="A5626" t="str">
        <f>"521119255"</f>
        <v>521119255</v>
      </c>
      <c r="B5626" t="str">
        <f t="shared" si="287"/>
        <v>89301000</v>
      </c>
      <c r="C5626" s="1">
        <v>44350</v>
      </c>
      <c r="D5626" s="1">
        <v>44351</v>
      </c>
      <c r="E5626">
        <v>1</v>
      </c>
      <c r="F5626" t="s">
        <v>1557</v>
      </c>
      <c r="G5626" t="str">
        <f>"05-M06-08"</f>
        <v>05-M06-08</v>
      </c>
      <c r="H5626">
        <v>1.4719</v>
      </c>
      <c r="I5626" t="s">
        <v>489</v>
      </c>
      <c r="J5626" t="s">
        <v>17</v>
      </c>
      <c r="K5626" t="str">
        <f>"1F7"</f>
        <v>1F7</v>
      </c>
      <c r="L5626" t="s">
        <v>15</v>
      </c>
    </row>
    <row r="5627" spans="1:12" x14ac:dyDescent="0.25">
      <c r="A5627" t="str">
        <f>"521128085"</f>
        <v>521128085</v>
      </c>
      <c r="B5627" t="str">
        <f t="shared" si="287"/>
        <v>89301000</v>
      </c>
      <c r="C5627" s="1">
        <v>44306</v>
      </c>
      <c r="D5627" s="1">
        <v>44308</v>
      </c>
      <c r="E5627">
        <v>1</v>
      </c>
      <c r="F5627" t="s">
        <v>607</v>
      </c>
      <c r="G5627" t="str">
        <f>"11-K03-02"</f>
        <v>11-K03-02</v>
      </c>
      <c r="H5627">
        <v>0.6008</v>
      </c>
      <c r="I5627" t="s">
        <v>4149</v>
      </c>
      <c r="J5627" t="s">
        <v>14</v>
      </c>
      <c r="K5627" t="str">
        <f>"1F9"</f>
        <v>1F9</v>
      </c>
      <c r="L5627" t="s">
        <v>15</v>
      </c>
    </row>
    <row r="5628" spans="1:12" x14ac:dyDescent="0.25">
      <c r="A5628" t="str">
        <f>"521128085"</f>
        <v>521128085</v>
      </c>
      <c r="B5628" t="str">
        <f t="shared" si="287"/>
        <v>89301000</v>
      </c>
      <c r="C5628" s="1">
        <v>44214</v>
      </c>
      <c r="D5628" s="1">
        <v>44222</v>
      </c>
      <c r="E5628">
        <v>1</v>
      </c>
      <c r="F5628" t="s">
        <v>1557</v>
      </c>
      <c r="G5628" t="str">
        <f>"05-I16-06"</f>
        <v>05-I16-06</v>
      </c>
      <c r="H5628">
        <v>5.2988</v>
      </c>
      <c r="I5628" t="s">
        <v>1928</v>
      </c>
      <c r="J5628" t="s">
        <v>17</v>
      </c>
      <c r="K5628" t="str">
        <f>"5F5"</f>
        <v>5F5</v>
      </c>
      <c r="L5628" t="s">
        <v>15</v>
      </c>
    </row>
    <row r="5629" spans="1:12" x14ac:dyDescent="0.25">
      <c r="A5629" t="str">
        <f>"521129077"</f>
        <v>521129077</v>
      </c>
      <c r="B5629" t="str">
        <f t="shared" si="287"/>
        <v>89301000</v>
      </c>
      <c r="C5629" s="1">
        <v>44533</v>
      </c>
      <c r="D5629" s="1">
        <v>44534</v>
      </c>
      <c r="E5629">
        <v>1</v>
      </c>
      <c r="F5629" t="s">
        <v>1599</v>
      </c>
      <c r="G5629" t="str">
        <f>"05-I14-03"</f>
        <v>05-I14-03</v>
      </c>
      <c r="H5629">
        <v>6.1292</v>
      </c>
      <c r="I5629" t="s">
        <v>4150</v>
      </c>
      <c r="J5629" t="s">
        <v>14</v>
      </c>
      <c r="K5629" t="str">
        <f>"1F1"</f>
        <v>1F1</v>
      </c>
      <c r="L5629" t="s">
        <v>15</v>
      </c>
    </row>
    <row r="5630" spans="1:12" x14ac:dyDescent="0.25">
      <c r="A5630" t="str">
        <f>"521201141"</f>
        <v>521201141</v>
      </c>
      <c r="B5630" t="str">
        <f t="shared" si="287"/>
        <v>89301000</v>
      </c>
      <c r="C5630" s="1">
        <v>44396</v>
      </c>
      <c r="D5630" s="1">
        <v>44398</v>
      </c>
      <c r="E5630">
        <v>1</v>
      </c>
      <c r="F5630" t="s">
        <v>173</v>
      </c>
      <c r="G5630" t="str">
        <f>"08-I32-02"</f>
        <v>08-I32-02</v>
      </c>
      <c r="H5630">
        <v>0.4143</v>
      </c>
      <c r="I5630" t="s">
        <v>1959</v>
      </c>
      <c r="J5630" t="s">
        <v>14</v>
      </c>
      <c r="K5630" t="str">
        <f>"6F6"</f>
        <v>6F6</v>
      </c>
      <c r="L5630" t="s">
        <v>15</v>
      </c>
    </row>
    <row r="5631" spans="1:12" x14ac:dyDescent="0.25">
      <c r="A5631" t="str">
        <f>"521202182"</f>
        <v>521202182</v>
      </c>
      <c r="B5631" t="str">
        <f t="shared" si="287"/>
        <v>89301000</v>
      </c>
      <c r="C5631" s="1">
        <v>44419</v>
      </c>
      <c r="D5631" s="1">
        <v>44424</v>
      </c>
      <c r="E5631">
        <v>1</v>
      </c>
      <c r="F5631" t="s">
        <v>16</v>
      </c>
      <c r="G5631" t="str">
        <f>"08-I04-02"</f>
        <v>08-I04-02</v>
      </c>
      <c r="H5631">
        <v>1.6718999999999999</v>
      </c>
      <c r="I5631" t="s">
        <v>2799</v>
      </c>
      <c r="J5631" t="s">
        <v>17</v>
      </c>
      <c r="K5631" t="str">
        <f>"5F6"</f>
        <v>5F6</v>
      </c>
      <c r="L5631" t="s">
        <v>15</v>
      </c>
    </row>
    <row r="5632" spans="1:12" x14ac:dyDescent="0.25">
      <c r="A5632" t="str">
        <f>"521204256"</f>
        <v>521204256</v>
      </c>
      <c r="B5632" t="str">
        <f t="shared" si="287"/>
        <v>89301000</v>
      </c>
      <c r="C5632" s="1">
        <v>44437</v>
      </c>
      <c r="D5632" s="1">
        <v>44439</v>
      </c>
      <c r="E5632">
        <v>1</v>
      </c>
      <c r="F5632" t="s">
        <v>1683</v>
      </c>
      <c r="G5632" t="str">
        <f>"05-M06-06"</f>
        <v>05-M06-06</v>
      </c>
      <c r="H5632">
        <v>1.7652000000000001</v>
      </c>
      <c r="J5632" t="s">
        <v>17</v>
      </c>
      <c r="K5632" t="str">
        <f>"1F1"</f>
        <v>1F1</v>
      </c>
      <c r="L5632" t="s">
        <v>15</v>
      </c>
    </row>
    <row r="5633" spans="1:12" x14ac:dyDescent="0.25">
      <c r="A5633" t="str">
        <f>"521209341"</f>
        <v>521209341</v>
      </c>
      <c r="B5633" t="str">
        <f t="shared" si="287"/>
        <v>89301000</v>
      </c>
      <c r="C5633" s="1">
        <v>44377</v>
      </c>
      <c r="D5633" s="1">
        <v>44379</v>
      </c>
      <c r="E5633">
        <v>4</v>
      </c>
      <c r="F5633" t="s">
        <v>866</v>
      </c>
      <c r="G5633" t="str">
        <f>"08-I13-05"</f>
        <v>08-I13-05</v>
      </c>
      <c r="H5633">
        <v>1.7085999999999999</v>
      </c>
      <c r="I5633" t="s">
        <v>1997</v>
      </c>
      <c r="J5633" t="s">
        <v>17</v>
      </c>
      <c r="K5633" t="str">
        <f>"5T3"</f>
        <v>5T3</v>
      </c>
      <c r="L5633" t="s">
        <v>15</v>
      </c>
    </row>
    <row r="5634" spans="1:12" x14ac:dyDescent="0.25">
      <c r="A5634" t="str">
        <f>"521219082"</f>
        <v>521219082</v>
      </c>
      <c r="B5634" t="str">
        <f t="shared" si="287"/>
        <v>89301000</v>
      </c>
      <c r="C5634" s="1">
        <v>44377</v>
      </c>
      <c r="D5634" s="1">
        <v>44378</v>
      </c>
      <c r="E5634">
        <v>1</v>
      </c>
      <c r="F5634" t="s">
        <v>4151</v>
      </c>
      <c r="G5634" t="str">
        <f>"05-D01-08"</f>
        <v>05-D01-08</v>
      </c>
      <c r="H5634">
        <v>0.4093</v>
      </c>
      <c r="I5634" t="s">
        <v>4152</v>
      </c>
      <c r="J5634" t="s">
        <v>14</v>
      </c>
      <c r="K5634" t="str">
        <f>"1F1"</f>
        <v>1F1</v>
      </c>
      <c r="L5634" t="s">
        <v>15</v>
      </c>
    </row>
    <row r="5635" spans="1:12" x14ac:dyDescent="0.25">
      <c r="A5635" t="str">
        <f>"521223097"</f>
        <v>521223097</v>
      </c>
      <c r="B5635" t="str">
        <f t="shared" si="287"/>
        <v>89301000</v>
      </c>
      <c r="C5635" s="1">
        <v>44490</v>
      </c>
      <c r="D5635" s="1">
        <v>44498</v>
      </c>
      <c r="E5635">
        <v>1</v>
      </c>
      <c r="F5635" t="s">
        <v>2052</v>
      </c>
      <c r="G5635" t="str">
        <f>"05-I18-03"</f>
        <v>05-I18-03</v>
      </c>
      <c r="H5635">
        <v>4.9307999999999996</v>
      </c>
      <c r="I5635" t="s">
        <v>4153</v>
      </c>
      <c r="J5635" t="s">
        <v>14</v>
      </c>
      <c r="K5635" t="str">
        <f>"5F1"</f>
        <v>5F1</v>
      </c>
      <c r="L5635" t="s">
        <v>15</v>
      </c>
    </row>
    <row r="5636" spans="1:12" x14ac:dyDescent="0.25">
      <c r="A5636" t="str">
        <f>"521223097"</f>
        <v>521223097</v>
      </c>
      <c r="B5636" t="str">
        <f t="shared" si="287"/>
        <v>89301000</v>
      </c>
      <c r="C5636" s="1">
        <v>44479</v>
      </c>
      <c r="D5636" s="1">
        <v>44481</v>
      </c>
      <c r="E5636">
        <v>1</v>
      </c>
      <c r="F5636" t="s">
        <v>1557</v>
      </c>
      <c r="G5636" t="str">
        <f>"05-I14-04"</f>
        <v>05-I14-04</v>
      </c>
      <c r="H5636">
        <v>5.4002999999999997</v>
      </c>
      <c r="I5636" t="s">
        <v>4154</v>
      </c>
      <c r="J5636" t="s">
        <v>14</v>
      </c>
      <c r="K5636" t="str">
        <f>"1F1"</f>
        <v>1F1</v>
      </c>
      <c r="L5636" t="s">
        <v>15</v>
      </c>
    </row>
    <row r="5637" spans="1:12" x14ac:dyDescent="0.25">
      <c r="A5637" t="str">
        <f>"521223097"</f>
        <v>521223097</v>
      </c>
      <c r="B5637" t="str">
        <f t="shared" si="287"/>
        <v>89301000</v>
      </c>
      <c r="C5637" s="1">
        <v>44465</v>
      </c>
      <c r="D5637" s="1">
        <v>44468</v>
      </c>
      <c r="E5637">
        <v>1</v>
      </c>
      <c r="F5637" t="s">
        <v>1842</v>
      </c>
      <c r="G5637" t="str">
        <f>"05-M06-08"</f>
        <v>05-M06-08</v>
      </c>
      <c r="H5637">
        <v>1.4719</v>
      </c>
      <c r="I5637" t="s">
        <v>4155</v>
      </c>
      <c r="J5637" t="s">
        <v>17</v>
      </c>
      <c r="K5637" t="str">
        <f>"1F1"</f>
        <v>1F1</v>
      </c>
      <c r="L5637" t="s">
        <v>15</v>
      </c>
    </row>
    <row r="5638" spans="1:12" x14ac:dyDescent="0.25">
      <c r="A5638" t="str">
        <f>"521225172"</f>
        <v>521225172</v>
      </c>
      <c r="B5638" t="str">
        <f t="shared" si="287"/>
        <v>89301000</v>
      </c>
      <c r="C5638" s="1">
        <v>44444</v>
      </c>
      <c r="D5638" s="1">
        <v>44447</v>
      </c>
      <c r="E5638">
        <v>1</v>
      </c>
      <c r="F5638" t="s">
        <v>1581</v>
      </c>
      <c r="G5638" t="str">
        <f>"05-M07-01"</f>
        <v>05-M07-01</v>
      </c>
      <c r="H5638">
        <v>4.6355000000000004</v>
      </c>
      <c r="I5638" t="s">
        <v>1340</v>
      </c>
      <c r="J5638" t="s">
        <v>17</v>
      </c>
      <c r="K5638" t="str">
        <f>"5F1"</f>
        <v>5F1</v>
      </c>
      <c r="L5638" t="s">
        <v>15</v>
      </c>
    </row>
    <row r="5639" spans="1:12" x14ac:dyDescent="0.25">
      <c r="A5639" t="str">
        <f>"525101553"</f>
        <v>525101553</v>
      </c>
      <c r="B5639" t="str">
        <f t="shared" si="287"/>
        <v>89301000</v>
      </c>
      <c r="C5639" s="1">
        <v>44316</v>
      </c>
      <c r="D5639" s="1">
        <v>44317</v>
      </c>
      <c r="E5639">
        <v>4</v>
      </c>
      <c r="F5639" t="s">
        <v>475</v>
      </c>
      <c r="G5639" t="str">
        <f>"10-K04-04"</f>
        <v>10-K04-04</v>
      </c>
      <c r="H5639">
        <v>0.56330000000000002</v>
      </c>
      <c r="I5639" t="s">
        <v>4156</v>
      </c>
      <c r="J5639" t="s">
        <v>14</v>
      </c>
      <c r="K5639" t="str">
        <f>"1F5"</f>
        <v>1F5</v>
      </c>
      <c r="L5639" t="s">
        <v>286</v>
      </c>
    </row>
    <row r="5640" spans="1:12" x14ac:dyDescent="0.25">
      <c r="A5640" t="str">
        <f>"525112060"</f>
        <v>525112060</v>
      </c>
      <c r="B5640" t="str">
        <f t="shared" si="287"/>
        <v>89301000</v>
      </c>
      <c r="C5640" s="1">
        <v>44432</v>
      </c>
      <c r="D5640" s="1">
        <v>44440</v>
      </c>
      <c r="E5640">
        <v>1</v>
      </c>
      <c r="F5640" t="s">
        <v>1643</v>
      </c>
      <c r="G5640" t="str">
        <f>"08-I05-07"</f>
        <v>08-I05-07</v>
      </c>
      <c r="H5640">
        <v>1.9537</v>
      </c>
      <c r="I5640" t="s">
        <v>4157</v>
      </c>
      <c r="J5640" t="s">
        <v>17</v>
      </c>
      <c r="K5640" t="str">
        <f>"6F6"</f>
        <v>6F6</v>
      </c>
      <c r="L5640" t="s">
        <v>15</v>
      </c>
    </row>
    <row r="5641" spans="1:12" x14ac:dyDescent="0.25">
      <c r="A5641" t="str">
        <f>"525115079"</f>
        <v>525115079</v>
      </c>
      <c r="B5641" t="str">
        <f t="shared" ref="B5641:B5703" si="288">"89301000"</f>
        <v>89301000</v>
      </c>
      <c r="C5641" s="1">
        <v>44330</v>
      </c>
      <c r="D5641" s="1">
        <v>44337</v>
      </c>
      <c r="E5641">
        <v>1</v>
      </c>
      <c r="F5641" t="s">
        <v>4158</v>
      </c>
      <c r="G5641" t="str">
        <f>"04-K15-03"</f>
        <v>04-K15-03</v>
      </c>
      <c r="H5641">
        <v>0.49009999999999998</v>
      </c>
      <c r="I5641" t="s">
        <v>4159</v>
      </c>
      <c r="J5641" t="s">
        <v>14</v>
      </c>
      <c r="K5641" t="str">
        <f>"2F5"</f>
        <v>2F5</v>
      </c>
      <c r="L5641" t="s">
        <v>15</v>
      </c>
    </row>
    <row r="5642" spans="1:12" x14ac:dyDescent="0.25">
      <c r="A5642" t="str">
        <f>"525122064"</f>
        <v>525122064</v>
      </c>
      <c r="B5642" t="str">
        <f t="shared" si="288"/>
        <v>89301000</v>
      </c>
      <c r="C5642" s="1">
        <v>44532</v>
      </c>
      <c r="D5642" s="1">
        <v>44534</v>
      </c>
      <c r="E5642">
        <v>1</v>
      </c>
      <c r="F5642" t="s">
        <v>1551</v>
      </c>
      <c r="G5642" t="str">
        <f>"09-I09-02"</f>
        <v>09-I09-02</v>
      </c>
      <c r="H5642">
        <v>0.84140000000000004</v>
      </c>
      <c r="J5642" t="s">
        <v>17</v>
      </c>
      <c r="K5642" t="str">
        <f>"5F1"</f>
        <v>5F1</v>
      </c>
      <c r="L5642" t="s">
        <v>15</v>
      </c>
    </row>
    <row r="5643" spans="1:12" x14ac:dyDescent="0.25">
      <c r="A5643" t="str">
        <f>"525122064"</f>
        <v>525122064</v>
      </c>
      <c r="B5643" t="str">
        <f t="shared" si="288"/>
        <v>89301000</v>
      </c>
      <c r="C5643" s="1">
        <v>44508</v>
      </c>
      <c r="D5643" s="1">
        <v>44510</v>
      </c>
      <c r="E5643">
        <v>1</v>
      </c>
      <c r="F5643" t="s">
        <v>1551</v>
      </c>
      <c r="G5643" t="str">
        <f>"09-I06-04"</f>
        <v>09-I06-04</v>
      </c>
      <c r="H5643">
        <v>0.98829999999999996</v>
      </c>
      <c r="I5643" t="s">
        <v>4160</v>
      </c>
      <c r="J5643" t="s">
        <v>17</v>
      </c>
      <c r="K5643" t="str">
        <f>"5F1"</f>
        <v>5F1</v>
      </c>
      <c r="L5643" t="s">
        <v>15</v>
      </c>
    </row>
    <row r="5644" spans="1:12" x14ac:dyDescent="0.25">
      <c r="A5644" t="str">
        <f>"525126075"</f>
        <v>525126075</v>
      </c>
      <c r="B5644" t="str">
        <f t="shared" si="288"/>
        <v>89301000</v>
      </c>
      <c r="C5644" s="1">
        <v>44298</v>
      </c>
      <c r="D5644" s="1">
        <v>44298</v>
      </c>
      <c r="E5644">
        <v>1</v>
      </c>
      <c r="F5644" t="s">
        <v>1545</v>
      </c>
      <c r="G5644" t="str">
        <f>"05-I14-02"</f>
        <v>05-I14-02</v>
      </c>
      <c r="H5644">
        <v>5.6119000000000003</v>
      </c>
      <c r="J5644" t="s">
        <v>14</v>
      </c>
      <c r="K5644" t="str">
        <f>"1F7"</f>
        <v>1F7</v>
      </c>
      <c r="L5644" t="s">
        <v>15</v>
      </c>
    </row>
    <row r="5645" spans="1:12" x14ac:dyDescent="0.25">
      <c r="A5645" t="str">
        <f>"525201069"</f>
        <v>525201069</v>
      </c>
      <c r="B5645" t="str">
        <f t="shared" si="288"/>
        <v>89301000</v>
      </c>
      <c r="C5645" s="1">
        <v>44362</v>
      </c>
      <c r="D5645" s="1">
        <v>44363</v>
      </c>
      <c r="E5645">
        <v>1</v>
      </c>
      <c r="F5645" t="s">
        <v>1950</v>
      </c>
      <c r="G5645" t="str">
        <f>"02-I13-02"</f>
        <v>02-I13-02</v>
      </c>
      <c r="H5645">
        <v>0.376</v>
      </c>
      <c r="I5645" t="s">
        <v>4161</v>
      </c>
      <c r="J5645" t="s">
        <v>14</v>
      </c>
      <c r="K5645" t="str">
        <f>"7F5"</f>
        <v>7F5</v>
      </c>
      <c r="L5645" t="s">
        <v>15</v>
      </c>
    </row>
    <row r="5646" spans="1:12" x14ac:dyDescent="0.25">
      <c r="A5646" t="str">
        <f>"525210027"</f>
        <v>525210027</v>
      </c>
      <c r="B5646" t="str">
        <f t="shared" si="288"/>
        <v>89301000</v>
      </c>
      <c r="C5646" s="1">
        <v>44368</v>
      </c>
      <c r="D5646" s="1">
        <v>44396</v>
      </c>
      <c r="E5646">
        <v>1</v>
      </c>
      <c r="F5646" t="s">
        <v>3276</v>
      </c>
      <c r="G5646" t="str">
        <f>"07-M02-02"</f>
        <v>07-M02-02</v>
      </c>
      <c r="H5646">
        <v>2.3315000000000001</v>
      </c>
      <c r="I5646" t="s">
        <v>4162</v>
      </c>
      <c r="J5646" t="s">
        <v>17</v>
      </c>
      <c r="K5646" t="str">
        <f>"4F2"</f>
        <v>4F2</v>
      </c>
      <c r="L5646" t="s">
        <v>15</v>
      </c>
    </row>
    <row r="5647" spans="1:12" x14ac:dyDescent="0.25">
      <c r="A5647" t="str">
        <f>"525210027"</f>
        <v>525210027</v>
      </c>
      <c r="B5647" t="str">
        <f t="shared" si="288"/>
        <v>89301000</v>
      </c>
      <c r="C5647" s="1">
        <v>44400</v>
      </c>
      <c r="D5647" s="1">
        <v>44405</v>
      </c>
      <c r="E5647">
        <v>1</v>
      </c>
      <c r="F5647" t="s">
        <v>3276</v>
      </c>
      <c r="G5647" t="str">
        <f>"07-K06-01"</f>
        <v>07-K06-01</v>
      </c>
      <c r="H5647">
        <v>1.0365</v>
      </c>
      <c r="I5647" t="s">
        <v>4162</v>
      </c>
      <c r="J5647" t="s">
        <v>14</v>
      </c>
      <c r="K5647" t="str">
        <f>"4F2"</f>
        <v>4F2</v>
      </c>
      <c r="L5647" t="s">
        <v>15</v>
      </c>
    </row>
    <row r="5648" spans="1:12" x14ac:dyDescent="0.25">
      <c r="A5648" t="str">
        <f>"525211237"</f>
        <v>525211237</v>
      </c>
      <c r="B5648" t="str">
        <f t="shared" si="288"/>
        <v>89301000</v>
      </c>
      <c r="C5648" s="1">
        <v>44276</v>
      </c>
      <c r="D5648" s="1">
        <v>44279</v>
      </c>
      <c r="E5648">
        <v>1</v>
      </c>
      <c r="F5648" t="s">
        <v>81</v>
      </c>
      <c r="G5648" t="str">
        <f>"10-I13-04"</f>
        <v>10-I13-04</v>
      </c>
      <c r="H5648">
        <v>0.66120000000000001</v>
      </c>
      <c r="J5648" t="s">
        <v>24</v>
      </c>
      <c r="K5648" t="str">
        <f>"5F5"</f>
        <v>5F5</v>
      </c>
      <c r="L5648" t="s">
        <v>15</v>
      </c>
    </row>
    <row r="5649" spans="1:12" x14ac:dyDescent="0.25">
      <c r="A5649" t="str">
        <f>"525228102"</f>
        <v>525228102</v>
      </c>
      <c r="B5649" t="str">
        <f t="shared" si="288"/>
        <v>89301000</v>
      </c>
      <c r="C5649" s="1">
        <v>44524</v>
      </c>
      <c r="D5649" s="1">
        <v>44530</v>
      </c>
      <c r="E5649">
        <v>1</v>
      </c>
      <c r="F5649" t="s">
        <v>4163</v>
      </c>
      <c r="G5649" t="str">
        <f>"06-K07-01"</f>
        <v>06-K07-01</v>
      </c>
      <c r="H5649">
        <v>0.88500000000000001</v>
      </c>
      <c r="I5649" t="s">
        <v>1868</v>
      </c>
      <c r="J5649" t="s">
        <v>14</v>
      </c>
      <c r="K5649" t="str">
        <f>"5F1"</f>
        <v>5F1</v>
      </c>
      <c r="L5649" t="s">
        <v>15</v>
      </c>
    </row>
    <row r="5650" spans="1:12" x14ac:dyDescent="0.25">
      <c r="A5650" t="str">
        <f>"525304211"</f>
        <v>525304211</v>
      </c>
      <c r="B5650" t="str">
        <f t="shared" si="288"/>
        <v>89301000</v>
      </c>
      <c r="C5650" s="1">
        <v>44315</v>
      </c>
      <c r="D5650" s="1">
        <v>44323</v>
      </c>
      <c r="E5650">
        <v>1</v>
      </c>
      <c r="F5650" t="s">
        <v>1619</v>
      </c>
      <c r="G5650" t="str">
        <f>"05-M06-06"</f>
        <v>05-M06-06</v>
      </c>
      <c r="H5650">
        <v>1.7652000000000001</v>
      </c>
      <c r="I5650" t="s">
        <v>4164</v>
      </c>
      <c r="J5650" t="s">
        <v>17</v>
      </c>
      <c r="K5650" t="str">
        <f>"1F1"</f>
        <v>1F1</v>
      </c>
      <c r="L5650" t="s">
        <v>15</v>
      </c>
    </row>
    <row r="5651" spans="1:12" x14ac:dyDescent="0.25">
      <c r="A5651" t="str">
        <f>"525304211"</f>
        <v>525304211</v>
      </c>
      <c r="B5651" t="str">
        <f t="shared" si="288"/>
        <v>89301000</v>
      </c>
      <c r="C5651" s="1">
        <v>44336</v>
      </c>
      <c r="D5651" s="1">
        <v>44337</v>
      </c>
      <c r="E5651">
        <v>1</v>
      </c>
      <c r="F5651" t="s">
        <v>1557</v>
      </c>
      <c r="G5651" t="str">
        <f>"05-M06-04"</f>
        <v>05-M06-04</v>
      </c>
      <c r="H5651">
        <v>2.1958000000000002</v>
      </c>
      <c r="J5651" t="s">
        <v>17</v>
      </c>
      <c r="K5651" t="str">
        <f>"1F7"</f>
        <v>1F7</v>
      </c>
      <c r="L5651" t="s">
        <v>15</v>
      </c>
    </row>
    <row r="5652" spans="1:12" x14ac:dyDescent="0.25">
      <c r="A5652" t="str">
        <f>"525304211"</f>
        <v>525304211</v>
      </c>
      <c r="B5652" t="str">
        <f t="shared" si="288"/>
        <v>89301000</v>
      </c>
      <c r="C5652" s="1">
        <v>44353</v>
      </c>
      <c r="D5652" s="1">
        <v>44355</v>
      </c>
      <c r="E5652">
        <v>1</v>
      </c>
      <c r="F5652" t="s">
        <v>1842</v>
      </c>
      <c r="G5652" t="str">
        <f>"05-I14-04"</f>
        <v>05-I14-04</v>
      </c>
      <c r="H5652">
        <v>5.4002999999999997</v>
      </c>
      <c r="I5652" t="s">
        <v>1606</v>
      </c>
      <c r="J5652" t="s">
        <v>14</v>
      </c>
      <c r="K5652" t="str">
        <f>"1F7"</f>
        <v>1F7</v>
      </c>
      <c r="L5652" t="s">
        <v>15</v>
      </c>
    </row>
    <row r="5653" spans="1:12" x14ac:dyDescent="0.25">
      <c r="A5653" t="str">
        <f>"525306224"</f>
        <v>525306224</v>
      </c>
      <c r="B5653" t="str">
        <f t="shared" si="288"/>
        <v>89301000</v>
      </c>
      <c r="C5653" s="1">
        <v>44410</v>
      </c>
      <c r="D5653" s="1">
        <v>44413</v>
      </c>
      <c r="E5653">
        <v>1</v>
      </c>
      <c r="F5653" t="s">
        <v>2311</v>
      </c>
      <c r="G5653" t="str">
        <f>"08-I03-08"</f>
        <v>08-I03-08</v>
      </c>
      <c r="H5653">
        <v>2.0605000000000002</v>
      </c>
      <c r="I5653" t="s">
        <v>1868</v>
      </c>
      <c r="J5653" t="s">
        <v>17</v>
      </c>
      <c r="K5653" t="str">
        <f>"5F6"</f>
        <v>5F6</v>
      </c>
      <c r="L5653" t="s">
        <v>15</v>
      </c>
    </row>
    <row r="5654" spans="1:12" x14ac:dyDescent="0.25">
      <c r="A5654" t="str">
        <f>"525308039"</f>
        <v>525308039</v>
      </c>
      <c r="B5654" t="str">
        <f t="shared" si="288"/>
        <v>89301000</v>
      </c>
      <c r="C5654" s="1">
        <v>44319</v>
      </c>
      <c r="D5654" s="1">
        <v>44322</v>
      </c>
      <c r="E5654">
        <v>1</v>
      </c>
      <c r="F5654" t="s">
        <v>246</v>
      </c>
      <c r="G5654" t="str">
        <f>"01-I13-00"</f>
        <v>01-I13-00</v>
      </c>
      <c r="H5654">
        <v>0.42880000000000001</v>
      </c>
      <c r="J5654" t="s">
        <v>14</v>
      </c>
      <c r="K5654" t="str">
        <f>"5F6"</f>
        <v>5F6</v>
      </c>
      <c r="L5654" t="s">
        <v>15</v>
      </c>
    </row>
    <row r="5655" spans="1:12" x14ac:dyDescent="0.25">
      <c r="A5655" t="str">
        <f>"525311197"</f>
        <v>525311197</v>
      </c>
      <c r="B5655" t="str">
        <f t="shared" si="288"/>
        <v>89301000</v>
      </c>
      <c r="C5655" s="1">
        <v>44360</v>
      </c>
      <c r="D5655" s="1">
        <v>44362</v>
      </c>
      <c r="E5655">
        <v>1</v>
      </c>
      <c r="F5655" t="s">
        <v>1683</v>
      </c>
      <c r="G5655" t="str">
        <f>"05-M06-06"</f>
        <v>05-M06-06</v>
      </c>
      <c r="H5655">
        <v>1.7652000000000001</v>
      </c>
      <c r="J5655" t="s">
        <v>17</v>
      </c>
      <c r="K5655" t="str">
        <f>"1F1"</f>
        <v>1F1</v>
      </c>
      <c r="L5655" t="s">
        <v>15</v>
      </c>
    </row>
    <row r="5656" spans="1:12" x14ac:dyDescent="0.25">
      <c r="A5656" t="str">
        <f>"525322027"</f>
        <v>525322027</v>
      </c>
      <c r="B5656" t="str">
        <f t="shared" si="288"/>
        <v>89301000</v>
      </c>
      <c r="C5656" s="1">
        <v>44271</v>
      </c>
      <c r="D5656" s="1">
        <v>44274</v>
      </c>
      <c r="E5656">
        <v>1</v>
      </c>
      <c r="F5656" t="s">
        <v>266</v>
      </c>
      <c r="G5656" t="str">
        <f>"13-I14-03"</f>
        <v>13-I14-03</v>
      </c>
      <c r="H5656">
        <v>0.83199999999999996</v>
      </c>
      <c r="J5656" t="s">
        <v>24</v>
      </c>
      <c r="K5656" t="str">
        <f>"6F3"</f>
        <v>6F3</v>
      </c>
      <c r="L5656" t="s">
        <v>15</v>
      </c>
    </row>
    <row r="5657" spans="1:12" x14ac:dyDescent="0.25">
      <c r="A5657" t="str">
        <f>"525326008"</f>
        <v>525326008</v>
      </c>
      <c r="B5657" t="str">
        <f t="shared" si="288"/>
        <v>89301000</v>
      </c>
      <c r="C5657" s="1">
        <v>44491</v>
      </c>
      <c r="D5657" s="1">
        <v>44491</v>
      </c>
      <c r="E5657">
        <v>1</v>
      </c>
      <c r="F5657" t="s">
        <v>1558</v>
      </c>
      <c r="G5657" t="str">
        <f>"05-K09-03"</f>
        <v>05-K09-03</v>
      </c>
      <c r="H5657">
        <v>0.21529999999999999</v>
      </c>
      <c r="I5657" t="s">
        <v>4165</v>
      </c>
      <c r="J5657" t="s">
        <v>14</v>
      </c>
      <c r="K5657" t="str">
        <f>"1F1"</f>
        <v>1F1</v>
      </c>
      <c r="L5657" t="s">
        <v>15</v>
      </c>
    </row>
    <row r="5658" spans="1:12" x14ac:dyDescent="0.25">
      <c r="A5658" t="str">
        <f>"525326086"</f>
        <v>525326086</v>
      </c>
      <c r="B5658" t="str">
        <f t="shared" si="288"/>
        <v>89301000</v>
      </c>
      <c r="C5658" s="1">
        <v>44238</v>
      </c>
      <c r="D5658" s="1">
        <v>44250</v>
      </c>
      <c r="E5658">
        <v>1</v>
      </c>
      <c r="F5658" t="s">
        <v>217</v>
      </c>
      <c r="G5658" t="str">
        <f>"04-K02-02"</f>
        <v>04-K02-02</v>
      </c>
      <c r="H5658">
        <v>2.5186000000000002</v>
      </c>
      <c r="I5658" t="s">
        <v>4166</v>
      </c>
      <c r="J5658" t="s">
        <v>14</v>
      </c>
      <c r="K5658" t="str">
        <f>"5F1"</f>
        <v>5F1</v>
      </c>
      <c r="L5658" t="s">
        <v>15</v>
      </c>
    </row>
    <row r="5659" spans="1:12" x14ac:dyDescent="0.25">
      <c r="A5659" t="str">
        <f t="shared" ref="A5659:A5673" si="289">"525407379"</f>
        <v>525407379</v>
      </c>
      <c r="B5659" t="str">
        <f t="shared" si="288"/>
        <v>89301000</v>
      </c>
      <c r="C5659" s="1">
        <v>44484</v>
      </c>
      <c r="D5659" s="1">
        <v>44485</v>
      </c>
      <c r="E5659">
        <v>1</v>
      </c>
      <c r="F5659" t="s">
        <v>2497</v>
      </c>
      <c r="G5659" t="str">
        <f>"13-C01-02"</f>
        <v>13-C01-02</v>
      </c>
      <c r="H5659">
        <v>0.2349</v>
      </c>
      <c r="I5659" t="s">
        <v>4167</v>
      </c>
      <c r="J5659" t="s">
        <v>14</v>
      </c>
      <c r="K5659" t="str">
        <f t="shared" ref="K5659:K5673" si="290">"4F2"</f>
        <v>4F2</v>
      </c>
      <c r="L5659" t="s">
        <v>15</v>
      </c>
    </row>
    <row r="5660" spans="1:12" x14ac:dyDescent="0.25">
      <c r="A5660" t="str">
        <f t="shared" si="289"/>
        <v>525407379</v>
      </c>
      <c r="B5660" t="str">
        <f t="shared" si="288"/>
        <v>89301000</v>
      </c>
      <c r="C5660" s="1">
        <v>44477</v>
      </c>
      <c r="D5660" s="1">
        <v>44478</v>
      </c>
      <c r="E5660">
        <v>1</v>
      </c>
      <c r="F5660" t="s">
        <v>2497</v>
      </c>
      <c r="G5660" t="str">
        <f>"13-C01-02"</f>
        <v>13-C01-02</v>
      </c>
      <c r="H5660">
        <v>0.2349</v>
      </c>
      <c r="I5660" t="s">
        <v>4168</v>
      </c>
      <c r="J5660" t="s">
        <v>14</v>
      </c>
      <c r="K5660" t="str">
        <f t="shared" si="290"/>
        <v>4F2</v>
      </c>
      <c r="L5660" t="s">
        <v>15</v>
      </c>
    </row>
    <row r="5661" spans="1:12" x14ac:dyDescent="0.25">
      <c r="A5661" t="str">
        <f t="shared" si="289"/>
        <v>525407379</v>
      </c>
      <c r="B5661" t="str">
        <f t="shared" si="288"/>
        <v>89301000</v>
      </c>
      <c r="C5661" s="1">
        <v>44491</v>
      </c>
      <c r="D5661" s="1">
        <v>44492</v>
      </c>
      <c r="E5661">
        <v>1</v>
      </c>
      <c r="F5661" t="s">
        <v>2497</v>
      </c>
      <c r="G5661" t="str">
        <f>"13-C01-02"</f>
        <v>13-C01-02</v>
      </c>
      <c r="H5661">
        <v>0.2349</v>
      </c>
      <c r="I5661" t="s">
        <v>4167</v>
      </c>
      <c r="J5661" t="s">
        <v>14</v>
      </c>
      <c r="K5661" t="str">
        <f t="shared" si="290"/>
        <v>4F2</v>
      </c>
      <c r="L5661" t="s">
        <v>15</v>
      </c>
    </row>
    <row r="5662" spans="1:12" x14ac:dyDescent="0.25">
      <c r="A5662" t="str">
        <f t="shared" si="289"/>
        <v>525407379</v>
      </c>
      <c r="B5662" t="str">
        <f t="shared" si="288"/>
        <v>89301000</v>
      </c>
      <c r="C5662" s="1">
        <v>44501</v>
      </c>
      <c r="D5662" s="1">
        <v>44503</v>
      </c>
      <c r="E5662">
        <v>1</v>
      </c>
      <c r="F5662" t="s">
        <v>2497</v>
      </c>
      <c r="G5662" t="str">
        <f>"13-K07-01"</f>
        <v>13-K07-01</v>
      </c>
      <c r="H5662">
        <v>1.1558999999999999</v>
      </c>
      <c r="I5662" t="s">
        <v>4169</v>
      </c>
      <c r="J5662" t="s">
        <v>14</v>
      </c>
      <c r="K5662" t="str">
        <f t="shared" si="290"/>
        <v>4F2</v>
      </c>
      <c r="L5662" t="s">
        <v>15</v>
      </c>
    </row>
    <row r="5663" spans="1:12" x14ac:dyDescent="0.25">
      <c r="A5663" t="str">
        <f t="shared" si="289"/>
        <v>525407379</v>
      </c>
      <c r="B5663" t="str">
        <f t="shared" si="288"/>
        <v>89301000</v>
      </c>
      <c r="C5663" s="1">
        <v>44522</v>
      </c>
      <c r="D5663" s="1">
        <v>44524</v>
      </c>
      <c r="E5663">
        <v>1</v>
      </c>
      <c r="F5663" t="s">
        <v>2497</v>
      </c>
      <c r="G5663" t="str">
        <f t="shared" ref="G5663:G5673" si="291">"13-C01-02"</f>
        <v>13-C01-02</v>
      </c>
      <c r="H5663">
        <v>0.2349</v>
      </c>
      <c r="I5663" t="s">
        <v>4170</v>
      </c>
      <c r="J5663" t="s">
        <v>14</v>
      </c>
      <c r="K5663" t="str">
        <f t="shared" si="290"/>
        <v>4F2</v>
      </c>
      <c r="L5663" t="s">
        <v>15</v>
      </c>
    </row>
    <row r="5664" spans="1:12" x14ac:dyDescent="0.25">
      <c r="A5664" t="str">
        <f t="shared" si="289"/>
        <v>525407379</v>
      </c>
      <c r="B5664" t="str">
        <f t="shared" si="288"/>
        <v>89301000</v>
      </c>
      <c r="C5664" s="1">
        <v>44533</v>
      </c>
      <c r="D5664" s="1">
        <v>44534</v>
      </c>
      <c r="E5664">
        <v>1</v>
      </c>
      <c r="F5664" t="s">
        <v>2497</v>
      </c>
      <c r="G5664" t="str">
        <f t="shared" si="291"/>
        <v>13-C01-02</v>
      </c>
      <c r="H5664">
        <v>0.2349</v>
      </c>
      <c r="I5664" t="s">
        <v>4167</v>
      </c>
      <c r="J5664" t="s">
        <v>14</v>
      </c>
      <c r="K5664" t="str">
        <f t="shared" si="290"/>
        <v>4F2</v>
      </c>
      <c r="L5664" t="s">
        <v>15</v>
      </c>
    </row>
    <row r="5665" spans="1:12" x14ac:dyDescent="0.25">
      <c r="A5665" t="str">
        <f t="shared" si="289"/>
        <v>525407379</v>
      </c>
      <c r="B5665" t="str">
        <f t="shared" si="288"/>
        <v>89301000</v>
      </c>
      <c r="C5665" s="1">
        <v>44540</v>
      </c>
      <c r="D5665" s="1">
        <v>44541</v>
      </c>
      <c r="E5665">
        <v>1</v>
      </c>
      <c r="F5665" t="s">
        <v>2497</v>
      </c>
      <c r="G5665" t="str">
        <f t="shared" si="291"/>
        <v>13-C01-02</v>
      </c>
      <c r="H5665">
        <v>0.2349</v>
      </c>
      <c r="I5665" t="s">
        <v>4167</v>
      </c>
      <c r="J5665" t="s">
        <v>14</v>
      </c>
      <c r="K5665" t="str">
        <f t="shared" si="290"/>
        <v>4F2</v>
      </c>
      <c r="L5665" t="s">
        <v>15</v>
      </c>
    </row>
    <row r="5666" spans="1:12" x14ac:dyDescent="0.25">
      <c r="A5666" t="str">
        <f t="shared" si="289"/>
        <v>525407379</v>
      </c>
      <c r="B5666" t="str">
        <f t="shared" si="288"/>
        <v>89301000</v>
      </c>
      <c r="C5666" s="1">
        <v>44550</v>
      </c>
      <c r="D5666" s="1">
        <v>44551</v>
      </c>
      <c r="E5666">
        <v>1</v>
      </c>
      <c r="F5666" t="s">
        <v>2497</v>
      </c>
      <c r="G5666" t="str">
        <f t="shared" si="291"/>
        <v>13-C01-02</v>
      </c>
      <c r="H5666">
        <v>0.2349</v>
      </c>
      <c r="I5666" t="s">
        <v>4167</v>
      </c>
      <c r="J5666" t="s">
        <v>14</v>
      </c>
      <c r="K5666" t="str">
        <f t="shared" si="290"/>
        <v>4F2</v>
      </c>
      <c r="L5666" t="s">
        <v>15</v>
      </c>
    </row>
    <row r="5667" spans="1:12" x14ac:dyDescent="0.25">
      <c r="A5667" t="str">
        <f t="shared" si="289"/>
        <v>525407379</v>
      </c>
      <c r="B5667" t="str">
        <f t="shared" si="288"/>
        <v>89301000</v>
      </c>
      <c r="C5667" s="1">
        <v>44425</v>
      </c>
      <c r="D5667" s="1">
        <v>44428</v>
      </c>
      <c r="E5667">
        <v>1</v>
      </c>
      <c r="F5667" t="s">
        <v>2497</v>
      </c>
      <c r="G5667" t="str">
        <f t="shared" si="291"/>
        <v>13-C01-02</v>
      </c>
      <c r="H5667">
        <v>0.2349</v>
      </c>
      <c r="I5667" t="s">
        <v>4171</v>
      </c>
      <c r="J5667" t="s">
        <v>14</v>
      </c>
      <c r="K5667" t="str">
        <f t="shared" si="290"/>
        <v>4F2</v>
      </c>
      <c r="L5667" t="s">
        <v>15</v>
      </c>
    </row>
    <row r="5668" spans="1:12" x14ac:dyDescent="0.25">
      <c r="A5668" t="str">
        <f t="shared" si="289"/>
        <v>525407379</v>
      </c>
      <c r="B5668" t="str">
        <f t="shared" si="288"/>
        <v>89301000</v>
      </c>
      <c r="C5668" s="1">
        <v>44435</v>
      </c>
      <c r="D5668" s="1">
        <v>44436</v>
      </c>
      <c r="E5668">
        <v>1</v>
      </c>
      <c r="F5668" t="s">
        <v>2497</v>
      </c>
      <c r="G5668" t="str">
        <f t="shared" si="291"/>
        <v>13-C01-02</v>
      </c>
      <c r="H5668">
        <v>0.2349</v>
      </c>
      <c r="I5668" t="s">
        <v>4167</v>
      </c>
      <c r="J5668" t="s">
        <v>14</v>
      </c>
      <c r="K5668" t="str">
        <f t="shared" si="290"/>
        <v>4F2</v>
      </c>
      <c r="L5668" t="s">
        <v>15</v>
      </c>
    </row>
    <row r="5669" spans="1:12" x14ac:dyDescent="0.25">
      <c r="A5669" t="str">
        <f t="shared" si="289"/>
        <v>525407379</v>
      </c>
      <c r="B5669" t="str">
        <f t="shared" si="288"/>
        <v>89301000</v>
      </c>
      <c r="C5669" s="1">
        <v>44442</v>
      </c>
      <c r="D5669" s="1">
        <v>44443</v>
      </c>
      <c r="E5669">
        <v>1</v>
      </c>
      <c r="F5669" t="s">
        <v>2497</v>
      </c>
      <c r="G5669" t="str">
        <f t="shared" si="291"/>
        <v>13-C01-02</v>
      </c>
      <c r="H5669">
        <v>0.2349</v>
      </c>
      <c r="I5669" t="s">
        <v>4167</v>
      </c>
      <c r="J5669" t="s">
        <v>14</v>
      </c>
      <c r="K5669" t="str">
        <f t="shared" si="290"/>
        <v>4F2</v>
      </c>
      <c r="L5669" t="s">
        <v>15</v>
      </c>
    </row>
    <row r="5670" spans="1:12" x14ac:dyDescent="0.25">
      <c r="A5670" t="str">
        <f t="shared" si="289"/>
        <v>525407379</v>
      </c>
      <c r="B5670" t="str">
        <f t="shared" si="288"/>
        <v>89301000</v>
      </c>
      <c r="C5670" s="1">
        <v>44449</v>
      </c>
      <c r="D5670" s="1">
        <v>44450</v>
      </c>
      <c r="E5670">
        <v>1</v>
      </c>
      <c r="F5670" t="s">
        <v>2497</v>
      </c>
      <c r="G5670" t="str">
        <f t="shared" si="291"/>
        <v>13-C01-02</v>
      </c>
      <c r="H5670">
        <v>0.2349</v>
      </c>
      <c r="I5670" t="s">
        <v>4167</v>
      </c>
      <c r="J5670" t="s">
        <v>14</v>
      </c>
      <c r="K5670" t="str">
        <f t="shared" si="290"/>
        <v>4F2</v>
      </c>
      <c r="L5670" t="s">
        <v>15</v>
      </c>
    </row>
    <row r="5671" spans="1:12" x14ac:dyDescent="0.25">
      <c r="A5671" t="str">
        <f t="shared" si="289"/>
        <v>525407379</v>
      </c>
      <c r="B5671" t="str">
        <f t="shared" si="288"/>
        <v>89301000</v>
      </c>
      <c r="C5671" s="1">
        <v>44456</v>
      </c>
      <c r="D5671" s="1">
        <v>44457</v>
      </c>
      <c r="E5671">
        <v>1</v>
      </c>
      <c r="F5671" t="s">
        <v>2497</v>
      </c>
      <c r="G5671" t="str">
        <f t="shared" si="291"/>
        <v>13-C01-02</v>
      </c>
      <c r="H5671">
        <v>0.2349</v>
      </c>
      <c r="I5671" t="s">
        <v>4167</v>
      </c>
      <c r="J5671" t="s">
        <v>14</v>
      </c>
      <c r="K5671" t="str">
        <f t="shared" si="290"/>
        <v>4F2</v>
      </c>
      <c r="L5671" t="s">
        <v>15</v>
      </c>
    </row>
    <row r="5672" spans="1:12" x14ac:dyDescent="0.25">
      <c r="A5672" t="str">
        <f t="shared" si="289"/>
        <v>525407379</v>
      </c>
      <c r="B5672" t="str">
        <f t="shared" si="288"/>
        <v>89301000</v>
      </c>
      <c r="C5672" s="1">
        <v>44463</v>
      </c>
      <c r="D5672" s="1">
        <v>44464</v>
      </c>
      <c r="E5672">
        <v>1</v>
      </c>
      <c r="F5672" t="s">
        <v>2497</v>
      </c>
      <c r="G5672" t="str">
        <f t="shared" si="291"/>
        <v>13-C01-02</v>
      </c>
      <c r="H5672">
        <v>0.2349</v>
      </c>
      <c r="I5672" t="s">
        <v>4167</v>
      </c>
      <c r="J5672" t="s">
        <v>14</v>
      </c>
      <c r="K5672" t="str">
        <f t="shared" si="290"/>
        <v>4F2</v>
      </c>
      <c r="L5672" t="s">
        <v>15</v>
      </c>
    </row>
    <row r="5673" spans="1:12" x14ac:dyDescent="0.25">
      <c r="A5673" t="str">
        <f t="shared" si="289"/>
        <v>525407379</v>
      </c>
      <c r="B5673" t="str">
        <f t="shared" si="288"/>
        <v>89301000</v>
      </c>
      <c r="C5673" s="1">
        <v>44470</v>
      </c>
      <c r="D5673" s="1">
        <v>44471</v>
      </c>
      <c r="E5673">
        <v>1</v>
      </c>
      <c r="F5673" t="s">
        <v>2497</v>
      </c>
      <c r="G5673" t="str">
        <f t="shared" si="291"/>
        <v>13-C01-02</v>
      </c>
      <c r="H5673">
        <v>0.2349</v>
      </c>
      <c r="I5673" t="s">
        <v>4167</v>
      </c>
      <c r="J5673" t="s">
        <v>14</v>
      </c>
      <c r="K5673" t="str">
        <f t="shared" si="290"/>
        <v>4F2</v>
      </c>
      <c r="L5673" t="s">
        <v>15</v>
      </c>
    </row>
    <row r="5674" spans="1:12" x14ac:dyDescent="0.25">
      <c r="A5674" t="str">
        <f>"525410038"</f>
        <v>525410038</v>
      </c>
      <c r="B5674" t="str">
        <f t="shared" si="288"/>
        <v>89301000</v>
      </c>
      <c r="C5674" s="1">
        <v>44242</v>
      </c>
      <c r="D5674" s="1">
        <v>44244</v>
      </c>
      <c r="E5674">
        <v>1</v>
      </c>
      <c r="F5674" t="s">
        <v>4172</v>
      </c>
      <c r="G5674" t="str">
        <f>"08-I10-02"</f>
        <v>08-I10-02</v>
      </c>
      <c r="H5674">
        <v>1.0232000000000001</v>
      </c>
      <c r="J5674" t="s">
        <v>17</v>
      </c>
      <c r="K5674" t="str">
        <f>"6F6"</f>
        <v>6F6</v>
      </c>
      <c r="L5674" t="s">
        <v>15</v>
      </c>
    </row>
    <row r="5675" spans="1:12" x14ac:dyDescent="0.25">
      <c r="A5675" t="str">
        <f>"525418068"</f>
        <v>525418068</v>
      </c>
      <c r="B5675" t="str">
        <f t="shared" si="288"/>
        <v>89301000</v>
      </c>
      <c r="C5675" s="1">
        <v>44362</v>
      </c>
      <c r="D5675" s="1">
        <v>44404</v>
      </c>
      <c r="E5675">
        <v>2</v>
      </c>
      <c r="F5675" t="s">
        <v>4173</v>
      </c>
      <c r="G5675" t="str">
        <f>"07-M02-01"</f>
        <v>07-M02-01</v>
      </c>
      <c r="H5675">
        <v>3.8601000000000001</v>
      </c>
      <c r="I5675" t="s">
        <v>4174</v>
      </c>
      <c r="J5675" t="s">
        <v>17</v>
      </c>
      <c r="K5675" t="str">
        <f>"1F1"</f>
        <v>1F1</v>
      </c>
      <c r="L5675" t="s">
        <v>15</v>
      </c>
    </row>
    <row r="5676" spans="1:12" x14ac:dyDescent="0.25">
      <c r="A5676" t="str">
        <f>"525418068"</f>
        <v>525418068</v>
      </c>
      <c r="B5676" t="str">
        <f t="shared" si="288"/>
        <v>89301000</v>
      </c>
      <c r="C5676" s="1">
        <v>44331</v>
      </c>
      <c r="D5676" s="1">
        <v>44344</v>
      </c>
      <c r="E5676">
        <v>1</v>
      </c>
      <c r="F5676" t="s">
        <v>4175</v>
      </c>
      <c r="G5676" t="str">
        <f>"18-I01-02"</f>
        <v>18-I01-02</v>
      </c>
      <c r="H5676">
        <v>3.4746999999999999</v>
      </c>
      <c r="I5676" t="s">
        <v>4176</v>
      </c>
      <c r="J5676" t="s">
        <v>14</v>
      </c>
      <c r="K5676" t="str">
        <f>"1F5"</f>
        <v>1F5</v>
      </c>
      <c r="L5676" t="s">
        <v>15</v>
      </c>
    </row>
    <row r="5677" spans="1:12" x14ac:dyDescent="0.25">
      <c r="A5677" t="str">
        <f>"525419017"</f>
        <v>525419017</v>
      </c>
      <c r="B5677" t="str">
        <f t="shared" si="288"/>
        <v>89301000</v>
      </c>
      <c r="C5677" s="1">
        <v>44504</v>
      </c>
      <c r="D5677" s="1">
        <v>44512</v>
      </c>
      <c r="E5677">
        <v>2</v>
      </c>
      <c r="F5677" t="s">
        <v>448</v>
      </c>
      <c r="G5677" t="str">
        <f>"11-I17-01"</f>
        <v>11-I17-01</v>
      </c>
      <c r="H5677">
        <v>1.8375999999999999</v>
      </c>
      <c r="I5677" t="s">
        <v>4177</v>
      </c>
      <c r="J5677" t="s">
        <v>14</v>
      </c>
      <c r="K5677" t="str">
        <f>"1F1"</f>
        <v>1F1</v>
      </c>
      <c r="L5677" t="s">
        <v>15</v>
      </c>
    </row>
    <row r="5678" spans="1:12" x14ac:dyDescent="0.25">
      <c r="A5678" t="str">
        <f>"525419392"</f>
        <v>525419392</v>
      </c>
      <c r="B5678" t="str">
        <f t="shared" si="288"/>
        <v>89301000</v>
      </c>
      <c r="C5678" s="1">
        <v>44530</v>
      </c>
      <c r="D5678" s="1">
        <v>44536</v>
      </c>
      <c r="E5678">
        <v>1</v>
      </c>
      <c r="F5678" t="s">
        <v>217</v>
      </c>
      <c r="G5678" t="str">
        <f>"04-K02-04"</f>
        <v>04-K02-04</v>
      </c>
      <c r="H5678">
        <v>0.82469999999999999</v>
      </c>
      <c r="I5678" t="s">
        <v>274</v>
      </c>
      <c r="J5678" t="s">
        <v>14</v>
      </c>
      <c r="K5678" t="str">
        <f>"1F1"</f>
        <v>1F1</v>
      </c>
      <c r="L5678" t="s">
        <v>15</v>
      </c>
    </row>
    <row r="5679" spans="1:12" x14ac:dyDescent="0.25">
      <c r="A5679" t="str">
        <f>"525428019"</f>
        <v>525428019</v>
      </c>
      <c r="B5679" t="str">
        <f t="shared" si="288"/>
        <v>89301000</v>
      </c>
      <c r="C5679" s="1">
        <v>44236</v>
      </c>
      <c r="D5679" s="1">
        <v>44249</v>
      </c>
      <c r="E5679">
        <v>1</v>
      </c>
      <c r="F5679" t="s">
        <v>332</v>
      </c>
      <c r="G5679" t="str">
        <f>"07-K02-01"</f>
        <v>07-K02-01</v>
      </c>
      <c r="H5679">
        <v>2.6396999999999999</v>
      </c>
      <c r="I5679" t="s">
        <v>4178</v>
      </c>
      <c r="J5679" t="s">
        <v>14</v>
      </c>
      <c r="K5679" t="str">
        <f>"1F1"</f>
        <v>1F1</v>
      </c>
      <c r="L5679" t="s">
        <v>15</v>
      </c>
    </row>
    <row r="5680" spans="1:12" x14ac:dyDescent="0.25">
      <c r="A5680" t="str">
        <f>"525429090"</f>
        <v>525429090</v>
      </c>
      <c r="B5680" t="str">
        <f t="shared" si="288"/>
        <v>89301000</v>
      </c>
      <c r="C5680" s="1">
        <v>44488</v>
      </c>
      <c r="D5680" s="1">
        <v>44491</v>
      </c>
      <c r="E5680">
        <v>1</v>
      </c>
      <c r="F5680" t="s">
        <v>1914</v>
      </c>
      <c r="G5680" t="str">
        <f>"04-K09-03"</f>
        <v>04-K09-03</v>
      </c>
      <c r="H5680">
        <v>0.62749999999999995</v>
      </c>
      <c r="I5680" t="s">
        <v>4179</v>
      </c>
      <c r="J5680" t="s">
        <v>14</v>
      </c>
      <c r="K5680" t="str">
        <f>"2F5"</f>
        <v>2F5</v>
      </c>
      <c r="L5680" t="s">
        <v>15</v>
      </c>
    </row>
    <row r="5681" spans="1:12" x14ac:dyDescent="0.25">
      <c r="A5681" t="str">
        <f>"525502120"</f>
        <v>525502120</v>
      </c>
      <c r="B5681" t="str">
        <f t="shared" si="288"/>
        <v>89301000</v>
      </c>
      <c r="C5681" s="1">
        <v>44258</v>
      </c>
      <c r="D5681" s="1">
        <v>44263</v>
      </c>
      <c r="E5681">
        <v>1</v>
      </c>
      <c r="F5681" t="s">
        <v>1551</v>
      </c>
      <c r="G5681" t="str">
        <f>"09-I06-04"</f>
        <v>09-I06-04</v>
      </c>
      <c r="H5681">
        <v>0.98829999999999996</v>
      </c>
      <c r="J5681" t="s">
        <v>17</v>
      </c>
      <c r="K5681" t="str">
        <f>"5F1"</f>
        <v>5F1</v>
      </c>
      <c r="L5681" t="s">
        <v>15</v>
      </c>
    </row>
    <row r="5682" spans="1:12" x14ac:dyDescent="0.25">
      <c r="A5682" t="str">
        <f>"525504096"</f>
        <v>525504096</v>
      </c>
      <c r="B5682" t="str">
        <f t="shared" si="288"/>
        <v>89301000</v>
      </c>
      <c r="C5682" s="1">
        <v>44283</v>
      </c>
      <c r="D5682" s="1">
        <v>44285</v>
      </c>
      <c r="E5682">
        <v>1</v>
      </c>
      <c r="F5682" t="s">
        <v>1679</v>
      </c>
      <c r="G5682" t="str">
        <f>"11-I15-00"</f>
        <v>11-I15-00</v>
      </c>
      <c r="H5682">
        <v>0.82330000000000003</v>
      </c>
      <c r="I5682" t="s">
        <v>2288</v>
      </c>
      <c r="J5682" t="s">
        <v>14</v>
      </c>
      <c r="K5682" t="str">
        <f>"7F6"</f>
        <v>7F6</v>
      </c>
      <c r="L5682" t="s">
        <v>15</v>
      </c>
    </row>
    <row r="5683" spans="1:12" x14ac:dyDescent="0.25">
      <c r="A5683" t="str">
        <f>"525508151"</f>
        <v>525508151</v>
      </c>
      <c r="B5683" t="str">
        <f t="shared" si="288"/>
        <v>89301000</v>
      </c>
      <c r="C5683" s="1">
        <v>44258</v>
      </c>
      <c r="D5683" s="1">
        <v>44258</v>
      </c>
      <c r="E5683">
        <v>1</v>
      </c>
      <c r="F5683" t="s">
        <v>2457</v>
      </c>
      <c r="G5683" t="str">
        <f>"05-D01-08"</f>
        <v>05-D01-08</v>
      </c>
      <c r="H5683">
        <v>0.21890000000000001</v>
      </c>
      <c r="J5683" t="s">
        <v>14</v>
      </c>
      <c r="K5683" t="str">
        <f>"1F1"</f>
        <v>1F1</v>
      </c>
      <c r="L5683" t="s">
        <v>15</v>
      </c>
    </row>
    <row r="5684" spans="1:12" x14ac:dyDescent="0.25">
      <c r="A5684" t="str">
        <f>"525510076"</f>
        <v>525510076</v>
      </c>
      <c r="B5684" t="str">
        <f t="shared" si="288"/>
        <v>89301000</v>
      </c>
      <c r="C5684" s="1">
        <v>44276</v>
      </c>
      <c r="D5684" s="1">
        <v>44281</v>
      </c>
      <c r="E5684">
        <v>3</v>
      </c>
      <c r="F5684" t="s">
        <v>2407</v>
      </c>
      <c r="G5684" t="str">
        <f>"08-I06-04"</f>
        <v>08-I06-04</v>
      </c>
      <c r="H5684">
        <v>2.4260000000000002</v>
      </c>
      <c r="I5684" t="s">
        <v>2834</v>
      </c>
      <c r="J5684" t="s">
        <v>24</v>
      </c>
      <c r="K5684" t="str">
        <f>"6F6"</f>
        <v>6F6</v>
      </c>
      <c r="L5684" t="s">
        <v>15</v>
      </c>
    </row>
    <row r="5685" spans="1:12" x14ac:dyDescent="0.25">
      <c r="A5685" t="str">
        <f>"525510076"</f>
        <v>525510076</v>
      </c>
      <c r="B5685" t="str">
        <f t="shared" si="288"/>
        <v>89301000</v>
      </c>
      <c r="C5685" s="1">
        <v>44281</v>
      </c>
      <c r="D5685" s="1">
        <v>44302</v>
      </c>
      <c r="E5685">
        <v>1</v>
      </c>
      <c r="F5685" t="s">
        <v>109</v>
      </c>
      <c r="G5685" t="str">
        <f>"24-M08-02"</f>
        <v>24-M08-02</v>
      </c>
      <c r="H5685">
        <v>2.3557000000000001</v>
      </c>
      <c r="I5685" t="s">
        <v>3247</v>
      </c>
      <c r="J5685" t="s">
        <v>14</v>
      </c>
      <c r="K5685" t="str">
        <f>"2F1"</f>
        <v>2F1</v>
      </c>
      <c r="L5685" t="s">
        <v>15</v>
      </c>
    </row>
    <row r="5686" spans="1:12" x14ac:dyDescent="0.25">
      <c r="A5686" t="str">
        <f>"525510088"</f>
        <v>525510088</v>
      </c>
      <c r="B5686" t="str">
        <f t="shared" si="288"/>
        <v>89301000</v>
      </c>
      <c r="C5686" s="1">
        <v>44285</v>
      </c>
      <c r="D5686" s="1">
        <v>44289</v>
      </c>
      <c r="E5686">
        <v>1</v>
      </c>
      <c r="F5686" t="s">
        <v>316</v>
      </c>
      <c r="G5686" t="str">
        <f>"01-I08-04"</f>
        <v>01-I08-04</v>
      </c>
      <c r="H5686">
        <v>1.6155999999999999</v>
      </c>
      <c r="I5686" t="s">
        <v>4180</v>
      </c>
      <c r="J5686" t="s">
        <v>17</v>
      </c>
      <c r="K5686" t="str">
        <f>"5F6"</f>
        <v>5F6</v>
      </c>
      <c r="L5686" t="s">
        <v>15</v>
      </c>
    </row>
    <row r="5687" spans="1:12" x14ac:dyDescent="0.25">
      <c r="A5687" t="str">
        <f>"525512051"</f>
        <v>525512051</v>
      </c>
      <c r="B5687" t="str">
        <f t="shared" si="288"/>
        <v>89301000</v>
      </c>
      <c r="C5687" s="1">
        <v>44392</v>
      </c>
      <c r="D5687" s="1">
        <v>44395</v>
      </c>
      <c r="E5687">
        <v>1</v>
      </c>
      <c r="F5687" t="s">
        <v>2264</v>
      </c>
      <c r="G5687" t="str">
        <f>"11-M06-03"</f>
        <v>11-M06-03</v>
      </c>
      <c r="H5687">
        <v>0.61519999999999997</v>
      </c>
      <c r="I5687" t="s">
        <v>4181</v>
      </c>
      <c r="J5687" t="s">
        <v>17</v>
      </c>
      <c r="K5687" t="str">
        <f>"7F6"</f>
        <v>7F6</v>
      </c>
      <c r="L5687" t="s">
        <v>15</v>
      </c>
    </row>
    <row r="5688" spans="1:12" x14ac:dyDescent="0.25">
      <c r="A5688" t="str">
        <f>"525518068"</f>
        <v>525518068</v>
      </c>
      <c r="B5688" t="str">
        <f t="shared" si="288"/>
        <v>89301000</v>
      </c>
      <c r="C5688" s="1">
        <v>44493</v>
      </c>
      <c r="D5688" s="1">
        <v>44502</v>
      </c>
      <c r="E5688">
        <v>3</v>
      </c>
      <c r="F5688" t="s">
        <v>1699</v>
      </c>
      <c r="G5688" t="str">
        <f>"01-C02-02"</f>
        <v>01-C02-02</v>
      </c>
      <c r="H5688">
        <v>1.4877</v>
      </c>
      <c r="I5688" t="s">
        <v>4182</v>
      </c>
      <c r="J5688" t="s">
        <v>14</v>
      </c>
      <c r="K5688" t="str">
        <f>"2F9"</f>
        <v>2F9</v>
      </c>
      <c r="L5688" t="s">
        <v>15</v>
      </c>
    </row>
    <row r="5689" spans="1:12" x14ac:dyDescent="0.25">
      <c r="A5689" t="str">
        <f>"525518068"</f>
        <v>525518068</v>
      </c>
      <c r="B5689" t="str">
        <f t="shared" si="288"/>
        <v>89301000</v>
      </c>
      <c r="C5689" s="1">
        <v>44342</v>
      </c>
      <c r="D5689" s="1">
        <v>44344</v>
      </c>
      <c r="E5689">
        <v>1</v>
      </c>
      <c r="F5689" t="s">
        <v>2303</v>
      </c>
      <c r="G5689" t="str">
        <f>"13-I19-00"</f>
        <v>13-I19-00</v>
      </c>
      <c r="H5689">
        <v>0.24679999999999999</v>
      </c>
      <c r="J5689" t="s">
        <v>14</v>
      </c>
      <c r="K5689" t="str">
        <f>"6F3"</f>
        <v>6F3</v>
      </c>
      <c r="L5689" t="s">
        <v>15</v>
      </c>
    </row>
    <row r="5690" spans="1:12" x14ac:dyDescent="0.25">
      <c r="A5690" t="str">
        <f>"525518068"</f>
        <v>525518068</v>
      </c>
      <c r="B5690" t="str">
        <f t="shared" si="288"/>
        <v>89301000</v>
      </c>
      <c r="C5690" s="1">
        <v>44502</v>
      </c>
      <c r="D5690" s="1">
        <v>44524</v>
      </c>
      <c r="E5690">
        <v>1</v>
      </c>
      <c r="F5690" t="s">
        <v>109</v>
      </c>
      <c r="G5690" t="str">
        <f>"24-M08-01"</f>
        <v>24-M08-01</v>
      </c>
      <c r="H5690">
        <v>2.5592999999999999</v>
      </c>
      <c r="I5690" t="s">
        <v>2793</v>
      </c>
      <c r="J5690" t="s">
        <v>14</v>
      </c>
      <c r="K5690" t="str">
        <f>"2F1"</f>
        <v>2F1</v>
      </c>
      <c r="L5690" t="s">
        <v>15</v>
      </c>
    </row>
    <row r="5691" spans="1:12" x14ac:dyDescent="0.25">
      <c r="A5691" t="str">
        <f>"525525350"</f>
        <v>525525350</v>
      </c>
      <c r="B5691" t="str">
        <f t="shared" si="288"/>
        <v>89301000</v>
      </c>
      <c r="C5691" s="1">
        <v>44537</v>
      </c>
      <c r="D5691" s="1">
        <v>44547</v>
      </c>
      <c r="E5691">
        <v>1</v>
      </c>
      <c r="F5691" t="s">
        <v>1646</v>
      </c>
      <c r="G5691" t="str">
        <f>"04-K02-04"</f>
        <v>04-K02-04</v>
      </c>
      <c r="H5691">
        <v>0.82469999999999999</v>
      </c>
      <c r="I5691" t="s">
        <v>4183</v>
      </c>
      <c r="J5691" t="s">
        <v>14</v>
      </c>
      <c r="K5691" t="str">
        <f>"2F5"</f>
        <v>2F5</v>
      </c>
      <c r="L5691" t="s">
        <v>15</v>
      </c>
    </row>
    <row r="5692" spans="1:12" x14ac:dyDescent="0.25">
      <c r="A5692" t="str">
        <f>"525525350"</f>
        <v>525525350</v>
      </c>
      <c r="B5692" t="str">
        <f t="shared" si="288"/>
        <v>89301000</v>
      </c>
      <c r="C5692" s="1">
        <v>44362</v>
      </c>
      <c r="D5692" s="1">
        <v>44377</v>
      </c>
      <c r="E5692">
        <v>4</v>
      </c>
      <c r="F5692" t="s">
        <v>2434</v>
      </c>
      <c r="G5692" t="str">
        <f>"04-K09-02"</f>
        <v>04-K09-02</v>
      </c>
      <c r="H5692">
        <v>1.2861</v>
      </c>
      <c r="I5692" t="s">
        <v>4184</v>
      </c>
      <c r="J5692" t="s">
        <v>14</v>
      </c>
      <c r="K5692" t="str">
        <f>"2F5"</f>
        <v>2F5</v>
      </c>
      <c r="L5692" t="s">
        <v>15</v>
      </c>
    </row>
    <row r="5693" spans="1:12" x14ac:dyDescent="0.25">
      <c r="A5693" t="str">
        <f>"525527046"</f>
        <v>525527046</v>
      </c>
      <c r="B5693" t="str">
        <f t="shared" si="288"/>
        <v>89301000</v>
      </c>
      <c r="C5693" s="1">
        <v>44320</v>
      </c>
      <c r="D5693" s="1">
        <v>44322</v>
      </c>
      <c r="E5693">
        <v>1</v>
      </c>
      <c r="F5693" t="s">
        <v>1606</v>
      </c>
      <c r="G5693" t="str">
        <f>"05-M05-02"</f>
        <v>05-M05-02</v>
      </c>
      <c r="H5693">
        <v>3.516</v>
      </c>
      <c r="J5693" t="s">
        <v>24</v>
      </c>
      <c r="K5693" t="str">
        <f>"1F7"</f>
        <v>1F7</v>
      </c>
      <c r="L5693" t="s">
        <v>15</v>
      </c>
    </row>
    <row r="5694" spans="1:12" x14ac:dyDescent="0.25">
      <c r="A5694" t="str">
        <f>"525531302"</f>
        <v>525531302</v>
      </c>
      <c r="B5694" t="str">
        <f t="shared" si="288"/>
        <v>89301000</v>
      </c>
      <c r="C5694" s="1">
        <v>44445</v>
      </c>
      <c r="D5694" s="1">
        <v>44454</v>
      </c>
      <c r="E5694">
        <v>4</v>
      </c>
      <c r="F5694" t="s">
        <v>3642</v>
      </c>
      <c r="G5694" t="str">
        <f>"08-I06-02"</f>
        <v>08-I06-02</v>
      </c>
      <c r="H5694">
        <v>4.8783000000000003</v>
      </c>
      <c r="I5694" t="s">
        <v>4185</v>
      </c>
      <c r="J5694" t="s">
        <v>24</v>
      </c>
      <c r="K5694" t="str">
        <f>"6F6"</f>
        <v>6F6</v>
      </c>
      <c r="L5694" t="s">
        <v>15</v>
      </c>
    </row>
    <row r="5695" spans="1:12" x14ac:dyDescent="0.25">
      <c r="A5695" t="str">
        <f>"525606072"</f>
        <v>525606072</v>
      </c>
      <c r="B5695" t="str">
        <f t="shared" si="288"/>
        <v>89301000</v>
      </c>
      <c r="C5695" s="1">
        <v>44413</v>
      </c>
      <c r="D5695" s="1">
        <v>44417</v>
      </c>
      <c r="E5695">
        <v>1</v>
      </c>
      <c r="F5695" t="s">
        <v>1551</v>
      </c>
      <c r="G5695" t="str">
        <f>"09-I06-04"</f>
        <v>09-I06-04</v>
      </c>
      <c r="H5695">
        <v>0.98829999999999996</v>
      </c>
      <c r="J5695" t="s">
        <v>17</v>
      </c>
      <c r="K5695" t="str">
        <f>"5F1"</f>
        <v>5F1</v>
      </c>
      <c r="L5695" t="s">
        <v>15</v>
      </c>
    </row>
    <row r="5696" spans="1:12" x14ac:dyDescent="0.25">
      <c r="A5696" t="str">
        <f>"525612046"</f>
        <v>525612046</v>
      </c>
      <c r="B5696" t="str">
        <f t="shared" si="288"/>
        <v>89301000</v>
      </c>
      <c r="C5696" s="1">
        <v>44354</v>
      </c>
      <c r="D5696" s="1">
        <v>44365</v>
      </c>
      <c r="E5696">
        <v>1</v>
      </c>
      <c r="F5696" t="s">
        <v>3027</v>
      </c>
      <c r="G5696" t="str">
        <f>"03-I05-01"</f>
        <v>03-I05-01</v>
      </c>
      <c r="H5696">
        <v>5.8655999999999997</v>
      </c>
      <c r="I5696" t="s">
        <v>4186</v>
      </c>
      <c r="J5696" t="s">
        <v>14</v>
      </c>
      <c r="K5696" t="str">
        <f>"7F1"</f>
        <v>7F1</v>
      </c>
      <c r="L5696" t="s">
        <v>15</v>
      </c>
    </row>
    <row r="5697" spans="1:12" x14ac:dyDescent="0.25">
      <c r="A5697" t="str">
        <f>"525612046"</f>
        <v>525612046</v>
      </c>
      <c r="B5697" t="str">
        <f t="shared" si="288"/>
        <v>89301000</v>
      </c>
      <c r="C5697" s="1">
        <v>44336</v>
      </c>
      <c r="D5697" s="1">
        <v>44344</v>
      </c>
      <c r="E5697">
        <v>1</v>
      </c>
      <c r="F5697" t="s">
        <v>3027</v>
      </c>
      <c r="G5697" t="str">
        <f>"03-I22-02"</f>
        <v>03-I22-02</v>
      </c>
      <c r="H5697">
        <v>0.75970000000000004</v>
      </c>
      <c r="I5697" t="s">
        <v>4187</v>
      </c>
      <c r="J5697" t="s">
        <v>14</v>
      </c>
      <c r="K5697" t="str">
        <f>"7F1"</f>
        <v>7F1</v>
      </c>
      <c r="L5697" t="s">
        <v>15</v>
      </c>
    </row>
    <row r="5698" spans="1:12" x14ac:dyDescent="0.25">
      <c r="A5698" t="str">
        <f>"525614213"</f>
        <v>525614213</v>
      </c>
      <c r="B5698" t="str">
        <f t="shared" si="288"/>
        <v>89301000</v>
      </c>
      <c r="C5698" s="1">
        <v>44424</v>
      </c>
      <c r="D5698" s="1">
        <v>44435</v>
      </c>
      <c r="E5698">
        <v>1</v>
      </c>
      <c r="F5698" t="s">
        <v>109</v>
      </c>
      <c r="G5698" t="str">
        <f>"24-M06-02"</f>
        <v>24-M06-02</v>
      </c>
      <c r="H5698">
        <v>1.0233000000000001</v>
      </c>
      <c r="I5698" t="s">
        <v>4188</v>
      </c>
      <c r="J5698" t="s">
        <v>14</v>
      </c>
      <c r="K5698" t="str">
        <f>"2F1"</f>
        <v>2F1</v>
      </c>
      <c r="L5698" t="s">
        <v>15</v>
      </c>
    </row>
    <row r="5699" spans="1:12" x14ac:dyDescent="0.25">
      <c r="A5699" t="str">
        <f>"525615400"</f>
        <v>525615400</v>
      </c>
      <c r="B5699" t="str">
        <f t="shared" si="288"/>
        <v>89301000</v>
      </c>
      <c r="C5699" s="1">
        <v>44257</v>
      </c>
      <c r="D5699" s="1">
        <v>44259</v>
      </c>
      <c r="E5699">
        <v>1</v>
      </c>
      <c r="F5699" t="s">
        <v>29</v>
      </c>
      <c r="G5699" t="str">
        <f>"08-M03-05"</f>
        <v>08-M03-05</v>
      </c>
      <c r="H5699">
        <v>0.51759999999999995</v>
      </c>
      <c r="I5699" t="s">
        <v>21</v>
      </c>
      <c r="J5699" t="s">
        <v>14</v>
      </c>
      <c r="K5699" t="str">
        <f>"5F3"</f>
        <v>5F3</v>
      </c>
      <c r="L5699" t="s">
        <v>15</v>
      </c>
    </row>
    <row r="5700" spans="1:12" x14ac:dyDescent="0.25">
      <c r="A5700" t="str">
        <f>"525617031"</f>
        <v>525617031</v>
      </c>
      <c r="B5700" t="str">
        <f t="shared" si="288"/>
        <v>89301000</v>
      </c>
      <c r="C5700" s="1">
        <v>44396</v>
      </c>
      <c r="D5700" s="1">
        <v>44404</v>
      </c>
      <c r="E5700">
        <v>1</v>
      </c>
      <c r="F5700" t="s">
        <v>4189</v>
      </c>
      <c r="G5700" t="str">
        <f>"08-K01-01"</f>
        <v>08-K01-01</v>
      </c>
      <c r="H5700">
        <v>1.4826999999999999</v>
      </c>
      <c r="I5700" t="s">
        <v>4190</v>
      </c>
      <c r="J5700" t="s">
        <v>14</v>
      </c>
      <c r="K5700" t="str">
        <f>"1F9"</f>
        <v>1F9</v>
      </c>
      <c r="L5700" t="s">
        <v>15</v>
      </c>
    </row>
    <row r="5701" spans="1:12" x14ac:dyDescent="0.25">
      <c r="A5701" t="str">
        <f>"525617031"</f>
        <v>525617031</v>
      </c>
      <c r="B5701" t="str">
        <f t="shared" si="288"/>
        <v>89301000</v>
      </c>
      <c r="C5701" s="1">
        <v>44223</v>
      </c>
      <c r="D5701" s="1">
        <v>44232</v>
      </c>
      <c r="E5701">
        <v>1</v>
      </c>
      <c r="F5701" t="s">
        <v>1970</v>
      </c>
      <c r="G5701" t="str">
        <f>"01-K08-01"</f>
        <v>01-K08-01</v>
      </c>
      <c r="H5701">
        <v>1.1733</v>
      </c>
      <c r="I5701" t="s">
        <v>4191</v>
      </c>
      <c r="J5701" t="s">
        <v>14</v>
      </c>
      <c r="K5701" t="str">
        <f>"2F9"</f>
        <v>2F9</v>
      </c>
      <c r="L5701" t="s">
        <v>15</v>
      </c>
    </row>
    <row r="5702" spans="1:12" x14ac:dyDescent="0.25">
      <c r="A5702" t="str">
        <f>"525625063"</f>
        <v>525625063</v>
      </c>
      <c r="B5702" t="str">
        <f t="shared" si="288"/>
        <v>89301000</v>
      </c>
      <c r="C5702" s="1">
        <v>44256</v>
      </c>
      <c r="D5702" s="1">
        <v>44260</v>
      </c>
      <c r="E5702">
        <v>1</v>
      </c>
      <c r="F5702" t="s">
        <v>1619</v>
      </c>
      <c r="G5702" t="str">
        <f>"05-M06-02"</f>
        <v>05-M06-02</v>
      </c>
      <c r="H5702">
        <v>3.8521999999999998</v>
      </c>
      <c r="I5702" t="s">
        <v>4192</v>
      </c>
      <c r="J5702" t="s">
        <v>17</v>
      </c>
      <c r="K5702" t="str">
        <f>"1F1"</f>
        <v>1F1</v>
      </c>
      <c r="L5702" t="s">
        <v>15</v>
      </c>
    </row>
    <row r="5703" spans="1:12" x14ac:dyDescent="0.25">
      <c r="A5703" t="str">
        <f>"525628288"</f>
        <v>525628288</v>
      </c>
      <c r="B5703" t="str">
        <f t="shared" si="288"/>
        <v>89301000</v>
      </c>
      <c r="C5703" s="1">
        <v>44397</v>
      </c>
      <c r="D5703" s="1">
        <v>44400</v>
      </c>
      <c r="E5703">
        <v>1</v>
      </c>
      <c r="F5703" t="s">
        <v>571</v>
      </c>
      <c r="G5703" t="str">
        <f>"08-I14-03"</f>
        <v>08-I14-03</v>
      </c>
      <c r="H5703">
        <v>1.5905</v>
      </c>
      <c r="I5703" t="s">
        <v>4193</v>
      </c>
      <c r="J5703" t="s">
        <v>17</v>
      </c>
      <c r="K5703" t="str">
        <f>"5F3"</f>
        <v>5F3</v>
      </c>
      <c r="L5703" t="s">
        <v>15</v>
      </c>
    </row>
    <row r="5704" spans="1:12" x14ac:dyDescent="0.25">
      <c r="A5704" t="str">
        <f>"525629126"</f>
        <v>525629126</v>
      </c>
      <c r="B5704" t="str">
        <f t="shared" ref="B5704:B5767" si="292">"89301000"</f>
        <v>89301000</v>
      </c>
      <c r="C5704" s="1">
        <v>44362</v>
      </c>
      <c r="D5704" s="1">
        <v>44368</v>
      </c>
      <c r="E5704">
        <v>1</v>
      </c>
      <c r="F5704" t="s">
        <v>1970</v>
      </c>
      <c r="G5704" t="str">
        <f>"01-K08-01"</f>
        <v>01-K08-01</v>
      </c>
      <c r="H5704">
        <v>1.1733</v>
      </c>
      <c r="I5704" t="s">
        <v>4194</v>
      </c>
      <c r="J5704" t="s">
        <v>14</v>
      </c>
      <c r="K5704" t="str">
        <f>"2F9"</f>
        <v>2F9</v>
      </c>
      <c r="L5704" t="s">
        <v>15</v>
      </c>
    </row>
    <row r="5705" spans="1:12" x14ac:dyDescent="0.25">
      <c r="A5705" t="str">
        <f>"525704371"</f>
        <v>525704371</v>
      </c>
      <c r="B5705" t="str">
        <f t="shared" si="292"/>
        <v>89301000</v>
      </c>
      <c r="C5705" s="1">
        <v>44392</v>
      </c>
      <c r="D5705" s="1">
        <v>44396</v>
      </c>
      <c r="E5705">
        <v>4</v>
      </c>
      <c r="F5705" t="s">
        <v>496</v>
      </c>
      <c r="G5705" t="str">
        <f>"08-M03-05"</f>
        <v>08-M03-05</v>
      </c>
      <c r="H5705">
        <v>0.51759999999999995</v>
      </c>
      <c r="I5705" t="s">
        <v>4195</v>
      </c>
      <c r="J5705" t="s">
        <v>14</v>
      </c>
      <c r="K5705" t="str">
        <f>"6F6"</f>
        <v>6F6</v>
      </c>
      <c r="L5705" t="s">
        <v>15</v>
      </c>
    </row>
    <row r="5706" spans="1:12" x14ac:dyDescent="0.25">
      <c r="A5706" t="str">
        <f>"525711076"</f>
        <v>525711076</v>
      </c>
      <c r="B5706" t="str">
        <f t="shared" si="292"/>
        <v>89301000</v>
      </c>
      <c r="C5706" s="1">
        <v>44473</v>
      </c>
      <c r="D5706" s="1">
        <v>44474</v>
      </c>
      <c r="E5706">
        <v>1</v>
      </c>
      <c r="F5706" t="s">
        <v>3236</v>
      </c>
      <c r="G5706" t="str">
        <f>"13-I19-00"</f>
        <v>13-I19-00</v>
      </c>
      <c r="H5706">
        <v>0.24679999999999999</v>
      </c>
      <c r="J5706" t="s">
        <v>14</v>
      </c>
      <c r="K5706" t="str">
        <f>"6F3"</f>
        <v>6F3</v>
      </c>
      <c r="L5706" t="s">
        <v>15</v>
      </c>
    </row>
    <row r="5707" spans="1:12" x14ac:dyDescent="0.25">
      <c r="A5707" t="str">
        <f>"525711076"</f>
        <v>525711076</v>
      </c>
      <c r="B5707" t="str">
        <f t="shared" si="292"/>
        <v>89301000</v>
      </c>
      <c r="C5707" s="1">
        <v>44470</v>
      </c>
      <c r="D5707" s="1">
        <v>44470</v>
      </c>
      <c r="E5707">
        <v>1</v>
      </c>
      <c r="F5707" t="s">
        <v>3236</v>
      </c>
      <c r="G5707" t="str">
        <f>"13-K03-00"</f>
        <v>13-K03-00</v>
      </c>
      <c r="H5707">
        <v>0.1293</v>
      </c>
      <c r="J5707" t="s">
        <v>14</v>
      </c>
      <c r="K5707" t="str">
        <f>"6F3"</f>
        <v>6F3</v>
      </c>
      <c r="L5707" t="s">
        <v>15</v>
      </c>
    </row>
    <row r="5708" spans="1:12" x14ac:dyDescent="0.25">
      <c r="A5708" t="str">
        <f>"525712113"</f>
        <v>525712113</v>
      </c>
      <c r="B5708" t="str">
        <f t="shared" si="292"/>
        <v>89301000</v>
      </c>
      <c r="C5708" s="1">
        <v>44243</v>
      </c>
      <c r="D5708" s="1">
        <v>44246</v>
      </c>
      <c r="E5708">
        <v>1</v>
      </c>
      <c r="F5708" t="s">
        <v>4196</v>
      </c>
      <c r="G5708" t="str">
        <f>"08-M03-05"</f>
        <v>08-M03-05</v>
      </c>
      <c r="H5708">
        <v>0.51759999999999995</v>
      </c>
      <c r="I5708" t="s">
        <v>3567</v>
      </c>
      <c r="J5708" t="s">
        <v>14</v>
      </c>
      <c r="K5708" t="str">
        <f>"6F6"</f>
        <v>6F6</v>
      </c>
      <c r="L5708" t="s">
        <v>15</v>
      </c>
    </row>
    <row r="5709" spans="1:12" x14ac:dyDescent="0.25">
      <c r="A5709" t="str">
        <f>"525712306"</f>
        <v>525712306</v>
      </c>
      <c r="B5709" t="str">
        <f t="shared" si="292"/>
        <v>89301000</v>
      </c>
      <c r="C5709" s="1">
        <v>44459</v>
      </c>
      <c r="D5709" s="1">
        <v>44461</v>
      </c>
      <c r="E5709">
        <v>1</v>
      </c>
      <c r="F5709" t="s">
        <v>2360</v>
      </c>
      <c r="G5709" t="str">
        <f>"06-M01-02"</f>
        <v>06-M01-02</v>
      </c>
      <c r="H5709">
        <v>1.2191000000000001</v>
      </c>
      <c r="I5709" t="s">
        <v>489</v>
      </c>
      <c r="J5709" t="s">
        <v>14</v>
      </c>
      <c r="K5709" t="str">
        <f>"1F1"</f>
        <v>1F1</v>
      </c>
      <c r="L5709" t="s">
        <v>15</v>
      </c>
    </row>
    <row r="5710" spans="1:12" x14ac:dyDescent="0.25">
      <c r="A5710" t="str">
        <f>"525728016"</f>
        <v>525728016</v>
      </c>
      <c r="B5710" t="str">
        <f t="shared" si="292"/>
        <v>89301000</v>
      </c>
      <c r="C5710" s="1">
        <v>44276</v>
      </c>
      <c r="D5710" s="1">
        <v>44294</v>
      </c>
      <c r="E5710">
        <v>4</v>
      </c>
      <c r="F5710" t="s">
        <v>1240</v>
      </c>
      <c r="G5710" t="str">
        <f>"11-K01-02"</f>
        <v>11-K01-02</v>
      </c>
      <c r="H5710">
        <v>0.9284</v>
      </c>
      <c r="I5710" t="s">
        <v>4197</v>
      </c>
      <c r="J5710" t="s">
        <v>14</v>
      </c>
      <c r="K5710" t="str">
        <f>"1F1"</f>
        <v>1F1</v>
      </c>
      <c r="L5710" t="s">
        <v>15</v>
      </c>
    </row>
    <row r="5711" spans="1:12" x14ac:dyDescent="0.25">
      <c r="A5711" t="str">
        <f>"525802011"</f>
        <v>525802011</v>
      </c>
      <c r="B5711" t="str">
        <f t="shared" si="292"/>
        <v>89301000</v>
      </c>
      <c r="C5711" s="1">
        <v>44411</v>
      </c>
      <c r="D5711" s="1">
        <v>44413</v>
      </c>
      <c r="E5711">
        <v>1</v>
      </c>
      <c r="F5711" t="s">
        <v>1873</v>
      </c>
      <c r="G5711" t="str">
        <f>"16-K02-03"</f>
        <v>16-K02-03</v>
      </c>
      <c r="H5711">
        <v>0.5302</v>
      </c>
      <c r="I5711" t="s">
        <v>4198</v>
      </c>
      <c r="J5711" t="s">
        <v>14</v>
      </c>
      <c r="K5711" t="str">
        <f>"1F1"</f>
        <v>1F1</v>
      </c>
      <c r="L5711" t="s">
        <v>15</v>
      </c>
    </row>
    <row r="5712" spans="1:12" x14ac:dyDescent="0.25">
      <c r="A5712" t="str">
        <f>"525804290"</f>
        <v>525804290</v>
      </c>
      <c r="B5712" t="str">
        <f t="shared" si="292"/>
        <v>89301000</v>
      </c>
      <c r="C5712" s="1">
        <v>44503</v>
      </c>
      <c r="D5712" s="1">
        <v>44504</v>
      </c>
      <c r="E5712">
        <v>1</v>
      </c>
      <c r="F5712" t="s">
        <v>1557</v>
      </c>
      <c r="G5712" t="str">
        <f>"05-D01-08"</f>
        <v>05-D01-08</v>
      </c>
      <c r="H5712">
        <v>0.4093</v>
      </c>
      <c r="J5712" t="s">
        <v>14</v>
      </c>
      <c r="K5712" t="str">
        <f>"1F7"</f>
        <v>1F7</v>
      </c>
      <c r="L5712" t="s">
        <v>15</v>
      </c>
    </row>
    <row r="5713" spans="1:12" x14ac:dyDescent="0.25">
      <c r="A5713" t="str">
        <f>"525807300"</f>
        <v>525807300</v>
      </c>
      <c r="B5713" t="str">
        <f t="shared" si="292"/>
        <v>89301000</v>
      </c>
      <c r="C5713" s="1">
        <v>44306</v>
      </c>
      <c r="D5713" s="1">
        <v>44320</v>
      </c>
      <c r="E5713">
        <v>5</v>
      </c>
      <c r="F5713" t="s">
        <v>2902</v>
      </c>
      <c r="G5713" t="str">
        <f>"07-K04-04"</f>
        <v>07-K04-04</v>
      </c>
      <c r="H5713">
        <v>0.97350000000000003</v>
      </c>
      <c r="I5713" t="s">
        <v>4199</v>
      </c>
      <c r="J5713" t="s">
        <v>14</v>
      </c>
      <c r="K5713" t="str">
        <f>"1F1"</f>
        <v>1F1</v>
      </c>
      <c r="L5713" t="s">
        <v>15</v>
      </c>
    </row>
    <row r="5714" spans="1:12" x14ac:dyDescent="0.25">
      <c r="A5714" t="str">
        <f>"525812141"</f>
        <v>525812141</v>
      </c>
      <c r="B5714" t="str">
        <f t="shared" si="292"/>
        <v>89301000</v>
      </c>
      <c r="C5714" s="1">
        <v>44483</v>
      </c>
      <c r="D5714" s="1">
        <v>44496</v>
      </c>
      <c r="E5714">
        <v>1</v>
      </c>
      <c r="F5714" t="s">
        <v>109</v>
      </c>
      <c r="G5714" t="str">
        <f>"24-M07-02"</f>
        <v>24-M07-02</v>
      </c>
      <c r="H5714">
        <v>1.5094000000000001</v>
      </c>
      <c r="I5714" t="s">
        <v>4114</v>
      </c>
      <c r="J5714" t="s">
        <v>14</v>
      </c>
      <c r="K5714" t="str">
        <f>"2F1"</f>
        <v>2F1</v>
      </c>
      <c r="L5714" t="s">
        <v>15</v>
      </c>
    </row>
    <row r="5715" spans="1:12" x14ac:dyDescent="0.25">
      <c r="A5715" t="str">
        <f>"525812141"</f>
        <v>525812141</v>
      </c>
      <c r="B5715" t="str">
        <f t="shared" si="292"/>
        <v>89301000</v>
      </c>
      <c r="C5715" s="1">
        <v>44476</v>
      </c>
      <c r="D5715" s="1">
        <v>44483</v>
      </c>
      <c r="E5715">
        <v>3</v>
      </c>
      <c r="F5715" t="s">
        <v>2407</v>
      </c>
      <c r="G5715" t="str">
        <f>"08-I06-04"</f>
        <v>08-I06-04</v>
      </c>
      <c r="H5715">
        <v>2.4260000000000002</v>
      </c>
      <c r="I5715" t="s">
        <v>4200</v>
      </c>
      <c r="J5715" t="s">
        <v>24</v>
      </c>
      <c r="K5715" t="str">
        <f>"6F6"</f>
        <v>6F6</v>
      </c>
      <c r="L5715" t="s">
        <v>15</v>
      </c>
    </row>
    <row r="5716" spans="1:12" x14ac:dyDescent="0.25">
      <c r="A5716" t="str">
        <f>"525813085"</f>
        <v>525813085</v>
      </c>
      <c r="B5716" t="str">
        <f t="shared" si="292"/>
        <v>89301000</v>
      </c>
      <c r="C5716" s="1">
        <v>44265</v>
      </c>
      <c r="D5716" s="1">
        <v>44270</v>
      </c>
      <c r="E5716">
        <v>1</v>
      </c>
      <c r="F5716" t="s">
        <v>217</v>
      </c>
      <c r="G5716" t="str">
        <f>"04-K02-02"</f>
        <v>04-K02-02</v>
      </c>
      <c r="H5716">
        <v>2.5186000000000002</v>
      </c>
      <c r="I5716" t="s">
        <v>2879</v>
      </c>
      <c r="J5716" t="s">
        <v>14</v>
      </c>
      <c r="K5716" t="str">
        <f>"1F1"</f>
        <v>1F1</v>
      </c>
      <c r="L5716" t="s">
        <v>15</v>
      </c>
    </row>
    <row r="5717" spans="1:12" x14ac:dyDescent="0.25">
      <c r="A5717" t="str">
        <f>"525816322"</f>
        <v>525816322</v>
      </c>
      <c r="B5717" t="str">
        <f t="shared" si="292"/>
        <v>89301000</v>
      </c>
      <c r="C5717" s="1">
        <v>44223</v>
      </c>
      <c r="D5717" s="1">
        <v>44231</v>
      </c>
      <c r="E5717">
        <v>1</v>
      </c>
      <c r="F5717" t="s">
        <v>1683</v>
      </c>
      <c r="G5717" t="str">
        <f>"05-I16-04"</f>
        <v>05-I16-04</v>
      </c>
      <c r="H5717">
        <v>6.1497999999999999</v>
      </c>
      <c r="J5717" t="s">
        <v>17</v>
      </c>
      <c r="K5717" t="str">
        <f>"5F5"</f>
        <v>5F5</v>
      </c>
      <c r="L5717" t="s">
        <v>15</v>
      </c>
    </row>
    <row r="5718" spans="1:12" x14ac:dyDescent="0.25">
      <c r="A5718" t="str">
        <f>"525821327"</f>
        <v>525821327</v>
      </c>
      <c r="B5718" t="str">
        <f t="shared" si="292"/>
        <v>89301000</v>
      </c>
      <c r="C5718" s="1">
        <v>44363</v>
      </c>
      <c r="D5718" s="1">
        <v>44374</v>
      </c>
      <c r="E5718">
        <v>1</v>
      </c>
      <c r="F5718" t="s">
        <v>1762</v>
      </c>
      <c r="G5718" t="str">
        <f>"04-I09-02"</f>
        <v>04-I09-02</v>
      </c>
      <c r="H5718">
        <v>1.4007000000000001</v>
      </c>
      <c r="I5718" t="s">
        <v>4201</v>
      </c>
      <c r="J5718" t="s">
        <v>14</v>
      </c>
      <c r="K5718" t="str">
        <f>"5F1"</f>
        <v>5F1</v>
      </c>
      <c r="L5718" t="s">
        <v>15</v>
      </c>
    </row>
    <row r="5719" spans="1:12" x14ac:dyDescent="0.25">
      <c r="A5719" t="str">
        <f>"525822110"</f>
        <v>525822110</v>
      </c>
      <c r="B5719" t="str">
        <f t="shared" si="292"/>
        <v>89301000</v>
      </c>
      <c r="C5719" s="1">
        <v>44238</v>
      </c>
      <c r="D5719" s="1">
        <v>44244</v>
      </c>
      <c r="E5719">
        <v>1</v>
      </c>
      <c r="F5719" t="s">
        <v>2497</v>
      </c>
      <c r="G5719" t="str">
        <f>"13-I04-04"</f>
        <v>13-I04-04</v>
      </c>
      <c r="H5719">
        <v>2.2545999999999999</v>
      </c>
      <c r="J5719" t="s">
        <v>106</v>
      </c>
      <c r="K5719" t="str">
        <f>"6F3"</f>
        <v>6F3</v>
      </c>
      <c r="L5719" t="s">
        <v>15</v>
      </c>
    </row>
    <row r="5720" spans="1:12" x14ac:dyDescent="0.25">
      <c r="A5720" t="str">
        <f>"525822111"</f>
        <v>525822111</v>
      </c>
      <c r="B5720" t="str">
        <f t="shared" si="292"/>
        <v>89301000</v>
      </c>
      <c r="C5720" s="1">
        <v>44406</v>
      </c>
      <c r="D5720" s="1">
        <v>44408</v>
      </c>
      <c r="E5720">
        <v>1</v>
      </c>
      <c r="F5720" t="s">
        <v>84</v>
      </c>
      <c r="G5720" t="str">
        <f>"09-I09-05"</f>
        <v>09-I09-05</v>
      </c>
      <c r="H5720">
        <v>0.47210000000000002</v>
      </c>
      <c r="I5720" t="s">
        <v>1868</v>
      </c>
      <c r="J5720" t="s">
        <v>17</v>
      </c>
      <c r="K5720" t="str">
        <f>"5F1"</f>
        <v>5F1</v>
      </c>
      <c r="L5720" t="s">
        <v>15</v>
      </c>
    </row>
    <row r="5721" spans="1:12" x14ac:dyDescent="0.25">
      <c r="A5721" t="str">
        <f>"525829050"</f>
        <v>525829050</v>
      </c>
      <c r="B5721" t="str">
        <f t="shared" si="292"/>
        <v>89301000</v>
      </c>
      <c r="C5721" s="1">
        <v>44361</v>
      </c>
      <c r="D5721" s="1">
        <v>44362</v>
      </c>
      <c r="E5721">
        <v>5</v>
      </c>
      <c r="F5721" t="s">
        <v>4202</v>
      </c>
      <c r="G5721" t="str">
        <f>"18-K02-01"</f>
        <v>18-K02-01</v>
      </c>
      <c r="H5721">
        <v>0.82840000000000003</v>
      </c>
      <c r="I5721" t="s">
        <v>4203</v>
      </c>
      <c r="J5721" t="s">
        <v>14</v>
      </c>
      <c r="K5721" t="str">
        <f>"1F9"</f>
        <v>1F9</v>
      </c>
      <c r="L5721" t="s">
        <v>15</v>
      </c>
    </row>
    <row r="5722" spans="1:12" x14ac:dyDescent="0.25">
      <c r="A5722" t="str">
        <f>"525829050"</f>
        <v>525829050</v>
      </c>
      <c r="B5722" t="str">
        <f t="shared" si="292"/>
        <v>89301000</v>
      </c>
      <c r="C5722" s="1">
        <v>44299</v>
      </c>
      <c r="D5722" s="1">
        <v>44343</v>
      </c>
      <c r="E5722">
        <v>4</v>
      </c>
      <c r="F5722" t="s">
        <v>699</v>
      </c>
      <c r="G5722" t="str">
        <f>"16-K02-01"</f>
        <v>16-K02-01</v>
      </c>
      <c r="H5722">
        <v>2.802</v>
      </c>
      <c r="I5722" t="s">
        <v>4204</v>
      </c>
      <c r="J5722" t="s">
        <v>14</v>
      </c>
      <c r="K5722" t="str">
        <f>"1F1"</f>
        <v>1F1</v>
      </c>
      <c r="L5722" t="s">
        <v>15</v>
      </c>
    </row>
    <row r="5723" spans="1:12" x14ac:dyDescent="0.25">
      <c r="A5723" t="str">
        <f>"525829050"</f>
        <v>525829050</v>
      </c>
      <c r="B5723" t="str">
        <f t="shared" si="292"/>
        <v>89301000</v>
      </c>
      <c r="C5723" s="1">
        <v>44405</v>
      </c>
      <c r="D5723" s="1">
        <v>44428</v>
      </c>
      <c r="E5723">
        <v>8</v>
      </c>
      <c r="F5723" t="s">
        <v>1008</v>
      </c>
      <c r="G5723" t="str">
        <f>"18-K01-04"</f>
        <v>18-K01-04</v>
      </c>
      <c r="H5723">
        <v>2.4565000000000001</v>
      </c>
      <c r="I5723" t="s">
        <v>4205</v>
      </c>
      <c r="J5723" t="s">
        <v>14</v>
      </c>
      <c r="K5723" t="str">
        <f>"1F1"</f>
        <v>1F1</v>
      </c>
      <c r="L5723" t="s">
        <v>15</v>
      </c>
    </row>
    <row r="5724" spans="1:12" x14ac:dyDescent="0.25">
      <c r="A5724" t="str">
        <f>"525829050"</f>
        <v>525829050</v>
      </c>
      <c r="B5724" t="str">
        <f t="shared" si="292"/>
        <v>89301000</v>
      </c>
      <c r="C5724" s="1">
        <v>44279</v>
      </c>
      <c r="D5724" s="1">
        <v>44280</v>
      </c>
      <c r="E5724">
        <v>5</v>
      </c>
      <c r="F5724" t="s">
        <v>1574</v>
      </c>
      <c r="G5724" t="str">
        <f>"05-K12-02"</f>
        <v>05-K12-02</v>
      </c>
      <c r="H5724">
        <v>0.53600000000000003</v>
      </c>
      <c r="J5724" t="s">
        <v>14</v>
      </c>
      <c r="K5724" t="str">
        <f>"5F1"</f>
        <v>5F1</v>
      </c>
      <c r="L5724" t="s">
        <v>15</v>
      </c>
    </row>
    <row r="5725" spans="1:12" x14ac:dyDescent="0.25">
      <c r="A5725" t="str">
        <f>"525829050"</f>
        <v>525829050</v>
      </c>
      <c r="B5725" t="str">
        <f t="shared" si="292"/>
        <v>89301000</v>
      </c>
      <c r="C5725" s="1">
        <v>44376</v>
      </c>
      <c r="D5725" s="1">
        <v>44377</v>
      </c>
      <c r="E5725">
        <v>5</v>
      </c>
      <c r="F5725" t="s">
        <v>4206</v>
      </c>
      <c r="G5725" t="str">
        <f>"08-C04-02"</f>
        <v>08-C04-02</v>
      </c>
      <c r="H5725">
        <v>0.43919999999999998</v>
      </c>
      <c r="I5725" t="s">
        <v>4207</v>
      </c>
      <c r="J5725" t="s">
        <v>14</v>
      </c>
      <c r="K5725" t="str">
        <f>"1F9"</f>
        <v>1F9</v>
      </c>
      <c r="L5725" t="s">
        <v>15</v>
      </c>
    </row>
    <row r="5726" spans="1:12" x14ac:dyDescent="0.25">
      <c r="A5726" t="str">
        <f>"525829156"</f>
        <v>525829156</v>
      </c>
      <c r="B5726" t="str">
        <f t="shared" si="292"/>
        <v>89301000</v>
      </c>
      <c r="C5726" s="1">
        <v>44255</v>
      </c>
      <c r="D5726" s="1">
        <v>44258</v>
      </c>
      <c r="E5726">
        <v>1</v>
      </c>
      <c r="F5726" t="s">
        <v>785</v>
      </c>
      <c r="G5726" t="str">
        <f>"10-I13-02"</f>
        <v>10-I13-02</v>
      </c>
      <c r="H5726">
        <v>1.1468</v>
      </c>
      <c r="J5726" t="s">
        <v>24</v>
      </c>
      <c r="K5726" t="str">
        <f>"5F1"</f>
        <v>5F1</v>
      </c>
      <c r="L5726" t="s">
        <v>15</v>
      </c>
    </row>
    <row r="5727" spans="1:12" x14ac:dyDescent="0.25">
      <c r="A5727" t="str">
        <f>"525831079"</f>
        <v>525831079</v>
      </c>
      <c r="B5727" t="str">
        <f t="shared" si="292"/>
        <v>89301000</v>
      </c>
      <c r="C5727" s="1">
        <v>44283</v>
      </c>
      <c r="D5727" s="1">
        <v>44288</v>
      </c>
      <c r="E5727">
        <v>5</v>
      </c>
      <c r="F5727" t="s">
        <v>4208</v>
      </c>
      <c r="G5727" t="str">
        <f>"01-I06-02"</f>
        <v>01-I06-02</v>
      </c>
      <c r="H5727">
        <v>5.1687000000000003</v>
      </c>
      <c r="I5727" t="s">
        <v>4209</v>
      </c>
      <c r="J5727" t="s">
        <v>17</v>
      </c>
      <c r="K5727" t="str">
        <f>"5F6"</f>
        <v>5F6</v>
      </c>
      <c r="L5727" t="s">
        <v>15</v>
      </c>
    </row>
    <row r="5728" spans="1:12" x14ac:dyDescent="0.25">
      <c r="A5728" t="str">
        <f>"525904231"</f>
        <v>525904231</v>
      </c>
      <c r="B5728" t="str">
        <f t="shared" si="292"/>
        <v>89301000</v>
      </c>
      <c r="C5728" s="1">
        <v>44308</v>
      </c>
      <c r="D5728" s="1">
        <v>44311</v>
      </c>
      <c r="E5728">
        <v>1</v>
      </c>
      <c r="F5728" t="s">
        <v>4196</v>
      </c>
      <c r="G5728" t="str">
        <f>"08-M03-03"</f>
        <v>08-M03-03</v>
      </c>
      <c r="H5728">
        <v>0.69450000000000001</v>
      </c>
      <c r="I5728" t="s">
        <v>3567</v>
      </c>
      <c r="J5728" t="s">
        <v>14</v>
      </c>
      <c r="K5728" t="str">
        <f>"6F6"</f>
        <v>6F6</v>
      </c>
      <c r="L5728" t="s">
        <v>15</v>
      </c>
    </row>
    <row r="5729" spans="1:12" x14ac:dyDescent="0.25">
      <c r="A5729" t="str">
        <f>"525914267"</f>
        <v>525914267</v>
      </c>
      <c r="B5729" t="str">
        <f t="shared" si="292"/>
        <v>89301000</v>
      </c>
      <c r="C5729" s="1">
        <v>44269</v>
      </c>
      <c r="D5729" s="1">
        <v>44284</v>
      </c>
      <c r="E5729">
        <v>7</v>
      </c>
      <c r="F5729" t="s">
        <v>217</v>
      </c>
      <c r="G5729" t="str">
        <f>"00-M01-04"</f>
        <v>00-M01-04</v>
      </c>
      <c r="H5729">
        <v>6.85</v>
      </c>
      <c r="I5729" t="s">
        <v>4210</v>
      </c>
      <c r="J5729" t="s">
        <v>14</v>
      </c>
      <c r="K5729" t="str">
        <f>"1T1"</f>
        <v>1T1</v>
      </c>
      <c r="L5729" t="s">
        <v>15</v>
      </c>
    </row>
    <row r="5730" spans="1:12" x14ac:dyDescent="0.25">
      <c r="A5730" t="str">
        <f>"525918387"</f>
        <v>525918387</v>
      </c>
      <c r="B5730" t="str">
        <f t="shared" si="292"/>
        <v>89301000</v>
      </c>
      <c r="C5730" s="1">
        <v>44474</v>
      </c>
      <c r="D5730" s="1">
        <v>44481</v>
      </c>
      <c r="E5730">
        <v>1</v>
      </c>
      <c r="F5730" t="s">
        <v>18</v>
      </c>
      <c r="G5730" t="str">
        <f>"11-I10-01"</f>
        <v>11-I10-01</v>
      </c>
      <c r="H5730">
        <v>2.8389000000000002</v>
      </c>
      <c r="I5730" t="s">
        <v>2769</v>
      </c>
      <c r="J5730" t="s">
        <v>14</v>
      </c>
      <c r="K5730" t="str">
        <f>"7F6"</f>
        <v>7F6</v>
      </c>
      <c r="L5730" t="s">
        <v>15</v>
      </c>
    </row>
    <row r="5731" spans="1:12" x14ac:dyDescent="0.25">
      <c r="A5731" t="str">
        <f>"525924163"</f>
        <v>525924163</v>
      </c>
      <c r="B5731" t="str">
        <f t="shared" si="292"/>
        <v>89301000</v>
      </c>
      <c r="C5731" s="1">
        <v>44507</v>
      </c>
      <c r="D5731" s="1">
        <v>44516</v>
      </c>
      <c r="E5731">
        <v>1</v>
      </c>
      <c r="F5731" t="s">
        <v>1699</v>
      </c>
      <c r="G5731" t="str">
        <f>"01-K10-03"</f>
        <v>01-K10-03</v>
      </c>
      <c r="H5731">
        <v>1.0016</v>
      </c>
      <c r="I5731" t="s">
        <v>2479</v>
      </c>
      <c r="J5731" t="s">
        <v>14</v>
      </c>
      <c r="K5731" t="str">
        <f>"2F9"</f>
        <v>2F9</v>
      </c>
      <c r="L5731" t="s">
        <v>15</v>
      </c>
    </row>
    <row r="5732" spans="1:12" x14ac:dyDescent="0.25">
      <c r="A5732" t="str">
        <f>"525925109"</f>
        <v>525925109</v>
      </c>
      <c r="B5732" t="str">
        <f t="shared" si="292"/>
        <v>89301000</v>
      </c>
      <c r="C5732" s="1">
        <v>44336</v>
      </c>
      <c r="D5732" s="1">
        <v>44341</v>
      </c>
      <c r="E5732">
        <v>1</v>
      </c>
      <c r="F5732" t="s">
        <v>2232</v>
      </c>
      <c r="G5732" t="str">
        <f>"11-I07-01"</f>
        <v>11-I07-01</v>
      </c>
      <c r="H5732">
        <v>2.5975999999999999</v>
      </c>
      <c r="I5732" t="s">
        <v>4211</v>
      </c>
      <c r="J5732" t="s">
        <v>14</v>
      </c>
      <c r="K5732" t="str">
        <f>"7F6"</f>
        <v>7F6</v>
      </c>
      <c r="L5732" t="s">
        <v>15</v>
      </c>
    </row>
    <row r="5733" spans="1:12" x14ac:dyDescent="0.25">
      <c r="A5733" t="str">
        <f>"525925109"</f>
        <v>525925109</v>
      </c>
      <c r="B5733" t="str">
        <f t="shared" si="292"/>
        <v>89301000</v>
      </c>
      <c r="C5733" s="1">
        <v>44460</v>
      </c>
      <c r="D5733" s="1">
        <v>44462</v>
      </c>
      <c r="E5733">
        <v>1</v>
      </c>
      <c r="F5733" t="s">
        <v>672</v>
      </c>
      <c r="G5733" t="str">
        <f>"17-I08-02"</f>
        <v>17-I08-02</v>
      </c>
      <c r="H5733">
        <v>1.1428</v>
      </c>
      <c r="I5733" t="s">
        <v>4212</v>
      </c>
      <c r="J5733" t="s">
        <v>14</v>
      </c>
      <c r="K5733" t="str">
        <f>"1F1"</f>
        <v>1F1</v>
      </c>
      <c r="L5733" t="s">
        <v>15</v>
      </c>
    </row>
    <row r="5734" spans="1:12" x14ac:dyDescent="0.25">
      <c r="A5734" t="str">
        <f>"525927243"</f>
        <v>525927243</v>
      </c>
      <c r="B5734" t="str">
        <f t="shared" si="292"/>
        <v>89301000</v>
      </c>
      <c r="C5734" s="1">
        <v>44394</v>
      </c>
      <c r="D5734" s="1">
        <v>44400</v>
      </c>
      <c r="E5734">
        <v>4</v>
      </c>
      <c r="F5734" t="s">
        <v>4213</v>
      </c>
      <c r="G5734" t="str">
        <f>"19-K03-03"</f>
        <v>19-K03-03</v>
      </c>
      <c r="H5734">
        <v>0.93169999999999997</v>
      </c>
      <c r="I5734" t="s">
        <v>4214</v>
      </c>
      <c r="J5734" t="s">
        <v>27</v>
      </c>
      <c r="K5734" t="str">
        <f>"3F5"</f>
        <v>3F5</v>
      </c>
      <c r="L5734" t="s">
        <v>15</v>
      </c>
    </row>
    <row r="5735" spans="1:12" x14ac:dyDescent="0.25">
      <c r="A5735" t="str">
        <f>"525930206"</f>
        <v>525930206</v>
      </c>
      <c r="B5735" t="str">
        <f t="shared" si="292"/>
        <v>89301000</v>
      </c>
      <c r="C5735" s="1">
        <v>44199</v>
      </c>
      <c r="D5735" s="1">
        <v>44207</v>
      </c>
      <c r="E5735">
        <v>8</v>
      </c>
      <c r="F5735" t="s">
        <v>962</v>
      </c>
      <c r="G5735" t="str">
        <f>"04-M01-05"</f>
        <v>04-M01-05</v>
      </c>
      <c r="H5735">
        <v>6.2100999999999997</v>
      </c>
      <c r="I5735" t="s">
        <v>4215</v>
      </c>
      <c r="J5735" t="s">
        <v>14</v>
      </c>
      <c r="K5735" t="str">
        <f>"1T1"</f>
        <v>1T1</v>
      </c>
      <c r="L5735" t="s">
        <v>15</v>
      </c>
    </row>
    <row r="5736" spans="1:12" x14ac:dyDescent="0.25">
      <c r="A5736" t="str">
        <f>"526002165"</f>
        <v>526002165</v>
      </c>
      <c r="B5736" t="str">
        <f t="shared" si="292"/>
        <v>89301000</v>
      </c>
      <c r="C5736" s="1">
        <v>44447</v>
      </c>
      <c r="D5736" s="1">
        <v>44451</v>
      </c>
      <c r="E5736">
        <v>1</v>
      </c>
      <c r="F5736" t="s">
        <v>3158</v>
      </c>
      <c r="G5736" t="str">
        <f>"05-M04-01"</f>
        <v>05-M04-01</v>
      </c>
      <c r="H5736">
        <v>4.9264000000000001</v>
      </c>
      <c r="I5736" t="s">
        <v>4216</v>
      </c>
      <c r="J5736" t="s">
        <v>17</v>
      </c>
      <c r="K5736" t="str">
        <f>"5F1"</f>
        <v>5F1</v>
      </c>
      <c r="L5736" t="s">
        <v>15</v>
      </c>
    </row>
    <row r="5737" spans="1:12" x14ac:dyDescent="0.25">
      <c r="A5737" t="str">
        <f>"526003216"</f>
        <v>526003216</v>
      </c>
      <c r="B5737" t="str">
        <f t="shared" si="292"/>
        <v>89301000</v>
      </c>
      <c r="C5737" s="1">
        <v>44291</v>
      </c>
      <c r="D5737" s="1">
        <v>44299</v>
      </c>
      <c r="E5737">
        <v>1</v>
      </c>
      <c r="F5737" t="s">
        <v>760</v>
      </c>
      <c r="G5737" t="str">
        <f>"09-K12-00"</f>
        <v>09-K12-00</v>
      </c>
      <c r="H5737">
        <v>0.43769999999999998</v>
      </c>
      <c r="I5737" t="s">
        <v>4217</v>
      </c>
      <c r="J5737" t="s">
        <v>14</v>
      </c>
      <c r="K5737" t="str">
        <f>"1F6"</f>
        <v>1F6</v>
      </c>
      <c r="L5737" t="s">
        <v>15</v>
      </c>
    </row>
    <row r="5738" spans="1:12" x14ac:dyDescent="0.25">
      <c r="A5738" t="str">
        <f>"526005112"</f>
        <v>526005112</v>
      </c>
      <c r="B5738" t="str">
        <f t="shared" si="292"/>
        <v>89301000</v>
      </c>
      <c r="C5738" s="1">
        <v>44482</v>
      </c>
      <c r="D5738" s="1">
        <v>44487</v>
      </c>
      <c r="E5738">
        <v>1</v>
      </c>
      <c r="F5738" t="s">
        <v>2553</v>
      </c>
      <c r="G5738" t="str">
        <f>"17-R01-08"</f>
        <v>17-R01-08</v>
      </c>
      <c r="H5738">
        <v>1.1423000000000001</v>
      </c>
      <c r="I5738" t="s">
        <v>4218</v>
      </c>
      <c r="J5738" t="s">
        <v>14</v>
      </c>
      <c r="K5738" t="str">
        <f>"4F2"</f>
        <v>4F2</v>
      </c>
      <c r="L5738" t="s">
        <v>15</v>
      </c>
    </row>
    <row r="5739" spans="1:12" x14ac:dyDescent="0.25">
      <c r="A5739" t="str">
        <f>"526005112"</f>
        <v>526005112</v>
      </c>
      <c r="B5739" t="str">
        <f t="shared" si="292"/>
        <v>89301000</v>
      </c>
      <c r="C5739" s="1">
        <v>44376</v>
      </c>
      <c r="D5739" s="1">
        <v>44379</v>
      </c>
      <c r="E5739">
        <v>1</v>
      </c>
      <c r="F5739" t="s">
        <v>571</v>
      </c>
      <c r="G5739" t="str">
        <f>"08-I14-01"</f>
        <v>08-I14-01</v>
      </c>
      <c r="H5739">
        <v>2.7719999999999998</v>
      </c>
      <c r="I5739" t="s">
        <v>4219</v>
      </c>
      <c r="J5739" t="s">
        <v>17</v>
      </c>
      <c r="K5739" t="str">
        <f>"5F3"</f>
        <v>5F3</v>
      </c>
      <c r="L5739" t="s">
        <v>15</v>
      </c>
    </row>
    <row r="5740" spans="1:12" x14ac:dyDescent="0.25">
      <c r="A5740" t="str">
        <f>"526010323"</f>
        <v>526010323</v>
      </c>
      <c r="B5740" t="str">
        <f t="shared" si="292"/>
        <v>89301000</v>
      </c>
      <c r="C5740" s="1">
        <v>44362</v>
      </c>
      <c r="D5740" s="1">
        <v>44365</v>
      </c>
      <c r="E5740">
        <v>1</v>
      </c>
      <c r="F5740" t="s">
        <v>1699</v>
      </c>
      <c r="G5740" t="str">
        <f>"01-K10-03"</f>
        <v>01-K10-03</v>
      </c>
      <c r="H5740">
        <v>1.0016</v>
      </c>
      <c r="I5740" t="s">
        <v>489</v>
      </c>
      <c r="J5740" t="s">
        <v>14</v>
      </c>
      <c r="K5740" t="str">
        <f>"2F9"</f>
        <v>2F9</v>
      </c>
      <c r="L5740" t="s">
        <v>15</v>
      </c>
    </row>
    <row r="5741" spans="1:12" x14ac:dyDescent="0.25">
      <c r="A5741" t="str">
        <f>"526014018"</f>
        <v>526014018</v>
      </c>
      <c r="B5741" t="str">
        <f t="shared" si="292"/>
        <v>89301000</v>
      </c>
      <c r="C5741" s="1">
        <v>44447</v>
      </c>
      <c r="D5741" s="1">
        <v>44452</v>
      </c>
      <c r="E5741">
        <v>1</v>
      </c>
      <c r="F5741" t="s">
        <v>2068</v>
      </c>
      <c r="G5741" t="str">
        <f>"02-I06-02"</f>
        <v>02-I06-02</v>
      </c>
      <c r="H5741">
        <v>0.90300000000000002</v>
      </c>
      <c r="I5741" t="s">
        <v>4220</v>
      </c>
      <c r="J5741" t="s">
        <v>17</v>
      </c>
      <c r="K5741" t="str">
        <f>"7F5"</f>
        <v>7F5</v>
      </c>
      <c r="L5741" t="s">
        <v>15</v>
      </c>
    </row>
    <row r="5742" spans="1:12" x14ac:dyDescent="0.25">
      <c r="A5742" t="str">
        <f>"526015192"</f>
        <v>526015192</v>
      </c>
      <c r="B5742" t="str">
        <f t="shared" si="292"/>
        <v>89301000</v>
      </c>
      <c r="C5742" s="1">
        <v>44249</v>
      </c>
      <c r="D5742" s="1">
        <v>44250</v>
      </c>
      <c r="E5742">
        <v>1</v>
      </c>
      <c r="F5742" t="s">
        <v>831</v>
      </c>
      <c r="G5742" t="str">
        <f>"02-I06-03"</f>
        <v>02-I06-03</v>
      </c>
      <c r="H5742">
        <v>0.63690000000000002</v>
      </c>
      <c r="I5742" t="s">
        <v>4221</v>
      </c>
      <c r="J5742" t="s">
        <v>17</v>
      </c>
      <c r="K5742" t="str">
        <f>"7F5"</f>
        <v>7F5</v>
      </c>
      <c r="L5742" t="s">
        <v>15</v>
      </c>
    </row>
    <row r="5743" spans="1:12" x14ac:dyDescent="0.25">
      <c r="A5743" t="str">
        <f>"526021218"</f>
        <v>526021218</v>
      </c>
      <c r="B5743" t="str">
        <f t="shared" si="292"/>
        <v>89301000</v>
      </c>
      <c r="C5743" s="1">
        <v>44349</v>
      </c>
      <c r="D5743" s="1">
        <v>44350</v>
      </c>
      <c r="E5743">
        <v>1</v>
      </c>
      <c r="F5743" t="s">
        <v>1557</v>
      </c>
      <c r="G5743" t="str">
        <f>"05-D01-08"</f>
        <v>05-D01-08</v>
      </c>
      <c r="H5743">
        <v>0.4093</v>
      </c>
      <c r="J5743" t="s">
        <v>14</v>
      </c>
      <c r="K5743" t="str">
        <f>"1F7"</f>
        <v>1F7</v>
      </c>
      <c r="L5743" t="s">
        <v>15</v>
      </c>
    </row>
    <row r="5744" spans="1:12" x14ac:dyDescent="0.25">
      <c r="A5744" t="str">
        <f>"526021234"</f>
        <v>526021234</v>
      </c>
      <c r="B5744" t="str">
        <f t="shared" si="292"/>
        <v>89301000</v>
      </c>
      <c r="C5744" s="1">
        <v>44444</v>
      </c>
      <c r="D5744" s="1">
        <v>44446</v>
      </c>
      <c r="E5744">
        <v>1</v>
      </c>
      <c r="F5744" t="s">
        <v>1805</v>
      </c>
      <c r="G5744" t="str">
        <f>"13-I19-00"</f>
        <v>13-I19-00</v>
      </c>
      <c r="H5744">
        <v>0.24679999999999999</v>
      </c>
      <c r="J5744" t="s">
        <v>14</v>
      </c>
      <c r="K5744" t="str">
        <f>"6F3"</f>
        <v>6F3</v>
      </c>
      <c r="L5744" t="s">
        <v>15</v>
      </c>
    </row>
    <row r="5745" spans="1:12" x14ac:dyDescent="0.25">
      <c r="A5745" t="str">
        <f>"526021234"</f>
        <v>526021234</v>
      </c>
      <c r="B5745" t="str">
        <f t="shared" si="292"/>
        <v>89301000</v>
      </c>
      <c r="C5745" s="1">
        <v>44489</v>
      </c>
      <c r="D5745" s="1">
        <v>44494</v>
      </c>
      <c r="E5745">
        <v>1</v>
      </c>
      <c r="F5745" t="s">
        <v>1802</v>
      </c>
      <c r="G5745" t="str">
        <f>"13-I04-01"</f>
        <v>13-I04-01</v>
      </c>
      <c r="H5745">
        <v>2.6413000000000002</v>
      </c>
      <c r="J5745" t="s">
        <v>14</v>
      </c>
      <c r="K5745" t="str">
        <f>"6F3"</f>
        <v>6F3</v>
      </c>
      <c r="L5745" t="s">
        <v>15</v>
      </c>
    </row>
    <row r="5746" spans="1:12" x14ac:dyDescent="0.25">
      <c r="A5746" t="str">
        <f>"526106179"</f>
        <v>526106179</v>
      </c>
      <c r="B5746" t="str">
        <f t="shared" si="292"/>
        <v>89301000</v>
      </c>
      <c r="C5746" s="1">
        <v>44402</v>
      </c>
      <c r="D5746" s="1">
        <v>44407</v>
      </c>
      <c r="E5746">
        <v>1</v>
      </c>
      <c r="F5746" t="s">
        <v>3143</v>
      </c>
      <c r="G5746" t="str">
        <f>"01-K12-01"</f>
        <v>01-K12-01</v>
      </c>
      <c r="H5746">
        <v>0.71289999999999998</v>
      </c>
      <c r="I5746" t="s">
        <v>4222</v>
      </c>
      <c r="J5746" t="s">
        <v>14</v>
      </c>
      <c r="K5746" t="str">
        <f>"5F6"</f>
        <v>5F6</v>
      </c>
      <c r="L5746" t="s">
        <v>15</v>
      </c>
    </row>
    <row r="5747" spans="1:12" x14ac:dyDescent="0.25">
      <c r="A5747" t="str">
        <f>"526106179"</f>
        <v>526106179</v>
      </c>
      <c r="B5747" t="str">
        <f t="shared" si="292"/>
        <v>89301000</v>
      </c>
      <c r="C5747" s="1">
        <v>44396</v>
      </c>
      <c r="D5747" s="1">
        <v>44399</v>
      </c>
      <c r="E5747">
        <v>1</v>
      </c>
      <c r="F5747" t="s">
        <v>3143</v>
      </c>
      <c r="G5747" t="str">
        <f>"01-M01-01"</f>
        <v>01-M01-01</v>
      </c>
      <c r="H5747">
        <v>7.2013999999999996</v>
      </c>
      <c r="J5747" t="s">
        <v>17</v>
      </c>
      <c r="K5747" t="str">
        <f>"5F6"</f>
        <v>5F6</v>
      </c>
      <c r="L5747" t="s">
        <v>15</v>
      </c>
    </row>
    <row r="5748" spans="1:12" x14ac:dyDescent="0.25">
      <c r="A5748" t="str">
        <f>"526111069"</f>
        <v>526111069</v>
      </c>
      <c r="B5748" t="str">
        <f t="shared" si="292"/>
        <v>89301000</v>
      </c>
      <c r="C5748" s="1">
        <v>44356</v>
      </c>
      <c r="D5748" s="1">
        <v>44361</v>
      </c>
      <c r="E5748">
        <v>1</v>
      </c>
      <c r="F5748" t="s">
        <v>2807</v>
      </c>
      <c r="G5748" t="str">
        <f>"13-I04-01"</f>
        <v>13-I04-01</v>
      </c>
      <c r="H5748">
        <v>2.6413000000000002</v>
      </c>
      <c r="I5748" t="s">
        <v>2321</v>
      </c>
      <c r="J5748" t="s">
        <v>14</v>
      </c>
      <c r="K5748" t="str">
        <f>"6F3"</f>
        <v>6F3</v>
      </c>
      <c r="L5748" t="s">
        <v>15</v>
      </c>
    </row>
    <row r="5749" spans="1:12" x14ac:dyDescent="0.25">
      <c r="A5749" t="str">
        <f>"526111069"</f>
        <v>526111069</v>
      </c>
      <c r="B5749" t="str">
        <f t="shared" si="292"/>
        <v>89301000</v>
      </c>
      <c r="C5749" s="1">
        <v>44508</v>
      </c>
      <c r="D5749" s="1">
        <v>44515</v>
      </c>
      <c r="E5749">
        <v>1</v>
      </c>
      <c r="F5749" t="s">
        <v>217</v>
      </c>
      <c r="G5749" t="str">
        <f>"04-K02-04"</f>
        <v>04-K02-04</v>
      </c>
      <c r="H5749">
        <v>0.82469999999999999</v>
      </c>
      <c r="I5749" t="s">
        <v>4223</v>
      </c>
      <c r="J5749" t="s">
        <v>14</v>
      </c>
      <c r="K5749" t="str">
        <f>"5F1"</f>
        <v>5F1</v>
      </c>
      <c r="L5749" t="s">
        <v>15</v>
      </c>
    </row>
    <row r="5750" spans="1:12" x14ac:dyDescent="0.25">
      <c r="A5750" t="str">
        <f>"526111069"</f>
        <v>526111069</v>
      </c>
      <c r="B5750" t="str">
        <f t="shared" si="292"/>
        <v>89301000</v>
      </c>
      <c r="C5750" s="1">
        <v>44321</v>
      </c>
      <c r="D5750" s="1">
        <v>44322</v>
      </c>
      <c r="E5750">
        <v>1</v>
      </c>
      <c r="F5750" t="s">
        <v>1805</v>
      </c>
      <c r="G5750" t="str">
        <f>"13-I19-00"</f>
        <v>13-I19-00</v>
      </c>
      <c r="H5750">
        <v>0.24679999999999999</v>
      </c>
      <c r="I5750" t="s">
        <v>489</v>
      </c>
      <c r="J5750" t="s">
        <v>14</v>
      </c>
      <c r="K5750" t="str">
        <f>"6F3"</f>
        <v>6F3</v>
      </c>
      <c r="L5750" t="s">
        <v>15</v>
      </c>
    </row>
    <row r="5751" spans="1:12" x14ac:dyDescent="0.25">
      <c r="A5751" t="str">
        <f>"526113111"</f>
        <v>526113111</v>
      </c>
      <c r="B5751" t="str">
        <f t="shared" si="292"/>
        <v>89301000</v>
      </c>
      <c r="C5751" s="1">
        <v>44500</v>
      </c>
      <c r="D5751" s="1">
        <v>44502</v>
      </c>
      <c r="E5751">
        <v>1</v>
      </c>
      <c r="F5751" t="s">
        <v>622</v>
      </c>
      <c r="G5751" t="str">
        <f>"02-I11-02"</f>
        <v>02-I11-02</v>
      </c>
      <c r="H5751">
        <v>0.64790000000000003</v>
      </c>
      <c r="I5751" t="s">
        <v>2708</v>
      </c>
      <c r="J5751" t="s">
        <v>17</v>
      </c>
      <c r="K5751" t="str">
        <f>"7F5"</f>
        <v>7F5</v>
      </c>
      <c r="L5751" t="s">
        <v>15</v>
      </c>
    </row>
    <row r="5752" spans="1:12" x14ac:dyDescent="0.25">
      <c r="A5752" t="str">
        <f>"526113111"</f>
        <v>526113111</v>
      </c>
      <c r="B5752" t="str">
        <f t="shared" si="292"/>
        <v>89301000</v>
      </c>
      <c r="C5752" s="1">
        <v>44402</v>
      </c>
      <c r="D5752" s="1">
        <v>44404</v>
      </c>
      <c r="E5752">
        <v>1</v>
      </c>
      <c r="F5752" t="s">
        <v>622</v>
      </c>
      <c r="G5752" t="str">
        <f>"02-I11-02"</f>
        <v>02-I11-02</v>
      </c>
      <c r="H5752">
        <v>0.64790000000000003</v>
      </c>
      <c r="I5752" t="s">
        <v>2805</v>
      </c>
      <c r="J5752" t="s">
        <v>17</v>
      </c>
      <c r="K5752" t="str">
        <f>"7F5"</f>
        <v>7F5</v>
      </c>
      <c r="L5752" t="s">
        <v>15</v>
      </c>
    </row>
    <row r="5753" spans="1:12" x14ac:dyDescent="0.25">
      <c r="A5753" t="str">
        <f>"526127304"</f>
        <v>526127304</v>
      </c>
      <c r="B5753" t="str">
        <f t="shared" si="292"/>
        <v>89301000</v>
      </c>
      <c r="C5753" s="1">
        <v>44348</v>
      </c>
      <c r="D5753" s="1">
        <v>44352</v>
      </c>
      <c r="E5753">
        <v>1</v>
      </c>
      <c r="F5753" t="s">
        <v>1716</v>
      </c>
      <c r="G5753" t="str">
        <f>"11-M05-02"</f>
        <v>11-M05-02</v>
      </c>
      <c r="H5753">
        <v>0.65690000000000004</v>
      </c>
      <c r="I5753" t="s">
        <v>4224</v>
      </c>
      <c r="J5753" t="s">
        <v>17</v>
      </c>
      <c r="K5753" t="str">
        <f>"7F6"</f>
        <v>7F6</v>
      </c>
      <c r="L5753" t="s">
        <v>15</v>
      </c>
    </row>
    <row r="5754" spans="1:12" x14ac:dyDescent="0.25">
      <c r="A5754" t="str">
        <f>"526203197"</f>
        <v>526203197</v>
      </c>
      <c r="B5754" t="str">
        <f t="shared" si="292"/>
        <v>89301000</v>
      </c>
      <c r="C5754" s="1">
        <v>44377</v>
      </c>
      <c r="D5754" s="1">
        <v>44381</v>
      </c>
      <c r="E5754">
        <v>1</v>
      </c>
      <c r="F5754" t="s">
        <v>3406</v>
      </c>
      <c r="G5754" t="str">
        <f>"10-I13-04"</f>
        <v>10-I13-04</v>
      </c>
      <c r="H5754">
        <v>0.66120000000000001</v>
      </c>
      <c r="J5754" t="s">
        <v>24</v>
      </c>
      <c r="K5754" t="str">
        <f>"5F1"</f>
        <v>5F1</v>
      </c>
      <c r="L5754" t="s">
        <v>15</v>
      </c>
    </row>
    <row r="5755" spans="1:12" x14ac:dyDescent="0.25">
      <c r="A5755" t="str">
        <f>"526206135"</f>
        <v>526206135</v>
      </c>
      <c r="B5755" t="str">
        <f t="shared" si="292"/>
        <v>89301000</v>
      </c>
      <c r="C5755" s="1">
        <v>44518</v>
      </c>
      <c r="D5755" s="1">
        <v>44533</v>
      </c>
      <c r="E5755">
        <v>8</v>
      </c>
      <c r="F5755" t="s">
        <v>217</v>
      </c>
      <c r="G5755" t="str">
        <f>"00-M02-04"</f>
        <v>00-M02-04</v>
      </c>
      <c r="H5755">
        <v>12.071199999999999</v>
      </c>
      <c r="I5755" t="s">
        <v>4225</v>
      </c>
      <c r="J5755" t="s">
        <v>14</v>
      </c>
      <c r="K5755" t="str">
        <f>"7T8"</f>
        <v>7T8</v>
      </c>
      <c r="L5755" t="s">
        <v>15</v>
      </c>
    </row>
    <row r="5756" spans="1:12" x14ac:dyDescent="0.25">
      <c r="A5756" t="str">
        <f>"526211182"</f>
        <v>526211182</v>
      </c>
      <c r="B5756" t="str">
        <f t="shared" si="292"/>
        <v>89301000</v>
      </c>
      <c r="C5756" s="1">
        <v>44260</v>
      </c>
      <c r="D5756" s="1">
        <v>44268</v>
      </c>
      <c r="E5756">
        <v>1</v>
      </c>
      <c r="F5756" t="s">
        <v>144</v>
      </c>
      <c r="G5756" t="str">
        <f>"04-I02-03"</f>
        <v>04-I02-03</v>
      </c>
      <c r="H5756">
        <v>3.5295999999999998</v>
      </c>
      <c r="I5756" t="s">
        <v>4226</v>
      </c>
      <c r="J5756" t="s">
        <v>106</v>
      </c>
      <c r="K5756" t="str">
        <f>"5F1"</f>
        <v>5F1</v>
      </c>
      <c r="L5756" t="s">
        <v>15</v>
      </c>
    </row>
    <row r="5757" spans="1:12" x14ac:dyDescent="0.25">
      <c r="A5757" t="str">
        <f t="shared" ref="A5757:A5762" si="293">"526212107"</f>
        <v>526212107</v>
      </c>
      <c r="B5757" t="str">
        <f t="shared" si="292"/>
        <v>89301000</v>
      </c>
      <c r="C5757" s="1">
        <v>44391</v>
      </c>
      <c r="D5757" s="1">
        <v>44396</v>
      </c>
      <c r="E5757">
        <v>1</v>
      </c>
      <c r="F5757" t="s">
        <v>1621</v>
      </c>
      <c r="G5757" t="str">
        <f>"07-C01-02"</f>
        <v>07-C01-02</v>
      </c>
      <c r="H5757">
        <v>0.30530000000000002</v>
      </c>
      <c r="I5757" t="s">
        <v>4227</v>
      </c>
      <c r="J5757" t="s">
        <v>14</v>
      </c>
      <c r="K5757" t="str">
        <f t="shared" ref="K5757:K5762" si="294">"4F2"</f>
        <v>4F2</v>
      </c>
      <c r="L5757" t="s">
        <v>15</v>
      </c>
    </row>
    <row r="5758" spans="1:12" x14ac:dyDescent="0.25">
      <c r="A5758" t="str">
        <f t="shared" si="293"/>
        <v>526212107</v>
      </c>
      <c r="B5758" t="str">
        <f t="shared" si="292"/>
        <v>89301000</v>
      </c>
      <c r="C5758" s="1">
        <v>44370</v>
      </c>
      <c r="D5758" s="1">
        <v>44375</v>
      </c>
      <c r="E5758">
        <v>1</v>
      </c>
      <c r="F5758" t="s">
        <v>4228</v>
      </c>
      <c r="G5758" t="str">
        <f>"06-C02-03"</f>
        <v>06-C02-03</v>
      </c>
      <c r="H5758">
        <v>0.2994</v>
      </c>
      <c r="I5758" t="s">
        <v>4229</v>
      </c>
      <c r="J5758" t="s">
        <v>14</v>
      </c>
      <c r="K5758" t="str">
        <f t="shared" si="294"/>
        <v>4F2</v>
      </c>
      <c r="L5758" t="s">
        <v>15</v>
      </c>
    </row>
    <row r="5759" spans="1:12" x14ac:dyDescent="0.25">
      <c r="A5759" t="str">
        <f t="shared" si="293"/>
        <v>526212107</v>
      </c>
      <c r="B5759" t="str">
        <f t="shared" si="292"/>
        <v>89301000</v>
      </c>
      <c r="C5759" s="1">
        <v>44349</v>
      </c>
      <c r="D5759" s="1">
        <v>44354</v>
      </c>
      <c r="E5759">
        <v>1</v>
      </c>
      <c r="F5759" t="s">
        <v>4228</v>
      </c>
      <c r="G5759" t="str">
        <f>"06-C02-03"</f>
        <v>06-C02-03</v>
      </c>
      <c r="H5759">
        <v>0.2994</v>
      </c>
      <c r="I5759" t="s">
        <v>2946</v>
      </c>
      <c r="J5759" t="s">
        <v>14</v>
      </c>
      <c r="K5759" t="str">
        <f t="shared" si="294"/>
        <v>4F2</v>
      </c>
      <c r="L5759" t="s">
        <v>15</v>
      </c>
    </row>
    <row r="5760" spans="1:12" x14ac:dyDescent="0.25">
      <c r="A5760" t="str">
        <f t="shared" si="293"/>
        <v>526212107</v>
      </c>
      <c r="B5760" t="str">
        <f t="shared" si="292"/>
        <v>89301000</v>
      </c>
      <c r="C5760" s="1">
        <v>44328</v>
      </c>
      <c r="D5760" s="1">
        <v>44334</v>
      </c>
      <c r="E5760">
        <v>1</v>
      </c>
      <c r="F5760" t="s">
        <v>1621</v>
      </c>
      <c r="G5760" t="str">
        <f>"07-C01-02"</f>
        <v>07-C01-02</v>
      </c>
      <c r="H5760">
        <v>0.35470000000000002</v>
      </c>
      <c r="I5760" t="s">
        <v>4230</v>
      </c>
      <c r="J5760" t="s">
        <v>14</v>
      </c>
      <c r="K5760" t="str">
        <f t="shared" si="294"/>
        <v>4F2</v>
      </c>
      <c r="L5760" t="s">
        <v>15</v>
      </c>
    </row>
    <row r="5761" spans="1:12" x14ac:dyDescent="0.25">
      <c r="A5761" t="str">
        <f t="shared" si="293"/>
        <v>526212107</v>
      </c>
      <c r="B5761" t="str">
        <f t="shared" si="292"/>
        <v>89301000</v>
      </c>
      <c r="C5761" s="1">
        <v>44306</v>
      </c>
      <c r="D5761" s="1">
        <v>44313</v>
      </c>
      <c r="E5761">
        <v>1</v>
      </c>
      <c r="F5761" t="s">
        <v>4228</v>
      </c>
      <c r="G5761" t="str">
        <f>"06-C02-03"</f>
        <v>06-C02-03</v>
      </c>
      <c r="H5761">
        <v>0.38290000000000002</v>
      </c>
      <c r="I5761" t="s">
        <v>4231</v>
      </c>
      <c r="J5761" t="s">
        <v>14</v>
      </c>
      <c r="K5761" t="str">
        <f t="shared" si="294"/>
        <v>4F2</v>
      </c>
      <c r="L5761" t="s">
        <v>15</v>
      </c>
    </row>
    <row r="5762" spans="1:12" x14ac:dyDescent="0.25">
      <c r="A5762" t="str">
        <f t="shared" si="293"/>
        <v>526212107</v>
      </c>
      <c r="B5762" t="str">
        <f t="shared" si="292"/>
        <v>89301000</v>
      </c>
      <c r="C5762" s="1">
        <v>44144</v>
      </c>
      <c r="D5762" s="1">
        <v>44217</v>
      </c>
      <c r="E5762">
        <v>1</v>
      </c>
      <c r="F5762" t="s">
        <v>4228</v>
      </c>
      <c r="G5762" t="str">
        <f>"06-R01-01"</f>
        <v>06-R01-01</v>
      </c>
      <c r="H5762">
        <v>8.9330999999999996</v>
      </c>
      <c r="I5762" t="s">
        <v>4232</v>
      </c>
      <c r="J5762" t="s">
        <v>14</v>
      </c>
      <c r="K5762" t="str">
        <f t="shared" si="294"/>
        <v>4F2</v>
      </c>
      <c r="L5762" t="s">
        <v>15</v>
      </c>
    </row>
    <row r="5763" spans="1:12" x14ac:dyDescent="0.25">
      <c r="A5763" t="str">
        <f>"526212175"</f>
        <v>526212175</v>
      </c>
      <c r="B5763" t="str">
        <f t="shared" si="292"/>
        <v>89301000</v>
      </c>
      <c r="C5763" s="1">
        <v>44447</v>
      </c>
      <c r="D5763" s="1">
        <v>44453</v>
      </c>
      <c r="E5763">
        <v>1</v>
      </c>
      <c r="F5763" t="s">
        <v>1551</v>
      </c>
      <c r="G5763" t="str">
        <f>"09-I06-04"</f>
        <v>09-I06-04</v>
      </c>
      <c r="H5763">
        <v>0.98829999999999996</v>
      </c>
      <c r="I5763" t="s">
        <v>1586</v>
      </c>
      <c r="J5763" t="s">
        <v>17</v>
      </c>
      <c r="K5763" t="str">
        <f>"5F1"</f>
        <v>5F1</v>
      </c>
      <c r="L5763" t="s">
        <v>15</v>
      </c>
    </row>
    <row r="5764" spans="1:12" x14ac:dyDescent="0.25">
      <c r="A5764" t="str">
        <f>"526213182"</f>
        <v>526213182</v>
      </c>
      <c r="B5764" t="str">
        <f t="shared" si="292"/>
        <v>89301000</v>
      </c>
      <c r="C5764" s="1">
        <v>44244</v>
      </c>
      <c r="D5764" s="1">
        <v>44251</v>
      </c>
      <c r="E5764">
        <v>4</v>
      </c>
      <c r="F5764" t="s">
        <v>1643</v>
      </c>
      <c r="G5764" t="str">
        <f>"08-I05-05"</f>
        <v>08-I05-05</v>
      </c>
      <c r="H5764">
        <v>2.2932000000000001</v>
      </c>
      <c r="I5764" t="s">
        <v>4233</v>
      </c>
      <c r="J5764" t="s">
        <v>17</v>
      </c>
      <c r="K5764" t="str">
        <f>"6F6"</f>
        <v>6F6</v>
      </c>
      <c r="L5764" t="s">
        <v>15</v>
      </c>
    </row>
    <row r="5765" spans="1:12" x14ac:dyDescent="0.25">
      <c r="A5765" t="str">
        <f>"526223078"</f>
        <v>526223078</v>
      </c>
      <c r="B5765" t="str">
        <f t="shared" si="292"/>
        <v>89301000</v>
      </c>
      <c r="C5765" s="1">
        <v>44398</v>
      </c>
      <c r="D5765" s="1">
        <v>44405</v>
      </c>
      <c r="E5765">
        <v>1</v>
      </c>
      <c r="F5765" t="s">
        <v>2407</v>
      </c>
      <c r="G5765" t="str">
        <f>"08-I06-04"</f>
        <v>08-I06-04</v>
      </c>
      <c r="H5765">
        <v>2.4260000000000002</v>
      </c>
      <c r="I5765" t="s">
        <v>4234</v>
      </c>
      <c r="J5765" t="s">
        <v>24</v>
      </c>
      <c r="K5765" t="str">
        <f>"6F6"</f>
        <v>6F6</v>
      </c>
      <c r="L5765" t="s">
        <v>15</v>
      </c>
    </row>
    <row r="5766" spans="1:12" x14ac:dyDescent="0.25">
      <c r="A5766" t="str">
        <f>"526230180"</f>
        <v>526230180</v>
      </c>
      <c r="B5766" t="str">
        <f t="shared" si="292"/>
        <v>89301000</v>
      </c>
      <c r="C5766" s="1">
        <v>44279</v>
      </c>
      <c r="D5766" s="1">
        <v>44282</v>
      </c>
      <c r="E5766">
        <v>1</v>
      </c>
      <c r="F5766" t="s">
        <v>31</v>
      </c>
      <c r="G5766" t="str">
        <f>"08-I04-02"</f>
        <v>08-I04-02</v>
      </c>
      <c r="H5766">
        <v>1.6718999999999999</v>
      </c>
      <c r="I5766" t="s">
        <v>4235</v>
      </c>
      <c r="J5766" t="s">
        <v>17</v>
      </c>
      <c r="K5766" t="str">
        <f>"5F6"</f>
        <v>5F6</v>
      </c>
      <c r="L5766" t="s">
        <v>15</v>
      </c>
    </row>
    <row r="5767" spans="1:12" x14ac:dyDescent="0.25">
      <c r="A5767" t="str">
        <f>"526230187"</f>
        <v>526230187</v>
      </c>
      <c r="B5767" t="str">
        <f t="shared" si="292"/>
        <v>89301000</v>
      </c>
      <c r="C5767" s="1">
        <v>44329</v>
      </c>
      <c r="D5767" s="1">
        <v>44331</v>
      </c>
      <c r="E5767">
        <v>1</v>
      </c>
      <c r="F5767" t="s">
        <v>1551</v>
      </c>
      <c r="G5767" t="str">
        <f>"09-I06-04"</f>
        <v>09-I06-04</v>
      </c>
      <c r="H5767">
        <v>0.98829999999999996</v>
      </c>
      <c r="J5767" t="s">
        <v>17</v>
      </c>
      <c r="K5767" t="str">
        <f>"5F1"</f>
        <v>5F1</v>
      </c>
      <c r="L5767" t="s">
        <v>15</v>
      </c>
    </row>
    <row r="5768" spans="1:12" x14ac:dyDescent="0.25">
      <c r="A5768" t="str">
        <f>"530102109"</f>
        <v>530102109</v>
      </c>
      <c r="B5768" t="str">
        <f t="shared" ref="B5768:B5831" si="295">"89301000"</f>
        <v>89301000</v>
      </c>
      <c r="C5768" s="1">
        <v>44322</v>
      </c>
      <c r="D5768" s="1">
        <v>44324</v>
      </c>
      <c r="E5768">
        <v>1</v>
      </c>
      <c r="F5768" t="s">
        <v>3027</v>
      </c>
      <c r="G5768" t="str">
        <f>"03-I22-02"</f>
        <v>03-I22-02</v>
      </c>
      <c r="H5768">
        <v>0.75970000000000004</v>
      </c>
      <c r="I5768" t="s">
        <v>3873</v>
      </c>
      <c r="J5768" t="s">
        <v>14</v>
      </c>
      <c r="K5768" t="str">
        <f>"7F1"</f>
        <v>7F1</v>
      </c>
      <c r="L5768" t="s">
        <v>15</v>
      </c>
    </row>
    <row r="5769" spans="1:12" x14ac:dyDescent="0.25">
      <c r="A5769" t="str">
        <f>"530103026"</f>
        <v>530103026</v>
      </c>
      <c r="B5769" t="str">
        <f t="shared" si="295"/>
        <v>89301000</v>
      </c>
      <c r="C5769" s="1">
        <v>44456</v>
      </c>
      <c r="D5769" s="1">
        <v>44466</v>
      </c>
      <c r="E5769">
        <v>1</v>
      </c>
      <c r="F5769" t="s">
        <v>2434</v>
      </c>
      <c r="G5769" t="str">
        <f>"04-I03-04"</f>
        <v>04-I03-04</v>
      </c>
      <c r="H5769">
        <v>2.0316000000000001</v>
      </c>
      <c r="I5769" t="s">
        <v>4236</v>
      </c>
      <c r="J5769" t="s">
        <v>106</v>
      </c>
      <c r="K5769" t="str">
        <f>"5F1"</f>
        <v>5F1</v>
      </c>
      <c r="L5769" t="s">
        <v>15</v>
      </c>
    </row>
    <row r="5770" spans="1:12" x14ac:dyDescent="0.25">
      <c r="A5770" t="str">
        <f>"530103026"</f>
        <v>530103026</v>
      </c>
      <c r="B5770" t="str">
        <f t="shared" si="295"/>
        <v>89301000</v>
      </c>
      <c r="C5770" s="1">
        <v>44507</v>
      </c>
      <c r="D5770" s="1">
        <v>44515</v>
      </c>
      <c r="E5770">
        <v>1</v>
      </c>
      <c r="F5770" t="s">
        <v>2434</v>
      </c>
      <c r="G5770" t="str">
        <f>"04-I02-04"</f>
        <v>04-I02-04</v>
      </c>
      <c r="H5770">
        <v>3.1617999999999999</v>
      </c>
      <c r="J5770" t="s">
        <v>106</v>
      </c>
      <c r="K5770" t="str">
        <f>"5F1"</f>
        <v>5F1</v>
      </c>
      <c r="L5770" t="s">
        <v>15</v>
      </c>
    </row>
    <row r="5771" spans="1:12" x14ac:dyDescent="0.25">
      <c r="A5771" t="str">
        <f>"530108161"</f>
        <v>530108161</v>
      </c>
      <c r="B5771" t="str">
        <f t="shared" si="295"/>
        <v>89301000</v>
      </c>
      <c r="C5771" s="1">
        <v>44341</v>
      </c>
      <c r="D5771" s="1">
        <v>44342</v>
      </c>
      <c r="E5771">
        <v>1</v>
      </c>
      <c r="F5771" t="s">
        <v>1557</v>
      </c>
      <c r="G5771" t="str">
        <f>"05-D01-08"</f>
        <v>05-D01-08</v>
      </c>
      <c r="H5771">
        <v>0.4093</v>
      </c>
      <c r="I5771" t="s">
        <v>2428</v>
      </c>
      <c r="J5771" t="s">
        <v>14</v>
      </c>
      <c r="K5771" t="str">
        <f>"1F7"</f>
        <v>1F7</v>
      </c>
      <c r="L5771" t="s">
        <v>15</v>
      </c>
    </row>
    <row r="5772" spans="1:12" x14ac:dyDescent="0.25">
      <c r="A5772" t="str">
        <f>"530108161"</f>
        <v>530108161</v>
      </c>
      <c r="B5772" t="str">
        <f t="shared" si="295"/>
        <v>89301000</v>
      </c>
      <c r="C5772" s="1">
        <v>44351</v>
      </c>
      <c r="D5772" s="1">
        <v>44353</v>
      </c>
      <c r="E5772">
        <v>1</v>
      </c>
      <c r="F5772" t="s">
        <v>1936</v>
      </c>
      <c r="G5772" t="str">
        <f>"05-I14-03"</f>
        <v>05-I14-03</v>
      </c>
      <c r="H5772">
        <v>6.1292</v>
      </c>
      <c r="I5772" t="s">
        <v>1814</v>
      </c>
      <c r="J5772" t="s">
        <v>14</v>
      </c>
      <c r="K5772" t="str">
        <f>"1F1"</f>
        <v>1F1</v>
      </c>
      <c r="L5772" t="s">
        <v>15</v>
      </c>
    </row>
    <row r="5773" spans="1:12" x14ac:dyDescent="0.25">
      <c r="A5773" t="str">
        <f>"530115075"</f>
        <v>530115075</v>
      </c>
      <c r="B5773" t="str">
        <f t="shared" si="295"/>
        <v>89301000</v>
      </c>
      <c r="C5773" s="1">
        <v>44277</v>
      </c>
      <c r="D5773" s="1">
        <v>44279</v>
      </c>
      <c r="E5773">
        <v>1</v>
      </c>
      <c r="F5773" t="s">
        <v>4237</v>
      </c>
      <c r="G5773" t="str">
        <f>"03-I23-00"</f>
        <v>03-I23-00</v>
      </c>
      <c r="H5773">
        <v>0.47639999999999999</v>
      </c>
      <c r="I5773" t="s">
        <v>4238</v>
      </c>
      <c r="J5773" t="s">
        <v>14</v>
      </c>
      <c r="K5773" t="str">
        <f>"6F5"</f>
        <v>6F5</v>
      </c>
      <c r="L5773" t="s">
        <v>15</v>
      </c>
    </row>
    <row r="5774" spans="1:12" x14ac:dyDescent="0.25">
      <c r="A5774" t="str">
        <f t="shared" ref="A5774:A5780" si="296">"530117001"</f>
        <v>530117001</v>
      </c>
      <c r="B5774" t="str">
        <f t="shared" si="295"/>
        <v>89301000</v>
      </c>
      <c r="C5774" s="1">
        <v>44396</v>
      </c>
      <c r="D5774" s="1">
        <v>44401</v>
      </c>
      <c r="E5774">
        <v>1</v>
      </c>
      <c r="F5774" t="s">
        <v>3027</v>
      </c>
      <c r="G5774" t="str">
        <f>"03-I24-00"</f>
        <v>03-I24-00</v>
      </c>
      <c r="H5774">
        <v>1.7938000000000001</v>
      </c>
      <c r="I5774" t="s">
        <v>4239</v>
      </c>
      <c r="J5774" t="s">
        <v>14</v>
      </c>
      <c r="K5774" t="str">
        <f>"7F1"</f>
        <v>7F1</v>
      </c>
      <c r="L5774" t="s">
        <v>15</v>
      </c>
    </row>
    <row r="5775" spans="1:12" x14ac:dyDescent="0.25">
      <c r="A5775" t="str">
        <f t="shared" si="296"/>
        <v>530117001</v>
      </c>
      <c r="B5775" t="str">
        <f t="shared" si="295"/>
        <v>89301000</v>
      </c>
      <c r="C5775" s="1">
        <v>44410</v>
      </c>
      <c r="D5775" s="1">
        <v>44432</v>
      </c>
      <c r="E5775">
        <v>1</v>
      </c>
      <c r="F5775" t="s">
        <v>3027</v>
      </c>
      <c r="G5775" t="str">
        <f>"03-I05-02"</f>
        <v>03-I05-02</v>
      </c>
      <c r="H5775">
        <v>4.6007999999999996</v>
      </c>
      <c r="I5775" t="s">
        <v>4240</v>
      </c>
      <c r="J5775" t="s">
        <v>14</v>
      </c>
      <c r="K5775" t="str">
        <f>"7F1"</f>
        <v>7F1</v>
      </c>
      <c r="L5775" t="s">
        <v>15</v>
      </c>
    </row>
    <row r="5776" spans="1:12" x14ac:dyDescent="0.25">
      <c r="A5776" t="str">
        <f t="shared" si="296"/>
        <v>530117001</v>
      </c>
      <c r="B5776" t="str">
        <f t="shared" si="295"/>
        <v>89301000</v>
      </c>
      <c r="C5776" s="1">
        <v>44447</v>
      </c>
      <c r="D5776" s="1">
        <v>44449</v>
      </c>
      <c r="E5776">
        <v>1</v>
      </c>
      <c r="F5776" t="s">
        <v>320</v>
      </c>
      <c r="G5776" t="str">
        <f>"03-I23-00"</f>
        <v>03-I23-00</v>
      </c>
      <c r="H5776">
        <v>0.47639999999999999</v>
      </c>
      <c r="I5776" t="s">
        <v>4241</v>
      </c>
      <c r="J5776" t="s">
        <v>14</v>
      </c>
      <c r="K5776" t="str">
        <f>"6F5"</f>
        <v>6F5</v>
      </c>
      <c r="L5776" t="s">
        <v>15</v>
      </c>
    </row>
    <row r="5777" spans="1:12" x14ac:dyDescent="0.25">
      <c r="A5777" t="str">
        <f t="shared" si="296"/>
        <v>530117001</v>
      </c>
      <c r="B5777" t="str">
        <f t="shared" si="295"/>
        <v>89301000</v>
      </c>
      <c r="C5777" s="1">
        <v>44464</v>
      </c>
      <c r="D5777" s="1">
        <v>44470</v>
      </c>
      <c r="E5777">
        <v>1</v>
      </c>
      <c r="F5777" t="s">
        <v>841</v>
      </c>
      <c r="G5777" t="str">
        <f>"04-K03-03"</f>
        <v>04-K03-03</v>
      </c>
      <c r="H5777">
        <v>0.53180000000000005</v>
      </c>
      <c r="I5777" t="s">
        <v>4242</v>
      </c>
      <c r="J5777" t="s">
        <v>14</v>
      </c>
      <c r="K5777" t="str">
        <f>"2F5"</f>
        <v>2F5</v>
      </c>
      <c r="L5777" t="s">
        <v>15</v>
      </c>
    </row>
    <row r="5778" spans="1:12" x14ac:dyDescent="0.25">
      <c r="A5778" t="str">
        <f t="shared" si="296"/>
        <v>530117001</v>
      </c>
      <c r="B5778" t="str">
        <f t="shared" si="295"/>
        <v>89301000</v>
      </c>
      <c r="C5778" s="1">
        <v>44480</v>
      </c>
      <c r="D5778" s="1">
        <v>44484</v>
      </c>
      <c r="E5778">
        <v>1</v>
      </c>
      <c r="F5778" t="s">
        <v>3027</v>
      </c>
      <c r="G5778" t="str">
        <f>"03-R01-08"</f>
        <v>03-R01-08</v>
      </c>
      <c r="H5778">
        <v>0.94930000000000003</v>
      </c>
      <c r="I5778" t="s">
        <v>4232</v>
      </c>
      <c r="J5778" t="s">
        <v>14</v>
      </c>
      <c r="K5778" t="str">
        <f>"4F2"</f>
        <v>4F2</v>
      </c>
      <c r="L5778" t="s">
        <v>15</v>
      </c>
    </row>
    <row r="5779" spans="1:12" x14ac:dyDescent="0.25">
      <c r="A5779" t="str">
        <f t="shared" si="296"/>
        <v>530117001</v>
      </c>
      <c r="B5779" t="str">
        <f t="shared" si="295"/>
        <v>89301000</v>
      </c>
      <c r="C5779" s="1">
        <v>44501</v>
      </c>
      <c r="D5779" s="1">
        <v>44503</v>
      </c>
      <c r="E5779">
        <v>1</v>
      </c>
      <c r="F5779" t="s">
        <v>3027</v>
      </c>
      <c r="G5779" t="str">
        <f>"03-R01-08"</f>
        <v>03-R01-08</v>
      </c>
      <c r="H5779">
        <v>0.94930000000000003</v>
      </c>
      <c r="I5779" t="s">
        <v>541</v>
      </c>
      <c r="J5779" t="s">
        <v>14</v>
      </c>
      <c r="K5779" t="str">
        <f>"4F2"</f>
        <v>4F2</v>
      </c>
      <c r="L5779" t="s">
        <v>15</v>
      </c>
    </row>
    <row r="5780" spans="1:12" x14ac:dyDescent="0.25">
      <c r="A5780" t="str">
        <f t="shared" si="296"/>
        <v>530117001</v>
      </c>
      <c r="B5780" t="str">
        <f t="shared" si="295"/>
        <v>89301000</v>
      </c>
      <c r="C5780" s="1">
        <v>44522</v>
      </c>
      <c r="D5780" s="1">
        <v>44525</v>
      </c>
      <c r="E5780">
        <v>1</v>
      </c>
      <c r="F5780" t="s">
        <v>3027</v>
      </c>
      <c r="G5780" t="str">
        <f>"03-R01-08"</f>
        <v>03-R01-08</v>
      </c>
      <c r="H5780">
        <v>0.94930000000000003</v>
      </c>
      <c r="I5780" t="s">
        <v>4232</v>
      </c>
      <c r="J5780" t="s">
        <v>14</v>
      </c>
      <c r="K5780" t="str">
        <f>"4F2"</f>
        <v>4F2</v>
      </c>
      <c r="L5780" t="s">
        <v>15</v>
      </c>
    </row>
    <row r="5781" spans="1:12" x14ac:dyDescent="0.25">
      <c r="A5781" t="str">
        <f>"530121098"</f>
        <v>530121098</v>
      </c>
      <c r="B5781" t="str">
        <f t="shared" si="295"/>
        <v>89301000</v>
      </c>
      <c r="C5781" s="1">
        <v>44267</v>
      </c>
      <c r="D5781" s="1">
        <v>44267</v>
      </c>
      <c r="E5781">
        <v>1</v>
      </c>
      <c r="F5781" t="s">
        <v>1842</v>
      </c>
      <c r="G5781" t="str">
        <f>"05-I14-04"</f>
        <v>05-I14-04</v>
      </c>
      <c r="H5781">
        <v>5.1692</v>
      </c>
      <c r="J5781" t="s">
        <v>14</v>
      </c>
      <c r="K5781" t="str">
        <f>"1F1"</f>
        <v>1F1</v>
      </c>
      <c r="L5781" t="s">
        <v>15</v>
      </c>
    </row>
    <row r="5782" spans="1:12" x14ac:dyDescent="0.25">
      <c r="A5782" t="str">
        <f>"530220073"</f>
        <v>530220073</v>
      </c>
      <c r="B5782" t="str">
        <f t="shared" si="295"/>
        <v>89301000</v>
      </c>
      <c r="C5782" s="1">
        <v>44522</v>
      </c>
      <c r="D5782" s="1">
        <v>44524</v>
      </c>
      <c r="E5782">
        <v>1</v>
      </c>
      <c r="F5782" t="s">
        <v>1914</v>
      </c>
      <c r="G5782" t="str">
        <f>"04-K09-03"</f>
        <v>04-K09-03</v>
      </c>
      <c r="H5782">
        <v>0.62749999999999995</v>
      </c>
      <c r="I5782" t="s">
        <v>4243</v>
      </c>
      <c r="J5782" t="s">
        <v>14</v>
      </c>
      <c r="K5782" t="str">
        <f>"2F5"</f>
        <v>2F5</v>
      </c>
      <c r="L5782" t="s">
        <v>15</v>
      </c>
    </row>
    <row r="5783" spans="1:12" x14ac:dyDescent="0.25">
      <c r="A5783" t="str">
        <f>"530220073"</f>
        <v>530220073</v>
      </c>
      <c r="B5783" t="str">
        <f t="shared" si="295"/>
        <v>89301000</v>
      </c>
      <c r="C5783" s="1">
        <v>44539</v>
      </c>
      <c r="D5783" s="1">
        <v>44540</v>
      </c>
      <c r="E5783">
        <v>1</v>
      </c>
      <c r="F5783" t="s">
        <v>1621</v>
      </c>
      <c r="G5783" t="str">
        <f>"07-K06-02"</f>
        <v>07-K06-02</v>
      </c>
      <c r="H5783">
        <v>0.45710000000000001</v>
      </c>
      <c r="I5783" t="s">
        <v>4244</v>
      </c>
      <c r="J5783" t="s">
        <v>14</v>
      </c>
      <c r="K5783" t="str">
        <f>"2F5"</f>
        <v>2F5</v>
      </c>
      <c r="L5783" t="s">
        <v>15</v>
      </c>
    </row>
    <row r="5784" spans="1:12" x14ac:dyDescent="0.25">
      <c r="A5784" t="str">
        <f>"530223063"</f>
        <v>530223063</v>
      </c>
      <c r="B5784" t="str">
        <f t="shared" si="295"/>
        <v>89301000</v>
      </c>
      <c r="C5784" s="1">
        <v>44237</v>
      </c>
      <c r="D5784" s="1">
        <v>44240</v>
      </c>
      <c r="E5784">
        <v>1</v>
      </c>
      <c r="F5784" t="s">
        <v>1555</v>
      </c>
      <c r="G5784" t="str">
        <f>"05-M04-04"</f>
        <v>05-M04-04</v>
      </c>
      <c r="H5784">
        <v>2.4672999999999998</v>
      </c>
      <c r="J5784" t="s">
        <v>17</v>
      </c>
      <c r="K5784" t="str">
        <f>"5F1"</f>
        <v>5F1</v>
      </c>
      <c r="L5784" t="s">
        <v>15</v>
      </c>
    </row>
    <row r="5785" spans="1:12" x14ac:dyDescent="0.25">
      <c r="A5785" t="str">
        <f>"530227350"</f>
        <v>530227350</v>
      </c>
      <c r="B5785" t="str">
        <f t="shared" si="295"/>
        <v>89301000</v>
      </c>
      <c r="C5785" s="1">
        <v>44516</v>
      </c>
      <c r="D5785" s="1">
        <v>44525</v>
      </c>
      <c r="E5785">
        <v>1</v>
      </c>
      <c r="F5785" t="s">
        <v>1557</v>
      </c>
      <c r="G5785" t="str">
        <f>"05-I16-06"</f>
        <v>05-I16-06</v>
      </c>
      <c r="H5785">
        <v>5.2988</v>
      </c>
      <c r="J5785" t="s">
        <v>17</v>
      </c>
      <c r="K5785" t="str">
        <f>"5F5"</f>
        <v>5F5</v>
      </c>
      <c r="L5785" t="s">
        <v>15</v>
      </c>
    </row>
    <row r="5786" spans="1:12" x14ac:dyDescent="0.25">
      <c r="A5786" t="str">
        <f>"530227350"</f>
        <v>530227350</v>
      </c>
      <c r="B5786" t="str">
        <f t="shared" si="295"/>
        <v>89301000</v>
      </c>
      <c r="C5786" s="1">
        <v>44482</v>
      </c>
      <c r="D5786" s="1">
        <v>44483</v>
      </c>
      <c r="E5786">
        <v>1</v>
      </c>
      <c r="F5786" t="s">
        <v>1557</v>
      </c>
      <c r="G5786" t="str">
        <f>"05-D01-08"</f>
        <v>05-D01-08</v>
      </c>
      <c r="H5786">
        <v>0.4093</v>
      </c>
      <c r="I5786" t="s">
        <v>2672</v>
      </c>
      <c r="J5786" t="s">
        <v>14</v>
      </c>
      <c r="K5786" t="str">
        <f>"1F1"</f>
        <v>1F1</v>
      </c>
      <c r="L5786" t="s">
        <v>15</v>
      </c>
    </row>
    <row r="5787" spans="1:12" x14ac:dyDescent="0.25">
      <c r="A5787" t="str">
        <f>"530302048"</f>
        <v>530302048</v>
      </c>
      <c r="B5787" t="str">
        <f t="shared" si="295"/>
        <v>89301000</v>
      </c>
      <c r="C5787" s="1">
        <v>44319</v>
      </c>
      <c r="D5787" s="1">
        <v>44338</v>
      </c>
      <c r="E5787">
        <v>1</v>
      </c>
      <c r="F5787" t="s">
        <v>2120</v>
      </c>
      <c r="G5787" t="str">
        <f>"06-I07-05"</f>
        <v>06-I07-05</v>
      </c>
      <c r="H5787">
        <v>2.8466999999999998</v>
      </c>
      <c r="I5787" t="s">
        <v>4245</v>
      </c>
      <c r="J5787" t="s">
        <v>17</v>
      </c>
      <c r="K5787" t="str">
        <f>"5F1"</f>
        <v>5F1</v>
      </c>
      <c r="L5787" t="s">
        <v>15</v>
      </c>
    </row>
    <row r="5788" spans="1:12" x14ac:dyDescent="0.25">
      <c r="A5788" t="str">
        <f>"530302097"</f>
        <v>530302097</v>
      </c>
      <c r="B5788" t="str">
        <f t="shared" si="295"/>
        <v>89301000</v>
      </c>
      <c r="C5788" s="1">
        <v>44364</v>
      </c>
      <c r="D5788" s="1">
        <v>44368</v>
      </c>
      <c r="E5788">
        <v>1</v>
      </c>
      <c r="F5788" t="s">
        <v>1555</v>
      </c>
      <c r="G5788" t="str">
        <f>"05-M07-06"</f>
        <v>05-M07-06</v>
      </c>
      <c r="H5788">
        <v>1.2513000000000001</v>
      </c>
      <c r="I5788" t="s">
        <v>3099</v>
      </c>
      <c r="J5788" t="s">
        <v>17</v>
      </c>
      <c r="K5788" t="str">
        <f>"5F1"</f>
        <v>5F1</v>
      </c>
      <c r="L5788" t="s">
        <v>15</v>
      </c>
    </row>
    <row r="5789" spans="1:12" x14ac:dyDescent="0.25">
      <c r="A5789" t="str">
        <f>"530302146"</f>
        <v>530302146</v>
      </c>
      <c r="B5789" t="str">
        <f t="shared" si="295"/>
        <v>89301000</v>
      </c>
      <c r="C5789" s="1">
        <v>44246</v>
      </c>
      <c r="D5789" s="1">
        <v>44246</v>
      </c>
      <c r="E5789">
        <v>1</v>
      </c>
      <c r="F5789" t="s">
        <v>1557</v>
      </c>
      <c r="G5789" t="str">
        <f>"05-M06-08"</f>
        <v>05-M06-08</v>
      </c>
      <c r="H5789">
        <v>1.1200000000000001</v>
      </c>
      <c r="I5789" t="s">
        <v>4246</v>
      </c>
      <c r="J5789" t="s">
        <v>17</v>
      </c>
      <c r="K5789" t="str">
        <f>"1F7"</f>
        <v>1F7</v>
      </c>
      <c r="L5789" t="s">
        <v>15</v>
      </c>
    </row>
    <row r="5790" spans="1:12" x14ac:dyDescent="0.25">
      <c r="A5790" t="str">
        <f>"530308060"</f>
        <v>530308060</v>
      </c>
      <c r="B5790" t="str">
        <f t="shared" si="295"/>
        <v>89301000</v>
      </c>
      <c r="C5790" s="1">
        <v>44489</v>
      </c>
      <c r="D5790" s="1">
        <v>44492</v>
      </c>
      <c r="E5790">
        <v>1</v>
      </c>
      <c r="F5790" t="s">
        <v>2355</v>
      </c>
      <c r="G5790" t="str">
        <f>"04-K09-03"</f>
        <v>04-K09-03</v>
      </c>
      <c r="H5790">
        <v>0.62749999999999995</v>
      </c>
      <c r="I5790" t="s">
        <v>4247</v>
      </c>
      <c r="J5790" t="s">
        <v>14</v>
      </c>
      <c r="K5790" t="str">
        <f>"2F5"</f>
        <v>2F5</v>
      </c>
      <c r="L5790" t="s">
        <v>15</v>
      </c>
    </row>
    <row r="5791" spans="1:12" x14ac:dyDescent="0.25">
      <c r="A5791" t="str">
        <f>"530308060"</f>
        <v>530308060</v>
      </c>
      <c r="B5791" t="str">
        <f t="shared" si="295"/>
        <v>89301000</v>
      </c>
      <c r="C5791" s="1">
        <v>44539</v>
      </c>
      <c r="D5791" s="1">
        <v>44552</v>
      </c>
      <c r="E5791">
        <v>1</v>
      </c>
      <c r="F5791" t="s">
        <v>3859</v>
      </c>
      <c r="G5791" t="str">
        <f>"04-I02-04"</f>
        <v>04-I02-04</v>
      </c>
      <c r="H5791">
        <v>3.1617999999999999</v>
      </c>
      <c r="I5791" t="s">
        <v>4248</v>
      </c>
      <c r="J5791" t="s">
        <v>106</v>
      </c>
      <c r="K5791" t="str">
        <f>"1F1"</f>
        <v>1F1</v>
      </c>
      <c r="L5791" t="s">
        <v>15</v>
      </c>
    </row>
    <row r="5792" spans="1:12" x14ac:dyDescent="0.25">
      <c r="A5792" t="str">
        <f>"530310029"</f>
        <v>530310029</v>
      </c>
      <c r="B5792" t="str">
        <f t="shared" si="295"/>
        <v>89301000</v>
      </c>
      <c r="C5792" s="1">
        <v>44296</v>
      </c>
      <c r="D5792" s="1">
        <v>44299</v>
      </c>
      <c r="E5792">
        <v>1</v>
      </c>
      <c r="F5792" t="s">
        <v>4249</v>
      </c>
      <c r="G5792" t="str">
        <f>"04-K05-02"</f>
        <v>04-K05-02</v>
      </c>
      <c r="H5792">
        <v>1.2657</v>
      </c>
      <c r="I5792" t="s">
        <v>4250</v>
      </c>
      <c r="J5792" t="s">
        <v>14</v>
      </c>
      <c r="K5792" t="str">
        <f>"1F1"</f>
        <v>1F1</v>
      </c>
      <c r="L5792" t="s">
        <v>15</v>
      </c>
    </row>
    <row r="5793" spans="1:12" x14ac:dyDescent="0.25">
      <c r="A5793" t="str">
        <f>"530320146"</f>
        <v>530320146</v>
      </c>
      <c r="B5793" t="str">
        <f t="shared" si="295"/>
        <v>89301000</v>
      </c>
      <c r="C5793" s="1">
        <v>44237</v>
      </c>
      <c r="D5793" s="1">
        <v>44237</v>
      </c>
      <c r="E5793">
        <v>1</v>
      </c>
      <c r="F5793" t="s">
        <v>1557</v>
      </c>
      <c r="G5793" t="str">
        <f>"05-I14-04"</f>
        <v>05-I14-04</v>
      </c>
      <c r="H5793">
        <v>5.1692</v>
      </c>
      <c r="I5793" t="s">
        <v>4251</v>
      </c>
      <c r="J5793" t="s">
        <v>14</v>
      </c>
      <c r="K5793" t="str">
        <f>"1F7"</f>
        <v>1F7</v>
      </c>
      <c r="L5793" t="s">
        <v>15</v>
      </c>
    </row>
    <row r="5794" spans="1:12" x14ac:dyDescent="0.25">
      <c r="A5794" t="str">
        <f>"530325194"</f>
        <v>530325194</v>
      </c>
      <c r="B5794" t="str">
        <f t="shared" si="295"/>
        <v>89301000</v>
      </c>
      <c r="C5794" s="1">
        <v>44372</v>
      </c>
      <c r="D5794" s="1">
        <v>44377</v>
      </c>
      <c r="E5794">
        <v>1</v>
      </c>
      <c r="F5794" t="s">
        <v>4252</v>
      </c>
      <c r="G5794" t="str">
        <f>"08-K08-00"</f>
        <v>08-K08-00</v>
      </c>
      <c r="H5794">
        <v>0.51670000000000005</v>
      </c>
      <c r="I5794" t="s">
        <v>4253</v>
      </c>
      <c r="J5794" t="s">
        <v>14</v>
      </c>
      <c r="K5794" t="str">
        <f>"2F9"</f>
        <v>2F9</v>
      </c>
      <c r="L5794" t="s">
        <v>15</v>
      </c>
    </row>
    <row r="5795" spans="1:12" x14ac:dyDescent="0.25">
      <c r="A5795" t="str">
        <f>"530328058"</f>
        <v>530328058</v>
      </c>
      <c r="B5795" t="str">
        <f t="shared" si="295"/>
        <v>89301000</v>
      </c>
      <c r="C5795" s="1">
        <v>44211</v>
      </c>
      <c r="D5795" s="1">
        <v>44238</v>
      </c>
      <c r="E5795">
        <v>1</v>
      </c>
      <c r="F5795" t="s">
        <v>217</v>
      </c>
      <c r="G5795" t="str">
        <f>"00-M01-04"</f>
        <v>00-M01-04</v>
      </c>
      <c r="H5795">
        <v>6.85</v>
      </c>
      <c r="I5795" t="s">
        <v>4254</v>
      </c>
      <c r="J5795" t="s">
        <v>14</v>
      </c>
      <c r="K5795" t="str">
        <f>"2F5"</f>
        <v>2F5</v>
      </c>
      <c r="L5795" t="s">
        <v>15</v>
      </c>
    </row>
    <row r="5796" spans="1:12" x14ac:dyDescent="0.25">
      <c r="A5796" t="str">
        <f>"530412171"</f>
        <v>530412171</v>
      </c>
      <c r="B5796" t="str">
        <f t="shared" si="295"/>
        <v>89301000</v>
      </c>
      <c r="C5796" s="1">
        <v>44329</v>
      </c>
      <c r="D5796" s="1">
        <v>44330</v>
      </c>
      <c r="E5796">
        <v>1</v>
      </c>
      <c r="F5796" t="s">
        <v>2373</v>
      </c>
      <c r="G5796" t="str">
        <f>"06-M01-02"</f>
        <v>06-M01-02</v>
      </c>
      <c r="H5796">
        <v>1.2191000000000001</v>
      </c>
      <c r="I5796" t="s">
        <v>2361</v>
      </c>
      <c r="J5796" t="s">
        <v>14</v>
      </c>
      <c r="K5796" t="str">
        <f>"1F1"</f>
        <v>1F1</v>
      </c>
      <c r="L5796" t="s">
        <v>15</v>
      </c>
    </row>
    <row r="5797" spans="1:12" x14ac:dyDescent="0.25">
      <c r="A5797" t="str">
        <f t="shared" ref="A5797:A5803" si="297">"530415192"</f>
        <v>530415192</v>
      </c>
      <c r="B5797" t="str">
        <f t="shared" si="295"/>
        <v>89301000</v>
      </c>
      <c r="C5797" s="1">
        <v>44476</v>
      </c>
      <c r="D5797" s="1">
        <v>44482</v>
      </c>
      <c r="E5797">
        <v>1</v>
      </c>
      <c r="F5797" t="s">
        <v>2006</v>
      </c>
      <c r="G5797" t="str">
        <f t="shared" ref="G5797:G5802" si="298">"06-C02-01"</f>
        <v>06-C02-01</v>
      </c>
      <c r="H5797">
        <v>0.35820000000000002</v>
      </c>
      <c r="I5797" t="s">
        <v>541</v>
      </c>
      <c r="J5797" t="s">
        <v>14</v>
      </c>
      <c r="K5797" t="str">
        <f t="shared" ref="K5797:K5802" si="299">"4F2"</f>
        <v>4F2</v>
      </c>
      <c r="L5797" t="s">
        <v>15</v>
      </c>
    </row>
    <row r="5798" spans="1:12" x14ac:dyDescent="0.25">
      <c r="A5798" t="str">
        <f t="shared" si="297"/>
        <v>530415192</v>
      </c>
      <c r="B5798" t="str">
        <f t="shared" si="295"/>
        <v>89301000</v>
      </c>
      <c r="C5798" s="1">
        <v>44501</v>
      </c>
      <c r="D5798" s="1">
        <v>44508</v>
      </c>
      <c r="E5798">
        <v>1</v>
      </c>
      <c r="F5798" t="s">
        <v>2006</v>
      </c>
      <c r="G5798" t="str">
        <f t="shared" si="298"/>
        <v>06-C02-01</v>
      </c>
      <c r="H5798">
        <v>0.40110000000000001</v>
      </c>
      <c r="I5798" t="s">
        <v>4255</v>
      </c>
      <c r="J5798" t="s">
        <v>14</v>
      </c>
      <c r="K5798" t="str">
        <f t="shared" si="299"/>
        <v>4F2</v>
      </c>
      <c r="L5798" t="s">
        <v>15</v>
      </c>
    </row>
    <row r="5799" spans="1:12" x14ac:dyDescent="0.25">
      <c r="A5799" t="str">
        <f t="shared" si="297"/>
        <v>530415192</v>
      </c>
      <c r="B5799" t="str">
        <f t="shared" si="295"/>
        <v>89301000</v>
      </c>
      <c r="C5799" s="1">
        <v>44455</v>
      </c>
      <c r="D5799" s="1">
        <v>44461</v>
      </c>
      <c r="E5799">
        <v>1</v>
      </c>
      <c r="F5799" t="s">
        <v>2006</v>
      </c>
      <c r="G5799" t="str">
        <f t="shared" si="298"/>
        <v>06-C02-01</v>
      </c>
      <c r="H5799">
        <v>0.35820000000000002</v>
      </c>
      <c r="I5799" t="s">
        <v>2556</v>
      </c>
      <c r="J5799" t="s">
        <v>14</v>
      </c>
      <c r="K5799" t="str">
        <f t="shared" si="299"/>
        <v>4F2</v>
      </c>
      <c r="L5799" t="s">
        <v>15</v>
      </c>
    </row>
    <row r="5800" spans="1:12" x14ac:dyDescent="0.25">
      <c r="A5800" t="str">
        <f t="shared" si="297"/>
        <v>530415192</v>
      </c>
      <c r="B5800" t="str">
        <f t="shared" si="295"/>
        <v>89301000</v>
      </c>
      <c r="C5800" s="1">
        <v>44434</v>
      </c>
      <c r="D5800" s="1">
        <v>44443</v>
      </c>
      <c r="E5800">
        <v>1</v>
      </c>
      <c r="F5800" t="s">
        <v>2006</v>
      </c>
      <c r="G5800" t="str">
        <f t="shared" si="298"/>
        <v>06-C02-01</v>
      </c>
      <c r="H5800">
        <v>0.48699999999999999</v>
      </c>
      <c r="I5800" t="s">
        <v>4256</v>
      </c>
      <c r="J5800" t="s">
        <v>14</v>
      </c>
      <c r="K5800" t="str">
        <f t="shared" si="299"/>
        <v>4F2</v>
      </c>
      <c r="L5800" t="s">
        <v>15</v>
      </c>
    </row>
    <row r="5801" spans="1:12" x14ac:dyDescent="0.25">
      <c r="A5801" t="str">
        <f t="shared" si="297"/>
        <v>530415192</v>
      </c>
      <c r="B5801" t="str">
        <f t="shared" si="295"/>
        <v>89301000</v>
      </c>
      <c r="C5801" s="1">
        <v>44412</v>
      </c>
      <c r="D5801" s="1">
        <v>44419</v>
      </c>
      <c r="E5801">
        <v>1</v>
      </c>
      <c r="F5801" t="s">
        <v>2006</v>
      </c>
      <c r="G5801" t="str">
        <f t="shared" si="298"/>
        <v>06-C02-01</v>
      </c>
      <c r="H5801">
        <v>0.40110000000000001</v>
      </c>
      <c r="I5801" t="s">
        <v>2556</v>
      </c>
      <c r="J5801" t="s">
        <v>14</v>
      </c>
      <c r="K5801" t="str">
        <f t="shared" si="299"/>
        <v>4F2</v>
      </c>
      <c r="L5801" t="s">
        <v>15</v>
      </c>
    </row>
    <row r="5802" spans="1:12" x14ac:dyDescent="0.25">
      <c r="A5802" t="str">
        <f t="shared" si="297"/>
        <v>530415192</v>
      </c>
      <c r="B5802" t="str">
        <f t="shared" si="295"/>
        <v>89301000</v>
      </c>
      <c r="C5802" s="1">
        <v>44391</v>
      </c>
      <c r="D5802" s="1">
        <v>44397</v>
      </c>
      <c r="E5802">
        <v>1</v>
      </c>
      <c r="F5802" t="s">
        <v>2006</v>
      </c>
      <c r="G5802" t="str">
        <f t="shared" si="298"/>
        <v>06-C02-01</v>
      </c>
      <c r="H5802">
        <v>0.35820000000000002</v>
      </c>
      <c r="I5802" t="s">
        <v>2556</v>
      </c>
      <c r="J5802" t="s">
        <v>14</v>
      </c>
      <c r="K5802" t="str">
        <f t="shared" si="299"/>
        <v>4F2</v>
      </c>
      <c r="L5802" t="s">
        <v>15</v>
      </c>
    </row>
    <row r="5803" spans="1:12" x14ac:dyDescent="0.25">
      <c r="A5803" t="str">
        <f t="shared" si="297"/>
        <v>530415192</v>
      </c>
      <c r="B5803" t="str">
        <f t="shared" si="295"/>
        <v>89301000</v>
      </c>
      <c r="C5803" s="1">
        <v>44355</v>
      </c>
      <c r="D5803" s="1">
        <v>44361</v>
      </c>
      <c r="E5803">
        <v>1</v>
      </c>
      <c r="F5803" t="s">
        <v>4257</v>
      </c>
      <c r="G5803" t="str">
        <f>"06-K13-02"</f>
        <v>06-K13-02</v>
      </c>
      <c r="H5803">
        <v>0.65039999999999998</v>
      </c>
      <c r="I5803" t="s">
        <v>4258</v>
      </c>
      <c r="J5803" t="s">
        <v>14</v>
      </c>
      <c r="K5803" t="str">
        <f>"1F1"</f>
        <v>1F1</v>
      </c>
      <c r="L5803" t="s">
        <v>15</v>
      </c>
    </row>
    <row r="5804" spans="1:12" x14ac:dyDescent="0.25">
      <c r="A5804" t="str">
        <f>"530419110"</f>
        <v>530419110</v>
      </c>
      <c r="B5804" t="str">
        <f t="shared" si="295"/>
        <v>89301000</v>
      </c>
      <c r="C5804" s="1">
        <v>44204</v>
      </c>
      <c r="D5804" s="1">
        <v>44213</v>
      </c>
      <c r="E5804">
        <v>7</v>
      </c>
      <c r="F5804" t="s">
        <v>154</v>
      </c>
      <c r="G5804" t="str">
        <f>"00-M01-03"</f>
        <v>00-M01-03</v>
      </c>
      <c r="H5804">
        <v>10.0288</v>
      </c>
      <c r="I5804" t="s">
        <v>4259</v>
      </c>
      <c r="J5804" t="s">
        <v>14</v>
      </c>
      <c r="K5804" t="str">
        <f>"2T2"</f>
        <v>2T2</v>
      </c>
      <c r="L5804" t="s">
        <v>15</v>
      </c>
    </row>
    <row r="5805" spans="1:12" x14ac:dyDescent="0.25">
      <c r="A5805" t="str">
        <f>"530422350"</f>
        <v>530422350</v>
      </c>
      <c r="B5805" t="str">
        <f t="shared" si="295"/>
        <v>89301000</v>
      </c>
      <c r="C5805" s="1">
        <v>44361</v>
      </c>
      <c r="D5805" s="1">
        <v>44369</v>
      </c>
      <c r="E5805">
        <v>4</v>
      </c>
      <c r="F5805" t="s">
        <v>2407</v>
      </c>
      <c r="G5805" t="str">
        <f>"08-I06-04"</f>
        <v>08-I06-04</v>
      </c>
      <c r="H5805">
        <v>2.4260000000000002</v>
      </c>
      <c r="I5805" t="s">
        <v>4260</v>
      </c>
      <c r="J5805" t="s">
        <v>24</v>
      </c>
      <c r="K5805" t="str">
        <f>"6F6"</f>
        <v>6F6</v>
      </c>
      <c r="L5805" t="s">
        <v>15</v>
      </c>
    </row>
    <row r="5806" spans="1:12" x14ac:dyDescent="0.25">
      <c r="A5806" t="str">
        <f>"530423007"</f>
        <v>530423007</v>
      </c>
      <c r="B5806" t="str">
        <f t="shared" si="295"/>
        <v>89301000</v>
      </c>
      <c r="C5806" s="1">
        <v>44264</v>
      </c>
      <c r="D5806" s="1">
        <v>44265</v>
      </c>
      <c r="E5806">
        <v>1</v>
      </c>
      <c r="F5806" t="s">
        <v>2574</v>
      </c>
      <c r="G5806" t="str">
        <f>"01-I03-02"</f>
        <v>01-I03-02</v>
      </c>
      <c r="H5806">
        <v>6.8339999999999996</v>
      </c>
      <c r="J5806" t="s">
        <v>24</v>
      </c>
      <c r="K5806" t="str">
        <f>"5F6"</f>
        <v>5F6</v>
      </c>
      <c r="L5806" t="s">
        <v>15</v>
      </c>
    </row>
    <row r="5807" spans="1:12" x14ac:dyDescent="0.25">
      <c r="A5807" t="str">
        <f>"530423148"</f>
        <v>530423148</v>
      </c>
      <c r="B5807" t="str">
        <f t="shared" si="295"/>
        <v>89301000</v>
      </c>
      <c r="C5807" s="1">
        <v>44532</v>
      </c>
      <c r="D5807" s="1">
        <v>44533</v>
      </c>
      <c r="E5807">
        <v>1</v>
      </c>
      <c r="F5807" t="s">
        <v>1567</v>
      </c>
      <c r="G5807" t="str">
        <f>"05-I25-04"</f>
        <v>05-I25-04</v>
      </c>
      <c r="H5807">
        <v>2.8115000000000001</v>
      </c>
      <c r="I5807" t="s">
        <v>489</v>
      </c>
      <c r="J5807" t="s">
        <v>17</v>
      </c>
      <c r="K5807" t="str">
        <f>"1F1"</f>
        <v>1F1</v>
      </c>
      <c r="L5807" t="s">
        <v>15</v>
      </c>
    </row>
    <row r="5808" spans="1:12" x14ac:dyDescent="0.25">
      <c r="A5808" t="str">
        <f>"530423148"</f>
        <v>530423148</v>
      </c>
      <c r="B5808" t="str">
        <f t="shared" si="295"/>
        <v>89301000</v>
      </c>
      <c r="C5808" s="1">
        <v>44435</v>
      </c>
      <c r="D5808" s="1">
        <v>44438</v>
      </c>
      <c r="E5808">
        <v>1</v>
      </c>
      <c r="F5808" t="s">
        <v>41</v>
      </c>
      <c r="G5808" t="str">
        <f>"01-D01-03"</f>
        <v>01-D01-03</v>
      </c>
      <c r="H5808">
        <v>0.2054</v>
      </c>
      <c r="I5808" t="s">
        <v>489</v>
      </c>
      <c r="J5808" t="s">
        <v>14</v>
      </c>
      <c r="K5808" t="str">
        <f>"2F5"</f>
        <v>2F5</v>
      </c>
      <c r="L5808" t="s">
        <v>15</v>
      </c>
    </row>
    <row r="5809" spans="1:12" x14ac:dyDescent="0.25">
      <c r="A5809" t="str">
        <f>"530423148"</f>
        <v>530423148</v>
      </c>
      <c r="B5809" t="str">
        <f t="shared" si="295"/>
        <v>89301000</v>
      </c>
      <c r="C5809" s="1">
        <v>44356</v>
      </c>
      <c r="D5809" s="1">
        <v>44357</v>
      </c>
      <c r="E5809">
        <v>1</v>
      </c>
      <c r="F5809" t="s">
        <v>41</v>
      </c>
      <c r="G5809" t="str">
        <f>"01-D01-03"</f>
        <v>01-D01-03</v>
      </c>
      <c r="H5809">
        <v>0.158</v>
      </c>
      <c r="I5809" t="s">
        <v>489</v>
      </c>
      <c r="J5809" t="s">
        <v>14</v>
      </c>
      <c r="K5809" t="str">
        <f>"2F5"</f>
        <v>2F5</v>
      </c>
      <c r="L5809" t="s">
        <v>15</v>
      </c>
    </row>
    <row r="5810" spans="1:12" x14ac:dyDescent="0.25">
      <c r="A5810" t="str">
        <f>"530426092"</f>
        <v>530426092</v>
      </c>
      <c r="B5810" t="str">
        <f t="shared" si="295"/>
        <v>89301000</v>
      </c>
      <c r="C5810" s="1">
        <v>44454</v>
      </c>
      <c r="D5810" s="1">
        <v>44461</v>
      </c>
      <c r="E5810">
        <v>1</v>
      </c>
      <c r="F5810" t="s">
        <v>1822</v>
      </c>
      <c r="G5810" t="str">
        <f>"08-K01-03"</f>
        <v>08-K01-03</v>
      </c>
      <c r="H5810">
        <v>0.77200000000000002</v>
      </c>
      <c r="I5810" t="s">
        <v>4261</v>
      </c>
      <c r="J5810" t="s">
        <v>14</v>
      </c>
      <c r="K5810" t="str">
        <f>"1F9"</f>
        <v>1F9</v>
      </c>
      <c r="L5810" t="s">
        <v>15</v>
      </c>
    </row>
    <row r="5811" spans="1:12" x14ac:dyDescent="0.25">
      <c r="A5811" t="str">
        <f>"530501097"</f>
        <v>530501097</v>
      </c>
      <c r="B5811" t="str">
        <f t="shared" si="295"/>
        <v>89301000</v>
      </c>
      <c r="C5811" s="1">
        <v>44468</v>
      </c>
      <c r="D5811" s="1">
        <v>44471</v>
      </c>
      <c r="E5811">
        <v>1</v>
      </c>
      <c r="F5811" t="s">
        <v>1619</v>
      </c>
      <c r="G5811" t="str">
        <f>"05-M06-06"</f>
        <v>05-M06-06</v>
      </c>
      <c r="H5811">
        <v>1.7652000000000001</v>
      </c>
      <c r="I5811" t="s">
        <v>4262</v>
      </c>
      <c r="J5811" t="s">
        <v>17</v>
      </c>
      <c r="K5811" t="str">
        <f>"1F1"</f>
        <v>1F1</v>
      </c>
      <c r="L5811" t="s">
        <v>15</v>
      </c>
    </row>
    <row r="5812" spans="1:12" x14ac:dyDescent="0.25">
      <c r="A5812" t="str">
        <f>"530501097"</f>
        <v>530501097</v>
      </c>
      <c r="B5812" t="str">
        <f t="shared" si="295"/>
        <v>89301000</v>
      </c>
      <c r="C5812" s="1">
        <v>44487</v>
      </c>
      <c r="D5812" s="1">
        <v>44489</v>
      </c>
      <c r="E5812">
        <v>1</v>
      </c>
      <c r="F5812" t="s">
        <v>1599</v>
      </c>
      <c r="G5812" t="str">
        <f>"05-I14-04"</f>
        <v>05-I14-04</v>
      </c>
      <c r="H5812">
        <v>5.4002999999999997</v>
      </c>
      <c r="I5812" t="s">
        <v>4263</v>
      </c>
      <c r="J5812" t="s">
        <v>14</v>
      </c>
      <c r="K5812" t="str">
        <f>"1F1"</f>
        <v>1F1</v>
      </c>
      <c r="L5812" t="s">
        <v>15</v>
      </c>
    </row>
    <row r="5813" spans="1:12" x14ac:dyDescent="0.25">
      <c r="A5813" t="str">
        <f>"530501097"</f>
        <v>530501097</v>
      </c>
      <c r="B5813" t="str">
        <f t="shared" si="295"/>
        <v>89301000</v>
      </c>
      <c r="C5813" s="1">
        <v>44502</v>
      </c>
      <c r="D5813" s="1">
        <v>44504</v>
      </c>
      <c r="E5813">
        <v>1</v>
      </c>
      <c r="F5813" t="s">
        <v>1557</v>
      </c>
      <c r="G5813" t="str">
        <f>"05-M06-03"</f>
        <v>05-M06-03</v>
      </c>
      <c r="H5813">
        <v>2.6726999999999999</v>
      </c>
      <c r="J5813" t="s">
        <v>17</v>
      </c>
      <c r="K5813" t="str">
        <f>"1F1"</f>
        <v>1F1</v>
      </c>
      <c r="L5813" t="s">
        <v>15</v>
      </c>
    </row>
    <row r="5814" spans="1:12" x14ac:dyDescent="0.25">
      <c r="A5814" t="str">
        <f>"530502109"</f>
        <v>530502109</v>
      </c>
      <c r="B5814" t="str">
        <f t="shared" si="295"/>
        <v>89301000</v>
      </c>
      <c r="C5814" s="1">
        <v>44190</v>
      </c>
      <c r="D5814" s="1">
        <v>44214</v>
      </c>
      <c r="E5814">
        <v>7</v>
      </c>
      <c r="F5814" t="s">
        <v>290</v>
      </c>
      <c r="G5814" t="str">
        <f>"00-M02-04"</f>
        <v>00-M02-04</v>
      </c>
      <c r="H5814">
        <v>12.071199999999999</v>
      </c>
      <c r="I5814" t="s">
        <v>4264</v>
      </c>
      <c r="J5814" t="s">
        <v>14</v>
      </c>
      <c r="K5814" t="str">
        <f>"1T1"</f>
        <v>1T1</v>
      </c>
      <c r="L5814" t="s">
        <v>15</v>
      </c>
    </row>
    <row r="5815" spans="1:12" x14ac:dyDescent="0.25">
      <c r="A5815" t="str">
        <f>"530513113"</f>
        <v>530513113</v>
      </c>
      <c r="B5815" t="str">
        <f t="shared" si="295"/>
        <v>89301000</v>
      </c>
      <c r="C5815" s="1">
        <v>44250</v>
      </c>
      <c r="D5815" s="1">
        <v>44253</v>
      </c>
      <c r="E5815">
        <v>7</v>
      </c>
      <c r="F5815" t="s">
        <v>2397</v>
      </c>
      <c r="G5815" t="str">
        <f>"05-K05-01"</f>
        <v>05-K05-01</v>
      </c>
      <c r="H5815">
        <v>1.8811</v>
      </c>
      <c r="I5815" t="s">
        <v>4265</v>
      </c>
      <c r="J5815" t="s">
        <v>14</v>
      </c>
      <c r="K5815" t="str">
        <f>"1T1"</f>
        <v>1T1</v>
      </c>
      <c r="L5815" t="s">
        <v>15</v>
      </c>
    </row>
    <row r="5816" spans="1:12" x14ac:dyDescent="0.25">
      <c r="A5816" t="str">
        <f>"530514255"</f>
        <v>530514255</v>
      </c>
      <c r="B5816" t="str">
        <f t="shared" si="295"/>
        <v>89301000</v>
      </c>
      <c r="C5816" s="1">
        <v>44270</v>
      </c>
      <c r="D5816" s="1">
        <v>44274</v>
      </c>
      <c r="E5816">
        <v>1</v>
      </c>
      <c r="F5816" t="s">
        <v>2434</v>
      </c>
      <c r="G5816" t="str">
        <f>"04-K09-03"</f>
        <v>04-K09-03</v>
      </c>
      <c r="H5816">
        <v>0.62749999999999995</v>
      </c>
      <c r="I5816" t="s">
        <v>4266</v>
      </c>
      <c r="J5816" t="s">
        <v>14</v>
      </c>
      <c r="K5816" t="str">
        <f>"2F5"</f>
        <v>2F5</v>
      </c>
      <c r="L5816" t="s">
        <v>15</v>
      </c>
    </row>
    <row r="5817" spans="1:12" x14ac:dyDescent="0.25">
      <c r="A5817" t="str">
        <f>"530514255"</f>
        <v>530514255</v>
      </c>
      <c r="B5817" t="str">
        <f t="shared" si="295"/>
        <v>89301000</v>
      </c>
      <c r="C5817" s="1">
        <v>44294</v>
      </c>
      <c r="D5817" s="1">
        <v>44300</v>
      </c>
      <c r="E5817">
        <v>1</v>
      </c>
      <c r="F5817" t="s">
        <v>857</v>
      </c>
      <c r="G5817" t="str">
        <f>"16-C07-02"</f>
        <v>16-C07-02</v>
      </c>
      <c r="H5817">
        <v>1.1087</v>
      </c>
      <c r="I5817" t="s">
        <v>4267</v>
      </c>
      <c r="J5817" t="s">
        <v>14</v>
      </c>
      <c r="K5817" t="str">
        <f>"2F5"</f>
        <v>2F5</v>
      </c>
      <c r="L5817" t="s">
        <v>15</v>
      </c>
    </row>
    <row r="5818" spans="1:12" x14ac:dyDescent="0.25">
      <c r="A5818" t="str">
        <f>"530514255"</f>
        <v>530514255</v>
      </c>
      <c r="B5818" t="str">
        <f t="shared" si="295"/>
        <v>89301000</v>
      </c>
      <c r="C5818" s="1">
        <v>44344</v>
      </c>
      <c r="D5818" s="1">
        <v>44361</v>
      </c>
      <c r="E5818">
        <v>1</v>
      </c>
      <c r="F5818" t="s">
        <v>1914</v>
      </c>
      <c r="G5818" t="str">
        <f>"04-K09-02"</f>
        <v>04-K09-02</v>
      </c>
      <c r="H5818">
        <v>1.2861</v>
      </c>
      <c r="I5818" t="s">
        <v>4268</v>
      </c>
      <c r="J5818" t="s">
        <v>14</v>
      </c>
      <c r="K5818" t="str">
        <f>"2F5"</f>
        <v>2F5</v>
      </c>
      <c r="L5818" t="s">
        <v>15</v>
      </c>
    </row>
    <row r="5819" spans="1:12" x14ac:dyDescent="0.25">
      <c r="A5819" t="str">
        <f>"530515152"</f>
        <v>530515152</v>
      </c>
      <c r="B5819" t="str">
        <f t="shared" si="295"/>
        <v>89301000</v>
      </c>
      <c r="C5819" s="1">
        <v>44365</v>
      </c>
      <c r="D5819" s="1">
        <v>44372</v>
      </c>
      <c r="E5819">
        <v>1</v>
      </c>
      <c r="F5819" t="s">
        <v>4269</v>
      </c>
      <c r="G5819" t="str">
        <f>"04-K02-04"</f>
        <v>04-K02-04</v>
      </c>
      <c r="H5819">
        <v>0.82469999999999999</v>
      </c>
      <c r="I5819" t="s">
        <v>4270</v>
      </c>
      <c r="J5819" t="s">
        <v>14</v>
      </c>
      <c r="K5819" t="str">
        <f>"2F5"</f>
        <v>2F5</v>
      </c>
      <c r="L5819" t="s">
        <v>15</v>
      </c>
    </row>
    <row r="5820" spans="1:12" x14ac:dyDescent="0.25">
      <c r="A5820" t="str">
        <f>"530517345"</f>
        <v>530517345</v>
      </c>
      <c r="B5820" t="str">
        <f t="shared" si="295"/>
        <v>89301000</v>
      </c>
      <c r="C5820" s="1">
        <v>44271</v>
      </c>
      <c r="D5820" s="1">
        <v>44280</v>
      </c>
      <c r="E5820">
        <v>8</v>
      </c>
      <c r="F5820" t="s">
        <v>217</v>
      </c>
      <c r="G5820" t="str">
        <f>"00-M01-04"</f>
        <v>00-M01-04</v>
      </c>
      <c r="H5820">
        <v>6.85</v>
      </c>
      <c r="I5820" t="s">
        <v>4271</v>
      </c>
      <c r="J5820" t="s">
        <v>14</v>
      </c>
      <c r="K5820" t="str">
        <f>"1T1"</f>
        <v>1T1</v>
      </c>
      <c r="L5820" t="s">
        <v>15</v>
      </c>
    </row>
    <row r="5821" spans="1:12" x14ac:dyDescent="0.25">
      <c r="A5821" t="str">
        <f>"530518120"</f>
        <v>530518120</v>
      </c>
      <c r="B5821" t="str">
        <f t="shared" si="295"/>
        <v>89301000</v>
      </c>
      <c r="C5821" s="1">
        <v>44464</v>
      </c>
      <c r="D5821" s="1">
        <v>44470</v>
      </c>
      <c r="E5821">
        <v>1</v>
      </c>
      <c r="F5821" t="s">
        <v>2706</v>
      </c>
      <c r="G5821" t="str">
        <f>"09-K01-02"</f>
        <v>09-K01-02</v>
      </c>
      <c r="H5821">
        <v>1.0527</v>
      </c>
      <c r="I5821" t="s">
        <v>4272</v>
      </c>
      <c r="J5821" t="s">
        <v>14</v>
      </c>
      <c r="K5821" t="str">
        <f>"4F4"</f>
        <v>4F4</v>
      </c>
      <c r="L5821" t="s">
        <v>15</v>
      </c>
    </row>
    <row r="5822" spans="1:12" x14ac:dyDescent="0.25">
      <c r="A5822" t="str">
        <f>"530520339"</f>
        <v>530520339</v>
      </c>
      <c r="B5822" t="str">
        <f t="shared" si="295"/>
        <v>89301000</v>
      </c>
      <c r="C5822" s="1">
        <v>44462</v>
      </c>
      <c r="D5822" s="1">
        <v>44463</v>
      </c>
      <c r="E5822">
        <v>1</v>
      </c>
      <c r="F5822" t="s">
        <v>1557</v>
      </c>
      <c r="G5822" t="str">
        <f>"05-M06-07"</f>
        <v>05-M06-07</v>
      </c>
      <c r="H5822">
        <v>1.8717999999999999</v>
      </c>
      <c r="I5822" t="s">
        <v>4273</v>
      </c>
      <c r="J5822" t="s">
        <v>17</v>
      </c>
      <c r="K5822" t="str">
        <f>"1F1"</f>
        <v>1F1</v>
      </c>
      <c r="L5822" t="s">
        <v>15</v>
      </c>
    </row>
    <row r="5823" spans="1:12" x14ac:dyDescent="0.25">
      <c r="A5823" t="str">
        <f>"530520339"</f>
        <v>530520339</v>
      </c>
      <c r="B5823" t="str">
        <f t="shared" si="295"/>
        <v>89301000</v>
      </c>
      <c r="C5823" s="1">
        <v>44431</v>
      </c>
      <c r="D5823" s="1">
        <v>44432</v>
      </c>
      <c r="E5823">
        <v>1</v>
      </c>
      <c r="F5823" t="s">
        <v>174</v>
      </c>
      <c r="G5823" t="str">
        <f>"12-I14-00"</f>
        <v>12-I14-00</v>
      </c>
      <c r="H5823">
        <v>0.44350000000000001</v>
      </c>
      <c r="I5823" t="s">
        <v>4274</v>
      </c>
      <c r="J5823" t="s">
        <v>14</v>
      </c>
      <c r="K5823" t="str">
        <f>"7F6"</f>
        <v>7F6</v>
      </c>
      <c r="L5823" t="s">
        <v>15</v>
      </c>
    </row>
    <row r="5824" spans="1:12" x14ac:dyDescent="0.25">
      <c r="A5824" t="str">
        <f>"530521292"</f>
        <v>530521292</v>
      </c>
      <c r="B5824" t="str">
        <f t="shared" si="295"/>
        <v>89301000</v>
      </c>
      <c r="C5824" s="1">
        <v>44438</v>
      </c>
      <c r="D5824" s="1">
        <v>44441</v>
      </c>
      <c r="E5824">
        <v>1</v>
      </c>
      <c r="F5824" t="s">
        <v>1679</v>
      </c>
      <c r="G5824" t="str">
        <f>"11-M06-03"</f>
        <v>11-M06-03</v>
      </c>
      <c r="H5824">
        <v>0.61519999999999997</v>
      </c>
      <c r="I5824" t="s">
        <v>4275</v>
      </c>
      <c r="J5824" t="s">
        <v>17</v>
      </c>
      <c r="K5824" t="str">
        <f>"7F6"</f>
        <v>7F6</v>
      </c>
      <c r="L5824" t="s">
        <v>15</v>
      </c>
    </row>
    <row r="5825" spans="1:12" x14ac:dyDescent="0.25">
      <c r="A5825" t="str">
        <f>"530521292"</f>
        <v>530521292</v>
      </c>
      <c r="B5825" t="str">
        <f t="shared" si="295"/>
        <v>89301000</v>
      </c>
      <c r="C5825" s="1">
        <v>44456</v>
      </c>
      <c r="D5825" s="1">
        <v>44462</v>
      </c>
      <c r="E5825">
        <v>1</v>
      </c>
      <c r="F5825" t="s">
        <v>1638</v>
      </c>
      <c r="G5825" t="str">
        <f>"11-K01-03"</f>
        <v>11-K01-03</v>
      </c>
      <c r="H5825">
        <v>0.59489999999999998</v>
      </c>
      <c r="I5825" t="s">
        <v>4276</v>
      </c>
      <c r="J5825" t="s">
        <v>14</v>
      </c>
      <c r="K5825" t="str">
        <f>"1F1"</f>
        <v>1F1</v>
      </c>
      <c r="L5825" t="s">
        <v>15</v>
      </c>
    </row>
    <row r="5826" spans="1:12" x14ac:dyDescent="0.25">
      <c r="A5826" t="str">
        <f>"530526041"</f>
        <v>530526041</v>
      </c>
      <c r="B5826" t="str">
        <f t="shared" si="295"/>
        <v>89301000</v>
      </c>
      <c r="C5826" s="1">
        <v>44306</v>
      </c>
      <c r="D5826" s="1">
        <v>44310</v>
      </c>
      <c r="E5826">
        <v>1</v>
      </c>
      <c r="F5826" t="s">
        <v>1581</v>
      </c>
      <c r="G5826" t="str">
        <f>"05-M07-06"</f>
        <v>05-M07-06</v>
      </c>
      <c r="H5826">
        <v>1.2513000000000001</v>
      </c>
      <c r="I5826" t="s">
        <v>4277</v>
      </c>
      <c r="J5826" t="s">
        <v>17</v>
      </c>
      <c r="K5826" t="str">
        <f>"5F3"</f>
        <v>5F3</v>
      </c>
      <c r="L5826" t="s">
        <v>15</v>
      </c>
    </row>
    <row r="5827" spans="1:12" x14ac:dyDescent="0.25">
      <c r="A5827" t="str">
        <f>"530526041"</f>
        <v>530526041</v>
      </c>
      <c r="B5827" t="str">
        <f t="shared" si="295"/>
        <v>89301000</v>
      </c>
      <c r="C5827" s="1">
        <v>44551</v>
      </c>
      <c r="D5827" s="1">
        <v>44553</v>
      </c>
      <c r="E5827">
        <v>1</v>
      </c>
      <c r="F5827" t="s">
        <v>67</v>
      </c>
      <c r="G5827" t="str">
        <f>"01-K10-03"</f>
        <v>01-K10-03</v>
      </c>
      <c r="H5827">
        <v>1.0016</v>
      </c>
      <c r="I5827" t="s">
        <v>2183</v>
      </c>
      <c r="J5827" t="s">
        <v>14</v>
      </c>
      <c r="K5827" t="str">
        <f>"2F9"</f>
        <v>2F9</v>
      </c>
      <c r="L5827" t="s">
        <v>15</v>
      </c>
    </row>
    <row r="5828" spans="1:12" x14ac:dyDescent="0.25">
      <c r="A5828" t="str">
        <f>"530606056"</f>
        <v>530606056</v>
      </c>
      <c r="B5828" t="str">
        <f t="shared" si="295"/>
        <v>89301000</v>
      </c>
      <c r="C5828" s="1">
        <v>44321</v>
      </c>
      <c r="D5828" s="1">
        <v>44355</v>
      </c>
      <c r="E5828">
        <v>1</v>
      </c>
      <c r="F5828" t="s">
        <v>3034</v>
      </c>
      <c r="G5828" t="str">
        <f>"04-I08-03"</f>
        <v>04-I08-03</v>
      </c>
      <c r="H5828">
        <v>2.3100999999999998</v>
      </c>
      <c r="I5828" t="s">
        <v>4278</v>
      </c>
      <c r="J5828" t="s">
        <v>14</v>
      </c>
      <c r="K5828" t="str">
        <f>"2F5"</f>
        <v>2F5</v>
      </c>
      <c r="L5828" t="s">
        <v>15</v>
      </c>
    </row>
    <row r="5829" spans="1:12" x14ac:dyDescent="0.25">
      <c r="A5829" t="str">
        <f>"530606325"</f>
        <v>530606325</v>
      </c>
      <c r="B5829" t="str">
        <f t="shared" si="295"/>
        <v>89301000</v>
      </c>
      <c r="C5829" s="1">
        <v>44365</v>
      </c>
      <c r="D5829" s="1">
        <v>44366</v>
      </c>
      <c r="E5829">
        <v>1</v>
      </c>
      <c r="F5829" t="s">
        <v>2239</v>
      </c>
      <c r="G5829" t="str">
        <f>"05-M05-03"</f>
        <v>05-M05-03</v>
      </c>
      <c r="H5829">
        <v>1.9991000000000001</v>
      </c>
      <c r="J5829" t="s">
        <v>24</v>
      </c>
      <c r="K5829" t="str">
        <f>"1F1"</f>
        <v>1F1</v>
      </c>
      <c r="L5829" t="s">
        <v>15</v>
      </c>
    </row>
    <row r="5830" spans="1:12" x14ac:dyDescent="0.25">
      <c r="A5830" t="str">
        <f>"530607028"</f>
        <v>530607028</v>
      </c>
      <c r="B5830" t="str">
        <f t="shared" si="295"/>
        <v>89301000</v>
      </c>
      <c r="C5830" s="1">
        <v>44368</v>
      </c>
      <c r="D5830" s="1">
        <v>44370</v>
      </c>
      <c r="E5830">
        <v>1</v>
      </c>
      <c r="F5830" t="s">
        <v>41</v>
      </c>
      <c r="G5830" t="str">
        <f>"01-D01-03"</f>
        <v>01-D01-03</v>
      </c>
      <c r="H5830">
        <v>0.158</v>
      </c>
      <c r="I5830" t="s">
        <v>2250</v>
      </c>
      <c r="J5830" t="s">
        <v>14</v>
      </c>
      <c r="K5830" t="str">
        <f>"2F5"</f>
        <v>2F5</v>
      </c>
      <c r="L5830" t="s">
        <v>15</v>
      </c>
    </row>
    <row r="5831" spans="1:12" x14ac:dyDescent="0.25">
      <c r="A5831" t="str">
        <f>"530630279"</f>
        <v>530630279</v>
      </c>
      <c r="B5831" t="str">
        <f t="shared" si="295"/>
        <v>89301000</v>
      </c>
      <c r="C5831" s="1">
        <v>44425</v>
      </c>
      <c r="D5831" s="1">
        <v>44427</v>
      </c>
      <c r="E5831">
        <v>1</v>
      </c>
      <c r="F5831" t="s">
        <v>1557</v>
      </c>
      <c r="G5831" t="str">
        <f>"05-D01-08"</f>
        <v>05-D01-08</v>
      </c>
      <c r="H5831">
        <v>0.4093</v>
      </c>
      <c r="I5831" t="s">
        <v>2428</v>
      </c>
      <c r="J5831" t="s">
        <v>14</v>
      </c>
      <c r="K5831" t="str">
        <f>"1F1"</f>
        <v>1F1</v>
      </c>
      <c r="L5831" t="s">
        <v>15</v>
      </c>
    </row>
    <row r="5832" spans="1:12" x14ac:dyDescent="0.25">
      <c r="A5832" t="str">
        <f>"530630279"</f>
        <v>530630279</v>
      </c>
      <c r="B5832" t="str">
        <f t="shared" ref="B5832:B5894" si="300">"89301000"</f>
        <v>89301000</v>
      </c>
      <c r="C5832" s="1">
        <v>44460</v>
      </c>
      <c r="D5832" s="1">
        <v>44468</v>
      </c>
      <c r="E5832">
        <v>1</v>
      </c>
      <c r="F5832" t="s">
        <v>1557</v>
      </c>
      <c r="G5832" t="str">
        <f>"05-I16-07"</f>
        <v>05-I16-07</v>
      </c>
      <c r="H5832">
        <v>4.2412000000000001</v>
      </c>
      <c r="J5832" t="s">
        <v>17</v>
      </c>
      <c r="K5832" t="str">
        <f>"5F5"</f>
        <v>5F5</v>
      </c>
      <c r="L5832" t="s">
        <v>15</v>
      </c>
    </row>
    <row r="5833" spans="1:12" x14ac:dyDescent="0.25">
      <c r="A5833" t="str">
        <f>"530706001"</f>
        <v>530706001</v>
      </c>
      <c r="B5833" t="str">
        <f t="shared" si="300"/>
        <v>89301000</v>
      </c>
      <c r="C5833" s="1">
        <v>44255</v>
      </c>
      <c r="D5833" s="1">
        <v>44255</v>
      </c>
      <c r="E5833">
        <v>1</v>
      </c>
      <c r="F5833" t="s">
        <v>1558</v>
      </c>
      <c r="G5833" t="str">
        <f>"05-D01-06"</f>
        <v>05-D01-06</v>
      </c>
      <c r="H5833">
        <v>0.40649999999999997</v>
      </c>
      <c r="J5833" t="s">
        <v>14</v>
      </c>
      <c r="K5833" t="str">
        <f>"1F7"</f>
        <v>1F7</v>
      </c>
      <c r="L5833" t="s">
        <v>15</v>
      </c>
    </row>
    <row r="5834" spans="1:12" x14ac:dyDescent="0.25">
      <c r="A5834" t="str">
        <f>"530706001"</f>
        <v>530706001</v>
      </c>
      <c r="B5834" t="str">
        <f t="shared" si="300"/>
        <v>89301000</v>
      </c>
      <c r="C5834" s="1">
        <v>44319</v>
      </c>
      <c r="D5834" s="1">
        <v>44327</v>
      </c>
      <c r="E5834">
        <v>4</v>
      </c>
      <c r="F5834" t="s">
        <v>1558</v>
      </c>
      <c r="G5834" t="str">
        <f>"05-I12-03"</f>
        <v>05-I12-03</v>
      </c>
      <c r="H5834">
        <v>6.4964000000000004</v>
      </c>
      <c r="I5834" t="s">
        <v>1606</v>
      </c>
      <c r="J5834" t="s">
        <v>17</v>
      </c>
      <c r="K5834" t="str">
        <f>"5F5"</f>
        <v>5F5</v>
      </c>
      <c r="L5834" t="s">
        <v>15</v>
      </c>
    </row>
    <row r="5835" spans="1:12" x14ac:dyDescent="0.25">
      <c r="A5835" t="str">
        <f>"530717003"</f>
        <v>530717003</v>
      </c>
      <c r="B5835" t="str">
        <f t="shared" si="300"/>
        <v>89301000</v>
      </c>
      <c r="C5835" s="1">
        <v>44441</v>
      </c>
      <c r="D5835" s="1">
        <v>44442</v>
      </c>
      <c r="E5835">
        <v>1</v>
      </c>
      <c r="F5835" t="s">
        <v>1557</v>
      </c>
      <c r="G5835" t="str">
        <f>"05-D01-08"</f>
        <v>05-D01-08</v>
      </c>
      <c r="H5835">
        <v>0.70630000000000004</v>
      </c>
      <c r="J5835" t="s">
        <v>14</v>
      </c>
      <c r="K5835" t="str">
        <f>"1F7"</f>
        <v>1F7</v>
      </c>
      <c r="L5835" t="s">
        <v>15</v>
      </c>
    </row>
    <row r="5836" spans="1:12" x14ac:dyDescent="0.25">
      <c r="A5836" t="str">
        <f>"530717003"</f>
        <v>530717003</v>
      </c>
      <c r="B5836" t="str">
        <f t="shared" si="300"/>
        <v>89301000</v>
      </c>
      <c r="C5836" s="1">
        <v>44476</v>
      </c>
      <c r="D5836" s="1">
        <v>44484</v>
      </c>
      <c r="E5836">
        <v>1</v>
      </c>
      <c r="F5836" t="s">
        <v>1557</v>
      </c>
      <c r="G5836" t="str">
        <f>"05-I16-06"</f>
        <v>05-I16-06</v>
      </c>
      <c r="H5836">
        <v>5.2988</v>
      </c>
      <c r="J5836" t="s">
        <v>17</v>
      </c>
      <c r="K5836" t="str">
        <f>"5F5"</f>
        <v>5F5</v>
      </c>
      <c r="L5836" t="s">
        <v>15</v>
      </c>
    </row>
    <row r="5837" spans="1:12" x14ac:dyDescent="0.25">
      <c r="A5837" t="str">
        <f>"530721219"</f>
        <v>530721219</v>
      </c>
      <c r="B5837" t="str">
        <f t="shared" si="300"/>
        <v>89301000</v>
      </c>
      <c r="C5837" s="1">
        <v>44526</v>
      </c>
      <c r="D5837" s="1">
        <v>44544</v>
      </c>
      <c r="E5837">
        <v>2</v>
      </c>
      <c r="F5837" t="s">
        <v>217</v>
      </c>
      <c r="G5837" t="str">
        <f>"04-K02-04"</f>
        <v>04-K02-04</v>
      </c>
      <c r="H5837">
        <v>1.0649999999999999</v>
      </c>
      <c r="I5837" t="s">
        <v>4279</v>
      </c>
      <c r="J5837" t="s">
        <v>14</v>
      </c>
      <c r="K5837" t="str">
        <f>"1F6"</f>
        <v>1F6</v>
      </c>
      <c r="L5837" t="s">
        <v>15</v>
      </c>
    </row>
    <row r="5838" spans="1:12" x14ac:dyDescent="0.25">
      <c r="A5838" t="str">
        <f>"530722092"</f>
        <v>530722092</v>
      </c>
      <c r="B5838" t="str">
        <f t="shared" si="300"/>
        <v>89301000</v>
      </c>
      <c r="C5838" s="1">
        <v>44493</v>
      </c>
      <c r="D5838" s="1">
        <v>44499</v>
      </c>
      <c r="E5838">
        <v>1</v>
      </c>
      <c r="F5838" t="s">
        <v>2585</v>
      </c>
      <c r="G5838" t="str">
        <f>"12-I03-01"</f>
        <v>12-I03-01</v>
      </c>
      <c r="H5838">
        <v>2.6785999999999999</v>
      </c>
      <c r="J5838" t="s">
        <v>14</v>
      </c>
      <c r="K5838" t="str">
        <f>"7F6"</f>
        <v>7F6</v>
      </c>
      <c r="L5838" t="s">
        <v>15</v>
      </c>
    </row>
    <row r="5839" spans="1:12" x14ac:dyDescent="0.25">
      <c r="A5839" t="str">
        <f>"530728064"</f>
        <v>530728064</v>
      </c>
      <c r="B5839" t="str">
        <f t="shared" si="300"/>
        <v>89301000</v>
      </c>
      <c r="C5839" s="1">
        <v>44211</v>
      </c>
      <c r="D5839" s="1">
        <v>44221</v>
      </c>
      <c r="E5839">
        <v>1</v>
      </c>
      <c r="F5839" t="s">
        <v>2519</v>
      </c>
      <c r="G5839" t="str">
        <f>"09-K01-04"</f>
        <v>09-K01-04</v>
      </c>
      <c r="H5839">
        <v>0.57820000000000005</v>
      </c>
      <c r="I5839" t="s">
        <v>4280</v>
      </c>
      <c r="J5839" t="s">
        <v>14</v>
      </c>
      <c r="K5839" t="str">
        <f>"4F4"</f>
        <v>4F4</v>
      </c>
      <c r="L5839" t="s">
        <v>15</v>
      </c>
    </row>
    <row r="5840" spans="1:12" x14ac:dyDescent="0.25">
      <c r="A5840" t="str">
        <f>"530803071"</f>
        <v>530803071</v>
      </c>
      <c r="B5840" t="str">
        <f t="shared" si="300"/>
        <v>89301000</v>
      </c>
      <c r="C5840" s="1">
        <v>44472</v>
      </c>
      <c r="D5840" s="1">
        <v>44481</v>
      </c>
      <c r="E5840">
        <v>4</v>
      </c>
      <c r="F5840" t="s">
        <v>2407</v>
      </c>
      <c r="G5840" t="str">
        <f>"08-I06-04"</f>
        <v>08-I06-04</v>
      </c>
      <c r="H5840">
        <v>2.4260000000000002</v>
      </c>
      <c r="J5840" t="s">
        <v>24</v>
      </c>
      <c r="K5840" t="str">
        <f>"6F6"</f>
        <v>6F6</v>
      </c>
      <c r="L5840" t="s">
        <v>15</v>
      </c>
    </row>
    <row r="5841" spans="1:12" x14ac:dyDescent="0.25">
      <c r="A5841" t="str">
        <f>"530804284"</f>
        <v>530804284</v>
      </c>
      <c r="B5841" t="str">
        <f t="shared" si="300"/>
        <v>89301000</v>
      </c>
      <c r="C5841" s="1">
        <v>44411</v>
      </c>
      <c r="D5841" s="1">
        <v>44418</v>
      </c>
      <c r="E5841">
        <v>1</v>
      </c>
      <c r="F5841" t="s">
        <v>2585</v>
      </c>
      <c r="G5841" t="str">
        <f>"12-I02-01"</f>
        <v>12-I02-01</v>
      </c>
      <c r="H5841">
        <v>3.1240999999999999</v>
      </c>
      <c r="I5841" t="s">
        <v>489</v>
      </c>
      <c r="J5841" t="s">
        <v>14</v>
      </c>
      <c r="K5841" t="str">
        <f>"7F6"</f>
        <v>7F6</v>
      </c>
      <c r="L5841" t="s">
        <v>15</v>
      </c>
    </row>
    <row r="5842" spans="1:12" x14ac:dyDescent="0.25">
      <c r="A5842" t="str">
        <f>"530810004"</f>
        <v>530810004</v>
      </c>
      <c r="B5842" t="str">
        <f t="shared" si="300"/>
        <v>89301000</v>
      </c>
      <c r="C5842" s="1">
        <v>44483</v>
      </c>
      <c r="D5842" s="1">
        <v>44484</v>
      </c>
      <c r="E5842">
        <v>1</v>
      </c>
      <c r="F5842" t="s">
        <v>1839</v>
      </c>
      <c r="G5842" t="str">
        <f>"06-M01-02"</f>
        <v>06-M01-02</v>
      </c>
      <c r="H5842">
        <v>1.2191000000000001</v>
      </c>
      <c r="I5842" t="s">
        <v>4281</v>
      </c>
      <c r="J5842" t="s">
        <v>14</v>
      </c>
      <c r="K5842" t="str">
        <f>"1F1"</f>
        <v>1F1</v>
      </c>
      <c r="L5842" t="s">
        <v>15</v>
      </c>
    </row>
    <row r="5843" spans="1:12" x14ac:dyDescent="0.25">
      <c r="A5843" t="str">
        <f>"530811020"</f>
        <v>530811020</v>
      </c>
      <c r="B5843" t="str">
        <f t="shared" si="300"/>
        <v>89301000</v>
      </c>
      <c r="C5843" s="1">
        <v>44414</v>
      </c>
      <c r="D5843" s="1">
        <v>44424</v>
      </c>
      <c r="E5843">
        <v>1</v>
      </c>
      <c r="F5843" t="s">
        <v>1557</v>
      </c>
      <c r="G5843" t="str">
        <f>"05-I16-06"</f>
        <v>05-I16-06</v>
      </c>
      <c r="H5843">
        <v>5.2988</v>
      </c>
      <c r="J5843" t="s">
        <v>17</v>
      </c>
      <c r="K5843" t="str">
        <f>"5F5"</f>
        <v>5F5</v>
      </c>
      <c r="L5843" t="s">
        <v>15</v>
      </c>
    </row>
    <row r="5844" spans="1:12" x14ac:dyDescent="0.25">
      <c r="A5844" t="str">
        <f>"530819121"</f>
        <v>530819121</v>
      </c>
      <c r="B5844" t="str">
        <f t="shared" si="300"/>
        <v>89301000</v>
      </c>
      <c r="C5844" s="1">
        <v>44301</v>
      </c>
      <c r="D5844" s="1">
        <v>44302</v>
      </c>
      <c r="E5844">
        <v>1</v>
      </c>
      <c r="F5844" t="s">
        <v>41</v>
      </c>
      <c r="G5844" t="str">
        <f>"01-D01-03"</f>
        <v>01-D01-03</v>
      </c>
      <c r="H5844">
        <v>0.158</v>
      </c>
      <c r="I5844" t="s">
        <v>4282</v>
      </c>
      <c r="J5844" t="s">
        <v>14</v>
      </c>
      <c r="K5844" t="str">
        <f>"2F5"</f>
        <v>2F5</v>
      </c>
      <c r="L5844" t="s">
        <v>15</v>
      </c>
    </row>
    <row r="5845" spans="1:12" x14ac:dyDescent="0.25">
      <c r="A5845" t="str">
        <f>"530819121"</f>
        <v>530819121</v>
      </c>
      <c r="B5845" t="str">
        <f t="shared" si="300"/>
        <v>89301000</v>
      </c>
      <c r="C5845" s="1">
        <v>44351</v>
      </c>
      <c r="D5845" s="1">
        <v>44354</v>
      </c>
      <c r="E5845">
        <v>1</v>
      </c>
      <c r="F5845" t="s">
        <v>41</v>
      </c>
      <c r="G5845" t="str">
        <f>"01-D01-03"</f>
        <v>01-D01-03</v>
      </c>
      <c r="H5845">
        <v>0.2054</v>
      </c>
      <c r="I5845" t="s">
        <v>4283</v>
      </c>
      <c r="J5845" t="s">
        <v>14</v>
      </c>
      <c r="K5845" t="str">
        <f>"2F5"</f>
        <v>2F5</v>
      </c>
      <c r="L5845" t="s">
        <v>15</v>
      </c>
    </row>
    <row r="5846" spans="1:12" x14ac:dyDescent="0.25">
      <c r="A5846" t="str">
        <f>"530826088"</f>
        <v>530826088</v>
      </c>
      <c r="B5846" t="str">
        <f t="shared" si="300"/>
        <v>89301000</v>
      </c>
      <c r="C5846" s="1">
        <v>44306</v>
      </c>
      <c r="D5846" s="1">
        <v>44313</v>
      </c>
      <c r="E5846">
        <v>1</v>
      </c>
      <c r="F5846" t="s">
        <v>1555</v>
      </c>
      <c r="G5846" t="str">
        <f>"05-I24-02"</f>
        <v>05-I24-02</v>
      </c>
      <c r="H5846">
        <v>4.3616999999999999</v>
      </c>
      <c r="I5846" t="s">
        <v>4284</v>
      </c>
      <c r="J5846" t="s">
        <v>14</v>
      </c>
      <c r="K5846" t="str">
        <f>"5F1"</f>
        <v>5F1</v>
      </c>
      <c r="L5846" t="s">
        <v>15</v>
      </c>
    </row>
    <row r="5847" spans="1:12" x14ac:dyDescent="0.25">
      <c r="A5847" t="str">
        <f>"530827136"</f>
        <v>530827136</v>
      </c>
      <c r="B5847" t="str">
        <f t="shared" si="300"/>
        <v>89301000</v>
      </c>
      <c r="C5847" s="1">
        <v>44551</v>
      </c>
      <c r="D5847" s="1">
        <v>44557</v>
      </c>
      <c r="E5847">
        <v>4</v>
      </c>
      <c r="F5847" t="s">
        <v>1968</v>
      </c>
      <c r="G5847" t="str">
        <f>"08-I05-04"</f>
        <v>08-I05-04</v>
      </c>
      <c r="H5847">
        <v>2.6198999999999999</v>
      </c>
      <c r="J5847" t="s">
        <v>17</v>
      </c>
      <c r="K5847" t="str">
        <f>"6F6"</f>
        <v>6F6</v>
      </c>
      <c r="L5847" t="s">
        <v>15</v>
      </c>
    </row>
    <row r="5848" spans="1:12" x14ac:dyDescent="0.25">
      <c r="A5848" t="str">
        <f>"530830159"</f>
        <v>530830159</v>
      </c>
      <c r="B5848" t="str">
        <f t="shared" si="300"/>
        <v>89301000</v>
      </c>
      <c r="C5848" s="1">
        <v>44195</v>
      </c>
      <c r="D5848" s="1">
        <v>44209</v>
      </c>
      <c r="E5848">
        <v>8</v>
      </c>
      <c r="F5848" t="s">
        <v>2232</v>
      </c>
      <c r="G5848" t="str">
        <f>"11-K07-01"</f>
        <v>11-K07-01</v>
      </c>
      <c r="H5848">
        <v>1.0079</v>
      </c>
      <c r="I5848" t="s">
        <v>4285</v>
      </c>
      <c r="J5848" t="s">
        <v>14</v>
      </c>
      <c r="K5848" t="str">
        <f>"5F1"</f>
        <v>5F1</v>
      </c>
      <c r="L5848" t="s">
        <v>15</v>
      </c>
    </row>
    <row r="5849" spans="1:12" x14ac:dyDescent="0.25">
      <c r="A5849" t="str">
        <f>"530903224"</f>
        <v>530903224</v>
      </c>
      <c r="B5849" t="str">
        <f t="shared" si="300"/>
        <v>89301000</v>
      </c>
      <c r="C5849" s="1">
        <v>44237</v>
      </c>
      <c r="D5849" s="1">
        <v>44243</v>
      </c>
      <c r="E5849">
        <v>1</v>
      </c>
      <c r="F5849" t="s">
        <v>217</v>
      </c>
      <c r="G5849" t="str">
        <f>"04-K02-03"</f>
        <v>04-K02-03</v>
      </c>
      <c r="H5849">
        <v>1.2859</v>
      </c>
      <c r="I5849" t="s">
        <v>4286</v>
      </c>
      <c r="J5849" t="s">
        <v>14</v>
      </c>
      <c r="K5849" t="str">
        <f>"1F1"</f>
        <v>1F1</v>
      </c>
      <c r="L5849" t="s">
        <v>15</v>
      </c>
    </row>
    <row r="5850" spans="1:12" x14ac:dyDescent="0.25">
      <c r="A5850" t="str">
        <f>"530911238"</f>
        <v>530911238</v>
      </c>
      <c r="B5850" t="str">
        <f t="shared" si="300"/>
        <v>89301000</v>
      </c>
      <c r="C5850" s="1">
        <v>44481</v>
      </c>
      <c r="D5850" s="1">
        <v>44487</v>
      </c>
      <c r="E5850">
        <v>1</v>
      </c>
      <c r="F5850" t="s">
        <v>4287</v>
      </c>
      <c r="G5850" t="str">
        <f>"17-C05-04"</f>
        <v>17-C05-04</v>
      </c>
      <c r="H5850">
        <v>0.7712</v>
      </c>
      <c r="I5850" t="s">
        <v>4288</v>
      </c>
      <c r="J5850" t="s">
        <v>14</v>
      </c>
      <c r="K5850" t="str">
        <f>"2F2"</f>
        <v>2F2</v>
      </c>
      <c r="L5850" t="s">
        <v>15</v>
      </c>
    </row>
    <row r="5851" spans="1:12" x14ac:dyDescent="0.25">
      <c r="A5851" t="str">
        <f>"530913253"</f>
        <v>530913253</v>
      </c>
      <c r="B5851" t="str">
        <f t="shared" si="300"/>
        <v>89301000</v>
      </c>
      <c r="C5851" s="1">
        <v>44326</v>
      </c>
      <c r="D5851" s="1">
        <v>44334</v>
      </c>
      <c r="E5851">
        <v>5</v>
      </c>
      <c r="F5851" t="s">
        <v>609</v>
      </c>
      <c r="G5851" t="str">
        <f>"08-I16-01"</f>
        <v>08-I16-01</v>
      </c>
      <c r="H5851">
        <v>2.7368000000000001</v>
      </c>
      <c r="I5851" t="s">
        <v>4289</v>
      </c>
      <c r="J5851" t="s">
        <v>17</v>
      </c>
      <c r="K5851" t="str">
        <f>"5F3"</f>
        <v>5F3</v>
      </c>
      <c r="L5851" t="s">
        <v>15</v>
      </c>
    </row>
    <row r="5852" spans="1:12" x14ac:dyDescent="0.25">
      <c r="A5852" t="str">
        <f>"530916275"</f>
        <v>530916275</v>
      </c>
      <c r="B5852" t="str">
        <f t="shared" si="300"/>
        <v>89301000</v>
      </c>
      <c r="C5852" s="1">
        <v>44211</v>
      </c>
      <c r="D5852" s="1">
        <v>44216</v>
      </c>
      <c r="E5852">
        <v>1</v>
      </c>
      <c r="F5852" t="s">
        <v>217</v>
      </c>
      <c r="G5852" t="str">
        <f>"04-K02-03"</f>
        <v>04-K02-03</v>
      </c>
      <c r="H5852">
        <v>1.2859</v>
      </c>
      <c r="I5852" t="s">
        <v>4290</v>
      </c>
      <c r="J5852" t="s">
        <v>14</v>
      </c>
      <c r="K5852" t="str">
        <f>"1F5"</f>
        <v>1F5</v>
      </c>
      <c r="L5852" t="s">
        <v>15</v>
      </c>
    </row>
    <row r="5853" spans="1:12" x14ac:dyDescent="0.25">
      <c r="A5853" t="str">
        <f>"530919263"</f>
        <v>530919263</v>
      </c>
      <c r="B5853" t="str">
        <f t="shared" si="300"/>
        <v>89301000</v>
      </c>
      <c r="C5853" s="1">
        <v>44349</v>
      </c>
      <c r="D5853" s="1">
        <v>44361</v>
      </c>
      <c r="E5853">
        <v>1</v>
      </c>
      <c r="F5853" t="s">
        <v>2544</v>
      </c>
      <c r="G5853" t="str">
        <f>"04-I02-04"</f>
        <v>04-I02-04</v>
      </c>
      <c r="H5853">
        <v>3.1617999999999999</v>
      </c>
      <c r="I5853" t="s">
        <v>4291</v>
      </c>
      <c r="J5853" t="s">
        <v>106</v>
      </c>
      <c r="K5853" t="str">
        <f>"5F1"</f>
        <v>5F1</v>
      </c>
      <c r="L5853" t="s">
        <v>15</v>
      </c>
    </row>
    <row r="5854" spans="1:12" x14ac:dyDescent="0.25">
      <c r="A5854" t="str">
        <f>"530924044"</f>
        <v>530924044</v>
      </c>
      <c r="B5854" t="str">
        <f t="shared" si="300"/>
        <v>89301000</v>
      </c>
      <c r="C5854" s="1">
        <v>44443</v>
      </c>
      <c r="D5854" s="1">
        <v>44463</v>
      </c>
      <c r="E5854">
        <v>1</v>
      </c>
      <c r="F5854" t="s">
        <v>1721</v>
      </c>
      <c r="G5854" t="str">
        <f>"11-M02-02"</f>
        <v>11-M02-02</v>
      </c>
      <c r="H5854">
        <v>2.7364000000000002</v>
      </c>
      <c r="I5854" t="s">
        <v>4292</v>
      </c>
      <c r="J5854" t="s">
        <v>14</v>
      </c>
      <c r="K5854" t="str">
        <f>"1F1"</f>
        <v>1F1</v>
      </c>
      <c r="L5854" t="s">
        <v>15</v>
      </c>
    </row>
    <row r="5855" spans="1:12" x14ac:dyDescent="0.25">
      <c r="A5855" t="str">
        <f>"530926377"</f>
        <v>530926377</v>
      </c>
      <c r="B5855" t="str">
        <f t="shared" si="300"/>
        <v>89301000</v>
      </c>
      <c r="C5855" s="1">
        <v>44321</v>
      </c>
      <c r="D5855" s="1">
        <v>44323</v>
      </c>
      <c r="E5855">
        <v>1</v>
      </c>
      <c r="F5855" t="s">
        <v>874</v>
      </c>
      <c r="G5855" t="str">
        <f>"07-K03-02"</f>
        <v>07-K03-02</v>
      </c>
      <c r="H5855">
        <v>0.53059999999999996</v>
      </c>
      <c r="I5855" t="s">
        <v>4293</v>
      </c>
      <c r="J5855" t="s">
        <v>14</v>
      </c>
      <c r="K5855" t="str">
        <f>"1F5"</f>
        <v>1F5</v>
      </c>
      <c r="L5855" t="s">
        <v>15</v>
      </c>
    </row>
    <row r="5856" spans="1:12" x14ac:dyDescent="0.25">
      <c r="A5856" t="str">
        <f>"530926377"</f>
        <v>530926377</v>
      </c>
      <c r="B5856" t="str">
        <f t="shared" si="300"/>
        <v>89301000</v>
      </c>
      <c r="C5856" s="1">
        <v>44332</v>
      </c>
      <c r="D5856" s="1">
        <v>44334</v>
      </c>
      <c r="E5856">
        <v>1</v>
      </c>
      <c r="F5856" t="s">
        <v>174</v>
      </c>
      <c r="G5856" t="str">
        <f>"12-I14-00"</f>
        <v>12-I14-00</v>
      </c>
      <c r="H5856">
        <v>0.44350000000000001</v>
      </c>
      <c r="I5856" t="s">
        <v>4294</v>
      </c>
      <c r="J5856" t="s">
        <v>14</v>
      </c>
      <c r="K5856" t="str">
        <f>"7F6"</f>
        <v>7F6</v>
      </c>
      <c r="L5856" t="s">
        <v>15</v>
      </c>
    </row>
    <row r="5857" spans="1:12" x14ac:dyDescent="0.25">
      <c r="A5857" t="str">
        <f>"530929353"</f>
        <v>530929353</v>
      </c>
      <c r="B5857" t="str">
        <f t="shared" si="300"/>
        <v>89301000</v>
      </c>
      <c r="C5857" s="1">
        <v>44404</v>
      </c>
      <c r="D5857" s="1">
        <v>44406</v>
      </c>
      <c r="E5857">
        <v>1</v>
      </c>
      <c r="F5857" t="s">
        <v>31</v>
      </c>
      <c r="G5857" t="str">
        <f>"08-I04-02"</f>
        <v>08-I04-02</v>
      </c>
      <c r="H5857">
        <v>1.6718999999999999</v>
      </c>
      <c r="I5857" t="s">
        <v>1557</v>
      </c>
      <c r="J5857" t="s">
        <v>17</v>
      </c>
      <c r="K5857" t="str">
        <f>"5F6"</f>
        <v>5F6</v>
      </c>
      <c r="L5857" t="s">
        <v>15</v>
      </c>
    </row>
    <row r="5858" spans="1:12" x14ac:dyDescent="0.25">
      <c r="A5858" t="str">
        <f>"531003240"</f>
        <v>531003240</v>
      </c>
      <c r="B5858" t="str">
        <f t="shared" si="300"/>
        <v>89301000</v>
      </c>
      <c r="C5858" s="1">
        <v>44312</v>
      </c>
      <c r="D5858" s="1">
        <v>44318</v>
      </c>
      <c r="E5858">
        <v>1</v>
      </c>
      <c r="F5858" t="s">
        <v>2585</v>
      </c>
      <c r="G5858" t="str">
        <f>"12-I02-01"</f>
        <v>12-I02-01</v>
      </c>
      <c r="H5858">
        <v>3.1240999999999999</v>
      </c>
      <c r="I5858" t="s">
        <v>4295</v>
      </c>
      <c r="J5858" t="s">
        <v>14</v>
      </c>
      <c r="K5858" t="str">
        <f>"7F6"</f>
        <v>7F6</v>
      </c>
      <c r="L5858" t="s">
        <v>15</v>
      </c>
    </row>
    <row r="5859" spans="1:12" x14ac:dyDescent="0.25">
      <c r="A5859" t="str">
        <f>"531003241"</f>
        <v>531003241</v>
      </c>
      <c r="B5859" t="str">
        <f t="shared" si="300"/>
        <v>89301000</v>
      </c>
      <c r="C5859" s="1">
        <v>44365</v>
      </c>
      <c r="D5859" s="1">
        <v>44371</v>
      </c>
      <c r="E5859">
        <v>1</v>
      </c>
      <c r="F5859" t="s">
        <v>1555</v>
      </c>
      <c r="G5859" t="str">
        <f>"05-K12-02"</f>
        <v>05-K12-02</v>
      </c>
      <c r="H5859">
        <v>0.53600000000000003</v>
      </c>
      <c r="I5859" t="s">
        <v>4296</v>
      </c>
      <c r="J5859" t="s">
        <v>14</v>
      </c>
      <c r="K5859" t="str">
        <f>"5F1"</f>
        <v>5F1</v>
      </c>
      <c r="L5859" t="s">
        <v>15</v>
      </c>
    </row>
    <row r="5860" spans="1:12" x14ac:dyDescent="0.25">
      <c r="A5860" t="str">
        <f>"531003366"</f>
        <v>531003366</v>
      </c>
      <c r="B5860" t="str">
        <f t="shared" si="300"/>
        <v>89301000</v>
      </c>
      <c r="C5860" s="1">
        <v>44234</v>
      </c>
      <c r="D5860" s="1">
        <v>44237</v>
      </c>
      <c r="E5860">
        <v>1</v>
      </c>
      <c r="F5860" t="s">
        <v>2365</v>
      </c>
      <c r="G5860" t="str">
        <f>"05-M06-08"</f>
        <v>05-M06-08</v>
      </c>
      <c r="H5860">
        <v>1.4719</v>
      </c>
      <c r="I5860" t="s">
        <v>1684</v>
      </c>
      <c r="J5860" t="s">
        <v>17</v>
      </c>
      <c r="K5860" t="str">
        <f>"1F7"</f>
        <v>1F7</v>
      </c>
      <c r="L5860" t="s">
        <v>15</v>
      </c>
    </row>
    <row r="5861" spans="1:12" x14ac:dyDescent="0.25">
      <c r="A5861" t="str">
        <f>"531007235"</f>
        <v>531007235</v>
      </c>
      <c r="B5861" t="str">
        <f t="shared" si="300"/>
        <v>89301000</v>
      </c>
      <c r="C5861" s="1">
        <v>44378</v>
      </c>
      <c r="D5861" s="1">
        <v>44381</v>
      </c>
      <c r="E5861">
        <v>1</v>
      </c>
      <c r="F5861" t="s">
        <v>2407</v>
      </c>
      <c r="G5861" t="str">
        <f>"08-M03-05"</f>
        <v>08-M03-05</v>
      </c>
      <c r="H5861">
        <v>0.51759999999999995</v>
      </c>
      <c r="I5861" t="s">
        <v>4297</v>
      </c>
      <c r="J5861" t="s">
        <v>14</v>
      </c>
      <c r="K5861" t="str">
        <f>"6F6"</f>
        <v>6F6</v>
      </c>
      <c r="L5861" t="s">
        <v>15</v>
      </c>
    </row>
    <row r="5862" spans="1:12" x14ac:dyDescent="0.25">
      <c r="A5862" t="str">
        <f>"531011212"</f>
        <v>531011212</v>
      </c>
      <c r="B5862" t="str">
        <f t="shared" si="300"/>
        <v>89301000</v>
      </c>
      <c r="C5862" s="1">
        <v>44462</v>
      </c>
      <c r="D5862" s="1">
        <v>44469</v>
      </c>
      <c r="E5862">
        <v>1</v>
      </c>
      <c r="F5862" t="s">
        <v>4298</v>
      </c>
      <c r="G5862" t="str">
        <f>"06-I12-03"</f>
        <v>06-I12-03</v>
      </c>
      <c r="H5862">
        <v>1.8894</v>
      </c>
      <c r="I5862" t="s">
        <v>4299</v>
      </c>
      <c r="J5862" t="s">
        <v>14</v>
      </c>
      <c r="K5862" t="str">
        <f>"5F1"</f>
        <v>5F1</v>
      </c>
      <c r="L5862" t="s">
        <v>15</v>
      </c>
    </row>
    <row r="5863" spans="1:12" x14ac:dyDescent="0.25">
      <c r="A5863" t="str">
        <f>"531012129"</f>
        <v>531012129</v>
      </c>
      <c r="B5863" t="str">
        <f t="shared" si="300"/>
        <v>89301000</v>
      </c>
      <c r="C5863" s="1">
        <v>44377</v>
      </c>
      <c r="D5863" s="1">
        <v>44379</v>
      </c>
      <c r="E5863">
        <v>4</v>
      </c>
      <c r="F5863" t="s">
        <v>300</v>
      </c>
      <c r="G5863" t="str">
        <f>"11-M05-02"</f>
        <v>11-M05-02</v>
      </c>
      <c r="H5863">
        <v>0.67090000000000005</v>
      </c>
      <c r="I5863" t="s">
        <v>4300</v>
      </c>
      <c r="J5863" t="s">
        <v>17</v>
      </c>
      <c r="K5863" t="str">
        <f>"7F6"</f>
        <v>7F6</v>
      </c>
      <c r="L5863" t="s">
        <v>15</v>
      </c>
    </row>
    <row r="5864" spans="1:12" x14ac:dyDescent="0.25">
      <c r="A5864" t="str">
        <f>"531012129"</f>
        <v>531012129</v>
      </c>
      <c r="B5864" t="str">
        <f t="shared" si="300"/>
        <v>89301000</v>
      </c>
      <c r="C5864" s="1">
        <v>44398</v>
      </c>
      <c r="D5864" s="1">
        <v>44400</v>
      </c>
      <c r="E5864">
        <v>4</v>
      </c>
      <c r="F5864" t="s">
        <v>300</v>
      </c>
      <c r="G5864" t="str">
        <f>"11-M05-01"</f>
        <v>11-M05-01</v>
      </c>
      <c r="H5864">
        <v>1.2476</v>
      </c>
      <c r="I5864" t="s">
        <v>4301</v>
      </c>
      <c r="J5864" t="s">
        <v>17</v>
      </c>
      <c r="K5864" t="str">
        <f>"7F6"</f>
        <v>7F6</v>
      </c>
      <c r="L5864" t="s">
        <v>15</v>
      </c>
    </row>
    <row r="5865" spans="1:12" x14ac:dyDescent="0.25">
      <c r="A5865" t="str">
        <f>"531023020"</f>
        <v>531023020</v>
      </c>
      <c r="B5865" t="str">
        <f t="shared" si="300"/>
        <v>89301000</v>
      </c>
      <c r="C5865" s="1">
        <v>44287</v>
      </c>
      <c r="D5865" s="1">
        <v>44302</v>
      </c>
      <c r="E5865">
        <v>1</v>
      </c>
      <c r="F5865" t="s">
        <v>3929</v>
      </c>
      <c r="G5865" t="str">
        <f>"19-K03-03"</f>
        <v>19-K03-03</v>
      </c>
      <c r="H5865">
        <v>0.93169999999999997</v>
      </c>
      <c r="I5865" t="s">
        <v>4302</v>
      </c>
      <c r="J5865" t="s">
        <v>27</v>
      </c>
      <c r="K5865" t="str">
        <f>"3F5"</f>
        <v>3F5</v>
      </c>
      <c r="L5865" t="s">
        <v>15</v>
      </c>
    </row>
    <row r="5866" spans="1:12" x14ac:dyDescent="0.25">
      <c r="A5866" t="str">
        <f>"531031082"</f>
        <v>531031082</v>
      </c>
      <c r="B5866" t="str">
        <f t="shared" si="300"/>
        <v>89301000</v>
      </c>
      <c r="C5866" s="1">
        <v>44361</v>
      </c>
      <c r="D5866" s="1">
        <v>44366</v>
      </c>
      <c r="E5866">
        <v>1</v>
      </c>
      <c r="F5866" t="s">
        <v>2232</v>
      </c>
      <c r="G5866" t="str">
        <f>"11-I08-03"</f>
        <v>11-I08-03</v>
      </c>
      <c r="H5866">
        <v>2.0676999999999999</v>
      </c>
      <c r="J5866" t="s">
        <v>17</v>
      </c>
      <c r="K5866" t="str">
        <f>"7F6"</f>
        <v>7F6</v>
      </c>
      <c r="L5866" t="s">
        <v>15</v>
      </c>
    </row>
    <row r="5867" spans="1:12" x14ac:dyDescent="0.25">
      <c r="A5867" t="str">
        <f>"531108056"</f>
        <v>531108056</v>
      </c>
      <c r="B5867" t="str">
        <f t="shared" si="300"/>
        <v>89301000</v>
      </c>
      <c r="C5867" s="1">
        <v>44279</v>
      </c>
      <c r="D5867" s="1">
        <v>44279</v>
      </c>
      <c r="E5867">
        <v>1</v>
      </c>
      <c r="F5867" t="s">
        <v>1557</v>
      </c>
      <c r="G5867" t="str">
        <f>"05-M06-08"</f>
        <v>05-M06-08</v>
      </c>
      <c r="H5867">
        <v>1.1200000000000001</v>
      </c>
      <c r="I5867" t="s">
        <v>2773</v>
      </c>
      <c r="J5867" t="s">
        <v>17</v>
      </c>
      <c r="K5867" t="str">
        <f>"1F1"</f>
        <v>1F1</v>
      </c>
      <c r="L5867" t="s">
        <v>15</v>
      </c>
    </row>
    <row r="5868" spans="1:12" x14ac:dyDescent="0.25">
      <c r="A5868" t="str">
        <f>"531111236"</f>
        <v>531111236</v>
      </c>
      <c r="B5868" t="str">
        <f t="shared" si="300"/>
        <v>89301000</v>
      </c>
      <c r="C5868" s="1">
        <v>44500</v>
      </c>
      <c r="D5868" s="1">
        <v>44510</v>
      </c>
      <c r="E5868">
        <v>1</v>
      </c>
      <c r="F5868" t="s">
        <v>1953</v>
      </c>
      <c r="G5868" t="str">
        <f>"07-I01-02"</f>
        <v>07-I01-02</v>
      </c>
      <c r="H5868">
        <v>5.4947999999999997</v>
      </c>
      <c r="I5868" t="s">
        <v>4303</v>
      </c>
      <c r="J5868" t="s">
        <v>17</v>
      </c>
      <c r="K5868" t="str">
        <f>"5F1"</f>
        <v>5F1</v>
      </c>
      <c r="L5868" t="s">
        <v>15</v>
      </c>
    </row>
    <row r="5869" spans="1:12" x14ac:dyDescent="0.25">
      <c r="A5869" t="str">
        <f>"531112201"</f>
        <v>531112201</v>
      </c>
      <c r="B5869" t="str">
        <f t="shared" si="300"/>
        <v>89301000</v>
      </c>
      <c r="C5869" s="1">
        <v>44411</v>
      </c>
      <c r="D5869" s="1">
        <v>44413</v>
      </c>
      <c r="E5869">
        <v>1</v>
      </c>
      <c r="F5869" t="s">
        <v>2004</v>
      </c>
      <c r="G5869" t="str">
        <f>"05-M06-06"</f>
        <v>05-M06-06</v>
      </c>
      <c r="H5869">
        <v>1.7652000000000001</v>
      </c>
      <c r="I5869" t="s">
        <v>4304</v>
      </c>
      <c r="J5869" t="s">
        <v>17</v>
      </c>
      <c r="K5869" t="str">
        <f>"1T1"</f>
        <v>1T1</v>
      </c>
      <c r="L5869" t="s">
        <v>15</v>
      </c>
    </row>
    <row r="5870" spans="1:12" x14ac:dyDescent="0.25">
      <c r="A5870" t="str">
        <f>"531112232"</f>
        <v>531112232</v>
      </c>
      <c r="B5870" t="str">
        <f t="shared" si="300"/>
        <v>89301000</v>
      </c>
      <c r="C5870" s="1">
        <v>44532</v>
      </c>
      <c r="D5870" s="1">
        <v>44538</v>
      </c>
      <c r="E5870">
        <v>1</v>
      </c>
      <c r="F5870" t="s">
        <v>2585</v>
      </c>
      <c r="G5870" t="str">
        <f>"12-I03-01"</f>
        <v>12-I03-01</v>
      </c>
      <c r="H5870">
        <v>2.6785999999999999</v>
      </c>
      <c r="I5870" t="s">
        <v>1620</v>
      </c>
      <c r="J5870" t="s">
        <v>14</v>
      </c>
      <c r="K5870" t="str">
        <f>"7F6"</f>
        <v>7F6</v>
      </c>
      <c r="L5870" t="s">
        <v>15</v>
      </c>
    </row>
    <row r="5871" spans="1:12" x14ac:dyDescent="0.25">
      <c r="A5871" t="str">
        <f>"531114123"</f>
        <v>531114123</v>
      </c>
      <c r="B5871" t="str">
        <f t="shared" si="300"/>
        <v>89301000</v>
      </c>
      <c r="C5871" s="1">
        <v>44487</v>
      </c>
      <c r="D5871" s="1">
        <v>44490</v>
      </c>
      <c r="E5871">
        <v>1</v>
      </c>
      <c r="F5871" t="s">
        <v>2062</v>
      </c>
      <c r="G5871" t="str">
        <f>"06-M01-02"</f>
        <v>06-M01-02</v>
      </c>
      <c r="H5871">
        <v>1.2191000000000001</v>
      </c>
      <c r="I5871" t="s">
        <v>4305</v>
      </c>
      <c r="J5871" t="s">
        <v>14</v>
      </c>
      <c r="K5871" t="str">
        <f>"1F5"</f>
        <v>1F5</v>
      </c>
      <c r="L5871" t="s">
        <v>15</v>
      </c>
    </row>
    <row r="5872" spans="1:12" x14ac:dyDescent="0.25">
      <c r="A5872" t="str">
        <f>"531114123"</f>
        <v>531114123</v>
      </c>
      <c r="B5872" t="str">
        <f t="shared" si="300"/>
        <v>89301000</v>
      </c>
      <c r="C5872" s="1">
        <v>44322</v>
      </c>
      <c r="D5872" s="1">
        <v>44327</v>
      </c>
      <c r="E5872">
        <v>1</v>
      </c>
      <c r="F5872" t="s">
        <v>1599</v>
      </c>
      <c r="G5872" t="str">
        <f>"05-K07-05"</f>
        <v>05-K07-05</v>
      </c>
      <c r="H5872">
        <v>0.81410000000000005</v>
      </c>
      <c r="I5872" t="s">
        <v>1842</v>
      </c>
      <c r="J5872" t="s">
        <v>14</v>
      </c>
      <c r="K5872" t="str">
        <f>"1F7"</f>
        <v>1F7</v>
      </c>
      <c r="L5872" t="s">
        <v>15</v>
      </c>
    </row>
    <row r="5873" spans="1:12" x14ac:dyDescent="0.25">
      <c r="A5873" t="str">
        <f>"531118046"</f>
        <v>531118046</v>
      </c>
      <c r="B5873" t="str">
        <f t="shared" si="300"/>
        <v>89301000</v>
      </c>
      <c r="C5873" s="1">
        <v>44512</v>
      </c>
      <c r="D5873" s="1">
        <v>44513</v>
      </c>
      <c r="E5873">
        <v>1</v>
      </c>
      <c r="F5873" t="s">
        <v>1557</v>
      </c>
      <c r="G5873" t="str">
        <f>"05-M06-08"</f>
        <v>05-M06-08</v>
      </c>
      <c r="H5873">
        <v>1.4719</v>
      </c>
      <c r="I5873" t="s">
        <v>4306</v>
      </c>
      <c r="J5873" t="s">
        <v>17</v>
      </c>
      <c r="K5873" t="str">
        <f>"1F7"</f>
        <v>1F7</v>
      </c>
      <c r="L5873" t="s">
        <v>15</v>
      </c>
    </row>
    <row r="5874" spans="1:12" x14ac:dyDescent="0.25">
      <c r="A5874" t="str">
        <f>"531118105"</f>
        <v>531118105</v>
      </c>
      <c r="B5874" t="str">
        <f t="shared" si="300"/>
        <v>89301000</v>
      </c>
      <c r="C5874" s="1">
        <v>44252</v>
      </c>
      <c r="D5874" s="1">
        <v>44266</v>
      </c>
      <c r="E5874">
        <v>4</v>
      </c>
      <c r="F5874" t="s">
        <v>4307</v>
      </c>
      <c r="G5874" t="str">
        <f>"03-R01-08"</f>
        <v>03-R01-08</v>
      </c>
      <c r="H5874">
        <v>1.0424</v>
      </c>
      <c r="I5874" t="s">
        <v>4308</v>
      </c>
      <c r="J5874" t="s">
        <v>14</v>
      </c>
      <c r="K5874" t="str">
        <f>"4F2"</f>
        <v>4F2</v>
      </c>
      <c r="L5874" t="s">
        <v>15</v>
      </c>
    </row>
    <row r="5875" spans="1:12" x14ac:dyDescent="0.25">
      <c r="A5875" t="str">
        <f>"531118212"</f>
        <v>531118212</v>
      </c>
      <c r="B5875" t="str">
        <f t="shared" si="300"/>
        <v>89301000</v>
      </c>
      <c r="C5875" s="1">
        <v>44494</v>
      </c>
      <c r="D5875" s="1">
        <v>44496</v>
      </c>
      <c r="E5875">
        <v>8</v>
      </c>
      <c r="F5875" t="s">
        <v>290</v>
      </c>
      <c r="G5875" t="str">
        <f>"05-K06-01"</f>
        <v>05-K06-01</v>
      </c>
      <c r="H5875">
        <v>2.5053000000000001</v>
      </c>
      <c r="I5875" t="s">
        <v>4309</v>
      </c>
      <c r="J5875" t="s">
        <v>14</v>
      </c>
      <c r="K5875" t="str">
        <f>"7T8"</f>
        <v>7T8</v>
      </c>
      <c r="L5875" t="s">
        <v>15</v>
      </c>
    </row>
    <row r="5876" spans="1:12" x14ac:dyDescent="0.25">
      <c r="A5876" t="str">
        <f>"531121122"</f>
        <v>531121122</v>
      </c>
      <c r="B5876" t="str">
        <f t="shared" si="300"/>
        <v>89301000</v>
      </c>
      <c r="C5876" s="1">
        <v>44440</v>
      </c>
      <c r="D5876" s="1">
        <v>44449</v>
      </c>
      <c r="E5876">
        <v>1</v>
      </c>
      <c r="F5876" t="s">
        <v>1679</v>
      </c>
      <c r="G5876" t="str">
        <f>"11-M06-02"</f>
        <v>11-M06-02</v>
      </c>
      <c r="H5876">
        <v>0.90400000000000003</v>
      </c>
      <c r="I5876" t="s">
        <v>4310</v>
      </c>
      <c r="J5876" t="s">
        <v>17</v>
      </c>
      <c r="K5876" t="str">
        <f>"7F6"</f>
        <v>7F6</v>
      </c>
      <c r="L5876" t="s">
        <v>15</v>
      </c>
    </row>
    <row r="5877" spans="1:12" x14ac:dyDescent="0.25">
      <c r="A5877" t="str">
        <f>"531201090"</f>
        <v>531201090</v>
      </c>
      <c r="B5877" t="str">
        <f t="shared" si="300"/>
        <v>89301000</v>
      </c>
      <c r="C5877" s="1">
        <v>44244</v>
      </c>
      <c r="D5877" s="1">
        <v>44245</v>
      </c>
      <c r="E5877">
        <v>1</v>
      </c>
      <c r="F5877" t="s">
        <v>2731</v>
      </c>
      <c r="G5877" t="str">
        <f>"02-I13-02"</f>
        <v>02-I13-02</v>
      </c>
      <c r="H5877">
        <v>0.376</v>
      </c>
      <c r="J5877" t="s">
        <v>14</v>
      </c>
      <c r="K5877" t="str">
        <f>"7F5"</f>
        <v>7F5</v>
      </c>
      <c r="L5877" t="s">
        <v>15</v>
      </c>
    </row>
    <row r="5878" spans="1:12" x14ac:dyDescent="0.25">
      <c r="A5878" t="str">
        <f>"531207155"</f>
        <v>531207155</v>
      </c>
      <c r="B5878" t="str">
        <f t="shared" si="300"/>
        <v>89301000</v>
      </c>
      <c r="C5878" s="1">
        <v>44322</v>
      </c>
      <c r="D5878" s="1">
        <v>44324</v>
      </c>
      <c r="E5878">
        <v>1</v>
      </c>
      <c r="F5878" t="s">
        <v>1606</v>
      </c>
      <c r="G5878" t="str">
        <f>"05-M05-02"</f>
        <v>05-M05-02</v>
      </c>
      <c r="H5878">
        <v>3.516</v>
      </c>
      <c r="J5878" t="s">
        <v>24</v>
      </c>
      <c r="K5878" t="str">
        <f>"1F1"</f>
        <v>1F1</v>
      </c>
      <c r="L5878" t="s">
        <v>15</v>
      </c>
    </row>
    <row r="5879" spans="1:12" x14ac:dyDescent="0.25">
      <c r="A5879" t="str">
        <f>"531210184"</f>
        <v>531210184</v>
      </c>
      <c r="B5879" t="str">
        <f t="shared" si="300"/>
        <v>89301000</v>
      </c>
      <c r="C5879" s="1">
        <v>44406</v>
      </c>
      <c r="D5879" s="1">
        <v>44411</v>
      </c>
      <c r="E5879">
        <v>1</v>
      </c>
      <c r="F5879" t="s">
        <v>4311</v>
      </c>
      <c r="G5879" t="str">
        <f>"06-M01-02"</f>
        <v>06-M01-02</v>
      </c>
      <c r="H5879">
        <v>1.2491000000000001</v>
      </c>
      <c r="I5879" t="s">
        <v>588</v>
      </c>
      <c r="J5879" t="s">
        <v>14</v>
      </c>
      <c r="K5879" t="str">
        <f>"1F5"</f>
        <v>1F5</v>
      </c>
      <c r="L5879" t="s">
        <v>15</v>
      </c>
    </row>
    <row r="5880" spans="1:12" x14ac:dyDescent="0.25">
      <c r="A5880" t="str">
        <f>"531210223"</f>
        <v>531210223</v>
      </c>
      <c r="B5880" t="str">
        <f t="shared" si="300"/>
        <v>89301000</v>
      </c>
      <c r="C5880" s="1">
        <v>44307</v>
      </c>
      <c r="D5880" s="1">
        <v>44314</v>
      </c>
      <c r="E5880">
        <v>1</v>
      </c>
      <c r="F5880" t="s">
        <v>3158</v>
      </c>
      <c r="G5880" t="str">
        <f>"05-M04-04"</f>
        <v>05-M04-04</v>
      </c>
      <c r="H5880">
        <v>2.15</v>
      </c>
      <c r="I5880" t="s">
        <v>2321</v>
      </c>
      <c r="J5880" t="s">
        <v>17</v>
      </c>
      <c r="K5880" t="str">
        <f>"5F1"</f>
        <v>5F1</v>
      </c>
      <c r="L5880" t="s">
        <v>15</v>
      </c>
    </row>
    <row r="5881" spans="1:12" x14ac:dyDescent="0.25">
      <c r="A5881" t="str">
        <f>"531214222"</f>
        <v>531214222</v>
      </c>
      <c r="B5881" t="str">
        <f t="shared" si="300"/>
        <v>89301000</v>
      </c>
      <c r="C5881" s="1">
        <v>44191</v>
      </c>
      <c r="D5881" s="1">
        <v>44201</v>
      </c>
      <c r="E5881">
        <v>8</v>
      </c>
      <c r="F5881" t="s">
        <v>217</v>
      </c>
      <c r="G5881" t="str">
        <f>"00-M01-04"</f>
        <v>00-M01-04</v>
      </c>
      <c r="H5881">
        <v>6.85</v>
      </c>
      <c r="I5881" t="s">
        <v>4312</v>
      </c>
      <c r="J5881" t="s">
        <v>14</v>
      </c>
      <c r="K5881" t="str">
        <f>"1T1"</f>
        <v>1T1</v>
      </c>
      <c r="L5881" t="s">
        <v>15</v>
      </c>
    </row>
    <row r="5882" spans="1:12" x14ac:dyDescent="0.25">
      <c r="A5882" t="str">
        <f>"531215135"</f>
        <v>531215135</v>
      </c>
      <c r="B5882" t="str">
        <f t="shared" si="300"/>
        <v>89301000</v>
      </c>
      <c r="C5882" s="1">
        <v>44202</v>
      </c>
      <c r="D5882" s="1">
        <v>44215</v>
      </c>
      <c r="E5882">
        <v>8</v>
      </c>
      <c r="F5882" t="s">
        <v>479</v>
      </c>
      <c r="G5882" t="str">
        <f>"18-I01-02"</f>
        <v>18-I01-02</v>
      </c>
      <c r="H5882">
        <v>3.4746999999999999</v>
      </c>
      <c r="I5882" t="s">
        <v>4313</v>
      </c>
      <c r="J5882" t="s">
        <v>14</v>
      </c>
      <c r="K5882" t="str">
        <f>"1T1"</f>
        <v>1T1</v>
      </c>
      <c r="L5882" t="s">
        <v>15</v>
      </c>
    </row>
    <row r="5883" spans="1:12" x14ac:dyDescent="0.25">
      <c r="A5883" t="str">
        <f>"531221278"</f>
        <v>531221278</v>
      </c>
      <c r="B5883" t="str">
        <f t="shared" si="300"/>
        <v>89301000</v>
      </c>
      <c r="C5883" s="1">
        <v>44479</v>
      </c>
      <c r="D5883" s="1">
        <v>44482</v>
      </c>
      <c r="E5883">
        <v>1</v>
      </c>
      <c r="F5883" t="s">
        <v>232</v>
      </c>
      <c r="G5883" t="str">
        <f>"08-M03-02"</f>
        <v>08-M03-02</v>
      </c>
      <c r="H5883">
        <v>0.86970000000000003</v>
      </c>
      <c r="I5883" t="s">
        <v>30</v>
      </c>
      <c r="J5883" t="s">
        <v>14</v>
      </c>
      <c r="K5883" t="str">
        <f>"6F6"</f>
        <v>6F6</v>
      </c>
      <c r="L5883" t="s">
        <v>15</v>
      </c>
    </row>
    <row r="5884" spans="1:12" x14ac:dyDescent="0.25">
      <c r="A5884" t="str">
        <f>"531222301"</f>
        <v>531222301</v>
      </c>
      <c r="B5884" t="str">
        <f t="shared" si="300"/>
        <v>89301000</v>
      </c>
      <c r="C5884" s="1">
        <v>44300</v>
      </c>
      <c r="D5884" s="1">
        <v>44304</v>
      </c>
      <c r="E5884">
        <v>1</v>
      </c>
      <c r="F5884" t="s">
        <v>1679</v>
      </c>
      <c r="G5884" t="str">
        <f>"11-M06-03"</f>
        <v>11-M06-03</v>
      </c>
      <c r="H5884">
        <v>0.61519999999999997</v>
      </c>
      <c r="I5884" t="s">
        <v>4314</v>
      </c>
      <c r="J5884" t="s">
        <v>17</v>
      </c>
      <c r="K5884" t="str">
        <f>"7F6"</f>
        <v>7F6</v>
      </c>
      <c r="L5884" t="s">
        <v>15</v>
      </c>
    </row>
    <row r="5885" spans="1:12" x14ac:dyDescent="0.25">
      <c r="A5885" t="str">
        <f>"531229239"</f>
        <v>531229239</v>
      </c>
      <c r="B5885" t="str">
        <f t="shared" si="300"/>
        <v>89301000</v>
      </c>
      <c r="C5885" s="1">
        <v>44340</v>
      </c>
      <c r="D5885" s="1">
        <v>44343</v>
      </c>
      <c r="E5885">
        <v>1</v>
      </c>
      <c r="F5885" t="s">
        <v>1555</v>
      </c>
      <c r="G5885" t="str">
        <f>"05-M07-06"</f>
        <v>05-M07-06</v>
      </c>
      <c r="H5885">
        <v>1.2513000000000001</v>
      </c>
      <c r="I5885" t="s">
        <v>4315</v>
      </c>
      <c r="J5885" t="s">
        <v>17</v>
      </c>
      <c r="K5885" t="str">
        <f>"5F1"</f>
        <v>5F1</v>
      </c>
      <c r="L5885" t="s">
        <v>15</v>
      </c>
    </row>
    <row r="5886" spans="1:12" x14ac:dyDescent="0.25">
      <c r="A5886" t="str">
        <f>"531231029"</f>
        <v>531231029</v>
      </c>
      <c r="B5886" t="str">
        <f t="shared" si="300"/>
        <v>89301000</v>
      </c>
      <c r="C5886" s="1">
        <v>44383</v>
      </c>
      <c r="D5886" s="1">
        <v>44389</v>
      </c>
      <c r="E5886">
        <v>1</v>
      </c>
      <c r="F5886" t="s">
        <v>2585</v>
      </c>
      <c r="G5886" t="str">
        <f>"12-I02-01"</f>
        <v>12-I02-01</v>
      </c>
      <c r="H5886">
        <v>3.1240999999999999</v>
      </c>
      <c r="I5886" t="s">
        <v>4316</v>
      </c>
      <c r="J5886" t="s">
        <v>14</v>
      </c>
      <c r="K5886" t="str">
        <f>"7F6"</f>
        <v>7F6</v>
      </c>
      <c r="L5886" t="s">
        <v>15</v>
      </c>
    </row>
    <row r="5887" spans="1:12" x14ac:dyDescent="0.25">
      <c r="A5887" t="str">
        <f>"535102012"</f>
        <v>535102012</v>
      </c>
      <c r="B5887" t="str">
        <f t="shared" si="300"/>
        <v>89301000</v>
      </c>
      <c r="C5887" s="1">
        <v>44351</v>
      </c>
      <c r="D5887" s="1">
        <v>44355</v>
      </c>
      <c r="E5887">
        <v>1</v>
      </c>
      <c r="F5887" t="s">
        <v>2236</v>
      </c>
      <c r="G5887" t="str">
        <f>"10-K04-04"</f>
        <v>10-K04-04</v>
      </c>
      <c r="H5887">
        <v>0.56330000000000002</v>
      </c>
      <c r="I5887" t="s">
        <v>4317</v>
      </c>
      <c r="J5887" t="s">
        <v>14</v>
      </c>
      <c r="K5887" t="str">
        <f>"1F1"</f>
        <v>1F1</v>
      </c>
      <c r="L5887" t="s">
        <v>15</v>
      </c>
    </row>
    <row r="5888" spans="1:12" x14ac:dyDescent="0.25">
      <c r="A5888" t="str">
        <f>"535107065"</f>
        <v>535107065</v>
      </c>
      <c r="B5888" t="str">
        <f t="shared" si="300"/>
        <v>89301000</v>
      </c>
      <c r="C5888" s="1">
        <v>44229</v>
      </c>
      <c r="D5888" s="1">
        <v>44239</v>
      </c>
      <c r="E5888">
        <v>1</v>
      </c>
      <c r="F5888" t="s">
        <v>109</v>
      </c>
      <c r="G5888" t="str">
        <f>"24-M06-01"</f>
        <v>24-M06-01</v>
      </c>
      <c r="H5888">
        <v>1.1548</v>
      </c>
      <c r="I5888" t="s">
        <v>4318</v>
      </c>
      <c r="J5888" t="s">
        <v>14</v>
      </c>
      <c r="K5888" t="str">
        <f>"2F1"</f>
        <v>2F1</v>
      </c>
      <c r="L5888" t="s">
        <v>15</v>
      </c>
    </row>
    <row r="5889" spans="1:12" x14ac:dyDescent="0.25">
      <c r="A5889" t="str">
        <f>"535107065"</f>
        <v>535107065</v>
      </c>
      <c r="B5889" t="str">
        <f t="shared" si="300"/>
        <v>89301000</v>
      </c>
      <c r="C5889" s="1">
        <v>44222</v>
      </c>
      <c r="D5889" s="1">
        <v>44229</v>
      </c>
      <c r="E5889">
        <v>3</v>
      </c>
      <c r="F5889" t="s">
        <v>1894</v>
      </c>
      <c r="G5889" t="str">
        <f>"01-K11-03"</f>
        <v>01-K11-03</v>
      </c>
      <c r="H5889">
        <v>1.5643</v>
      </c>
      <c r="I5889" t="s">
        <v>489</v>
      </c>
      <c r="J5889" t="s">
        <v>14</v>
      </c>
      <c r="K5889" t="str">
        <f>"2F9"</f>
        <v>2F9</v>
      </c>
      <c r="L5889" t="s">
        <v>15</v>
      </c>
    </row>
    <row r="5890" spans="1:12" x14ac:dyDescent="0.25">
      <c r="A5890" t="str">
        <f>"535127316"</f>
        <v>535127316</v>
      </c>
      <c r="B5890" t="str">
        <f t="shared" si="300"/>
        <v>89301000</v>
      </c>
      <c r="C5890" s="1">
        <v>44372</v>
      </c>
      <c r="D5890" s="1">
        <v>44375</v>
      </c>
      <c r="E5890">
        <v>1</v>
      </c>
      <c r="F5890" t="s">
        <v>1683</v>
      </c>
      <c r="G5890" t="str">
        <f>"05-M06-06"</f>
        <v>05-M06-06</v>
      </c>
      <c r="H5890">
        <v>1.7652000000000001</v>
      </c>
      <c r="J5890" t="s">
        <v>17</v>
      </c>
      <c r="K5890" t="str">
        <f>"1F1"</f>
        <v>1F1</v>
      </c>
      <c r="L5890" t="s">
        <v>15</v>
      </c>
    </row>
    <row r="5891" spans="1:12" x14ac:dyDescent="0.25">
      <c r="A5891" t="str">
        <f>"535130139"</f>
        <v>535130139</v>
      </c>
      <c r="B5891" t="str">
        <f t="shared" si="300"/>
        <v>89301000</v>
      </c>
      <c r="C5891" s="1">
        <v>44314</v>
      </c>
      <c r="D5891" s="1">
        <v>44319</v>
      </c>
      <c r="E5891">
        <v>5</v>
      </c>
      <c r="F5891" t="s">
        <v>4319</v>
      </c>
      <c r="G5891" t="str">
        <f>"05-I24-01"</f>
        <v>05-I24-01</v>
      </c>
      <c r="H5891">
        <v>5.1612999999999998</v>
      </c>
      <c r="I5891" t="s">
        <v>4320</v>
      </c>
      <c r="J5891" t="s">
        <v>14</v>
      </c>
      <c r="K5891" t="str">
        <f>"5T3"</f>
        <v>5T3</v>
      </c>
      <c r="L5891" t="s">
        <v>15</v>
      </c>
    </row>
    <row r="5892" spans="1:12" x14ac:dyDescent="0.25">
      <c r="A5892" t="str">
        <f>"535202029"</f>
        <v>535202029</v>
      </c>
      <c r="B5892" t="str">
        <f t="shared" si="300"/>
        <v>89301000</v>
      </c>
      <c r="C5892" s="1">
        <v>44512</v>
      </c>
      <c r="D5892" s="1">
        <v>44530</v>
      </c>
      <c r="E5892">
        <v>2</v>
      </c>
      <c r="F5892" t="s">
        <v>1894</v>
      </c>
      <c r="G5892" t="str">
        <f>"01-K11-03"</f>
        <v>01-K11-03</v>
      </c>
      <c r="H5892">
        <v>1.6665000000000001</v>
      </c>
      <c r="J5892" t="s">
        <v>14</v>
      </c>
      <c r="K5892" t="str">
        <f>"2F9"</f>
        <v>2F9</v>
      </c>
      <c r="L5892" t="s">
        <v>15</v>
      </c>
    </row>
    <row r="5893" spans="1:12" x14ac:dyDescent="0.25">
      <c r="A5893" t="str">
        <f>"535206197"</f>
        <v>535206197</v>
      </c>
      <c r="B5893" t="str">
        <f t="shared" si="300"/>
        <v>89301000</v>
      </c>
      <c r="C5893" s="1">
        <v>44536</v>
      </c>
      <c r="D5893" s="1">
        <v>44542</v>
      </c>
      <c r="E5893">
        <v>1</v>
      </c>
      <c r="F5893" t="s">
        <v>2311</v>
      </c>
      <c r="G5893" t="str">
        <f>"08-I03-08"</f>
        <v>08-I03-08</v>
      </c>
      <c r="H5893">
        <v>2.0605000000000002</v>
      </c>
      <c r="J5893" t="s">
        <v>17</v>
      </c>
      <c r="K5893" t="str">
        <f>"5F6"</f>
        <v>5F6</v>
      </c>
      <c r="L5893" t="s">
        <v>15</v>
      </c>
    </row>
    <row r="5894" spans="1:12" x14ac:dyDescent="0.25">
      <c r="A5894" t="str">
        <f>"535210048"</f>
        <v>535210048</v>
      </c>
      <c r="B5894" t="str">
        <f t="shared" si="300"/>
        <v>89301000</v>
      </c>
      <c r="C5894" s="1">
        <v>44510</v>
      </c>
      <c r="D5894" s="1">
        <v>44514</v>
      </c>
      <c r="E5894">
        <v>1</v>
      </c>
      <c r="F5894" t="s">
        <v>16</v>
      </c>
      <c r="G5894" t="str">
        <f>"08-I04-02"</f>
        <v>08-I04-02</v>
      </c>
      <c r="H5894">
        <v>1.6718999999999999</v>
      </c>
      <c r="I5894" t="s">
        <v>2119</v>
      </c>
      <c r="J5894" t="s">
        <v>17</v>
      </c>
      <c r="K5894" t="str">
        <f>"5F6"</f>
        <v>5F6</v>
      </c>
      <c r="L5894" t="s">
        <v>15</v>
      </c>
    </row>
    <row r="5895" spans="1:12" x14ac:dyDescent="0.25">
      <c r="A5895" t="str">
        <f>"535215035"</f>
        <v>535215035</v>
      </c>
      <c r="B5895" t="str">
        <f t="shared" ref="B5895:B5957" si="301">"89301000"</f>
        <v>89301000</v>
      </c>
      <c r="C5895" s="1">
        <v>44482</v>
      </c>
      <c r="D5895" s="1">
        <v>44485</v>
      </c>
      <c r="E5895">
        <v>1</v>
      </c>
      <c r="F5895" t="s">
        <v>4196</v>
      </c>
      <c r="G5895" t="str">
        <f>"08-M03-01"</f>
        <v>08-M03-01</v>
      </c>
      <c r="H5895">
        <v>1.0429999999999999</v>
      </c>
      <c r="I5895" t="s">
        <v>2595</v>
      </c>
      <c r="J5895" t="s">
        <v>14</v>
      </c>
      <c r="K5895" t="str">
        <f>"6F6"</f>
        <v>6F6</v>
      </c>
      <c r="L5895" t="s">
        <v>15</v>
      </c>
    </row>
    <row r="5896" spans="1:12" x14ac:dyDescent="0.25">
      <c r="A5896" t="str">
        <f>"535216343"</f>
        <v>535216343</v>
      </c>
      <c r="B5896" t="str">
        <f t="shared" si="301"/>
        <v>89301000</v>
      </c>
      <c r="C5896" s="1">
        <v>44279</v>
      </c>
      <c r="D5896" s="1">
        <v>44286</v>
      </c>
      <c r="E5896">
        <v>1</v>
      </c>
      <c r="F5896" t="s">
        <v>2006</v>
      </c>
      <c r="G5896" t="str">
        <f>"06-K13-02"</f>
        <v>06-K13-02</v>
      </c>
      <c r="H5896">
        <v>0.60880000000000001</v>
      </c>
      <c r="I5896" t="s">
        <v>4321</v>
      </c>
      <c r="J5896" t="s">
        <v>14</v>
      </c>
      <c r="K5896" t="str">
        <f>"4F2"</f>
        <v>4F2</v>
      </c>
      <c r="L5896" t="s">
        <v>15</v>
      </c>
    </row>
    <row r="5897" spans="1:12" x14ac:dyDescent="0.25">
      <c r="A5897" t="str">
        <f>"535216343"</f>
        <v>535216343</v>
      </c>
      <c r="B5897" t="str">
        <f t="shared" si="301"/>
        <v>89301000</v>
      </c>
      <c r="C5897" s="1">
        <v>44242</v>
      </c>
      <c r="D5897" s="1">
        <v>44253</v>
      </c>
      <c r="E5897">
        <v>1</v>
      </c>
      <c r="F5897" t="s">
        <v>2006</v>
      </c>
      <c r="G5897" t="str">
        <f>"06-C02-02"</f>
        <v>06-C02-02</v>
      </c>
      <c r="H5897">
        <v>0.58209999999999995</v>
      </c>
      <c r="I5897" t="s">
        <v>4322</v>
      </c>
      <c r="J5897" t="s">
        <v>14</v>
      </c>
      <c r="K5897" t="str">
        <f>"4F2"</f>
        <v>4F2</v>
      </c>
      <c r="L5897" t="s">
        <v>15</v>
      </c>
    </row>
    <row r="5898" spans="1:12" x14ac:dyDescent="0.25">
      <c r="A5898" t="str">
        <f>"535216343"</f>
        <v>535216343</v>
      </c>
      <c r="B5898" t="str">
        <f t="shared" si="301"/>
        <v>89301000</v>
      </c>
      <c r="C5898" s="1">
        <v>44265</v>
      </c>
      <c r="D5898" s="1">
        <v>44267</v>
      </c>
      <c r="E5898">
        <v>1</v>
      </c>
      <c r="F5898" t="s">
        <v>2006</v>
      </c>
      <c r="G5898" t="str">
        <f>"06-C02-02"</f>
        <v>06-C02-02</v>
      </c>
      <c r="H5898">
        <v>0.34710000000000002</v>
      </c>
      <c r="I5898" t="s">
        <v>4167</v>
      </c>
      <c r="J5898" t="s">
        <v>14</v>
      </c>
      <c r="K5898" t="str">
        <f>"4F2"</f>
        <v>4F2</v>
      </c>
      <c r="L5898" t="s">
        <v>15</v>
      </c>
    </row>
    <row r="5899" spans="1:12" x14ac:dyDescent="0.25">
      <c r="A5899" t="str">
        <f>"535221069"</f>
        <v>535221069</v>
      </c>
      <c r="B5899" t="str">
        <f t="shared" si="301"/>
        <v>89301000</v>
      </c>
      <c r="C5899" s="1">
        <v>44264</v>
      </c>
      <c r="D5899" s="1">
        <v>44267</v>
      </c>
      <c r="E5899">
        <v>1</v>
      </c>
      <c r="F5899" t="s">
        <v>1797</v>
      </c>
      <c r="G5899" t="str">
        <f>"11-I17-03"</f>
        <v>11-I17-03</v>
      </c>
      <c r="H5899">
        <v>0.50609999999999999</v>
      </c>
      <c r="I5899" t="s">
        <v>4323</v>
      </c>
      <c r="J5899" t="s">
        <v>14</v>
      </c>
      <c r="K5899" t="str">
        <f>"7F6"</f>
        <v>7F6</v>
      </c>
      <c r="L5899" t="s">
        <v>15</v>
      </c>
    </row>
    <row r="5900" spans="1:12" x14ac:dyDescent="0.25">
      <c r="A5900" t="str">
        <f>"535224277"</f>
        <v>535224277</v>
      </c>
      <c r="B5900" t="str">
        <f t="shared" si="301"/>
        <v>89301000</v>
      </c>
      <c r="C5900" s="1">
        <v>44235</v>
      </c>
      <c r="D5900" s="1">
        <v>44250</v>
      </c>
      <c r="E5900">
        <v>1</v>
      </c>
      <c r="F5900" t="s">
        <v>144</v>
      </c>
      <c r="G5900" t="str">
        <f>"04-I05-03"</f>
        <v>04-I05-03</v>
      </c>
      <c r="H5900">
        <v>2.1143000000000001</v>
      </c>
      <c r="I5900" t="s">
        <v>4324</v>
      </c>
      <c r="J5900" t="s">
        <v>106</v>
      </c>
      <c r="K5900" t="str">
        <f>"5F1"</f>
        <v>5F1</v>
      </c>
      <c r="L5900" t="s">
        <v>15</v>
      </c>
    </row>
    <row r="5901" spans="1:12" x14ac:dyDescent="0.25">
      <c r="A5901" t="str">
        <f>"535306103"</f>
        <v>535306103</v>
      </c>
      <c r="B5901" t="str">
        <f t="shared" si="301"/>
        <v>89301000</v>
      </c>
      <c r="C5901" s="1">
        <v>44475</v>
      </c>
      <c r="D5901" s="1">
        <v>44476</v>
      </c>
      <c r="E5901">
        <v>1</v>
      </c>
      <c r="F5901" t="s">
        <v>41</v>
      </c>
      <c r="G5901" t="str">
        <f>"01-D01-03"</f>
        <v>01-D01-03</v>
      </c>
      <c r="H5901">
        <v>0.158</v>
      </c>
      <c r="I5901" t="s">
        <v>4325</v>
      </c>
      <c r="J5901" t="s">
        <v>14</v>
      </c>
      <c r="K5901" t="str">
        <f>"2F5"</f>
        <v>2F5</v>
      </c>
      <c r="L5901" t="s">
        <v>15</v>
      </c>
    </row>
    <row r="5902" spans="1:12" x14ac:dyDescent="0.25">
      <c r="A5902" t="str">
        <f>"535307084"</f>
        <v>535307084</v>
      </c>
      <c r="B5902" t="str">
        <f t="shared" si="301"/>
        <v>89301000</v>
      </c>
      <c r="C5902" s="1">
        <v>44402</v>
      </c>
      <c r="D5902" s="1">
        <v>44404</v>
      </c>
      <c r="E5902">
        <v>1</v>
      </c>
      <c r="F5902" t="s">
        <v>2721</v>
      </c>
      <c r="G5902" t="str">
        <f>"02-I08-02"</f>
        <v>02-I08-02</v>
      </c>
      <c r="H5902">
        <v>0.55269999999999997</v>
      </c>
      <c r="J5902" t="s">
        <v>17</v>
      </c>
      <c r="K5902" t="str">
        <f>"7F5"</f>
        <v>7F5</v>
      </c>
      <c r="L5902" t="s">
        <v>15</v>
      </c>
    </row>
    <row r="5903" spans="1:12" x14ac:dyDescent="0.25">
      <c r="A5903" t="str">
        <f>"535313059"</f>
        <v>535313059</v>
      </c>
      <c r="B5903" t="str">
        <f t="shared" si="301"/>
        <v>89301000</v>
      </c>
      <c r="C5903" s="1">
        <v>44182</v>
      </c>
      <c r="D5903" s="1">
        <v>44211</v>
      </c>
      <c r="E5903">
        <v>1</v>
      </c>
      <c r="F5903" t="s">
        <v>2623</v>
      </c>
      <c r="G5903" t="str">
        <f>"00-M08-00"</f>
        <v>00-M08-00</v>
      </c>
      <c r="H5903">
        <v>5.5151000000000003</v>
      </c>
      <c r="I5903" t="s">
        <v>4326</v>
      </c>
      <c r="J5903" t="s">
        <v>17</v>
      </c>
      <c r="K5903" t="str">
        <f>"2T2"</f>
        <v>2T2</v>
      </c>
      <c r="L5903" t="s">
        <v>15</v>
      </c>
    </row>
    <row r="5904" spans="1:12" x14ac:dyDescent="0.25">
      <c r="A5904" t="str">
        <f>"535314033"</f>
        <v>535314033</v>
      </c>
      <c r="B5904" t="str">
        <f t="shared" si="301"/>
        <v>89301000</v>
      </c>
      <c r="C5904" s="1">
        <v>44257</v>
      </c>
      <c r="D5904" s="1">
        <v>44260</v>
      </c>
      <c r="E5904">
        <v>1</v>
      </c>
      <c r="F5904" t="s">
        <v>4327</v>
      </c>
      <c r="G5904" t="str">
        <f>"08-M03-05"</f>
        <v>08-M03-05</v>
      </c>
      <c r="H5904">
        <v>0.51759999999999995</v>
      </c>
      <c r="I5904" t="s">
        <v>4328</v>
      </c>
      <c r="J5904" t="s">
        <v>14</v>
      </c>
      <c r="K5904" t="str">
        <f>"5F3"</f>
        <v>5F3</v>
      </c>
      <c r="L5904" t="s">
        <v>15</v>
      </c>
    </row>
    <row r="5905" spans="1:12" x14ac:dyDescent="0.25">
      <c r="A5905" t="str">
        <f>"535314033"</f>
        <v>535314033</v>
      </c>
      <c r="B5905" t="str">
        <f t="shared" si="301"/>
        <v>89301000</v>
      </c>
      <c r="C5905" s="1">
        <v>44517</v>
      </c>
      <c r="D5905" s="1">
        <v>44520</v>
      </c>
      <c r="E5905">
        <v>1</v>
      </c>
      <c r="F5905" t="s">
        <v>3473</v>
      </c>
      <c r="G5905" t="str">
        <f>"08-I22-02"</f>
        <v>08-I22-02</v>
      </c>
      <c r="H5905">
        <v>1.1049</v>
      </c>
      <c r="I5905" t="s">
        <v>395</v>
      </c>
      <c r="J5905" t="s">
        <v>17</v>
      </c>
      <c r="K5905" t="str">
        <f>"5F3"</f>
        <v>5F3</v>
      </c>
      <c r="L5905" t="s">
        <v>15</v>
      </c>
    </row>
    <row r="5906" spans="1:12" x14ac:dyDescent="0.25">
      <c r="A5906" t="str">
        <f>"535328063"</f>
        <v>535328063</v>
      </c>
      <c r="B5906" t="str">
        <f t="shared" si="301"/>
        <v>89301000</v>
      </c>
      <c r="C5906" s="1">
        <v>44270</v>
      </c>
      <c r="D5906" s="1">
        <v>44292</v>
      </c>
      <c r="E5906">
        <v>1</v>
      </c>
      <c r="F5906" t="s">
        <v>217</v>
      </c>
      <c r="G5906" t="str">
        <f>"00-M01-04"</f>
        <v>00-M01-04</v>
      </c>
      <c r="H5906">
        <v>6.85</v>
      </c>
      <c r="I5906" t="s">
        <v>4329</v>
      </c>
      <c r="J5906" t="s">
        <v>14</v>
      </c>
      <c r="K5906" t="str">
        <f>"2F5"</f>
        <v>2F5</v>
      </c>
      <c r="L5906" t="s">
        <v>15</v>
      </c>
    </row>
    <row r="5907" spans="1:12" x14ac:dyDescent="0.25">
      <c r="A5907" t="str">
        <f>"535328064"</f>
        <v>535328064</v>
      </c>
      <c r="B5907" t="str">
        <f t="shared" si="301"/>
        <v>89301000</v>
      </c>
      <c r="C5907" s="1">
        <v>44271</v>
      </c>
      <c r="D5907" s="1">
        <v>44279</v>
      </c>
      <c r="E5907">
        <v>4</v>
      </c>
      <c r="F5907" t="s">
        <v>217</v>
      </c>
      <c r="G5907" t="str">
        <f>"04-K02-03"</f>
        <v>04-K02-03</v>
      </c>
      <c r="H5907">
        <v>1.2859</v>
      </c>
      <c r="I5907" t="s">
        <v>4330</v>
      </c>
      <c r="J5907" t="s">
        <v>14</v>
      </c>
      <c r="K5907" t="str">
        <f>"1F6"</f>
        <v>1F6</v>
      </c>
      <c r="L5907" t="s">
        <v>15</v>
      </c>
    </row>
    <row r="5908" spans="1:12" x14ac:dyDescent="0.25">
      <c r="A5908" t="str">
        <f>"535329167"</f>
        <v>535329167</v>
      </c>
      <c r="B5908" t="str">
        <f t="shared" si="301"/>
        <v>89301000</v>
      </c>
      <c r="C5908" s="1">
        <v>44328</v>
      </c>
      <c r="D5908" s="1">
        <v>44334</v>
      </c>
      <c r="E5908">
        <v>1</v>
      </c>
      <c r="F5908" t="s">
        <v>1558</v>
      </c>
      <c r="G5908" t="str">
        <f>"05-M01-03"</f>
        <v>05-M01-03</v>
      </c>
      <c r="H5908">
        <v>12.3805</v>
      </c>
      <c r="I5908" t="s">
        <v>4331</v>
      </c>
      <c r="J5908" t="s">
        <v>17</v>
      </c>
      <c r="K5908" t="str">
        <f>"1F7"</f>
        <v>1F7</v>
      </c>
      <c r="L5908" t="s">
        <v>15</v>
      </c>
    </row>
    <row r="5909" spans="1:12" x14ac:dyDescent="0.25">
      <c r="A5909" t="str">
        <f>"535329167"</f>
        <v>535329167</v>
      </c>
      <c r="B5909" t="str">
        <f t="shared" si="301"/>
        <v>89301000</v>
      </c>
      <c r="C5909" s="1">
        <v>44292</v>
      </c>
      <c r="D5909" s="1">
        <v>44292</v>
      </c>
      <c r="E5909">
        <v>1</v>
      </c>
      <c r="F5909" t="s">
        <v>1558</v>
      </c>
      <c r="G5909" t="str">
        <f>"05-D01-06"</f>
        <v>05-D01-06</v>
      </c>
      <c r="H5909">
        <v>0.40649999999999997</v>
      </c>
      <c r="I5909" t="s">
        <v>4332</v>
      </c>
      <c r="J5909" t="s">
        <v>14</v>
      </c>
      <c r="K5909" t="str">
        <f>"1F7"</f>
        <v>1F7</v>
      </c>
      <c r="L5909" t="s">
        <v>15</v>
      </c>
    </row>
    <row r="5910" spans="1:12" x14ac:dyDescent="0.25">
      <c r="A5910" t="str">
        <f>"535406087"</f>
        <v>535406087</v>
      </c>
      <c r="B5910" t="str">
        <f t="shared" si="301"/>
        <v>89301000</v>
      </c>
      <c r="C5910" s="1">
        <v>44546</v>
      </c>
      <c r="D5910" s="1">
        <v>44547</v>
      </c>
      <c r="E5910">
        <v>1</v>
      </c>
      <c r="F5910" t="s">
        <v>911</v>
      </c>
      <c r="G5910" t="str">
        <f>"17-K01-02"</f>
        <v>17-K01-02</v>
      </c>
      <c r="H5910">
        <v>0.83789999999999998</v>
      </c>
      <c r="I5910" t="s">
        <v>4333</v>
      </c>
      <c r="J5910" t="s">
        <v>14</v>
      </c>
      <c r="K5910" t="str">
        <f>"2F2"</f>
        <v>2F2</v>
      </c>
      <c r="L5910" t="s">
        <v>15</v>
      </c>
    </row>
    <row r="5911" spans="1:12" x14ac:dyDescent="0.25">
      <c r="A5911" t="str">
        <f>"535406278"</f>
        <v>535406278</v>
      </c>
      <c r="B5911" t="str">
        <f t="shared" si="301"/>
        <v>89301000</v>
      </c>
      <c r="C5911" s="1">
        <v>44391</v>
      </c>
      <c r="D5911" s="1">
        <v>44399</v>
      </c>
      <c r="E5911">
        <v>1</v>
      </c>
      <c r="F5911" t="s">
        <v>2910</v>
      </c>
      <c r="G5911" t="str">
        <f>"06-I05-04"</f>
        <v>06-I05-04</v>
      </c>
      <c r="H5911">
        <v>3.3546</v>
      </c>
      <c r="I5911" t="s">
        <v>4334</v>
      </c>
      <c r="J5911" t="s">
        <v>17</v>
      </c>
      <c r="K5911" t="str">
        <f>"5F1"</f>
        <v>5F1</v>
      </c>
      <c r="L5911" t="s">
        <v>15</v>
      </c>
    </row>
    <row r="5912" spans="1:12" x14ac:dyDescent="0.25">
      <c r="A5912" t="str">
        <f>"535417087"</f>
        <v>535417087</v>
      </c>
      <c r="B5912" t="str">
        <f t="shared" si="301"/>
        <v>89301000</v>
      </c>
      <c r="C5912" s="1">
        <v>44314</v>
      </c>
      <c r="D5912" s="1">
        <v>44316</v>
      </c>
      <c r="E5912">
        <v>1</v>
      </c>
      <c r="F5912" t="s">
        <v>1553</v>
      </c>
      <c r="G5912" t="str">
        <f>"04-K05-02"</f>
        <v>04-K05-02</v>
      </c>
      <c r="H5912">
        <v>1.2657</v>
      </c>
      <c r="I5912" t="s">
        <v>4335</v>
      </c>
      <c r="J5912" t="s">
        <v>14</v>
      </c>
      <c r="K5912" t="str">
        <f>"1F1"</f>
        <v>1F1</v>
      </c>
      <c r="L5912" t="s">
        <v>15</v>
      </c>
    </row>
    <row r="5913" spans="1:12" x14ac:dyDescent="0.25">
      <c r="A5913" t="str">
        <f>"535421205"</f>
        <v>535421205</v>
      </c>
      <c r="B5913" t="str">
        <f t="shared" si="301"/>
        <v>89301000</v>
      </c>
      <c r="C5913" s="1">
        <v>44433</v>
      </c>
      <c r="D5913" s="1">
        <v>44440</v>
      </c>
      <c r="E5913">
        <v>1</v>
      </c>
      <c r="F5913" t="s">
        <v>2120</v>
      </c>
      <c r="G5913" t="str">
        <f>"06-K07-02"</f>
        <v>06-K07-02</v>
      </c>
      <c r="H5913">
        <v>0.46829999999999999</v>
      </c>
      <c r="I5913" t="s">
        <v>348</v>
      </c>
      <c r="J5913" t="s">
        <v>14</v>
      </c>
      <c r="K5913" t="str">
        <f>"5F1"</f>
        <v>5F1</v>
      </c>
      <c r="L5913" t="s">
        <v>15</v>
      </c>
    </row>
    <row r="5914" spans="1:12" x14ac:dyDescent="0.25">
      <c r="A5914" t="str">
        <f>"535421205"</f>
        <v>535421205</v>
      </c>
      <c r="B5914" t="str">
        <f t="shared" si="301"/>
        <v>89301000</v>
      </c>
      <c r="C5914" s="1">
        <v>44487</v>
      </c>
      <c r="D5914" s="1">
        <v>44506</v>
      </c>
      <c r="E5914">
        <v>1</v>
      </c>
      <c r="F5914" t="s">
        <v>2120</v>
      </c>
      <c r="G5914" t="str">
        <f>"06-I07-03"</f>
        <v>06-I07-03</v>
      </c>
      <c r="H5914">
        <v>5.3483000000000001</v>
      </c>
      <c r="I5914" t="s">
        <v>4336</v>
      </c>
      <c r="J5914" t="s">
        <v>17</v>
      </c>
      <c r="K5914" t="str">
        <f>"5F1"</f>
        <v>5F1</v>
      </c>
      <c r="L5914" t="s">
        <v>15</v>
      </c>
    </row>
    <row r="5915" spans="1:12" x14ac:dyDescent="0.25">
      <c r="A5915" t="str">
        <f>"535424031"</f>
        <v>535424031</v>
      </c>
      <c r="B5915" t="str">
        <f t="shared" si="301"/>
        <v>89301000</v>
      </c>
      <c r="C5915" s="1">
        <v>44550</v>
      </c>
      <c r="D5915" s="1">
        <v>44552</v>
      </c>
      <c r="E5915">
        <v>1</v>
      </c>
      <c r="F5915" t="s">
        <v>1716</v>
      </c>
      <c r="G5915" t="str">
        <f>"11-M05-02"</f>
        <v>11-M05-02</v>
      </c>
      <c r="H5915">
        <v>0.66090000000000004</v>
      </c>
      <c r="I5915" t="s">
        <v>300</v>
      </c>
      <c r="J5915" t="s">
        <v>17</v>
      </c>
      <c r="K5915" t="str">
        <f>"7F6"</f>
        <v>7F6</v>
      </c>
      <c r="L5915" t="s">
        <v>15</v>
      </c>
    </row>
    <row r="5916" spans="1:12" x14ac:dyDescent="0.25">
      <c r="A5916" t="str">
        <f>"535426370"</f>
        <v>535426370</v>
      </c>
      <c r="B5916" t="str">
        <f t="shared" si="301"/>
        <v>89301000</v>
      </c>
      <c r="C5916" s="1">
        <v>44522</v>
      </c>
      <c r="D5916" s="1">
        <v>44526</v>
      </c>
      <c r="E5916">
        <v>1</v>
      </c>
      <c r="F5916" t="s">
        <v>1955</v>
      </c>
      <c r="G5916" t="str">
        <f>"01-K04-02"</f>
        <v>01-K04-02</v>
      </c>
      <c r="H5916">
        <v>0.80059999999999998</v>
      </c>
      <c r="I5916" t="s">
        <v>4337</v>
      </c>
      <c r="J5916" t="s">
        <v>14</v>
      </c>
      <c r="K5916" t="str">
        <f>"2F9"</f>
        <v>2F9</v>
      </c>
      <c r="L5916" t="s">
        <v>15</v>
      </c>
    </row>
    <row r="5917" spans="1:12" x14ac:dyDescent="0.25">
      <c r="A5917" t="str">
        <f>"535430297"</f>
        <v>535430297</v>
      </c>
      <c r="B5917" t="str">
        <f t="shared" si="301"/>
        <v>89301000</v>
      </c>
      <c r="C5917" s="1">
        <v>44508</v>
      </c>
      <c r="D5917" s="1">
        <v>44518</v>
      </c>
      <c r="E5917">
        <v>7</v>
      </c>
      <c r="F5917" t="s">
        <v>217</v>
      </c>
      <c r="G5917" t="str">
        <f>"00-M01-04"</f>
        <v>00-M01-04</v>
      </c>
      <c r="H5917">
        <v>6.85</v>
      </c>
      <c r="I5917" t="s">
        <v>4338</v>
      </c>
      <c r="J5917" t="s">
        <v>14</v>
      </c>
      <c r="K5917" t="str">
        <f>"1T1"</f>
        <v>1T1</v>
      </c>
      <c r="L5917" t="s">
        <v>15</v>
      </c>
    </row>
    <row r="5918" spans="1:12" x14ac:dyDescent="0.25">
      <c r="A5918" t="str">
        <f>"535502274"</f>
        <v>535502274</v>
      </c>
      <c r="B5918" t="str">
        <f t="shared" si="301"/>
        <v>89301000</v>
      </c>
      <c r="C5918" s="1">
        <v>44318</v>
      </c>
      <c r="D5918" s="1">
        <v>44321</v>
      </c>
      <c r="E5918">
        <v>1</v>
      </c>
      <c r="F5918" t="s">
        <v>2527</v>
      </c>
      <c r="G5918" t="str">
        <f>"13-I14-03"</f>
        <v>13-I14-03</v>
      </c>
      <c r="H5918">
        <v>0.83199999999999996</v>
      </c>
      <c r="J5918" t="s">
        <v>24</v>
      </c>
      <c r="K5918" t="str">
        <f>"6F3"</f>
        <v>6F3</v>
      </c>
      <c r="L5918" t="s">
        <v>15</v>
      </c>
    </row>
    <row r="5919" spans="1:12" x14ac:dyDescent="0.25">
      <c r="A5919" t="str">
        <f>"535504062"</f>
        <v>535504062</v>
      </c>
      <c r="B5919" t="str">
        <f t="shared" si="301"/>
        <v>89301000</v>
      </c>
      <c r="C5919" s="1">
        <v>44333</v>
      </c>
      <c r="D5919" s="1">
        <v>44358</v>
      </c>
      <c r="E5919">
        <v>1</v>
      </c>
      <c r="F5919" t="s">
        <v>307</v>
      </c>
      <c r="G5919" t="str">
        <f>"08-K03-03"</f>
        <v>08-K03-03</v>
      </c>
      <c r="H5919">
        <v>1.6163000000000001</v>
      </c>
      <c r="I5919" t="s">
        <v>308</v>
      </c>
      <c r="J5919" t="s">
        <v>14</v>
      </c>
      <c r="K5919" t="str">
        <f>"6F6"</f>
        <v>6F6</v>
      </c>
      <c r="L5919" t="s">
        <v>15</v>
      </c>
    </row>
    <row r="5920" spans="1:12" x14ac:dyDescent="0.25">
      <c r="A5920" t="str">
        <f>"535513108"</f>
        <v>535513108</v>
      </c>
      <c r="B5920" t="str">
        <f t="shared" si="301"/>
        <v>89301000</v>
      </c>
      <c r="C5920" s="1">
        <v>44521</v>
      </c>
      <c r="D5920" s="1">
        <v>44525</v>
      </c>
      <c r="E5920">
        <v>1</v>
      </c>
      <c r="F5920" t="s">
        <v>81</v>
      </c>
      <c r="G5920" t="str">
        <f>"10-I13-02"</f>
        <v>10-I13-02</v>
      </c>
      <c r="H5920">
        <v>1.1468</v>
      </c>
      <c r="I5920" t="s">
        <v>489</v>
      </c>
      <c r="J5920" t="s">
        <v>24</v>
      </c>
      <c r="K5920" t="str">
        <f>"5F1"</f>
        <v>5F1</v>
      </c>
      <c r="L5920" t="s">
        <v>15</v>
      </c>
    </row>
    <row r="5921" spans="1:12" x14ac:dyDescent="0.25">
      <c r="A5921" t="str">
        <f>"535528129"</f>
        <v>535528129</v>
      </c>
      <c r="B5921" t="str">
        <f t="shared" si="301"/>
        <v>89301000</v>
      </c>
      <c r="C5921" s="1">
        <v>44460</v>
      </c>
      <c r="D5921" s="1">
        <v>44462</v>
      </c>
      <c r="E5921">
        <v>1</v>
      </c>
      <c r="F5921" t="s">
        <v>2270</v>
      </c>
      <c r="G5921" t="str">
        <f>"09-K03-02"</f>
        <v>09-K03-02</v>
      </c>
      <c r="H5921">
        <v>0.76419999999999999</v>
      </c>
      <c r="I5921" t="s">
        <v>4339</v>
      </c>
      <c r="J5921" t="s">
        <v>14</v>
      </c>
      <c r="K5921" t="str">
        <f>"4F4"</f>
        <v>4F4</v>
      </c>
      <c r="L5921" t="s">
        <v>15</v>
      </c>
    </row>
    <row r="5922" spans="1:12" x14ac:dyDescent="0.25">
      <c r="A5922" t="str">
        <f>"535529147"</f>
        <v>535529147</v>
      </c>
      <c r="B5922" t="str">
        <f t="shared" si="301"/>
        <v>89301000</v>
      </c>
      <c r="C5922" s="1">
        <v>44245</v>
      </c>
      <c r="D5922" s="1">
        <v>44252</v>
      </c>
      <c r="E5922">
        <v>1</v>
      </c>
      <c r="F5922" t="s">
        <v>2325</v>
      </c>
      <c r="G5922" t="str">
        <f>"09-K07-02"</f>
        <v>09-K07-02</v>
      </c>
      <c r="H5922">
        <v>0.40450000000000003</v>
      </c>
      <c r="J5922" t="s">
        <v>14</v>
      </c>
      <c r="K5922" t="str">
        <f>"6F1"</f>
        <v>6F1</v>
      </c>
      <c r="L5922" t="s">
        <v>15</v>
      </c>
    </row>
    <row r="5923" spans="1:12" x14ac:dyDescent="0.25">
      <c r="A5923" t="str">
        <f>"535529147"</f>
        <v>535529147</v>
      </c>
      <c r="B5923" t="str">
        <f t="shared" si="301"/>
        <v>89301000</v>
      </c>
      <c r="C5923" s="1">
        <v>44215</v>
      </c>
      <c r="D5923" s="1">
        <v>44221</v>
      </c>
      <c r="E5923">
        <v>1</v>
      </c>
      <c r="F5923" t="s">
        <v>2967</v>
      </c>
      <c r="G5923" t="str">
        <f>"09-I12-01"</f>
        <v>09-I12-01</v>
      </c>
      <c r="H5923">
        <v>1.1603000000000001</v>
      </c>
      <c r="I5923" t="s">
        <v>4340</v>
      </c>
      <c r="J5923" t="s">
        <v>14</v>
      </c>
      <c r="K5923" t="str">
        <f>"6F1"</f>
        <v>6F1</v>
      </c>
      <c r="L5923" t="s">
        <v>15</v>
      </c>
    </row>
    <row r="5924" spans="1:12" x14ac:dyDescent="0.25">
      <c r="A5924" t="str">
        <f>"535529147"</f>
        <v>535529147</v>
      </c>
      <c r="B5924" t="str">
        <f t="shared" si="301"/>
        <v>89301000</v>
      </c>
      <c r="C5924" s="1">
        <v>44231</v>
      </c>
      <c r="D5924" s="1">
        <v>44236</v>
      </c>
      <c r="E5924">
        <v>1</v>
      </c>
      <c r="F5924" t="s">
        <v>2819</v>
      </c>
      <c r="G5924" t="str">
        <f>"09-I10-01"</f>
        <v>09-I10-01</v>
      </c>
      <c r="H5924">
        <v>1.7172000000000001</v>
      </c>
      <c r="I5924" t="s">
        <v>4341</v>
      </c>
      <c r="J5924" t="s">
        <v>17</v>
      </c>
      <c r="K5924" t="str">
        <f>"6F1"</f>
        <v>6F1</v>
      </c>
      <c r="L5924" t="s">
        <v>15</v>
      </c>
    </row>
    <row r="5925" spans="1:12" x14ac:dyDescent="0.25">
      <c r="A5925" t="str">
        <f>"535604109"</f>
        <v>535604109</v>
      </c>
      <c r="B5925" t="str">
        <f t="shared" si="301"/>
        <v>89301000</v>
      </c>
      <c r="C5925" s="1">
        <v>44308</v>
      </c>
      <c r="D5925" s="1">
        <v>44313</v>
      </c>
      <c r="E5925">
        <v>1</v>
      </c>
      <c r="F5925" t="s">
        <v>67</v>
      </c>
      <c r="G5925" t="str">
        <f>"01-K10-03"</f>
        <v>01-K10-03</v>
      </c>
      <c r="H5925">
        <v>1.0016</v>
      </c>
      <c r="I5925" t="s">
        <v>4342</v>
      </c>
      <c r="J5925" t="s">
        <v>14</v>
      </c>
      <c r="K5925" t="str">
        <f>"2F9"</f>
        <v>2F9</v>
      </c>
      <c r="L5925" t="s">
        <v>15</v>
      </c>
    </row>
    <row r="5926" spans="1:12" x14ac:dyDescent="0.25">
      <c r="A5926" t="str">
        <f>"535607050"</f>
        <v>535607050</v>
      </c>
      <c r="B5926" t="str">
        <f t="shared" si="301"/>
        <v>89301000</v>
      </c>
      <c r="C5926" s="1">
        <v>44477</v>
      </c>
      <c r="D5926" s="1">
        <v>44481</v>
      </c>
      <c r="E5926">
        <v>1</v>
      </c>
      <c r="F5926" t="s">
        <v>489</v>
      </c>
      <c r="G5926" t="str">
        <f>"05-D01-07"</f>
        <v>05-D01-07</v>
      </c>
      <c r="H5926">
        <v>0.53269999999999995</v>
      </c>
      <c r="I5926" t="s">
        <v>1660</v>
      </c>
      <c r="J5926" t="s">
        <v>14</v>
      </c>
      <c r="K5926" t="str">
        <f>"1F1"</f>
        <v>1F1</v>
      </c>
      <c r="L5926" t="s">
        <v>15</v>
      </c>
    </row>
    <row r="5927" spans="1:12" x14ac:dyDescent="0.25">
      <c r="A5927" t="str">
        <f>"535609063"</f>
        <v>535609063</v>
      </c>
      <c r="B5927" t="str">
        <f t="shared" si="301"/>
        <v>89301000</v>
      </c>
      <c r="C5927" s="1">
        <v>44452</v>
      </c>
      <c r="D5927" s="1">
        <v>44459</v>
      </c>
      <c r="E5927">
        <v>4</v>
      </c>
      <c r="F5927" t="s">
        <v>2407</v>
      </c>
      <c r="G5927" t="str">
        <f>"08-I06-04"</f>
        <v>08-I06-04</v>
      </c>
      <c r="H5927">
        <v>2.4260000000000002</v>
      </c>
      <c r="I5927" t="s">
        <v>1586</v>
      </c>
      <c r="J5927" t="s">
        <v>24</v>
      </c>
      <c r="K5927" t="str">
        <f>"6F6"</f>
        <v>6F6</v>
      </c>
      <c r="L5927" t="s">
        <v>15</v>
      </c>
    </row>
    <row r="5928" spans="1:12" x14ac:dyDescent="0.25">
      <c r="A5928" t="str">
        <f>"535613063"</f>
        <v>535613063</v>
      </c>
      <c r="B5928" t="str">
        <f t="shared" si="301"/>
        <v>89301000</v>
      </c>
      <c r="C5928" s="1">
        <v>44376</v>
      </c>
      <c r="D5928" s="1">
        <v>44379</v>
      </c>
      <c r="E5928">
        <v>1</v>
      </c>
      <c r="F5928" t="s">
        <v>1606</v>
      </c>
      <c r="G5928" t="str">
        <f>"05-M05-02"</f>
        <v>05-M05-02</v>
      </c>
      <c r="H5928">
        <v>3.6892</v>
      </c>
      <c r="J5928" t="s">
        <v>24</v>
      </c>
      <c r="K5928" t="str">
        <f>"1F7"</f>
        <v>1F7</v>
      </c>
      <c r="L5928" t="s">
        <v>15</v>
      </c>
    </row>
    <row r="5929" spans="1:12" x14ac:dyDescent="0.25">
      <c r="A5929" t="str">
        <f>"535617054"</f>
        <v>535617054</v>
      </c>
      <c r="B5929" t="str">
        <f t="shared" si="301"/>
        <v>89301000</v>
      </c>
      <c r="C5929" s="1">
        <v>44229</v>
      </c>
      <c r="D5929" s="1">
        <v>44232</v>
      </c>
      <c r="E5929">
        <v>1</v>
      </c>
      <c r="F5929" t="s">
        <v>1638</v>
      </c>
      <c r="G5929" t="str">
        <f>"11-K01-03"</f>
        <v>11-K01-03</v>
      </c>
      <c r="H5929">
        <v>0.59489999999999998</v>
      </c>
      <c r="I5929" t="s">
        <v>4343</v>
      </c>
      <c r="J5929" t="s">
        <v>14</v>
      </c>
      <c r="K5929" t="str">
        <f>"1F1"</f>
        <v>1F1</v>
      </c>
      <c r="L5929" t="s">
        <v>15</v>
      </c>
    </row>
    <row r="5930" spans="1:12" x14ac:dyDescent="0.25">
      <c r="A5930" t="str">
        <f>"535626167"</f>
        <v>535626167</v>
      </c>
      <c r="B5930" t="str">
        <f t="shared" si="301"/>
        <v>89301000</v>
      </c>
      <c r="C5930" s="1">
        <v>44229</v>
      </c>
      <c r="D5930" s="1">
        <v>44231</v>
      </c>
      <c r="E5930">
        <v>1</v>
      </c>
      <c r="F5930" t="s">
        <v>1762</v>
      </c>
      <c r="G5930" t="str">
        <f>"04-K09-03"</f>
        <v>04-K09-03</v>
      </c>
      <c r="H5930">
        <v>0.62749999999999995</v>
      </c>
      <c r="I5930" t="s">
        <v>4344</v>
      </c>
      <c r="J5930" t="s">
        <v>14</v>
      </c>
      <c r="K5930" t="str">
        <f>"2F5"</f>
        <v>2F5</v>
      </c>
      <c r="L5930" t="s">
        <v>15</v>
      </c>
    </row>
    <row r="5931" spans="1:12" x14ac:dyDescent="0.25">
      <c r="A5931" t="str">
        <f>"535626167"</f>
        <v>535626167</v>
      </c>
      <c r="B5931" t="str">
        <f t="shared" si="301"/>
        <v>89301000</v>
      </c>
      <c r="C5931" s="1">
        <v>44204</v>
      </c>
      <c r="D5931" s="1">
        <v>44208</v>
      </c>
      <c r="E5931">
        <v>1</v>
      </c>
      <c r="F5931" t="s">
        <v>3644</v>
      </c>
      <c r="G5931" t="str">
        <f>"17-K10-02"</f>
        <v>17-K10-02</v>
      </c>
      <c r="H5931">
        <v>0.65480000000000005</v>
      </c>
      <c r="I5931" t="s">
        <v>4345</v>
      </c>
      <c r="J5931" t="s">
        <v>14</v>
      </c>
      <c r="K5931" t="str">
        <f>"2F5"</f>
        <v>2F5</v>
      </c>
      <c r="L5931" t="s">
        <v>15</v>
      </c>
    </row>
    <row r="5932" spans="1:12" x14ac:dyDescent="0.25">
      <c r="A5932" t="str">
        <f>"535703124"</f>
        <v>535703124</v>
      </c>
      <c r="B5932" t="str">
        <f t="shared" si="301"/>
        <v>89301000</v>
      </c>
      <c r="C5932" s="1">
        <v>44281</v>
      </c>
      <c r="D5932" s="1">
        <v>44282</v>
      </c>
      <c r="E5932">
        <v>1</v>
      </c>
      <c r="F5932" t="s">
        <v>1551</v>
      </c>
      <c r="G5932" t="str">
        <f>"09-I09-02"</f>
        <v>09-I09-02</v>
      </c>
      <c r="H5932">
        <v>0.84140000000000004</v>
      </c>
      <c r="J5932" t="s">
        <v>17</v>
      </c>
      <c r="K5932" t="str">
        <f>"5F1"</f>
        <v>5F1</v>
      </c>
      <c r="L5932" t="s">
        <v>15</v>
      </c>
    </row>
    <row r="5933" spans="1:12" x14ac:dyDescent="0.25">
      <c r="A5933" t="str">
        <f>"535703124"</f>
        <v>535703124</v>
      </c>
      <c r="B5933" t="str">
        <f t="shared" si="301"/>
        <v>89301000</v>
      </c>
      <c r="C5933" s="1">
        <v>44265</v>
      </c>
      <c r="D5933" s="1">
        <v>44268</v>
      </c>
      <c r="E5933">
        <v>1</v>
      </c>
      <c r="F5933" t="s">
        <v>1551</v>
      </c>
      <c r="G5933" t="str">
        <f>"09-I06-04"</f>
        <v>09-I06-04</v>
      </c>
      <c r="H5933">
        <v>0.98829999999999996</v>
      </c>
      <c r="J5933" t="s">
        <v>17</v>
      </c>
      <c r="K5933" t="str">
        <f>"5F1"</f>
        <v>5F1</v>
      </c>
      <c r="L5933" t="s">
        <v>15</v>
      </c>
    </row>
    <row r="5934" spans="1:12" x14ac:dyDescent="0.25">
      <c r="A5934" t="str">
        <f>"535704061"</f>
        <v>535704061</v>
      </c>
      <c r="B5934" t="str">
        <f t="shared" si="301"/>
        <v>89301000</v>
      </c>
      <c r="C5934" s="1">
        <v>44343</v>
      </c>
      <c r="D5934" s="1">
        <v>44347</v>
      </c>
      <c r="E5934">
        <v>1</v>
      </c>
      <c r="F5934" t="s">
        <v>4346</v>
      </c>
      <c r="G5934" t="str">
        <f>"04-K07-02"</f>
        <v>04-K07-02</v>
      </c>
      <c r="H5934">
        <v>1.1432</v>
      </c>
      <c r="I5934" t="s">
        <v>4347</v>
      </c>
      <c r="J5934" t="s">
        <v>14</v>
      </c>
      <c r="K5934" t="str">
        <f>"2F5"</f>
        <v>2F5</v>
      </c>
      <c r="L5934" t="s">
        <v>15</v>
      </c>
    </row>
    <row r="5935" spans="1:12" x14ac:dyDescent="0.25">
      <c r="A5935" t="str">
        <f>"535704102"</f>
        <v>535704102</v>
      </c>
      <c r="B5935" t="str">
        <f t="shared" si="301"/>
        <v>89301000</v>
      </c>
      <c r="C5935" s="1">
        <v>44399</v>
      </c>
      <c r="D5935" s="1">
        <v>44402</v>
      </c>
      <c r="E5935">
        <v>1</v>
      </c>
      <c r="F5935" t="s">
        <v>1551</v>
      </c>
      <c r="G5935" t="str">
        <f>"09-I06-04"</f>
        <v>09-I06-04</v>
      </c>
      <c r="H5935">
        <v>1.0175000000000001</v>
      </c>
      <c r="J5935" t="s">
        <v>17</v>
      </c>
      <c r="K5935" t="str">
        <f>"5F1"</f>
        <v>5F1</v>
      </c>
      <c r="L5935" t="s">
        <v>15</v>
      </c>
    </row>
    <row r="5936" spans="1:12" x14ac:dyDescent="0.25">
      <c r="A5936" t="str">
        <f>"535704304"</f>
        <v>535704304</v>
      </c>
      <c r="B5936" t="str">
        <f t="shared" si="301"/>
        <v>89301000</v>
      </c>
      <c r="C5936" s="1">
        <v>44487</v>
      </c>
      <c r="D5936" s="1">
        <v>44488</v>
      </c>
      <c r="E5936">
        <v>1</v>
      </c>
      <c r="F5936" t="s">
        <v>2721</v>
      </c>
      <c r="G5936" t="str">
        <f>"02-I08-02"</f>
        <v>02-I08-02</v>
      </c>
      <c r="H5936">
        <v>0.55269999999999997</v>
      </c>
      <c r="I5936" t="s">
        <v>4348</v>
      </c>
      <c r="J5936" t="s">
        <v>17</v>
      </c>
      <c r="K5936" t="str">
        <f>"7F5"</f>
        <v>7F5</v>
      </c>
      <c r="L5936" t="s">
        <v>15</v>
      </c>
    </row>
    <row r="5937" spans="1:12" x14ac:dyDescent="0.25">
      <c r="A5937" t="str">
        <f>"535722053"</f>
        <v>535722053</v>
      </c>
      <c r="B5937" t="str">
        <f t="shared" si="301"/>
        <v>89301000</v>
      </c>
      <c r="C5937" s="1">
        <v>44198</v>
      </c>
      <c r="D5937" s="1">
        <v>44209</v>
      </c>
      <c r="E5937">
        <v>1</v>
      </c>
      <c r="F5937" t="s">
        <v>217</v>
      </c>
      <c r="G5937" t="str">
        <f>"04-K02-04"</f>
        <v>04-K02-04</v>
      </c>
      <c r="H5937">
        <v>0.82469999999999999</v>
      </c>
      <c r="I5937" t="s">
        <v>4349</v>
      </c>
      <c r="J5937" t="s">
        <v>14</v>
      </c>
      <c r="K5937" t="str">
        <f>"5F1"</f>
        <v>5F1</v>
      </c>
      <c r="L5937" t="s">
        <v>15</v>
      </c>
    </row>
    <row r="5938" spans="1:12" x14ac:dyDescent="0.25">
      <c r="A5938" t="str">
        <f>"535722093"</f>
        <v>535722093</v>
      </c>
      <c r="B5938" t="str">
        <f t="shared" si="301"/>
        <v>89301000</v>
      </c>
      <c r="C5938" s="1">
        <v>44285</v>
      </c>
      <c r="D5938" s="1">
        <v>44287</v>
      </c>
      <c r="E5938">
        <v>1</v>
      </c>
      <c r="F5938" t="s">
        <v>3236</v>
      </c>
      <c r="G5938" t="str">
        <f>"13-I19-00"</f>
        <v>13-I19-00</v>
      </c>
      <c r="H5938">
        <v>0.24679999999999999</v>
      </c>
      <c r="J5938" t="s">
        <v>14</v>
      </c>
      <c r="K5938" t="str">
        <f>"6F3"</f>
        <v>6F3</v>
      </c>
      <c r="L5938" t="s">
        <v>15</v>
      </c>
    </row>
    <row r="5939" spans="1:12" x14ac:dyDescent="0.25">
      <c r="A5939" t="str">
        <f>"535725011"</f>
        <v>535725011</v>
      </c>
      <c r="B5939" t="str">
        <f t="shared" si="301"/>
        <v>89301000</v>
      </c>
      <c r="C5939" s="1">
        <v>44370</v>
      </c>
      <c r="D5939" s="1">
        <v>44373</v>
      </c>
      <c r="E5939">
        <v>1</v>
      </c>
      <c r="F5939" t="s">
        <v>496</v>
      </c>
      <c r="G5939" t="str">
        <f>"08-M03-05"</f>
        <v>08-M03-05</v>
      </c>
      <c r="H5939">
        <v>0.51759999999999995</v>
      </c>
      <c r="I5939" t="s">
        <v>4350</v>
      </c>
      <c r="J5939" t="s">
        <v>14</v>
      </c>
      <c r="K5939" t="str">
        <f>"6F6"</f>
        <v>6F6</v>
      </c>
      <c r="L5939" t="s">
        <v>15</v>
      </c>
    </row>
    <row r="5940" spans="1:12" x14ac:dyDescent="0.25">
      <c r="A5940" t="str">
        <f>"535730398"</f>
        <v>535730398</v>
      </c>
      <c r="B5940" t="str">
        <f t="shared" si="301"/>
        <v>89301000</v>
      </c>
      <c r="C5940" s="1">
        <v>44490</v>
      </c>
      <c r="D5940" s="1">
        <v>44493</v>
      </c>
      <c r="E5940">
        <v>1</v>
      </c>
      <c r="F5940" t="s">
        <v>1555</v>
      </c>
      <c r="G5940" t="str">
        <f>"05-M07-04"</f>
        <v>05-M07-04</v>
      </c>
      <c r="H5940">
        <v>1.7799</v>
      </c>
      <c r="I5940" t="s">
        <v>2321</v>
      </c>
      <c r="J5940" t="s">
        <v>17</v>
      </c>
      <c r="K5940" t="str">
        <f>"5F1"</f>
        <v>5F1</v>
      </c>
      <c r="L5940" t="s">
        <v>15</v>
      </c>
    </row>
    <row r="5941" spans="1:12" x14ac:dyDescent="0.25">
      <c r="A5941" t="str">
        <f>"535801252"</f>
        <v>535801252</v>
      </c>
      <c r="B5941" t="str">
        <f t="shared" si="301"/>
        <v>89301000</v>
      </c>
      <c r="C5941" s="1">
        <v>44410</v>
      </c>
      <c r="D5941" s="1">
        <v>44414</v>
      </c>
      <c r="E5941">
        <v>1</v>
      </c>
      <c r="F5941" t="s">
        <v>1599</v>
      </c>
      <c r="G5941" t="str">
        <f>"05-K07-05"</f>
        <v>05-K07-05</v>
      </c>
      <c r="H5941">
        <v>0.81410000000000005</v>
      </c>
      <c r="I5941" t="s">
        <v>4351</v>
      </c>
      <c r="J5941" t="s">
        <v>14</v>
      </c>
      <c r="K5941" t="str">
        <f>"1F1"</f>
        <v>1F1</v>
      </c>
      <c r="L5941" t="s">
        <v>15</v>
      </c>
    </row>
    <row r="5942" spans="1:12" x14ac:dyDescent="0.25">
      <c r="A5942" t="str">
        <f>"535801252"</f>
        <v>535801252</v>
      </c>
      <c r="B5942" t="str">
        <f t="shared" si="301"/>
        <v>89301000</v>
      </c>
      <c r="C5942" s="1">
        <v>44517</v>
      </c>
      <c r="D5942" s="1">
        <v>44520</v>
      </c>
      <c r="E5942">
        <v>1</v>
      </c>
      <c r="F5942" t="s">
        <v>592</v>
      </c>
      <c r="G5942" t="str">
        <f>"03-K02-02"</f>
        <v>03-K02-02</v>
      </c>
      <c r="H5942">
        <v>0.56889999999999996</v>
      </c>
      <c r="I5942" t="s">
        <v>4352</v>
      </c>
      <c r="J5942" t="s">
        <v>14</v>
      </c>
      <c r="K5942" t="str">
        <f>"1F1"</f>
        <v>1F1</v>
      </c>
      <c r="L5942" t="s">
        <v>15</v>
      </c>
    </row>
    <row r="5943" spans="1:12" x14ac:dyDescent="0.25">
      <c r="A5943" t="str">
        <f>"535805057"</f>
        <v>535805057</v>
      </c>
      <c r="B5943" t="str">
        <f t="shared" si="301"/>
        <v>89301000</v>
      </c>
      <c r="C5943" s="1">
        <v>44507</v>
      </c>
      <c r="D5943" s="1">
        <v>44514</v>
      </c>
      <c r="E5943">
        <v>1</v>
      </c>
      <c r="F5943" t="s">
        <v>18</v>
      </c>
      <c r="G5943" t="str">
        <f>"11-I10-01"</f>
        <v>11-I10-01</v>
      </c>
      <c r="H5943">
        <v>2.8389000000000002</v>
      </c>
      <c r="I5943" t="s">
        <v>4353</v>
      </c>
      <c r="J5943" t="s">
        <v>14</v>
      </c>
      <c r="K5943" t="str">
        <f>"7F6"</f>
        <v>7F6</v>
      </c>
      <c r="L5943" t="s">
        <v>15</v>
      </c>
    </row>
    <row r="5944" spans="1:12" x14ac:dyDescent="0.25">
      <c r="A5944" t="str">
        <f>"535807083"</f>
        <v>535807083</v>
      </c>
      <c r="B5944" t="str">
        <f t="shared" si="301"/>
        <v>89301000</v>
      </c>
      <c r="C5944" s="1">
        <v>44406</v>
      </c>
      <c r="D5944" s="1">
        <v>44411</v>
      </c>
      <c r="E5944">
        <v>1</v>
      </c>
      <c r="F5944" t="s">
        <v>2232</v>
      </c>
      <c r="G5944" t="str">
        <f>"11-K07-02"</f>
        <v>11-K07-02</v>
      </c>
      <c r="H5944">
        <v>0.4869</v>
      </c>
      <c r="I5944" t="s">
        <v>4354</v>
      </c>
      <c r="J5944" t="s">
        <v>14</v>
      </c>
      <c r="K5944" t="str">
        <f>"4F2"</f>
        <v>4F2</v>
      </c>
      <c r="L5944" t="s">
        <v>15</v>
      </c>
    </row>
    <row r="5945" spans="1:12" x14ac:dyDescent="0.25">
      <c r="A5945" t="str">
        <f>"535807083"</f>
        <v>535807083</v>
      </c>
      <c r="B5945" t="str">
        <f t="shared" si="301"/>
        <v>89301000</v>
      </c>
      <c r="C5945" s="1">
        <v>44331</v>
      </c>
      <c r="D5945" s="1">
        <v>44337</v>
      </c>
      <c r="E5945">
        <v>1</v>
      </c>
      <c r="F5945" t="s">
        <v>2232</v>
      </c>
      <c r="G5945" t="str">
        <f>"11-K07-02"</f>
        <v>11-K07-02</v>
      </c>
      <c r="H5945">
        <v>0.4869</v>
      </c>
      <c r="I5945" t="s">
        <v>4354</v>
      </c>
      <c r="J5945" t="s">
        <v>14</v>
      </c>
      <c r="K5945" t="str">
        <f>"4F2"</f>
        <v>4F2</v>
      </c>
      <c r="L5945" t="s">
        <v>15</v>
      </c>
    </row>
    <row r="5946" spans="1:12" x14ac:dyDescent="0.25">
      <c r="A5946" t="str">
        <f>"535808036"</f>
        <v>535808036</v>
      </c>
      <c r="B5946" t="str">
        <f t="shared" si="301"/>
        <v>89301000</v>
      </c>
      <c r="C5946" s="1">
        <v>44210</v>
      </c>
      <c r="D5946" s="1">
        <v>44210</v>
      </c>
      <c r="E5946">
        <v>1</v>
      </c>
      <c r="F5946" t="s">
        <v>1545</v>
      </c>
      <c r="G5946" t="str">
        <f>"05-I14-04"</f>
        <v>05-I14-04</v>
      </c>
      <c r="H5946">
        <v>5.1692</v>
      </c>
      <c r="J5946" t="s">
        <v>14</v>
      </c>
      <c r="K5946" t="str">
        <f>"1F7"</f>
        <v>1F7</v>
      </c>
      <c r="L5946" t="s">
        <v>15</v>
      </c>
    </row>
    <row r="5947" spans="1:12" x14ac:dyDescent="0.25">
      <c r="A5947" t="str">
        <f>"535811072"</f>
        <v>535811072</v>
      </c>
      <c r="B5947" t="str">
        <f t="shared" si="301"/>
        <v>89301000</v>
      </c>
      <c r="C5947" s="1">
        <v>44243</v>
      </c>
      <c r="D5947" s="1">
        <v>44245</v>
      </c>
      <c r="E5947">
        <v>1</v>
      </c>
      <c r="F5947" t="s">
        <v>1859</v>
      </c>
      <c r="G5947" t="str">
        <f>"03-I23-00"</f>
        <v>03-I23-00</v>
      </c>
      <c r="H5947">
        <v>0.47639999999999999</v>
      </c>
      <c r="I5947" t="s">
        <v>4355</v>
      </c>
      <c r="J5947" t="s">
        <v>14</v>
      </c>
      <c r="K5947" t="str">
        <f>"6F5"</f>
        <v>6F5</v>
      </c>
      <c r="L5947" t="s">
        <v>15</v>
      </c>
    </row>
    <row r="5948" spans="1:12" x14ac:dyDescent="0.25">
      <c r="A5948" t="str">
        <f>"535812133"</f>
        <v>535812133</v>
      </c>
      <c r="B5948" t="str">
        <f t="shared" si="301"/>
        <v>89301000</v>
      </c>
      <c r="C5948" s="1">
        <v>44408</v>
      </c>
      <c r="D5948" s="1">
        <v>44419</v>
      </c>
      <c r="E5948">
        <v>1</v>
      </c>
      <c r="F5948" t="s">
        <v>1567</v>
      </c>
      <c r="G5948" t="str">
        <f>"05-I14-02"</f>
        <v>05-I14-02</v>
      </c>
      <c r="H5948">
        <v>6.3216999999999999</v>
      </c>
      <c r="I5948" t="s">
        <v>4356</v>
      </c>
      <c r="J5948" t="s">
        <v>14</v>
      </c>
      <c r="K5948" t="str">
        <f>"1F1"</f>
        <v>1F1</v>
      </c>
      <c r="L5948" t="s">
        <v>15</v>
      </c>
    </row>
    <row r="5949" spans="1:12" x14ac:dyDescent="0.25">
      <c r="A5949" t="str">
        <f>"535818051"</f>
        <v>535818051</v>
      </c>
      <c r="B5949" t="str">
        <f t="shared" si="301"/>
        <v>89301000</v>
      </c>
      <c r="C5949" s="1">
        <v>44545</v>
      </c>
      <c r="D5949" s="1">
        <v>44546</v>
      </c>
      <c r="E5949">
        <v>1</v>
      </c>
      <c r="F5949" t="s">
        <v>772</v>
      </c>
      <c r="G5949" t="str">
        <f>"08-I17-02"</f>
        <v>08-I17-02</v>
      </c>
      <c r="H5949">
        <v>0.98309999999999997</v>
      </c>
      <c r="I5949" t="s">
        <v>381</v>
      </c>
      <c r="J5949" t="s">
        <v>14</v>
      </c>
      <c r="K5949" t="str">
        <f>"5F3"</f>
        <v>5F3</v>
      </c>
      <c r="L5949" t="s">
        <v>15</v>
      </c>
    </row>
    <row r="5950" spans="1:12" x14ac:dyDescent="0.25">
      <c r="A5950" t="str">
        <f>"535827244"</f>
        <v>535827244</v>
      </c>
      <c r="B5950" t="str">
        <f t="shared" si="301"/>
        <v>89301000</v>
      </c>
      <c r="C5950" s="1">
        <v>44366</v>
      </c>
      <c r="D5950" s="1">
        <v>44391</v>
      </c>
      <c r="E5950">
        <v>4</v>
      </c>
      <c r="F5950" t="s">
        <v>2497</v>
      </c>
      <c r="G5950" t="str">
        <f>"13-K07-01"</f>
        <v>13-K07-01</v>
      </c>
      <c r="H5950">
        <v>1.5479000000000001</v>
      </c>
      <c r="I5950" t="s">
        <v>4357</v>
      </c>
      <c r="J5950" t="s">
        <v>14</v>
      </c>
      <c r="K5950" t="str">
        <f>"4F2"</f>
        <v>4F2</v>
      </c>
      <c r="L5950" t="s">
        <v>15</v>
      </c>
    </row>
    <row r="5951" spans="1:12" x14ac:dyDescent="0.25">
      <c r="A5951" t="str">
        <f>"535827244"</f>
        <v>535827244</v>
      </c>
      <c r="B5951" t="str">
        <f t="shared" si="301"/>
        <v>89301000</v>
      </c>
      <c r="C5951" s="1">
        <v>44325</v>
      </c>
      <c r="D5951" s="1">
        <v>44328</v>
      </c>
      <c r="E5951">
        <v>1</v>
      </c>
      <c r="F5951" t="s">
        <v>2497</v>
      </c>
      <c r="G5951" t="str">
        <f>"13-I18-02"</f>
        <v>13-I18-02</v>
      </c>
      <c r="H5951">
        <v>0.93430000000000002</v>
      </c>
      <c r="J5951" t="s">
        <v>14</v>
      </c>
      <c r="K5951" t="str">
        <f>"6F3"</f>
        <v>6F3</v>
      </c>
      <c r="L5951" t="s">
        <v>15</v>
      </c>
    </row>
    <row r="5952" spans="1:12" x14ac:dyDescent="0.25">
      <c r="A5952" t="str">
        <f>"535831133"</f>
        <v>535831133</v>
      </c>
      <c r="B5952" t="str">
        <f t="shared" si="301"/>
        <v>89301000</v>
      </c>
      <c r="C5952" s="1">
        <v>44494</v>
      </c>
      <c r="D5952" s="1">
        <v>44496</v>
      </c>
      <c r="E5952">
        <v>1</v>
      </c>
      <c r="F5952" t="s">
        <v>2634</v>
      </c>
      <c r="G5952" t="str">
        <f>"01-K18-04"</f>
        <v>01-K18-04</v>
      </c>
      <c r="H5952">
        <v>0.49890000000000001</v>
      </c>
      <c r="I5952" t="s">
        <v>4358</v>
      </c>
      <c r="J5952" t="s">
        <v>14</v>
      </c>
      <c r="K5952" t="str">
        <f>"2F9"</f>
        <v>2F9</v>
      </c>
      <c r="L5952" t="s">
        <v>15</v>
      </c>
    </row>
    <row r="5953" spans="1:12" x14ac:dyDescent="0.25">
      <c r="A5953" t="str">
        <f>"535902165"</f>
        <v>535902165</v>
      </c>
      <c r="B5953" t="str">
        <f t="shared" si="301"/>
        <v>89301000</v>
      </c>
      <c r="C5953" s="1">
        <v>44192</v>
      </c>
      <c r="D5953" s="1">
        <v>44201</v>
      </c>
      <c r="E5953">
        <v>2</v>
      </c>
      <c r="F5953" t="s">
        <v>217</v>
      </c>
      <c r="G5953" t="str">
        <f>"04-K02-04"</f>
        <v>04-K02-04</v>
      </c>
      <c r="H5953">
        <v>0.82469999999999999</v>
      </c>
      <c r="I5953" t="s">
        <v>4359</v>
      </c>
      <c r="J5953" t="s">
        <v>14</v>
      </c>
      <c r="K5953" t="str">
        <f>"1F6"</f>
        <v>1F6</v>
      </c>
      <c r="L5953" t="s">
        <v>15</v>
      </c>
    </row>
    <row r="5954" spans="1:12" x14ac:dyDescent="0.25">
      <c r="A5954" t="str">
        <f>"535909017"</f>
        <v>535909017</v>
      </c>
      <c r="B5954" t="str">
        <f t="shared" si="301"/>
        <v>89301000</v>
      </c>
      <c r="C5954" s="1">
        <v>44228</v>
      </c>
      <c r="D5954" s="1">
        <v>44236</v>
      </c>
      <c r="E5954">
        <v>1</v>
      </c>
      <c r="F5954" t="s">
        <v>1914</v>
      </c>
      <c r="G5954" t="str">
        <f>"04-C02-02"</f>
        <v>04-C02-02</v>
      </c>
      <c r="H5954">
        <v>0.3589</v>
      </c>
      <c r="I5954" t="s">
        <v>4360</v>
      </c>
      <c r="J5954" t="s">
        <v>14</v>
      </c>
      <c r="K5954" t="str">
        <f>"2F5"</f>
        <v>2F5</v>
      </c>
      <c r="L5954" t="s">
        <v>15</v>
      </c>
    </row>
    <row r="5955" spans="1:12" x14ac:dyDescent="0.25">
      <c r="A5955" t="str">
        <f>"536005010"</f>
        <v>536005010</v>
      </c>
      <c r="B5955" t="str">
        <f t="shared" si="301"/>
        <v>89301000</v>
      </c>
      <c r="C5955" s="1">
        <v>44449</v>
      </c>
      <c r="D5955" s="1">
        <v>44452</v>
      </c>
      <c r="E5955">
        <v>1</v>
      </c>
      <c r="F5955" t="s">
        <v>1683</v>
      </c>
      <c r="G5955" t="str">
        <f>"05-M06-06"</f>
        <v>05-M06-06</v>
      </c>
      <c r="H5955">
        <v>1.7652000000000001</v>
      </c>
      <c r="I5955" t="s">
        <v>1959</v>
      </c>
      <c r="J5955" t="s">
        <v>17</v>
      </c>
      <c r="K5955" t="str">
        <f>"1F1"</f>
        <v>1F1</v>
      </c>
      <c r="L5955" t="s">
        <v>15</v>
      </c>
    </row>
    <row r="5956" spans="1:12" x14ac:dyDescent="0.25">
      <c r="A5956" t="str">
        <f t="shared" ref="A5956:A5970" si="302">"536005060"</f>
        <v>536005060</v>
      </c>
      <c r="B5956" t="str">
        <f t="shared" si="301"/>
        <v>89301000</v>
      </c>
      <c r="C5956" s="1">
        <v>44393</v>
      </c>
      <c r="D5956" s="1">
        <v>44395</v>
      </c>
      <c r="E5956">
        <v>1</v>
      </c>
      <c r="F5956" t="s">
        <v>2910</v>
      </c>
      <c r="G5956" t="str">
        <f>"06-C02-01"</f>
        <v>06-C02-01</v>
      </c>
      <c r="H5956">
        <v>0.27229999999999999</v>
      </c>
      <c r="I5956" t="s">
        <v>541</v>
      </c>
      <c r="J5956" t="s">
        <v>14</v>
      </c>
      <c r="K5956" t="str">
        <f t="shared" ref="K5956:K5970" si="303">"4F2"</f>
        <v>4F2</v>
      </c>
      <c r="L5956" t="s">
        <v>15</v>
      </c>
    </row>
    <row r="5957" spans="1:12" x14ac:dyDescent="0.25">
      <c r="A5957" t="str">
        <f t="shared" si="302"/>
        <v>536005060</v>
      </c>
      <c r="B5957" t="str">
        <f t="shared" si="301"/>
        <v>89301000</v>
      </c>
      <c r="C5957" s="1">
        <v>44407</v>
      </c>
      <c r="D5957" s="1">
        <v>44409</v>
      </c>
      <c r="E5957">
        <v>1</v>
      </c>
      <c r="F5957" t="s">
        <v>1621</v>
      </c>
      <c r="G5957" t="str">
        <f>"07-C01-02"</f>
        <v>07-C01-02</v>
      </c>
      <c r="H5957">
        <v>0.30530000000000002</v>
      </c>
      <c r="I5957" t="s">
        <v>4361</v>
      </c>
      <c r="J5957" t="s">
        <v>14</v>
      </c>
      <c r="K5957" t="str">
        <f t="shared" si="303"/>
        <v>4F2</v>
      </c>
      <c r="L5957" t="s">
        <v>15</v>
      </c>
    </row>
    <row r="5958" spans="1:12" x14ac:dyDescent="0.25">
      <c r="A5958" t="str">
        <f t="shared" si="302"/>
        <v>536005060</v>
      </c>
      <c r="B5958" t="str">
        <f t="shared" ref="B5958:B6020" si="304">"89301000"</f>
        <v>89301000</v>
      </c>
      <c r="C5958" s="1">
        <v>44365</v>
      </c>
      <c r="D5958" s="1">
        <v>44367</v>
      </c>
      <c r="E5958">
        <v>1</v>
      </c>
      <c r="F5958" t="s">
        <v>2910</v>
      </c>
      <c r="G5958" t="str">
        <f>"06-C02-01"</f>
        <v>06-C02-01</v>
      </c>
      <c r="H5958">
        <v>0.27229999999999999</v>
      </c>
      <c r="I5958" t="s">
        <v>4362</v>
      </c>
      <c r="J5958" t="s">
        <v>14</v>
      </c>
      <c r="K5958" t="str">
        <f t="shared" si="303"/>
        <v>4F2</v>
      </c>
      <c r="L5958" t="s">
        <v>15</v>
      </c>
    </row>
    <row r="5959" spans="1:12" x14ac:dyDescent="0.25">
      <c r="A5959" t="str">
        <f t="shared" si="302"/>
        <v>536005060</v>
      </c>
      <c r="B5959" t="str">
        <f t="shared" si="304"/>
        <v>89301000</v>
      </c>
      <c r="C5959" s="1">
        <v>44379</v>
      </c>
      <c r="D5959" s="1">
        <v>44381</v>
      </c>
      <c r="E5959">
        <v>1</v>
      </c>
      <c r="F5959" t="s">
        <v>2910</v>
      </c>
      <c r="G5959" t="str">
        <f>"06-C02-01"</f>
        <v>06-C02-01</v>
      </c>
      <c r="H5959">
        <v>0.27229999999999999</v>
      </c>
      <c r="I5959" t="s">
        <v>541</v>
      </c>
      <c r="J5959" t="s">
        <v>14</v>
      </c>
      <c r="K5959" t="str">
        <f t="shared" si="303"/>
        <v>4F2</v>
      </c>
      <c r="L5959" t="s">
        <v>15</v>
      </c>
    </row>
    <row r="5960" spans="1:12" x14ac:dyDescent="0.25">
      <c r="A5960" t="str">
        <f t="shared" si="302"/>
        <v>536005060</v>
      </c>
      <c r="B5960" t="str">
        <f t="shared" si="304"/>
        <v>89301000</v>
      </c>
      <c r="C5960" s="1">
        <v>44355</v>
      </c>
      <c r="D5960" s="1">
        <v>44358</v>
      </c>
      <c r="E5960">
        <v>1</v>
      </c>
      <c r="F5960" t="s">
        <v>3625</v>
      </c>
      <c r="G5960" t="str">
        <f>"06-K14-01"</f>
        <v>06-K14-01</v>
      </c>
      <c r="H5960">
        <v>1.17</v>
      </c>
      <c r="I5960" t="s">
        <v>4363</v>
      </c>
      <c r="J5960" t="s">
        <v>14</v>
      </c>
      <c r="K5960" t="str">
        <f t="shared" si="303"/>
        <v>4F2</v>
      </c>
      <c r="L5960" t="s">
        <v>15</v>
      </c>
    </row>
    <row r="5961" spans="1:12" x14ac:dyDescent="0.25">
      <c r="A5961" t="str">
        <f t="shared" si="302"/>
        <v>536005060</v>
      </c>
      <c r="B5961" t="str">
        <f t="shared" si="304"/>
        <v>89301000</v>
      </c>
      <c r="C5961" s="1">
        <v>44335</v>
      </c>
      <c r="D5961" s="1">
        <v>44337</v>
      </c>
      <c r="E5961">
        <v>1</v>
      </c>
      <c r="F5961" t="s">
        <v>2910</v>
      </c>
      <c r="G5961" t="str">
        <f t="shared" ref="G5961:G5969" si="305">"06-C02-01"</f>
        <v>06-C02-01</v>
      </c>
      <c r="H5961">
        <v>0.27229999999999999</v>
      </c>
      <c r="I5961" t="s">
        <v>541</v>
      </c>
      <c r="J5961" t="s">
        <v>14</v>
      </c>
      <c r="K5961" t="str">
        <f t="shared" si="303"/>
        <v>4F2</v>
      </c>
      <c r="L5961" t="s">
        <v>15</v>
      </c>
    </row>
    <row r="5962" spans="1:12" x14ac:dyDescent="0.25">
      <c r="A5962" t="str">
        <f t="shared" si="302"/>
        <v>536005060</v>
      </c>
      <c r="B5962" t="str">
        <f t="shared" si="304"/>
        <v>89301000</v>
      </c>
      <c r="C5962" s="1">
        <v>44319</v>
      </c>
      <c r="D5962" s="1">
        <v>44323</v>
      </c>
      <c r="E5962">
        <v>1</v>
      </c>
      <c r="F5962" t="s">
        <v>2910</v>
      </c>
      <c r="G5962" t="str">
        <f t="shared" si="305"/>
        <v>06-C02-01</v>
      </c>
      <c r="H5962">
        <v>0.27229999999999999</v>
      </c>
      <c r="I5962" t="s">
        <v>4364</v>
      </c>
      <c r="J5962" t="s">
        <v>14</v>
      </c>
      <c r="K5962" t="str">
        <f t="shared" si="303"/>
        <v>4F2</v>
      </c>
      <c r="L5962" t="s">
        <v>15</v>
      </c>
    </row>
    <row r="5963" spans="1:12" x14ac:dyDescent="0.25">
      <c r="A5963" t="str">
        <f t="shared" si="302"/>
        <v>536005060</v>
      </c>
      <c r="B5963" t="str">
        <f t="shared" si="304"/>
        <v>89301000</v>
      </c>
      <c r="C5963" s="1">
        <v>44300</v>
      </c>
      <c r="D5963" s="1">
        <v>44307</v>
      </c>
      <c r="E5963">
        <v>1</v>
      </c>
      <c r="F5963" t="s">
        <v>2910</v>
      </c>
      <c r="G5963" t="str">
        <f t="shared" si="305"/>
        <v>06-C02-01</v>
      </c>
      <c r="H5963">
        <v>0.40110000000000001</v>
      </c>
      <c r="I5963" t="s">
        <v>4365</v>
      </c>
      <c r="J5963" t="s">
        <v>14</v>
      </c>
      <c r="K5963" t="str">
        <f t="shared" si="303"/>
        <v>4F2</v>
      </c>
      <c r="L5963" t="s">
        <v>15</v>
      </c>
    </row>
    <row r="5964" spans="1:12" x14ac:dyDescent="0.25">
      <c r="A5964" t="str">
        <f t="shared" si="302"/>
        <v>536005060</v>
      </c>
      <c r="B5964" t="str">
        <f t="shared" si="304"/>
        <v>89301000</v>
      </c>
      <c r="C5964" s="1">
        <v>44278</v>
      </c>
      <c r="D5964" s="1">
        <v>44280</v>
      </c>
      <c r="E5964">
        <v>1</v>
      </c>
      <c r="F5964" t="s">
        <v>3625</v>
      </c>
      <c r="G5964" t="str">
        <f t="shared" si="305"/>
        <v>06-C02-01</v>
      </c>
      <c r="H5964">
        <v>0.27229999999999999</v>
      </c>
      <c r="I5964" t="s">
        <v>4366</v>
      </c>
      <c r="J5964" t="s">
        <v>14</v>
      </c>
      <c r="K5964" t="str">
        <f t="shared" si="303"/>
        <v>4F2</v>
      </c>
      <c r="L5964" t="s">
        <v>15</v>
      </c>
    </row>
    <row r="5965" spans="1:12" x14ac:dyDescent="0.25">
      <c r="A5965" t="str">
        <f t="shared" si="302"/>
        <v>536005060</v>
      </c>
      <c r="B5965" t="str">
        <f t="shared" si="304"/>
        <v>89301000</v>
      </c>
      <c r="C5965" s="1">
        <v>44263</v>
      </c>
      <c r="D5965" s="1">
        <v>44265</v>
      </c>
      <c r="E5965">
        <v>1</v>
      </c>
      <c r="F5965" t="s">
        <v>3625</v>
      </c>
      <c r="G5965" t="str">
        <f t="shared" si="305"/>
        <v>06-C02-01</v>
      </c>
      <c r="H5965">
        <v>0.27229999999999999</v>
      </c>
      <c r="I5965" t="s">
        <v>4367</v>
      </c>
      <c r="J5965" t="s">
        <v>14</v>
      </c>
      <c r="K5965" t="str">
        <f t="shared" si="303"/>
        <v>4F2</v>
      </c>
      <c r="L5965" t="s">
        <v>15</v>
      </c>
    </row>
    <row r="5966" spans="1:12" x14ac:dyDescent="0.25">
      <c r="A5966" t="str">
        <f t="shared" si="302"/>
        <v>536005060</v>
      </c>
      <c r="B5966" t="str">
        <f t="shared" si="304"/>
        <v>89301000</v>
      </c>
      <c r="C5966" s="1">
        <v>44249</v>
      </c>
      <c r="D5966" s="1">
        <v>44251</v>
      </c>
      <c r="E5966">
        <v>1</v>
      </c>
      <c r="F5966" t="s">
        <v>3625</v>
      </c>
      <c r="G5966" t="str">
        <f t="shared" si="305"/>
        <v>06-C02-01</v>
      </c>
      <c r="H5966">
        <v>0.27229999999999999</v>
      </c>
      <c r="I5966" t="s">
        <v>4367</v>
      </c>
      <c r="J5966" t="s">
        <v>14</v>
      </c>
      <c r="K5966" t="str">
        <f t="shared" si="303"/>
        <v>4F2</v>
      </c>
      <c r="L5966" t="s">
        <v>15</v>
      </c>
    </row>
    <row r="5967" spans="1:12" x14ac:dyDescent="0.25">
      <c r="A5967" t="str">
        <f t="shared" si="302"/>
        <v>536005060</v>
      </c>
      <c r="B5967" t="str">
        <f t="shared" si="304"/>
        <v>89301000</v>
      </c>
      <c r="C5967" s="1">
        <v>44235</v>
      </c>
      <c r="D5967" s="1">
        <v>44237</v>
      </c>
      <c r="E5967">
        <v>1</v>
      </c>
      <c r="F5967" t="s">
        <v>3625</v>
      </c>
      <c r="G5967" t="str">
        <f t="shared" si="305"/>
        <v>06-C02-01</v>
      </c>
      <c r="H5967">
        <v>0.27229999999999999</v>
      </c>
      <c r="I5967" t="s">
        <v>4367</v>
      </c>
      <c r="J5967" t="s">
        <v>14</v>
      </c>
      <c r="K5967" t="str">
        <f t="shared" si="303"/>
        <v>4F2</v>
      </c>
      <c r="L5967" t="s">
        <v>15</v>
      </c>
    </row>
    <row r="5968" spans="1:12" x14ac:dyDescent="0.25">
      <c r="A5968" t="str">
        <f t="shared" si="302"/>
        <v>536005060</v>
      </c>
      <c r="B5968" t="str">
        <f t="shared" si="304"/>
        <v>89301000</v>
      </c>
      <c r="C5968" s="1">
        <v>44218</v>
      </c>
      <c r="D5968" s="1">
        <v>44220</v>
      </c>
      <c r="E5968">
        <v>1</v>
      </c>
      <c r="F5968" t="s">
        <v>3625</v>
      </c>
      <c r="G5968" t="str">
        <f t="shared" si="305"/>
        <v>06-C02-01</v>
      </c>
      <c r="H5968">
        <v>0.27229999999999999</v>
      </c>
      <c r="I5968" t="s">
        <v>541</v>
      </c>
      <c r="J5968" t="s">
        <v>14</v>
      </c>
      <c r="K5968" t="str">
        <f t="shared" si="303"/>
        <v>4F2</v>
      </c>
      <c r="L5968" t="s">
        <v>15</v>
      </c>
    </row>
    <row r="5969" spans="1:12" x14ac:dyDescent="0.25">
      <c r="A5969" t="str">
        <f t="shared" si="302"/>
        <v>536005060</v>
      </c>
      <c r="B5969" t="str">
        <f t="shared" si="304"/>
        <v>89301000</v>
      </c>
      <c r="C5969" s="1">
        <v>44202</v>
      </c>
      <c r="D5969" s="1">
        <v>44205</v>
      </c>
      <c r="E5969">
        <v>1</v>
      </c>
      <c r="F5969" t="s">
        <v>3625</v>
      </c>
      <c r="G5969" t="str">
        <f t="shared" si="305"/>
        <v>06-C02-01</v>
      </c>
      <c r="H5969">
        <v>0.27229999999999999</v>
      </c>
      <c r="I5969" t="s">
        <v>4368</v>
      </c>
      <c r="J5969" t="s">
        <v>14</v>
      </c>
      <c r="K5969" t="str">
        <f t="shared" si="303"/>
        <v>4F2</v>
      </c>
      <c r="L5969" t="s">
        <v>15</v>
      </c>
    </row>
    <row r="5970" spans="1:12" x14ac:dyDescent="0.25">
      <c r="A5970" t="str">
        <f t="shared" si="302"/>
        <v>536005060</v>
      </c>
      <c r="B5970" t="str">
        <f t="shared" si="304"/>
        <v>89301000</v>
      </c>
      <c r="C5970" s="1">
        <v>44424</v>
      </c>
      <c r="D5970" s="1">
        <v>44428</v>
      </c>
      <c r="E5970">
        <v>1</v>
      </c>
      <c r="F5970" t="s">
        <v>3625</v>
      </c>
      <c r="G5970" t="str">
        <f>"06-K14-02"</f>
        <v>06-K14-02</v>
      </c>
      <c r="H5970">
        <v>0.57279999999999998</v>
      </c>
      <c r="I5970" t="s">
        <v>4369</v>
      </c>
      <c r="J5970" t="s">
        <v>14</v>
      </c>
      <c r="K5970" t="str">
        <f t="shared" si="303"/>
        <v>4F2</v>
      </c>
      <c r="L5970" t="s">
        <v>15</v>
      </c>
    </row>
    <row r="5971" spans="1:12" x14ac:dyDescent="0.25">
      <c r="A5971" t="str">
        <f>"536007297"</f>
        <v>536007297</v>
      </c>
      <c r="B5971" t="str">
        <f t="shared" si="304"/>
        <v>89301000</v>
      </c>
      <c r="C5971" s="1">
        <v>44408</v>
      </c>
      <c r="D5971" s="1">
        <v>44413</v>
      </c>
      <c r="E5971">
        <v>1</v>
      </c>
      <c r="F5971" t="s">
        <v>2133</v>
      </c>
      <c r="G5971" t="str">
        <f>"04-K06-03"</f>
        <v>04-K06-03</v>
      </c>
      <c r="H5971">
        <v>0.66259999999999997</v>
      </c>
      <c r="I5971" t="s">
        <v>4370</v>
      </c>
      <c r="J5971" t="s">
        <v>14</v>
      </c>
      <c r="K5971" t="str">
        <f>"2F5"</f>
        <v>2F5</v>
      </c>
      <c r="L5971" t="s">
        <v>15</v>
      </c>
    </row>
    <row r="5972" spans="1:12" x14ac:dyDescent="0.25">
      <c r="A5972" t="str">
        <f>"536020199"</f>
        <v>536020199</v>
      </c>
      <c r="B5972" t="str">
        <f t="shared" si="304"/>
        <v>89301000</v>
      </c>
      <c r="C5972" s="1">
        <v>44187</v>
      </c>
      <c r="D5972" s="1">
        <v>44201</v>
      </c>
      <c r="E5972">
        <v>1</v>
      </c>
      <c r="F5972" t="s">
        <v>1420</v>
      </c>
      <c r="G5972" t="str">
        <f>"03-K02-02"</f>
        <v>03-K02-02</v>
      </c>
      <c r="H5972">
        <v>0.74750000000000005</v>
      </c>
      <c r="I5972" t="s">
        <v>4371</v>
      </c>
      <c r="J5972" t="s">
        <v>14</v>
      </c>
      <c r="K5972" t="str">
        <f>"1F6"</f>
        <v>1F6</v>
      </c>
      <c r="L5972" t="s">
        <v>15</v>
      </c>
    </row>
    <row r="5973" spans="1:12" x14ac:dyDescent="0.25">
      <c r="A5973" t="str">
        <f>"536022037"</f>
        <v>536022037</v>
      </c>
      <c r="B5973" t="str">
        <f t="shared" si="304"/>
        <v>89301000</v>
      </c>
      <c r="C5973" s="1">
        <v>44369</v>
      </c>
      <c r="D5973" s="1">
        <v>44384</v>
      </c>
      <c r="E5973">
        <v>1</v>
      </c>
      <c r="F5973" t="s">
        <v>2391</v>
      </c>
      <c r="G5973" t="str">
        <f>"05-I15-00"</f>
        <v>05-I15-00</v>
      </c>
      <c r="H5973">
        <v>12.466200000000001</v>
      </c>
      <c r="I5973" t="s">
        <v>4372</v>
      </c>
      <c r="J5973" t="s">
        <v>14</v>
      </c>
      <c r="K5973" t="str">
        <f>"5F5"</f>
        <v>5F5</v>
      </c>
      <c r="L5973" t="s">
        <v>15</v>
      </c>
    </row>
    <row r="5974" spans="1:12" x14ac:dyDescent="0.25">
      <c r="A5974" t="str">
        <f>"536022037"</f>
        <v>536022037</v>
      </c>
      <c r="B5974" t="str">
        <f t="shared" si="304"/>
        <v>89301000</v>
      </c>
      <c r="C5974" s="1">
        <v>44335</v>
      </c>
      <c r="D5974" s="1">
        <v>44356</v>
      </c>
      <c r="E5974">
        <v>1</v>
      </c>
      <c r="F5974" t="s">
        <v>985</v>
      </c>
      <c r="G5974" t="str">
        <f>"04-K02-04"</f>
        <v>04-K02-04</v>
      </c>
      <c r="H5974">
        <v>1.2452000000000001</v>
      </c>
      <c r="I5974" t="s">
        <v>4373</v>
      </c>
      <c r="J5974" t="s">
        <v>14</v>
      </c>
      <c r="K5974" t="str">
        <f>"1F1"</f>
        <v>1F1</v>
      </c>
      <c r="L5974" t="s">
        <v>15</v>
      </c>
    </row>
    <row r="5975" spans="1:12" x14ac:dyDescent="0.25">
      <c r="A5975" t="str">
        <f>"536026254"</f>
        <v>536026254</v>
      </c>
      <c r="B5975" t="str">
        <f t="shared" si="304"/>
        <v>89301000</v>
      </c>
      <c r="C5975" s="1">
        <v>44328</v>
      </c>
      <c r="D5975" s="1">
        <v>44336</v>
      </c>
      <c r="E5975">
        <v>1</v>
      </c>
      <c r="F5975" t="s">
        <v>335</v>
      </c>
      <c r="G5975" t="str">
        <f>"07-I10-04"</f>
        <v>07-I10-04</v>
      </c>
      <c r="H5975">
        <v>1.4336</v>
      </c>
      <c r="I5975" t="s">
        <v>3462</v>
      </c>
      <c r="J5975" t="s">
        <v>17</v>
      </c>
      <c r="K5975" t="str">
        <f>"5F1"</f>
        <v>5F1</v>
      </c>
      <c r="L5975" t="s">
        <v>15</v>
      </c>
    </row>
    <row r="5976" spans="1:12" x14ac:dyDescent="0.25">
      <c r="A5976" t="str">
        <f>"536026254"</f>
        <v>536026254</v>
      </c>
      <c r="B5976" t="str">
        <f t="shared" si="304"/>
        <v>89301000</v>
      </c>
      <c r="C5976" s="1">
        <v>44202</v>
      </c>
      <c r="D5976" s="1">
        <v>44208</v>
      </c>
      <c r="E5976">
        <v>1</v>
      </c>
      <c r="F5976" t="s">
        <v>588</v>
      </c>
      <c r="G5976" t="str">
        <f>"07-K02-03"</f>
        <v>07-K02-03</v>
      </c>
      <c r="H5976">
        <v>0.7742</v>
      </c>
      <c r="I5976" t="s">
        <v>248</v>
      </c>
      <c r="J5976" t="s">
        <v>14</v>
      </c>
      <c r="K5976" t="str">
        <f>"5F1"</f>
        <v>5F1</v>
      </c>
      <c r="L5976" t="s">
        <v>15</v>
      </c>
    </row>
    <row r="5977" spans="1:12" x14ac:dyDescent="0.25">
      <c r="A5977" t="str">
        <f>"536031194"</f>
        <v>536031194</v>
      </c>
      <c r="B5977" t="str">
        <f t="shared" si="304"/>
        <v>89301000</v>
      </c>
      <c r="C5977" s="1">
        <v>44437</v>
      </c>
      <c r="D5977" s="1">
        <v>44445</v>
      </c>
      <c r="E5977">
        <v>3</v>
      </c>
      <c r="F5977" t="s">
        <v>1968</v>
      </c>
      <c r="G5977" t="str">
        <f>"08-I05-04"</f>
        <v>08-I05-04</v>
      </c>
      <c r="H5977">
        <v>2.4581</v>
      </c>
      <c r="I5977" t="s">
        <v>4374</v>
      </c>
      <c r="J5977" t="s">
        <v>17</v>
      </c>
      <c r="K5977" t="str">
        <f>"6F6"</f>
        <v>6F6</v>
      </c>
      <c r="L5977" t="s">
        <v>15</v>
      </c>
    </row>
    <row r="5978" spans="1:12" x14ac:dyDescent="0.25">
      <c r="A5978" t="str">
        <f>"536031194"</f>
        <v>536031194</v>
      </c>
      <c r="B5978" t="str">
        <f t="shared" si="304"/>
        <v>89301000</v>
      </c>
      <c r="C5978" s="1">
        <v>44445</v>
      </c>
      <c r="D5978" s="1">
        <v>44456</v>
      </c>
      <c r="E5978">
        <v>4</v>
      </c>
      <c r="F5978" t="s">
        <v>109</v>
      </c>
      <c r="G5978" t="str">
        <f>"24-M06-02"</f>
        <v>24-M06-02</v>
      </c>
      <c r="H5978">
        <v>1.0233000000000001</v>
      </c>
      <c r="I5978" t="s">
        <v>2447</v>
      </c>
      <c r="J5978" t="s">
        <v>14</v>
      </c>
      <c r="K5978" t="str">
        <f>"2F1"</f>
        <v>2F1</v>
      </c>
      <c r="L5978" t="s">
        <v>15</v>
      </c>
    </row>
    <row r="5979" spans="1:12" x14ac:dyDescent="0.25">
      <c r="A5979" t="str">
        <f>"536102252"</f>
        <v>536102252</v>
      </c>
      <c r="B5979" t="str">
        <f t="shared" si="304"/>
        <v>89301000</v>
      </c>
      <c r="C5979" s="1">
        <v>44473</v>
      </c>
      <c r="D5979" s="1">
        <v>44474</v>
      </c>
      <c r="E5979">
        <v>1</v>
      </c>
      <c r="F5979" t="s">
        <v>2623</v>
      </c>
      <c r="G5979" t="str">
        <f>"17-C05-06"</f>
        <v>17-C05-06</v>
      </c>
      <c r="H5979">
        <v>0.50260000000000005</v>
      </c>
      <c r="I5979" t="s">
        <v>2945</v>
      </c>
      <c r="J5979" t="s">
        <v>14</v>
      </c>
      <c r="K5979" t="str">
        <f>"2F2"</f>
        <v>2F2</v>
      </c>
      <c r="L5979" t="s">
        <v>15</v>
      </c>
    </row>
    <row r="5980" spans="1:12" x14ac:dyDescent="0.25">
      <c r="A5980" t="str">
        <f>"536102252"</f>
        <v>536102252</v>
      </c>
      <c r="B5980" t="str">
        <f t="shared" si="304"/>
        <v>89301000</v>
      </c>
      <c r="C5980" s="1">
        <v>44480</v>
      </c>
      <c r="D5980" s="1">
        <v>44484</v>
      </c>
      <c r="E5980">
        <v>1</v>
      </c>
      <c r="F5980" t="s">
        <v>2623</v>
      </c>
      <c r="G5980" t="str">
        <f>"00-M10-02"</f>
        <v>00-M10-02</v>
      </c>
      <c r="H5980">
        <v>1.2450000000000001</v>
      </c>
      <c r="I5980" t="s">
        <v>4375</v>
      </c>
      <c r="J5980" t="s">
        <v>24</v>
      </c>
      <c r="K5980" t="str">
        <f>"2F2"</f>
        <v>2F2</v>
      </c>
      <c r="L5980" t="s">
        <v>15</v>
      </c>
    </row>
    <row r="5981" spans="1:12" x14ac:dyDescent="0.25">
      <c r="A5981" t="str">
        <f>"536102252"</f>
        <v>536102252</v>
      </c>
      <c r="B5981" t="str">
        <f t="shared" si="304"/>
        <v>89301000</v>
      </c>
      <c r="C5981" s="1">
        <v>44531</v>
      </c>
      <c r="D5981" s="1">
        <v>44535</v>
      </c>
      <c r="E5981">
        <v>1</v>
      </c>
      <c r="F5981" t="s">
        <v>593</v>
      </c>
      <c r="G5981" t="str">
        <f>"07-I10-06"</f>
        <v>07-I10-06</v>
      </c>
      <c r="H5981">
        <v>0.9728</v>
      </c>
      <c r="J5981" t="s">
        <v>17</v>
      </c>
      <c r="K5981" t="str">
        <f>"5F1"</f>
        <v>5F1</v>
      </c>
      <c r="L5981" t="s">
        <v>15</v>
      </c>
    </row>
    <row r="5982" spans="1:12" x14ac:dyDescent="0.25">
      <c r="A5982" t="str">
        <f>"536108257"</f>
        <v>536108257</v>
      </c>
      <c r="B5982" t="str">
        <f t="shared" si="304"/>
        <v>89301000</v>
      </c>
      <c r="C5982" s="1">
        <v>44530</v>
      </c>
      <c r="D5982" s="1">
        <v>44533</v>
      </c>
      <c r="E5982">
        <v>1</v>
      </c>
      <c r="F5982" t="s">
        <v>217</v>
      </c>
      <c r="G5982" t="str">
        <f>"04-K02-04"</f>
        <v>04-K02-04</v>
      </c>
      <c r="H5982">
        <v>0.82469999999999999</v>
      </c>
      <c r="I5982" t="s">
        <v>274</v>
      </c>
      <c r="J5982" t="s">
        <v>14</v>
      </c>
      <c r="K5982" t="str">
        <f>"1F1"</f>
        <v>1F1</v>
      </c>
      <c r="L5982" t="s">
        <v>15</v>
      </c>
    </row>
    <row r="5983" spans="1:12" x14ac:dyDescent="0.25">
      <c r="A5983" t="str">
        <f>"536112224"</f>
        <v>536112224</v>
      </c>
      <c r="B5983" t="str">
        <f t="shared" si="304"/>
        <v>89301000</v>
      </c>
      <c r="C5983" s="1">
        <v>44217</v>
      </c>
      <c r="D5983" s="1">
        <v>44218</v>
      </c>
      <c r="E5983">
        <v>1</v>
      </c>
      <c r="F5983" t="s">
        <v>772</v>
      </c>
      <c r="G5983" t="str">
        <f>"08-I17-02"</f>
        <v>08-I17-02</v>
      </c>
      <c r="H5983">
        <v>0.98309999999999997</v>
      </c>
      <c r="I5983" t="s">
        <v>21</v>
      </c>
      <c r="J5983" t="s">
        <v>14</v>
      </c>
      <c r="K5983" t="str">
        <f>"5F3"</f>
        <v>5F3</v>
      </c>
      <c r="L5983" t="s">
        <v>15</v>
      </c>
    </row>
    <row r="5984" spans="1:12" x14ac:dyDescent="0.25">
      <c r="A5984" t="str">
        <f>"536113002"</f>
        <v>536113002</v>
      </c>
      <c r="B5984" t="str">
        <f t="shared" si="304"/>
        <v>89301000</v>
      </c>
      <c r="C5984" s="1">
        <v>44232</v>
      </c>
      <c r="D5984" s="1">
        <v>44238</v>
      </c>
      <c r="E5984">
        <v>1</v>
      </c>
      <c r="F5984" t="s">
        <v>4376</v>
      </c>
      <c r="G5984" t="str">
        <f>"08-K04-03"</f>
        <v>08-K04-03</v>
      </c>
      <c r="H5984">
        <v>0.45050000000000001</v>
      </c>
      <c r="I5984" t="s">
        <v>4377</v>
      </c>
      <c r="J5984" t="s">
        <v>14</v>
      </c>
      <c r="K5984" t="str">
        <f>"1F9"</f>
        <v>1F9</v>
      </c>
      <c r="L5984" t="s">
        <v>15</v>
      </c>
    </row>
    <row r="5985" spans="1:12" x14ac:dyDescent="0.25">
      <c r="A5985" t="str">
        <f>"536117177"</f>
        <v>536117177</v>
      </c>
      <c r="B5985" t="str">
        <f t="shared" si="304"/>
        <v>89301000</v>
      </c>
      <c r="C5985" s="1">
        <v>44518</v>
      </c>
      <c r="D5985" s="1">
        <v>44523</v>
      </c>
      <c r="E5985">
        <v>1</v>
      </c>
      <c r="F5985" t="s">
        <v>2232</v>
      </c>
      <c r="G5985" t="str">
        <f>"11-I07-01"</f>
        <v>11-I07-01</v>
      </c>
      <c r="H5985">
        <v>2.5975999999999999</v>
      </c>
      <c r="I5985" t="s">
        <v>1959</v>
      </c>
      <c r="J5985" t="s">
        <v>14</v>
      </c>
      <c r="K5985" t="str">
        <f>"7F6"</f>
        <v>7F6</v>
      </c>
      <c r="L5985" t="s">
        <v>15</v>
      </c>
    </row>
    <row r="5986" spans="1:12" x14ac:dyDescent="0.25">
      <c r="A5986" t="str">
        <f>"536120129"</f>
        <v>536120129</v>
      </c>
      <c r="B5986" t="str">
        <f t="shared" si="304"/>
        <v>89301000</v>
      </c>
      <c r="C5986" s="1">
        <v>44509</v>
      </c>
      <c r="D5986" s="1">
        <v>44510</v>
      </c>
      <c r="E5986">
        <v>1</v>
      </c>
      <c r="F5986" t="s">
        <v>1950</v>
      </c>
      <c r="G5986" t="str">
        <f>"02-I13-02"</f>
        <v>02-I13-02</v>
      </c>
      <c r="H5986">
        <v>0.376</v>
      </c>
      <c r="J5986" t="s">
        <v>14</v>
      </c>
      <c r="K5986" t="str">
        <f>"7F5"</f>
        <v>7F5</v>
      </c>
      <c r="L5986" t="s">
        <v>15</v>
      </c>
    </row>
    <row r="5987" spans="1:12" x14ac:dyDescent="0.25">
      <c r="A5987" t="str">
        <f>"536120298"</f>
        <v>536120298</v>
      </c>
      <c r="B5987" t="str">
        <f t="shared" si="304"/>
        <v>89301000</v>
      </c>
      <c r="C5987" s="1">
        <v>44497</v>
      </c>
      <c r="D5987" s="1">
        <v>44500</v>
      </c>
      <c r="E5987">
        <v>1</v>
      </c>
      <c r="F5987" t="s">
        <v>266</v>
      </c>
      <c r="G5987" t="str">
        <f>"13-I14-03"</f>
        <v>13-I14-03</v>
      </c>
      <c r="H5987">
        <v>4.4720000000000004</v>
      </c>
      <c r="J5987" t="s">
        <v>24</v>
      </c>
      <c r="K5987" t="str">
        <f>"6F3"</f>
        <v>6F3</v>
      </c>
      <c r="L5987" t="s">
        <v>15</v>
      </c>
    </row>
    <row r="5988" spans="1:12" x14ac:dyDescent="0.25">
      <c r="A5988" t="str">
        <f>"536121234"</f>
        <v>536121234</v>
      </c>
      <c r="B5988" t="str">
        <f t="shared" si="304"/>
        <v>89301000</v>
      </c>
      <c r="C5988" s="1">
        <v>44534</v>
      </c>
      <c r="D5988" s="1">
        <v>44548</v>
      </c>
      <c r="E5988">
        <v>8</v>
      </c>
      <c r="F5988" t="s">
        <v>217</v>
      </c>
      <c r="G5988" t="str">
        <f>"00-M01-04"</f>
        <v>00-M01-04</v>
      </c>
      <c r="H5988">
        <v>6.85</v>
      </c>
      <c r="I5988" t="s">
        <v>4378</v>
      </c>
      <c r="J5988" t="s">
        <v>14</v>
      </c>
      <c r="K5988" t="str">
        <f>"7T8"</f>
        <v>7T8</v>
      </c>
      <c r="L5988" t="s">
        <v>15</v>
      </c>
    </row>
    <row r="5989" spans="1:12" x14ac:dyDescent="0.25">
      <c r="A5989" t="str">
        <f>"536121356"</f>
        <v>536121356</v>
      </c>
      <c r="B5989" t="str">
        <f t="shared" si="304"/>
        <v>89301000</v>
      </c>
      <c r="C5989" s="1">
        <v>44392</v>
      </c>
      <c r="D5989" s="1">
        <v>44395</v>
      </c>
      <c r="E5989">
        <v>1</v>
      </c>
      <c r="F5989" t="s">
        <v>2478</v>
      </c>
      <c r="G5989" t="str">
        <f>"23-K04-02"</f>
        <v>23-K04-02</v>
      </c>
      <c r="H5989">
        <v>0.75049999999999994</v>
      </c>
      <c r="I5989" t="s">
        <v>4379</v>
      </c>
      <c r="J5989" t="s">
        <v>14</v>
      </c>
      <c r="K5989" t="str">
        <f>"5F1"</f>
        <v>5F1</v>
      </c>
      <c r="L5989" t="s">
        <v>15</v>
      </c>
    </row>
    <row r="5990" spans="1:12" x14ac:dyDescent="0.25">
      <c r="A5990" t="str">
        <f>"536207190"</f>
        <v>536207190</v>
      </c>
      <c r="B5990" t="str">
        <f t="shared" si="304"/>
        <v>89301000</v>
      </c>
      <c r="C5990" s="1">
        <v>44292</v>
      </c>
      <c r="D5990" s="1">
        <v>44299</v>
      </c>
      <c r="E5990">
        <v>3</v>
      </c>
      <c r="F5990" t="s">
        <v>2407</v>
      </c>
      <c r="G5990" t="str">
        <f>"08-I06-04"</f>
        <v>08-I06-04</v>
      </c>
      <c r="H5990">
        <v>2.4260000000000002</v>
      </c>
      <c r="I5990" t="s">
        <v>4260</v>
      </c>
      <c r="J5990" t="s">
        <v>24</v>
      </c>
      <c r="K5990" t="str">
        <f>"6F6"</f>
        <v>6F6</v>
      </c>
      <c r="L5990" t="s">
        <v>15</v>
      </c>
    </row>
    <row r="5991" spans="1:12" x14ac:dyDescent="0.25">
      <c r="A5991" t="str">
        <f>"536207190"</f>
        <v>536207190</v>
      </c>
      <c r="B5991" t="str">
        <f t="shared" si="304"/>
        <v>89301000</v>
      </c>
      <c r="C5991" s="1">
        <v>44299</v>
      </c>
      <c r="D5991" s="1">
        <v>44313</v>
      </c>
      <c r="E5991">
        <v>4</v>
      </c>
      <c r="F5991" t="s">
        <v>109</v>
      </c>
      <c r="G5991" t="str">
        <f>"24-M07-02"</f>
        <v>24-M07-02</v>
      </c>
      <c r="H5991">
        <v>1.5094000000000001</v>
      </c>
      <c r="I5991" t="s">
        <v>3247</v>
      </c>
      <c r="J5991" t="s">
        <v>14</v>
      </c>
      <c r="K5991" t="str">
        <f>"2F1"</f>
        <v>2F1</v>
      </c>
      <c r="L5991" t="s">
        <v>15</v>
      </c>
    </row>
    <row r="5992" spans="1:12" x14ac:dyDescent="0.25">
      <c r="A5992" t="str">
        <f>"536211196"</f>
        <v>536211196</v>
      </c>
      <c r="B5992" t="str">
        <f t="shared" si="304"/>
        <v>89301000</v>
      </c>
      <c r="C5992" s="1">
        <v>44450</v>
      </c>
      <c r="D5992" s="1">
        <v>44462</v>
      </c>
      <c r="E5992">
        <v>4</v>
      </c>
      <c r="F5992" t="s">
        <v>2706</v>
      </c>
      <c r="G5992" t="str">
        <f>"09-K01-02"</f>
        <v>09-K01-02</v>
      </c>
      <c r="H5992">
        <v>1.0527</v>
      </c>
      <c r="I5992" t="s">
        <v>4380</v>
      </c>
      <c r="J5992" t="s">
        <v>14</v>
      </c>
      <c r="K5992" t="str">
        <f>"4F4"</f>
        <v>4F4</v>
      </c>
      <c r="L5992" t="s">
        <v>15</v>
      </c>
    </row>
    <row r="5993" spans="1:12" x14ac:dyDescent="0.25">
      <c r="A5993" t="str">
        <f>"536211196"</f>
        <v>536211196</v>
      </c>
      <c r="B5993" t="str">
        <f t="shared" si="304"/>
        <v>89301000</v>
      </c>
      <c r="C5993" s="1">
        <v>44319</v>
      </c>
      <c r="D5993" s="1">
        <v>44326</v>
      </c>
      <c r="E5993">
        <v>4</v>
      </c>
      <c r="F5993" t="s">
        <v>2935</v>
      </c>
      <c r="G5993" t="str">
        <f>"05-K13-01"</f>
        <v>05-K13-01</v>
      </c>
      <c r="H5993">
        <v>1.2979000000000001</v>
      </c>
      <c r="I5993" t="s">
        <v>4381</v>
      </c>
      <c r="J5993" t="s">
        <v>14</v>
      </c>
      <c r="K5993" t="str">
        <f>"4F4"</f>
        <v>4F4</v>
      </c>
      <c r="L5993" t="s">
        <v>15</v>
      </c>
    </row>
    <row r="5994" spans="1:12" x14ac:dyDescent="0.25">
      <c r="A5994" t="str">
        <f>"536214205"</f>
        <v>536214205</v>
      </c>
      <c r="B5994" t="str">
        <f t="shared" si="304"/>
        <v>89301000</v>
      </c>
      <c r="C5994" s="1">
        <v>44266</v>
      </c>
      <c r="D5994" s="1">
        <v>44269</v>
      </c>
      <c r="E5994">
        <v>1</v>
      </c>
      <c r="F5994" t="s">
        <v>2527</v>
      </c>
      <c r="G5994" t="str">
        <f>"13-I14-03"</f>
        <v>13-I14-03</v>
      </c>
      <c r="H5994">
        <v>0.83199999999999996</v>
      </c>
      <c r="I5994" t="s">
        <v>489</v>
      </c>
      <c r="J5994" t="s">
        <v>24</v>
      </c>
      <c r="K5994" t="str">
        <f>"6F3"</f>
        <v>6F3</v>
      </c>
      <c r="L5994" t="s">
        <v>15</v>
      </c>
    </row>
    <row r="5995" spans="1:12" x14ac:dyDescent="0.25">
      <c r="A5995" t="str">
        <f>"536215048"</f>
        <v>536215048</v>
      </c>
      <c r="B5995" t="str">
        <f t="shared" si="304"/>
        <v>89301000</v>
      </c>
      <c r="C5995" s="1">
        <v>44432</v>
      </c>
      <c r="D5995" s="1">
        <v>44435</v>
      </c>
      <c r="E5995">
        <v>1</v>
      </c>
      <c r="F5995" t="s">
        <v>4382</v>
      </c>
      <c r="G5995" t="str">
        <f>"05-I30-01"</f>
        <v>05-I30-01</v>
      </c>
      <c r="H5995">
        <v>0.64139999999999997</v>
      </c>
      <c r="I5995" t="s">
        <v>4383</v>
      </c>
      <c r="J5995" t="s">
        <v>14</v>
      </c>
      <c r="K5995" t="str">
        <f>"5F1"</f>
        <v>5F1</v>
      </c>
      <c r="L5995" t="s">
        <v>15</v>
      </c>
    </row>
    <row r="5996" spans="1:12" x14ac:dyDescent="0.25">
      <c r="A5996" t="str">
        <f>"536218040"</f>
        <v>536218040</v>
      </c>
      <c r="B5996" t="str">
        <f t="shared" si="304"/>
        <v>89301000</v>
      </c>
      <c r="C5996" s="1">
        <v>44459</v>
      </c>
      <c r="D5996" s="1">
        <v>44463</v>
      </c>
      <c r="E5996">
        <v>1</v>
      </c>
      <c r="F5996" t="s">
        <v>335</v>
      </c>
      <c r="G5996" t="str">
        <f>"07-I10-05"</f>
        <v>07-I10-05</v>
      </c>
      <c r="H5996">
        <v>1.2605999999999999</v>
      </c>
      <c r="I5996" t="s">
        <v>4384</v>
      </c>
      <c r="J5996" t="s">
        <v>17</v>
      </c>
      <c r="K5996" t="str">
        <f>"5F1"</f>
        <v>5F1</v>
      </c>
      <c r="L5996" t="s">
        <v>15</v>
      </c>
    </row>
    <row r="5997" spans="1:12" x14ac:dyDescent="0.25">
      <c r="A5997" t="str">
        <f>"536223193"</f>
        <v>536223193</v>
      </c>
      <c r="B5997" t="str">
        <f t="shared" si="304"/>
        <v>89301000</v>
      </c>
      <c r="C5997" s="1">
        <v>44332</v>
      </c>
      <c r="D5997" s="1">
        <v>44338</v>
      </c>
      <c r="E5997">
        <v>1</v>
      </c>
      <c r="F5997" t="s">
        <v>31</v>
      </c>
      <c r="G5997" t="str">
        <f>"08-I03-04"</f>
        <v>08-I03-04</v>
      </c>
      <c r="H5997">
        <v>4.4184000000000001</v>
      </c>
      <c r="I5997" t="s">
        <v>489</v>
      </c>
      <c r="J5997" t="s">
        <v>17</v>
      </c>
      <c r="K5997" t="str">
        <f>"5F6"</f>
        <v>5F6</v>
      </c>
      <c r="L5997" t="s">
        <v>15</v>
      </c>
    </row>
    <row r="5998" spans="1:12" x14ac:dyDescent="0.25">
      <c r="A5998" t="str">
        <f>"536224252"</f>
        <v>536224252</v>
      </c>
      <c r="B5998" t="str">
        <f t="shared" si="304"/>
        <v>89301000</v>
      </c>
      <c r="C5998" s="1">
        <v>44448</v>
      </c>
      <c r="D5998" s="1">
        <v>44456</v>
      </c>
      <c r="E5998">
        <v>1</v>
      </c>
      <c r="F5998" t="s">
        <v>2437</v>
      </c>
      <c r="G5998" t="str">
        <f>"06-I07-05"</f>
        <v>06-I07-05</v>
      </c>
      <c r="H5998">
        <v>2.8466999999999998</v>
      </c>
      <c r="I5998" t="s">
        <v>4385</v>
      </c>
      <c r="J5998" t="s">
        <v>17</v>
      </c>
      <c r="K5998" t="str">
        <f>"5F1"</f>
        <v>5F1</v>
      </c>
      <c r="L5998" t="s">
        <v>15</v>
      </c>
    </row>
    <row r="5999" spans="1:12" x14ac:dyDescent="0.25">
      <c r="A5999" t="str">
        <f>"536225299"</f>
        <v>536225299</v>
      </c>
      <c r="B5999" t="str">
        <f t="shared" si="304"/>
        <v>89301000</v>
      </c>
      <c r="C5999" s="1">
        <v>44306</v>
      </c>
      <c r="D5999" s="1">
        <v>44316</v>
      </c>
      <c r="E5999">
        <v>1</v>
      </c>
      <c r="F5999" t="s">
        <v>407</v>
      </c>
      <c r="G5999" t="str">
        <f>"03-I10-01"</f>
        <v>03-I10-01</v>
      </c>
      <c r="H5999">
        <v>1.3720000000000001</v>
      </c>
      <c r="I5999" t="s">
        <v>4386</v>
      </c>
      <c r="J5999" t="s">
        <v>17</v>
      </c>
      <c r="K5999" t="str">
        <f>"6F5"</f>
        <v>6F5</v>
      </c>
      <c r="L5999" t="s">
        <v>15</v>
      </c>
    </row>
    <row r="6000" spans="1:12" x14ac:dyDescent="0.25">
      <c r="A6000" t="str">
        <f>"536225304"</f>
        <v>536225304</v>
      </c>
      <c r="B6000" t="str">
        <f t="shared" si="304"/>
        <v>89301000</v>
      </c>
      <c r="C6000" s="1">
        <v>44462</v>
      </c>
      <c r="D6000" s="1">
        <v>44463</v>
      </c>
      <c r="E6000">
        <v>1</v>
      </c>
      <c r="F6000" t="s">
        <v>41</v>
      </c>
      <c r="G6000" t="str">
        <f>"01-D01-03"</f>
        <v>01-D01-03</v>
      </c>
      <c r="H6000">
        <v>0.158</v>
      </c>
      <c r="I6000" t="s">
        <v>2520</v>
      </c>
      <c r="J6000" t="s">
        <v>14</v>
      </c>
      <c r="K6000" t="str">
        <f>"2F5"</f>
        <v>2F5</v>
      </c>
      <c r="L6000" t="s">
        <v>15</v>
      </c>
    </row>
    <row r="6001" spans="1:12" x14ac:dyDescent="0.25">
      <c r="A6001" t="str">
        <f>"536227083"</f>
        <v>536227083</v>
      </c>
      <c r="B6001" t="str">
        <f t="shared" si="304"/>
        <v>89301000</v>
      </c>
      <c r="C6001" s="1">
        <v>44285</v>
      </c>
      <c r="D6001" s="1">
        <v>44294</v>
      </c>
      <c r="E6001">
        <v>4</v>
      </c>
      <c r="F6001" t="s">
        <v>2328</v>
      </c>
      <c r="G6001" t="str">
        <f>"08-I05-04"</f>
        <v>08-I05-04</v>
      </c>
      <c r="H6001">
        <v>3.5796999999999999</v>
      </c>
      <c r="I6001" t="s">
        <v>4387</v>
      </c>
      <c r="J6001" t="s">
        <v>17</v>
      </c>
      <c r="K6001" t="str">
        <f>"6F6"</f>
        <v>6F6</v>
      </c>
      <c r="L6001" t="s">
        <v>15</v>
      </c>
    </row>
    <row r="6002" spans="1:12" x14ac:dyDescent="0.25">
      <c r="A6002" t="str">
        <f>"5401021901"</f>
        <v>5401021901</v>
      </c>
      <c r="B6002" t="str">
        <f t="shared" si="304"/>
        <v>89301000</v>
      </c>
      <c r="C6002" s="1">
        <v>44537</v>
      </c>
      <c r="D6002" s="1">
        <v>44543</v>
      </c>
      <c r="E6002">
        <v>1</v>
      </c>
      <c r="F6002" t="s">
        <v>3131</v>
      </c>
      <c r="G6002" t="str">
        <f>"03-I07-01"</f>
        <v>03-I07-01</v>
      </c>
      <c r="H6002">
        <v>3.8304</v>
      </c>
      <c r="I6002" t="s">
        <v>4388</v>
      </c>
      <c r="J6002" t="s">
        <v>17</v>
      </c>
      <c r="K6002" t="str">
        <f>"7F1"</f>
        <v>7F1</v>
      </c>
      <c r="L6002" t="s">
        <v>15</v>
      </c>
    </row>
    <row r="6003" spans="1:12" x14ac:dyDescent="0.25">
      <c r="A6003" t="str">
        <f>"5401021901"</f>
        <v>5401021901</v>
      </c>
      <c r="B6003" t="str">
        <f t="shared" si="304"/>
        <v>89301000</v>
      </c>
      <c r="C6003" s="1">
        <v>44557</v>
      </c>
      <c r="D6003" s="1">
        <v>44560</v>
      </c>
      <c r="E6003">
        <v>1</v>
      </c>
      <c r="F6003" t="s">
        <v>1553</v>
      </c>
      <c r="G6003" t="str">
        <f>"04-K05-03"</f>
        <v>04-K05-03</v>
      </c>
      <c r="H6003">
        <v>0.74980000000000002</v>
      </c>
      <c r="I6003" t="s">
        <v>4389</v>
      </c>
      <c r="J6003" t="s">
        <v>14</v>
      </c>
      <c r="K6003" t="str">
        <f>"2F5"</f>
        <v>2F5</v>
      </c>
      <c r="L6003" t="s">
        <v>15</v>
      </c>
    </row>
    <row r="6004" spans="1:12" x14ac:dyDescent="0.25">
      <c r="A6004" t="str">
        <f>"5401040579"</f>
        <v>5401040579</v>
      </c>
      <c r="B6004" t="str">
        <f t="shared" si="304"/>
        <v>89301000</v>
      </c>
      <c r="C6004" s="1">
        <v>44322</v>
      </c>
      <c r="D6004" s="1">
        <v>44337</v>
      </c>
      <c r="E6004">
        <v>1</v>
      </c>
      <c r="F6004" t="s">
        <v>109</v>
      </c>
      <c r="G6004" t="str">
        <f>"24-M07-02"</f>
        <v>24-M07-02</v>
      </c>
      <c r="H6004">
        <v>1.5094000000000001</v>
      </c>
      <c r="I6004" t="s">
        <v>4390</v>
      </c>
      <c r="J6004" t="s">
        <v>14</v>
      </c>
      <c r="K6004" t="str">
        <f>"2F1"</f>
        <v>2F1</v>
      </c>
      <c r="L6004" t="s">
        <v>15</v>
      </c>
    </row>
    <row r="6005" spans="1:12" x14ac:dyDescent="0.25">
      <c r="A6005" t="str">
        <f>"5401040579"</f>
        <v>5401040579</v>
      </c>
      <c r="B6005" t="str">
        <f t="shared" si="304"/>
        <v>89301000</v>
      </c>
      <c r="C6005" s="1">
        <v>44284</v>
      </c>
      <c r="D6005" s="1">
        <v>44322</v>
      </c>
      <c r="E6005">
        <v>3</v>
      </c>
      <c r="F6005" t="s">
        <v>217</v>
      </c>
      <c r="G6005" t="str">
        <f>"00-M02-04"</f>
        <v>00-M02-04</v>
      </c>
      <c r="H6005">
        <v>12.39</v>
      </c>
      <c r="I6005" t="s">
        <v>4391</v>
      </c>
      <c r="J6005" t="s">
        <v>14</v>
      </c>
      <c r="K6005" t="str">
        <f>"2F5"</f>
        <v>2F5</v>
      </c>
      <c r="L6005" t="s">
        <v>15</v>
      </c>
    </row>
    <row r="6006" spans="1:12" x14ac:dyDescent="0.25">
      <c r="A6006" t="str">
        <f>"5401051568"</f>
        <v>5401051568</v>
      </c>
      <c r="B6006" t="str">
        <f t="shared" si="304"/>
        <v>89301000</v>
      </c>
      <c r="C6006" s="1">
        <v>44300</v>
      </c>
      <c r="D6006" s="1">
        <v>44304</v>
      </c>
      <c r="E6006">
        <v>1</v>
      </c>
      <c r="F6006" t="s">
        <v>1679</v>
      </c>
      <c r="G6006" t="str">
        <f>"11-M06-03"</f>
        <v>11-M06-03</v>
      </c>
      <c r="H6006">
        <v>0.61519999999999997</v>
      </c>
      <c r="I6006" t="s">
        <v>4392</v>
      </c>
      <c r="J6006" t="s">
        <v>17</v>
      </c>
      <c r="K6006" t="str">
        <f>"7F6"</f>
        <v>7F6</v>
      </c>
      <c r="L6006" t="s">
        <v>15</v>
      </c>
    </row>
    <row r="6007" spans="1:12" x14ac:dyDescent="0.25">
      <c r="A6007" t="str">
        <f>"5401051568"</f>
        <v>5401051568</v>
      </c>
      <c r="B6007" t="str">
        <f t="shared" si="304"/>
        <v>89301000</v>
      </c>
      <c r="C6007" s="1">
        <v>44341</v>
      </c>
      <c r="D6007" s="1">
        <v>44344</v>
      </c>
      <c r="E6007">
        <v>1</v>
      </c>
      <c r="F6007" t="s">
        <v>1679</v>
      </c>
      <c r="G6007" t="str">
        <f>"11-K08-02"</f>
        <v>11-K08-02</v>
      </c>
      <c r="H6007">
        <v>0.47389999999999999</v>
      </c>
      <c r="I6007" t="s">
        <v>168</v>
      </c>
      <c r="J6007" t="s">
        <v>14</v>
      </c>
      <c r="K6007" t="str">
        <f>"7F6"</f>
        <v>7F6</v>
      </c>
      <c r="L6007" t="s">
        <v>15</v>
      </c>
    </row>
    <row r="6008" spans="1:12" x14ac:dyDescent="0.25">
      <c r="A6008" t="str">
        <f>"5401051568"</f>
        <v>5401051568</v>
      </c>
      <c r="B6008" t="str">
        <f t="shared" si="304"/>
        <v>89301000</v>
      </c>
      <c r="C6008" s="1">
        <v>44439</v>
      </c>
      <c r="D6008" s="1">
        <v>44440</v>
      </c>
      <c r="E6008">
        <v>1</v>
      </c>
      <c r="F6008" t="s">
        <v>2264</v>
      </c>
      <c r="G6008" t="str">
        <f>"11-M06-03"</f>
        <v>11-M06-03</v>
      </c>
      <c r="H6008">
        <v>0.61519999999999997</v>
      </c>
      <c r="I6008" t="s">
        <v>1959</v>
      </c>
      <c r="J6008" t="s">
        <v>17</v>
      </c>
      <c r="K6008" t="str">
        <f>"7F6"</f>
        <v>7F6</v>
      </c>
      <c r="L6008" t="s">
        <v>15</v>
      </c>
    </row>
    <row r="6009" spans="1:12" x14ac:dyDescent="0.25">
      <c r="A6009" t="str">
        <f>"5401051568"</f>
        <v>5401051568</v>
      </c>
      <c r="B6009" t="str">
        <f t="shared" si="304"/>
        <v>89301000</v>
      </c>
      <c r="C6009" s="1">
        <v>44433</v>
      </c>
      <c r="D6009" s="1">
        <v>44435</v>
      </c>
      <c r="E6009">
        <v>1</v>
      </c>
      <c r="F6009" t="s">
        <v>1679</v>
      </c>
      <c r="G6009" t="str">
        <f>"11-K08-02"</f>
        <v>11-K08-02</v>
      </c>
      <c r="H6009">
        <v>0.47389999999999999</v>
      </c>
      <c r="I6009" t="s">
        <v>1959</v>
      </c>
      <c r="J6009" t="s">
        <v>14</v>
      </c>
      <c r="K6009" t="str">
        <f>"7F6"</f>
        <v>7F6</v>
      </c>
      <c r="L6009" t="s">
        <v>15</v>
      </c>
    </row>
    <row r="6010" spans="1:12" x14ac:dyDescent="0.25">
      <c r="A6010" t="str">
        <f>"5401131241"</f>
        <v>5401131241</v>
      </c>
      <c r="B6010" t="str">
        <f t="shared" si="304"/>
        <v>89301000</v>
      </c>
      <c r="C6010" s="1">
        <v>44214</v>
      </c>
      <c r="D6010" s="1">
        <v>44219</v>
      </c>
      <c r="E6010">
        <v>1</v>
      </c>
      <c r="F6010" t="s">
        <v>2585</v>
      </c>
      <c r="G6010" t="str">
        <f>"12-I02-01"</f>
        <v>12-I02-01</v>
      </c>
      <c r="H6010">
        <v>3.1240999999999999</v>
      </c>
      <c r="I6010" t="s">
        <v>3117</v>
      </c>
      <c r="J6010" t="s">
        <v>14</v>
      </c>
      <c r="K6010" t="str">
        <f>"7F6"</f>
        <v>7F6</v>
      </c>
      <c r="L6010" t="s">
        <v>15</v>
      </c>
    </row>
    <row r="6011" spans="1:12" x14ac:dyDescent="0.25">
      <c r="A6011" t="str">
        <f>"5401132462"</f>
        <v>5401132462</v>
      </c>
      <c r="B6011" t="str">
        <f t="shared" si="304"/>
        <v>89301000</v>
      </c>
      <c r="C6011" s="1">
        <v>44466</v>
      </c>
      <c r="D6011" s="1">
        <v>44468</v>
      </c>
      <c r="E6011">
        <v>5</v>
      </c>
      <c r="F6011" t="s">
        <v>1545</v>
      </c>
      <c r="G6011" t="str">
        <f>"05-D01-06"</f>
        <v>05-D01-06</v>
      </c>
      <c r="H6011">
        <v>0.7611</v>
      </c>
      <c r="I6011" t="s">
        <v>1602</v>
      </c>
      <c r="J6011" t="s">
        <v>14</v>
      </c>
      <c r="K6011" t="str">
        <f>"1F7"</f>
        <v>1F7</v>
      </c>
      <c r="L6011" t="s">
        <v>15</v>
      </c>
    </row>
    <row r="6012" spans="1:12" x14ac:dyDescent="0.25">
      <c r="A6012" t="str">
        <f>"5401132462"</f>
        <v>5401132462</v>
      </c>
      <c r="B6012" t="str">
        <f t="shared" si="304"/>
        <v>89301000</v>
      </c>
      <c r="C6012" s="1">
        <v>44474</v>
      </c>
      <c r="D6012" s="1">
        <v>44475</v>
      </c>
      <c r="E6012">
        <v>1</v>
      </c>
      <c r="F6012" t="s">
        <v>1599</v>
      </c>
      <c r="G6012" t="str">
        <f>"05-I14-03"</f>
        <v>05-I14-03</v>
      </c>
      <c r="H6012">
        <v>6.1292</v>
      </c>
      <c r="I6012" t="s">
        <v>4393</v>
      </c>
      <c r="J6012" t="s">
        <v>14</v>
      </c>
      <c r="K6012" t="str">
        <f>"1F1"</f>
        <v>1F1</v>
      </c>
      <c r="L6012" t="s">
        <v>15</v>
      </c>
    </row>
    <row r="6013" spans="1:12" x14ac:dyDescent="0.25">
      <c r="A6013" t="str">
        <f>"5401141361"</f>
        <v>5401141361</v>
      </c>
      <c r="B6013" t="str">
        <f t="shared" si="304"/>
        <v>89301000</v>
      </c>
      <c r="C6013" s="1">
        <v>44350</v>
      </c>
      <c r="D6013" s="1">
        <v>44351</v>
      </c>
      <c r="E6013">
        <v>1</v>
      </c>
      <c r="F6013" t="s">
        <v>1557</v>
      </c>
      <c r="G6013" t="str">
        <f>"05-M06-08"</f>
        <v>05-M06-08</v>
      </c>
      <c r="H6013">
        <v>1.4719</v>
      </c>
      <c r="I6013" t="s">
        <v>4394</v>
      </c>
      <c r="J6013" t="s">
        <v>17</v>
      </c>
      <c r="K6013" t="str">
        <f>"1F1"</f>
        <v>1F1</v>
      </c>
      <c r="L6013" t="s">
        <v>15</v>
      </c>
    </row>
    <row r="6014" spans="1:12" x14ac:dyDescent="0.25">
      <c r="A6014" t="str">
        <f>"5401141361"</f>
        <v>5401141361</v>
      </c>
      <c r="B6014" t="str">
        <f t="shared" si="304"/>
        <v>89301000</v>
      </c>
      <c r="C6014" s="1">
        <v>44391</v>
      </c>
      <c r="D6014" s="1">
        <v>44392</v>
      </c>
      <c r="E6014">
        <v>1</v>
      </c>
      <c r="F6014" t="s">
        <v>1557</v>
      </c>
      <c r="G6014" t="str">
        <f>"05-M06-07"</f>
        <v>05-M06-07</v>
      </c>
      <c r="H6014">
        <v>1.8717999999999999</v>
      </c>
      <c r="I6014" t="s">
        <v>1892</v>
      </c>
      <c r="J6014" t="s">
        <v>17</v>
      </c>
      <c r="K6014" t="str">
        <f>"1F7"</f>
        <v>1F7</v>
      </c>
      <c r="L6014" t="s">
        <v>15</v>
      </c>
    </row>
    <row r="6015" spans="1:12" x14ac:dyDescent="0.25">
      <c r="A6015" t="str">
        <f>"5401180367"</f>
        <v>5401180367</v>
      </c>
      <c r="B6015" t="str">
        <f t="shared" si="304"/>
        <v>89301000</v>
      </c>
      <c r="C6015" s="1">
        <v>44427</v>
      </c>
      <c r="D6015" s="1">
        <v>44448</v>
      </c>
      <c r="E6015">
        <v>1</v>
      </c>
      <c r="F6015" t="s">
        <v>109</v>
      </c>
      <c r="G6015" t="str">
        <f>"24-M08-02"</f>
        <v>24-M08-02</v>
      </c>
      <c r="H6015">
        <v>2.3557000000000001</v>
      </c>
      <c r="I6015" t="s">
        <v>4395</v>
      </c>
      <c r="J6015" t="s">
        <v>14</v>
      </c>
      <c r="K6015" t="str">
        <f>"2F1"</f>
        <v>2F1</v>
      </c>
      <c r="L6015" t="s">
        <v>15</v>
      </c>
    </row>
    <row r="6016" spans="1:12" x14ac:dyDescent="0.25">
      <c r="A6016" t="str">
        <f>"5401210331"</f>
        <v>5401210331</v>
      </c>
      <c r="B6016" t="str">
        <f t="shared" si="304"/>
        <v>89301000</v>
      </c>
      <c r="C6016" s="1">
        <v>44375</v>
      </c>
      <c r="D6016" s="1">
        <v>44386</v>
      </c>
      <c r="E6016">
        <v>1</v>
      </c>
      <c r="F6016" t="s">
        <v>1693</v>
      </c>
      <c r="G6016" t="str">
        <f>"07-M02-03"</f>
        <v>07-M02-03</v>
      </c>
      <c r="H6016">
        <v>1.2850999999999999</v>
      </c>
      <c r="J6016" t="s">
        <v>17</v>
      </c>
      <c r="K6016" t="str">
        <f>"1F5"</f>
        <v>1F5</v>
      </c>
      <c r="L6016" t="s">
        <v>15</v>
      </c>
    </row>
    <row r="6017" spans="1:12" x14ac:dyDescent="0.25">
      <c r="A6017" t="str">
        <f>"5401210331"</f>
        <v>5401210331</v>
      </c>
      <c r="B6017" t="str">
        <f t="shared" si="304"/>
        <v>89301000</v>
      </c>
      <c r="C6017" s="1">
        <v>44420</v>
      </c>
      <c r="D6017" s="1">
        <v>44435</v>
      </c>
      <c r="E6017">
        <v>1</v>
      </c>
      <c r="F6017" t="s">
        <v>1953</v>
      </c>
      <c r="G6017" t="str">
        <f>"07-I01-02"</f>
        <v>07-I01-02</v>
      </c>
      <c r="H6017">
        <v>5.4947999999999997</v>
      </c>
      <c r="I6017" t="s">
        <v>4396</v>
      </c>
      <c r="J6017" t="s">
        <v>17</v>
      </c>
      <c r="K6017" t="str">
        <f>"5F1"</f>
        <v>5F1</v>
      </c>
      <c r="L6017" t="s">
        <v>15</v>
      </c>
    </row>
    <row r="6018" spans="1:12" x14ac:dyDescent="0.25">
      <c r="A6018" t="str">
        <f>"5401221375"</f>
        <v>5401221375</v>
      </c>
      <c r="B6018" t="str">
        <f t="shared" si="304"/>
        <v>89301000</v>
      </c>
      <c r="C6018" s="1">
        <v>44195</v>
      </c>
      <c r="D6018" s="1">
        <v>44201</v>
      </c>
      <c r="E6018">
        <v>7</v>
      </c>
      <c r="F6018" t="s">
        <v>962</v>
      </c>
      <c r="G6018" t="str">
        <f>"04-M01-07"</f>
        <v>04-M01-07</v>
      </c>
      <c r="H6018">
        <v>2.6560000000000001</v>
      </c>
      <c r="I6018" t="s">
        <v>4397</v>
      </c>
      <c r="J6018" t="s">
        <v>14</v>
      </c>
      <c r="K6018" t="str">
        <f>"7T8"</f>
        <v>7T8</v>
      </c>
      <c r="L6018" t="s">
        <v>15</v>
      </c>
    </row>
    <row r="6019" spans="1:12" x14ac:dyDescent="0.25">
      <c r="A6019" t="str">
        <f>"5401303655"</f>
        <v>5401303655</v>
      </c>
      <c r="B6019" t="str">
        <f t="shared" si="304"/>
        <v>89301000</v>
      </c>
      <c r="C6019" s="1">
        <v>44441</v>
      </c>
      <c r="D6019" s="1">
        <v>44442</v>
      </c>
      <c r="E6019">
        <v>1</v>
      </c>
      <c r="F6019" t="s">
        <v>1557</v>
      </c>
      <c r="G6019" t="str">
        <f>"05-D01-08"</f>
        <v>05-D01-08</v>
      </c>
      <c r="H6019">
        <v>0.4093</v>
      </c>
      <c r="J6019" t="s">
        <v>14</v>
      </c>
      <c r="K6019" t="str">
        <f>"1F1"</f>
        <v>1F1</v>
      </c>
      <c r="L6019" t="s">
        <v>15</v>
      </c>
    </row>
    <row r="6020" spans="1:12" x14ac:dyDescent="0.25">
      <c r="A6020" t="str">
        <f>"5402010438"</f>
        <v>5402010438</v>
      </c>
      <c r="B6020" t="str">
        <f t="shared" si="304"/>
        <v>89301000</v>
      </c>
      <c r="C6020" s="1">
        <v>44333</v>
      </c>
      <c r="D6020" s="1">
        <v>44343</v>
      </c>
      <c r="E6020">
        <v>1</v>
      </c>
      <c r="F6020" t="s">
        <v>1555</v>
      </c>
      <c r="G6020" t="str">
        <f>"05-I18-04"</f>
        <v>05-I18-04</v>
      </c>
      <c r="H6020">
        <v>3.6120999999999999</v>
      </c>
      <c r="I6020" t="s">
        <v>4398</v>
      </c>
      <c r="J6020" t="s">
        <v>14</v>
      </c>
      <c r="K6020" t="str">
        <f>"5F1"</f>
        <v>5F1</v>
      </c>
      <c r="L6020" t="s">
        <v>15</v>
      </c>
    </row>
    <row r="6021" spans="1:12" x14ac:dyDescent="0.25">
      <c r="A6021" t="str">
        <f>"5402070289"</f>
        <v>5402070289</v>
      </c>
      <c r="B6021" t="str">
        <f t="shared" ref="B6021:B6084" si="306">"89301000"</f>
        <v>89301000</v>
      </c>
      <c r="C6021" s="1">
        <v>44296</v>
      </c>
      <c r="D6021" s="1">
        <v>44300</v>
      </c>
      <c r="E6021">
        <v>1</v>
      </c>
      <c r="F6021" t="s">
        <v>4399</v>
      </c>
      <c r="G6021" t="str">
        <f>"08-K02-03"</f>
        <v>08-K02-03</v>
      </c>
      <c r="H6021">
        <v>0.73560000000000003</v>
      </c>
      <c r="I6021" t="s">
        <v>2183</v>
      </c>
      <c r="J6021" t="s">
        <v>14</v>
      </c>
      <c r="K6021" t="str">
        <f>"1F9"</f>
        <v>1F9</v>
      </c>
      <c r="L6021" t="s">
        <v>15</v>
      </c>
    </row>
    <row r="6022" spans="1:12" x14ac:dyDescent="0.25">
      <c r="A6022" t="str">
        <f>"5402071851"</f>
        <v>5402071851</v>
      </c>
      <c r="B6022" t="str">
        <f t="shared" si="306"/>
        <v>89301000</v>
      </c>
      <c r="C6022" s="1">
        <v>44366</v>
      </c>
      <c r="D6022" s="1">
        <v>44378</v>
      </c>
      <c r="E6022">
        <v>5</v>
      </c>
      <c r="F6022" t="s">
        <v>199</v>
      </c>
      <c r="G6022" t="str">
        <f>"00-M02-01"</f>
        <v>00-M02-01</v>
      </c>
      <c r="H6022">
        <v>21.939900000000002</v>
      </c>
      <c r="I6022" t="s">
        <v>4400</v>
      </c>
      <c r="J6022" t="s">
        <v>14</v>
      </c>
      <c r="K6022" t="str">
        <f>"7T8"</f>
        <v>7T8</v>
      </c>
      <c r="L6022" t="s">
        <v>15</v>
      </c>
    </row>
    <row r="6023" spans="1:12" x14ac:dyDescent="0.25">
      <c r="A6023" t="str">
        <f>"5402071851"</f>
        <v>5402071851</v>
      </c>
      <c r="B6023" t="str">
        <f t="shared" si="306"/>
        <v>89301000</v>
      </c>
      <c r="C6023" s="1">
        <v>44392</v>
      </c>
      <c r="D6023" s="1">
        <v>44393</v>
      </c>
      <c r="E6023">
        <v>5</v>
      </c>
      <c r="F6023" t="s">
        <v>316</v>
      </c>
      <c r="G6023" t="str">
        <f>"01-I08-03"</f>
        <v>01-I08-03</v>
      </c>
      <c r="H6023">
        <v>1.9188000000000001</v>
      </c>
      <c r="I6023" t="s">
        <v>4401</v>
      </c>
      <c r="J6023" t="s">
        <v>17</v>
      </c>
      <c r="K6023" t="str">
        <f>"5T6"</f>
        <v>5T6</v>
      </c>
      <c r="L6023" t="s">
        <v>15</v>
      </c>
    </row>
    <row r="6024" spans="1:12" x14ac:dyDescent="0.25">
      <c r="A6024" t="str">
        <f>"5402190673"</f>
        <v>5402190673</v>
      </c>
      <c r="B6024" t="str">
        <f t="shared" si="306"/>
        <v>89301000</v>
      </c>
      <c r="C6024" s="1">
        <v>44517</v>
      </c>
      <c r="D6024" s="1">
        <v>44545</v>
      </c>
      <c r="E6024">
        <v>5</v>
      </c>
      <c r="F6024" t="s">
        <v>1557</v>
      </c>
      <c r="G6024" t="str">
        <f>"05-D01-04"</f>
        <v>05-D01-04</v>
      </c>
      <c r="H6024">
        <v>3.1587999999999998</v>
      </c>
      <c r="I6024" t="s">
        <v>4402</v>
      </c>
      <c r="J6024" t="s">
        <v>14</v>
      </c>
      <c r="K6024" t="str">
        <f>"1F1"</f>
        <v>1F1</v>
      </c>
      <c r="L6024" t="s">
        <v>15</v>
      </c>
    </row>
    <row r="6025" spans="1:12" x14ac:dyDescent="0.25">
      <c r="A6025" t="str">
        <f>"5402231351"</f>
        <v>5402231351</v>
      </c>
      <c r="B6025" t="str">
        <f t="shared" si="306"/>
        <v>89301000</v>
      </c>
      <c r="C6025" s="1">
        <v>44470</v>
      </c>
      <c r="D6025" s="1">
        <v>44471</v>
      </c>
      <c r="E6025">
        <v>1</v>
      </c>
      <c r="F6025" t="s">
        <v>1557</v>
      </c>
      <c r="G6025" t="str">
        <f>"05-M06-08"</f>
        <v>05-M06-08</v>
      </c>
      <c r="H6025">
        <v>1.4719</v>
      </c>
      <c r="J6025" t="s">
        <v>17</v>
      </c>
      <c r="K6025" t="str">
        <f>"1F7"</f>
        <v>1F7</v>
      </c>
      <c r="L6025" t="s">
        <v>15</v>
      </c>
    </row>
    <row r="6026" spans="1:12" x14ac:dyDescent="0.25">
      <c r="A6026" t="str">
        <f>"5402231351"</f>
        <v>5402231351</v>
      </c>
      <c r="B6026" t="str">
        <f t="shared" si="306"/>
        <v>89301000</v>
      </c>
      <c r="C6026" s="1">
        <v>44433</v>
      </c>
      <c r="D6026" s="1">
        <v>44434</v>
      </c>
      <c r="E6026">
        <v>1</v>
      </c>
      <c r="F6026" t="s">
        <v>1557</v>
      </c>
      <c r="G6026" t="str">
        <f>"05-M06-08"</f>
        <v>05-M06-08</v>
      </c>
      <c r="H6026">
        <v>1.4719</v>
      </c>
      <c r="I6026" t="s">
        <v>1959</v>
      </c>
      <c r="J6026" t="s">
        <v>17</v>
      </c>
      <c r="K6026" t="str">
        <f>"1F1"</f>
        <v>1F1</v>
      </c>
      <c r="L6026" t="s">
        <v>15</v>
      </c>
    </row>
    <row r="6027" spans="1:12" x14ac:dyDescent="0.25">
      <c r="A6027" t="str">
        <f>"5403020480"</f>
        <v>5403020480</v>
      </c>
      <c r="B6027" t="str">
        <f t="shared" si="306"/>
        <v>89301000</v>
      </c>
      <c r="C6027" s="1">
        <v>44399</v>
      </c>
      <c r="D6027" s="1">
        <v>44400</v>
      </c>
      <c r="E6027">
        <v>1</v>
      </c>
      <c r="F6027" t="s">
        <v>2457</v>
      </c>
      <c r="G6027" t="str">
        <f>"05-D01-08"</f>
        <v>05-D01-08</v>
      </c>
      <c r="H6027">
        <v>0.4093</v>
      </c>
      <c r="J6027" t="s">
        <v>14</v>
      </c>
      <c r="K6027" t="str">
        <f>"1F7"</f>
        <v>1F7</v>
      </c>
      <c r="L6027" t="s">
        <v>15</v>
      </c>
    </row>
    <row r="6028" spans="1:12" x14ac:dyDescent="0.25">
      <c r="A6028" t="str">
        <f>"5403041534"</f>
        <v>5403041534</v>
      </c>
      <c r="B6028" t="str">
        <f t="shared" si="306"/>
        <v>89301000</v>
      </c>
      <c r="C6028" s="1">
        <v>44510</v>
      </c>
      <c r="D6028" s="1">
        <v>44512</v>
      </c>
      <c r="E6028">
        <v>1</v>
      </c>
      <c r="F6028" t="s">
        <v>3143</v>
      </c>
      <c r="G6028" t="str">
        <f>"01-K12-01"</f>
        <v>01-K12-01</v>
      </c>
      <c r="H6028">
        <v>0.71289999999999998</v>
      </c>
      <c r="J6028" t="s">
        <v>14</v>
      </c>
      <c r="K6028" t="str">
        <f>"5F6"</f>
        <v>5F6</v>
      </c>
      <c r="L6028" t="s">
        <v>15</v>
      </c>
    </row>
    <row r="6029" spans="1:12" x14ac:dyDescent="0.25">
      <c r="A6029" t="str">
        <f>"5403041534"</f>
        <v>5403041534</v>
      </c>
      <c r="B6029" t="str">
        <f t="shared" si="306"/>
        <v>89301000</v>
      </c>
      <c r="C6029" s="1">
        <v>44472</v>
      </c>
      <c r="D6029" s="1">
        <v>44476</v>
      </c>
      <c r="E6029">
        <v>1</v>
      </c>
      <c r="F6029" t="s">
        <v>1699</v>
      </c>
      <c r="G6029" t="str">
        <f>"01-K10-03"</f>
        <v>01-K10-03</v>
      </c>
      <c r="H6029">
        <v>1.0016</v>
      </c>
      <c r="I6029" t="s">
        <v>4403</v>
      </c>
      <c r="J6029" t="s">
        <v>14</v>
      </c>
      <c r="K6029" t="str">
        <f>"2F9"</f>
        <v>2F9</v>
      </c>
      <c r="L6029" t="s">
        <v>15</v>
      </c>
    </row>
    <row r="6030" spans="1:12" x14ac:dyDescent="0.25">
      <c r="A6030" t="str">
        <f>"5403082157"</f>
        <v>5403082157</v>
      </c>
      <c r="B6030" t="str">
        <f t="shared" si="306"/>
        <v>89301000</v>
      </c>
      <c r="C6030" s="1">
        <v>44278</v>
      </c>
      <c r="D6030" s="1">
        <v>44281</v>
      </c>
      <c r="E6030">
        <v>1</v>
      </c>
      <c r="F6030" t="s">
        <v>67</v>
      </c>
      <c r="G6030" t="str">
        <f>"01-K10-03"</f>
        <v>01-K10-03</v>
      </c>
      <c r="H6030">
        <v>1.0016</v>
      </c>
      <c r="I6030" t="s">
        <v>4404</v>
      </c>
      <c r="J6030" t="s">
        <v>14</v>
      </c>
      <c r="K6030" t="str">
        <f>"2F9"</f>
        <v>2F9</v>
      </c>
      <c r="L6030" t="s">
        <v>15</v>
      </c>
    </row>
    <row r="6031" spans="1:12" x14ac:dyDescent="0.25">
      <c r="A6031" t="str">
        <f>"5403102210"</f>
        <v>5403102210</v>
      </c>
      <c r="B6031" t="str">
        <f t="shared" si="306"/>
        <v>89301000</v>
      </c>
      <c r="C6031" s="1">
        <v>44244</v>
      </c>
      <c r="D6031" s="1">
        <v>44244</v>
      </c>
      <c r="E6031">
        <v>1</v>
      </c>
      <c r="F6031" t="s">
        <v>4151</v>
      </c>
      <c r="G6031" t="str">
        <f>"05-M06-08"</f>
        <v>05-M06-08</v>
      </c>
      <c r="H6031">
        <v>1.1200000000000001</v>
      </c>
      <c r="I6031" t="s">
        <v>4405</v>
      </c>
      <c r="J6031" t="s">
        <v>17</v>
      </c>
      <c r="K6031" t="str">
        <f>"1F1"</f>
        <v>1F1</v>
      </c>
      <c r="L6031" t="s">
        <v>15</v>
      </c>
    </row>
    <row r="6032" spans="1:12" x14ac:dyDescent="0.25">
      <c r="A6032" t="str">
        <f>"5403102210"</f>
        <v>5403102210</v>
      </c>
      <c r="B6032" t="str">
        <f t="shared" si="306"/>
        <v>89301000</v>
      </c>
      <c r="C6032" s="1">
        <v>44350</v>
      </c>
      <c r="D6032" s="1">
        <v>44351</v>
      </c>
      <c r="E6032">
        <v>1</v>
      </c>
      <c r="F6032" t="s">
        <v>1842</v>
      </c>
      <c r="G6032" t="str">
        <f>"05-I14-04"</f>
        <v>05-I14-04</v>
      </c>
      <c r="H6032">
        <v>5.4002999999999997</v>
      </c>
      <c r="I6032" t="s">
        <v>489</v>
      </c>
      <c r="J6032" t="s">
        <v>14</v>
      </c>
      <c r="K6032" t="str">
        <f>"1F1"</f>
        <v>1F1</v>
      </c>
      <c r="L6032" t="s">
        <v>15</v>
      </c>
    </row>
    <row r="6033" spans="1:12" x14ac:dyDescent="0.25">
      <c r="A6033" t="str">
        <f>"5403171752"</f>
        <v>5403171752</v>
      </c>
      <c r="B6033" t="str">
        <f t="shared" si="306"/>
        <v>89301000</v>
      </c>
      <c r="C6033" s="1">
        <v>44482</v>
      </c>
      <c r="D6033" s="1">
        <v>44487</v>
      </c>
      <c r="E6033">
        <v>4</v>
      </c>
      <c r="F6033" t="s">
        <v>406</v>
      </c>
      <c r="G6033" t="str">
        <f>"08-K12-02"</f>
        <v>08-K12-02</v>
      </c>
      <c r="H6033">
        <v>0.71619999999999995</v>
      </c>
      <c r="I6033" t="s">
        <v>4406</v>
      </c>
      <c r="J6033" t="s">
        <v>14</v>
      </c>
      <c r="K6033" t="str">
        <f>"5F3"</f>
        <v>5F3</v>
      </c>
      <c r="L6033" t="s">
        <v>15</v>
      </c>
    </row>
    <row r="6034" spans="1:12" x14ac:dyDescent="0.25">
      <c r="A6034" t="str">
        <f>"5403192949"</f>
        <v>5403192949</v>
      </c>
      <c r="B6034" t="str">
        <f t="shared" si="306"/>
        <v>89301000</v>
      </c>
      <c r="C6034" s="1">
        <v>44335</v>
      </c>
      <c r="D6034" s="1">
        <v>44337</v>
      </c>
      <c r="E6034">
        <v>1</v>
      </c>
      <c r="F6034" t="s">
        <v>579</v>
      </c>
      <c r="G6034" t="str">
        <f>"08-K03-03"</f>
        <v>08-K03-03</v>
      </c>
      <c r="H6034">
        <v>0.80700000000000005</v>
      </c>
      <c r="I6034" t="s">
        <v>4407</v>
      </c>
      <c r="J6034" t="s">
        <v>14</v>
      </c>
      <c r="K6034" t="str">
        <f>"1F9"</f>
        <v>1F9</v>
      </c>
      <c r="L6034" t="s">
        <v>15</v>
      </c>
    </row>
    <row r="6035" spans="1:12" x14ac:dyDescent="0.25">
      <c r="A6035" t="str">
        <f>"5403192949"</f>
        <v>5403192949</v>
      </c>
      <c r="B6035" t="str">
        <f t="shared" si="306"/>
        <v>89301000</v>
      </c>
      <c r="C6035" s="1">
        <v>44349</v>
      </c>
      <c r="D6035" s="1">
        <v>44361</v>
      </c>
      <c r="E6035">
        <v>1</v>
      </c>
      <c r="F6035" t="s">
        <v>4408</v>
      </c>
      <c r="G6035" t="str">
        <f>"08-I26-01"</f>
        <v>08-I26-01</v>
      </c>
      <c r="H6035">
        <v>1.1701999999999999</v>
      </c>
      <c r="J6035" t="s">
        <v>14</v>
      </c>
      <c r="K6035" t="str">
        <f>"6F6"</f>
        <v>6F6</v>
      </c>
      <c r="L6035" t="s">
        <v>15</v>
      </c>
    </row>
    <row r="6036" spans="1:12" x14ac:dyDescent="0.25">
      <c r="A6036" t="str">
        <f>"5403221571"</f>
        <v>5403221571</v>
      </c>
      <c r="B6036" t="str">
        <f t="shared" si="306"/>
        <v>89301000</v>
      </c>
      <c r="C6036" s="1">
        <v>44440</v>
      </c>
      <c r="D6036" s="1">
        <v>44446</v>
      </c>
      <c r="E6036">
        <v>4</v>
      </c>
      <c r="F6036" t="s">
        <v>1785</v>
      </c>
      <c r="G6036" t="str">
        <f>"05-K05-05"</f>
        <v>05-K05-05</v>
      </c>
      <c r="H6036">
        <v>0.37819999999999998</v>
      </c>
      <c r="I6036" t="s">
        <v>4409</v>
      </c>
      <c r="J6036" t="s">
        <v>14</v>
      </c>
      <c r="K6036" t="str">
        <f>"1F1"</f>
        <v>1F1</v>
      </c>
      <c r="L6036" t="s">
        <v>15</v>
      </c>
    </row>
    <row r="6037" spans="1:12" x14ac:dyDescent="0.25">
      <c r="A6037" t="str">
        <f>"5403252525"</f>
        <v>5403252525</v>
      </c>
      <c r="B6037" t="str">
        <f t="shared" si="306"/>
        <v>89301000</v>
      </c>
      <c r="C6037" s="1">
        <v>44441</v>
      </c>
      <c r="D6037" s="1">
        <v>44449</v>
      </c>
      <c r="E6037">
        <v>1</v>
      </c>
      <c r="F6037" t="s">
        <v>1927</v>
      </c>
      <c r="G6037" t="str">
        <f>"05-I24-04"</f>
        <v>05-I24-04</v>
      </c>
      <c r="H6037">
        <v>2.4001999999999999</v>
      </c>
      <c r="I6037" t="s">
        <v>4410</v>
      </c>
      <c r="J6037" t="s">
        <v>14</v>
      </c>
      <c r="K6037" t="str">
        <f>"5F1"</f>
        <v>5F1</v>
      </c>
      <c r="L6037" t="s">
        <v>15</v>
      </c>
    </row>
    <row r="6038" spans="1:12" x14ac:dyDescent="0.25">
      <c r="A6038" t="str">
        <f>"5403260665"</f>
        <v>5403260665</v>
      </c>
      <c r="B6038" t="str">
        <f t="shared" si="306"/>
        <v>89301000</v>
      </c>
      <c r="C6038" s="1">
        <v>44432</v>
      </c>
      <c r="D6038" s="1">
        <v>44435</v>
      </c>
      <c r="E6038">
        <v>1</v>
      </c>
      <c r="F6038" t="s">
        <v>1938</v>
      </c>
      <c r="G6038" t="str">
        <f>"11-K07-02"</f>
        <v>11-K07-02</v>
      </c>
      <c r="H6038">
        <v>0.74909999999999999</v>
      </c>
      <c r="I6038" t="s">
        <v>145</v>
      </c>
      <c r="J6038" t="s">
        <v>14</v>
      </c>
      <c r="K6038" t="str">
        <f>"4F2"</f>
        <v>4F2</v>
      </c>
      <c r="L6038" t="s">
        <v>15</v>
      </c>
    </row>
    <row r="6039" spans="1:12" x14ac:dyDescent="0.25">
      <c r="A6039" t="str">
        <f>"5403260665"</f>
        <v>5403260665</v>
      </c>
      <c r="B6039" t="str">
        <f t="shared" si="306"/>
        <v>89301000</v>
      </c>
      <c r="C6039" s="1">
        <v>44529</v>
      </c>
      <c r="D6039" s="1">
        <v>44531</v>
      </c>
      <c r="E6039">
        <v>8</v>
      </c>
      <c r="F6039" t="s">
        <v>3883</v>
      </c>
      <c r="G6039" t="str">
        <f>"06-K13-01"</f>
        <v>06-K13-01</v>
      </c>
      <c r="H6039">
        <v>1.0835999999999999</v>
      </c>
      <c r="I6039" t="s">
        <v>4411</v>
      </c>
      <c r="J6039" t="s">
        <v>14</v>
      </c>
      <c r="K6039" t="str">
        <f>"4F2"</f>
        <v>4F2</v>
      </c>
      <c r="L6039" t="s">
        <v>15</v>
      </c>
    </row>
    <row r="6040" spans="1:12" x14ac:dyDescent="0.25">
      <c r="A6040" t="str">
        <f>"5403270950"</f>
        <v>5403270950</v>
      </c>
      <c r="B6040" t="str">
        <f t="shared" si="306"/>
        <v>89301000</v>
      </c>
      <c r="C6040" s="1">
        <v>44235</v>
      </c>
      <c r="D6040" s="1">
        <v>44239</v>
      </c>
      <c r="E6040">
        <v>5</v>
      </c>
      <c r="F6040" t="s">
        <v>4412</v>
      </c>
      <c r="G6040" t="str">
        <f>"04-I05-03"</f>
        <v>04-I05-03</v>
      </c>
      <c r="H6040">
        <v>2.1143000000000001</v>
      </c>
      <c r="I6040" t="s">
        <v>489</v>
      </c>
      <c r="J6040" t="s">
        <v>106</v>
      </c>
      <c r="K6040" t="str">
        <f>"5T1"</f>
        <v>5T1</v>
      </c>
      <c r="L6040" t="s">
        <v>15</v>
      </c>
    </row>
    <row r="6041" spans="1:12" x14ac:dyDescent="0.25">
      <c r="A6041" t="str">
        <f>"5403293500"</f>
        <v>5403293500</v>
      </c>
      <c r="B6041" t="str">
        <f t="shared" si="306"/>
        <v>89301000</v>
      </c>
      <c r="C6041" s="1">
        <v>44230</v>
      </c>
      <c r="D6041" s="1">
        <v>44244</v>
      </c>
      <c r="E6041">
        <v>1</v>
      </c>
      <c r="F6041" t="s">
        <v>625</v>
      </c>
      <c r="G6041" t="str">
        <f>"04-M01-06"</f>
        <v>04-M01-06</v>
      </c>
      <c r="H6041">
        <v>3.5769000000000002</v>
      </c>
      <c r="I6041" t="s">
        <v>4413</v>
      </c>
      <c r="J6041" t="s">
        <v>14</v>
      </c>
      <c r="K6041" t="str">
        <f>"2F5"</f>
        <v>2F5</v>
      </c>
      <c r="L6041" t="s">
        <v>15</v>
      </c>
    </row>
    <row r="6042" spans="1:12" x14ac:dyDescent="0.25">
      <c r="A6042" t="str">
        <f>"5404091242"</f>
        <v>5404091242</v>
      </c>
      <c r="B6042" t="str">
        <f t="shared" si="306"/>
        <v>89301000</v>
      </c>
      <c r="C6042" s="1">
        <v>44447</v>
      </c>
      <c r="D6042" s="1">
        <v>44450</v>
      </c>
      <c r="E6042">
        <v>1</v>
      </c>
      <c r="F6042" t="s">
        <v>1581</v>
      </c>
      <c r="G6042" t="str">
        <f>"05-M07-06"</f>
        <v>05-M07-06</v>
      </c>
      <c r="H6042">
        <v>1.2513000000000001</v>
      </c>
      <c r="I6042" t="s">
        <v>4414</v>
      </c>
      <c r="J6042" t="s">
        <v>17</v>
      </c>
      <c r="K6042" t="str">
        <f>"1F1"</f>
        <v>1F1</v>
      </c>
      <c r="L6042" t="s">
        <v>15</v>
      </c>
    </row>
    <row r="6043" spans="1:12" x14ac:dyDescent="0.25">
      <c r="A6043" t="str">
        <f>"5404091242"</f>
        <v>5404091242</v>
      </c>
      <c r="B6043" t="str">
        <f t="shared" si="306"/>
        <v>89301000</v>
      </c>
      <c r="C6043" s="1">
        <v>44434</v>
      </c>
      <c r="D6043" s="1">
        <v>44438</v>
      </c>
      <c r="E6043">
        <v>1</v>
      </c>
      <c r="F6043" t="s">
        <v>2549</v>
      </c>
      <c r="G6043" t="str">
        <f>"10-K02-03"</f>
        <v>10-K02-03</v>
      </c>
      <c r="H6043">
        <v>0.56289999999999996</v>
      </c>
      <c r="I6043" t="s">
        <v>4415</v>
      </c>
      <c r="J6043" t="s">
        <v>14</v>
      </c>
      <c r="K6043" t="str">
        <f>"1F1"</f>
        <v>1F1</v>
      </c>
      <c r="L6043" t="s">
        <v>15</v>
      </c>
    </row>
    <row r="6044" spans="1:12" x14ac:dyDescent="0.25">
      <c r="A6044" t="str">
        <f>"5404111130"</f>
        <v>5404111130</v>
      </c>
      <c r="B6044" t="str">
        <f t="shared" si="306"/>
        <v>89301000</v>
      </c>
      <c r="C6044" s="1">
        <v>44545</v>
      </c>
      <c r="D6044" s="1">
        <v>44545</v>
      </c>
      <c r="E6044">
        <v>1</v>
      </c>
      <c r="F6044" t="s">
        <v>2457</v>
      </c>
      <c r="G6044" t="str">
        <f>"05-D01-08"</f>
        <v>05-D01-08</v>
      </c>
      <c r="H6044">
        <v>0.21890000000000001</v>
      </c>
      <c r="I6044" t="s">
        <v>4416</v>
      </c>
      <c r="J6044" t="s">
        <v>14</v>
      </c>
      <c r="K6044" t="str">
        <f>"1F1"</f>
        <v>1F1</v>
      </c>
      <c r="L6044" t="s">
        <v>15</v>
      </c>
    </row>
    <row r="6045" spans="1:12" x14ac:dyDescent="0.25">
      <c r="A6045" t="str">
        <f>"5404112373"</f>
        <v>5404112373</v>
      </c>
      <c r="B6045" t="str">
        <f t="shared" si="306"/>
        <v>89301000</v>
      </c>
      <c r="C6045" s="1">
        <v>44243</v>
      </c>
      <c r="D6045" s="1">
        <v>44246</v>
      </c>
      <c r="E6045">
        <v>1</v>
      </c>
      <c r="F6045" t="s">
        <v>1555</v>
      </c>
      <c r="G6045" t="str">
        <f>"05-M07-06"</f>
        <v>05-M07-06</v>
      </c>
      <c r="H6045">
        <v>1.2513000000000001</v>
      </c>
      <c r="I6045" t="s">
        <v>489</v>
      </c>
      <c r="J6045" t="s">
        <v>17</v>
      </c>
      <c r="K6045" t="str">
        <f>"5F1"</f>
        <v>5F1</v>
      </c>
      <c r="L6045" t="s">
        <v>15</v>
      </c>
    </row>
    <row r="6046" spans="1:12" x14ac:dyDescent="0.25">
      <c r="A6046" t="str">
        <f>"5404120260"</f>
        <v>5404120260</v>
      </c>
      <c r="B6046" t="str">
        <f t="shared" si="306"/>
        <v>89301000</v>
      </c>
      <c r="C6046" s="1">
        <v>44489</v>
      </c>
      <c r="D6046" s="1">
        <v>44491</v>
      </c>
      <c r="E6046">
        <v>1</v>
      </c>
      <c r="F6046" t="s">
        <v>3027</v>
      </c>
      <c r="G6046" t="str">
        <f>"03-I22-02"</f>
        <v>03-I22-02</v>
      </c>
      <c r="H6046">
        <v>0.75970000000000004</v>
      </c>
      <c r="I6046" t="s">
        <v>4417</v>
      </c>
      <c r="J6046" t="s">
        <v>14</v>
      </c>
      <c r="K6046" t="str">
        <f>"7F1"</f>
        <v>7F1</v>
      </c>
      <c r="L6046" t="s">
        <v>15</v>
      </c>
    </row>
    <row r="6047" spans="1:12" x14ac:dyDescent="0.25">
      <c r="A6047" t="str">
        <f>"5404120260"</f>
        <v>5404120260</v>
      </c>
      <c r="B6047" t="str">
        <f t="shared" si="306"/>
        <v>89301000</v>
      </c>
      <c r="C6047" s="1">
        <v>44531</v>
      </c>
      <c r="D6047" s="1">
        <v>44533</v>
      </c>
      <c r="E6047">
        <v>1</v>
      </c>
      <c r="F6047" t="s">
        <v>3027</v>
      </c>
      <c r="G6047" t="str">
        <f>"03-I22-02"</f>
        <v>03-I22-02</v>
      </c>
      <c r="H6047">
        <v>0.75970000000000004</v>
      </c>
      <c r="I6047" t="s">
        <v>4418</v>
      </c>
      <c r="J6047" t="s">
        <v>14</v>
      </c>
      <c r="K6047" t="str">
        <f>"7F1"</f>
        <v>7F1</v>
      </c>
      <c r="L6047" t="s">
        <v>15</v>
      </c>
    </row>
    <row r="6048" spans="1:12" x14ac:dyDescent="0.25">
      <c r="A6048" t="str">
        <f>"5404130347"</f>
        <v>5404130347</v>
      </c>
      <c r="B6048" t="str">
        <f t="shared" si="306"/>
        <v>89301000</v>
      </c>
      <c r="C6048" s="1">
        <v>44519</v>
      </c>
      <c r="D6048" s="1">
        <v>44521</v>
      </c>
      <c r="E6048">
        <v>1</v>
      </c>
      <c r="F6048" t="s">
        <v>320</v>
      </c>
      <c r="G6048" t="str">
        <f>"03-I23-00"</f>
        <v>03-I23-00</v>
      </c>
      <c r="H6048">
        <v>0.47639999999999999</v>
      </c>
      <c r="I6048" t="s">
        <v>4419</v>
      </c>
      <c r="J6048" t="s">
        <v>14</v>
      </c>
      <c r="K6048" t="str">
        <f>"6F5"</f>
        <v>6F5</v>
      </c>
      <c r="L6048" t="s">
        <v>15</v>
      </c>
    </row>
    <row r="6049" spans="1:12" x14ac:dyDescent="0.25">
      <c r="A6049" t="str">
        <f>"5404140731"</f>
        <v>5404140731</v>
      </c>
      <c r="B6049" t="str">
        <f t="shared" si="306"/>
        <v>89301000</v>
      </c>
      <c r="C6049" s="1">
        <v>44250</v>
      </c>
      <c r="D6049" s="1">
        <v>44253</v>
      </c>
      <c r="E6049">
        <v>1</v>
      </c>
      <c r="F6049" t="s">
        <v>1555</v>
      </c>
      <c r="G6049" t="str">
        <f>"05-M07-06"</f>
        <v>05-M07-06</v>
      </c>
      <c r="H6049">
        <v>1.2513000000000001</v>
      </c>
      <c r="J6049" t="s">
        <v>17</v>
      </c>
      <c r="K6049" t="str">
        <f>"5F1"</f>
        <v>5F1</v>
      </c>
      <c r="L6049" t="s">
        <v>15</v>
      </c>
    </row>
    <row r="6050" spans="1:12" x14ac:dyDescent="0.25">
      <c r="A6050" t="str">
        <f>"5404162511"</f>
        <v>5404162511</v>
      </c>
      <c r="B6050" t="str">
        <f t="shared" si="306"/>
        <v>89301000</v>
      </c>
      <c r="C6050" s="1">
        <v>44481</v>
      </c>
      <c r="D6050" s="1">
        <v>44482</v>
      </c>
      <c r="E6050">
        <v>1</v>
      </c>
      <c r="F6050" t="s">
        <v>2457</v>
      </c>
      <c r="G6050" t="str">
        <f>"05-D01-08"</f>
        <v>05-D01-08</v>
      </c>
      <c r="H6050">
        <v>0.4093</v>
      </c>
      <c r="I6050" t="s">
        <v>489</v>
      </c>
      <c r="J6050" t="s">
        <v>14</v>
      </c>
      <c r="K6050" t="str">
        <f>"1F1"</f>
        <v>1F1</v>
      </c>
      <c r="L6050" t="s">
        <v>15</v>
      </c>
    </row>
    <row r="6051" spans="1:12" x14ac:dyDescent="0.25">
      <c r="A6051" t="str">
        <f>"5404250269"</f>
        <v>5404250269</v>
      </c>
      <c r="B6051" t="str">
        <f t="shared" si="306"/>
        <v>89301000</v>
      </c>
      <c r="C6051" s="1">
        <v>44236</v>
      </c>
      <c r="D6051" s="1">
        <v>44240</v>
      </c>
      <c r="E6051">
        <v>1</v>
      </c>
      <c r="F6051" t="s">
        <v>1928</v>
      </c>
      <c r="G6051" t="str">
        <f>"11-K03-01"</f>
        <v>11-K03-01</v>
      </c>
      <c r="H6051">
        <v>1.2428999999999999</v>
      </c>
      <c r="I6051" t="s">
        <v>4420</v>
      </c>
      <c r="J6051" t="s">
        <v>14</v>
      </c>
      <c r="K6051" t="str">
        <f>"1F6"</f>
        <v>1F6</v>
      </c>
      <c r="L6051" t="s">
        <v>15</v>
      </c>
    </row>
    <row r="6052" spans="1:12" x14ac:dyDescent="0.25">
      <c r="A6052" t="str">
        <f>"5404261170"</f>
        <v>5404261170</v>
      </c>
      <c r="B6052" t="str">
        <f t="shared" si="306"/>
        <v>89301000</v>
      </c>
      <c r="C6052" s="1">
        <v>44308</v>
      </c>
      <c r="D6052" s="1">
        <v>44315</v>
      </c>
      <c r="E6052">
        <v>1</v>
      </c>
      <c r="F6052" t="s">
        <v>4421</v>
      </c>
      <c r="G6052" t="str">
        <f>"02-I13-01"</f>
        <v>02-I13-01</v>
      </c>
      <c r="H6052">
        <v>0.69720000000000004</v>
      </c>
      <c r="I6052" t="s">
        <v>4422</v>
      </c>
      <c r="J6052" t="s">
        <v>14</v>
      </c>
      <c r="K6052" t="str">
        <f>"7F5"</f>
        <v>7F5</v>
      </c>
      <c r="L6052" t="s">
        <v>15</v>
      </c>
    </row>
    <row r="6053" spans="1:12" x14ac:dyDescent="0.25">
      <c r="A6053" t="str">
        <f>"5404263403"</f>
        <v>5404263403</v>
      </c>
      <c r="B6053" t="str">
        <f t="shared" si="306"/>
        <v>89301000</v>
      </c>
      <c r="C6053" s="1">
        <v>44259</v>
      </c>
      <c r="D6053" s="1">
        <v>44270</v>
      </c>
      <c r="E6053">
        <v>1</v>
      </c>
      <c r="F6053" t="s">
        <v>217</v>
      </c>
      <c r="G6053" t="str">
        <f>"04-K02-03"</f>
        <v>04-K02-03</v>
      </c>
      <c r="H6053">
        <v>1.2859</v>
      </c>
      <c r="I6053" t="s">
        <v>4423</v>
      </c>
      <c r="J6053" t="s">
        <v>14</v>
      </c>
      <c r="K6053" t="str">
        <f>"1F1"</f>
        <v>1F1</v>
      </c>
      <c r="L6053" t="s">
        <v>15</v>
      </c>
    </row>
    <row r="6054" spans="1:12" x14ac:dyDescent="0.25">
      <c r="A6054" t="str">
        <f>"5405111789"</f>
        <v>5405111789</v>
      </c>
      <c r="B6054" t="str">
        <f t="shared" si="306"/>
        <v>89301000</v>
      </c>
      <c r="C6054" s="1">
        <v>44321</v>
      </c>
      <c r="D6054" s="1">
        <v>44322</v>
      </c>
      <c r="E6054">
        <v>1</v>
      </c>
      <c r="F6054" t="s">
        <v>1839</v>
      </c>
      <c r="G6054" t="str">
        <f>"06-M01-02"</f>
        <v>06-M01-02</v>
      </c>
      <c r="H6054">
        <v>1.2191000000000001</v>
      </c>
      <c r="I6054" t="s">
        <v>4424</v>
      </c>
      <c r="J6054" t="s">
        <v>14</v>
      </c>
      <c r="K6054" t="str">
        <f>"1F5"</f>
        <v>1F5</v>
      </c>
      <c r="L6054" t="s">
        <v>15</v>
      </c>
    </row>
    <row r="6055" spans="1:12" x14ac:dyDescent="0.25">
      <c r="A6055" t="str">
        <f>"5405111789"</f>
        <v>5405111789</v>
      </c>
      <c r="B6055" t="str">
        <f t="shared" si="306"/>
        <v>89301000</v>
      </c>
      <c r="C6055" s="1">
        <v>44328</v>
      </c>
      <c r="D6055" s="1">
        <v>44334</v>
      </c>
      <c r="E6055">
        <v>1</v>
      </c>
      <c r="F6055" t="s">
        <v>313</v>
      </c>
      <c r="G6055" t="str">
        <f>"03-I16-02"</f>
        <v>03-I16-02</v>
      </c>
      <c r="H6055">
        <v>0.89539999999999997</v>
      </c>
      <c r="I6055" t="s">
        <v>4425</v>
      </c>
      <c r="J6055" t="s">
        <v>24</v>
      </c>
      <c r="K6055" t="str">
        <f>"7F1"</f>
        <v>7F1</v>
      </c>
      <c r="L6055" t="s">
        <v>15</v>
      </c>
    </row>
    <row r="6056" spans="1:12" x14ac:dyDescent="0.25">
      <c r="A6056" t="str">
        <f>"5405120479"</f>
        <v>5405120479</v>
      </c>
      <c r="B6056" t="str">
        <f t="shared" si="306"/>
        <v>89301000</v>
      </c>
      <c r="C6056" s="1">
        <v>44381</v>
      </c>
      <c r="D6056" s="1">
        <v>44385</v>
      </c>
      <c r="E6056">
        <v>1</v>
      </c>
      <c r="F6056" t="s">
        <v>4426</v>
      </c>
      <c r="G6056" t="str">
        <f>"04-K03-02"</f>
        <v>04-K03-02</v>
      </c>
      <c r="H6056">
        <v>0.82599999999999996</v>
      </c>
      <c r="I6056" t="s">
        <v>4427</v>
      </c>
      <c r="J6056" t="s">
        <v>14</v>
      </c>
      <c r="K6056" t="str">
        <f>"2F5"</f>
        <v>2F5</v>
      </c>
      <c r="L6056" t="s">
        <v>15</v>
      </c>
    </row>
    <row r="6057" spans="1:12" x14ac:dyDescent="0.25">
      <c r="A6057" t="str">
        <f>"5405123812"</f>
        <v>5405123812</v>
      </c>
      <c r="B6057" t="str">
        <f t="shared" si="306"/>
        <v>89301000</v>
      </c>
      <c r="C6057" s="1">
        <v>44418</v>
      </c>
      <c r="D6057" s="1">
        <v>44425</v>
      </c>
      <c r="E6057">
        <v>2</v>
      </c>
      <c r="F6057" t="s">
        <v>1096</v>
      </c>
      <c r="G6057" t="str">
        <f>"04-K02-04"</f>
        <v>04-K02-04</v>
      </c>
      <c r="H6057">
        <v>0.82469999999999999</v>
      </c>
      <c r="I6057" t="s">
        <v>4428</v>
      </c>
      <c r="J6057" t="s">
        <v>14</v>
      </c>
      <c r="K6057" t="str">
        <f>"1F1"</f>
        <v>1F1</v>
      </c>
      <c r="L6057" t="s">
        <v>15</v>
      </c>
    </row>
    <row r="6058" spans="1:12" x14ac:dyDescent="0.25">
      <c r="A6058" t="str">
        <f>"5405151125"</f>
        <v>5405151125</v>
      </c>
      <c r="B6058" t="str">
        <f t="shared" si="306"/>
        <v>89301000</v>
      </c>
      <c r="C6058" s="1">
        <v>44250</v>
      </c>
      <c r="D6058" s="1">
        <v>44250</v>
      </c>
      <c r="E6058">
        <v>1</v>
      </c>
      <c r="F6058" t="s">
        <v>489</v>
      </c>
      <c r="G6058" t="str">
        <f>"05-D01-08"</f>
        <v>05-D01-08</v>
      </c>
      <c r="H6058">
        <v>0.21890000000000001</v>
      </c>
      <c r="I6058" t="s">
        <v>2283</v>
      </c>
      <c r="J6058" t="s">
        <v>14</v>
      </c>
      <c r="K6058" t="str">
        <f>"1F1"</f>
        <v>1F1</v>
      </c>
      <c r="L6058" t="s">
        <v>15</v>
      </c>
    </row>
    <row r="6059" spans="1:12" x14ac:dyDescent="0.25">
      <c r="A6059" t="str">
        <f>"5405170507"</f>
        <v>5405170507</v>
      </c>
      <c r="B6059" t="str">
        <f t="shared" si="306"/>
        <v>89301000</v>
      </c>
      <c r="C6059" s="1">
        <v>44512</v>
      </c>
      <c r="D6059" s="1">
        <v>44523</v>
      </c>
      <c r="E6059">
        <v>1</v>
      </c>
      <c r="F6059" t="s">
        <v>1558</v>
      </c>
      <c r="G6059" t="str">
        <f>"05-I12-03"</f>
        <v>05-I12-03</v>
      </c>
      <c r="H6059">
        <v>6.4964000000000004</v>
      </c>
      <c r="J6059" t="s">
        <v>17</v>
      </c>
      <c r="K6059" t="str">
        <f>"5F5"</f>
        <v>5F5</v>
      </c>
      <c r="L6059" t="s">
        <v>15</v>
      </c>
    </row>
    <row r="6060" spans="1:12" x14ac:dyDescent="0.25">
      <c r="A6060" t="str">
        <f>"5405170507"</f>
        <v>5405170507</v>
      </c>
      <c r="B6060" t="str">
        <f t="shared" si="306"/>
        <v>89301000</v>
      </c>
      <c r="C6060" s="1">
        <v>44328</v>
      </c>
      <c r="D6060" s="1">
        <v>44328</v>
      </c>
      <c r="E6060">
        <v>1</v>
      </c>
      <c r="F6060" t="s">
        <v>1875</v>
      </c>
      <c r="G6060" t="str">
        <f>"05-K05-02"</f>
        <v>05-K05-02</v>
      </c>
      <c r="H6060">
        <v>0.30709999999999998</v>
      </c>
      <c r="I6060" t="s">
        <v>4429</v>
      </c>
      <c r="J6060" t="s">
        <v>14</v>
      </c>
      <c r="K6060" t="str">
        <f>"1F1"</f>
        <v>1F1</v>
      </c>
      <c r="L6060" t="s">
        <v>15</v>
      </c>
    </row>
    <row r="6061" spans="1:12" x14ac:dyDescent="0.25">
      <c r="A6061" t="str">
        <f>"5405170507"</f>
        <v>5405170507</v>
      </c>
      <c r="B6061" t="str">
        <f t="shared" si="306"/>
        <v>89301000</v>
      </c>
      <c r="C6061" s="1">
        <v>44220</v>
      </c>
      <c r="D6061" s="1">
        <v>44226</v>
      </c>
      <c r="E6061">
        <v>1</v>
      </c>
      <c r="F6061" t="s">
        <v>2585</v>
      </c>
      <c r="G6061" t="str">
        <f>"12-I02-01"</f>
        <v>12-I02-01</v>
      </c>
      <c r="H6061">
        <v>3.1240999999999999</v>
      </c>
      <c r="I6061" t="s">
        <v>4430</v>
      </c>
      <c r="J6061" t="s">
        <v>14</v>
      </c>
      <c r="K6061" t="str">
        <f>"7F6"</f>
        <v>7F6</v>
      </c>
      <c r="L6061" t="s">
        <v>15</v>
      </c>
    </row>
    <row r="6062" spans="1:12" x14ac:dyDescent="0.25">
      <c r="A6062" t="str">
        <f>"5405170507"</f>
        <v>5405170507</v>
      </c>
      <c r="B6062" t="str">
        <f t="shared" si="306"/>
        <v>89301000</v>
      </c>
      <c r="C6062" s="1">
        <v>44488</v>
      </c>
      <c r="D6062" s="1">
        <v>44489</v>
      </c>
      <c r="E6062">
        <v>1</v>
      </c>
      <c r="F6062" t="s">
        <v>1606</v>
      </c>
      <c r="G6062" t="str">
        <f>"05-D01-06"</f>
        <v>05-D01-06</v>
      </c>
      <c r="H6062">
        <v>0.7611</v>
      </c>
      <c r="I6062" t="s">
        <v>1558</v>
      </c>
      <c r="J6062" t="s">
        <v>14</v>
      </c>
      <c r="K6062" t="str">
        <f>"1F7"</f>
        <v>1F7</v>
      </c>
      <c r="L6062" t="s">
        <v>15</v>
      </c>
    </row>
    <row r="6063" spans="1:12" x14ac:dyDescent="0.25">
      <c r="A6063" t="str">
        <f>"5405182013"</f>
        <v>5405182013</v>
      </c>
      <c r="B6063" t="str">
        <f t="shared" si="306"/>
        <v>89301000</v>
      </c>
      <c r="C6063" s="1">
        <v>44401</v>
      </c>
      <c r="D6063" s="1">
        <v>44407</v>
      </c>
      <c r="E6063">
        <v>1</v>
      </c>
      <c r="F6063" t="s">
        <v>2104</v>
      </c>
      <c r="G6063" t="str">
        <f>"04-K02-04"</f>
        <v>04-K02-04</v>
      </c>
      <c r="H6063">
        <v>0.82469999999999999</v>
      </c>
      <c r="I6063" t="s">
        <v>4431</v>
      </c>
      <c r="J6063" t="s">
        <v>14</v>
      </c>
      <c r="K6063" t="str">
        <f>"2F5"</f>
        <v>2F5</v>
      </c>
      <c r="L6063" t="s">
        <v>15</v>
      </c>
    </row>
    <row r="6064" spans="1:12" x14ac:dyDescent="0.25">
      <c r="A6064" t="str">
        <f>"5405220326"</f>
        <v>5405220326</v>
      </c>
      <c r="B6064" t="str">
        <f t="shared" si="306"/>
        <v>89301000</v>
      </c>
      <c r="C6064" s="1">
        <v>44519</v>
      </c>
      <c r="D6064" s="1">
        <v>44520</v>
      </c>
      <c r="E6064">
        <v>1</v>
      </c>
      <c r="F6064" t="s">
        <v>994</v>
      </c>
      <c r="G6064" t="str">
        <f>"01-I07-03"</f>
        <v>01-I07-03</v>
      </c>
      <c r="H6064">
        <v>1.0589</v>
      </c>
      <c r="J6064" t="s">
        <v>17</v>
      </c>
      <c r="K6064" t="str">
        <f>"5F6"</f>
        <v>5F6</v>
      </c>
      <c r="L6064" t="s">
        <v>15</v>
      </c>
    </row>
    <row r="6065" spans="1:12" x14ac:dyDescent="0.25">
      <c r="A6065" t="str">
        <f>"5405220326"</f>
        <v>5405220326</v>
      </c>
      <c r="B6065" t="str">
        <f t="shared" si="306"/>
        <v>89301000</v>
      </c>
      <c r="C6065" s="1">
        <v>44498</v>
      </c>
      <c r="D6065" s="1">
        <v>44503</v>
      </c>
      <c r="E6065">
        <v>1</v>
      </c>
      <c r="F6065" t="s">
        <v>67</v>
      </c>
      <c r="G6065" t="str">
        <f>"01-K10-02"</f>
        <v>01-K10-02</v>
      </c>
      <c r="H6065">
        <v>1.6306</v>
      </c>
      <c r="I6065" t="s">
        <v>4432</v>
      </c>
      <c r="J6065" t="s">
        <v>14</v>
      </c>
      <c r="K6065" t="str">
        <f>"2F9"</f>
        <v>2F9</v>
      </c>
      <c r="L6065" t="s">
        <v>15</v>
      </c>
    </row>
    <row r="6066" spans="1:12" x14ac:dyDescent="0.25">
      <c r="A6066" t="str">
        <f>"5405222779"</f>
        <v>5405222779</v>
      </c>
      <c r="B6066" t="str">
        <f t="shared" si="306"/>
        <v>89301000</v>
      </c>
      <c r="C6066" s="1">
        <v>44323</v>
      </c>
      <c r="D6066" s="1">
        <v>44326</v>
      </c>
      <c r="E6066">
        <v>1</v>
      </c>
      <c r="F6066" t="s">
        <v>354</v>
      </c>
      <c r="G6066" t="str">
        <f>"10-K14-02"</f>
        <v>10-K14-02</v>
      </c>
      <c r="H6066">
        <v>0.70440000000000003</v>
      </c>
      <c r="I6066" t="s">
        <v>4433</v>
      </c>
      <c r="J6066" t="s">
        <v>14</v>
      </c>
      <c r="K6066" t="str">
        <f>"1F1"</f>
        <v>1F1</v>
      </c>
      <c r="L6066" t="s">
        <v>15</v>
      </c>
    </row>
    <row r="6067" spans="1:12" x14ac:dyDescent="0.25">
      <c r="A6067" t="str">
        <f>"5405222779"</f>
        <v>5405222779</v>
      </c>
      <c r="B6067" t="str">
        <f t="shared" si="306"/>
        <v>89301000</v>
      </c>
      <c r="C6067" s="1">
        <v>44300</v>
      </c>
      <c r="D6067" s="1">
        <v>44309</v>
      </c>
      <c r="E6067">
        <v>1</v>
      </c>
      <c r="F6067" t="s">
        <v>4434</v>
      </c>
      <c r="G6067" t="str">
        <f>"06-K08-02"</f>
        <v>06-K08-02</v>
      </c>
      <c r="H6067">
        <v>0.56610000000000005</v>
      </c>
      <c r="I6067" t="s">
        <v>4435</v>
      </c>
      <c r="J6067" t="s">
        <v>14</v>
      </c>
      <c r="K6067" t="str">
        <f>"1F1"</f>
        <v>1F1</v>
      </c>
      <c r="L6067" t="s">
        <v>15</v>
      </c>
    </row>
    <row r="6068" spans="1:12" x14ac:dyDescent="0.25">
      <c r="A6068" t="str">
        <f>"5405222779"</f>
        <v>5405222779</v>
      </c>
      <c r="B6068" t="str">
        <f t="shared" si="306"/>
        <v>89301000</v>
      </c>
      <c r="C6068" s="1">
        <v>44276</v>
      </c>
      <c r="D6068" s="1">
        <v>44285</v>
      </c>
      <c r="E6068">
        <v>1</v>
      </c>
      <c r="F6068" t="s">
        <v>4434</v>
      </c>
      <c r="G6068" t="str">
        <f>"06-K08-02"</f>
        <v>06-K08-02</v>
      </c>
      <c r="H6068">
        <v>0.52869999999999995</v>
      </c>
      <c r="I6068" t="s">
        <v>4436</v>
      </c>
      <c r="J6068" t="s">
        <v>14</v>
      </c>
      <c r="K6068" t="str">
        <f>"1F1"</f>
        <v>1F1</v>
      </c>
      <c r="L6068" t="s">
        <v>15</v>
      </c>
    </row>
    <row r="6069" spans="1:12" x14ac:dyDescent="0.25">
      <c r="A6069" t="str">
        <f>"5405222779"</f>
        <v>5405222779</v>
      </c>
      <c r="B6069" t="str">
        <f t="shared" si="306"/>
        <v>89301000</v>
      </c>
      <c r="C6069" s="1">
        <v>44244</v>
      </c>
      <c r="D6069" s="1">
        <v>44249</v>
      </c>
      <c r="E6069">
        <v>1</v>
      </c>
      <c r="F6069" t="s">
        <v>588</v>
      </c>
      <c r="G6069" t="str">
        <f>"07-K02-03"</f>
        <v>07-K02-03</v>
      </c>
      <c r="H6069">
        <v>0.7742</v>
      </c>
      <c r="I6069" t="s">
        <v>4437</v>
      </c>
      <c r="J6069" t="s">
        <v>14</v>
      </c>
      <c r="K6069" t="str">
        <f>"1F1"</f>
        <v>1F1</v>
      </c>
      <c r="L6069" t="s">
        <v>15</v>
      </c>
    </row>
    <row r="6070" spans="1:12" x14ac:dyDescent="0.25">
      <c r="A6070" t="str">
        <f>"5405222779"</f>
        <v>5405222779</v>
      </c>
      <c r="B6070" t="str">
        <f t="shared" si="306"/>
        <v>89301000</v>
      </c>
      <c r="C6070" s="1">
        <v>44215</v>
      </c>
      <c r="D6070" s="1">
        <v>44217</v>
      </c>
      <c r="E6070">
        <v>1</v>
      </c>
      <c r="F6070" t="s">
        <v>588</v>
      </c>
      <c r="G6070" t="str">
        <f>"07-M02-03"</f>
        <v>07-M02-03</v>
      </c>
      <c r="H6070">
        <v>1.2850999999999999</v>
      </c>
      <c r="I6070" t="s">
        <v>4438</v>
      </c>
      <c r="J6070" t="s">
        <v>17</v>
      </c>
      <c r="K6070" t="str">
        <f>"1F1"</f>
        <v>1F1</v>
      </c>
      <c r="L6070" t="s">
        <v>15</v>
      </c>
    </row>
    <row r="6071" spans="1:12" x14ac:dyDescent="0.25">
      <c r="A6071" t="str">
        <f>"5405312154"</f>
        <v>5405312154</v>
      </c>
      <c r="B6071" t="str">
        <f t="shared" si="306"/>
        <v>89301000</v>
      </c>
      <c r="C6071" s="1">
        <v>44336</v>
      </c>
      <c r="D6071" s="1">
        <v>44341</v>
      </c>
      <c r="E6071">
        <v>1</v>
      </c>
      <c r="F6071" t="s">
        <v>4307</v>
      </c>
      <c r="G6071" t="str">
        <f>"03-C01-02"</f>
        <v>03-C01-02</v>
      </c>
      <c r="H6071">
        <v>0.44900000000000001</v>
      </c>
      <c r="I6071" t="s">
        <v>541</v>
      </c>
      <c r="J6071" t="s">
        <v>14</v>
      </c>
      <c r="K6071" t="str">
        <f>"4F2"</f>
        <v>4F2</v>
      </c>
      <c r="L6071" t="s">
        <v>15</v>
      </c>
    </row>
    <row r="6072" spans="1:12" x14ac:dyDescent="0.25">
      <c r="A6072" t="str">
        <f>"5405312154"</f>
        <v>5405312154</v>
      </c>
      <c r="B6072" t="str">
        <f t="shared" si="306"/>
        <v>89301000</v>
      </c>
      <c r="C6072" s="1">
        <v>44306</v>
      </c>
      <c r="D6072" s="1">
        <v>44313</v>
      </c>
      <c r="E6072">
        <v>1</v>
      </c>
      <c r="F6072" t="s">
        <v>4439</v>
      </c>
      <c r="G6072" t="str">
        <f>"03-I22-02"</f>
        <v>03-I22-02</v>
      </c>
      <c r="H6072">
        <v>0.75970000000000004</v>
      </c>
      <c r="I6072" t="s">
        <v>4440</v>
      </c>
      <c r="J6072" t="s">
        <v>14</v>
      </c>
      <c r="K6072" t="str">
        <f>"7F1"</f>
        <v>7F1</v>
      </c>
      <c r="L6072" t="s">
        <v>15</v>
      </c>
    </row>
    <row r="6073" spans="1:12" x14ac:dyDescent="0.25">
      <c r="A6073" t="str">
        <f>"5405312154"</f>
        <v>5405312154</v>
      </c>
      <c r="B6073" t="str">
        <f t="shared" si="306"/>
        <v>89301000</v>
      </c>
      <c r="C6073" s="1">
        <v>44364</v>
      </c>
      <c r="D6073" s="1">
        <v>44371</v>
      </c>
      <c r="E6073">
        <v>7</v>
      </c>
      <c r="F6073" t="s">
        <v>67</v>
      </c>
      <c r="G6073" t="str">
        <f>"01-M02-00"</f>
        <v>01-M02-00</v>
      </c>
      <c r="H6073">
        <v>5.4023000000000003</v>
      </c>
      <c r="I6073" t="s">
        <v>4441</v>
      </c>
      <c r="J6073" t="s">
        <v>17</v>
      </c>
      <c r="K6073" t="str">
        <f>"2T9"</f>
        <v>2T9</v>
      </c>
      <c r="L6073" t="s">
        <v>15</v>
      </c>
    </row>
    <row r="6074" spans="1:12" x14ac:dyDescent="0.25">
      <c r="A6074" t="str">
        <f>"5406010731"</f>
        <v>5406010731</v>
      </c>
      <c r="B6074" t="str">
        <f t="shared" si="306"/>
        <v>89301000</v>
      </c>
      <c r="C6074" s="1">
        <v>44213</v>
      </c>
      <c r="D6074" s="1">
        <v>44216</v>
      </c>
      <c r="E6074">
        <v>1</v>
      </c>
      <c r="F6074" t="s">
        <v>81</v>
      </c>
      <c r="G6074" t="str">
        <f>"10-I13-02"</f>
        <v>10-I13-02</v>
      </c>
      <c r="H6074">
        <v>1.1468</v>
      </c>
      <c r="I6074" t="s">
        <v>1959</v>
      </c>
      <c r="J6074" t="s">
        <v>24</v>
      </c>
      <c r="K6074" t="str">
        <f>"5F5"</f>
        <v>5F5</v>
      </c>
      <c r="L6074" t="s">
        <v>15</v>
      </c>
    </row>
    <row r="6075" spans="1:12" x14ac:dyDescent="0.25">
      <c r="A6075" t="str">
        <f>"5406010731"</f>
        <v>5406010731</v>
      </c>
      <c r="B6075" t="str">
        <f t="shared" si="306"/>
        <v>89301000</v>
      </c>
      <c r="C6075" s="1">
        <v>44284</v>
      </c>
      <c r="D6075" s="1">
        <v>44293</v>
      </c>
      <c r="E6075">
        <v>1</v>
      </c>
      <c r="F6075" t="s">
        <v>79</v>
      </c>
      <c r="G6075" t="str">
        <f>"10-R02-01"</f>
        <v>10-R02-01</v>
      </c>
      <c r="H6075">
        <v>0.9698</v>
      </c>
      <c r="I6075" t="s">
        <v>80</v>
      </c>
      <c r="J6075" t="s">
        <v>24</v>
      </c>
      <c r="K6075" t="str">
        <f>"4F7"</f>
        <v>4F7</v>
      </c>
      <c r="L6075" t="s">
        <v>15</v>
      </c>
    </row>
    <row r="6076" spans="1:12" x14ac:dyDescent="0.25">
      <c r="A6076" t="str">
        <f>"5406021082"</f>
        <v>5406021082</v>
      </c>
      <c r="B6076" t="str">
        <f t="shared" si="306"/>
        <v>89301000</v>
      </c>
      <c r="C6076" s="1">
        <v>44453</v>
      </c>
      <c r="D6076" s="1">
        <v>44454</v>
      </c>
      <c r="E6076">
        <v>1</v>
      </c>
      <c r="F6076" t="s">
        <v>1557</v>
      </c>
      <c r="G6076" t="str">
        <f>"05-D01-08"</f>
        <v>05-D01-08</v>
      </c>
      <c r="H6076">
        <v>0.4093</v>
      </c>
      <c r="I6076" t="s">
        <v>489</v>
      </c>
      <c r="J6076" t="s">
        <v>14</v>
      </c>
      <c r="K6076" t="str">
        <f>"1F7"</f>
        <v>1F7</v>
      </c>
      <c r="L6076" t="s">
        <v>15</v>
      </c>
    </row>
    <row r="6077" spans="1:12" x14ac:dyDescent="0.25">
      <c r="A6077" t="str">
        <f>"5406021082"</f>
        <v>5406021082</v>
      </c>
      <c r="B6077" t="str">
        <f t="shared" si="306"/>
        <v>89301000</v>
      </c>
      <c r="C6077" s="1">
        <v>44375</v>
      </c>
      <c r="D6077" s="1">
        <v>44392</v>
      </c>
      <c r="E6077">
        <v>5</v>
      </c>
      <c r="F6077" t="s">
        <v>1683</v>
      </c>
      <c r="G6077" t="str">
        <f>"00-M01-01"</f>
        <v>00-M01-01</v>
      </c>
      <c r="H6077">
        <v>16.479500000000002</v>
      </c>
      <c r="I6077" t="s">
        <v>4442</v>
      </c>
      <c r="J6077" t="s">
        <v>14</v>
      </c>
      <c r="K6077" t="str">
        <f>"1T1"</f>
        <v>1T1</v>
      </c>
      <c r="L6077" t="s">
        <v>15</v>
      </c>
    </row>
    <row r="6078" spans="1:12" x14ac:dyDescent="0.25">
      <c r="A6078" t="str">
        <f>"5406060473"</f>
        <v>5406060473</v>
      </c>
      <c r="B6078" t="str">
        <f t="shared" si="306"/>
        <v>89301000</v>
      </c>
      <c r="C6078" s="1">
        <v>44405</v>
      </c>
      <c r="D6078" s="1">
        <v>44411</v>
      </c>
      <c r="E6078">
        <v>1</v>
      </c>
      <c r="F6078" t="s">
        <v>4443</v>
      </c>
      <c r="G6078" t="str">
        <f>"08-K04-03"</f>
        <v>08-K04-03</v>
      </c>
      <c r="H6078">
        <v>0.45050000000000001</v>
      </c>
      <c r="I6078" t="s">
        <v>2461</v>
      </c>
      <c r="J6078" t="s">
        <v>14</v>
      </c>
      <c r="K6078" t="str">
        <f>"2F9"</f>
        <v>2F9</v>
      </c>
      <c r="L6078" t="s">
        <v>15</v>
      </c>
    </row>
    <row r="6079" spans="1:12" x14ac:dyDescent="0.25">
      <c r="A6079" t="str">
        <f>"5406102020"</f>
        <v>5406102020</v>
      </c>
      <c r="B6079" t="str">
        <f t="shared" si="306"/>
        <v>89301000</v>
      </c>
      <c r="C6079" s="1">
        <v>44439</v>
      </c>
      <c r="D6079" s="1">
        <v>44440</v>
      </c>
      <c r="E6079">
        <v>1</v>
      </c>
      <c r="F6079" t="s">
        <v>1557</v>
      </c>
      <c r="G6079" t="str">
        <f>"05-D01-08"</f>
        <v>05-D01-08</v>
      </c>
      <c r="H6079">
        <v>0.4093</v>
      </c>
      <c r="J6079" t="s">
        <v>14</v>
      </c>
      <c r="K6079" t="str">
        <f>"1F1"</f>
        <v>1F1</v>
      </c>
      <c r="L6079" t="s">
        <v>15</v>
      </c>
    </row>
    <row r="6080" spans="1:12" x14ac:dyDescent="0.25">
      <c r="A6080" t="str">
        <f>"5406111766"</f>
        <v>5406111766</v>
      </c>
      <c r="B6080" t="str">
        <f t="shared" si="306"/>
        <v>89301000</v>
      </c>
      <c r="C6080" s="1">
        <v>44516</v>
      </c>
      <c r="D6080" s="1">
        <v>44519</v>
      </c>
      <c r="E6080">
        <v>1</v>
      </c>
      <c r="F6080" t="s">
        <v>562</v>
      </c>
      <c r="G6080" t="str">
        <f>"01-K03-08"</f>
        <v>01-K03-08</v>
      </c>
      <c r="H6080">
        <v>0.34789999999999999</v>
      </c>
      <c r="I6080" t="s">
        <v>4444</v>
      </c>
      <c r="J6080" t="s">
        <v>14</v>
      </c>
      <c r="K6080" t="str">
        <f>"2F9"</f>
        <v>2F9</v>
      </c>
      <c r="L6080" t="s">
        <v>15</v>
      </c>
    </row>
    <row r="6081" spans="1:12" x14ac:dyDescent="0.25">
      <c r="A6081" t="str">
        <f>"5406161299"</f>
        <v>5406161299</v>
      </c>
      <c r="B6081" t="str">
        <f t="shared" si="306"/>
        <v>89301000</v>
      </c>
      <c r="C6081" s="1">
        <v>44455</v>
      </c>
      <c r="D6081" s="1">
        <v>44457</v>
      </c>
      <c r="E6081">
        <v>1</v>
      </c>
      <c r="F6081" t="s">
        <v>320</v>
      </c>
      <c r="G6081" t="str">
        <f>"03-I23-00"</f>
        <v>03-I23-00</v>
      </c>
      <c r="H6081">
        <v>0.47639999999999999</v>
      </c>
      <c r="I6081" t="s">
        <v>4445</v>
      </c>
      <c r="J6081" t="s">
        <v>14</v>
      </c>
      <c r="K6081" t="str">
        <f>"6F5"</f>
        <v>6F5</v>
      </c>
      <c r="L6081" t="s">
        <v>15</v>
      </c>
    </row>
    <row r="6082" spans="1:12" x14ac:dyDescent="0.25">
      <c r="A6082" t="str">
        <f>"5406191978"</f>
        <v>5406191978</v>
      </c>
      <c r="B6082" t="str">
        <f t="shared" si="306"/>
        <v>89301000</v>
      </c>
      <c r="C6082" s="1">
        <v>44326</v>
      </c>
      <c r="D6082" s="1">
        <v>44330</v>
      </c>
      <c r="E6082">
        <v>1</v>
      </c>
      <c r="F6082" t="s">
        <v>31</v>
      </c>
      <c r="G6082" t="str">
        <f>"08-I04-02"</f>
        <v>08-I04-02</v>
      </c>
      <c r="H6082">
        <v>1.6718999999999999</v>
      </c>
      <c r="J6082" t="s">
        <v>17</v>
      </c>
      <c r="K6082" t="str">
        <f>"5F6"</f>
        <v>5F6</v>
      </c>
      <c r="L6082" t="s">
        <v>15</v>
      </c>
    </row>
    <row r="6083" spans="1:12" x14ac:dyDescent="0.25">
      <c r="A6083" t="str">
        <f>"5406283542"</f>
        <v>5406283542</v>
      </c>
      <c r="B6083" t="str">
        <f t="shared" si="306"/>
        <v>89301000</v>
      </c>
      <c r="C6083" s="1">
        <v>44319</v>
      </c>
      <c r="D6083" s="1">
        <v>44323</v>
      </c>
      <c r="E6083">
        <v>1</v>
      </c>
      <c r="F6083" t="s">
        <v>407</v>
      </c>
      <c r="G6083" t="str">
        <f>"03-I19-02"</f>
        <v>03-I19-02</v>
      </c>
      <c r="H6083">
        <v>0.88829999999999998</v>
      </c>
      <c r="I6083" t="s">
        <v>4446</v>
      </c>
      <c r="J6083" t="s">
        <v>14</v>
      </c>
      <c r="K6083" t="str">
        <f>"6F5"</f>
        <v>6F5</v>
      </c>
      <c r="L6083" t="s">
        <v>15</v>
      </c>
    </row>
    <row r="6084" spans="1:12" x14ac:dyDescent="0.25">
      <c r="A6084" t="str">
        <f>"5407010587"</f>
        <v>5407010587</v>
      </c>
      <c r="B6084" t="str">
        <f t="shared" si="306"/>
        <v>89301000</v>
      </c>
      <c r="C6084" s="1">
        <v>44299</v>
      </c>
      <c r="D6084" s="1">
        <v>44305</v>
      </c>
      <c r="E6084">
        <v>1</v>
      </c>
      <c r="F6084" t="s">
        <v>217</v>
      </c>
      <c r="G6084" t="str">
        <f>"04-K02-04"</f>
        <v>04-K02-04</v>
      </c>
      <c r="H6084">
        <v>0.82469999999999999</v>
      </c>
      <c r="I6084" t="s">
        <v>4447</v>
      </c>
      <c r="J6084" t="s">
        <v>14</v>
      </c>
      <c r="K6084" t="str">
        <f>"1F1"</f>
        <v>1F1</v>
      </c>
      <c r="L6084" t="s">
        <v>15</v>
      </c>
    </row>
    <row r="6085" spans="1:12" x14ac:dyDescent="0.25">
      <c r="A6085" t="str">
        <f>"5407091327"</f>
        <v>5407091327</v>
      </c>
      <c r="B6085" t="str">
        <f t="shared" ref="B6085:B6147" si="307">"89301000"</f>
        <v>89301000</v>
      </c>
      <c r="C6085" s="1">
        <v>44515</v>
      </c>
      <c r="D6085" s="1">
        <v>44519</v>
      </c>
      <c r="E6085">
        <v>1</v>
      </c>
      <c r="F6085" t="s">
        <v>2133</v>
      </c>
      <c r="G6085" t="str">
        <f>"04-K06-03"</f>
        <v>04-K06-03</v>
      </c>
      <c r="H6085">
        <v>0.66259999999999997</v>
      </c>
      <c r="J6085" t="s">
        <v>14</v>
      </c>
      <c r="K6085" t="str">
        <f>"2F5"</f>
        <v>2F5</v>
      </c>
      <c r="L6085" t="s">
        <v>15</v>
      </c>
    </row>
    <row r="6086" spans="1:12" x14ac:dyDescent="0.25">
      <c r="A6086" t="str">
        <f>"5407103801"</f>
        <v>5407103801</v>
      </c>
      <c r="B6086" t="str">
        <f t="shared" si="307"/>
        <v>89301000</v>
      </c>
      <c r="C6086" s="1">
        <v>44467</v>
      </c>
      <c r="D6086" s="1">
        <v>44473</v>
      </c>
      <c r="E6086">
        <v>1</v>
      </c>
      <c r="F6086" t="s">
        <v>2232</v>
      </c>
      <c r="G6086" t="str">
        <f>"11-I08-03"</f>
        <v>11-I08-03</v>
      </c>
      <c r="H6086">
        <v>2.0676999999999999</v>
      </c>
      <c r="I6086" t="s">
        <v>2036</v>
      </c>
      <c r="J6086" t="s">
        <v>17</v>
      </c>
      <c r="K6086" t="str">
        <f>"7F6"</f>
        <v>7F6</v>
      </c>
      <c r="L6086" t="s">
        <v>15</v>
      </c>
    </row>
    <row r="6087" spans="1:12" x14ac:dyDescent="0.25">
      <c r="A6087" t="str">
        <f>"5407120301"</f>
        <v>5407120301</v>
      </c>
      <c r="B6087" t="str">
        <f t="shared" si="307"/>
        <v>89301000</v>
      </c>
      <c r="C6087" s="1">
        <v>44386</v>
      </c>
      <c r="D6087" s="1">
        <v>44390</v>
      </c>
      <c r="E6087">
        <v>1</v>
      </c>
      <c r="F6087" t="s">
        <v>2987</v>
      </c>
      <c r="G6087" t="str">
        <f>"19-K02-02"</f>
        <v>19-K02-02</v>
      </c>
      <c r="H6087">
        <v>1.4512</v>
      </c>
      <c r="I6087" t="s">
        <v>4448</v>
      </c>
      <c r="J6087" t="s">
        <v>27</v>
      </c>
      <c r="K6087" t="str">
        <f>"3F5"</f>
        <v>3F5</v>
      </c>
      <c r="L6087" t="s">
        <v>15</v>
      </c>
    </row>
    <row r="6088" spans="1:12" x14ac:dyDescent="0.25">
      <c r="A6088" t="str">
        <f>"5407120642"</f>
        <v>5407120642</v>
      </c>
      <c r="B6088" t="str">
        <f t="shared" si="307"/>
        <v>89301000</v>
      </c>
      <c r="C6088" s="1">
        <v>44194</v>
      </c>
      <c r="D6088" s="1">
        <v>44201</v>
      </c>
      <c r="E6088">
        <v>1</v>
      </c>
      <c r="F6088" t="s">
        <v>2482</v>
      </c>
      <c r="G6088" t="str">
        <f>"02-M01-02"</f>
        <v>02-M01-02</v>
      </c>
      <c r="H6088">
        <v>0.58299999999999996</v>
      </c>
      <c r="I6088" t="s">
        <v>4449</v>
      </c>
      <c r="J6088" t="s">
        <v>14</v>
      </c>
      <c r="K6088" t="str">
        <f>"7F5"</f>
        <v>7F5</v>
      </c>
      <c r="L6088" t="s">
        <v>15</v>
      </c>
    </row>
    <row r="6089" spans="1:12" x14ac:dyDescent="0.25">
      <c r="A6089" t="str">
        <f>"5407123150"</f>
        <v>5407123150</v>
      </c>
      <c r="B6089" t="str">
        <f t="shared" si="307"/>
        <v>89301000</v>
      </c>
      <c r="C6089" s="1">
        <v>44336</v>
      </c>
      <c r="D6089" s="1">
        <v>44337</v>
      </c>
      <c r="E6089">
        <v>1</v>
      </c>
      <c r="F6089" t="s">
        <v>1953</v>
      </c>
      <c r="G6089" t="str">
        <f>"07-K07-01"</f>
        <v>07-K07-01</v>
      </c>
      <c r="H6089">
        <v>0.73929999999999996</v>
      </c>
      <c r="I6089" t="s">
        <v>4450</v>
      </c>
      <c r="J6089" t="s">
        <v>14</v>
      </c>
      <c r="K6089" t="str">
        <f>"4F2"</f>
        <v>4F2</v>
      </c>
      <c r="L6089" t="s">
        <v>15</v>
      </c>
    </row>
    <row r="6090" spans="1:12" x14ac:dyDescent="0.25">
      <c r="A6090" t="str">
        <f>"5407123150"</f>
        <v>5407123150</v>
      </c>
      <c r="B6090" t="str">
        <f t="shared" si="307"/>
        <v>89301000</v>
      </c>
      <c r="C6090" s="1">
        <v>44260</v>
      </c>
      <c r="D6090" s="1">
        <v>44263</v>
      </c>
      <c r="E6090">
        <v>1</v>
      </c>
      <c r="F6090" t="s">
        <v>1953</v>
      </c>
      <c r="G6090" t="str">
        <f>"07-K07-02"</f>
        <v>07-K07-02</v>
      </c>
      <c r="H6090">
        <v>0.53259999999999996</v>
      </c>
      <c r="I6090" t="s">
        <v>1340</v>
      </c>
      <c r="J6090" t="s">
        <v>14</v>
      </c>
      <c r="K6090" t="str">
        <f>"4F2"</f>
        <v>4F2</v>
      </c>
      <c r="L6090" t="s">
        <v>15</v>
      </c>
    </row>
    <row r="6091" spans="1:12" x14ac:dyDescent="0.25">
      <c r="A6091" t="str">
        <f>"5407133116"</f>
        <v>5407133116</v>
      </c>
      <c r="B6091" t="str">
        <f t="shared" si="307"/>
        <v>89301000</v>
      </c>
      <c r="C6091" s="1">
        <v>44307</v>
      </c>
      <c r="D6091" s="1">
        <v>44309</v>
      </c>
      <c r="E6091">
        <v>1</v>
      </c>
      <c r="F6091" t="s">
        <v>550</v>
      </c>
      <c r="G6091" t="str">
        <f>"07-M02-04"</f>
        <v>07-M02-04</v>
      </c>
      <c r="H6091">
        <v>0.85050000000000003</v>
      </c>
      <c r="I6091" t="s">
        <v>4451</v>
      </c>
      <c r="J6091" t="s">
        <v>17</v>
      </c>
      <c r="K6091" t="str">
        <f>"1F1"</f>
        <v>1F1</v>
      </c>
      <c r="L6091" t="s">
        <v>15</v>
      </c>
    </row>
    <row r="6092" spans="1:12" x14ac:dyDescent="0.25">
      <c r="A6092" t="str">
        <f>"5407133116"</f>
        <v>5407133116</v>
      </c>
      <c r="B6092" t="str">
        <f t="shared" si="307"/>
        <v>89301000</v>
      </c>
      <c r="C6092" s="1">
        <v>44313</v>
      </c>
      <c r="D6092" s="1">
        <v>44330</v>
      </c>
      <c r="E6092">
        <v>1</v>
      </c>
      <c r="F6092" t="s">
        <v>998</v>
      </c>
      <c r="G6092" t="str">
        <f>"18-I01-02"</f>
        <v>18-I01-02</v>
      </c>
      <c r="H6092">
        <v>3.4746999999999999</v>
      </c>
      <c r="I6092" t="s">
        <v>4452</v>
      </c>
      <c r="J6092" t="s">
        <v>14</v>
      </c>
      <c r="K6092" t="str">
        <f>"1F1"</f>
        <v>1F1</v>
      </c>
      <c r="L6092" t="s">
        <v>15</v>
      </c>
    </row>
    <row r="6093" spans="1:12" x14ac:dyDescent="0.25">
      <c r="A6093" t="str">
        <f>"5407133116"</f>
        <v>5407133116</v>
      </c>
      <c r="B6093" t="str">
        <f t="shared" si="307"/>
        <v>89301000</v>
      </c>
      <c r="C6093" s="1">
        <v>44367</v>
      </c>
      <c r="D6093" s="1">
        <v>44374</v>
      </c>
      <c r="E6093">
        <v>1</v>
      </c>
      <c r="F6093" t="s">
        <v>335</v>
      </c>
      <c r="G6093" t="str">
        <f>"07-I10-04"</f>
        <v>07-I10-04</v>
      </c>
      <c r="H6093">
        <v>1.4336</v>
      </c>
      <c r="I6093" t="s">
        <v>489</v>
      </c>
      <c r="J6093" t="s">
        <v>17</v>
      </c>
      <c r="K6093" t="str">
        <f>"5F1"</f>
        <v>5F1</v>
      </c>
      <c r="L6093" t="s">
        <v>15</v>
      </c>
    </row>
    <row r="6094" spans="1:12" x14ac:dyDescent="0.25">
      <c r="A6094" t="str">
        <f>"5407133116"</f>
        <v>5407133116</v>
      </c>
      <c r="B6094" t="str">
        <f t="shared" si="307"/>
        <v>89301000</v>
      </c>
      <c r="C6094" s="1">
        <v>44413</v>
      </c>
      <c r="D6094" s="1">
        <v>44415</v>
      </c>
      <c r="E6094">
        <v>1</v>
      </c>
      <c r="F6094" t="s">
        <v>550</v>
      </c>
      <c r="G6094" t="str">
        <f>"07-M02-04"</f>
        <v>07-M02-04</v>
      </c>
      <c r="H6094">
        <v>0.79269999999999996</v>
      </c>
      <c r="I6094" t="s">
        <v>4453</v>
      </c>
      <c r="J6094" t="s">
        <v>17</v>
      </c>
      <c r="K6094" t="str">
        <f>"1F1"</f>
        <v>1F1</v>
      </c>
      <c r="L6094" t="s">
        <v>15</v>
      </c>
    </row>
    <row r="6095" spans="1:12" x14ac:dyDescent="0.25">
      <c r="A6095" t="str">
        <f>"5407232259"</f>
        <v>5407232259</v>
      </c>
      <c r="B6095" t="str">
        <f t="shared" si="307"/>
        <v>89301000</v>
      </c>
      <c r="C6095" s="1">
        <v>44543</v>
      </c>
      <c r="D6095" s="1">
        <v>44545</v>
      </c>
      <c r="E6095">
        <v>1</v>
      </c>
      <c r="F6095" t="s">
        <v>1842</v>
      </c>
      <c r="G6095" t="str">
        <f>"05-K04-02"</f>
        <v>05-K04-02</v>
      </c>
      <c r="H6095">
        <v>0.45319999999999999</v>
      </c>
      <c r="J6095" t="s">
        <v>14</v>
      </c>
      <c r="K6095" t="str">
        <f>"1F1"</f>
        <v>1F1</v>
      </c>
      <c r="L6095" t="s">
        <v>15</v>
      </c>
    </row>
    <row r="6096" spans="1:12" x14ac:dyDescent="0.25">
      <c r="A6096" t="str">
        <f>"5408023247"</f>
        <v>5408023247</v>
      </c>
      <c r="B6096" t="str">
        <f t="shared" si="307"/>
        <v>89301000</v>
      </c>
      <c r="C6096" s="1">
        <v>44262</v>
      </c>
      <c r="D6096" s="1">
        <v>44267</v>
      </c>
      <c r="E6096">
        <v>1</v>
      </c>
      <c r="F6096" t="s">
        <v>2585</v>
      </c>
      <c r="G6096" t="str">
        <f>"12-I03-01"</f>
        <v>12-I03-01</v>
      </c>
      <c r="H6096">
        <v>2.6785999999999999</v>
      </c>
      <c r="I6096" t="s">
        <v>4454</v>
      </c>
      <c r="J6096" t="s">
        <v>14</v>
      </c>
      <c r="K6096" t="str">
        <f>"7F6"</f>
        <v>7F6</v>
      </c>
      <c r="L6096" t="s">
        <v>15</v>
      </c>
    </row>
    <row r="6097" spans="1:12" x14ac:dyDescent="0.25">
      <c r="A6097" t="str">
        <f>"5408031772"</f>
        <v>5408031772</v>
      </c>
      <c r="B6097" t="str">
        <f t="shared" si="307"/>
        <v>89301000</v>
      </c>
      <c r="C6097" s="1">
        <v>44396</v>
      </c>
      <c r="D6097" s="1">
        <v>44397</v>
      </c>
      <c r="E6097">
        <v>1</v>
      </c>
      <c r="F6097" t="s">
        <v>4455</v>
      </c>
      <c r="G6097" t="str">
        <f>"16-K07-00"</f>
        <v>16-K07-00</v>
      </c>
      <c r="H6097">
        <v>0.64170000000000005</v>
      </c>
      <c r="I6097" t="s">
        <v>4456</v>
      </c>
      <c r="J6097" t="s">
        <v>14</v>
      </c>
      <c r="K6097" t="str">
        <f>"2F5"</f>
        <v>2F5</v>
      </c>
      <c r="L6097" t="s">
        <v>15</v>
      </c>
    </row>
    <row r="6098" spans="1:12" x14ac:dyDescent="0.25">
      <c r="A6098" t="str">
        <f>"5408031772"</f>
        <v>5408031772</v>
      </c>
      <c r="B6098" t="str">
        <f t="shared" si="307"/>
        <v>89301000</v>
      </c>
      <c r="C6098" s="1">
        <v>44412</v>
      </c>
      <c r="D6098" s="1">
        <v>44435</v>
      </c>
      <c r="E6098">
        <v>1</v>
      </c>
      <c r="F6098" t="s">
        <v>3083</v>
      </c>
      <c r="G6098" t="str">
        <f>"04-I03-02"</f>
        <v>04-I03-02</v>
      </c>
      <c r="H6098">
        <v>3.4262999999999999</v>
      </c>
      <c r="I6098" t="s">
        <v>4457</v>
      </c>
      <c r="J6098" t="s">
        <v>106</v>
      </c>
      <c r="K6098" t="str">
        <f>"2F5"</f>
        <v>2F5</v>
      </c>
      <c r="L6098" t="s">
        <v>15</v>
      </c>
    </row>
    <row r="6099" spans="1:12" x14ac:dyDescent="0.25">
      <c r="A6099" t="str">
        <f>"5408031783"</f>
        <v>5408031783</v>
      </c>
      <c r="B6099" t="str">
        <f t="shared" si="307"/>
        <v>89301000</v>
      </c>
      <c r="C6099" s="1">
        <v>44307</v>
      </c>
      <c r="D6099" s="1">
        <v>44309</v>
      </c>
      <c r="E6099">
        <v>1</v>
      </c>
      <c r="F6099" t="s">
        <v>4080</v>
      </c>
      <c r="G6099" t="str">
        <f>"04-K07-03"</f>
        <v>04-K07-03</v>
      </c>
      <c r="H6099">
        <v>0.67010000000000003</v>
      </c>
      <c r="I6099" t="s">
        <v>4458</v>
      </c>
      <c r="J6099" t="s">
        <v>14</v>
      </c>
      <c r="K6099" t="str">
        <f>"2F5"</f>
        <v>2F5</v>
      </c>
      <c r="L6099" t="s">
        <v>15</v>
      </c>
    </row>
    <row r="6100" spans="1:12" x14ac:dyDescent="0.25">
      <c r="A6100" t="str">
        <f>"5408032630"</f>
        <v>5408032630</v>
      </c>
      <c r="B6100" t="str">
        <f t="shared" si="307"/>
        <v>89301000</v>
      </c>
      <c r="C6100" s="1">
        <v>44537</v>
      </c>
      <c r="D6100" s="1">
        <v>44545</v>
      </c>
      <c r="E6100">
        <v>1</v>
      </c>
      <c r="F6100" t="s">
        <v>3158</v>
      </c>
      <c r="G6100" t="str">
        <f>"05-M04-04"</f>
        <v>05-M04-04</v>
      </c>
      <c r="H6100">
        <v>2.4672999999999998</v>
      </c>
      <c r="I6100" t="s">
        <v>2321</v>
      </c>
      <c r="J6100" t="s">
        <v>17</v>
      </c>
      <c r="K6100" t="str">
        <f>"5F1"</f>
        <v>5F1</v>
      </c>
      <c r="L6100" t="s">
        <v>15</v>
      </c>
    </row>
    <row r="6101" spans="1:12" x14ac:dyDescent="0.25">
      <c r="A6101" t="str">
        <f>"5408061791"</f>
        <v>5408061791</v>
      </c>
      <c r="B6101" t="str">
        <f t="shared" si="307"/>
        <v>89301000</v>
      </c>
      <c r="C6101" s="1">
        <v>44536</v>
      </c>
      <c r="D6101" s="1">
        <v>44539</v>
      </c>
      <c r="E6101">
        <v>4</v>
      </c>
      <c r="F6101" t="s">
        <v>1643</v>
      </c>
      <c r="G6101" t="str">
        <f>"08-K12-02"</f>
        <v>08-K12-02</v>
      </c>
      <c r="H6101">
        <v>0.71619999999999995</v>
      </c>
      <c r="I6101" t="s">
        <v>381</v>
      </c>
      <c r="J6101" t="s">
        <v>14</v>
      </c>
      <c r="K6101" t="str">
        <f>"5F3"</f>
        <v>5F3</v>
      </c>
      <c r="L6101" t="s">
        <v>15</v>
      </c>
    </row>
    <row r="6102" spans="1:12" x14ac:dyDescent="0.25">
      <c r="A6102" t="str">
        <f>"5408081503"</f>
        <v>5408081503</v>
      </c>
      <c r="B6102" t="str">
        <f t="shared" si="307"/>
        <v>89301000</v>
      </c>
      <c r="C6102" s="1">
        <v>44384</v>
      </c>
      <c r="D6102" s="1">
        <v>44385</v>
      </c>
      <c r="E6102">
        <v>1</v>
      </c>
      <c r="F6102" t="s">
        <v>2683</v>
      </c>
      <c r="G6102" t="str">
        <f>"08-I16-03"</f>
        <v>08-I16-03</v>
      </c>
      <c r="H6102">
        <v>1.3984000000000001</v>
      </c>
      <c r="I6102" t="s">
        <v>410</v>
      </c>
      <c r="J6102" t="s">
        <v>17</v>
      </c>
      <c r="K6102" t="str">
        <f>"5F3"</f>
        <v>5F3</v>
      </c>
      <c r="L6102" t="s">
        <v>15</v>
      </c>
    </row>
    <row r="6103" spans="1:12" x14ac:dyDescent="0.25">
      <c r="A6103" t="str">
        <f>"5408090941"</f>
        <v>5408090941</v>
      </c>
      <c r="B6103" t="str">
        <f t="shared" si="307"/>
        <v>89301000</v>
      </c>
      <c r="C6103" s="1">
        <v>44203</v>
      </c>
      <c r="D6103" s="1">
        <v>44206</v>
      </c>
      <c r="E6103">
        <v>1</v>
      </c>
      <c r="F6103" t="s">
        <v>4196</v>
      </c>
      <c r="G6103" t="str">
        <f>"08-M03-02"</f>
        <v>08-M03-02</v>
      </c>
      <c r="H6103">
        <v>0.86970000000000003</v>
      </c>
      <c r="I6103" t="s">
        <v>309</v>
      </c>
      <c r="J6103" t="s">
        <v>14</v>
      </c>
      <c r="K6103" t="str">
        <f>"6F6"</f>
        <v>6F6</v>
      </c>
      <c r="L6103" t="s">
        <v>15</v>
      </c>
    </row>
    <row r="6104" spans="1:12" x14ac:dyDescent="0.25">
      <c r="A6104" t="str">
        <f>"5408100918"</f>
        <v>5408100918</v>
      </c>
      <c r="B6104" t="str">
        <f t="shared" si="307"/>
        <v>89301000</v>
      </c>
      <c r="C6104" s="1">
        <v>44375</v>
      </c>
      <c r="D6104" s="1">
        <v>44381</v>
      </c>
      <c r="E6104">
        <v>1</v>
      </c>
      <c r="F6104" t="s">
        <v>2585</v>
      </c>
      <c r="G6104" t="str">
        <f>"12-I02-01"</f>
        <v>12-I02-01</v>
      </c>
      <c r="H6104">
        <v>3.1240999999999999</v>
      </c>
      <c r="I6104" t="s">
        <v>168</v>
      </c>
      <c r="J6104" t="s">
        <v>14</v>
      </c>
      <c r="K6104" t="str">
        <f>"7F6"</f>
        <v>7F6</v>
      </c>
      <c r="L6104" t="s">
        <v>15</v>
      </c>
    </row>
    <row r="6105" spans="1:12" x14ac:dyDescent="0.25">
      <c r="A6105" t="str">
        <f>"5408142377"</f>
        <v>5408142377</v>
      </c>
      <c r="B6105" t="str">
        <f t="shared" si="307"/>
        <v>89301000</v>
      </c>
      <c r="C6105" s="1">
        <v>44358</v>
      </c>
      <c r="D6105" s="1">
        <v>44363</v>
      </c>
      <c r="E6105">
        <v>1</v>
      </c>
      <c r="F6105" t="s">
        <v>990</v>
      </c>
      <c r="G6105" t="str">
        <f>"04-K02-04"</f>
        <v>04-K02-04</v>
      </c>
      <c r="H6105">
        <v>0.82469999999999999</v>
      </c>
      <c r="I6105" t="s">
        <v>4459</v>
      </c>
      <c r="J6105" t="s">
        <v>14</v>
      </c>
      <c r="K6105" t="str">
        <f>"1F1"</f>
        <v>1F1</v>
      </c>
      <c r="L6105" t="s">
        <v>15</v>
      </c>
    </row>
    <row r="6106" spans="1:12" x14ac:dyDescent="0.25">
      <c r="A6106" t="str">
        <f>"5408300381"</f>
        <v>5408300381</v>
      </c>
      <c r="B6106" t="str">
        <f t="shared" si="307"/>
        <v>89301000</v>
      </c>
      <c r="C6106" s="1">
        <v>44258</v>
      </c>
      <c r="D6106" s="1">
        <v>44278</v>
      </c>
      <c r="E6106">
        <v>4</v>
      </c>
      <c r="F6106" t="s">
        <v>1643</v>
      </c>
      <c r="G6106" t="str">
        <f>"08-K12-01"</f>
        <v>08-K12-01</v>
      </c>
      <c r="H6106">
        <v>1.5466</v>
      </c>
      <c r="I6106" t="s">
        <v>4460</v>
      </c>
      <c r="J6106" t="s">
        <v>14</v>
      </c>
      <c r="K6106" t="str">
        <f>"1F6"</f>
        <v>1F6</v>
      </c>
      <c r="L6106" t="s">
        <v>15</v>
      </c>
    </row>
    <row r="6107" spans="1:12" x14ac:dyDescent="0.25">
      <c r="A6107" t="str">
        <f>"5408300381"</f>
        <v>5408300381</v>
      </c>
      <c r="B6107" t="str">
        <f t="shared" si="307"/>
        <v>89301000</v>
      </c>
      <c r="C6107" s="1">
        <v>44283</v>
      </c>
      <c r="D6107" s="1">
        <v>44292</v>
      </c>
      <c r="E6107">
        <v>4</v>
      </c>
      <c r="F6107" t="s">
        <v>1643</v>
      </c>
      <c r="G6107" t="str">
        <f>"08-I05-06"</f>
        <v>08-I05-06</v>
      </c>
      <c r="H6107">
        <v>2.4094000000000002</v>
      </c>
      <c r="I6107" t="s">
        <v>4461</v>
      </c>
      <c r="J6107" t="s">
        <v>17</v>
      </c>
      <c r="K6107" t="str">
        <f>"6F6"</f>
        <v>6F6</v>
      </c>
      <c r="L6107" t="s">
        <v>15</v>
      </c>
    </row>
    <row r="6108" spans="1:12" x14ac:dyDescent="0.25">
      <c r="A6108" t="str">
        <f>"5408301987"</f>
        <v>5408301987</v>
      </c>
      <c r="B6108" t="str">
        <f t="shared" si="307"/>
        <v>89301000</v>
      </c>
      <c r="C6108" s="1">
        <v>44200</v>
      </c>
      <c r="D6108" s="1">
        <v>44204</v>
      </c>
      <c r="E6108">
        <v>1</v>
      </c>
      <c r="F6108" t="s">
        <v>260</v>
      </c>
      <c r="G6108" t="str">
        <f>"03-I22-03"</f>
        <v>03-I22-03</v>
      </c>
      <c r="H6108">
        <v>0.49049999999999999</v>
      </c>
      <c r="J6108" t="s">
        <v>14</v>
      </c>
      <c r="K6108" t="str">
        <f>"7F1"</f>
        <v>7F1</v>
      </c>
      <c r="L6108" t="s">
        <v>15</v>
      </c>
    </row>
    <row r="6109" spans="1:12" x14ac:dyDescent="0.25">
      <c r="A6109" t="str">
        <f>"5409080688"</f>
        <v>5409080688</v>
      </c>
      <c r="B6109" t="str">
        <f t="shared" si="307"/>
        <v>89301000</v>
      </c>
      <c r="C6109" s="1">
        <v>44441</v>
      </c>
      <c r="D6109" s="1">
        <v>44445</v>
      </c>
      <c r="E6109">
        <v>1</v>
      </c>
      <c r="F6109" t="s">
        <v>1739</v>
      </c>
      <c r="G6109" t="str">
        <f>"10-K04-04"</f>
        <v>10-K04-04</v>
      </c>
      <c r="H6109">
        <v>0.56330000000000002</v>
      </c>
      <c r="I6109" t="s">
        <v>4462</v>
      </c>
      <c r="J6109" t="s">
        <v>14</v>
      </c>
      <c r="K6109" t="str">
        <f>"1F1"</f>
        <v>1F1</v>
      </c>
      <c r="L6109" t="s">
        <v>15</v>
      </c>
    </row>
    <row r="6110" spans="1:12" x14ac:dyDescent="0.25">
      <c r="A6110" t="str">
        <f>"5409120354"</f>
        <v>5409120354</v>
      </c>
      <c r="B6110" t="str">
        <f t="shared" si="307"/>
        <v>89301000</v>
      </c>
      <c r="C6110" s="1">
        <v>44274</v>
      </c>
      <c r="D6110" s="1">
        <v>44274</v>
      </c>
      <c r="E6110">
        <v>1</v>
      </c>
      <c r="F6110" t="s">
        <v>1842</v>
      </c>
      <c r="G6110" t="str">
        <f>"05-I14-04"</f>
        <v>05-I14-04</v>
      </c>
      <c r="H6110">
        <v>5.1692</v>
      </c>
      <c r="J6110" t="s">
        <v>14</v>
      </c>
      <c r="K6110" t="str">
        <f>"1F1"</f>
        <v>1F1</v>
      </c>
      <c r="L6110" t="s">
        <v>15</v>
      </c>
    </row>
    <row r="6111" spans="1:12" x14ac:dyDescent="0.25">
      <c r="A6111" t="str">
        <f>"5409120354"</f>
        <v>5409120354</v>
      </c>
      <c r="B6111" t="str">
        <f t="shared" si="307"/>
        <v>89301000</v>
      </c>
      <c r="C6111" s="1">
        <v>44234</v>
      </c>
      <c r="D6111" s="1">
        <v>44236</v>
      </c>
      <c r="E6111">
        <v>5</v>
      </c>
      <c r="F6111" t="s">
        <v>2004</v>
      </c>
      <c r="G6111" t="str">
        <f>"05-M06-06"</f>
        <v>05-M06-06</v>
      </c>
      <c r="H6111">
        <v>1.7652000000000001</v>
      </c>
      <c r="I6111" t="s">
        <v>4463</v>
      </c>
      <c r="J6111" t="s">
        <v>17</v>
      </c>
      <c r="K6111" t="str">
        <f>"1T1"</f>
        <v>1T1</v>
      </c>
      <c r="L6111" t="s">
        <v>15</v>
      </c>
    </row>
    <row r="6112" spans="1:12" x14ac:dyDescent="0.25">
      <c r="A6112" t="str">
        <f>"5409160317"</f>
        <v>5409160317</v>
      </c>
      <c r="B6112" t="str">
        <f t="shared" si="307"/>
        <v>89301000</v>
      </c>
      <c r="C6112" s="1">
        <v>44418</v>
      </c>
      <c r="D6112" s="1">
        <v>44424</v>
      </c>
      <c r="E6112">
        <v>1</v>
      </c>
      <c r="F6112" t="s">
        <v>1931</v>
      </c>
      <c r="G6112" t="str">
        <f>"03-K04-01"</f>
        <v>03-K04-01</v>
      </c>
      <c r="H6112">
        <v>0.46660000000000001</v>
      </c>
      <c r="I6112" t="s">
        <v>2236</v>
      </c>
      <c r="J6112" t="s">
        <v>14</v>
      </c>
      <c r="K6112" t="str">
        <f>"7F1"</f>
        <v>7F1</v>
      </c>
      <c r="L6112" t="s">
        <v>15</v>
      </c>
    </row>
    <row r="6113" spans="1:12" x14ac:dyDescent="0.25">
      <c r="A6113" t="str">
        <f>"5409232037"</f>
        <v>5409232037</v>
      </c>
      <c r="B6113" t="str">
        <f t="shared" si="307"/>
        <v>89301000</v>
      </c>
      <c r="C6113" s="1">
        <v>44231</v>
      </c>
      <c r="D6113" s="1">
        <v>44232</v>
      </c>
      <c r="E6113">
        <v>1</v>
      </c>
      <c r="F6113" t="s">
        <v>2264</v>
      </c>
      <c r="G6113" t="str">
        <f>"11-I17-03"</f>
        <v>11-I17-03</v>
      </c>
      <c r="H6113">
        <v>0.50609999999999999</v>
      </c>
      <c r="I6113" t="s">
        <v>4464</v>
      </c>
      <c r="J6113" t="s">
        <v>14</v>
      </c>
      <c r="K6113" t="str">
        <f>"7F6"</f>
        <v>7F6</v>
      </c>
      <c r="L6113" t="s">
        <v>15</v>
      </c>
    </row>
    <row r="6114" spans="1:12" x14ac:dyDescent="0.25">
      <c r="A6114" t="str">
        <f>"5409264322"</f>
        <v>5409264322</v>
      </c>
      <c r="B6114" t="str">
        <f t="shared" si="307"/>
        <v>89301000</v>
      </c>
      <c r="C6114" s="1">
        <v>44293</v>
      </c>
      <c r="D6114" s="1">
        <v>44300</v>
      </c>
      <c r="E6114">
        <v>1</v>
      </c>
      <c r="F6114" t="s">
        <v>2931</v>
      </c>
      <c r="G6114" t="str">
        <f>"07-K04-03"</f>
        <v>07-K04-03</v>
      </c>
      <c r="H6114">
        <v>1.0898000000000001</v>
      </c>
      <c r="I6114" t="s">
        <v>4465</v>
      </c>
      <c r="J6114" t="s">
        <v>14</v>
      </c>
      <c r="K6114" t="str">
        <f>"1F5"</f>
        <v>1F5</v>
      </c>
      <c r="L6114" t="s">
        <v>15</v>
      </c>
    </row>
    <row r="6115" spans="1:12" x14ac:dyDescent="0.25">
      <c r="A6115" t="str">
        <f>"5409303625"</f>
        <v>5409303625</v>
      </c>
      <c r="B6115" t="str">
        <f t="shared" si="307"/>
        <v>89301000</v>
      </c>
      <c r="C6115" s="1">
        <v>44505</v>
      </c>
      <c r="D6115" s="1">
        <v>44510</v>
      </c>
      <c r="E6115">
        <v>1</v>
      </c>
      <c r="F6115" t="s">
        <v>67</v>
      </c>
      <c r="G6115" t="str">
        <f>"01-C02-02"</f>
        <v>01-C02-02</v>
      </c>
      <c r="H6115">
        <v>1.4877</v>
      </c>
      <c r="I6115" t="s">
        <v>4466</v>
      </c>
      <c r="J6115" t="s">
        <v>14</v>
      </c>
      <c r="K6115" t="str">
        <f>"2F9"</f>
        <v>2F9</v>
      </c>
      <c r="L6115" t="s">
        <v>15</v>
      </c>
    </row>
    <row r="6116" spans="1:12" x14ac:dyDescent="0.25">
      <c r="A6116" t="str">
        <f>"5410023498"</f>
        <v>5410023498</v>
      </c>
      <c r="B6116" t="str">
        <f t="shared" si="307"/>
        <v>89301000</v>
      </c>
      <c r="C6116" s="1">
        <v>44239</v>
      </c>
      <c r="D6116" s="1">
        <v>44245</v>
      </c>
      <c r="E6116">
        <v>1</v>
      </c>
      <c r="F6116" t="s">
        <v>472</v>
      </c>
      <c r="G6116" t="str">
        <f>"12-K01-02"</f>
        <v>12-K01-02</v>
      </c>
      <c r="H6116">
        <v>0.502</v>
      </c>
      <c r="I6116" t="s">
        <v>4467</v>
      </c>
      <c r="J6116" t="s">
        <v>14</v>
      </c>
      <c r="K6116" t="str">
        <f>"7F6"</f>
        <v>7F6</v>
      </c>
      <c r="L6116" t="s">
        <v>15</v>
      </c>
    </row>
    <row r="6117" spans="1:12" x14ac:dyDescent="0.25">
      <c r="A6117" t="str">
        <f>"5410023498"</f>
        <v>5410023498</v>
      </c>
      <c r="B6117" t="str">
        <f t="shared" si="307"/>
        <v>89301000</v>
      </c>
      <c r="C6117" s="1">
        <v>44361</v>
      </c>
      <c r="D6117" s="1">
        <v>44362</v>
      </c>
      <c r="E6117">
        <v>1</v>
      </c>
      <c r="F6117" t="s">
        <v>174</v>
      </c>
      <c r="G6117" t="str">
        <f>"12-I14-00"</f>
        <v>12-I14-00</v>
      </c>
      <c r="H6117">
        <v>0.44350000000000001</v>
      </c>
      <c r="I6117" t="s">
        <v>4468</v>
      </c>
      <c r="J6117" t="s">
        <v>14</v>
      </c>
      <c r="K6117" t="str">
        <f>"7F6"</f>
        <v>7F6</v>
      </c>
      <c r="L6117" t="s">
        <v>15</v>
      </c>
    </row>
    <row r="6118" spans="1:12" x14ac:dyDescent="0.25">
      <c r="A6118" t="str">
        <f>"5410053748"</f>
        <v>5410053748</v>
      </c>
      <c r="B6118" t="str">
        <f t="shared" si="307"/>
        <v>89301000</v>
      </c>
      <c r="C6118" s="1">
        <v>44539</v>
      </c>
      <c r="D6118" s="1">
        <v>44541</v>
      </c>
      <c r="E6118">
        <v>1</v>
      </c>
      <c r="F6118" t="s">
        <v>875</v>
      </c>
      <c r="G6118" t="str">
        <f>"03-I23-00"</f>
        <v>03-I23-00</v>
      </c>
      <c r="H6118">
        <v>0.47639999999999999</v>
      </c>
      <c r="I6118" t="s">
        <v>4469</v>
      </c>
      <c r="J6118" t="s">
        <v>14</v>
      </c>
      <c r="K6118" t="str">
        <f>"6F5"</f>
        <v>6F5</v>
      </c>
      <c r="L6118" t="s">
        <v>15</v>
      </c>
    </row>
    <row r="6119" spans="1:12" x14ac:dyDescent="0.25">
      <c r="A6119" t="str">
        <f>"5410192392"</f>
        <v>5410192392</v>
      </c>
      <c r="B6119" t="str">
        <f t="shared" si="307"/>
        <v>89301000</v>
      </c>
      <c r="C6119" s="1">
        <v>44222</v>
      </c>
      <c r="D6119" s="1">
        <v>44225</v>
      </c>
      <c r="E6119">
        <v>1</v>
      </c>
      <c r="F6119" t="s">
        <v>1581</v>
      </c>
      <c r="G6119" t="str">
        <f>"05-M07-06"</f>
        <v>05-M07-06</v>
      </c>
      <c r="H6119">
        <v>1.2513000000000001</v>
      </c>
      <c r="I6119" t="s">
        <v>2247</v>
      </c>
      <c r="J6119" t="s">
        <v>17</v>
      </c>
      <c r="K6119" t="str">
        <f>"5F1"</f>
        <v>5F1</v>
      </c>
      <c r="L6119" t="s">
        <v>15</v>
      </c>
    </row>
    <row r="6120" spans="1:12" x14ac:dyDescent="0.25">
      <c r="A6120" t="str">
        <f>"5410222917"</f>
        <v>5410222917</v>
      </c>
      <c r="B6120" t="str">
        <f t="shared" si="307"/>
        <v>89301000</v>
      </c>
      <c r="C6120" s="1">
        <v>44426</v>
      </c>
      <c r="D6120" s="1">
        <v>44446</v>
      </c>
      <c r="E6120">
        <v>1</v>
      </c>
      <c r="F6120" t="s">
        <v>1683</v>
      </c>
      <c r="G6120" t="str">
        <f>"05-M06-02"</f>
        <v>05-M06-02</v>
      </c>
      <c r="H6120">
        <v>4.7751000000000001</v>
      </c>
      <c r="I6120" t="s">
        <v>4470</v>
      </c>
      <c r="J6120" t="s">
        <v>17</v>
      </c>
      <c r="K6120" t="str">
        <f>"1F1"</f>
        <v>1F1</v>
      </c>
      <c r="L6120" t="s">
        <v>15</v>
      </c>
    </row>
    <row r="6121" spans="1:12" x14ac:dyDescent="0.25">
      <c r="A6121" t="str">
        <f>"5410222917"</f>
        <v>5410222917</v>
      </c>
      <c r="B6121" t="str">
        <f t="shared" si="307"/>
        <v>89301000</v>
      </c>
      <c r="C6121" s="1">
        <v>44475</v>
      </c>
      <c r="D6121" s="1">
        <v>44477</v>
      </c>
      <c r="E6121">
        <v>1</v>
      </c>
      <c r="F6121" t="s">
        <v>1927</v>
      </c>
      <c r="G6121" t="str">
        <f>"05-I29-03"</f>
        <v>05-I29-03</v>
      </c>
      <c r="H6121">
        <v>0.94369999999999998</v>
      </c>
      <c r="I6121" t="s">
        <v>4471</v>
      </c>
      <c r="J6121" t="s">
        <v>14</v>
      </c>
      <c r="K6121" t="str">
        <f>"5F1"</f>
        <v>5F1</v>
      </c>
      <c r="L6121" t="s">
        <v>15</v>
      </c>
    </row>
    <row r="6122" spans="1:12" x14ac:dyDescent="0.25">
      <c r="A6122" t="str">
        <f>"5410231541"</f>
        <v>5410231541</v>
      </c>
      <c r="B6122" t="str">
        <f t="shared" si="307"/>
        <v>89301000</v>
      </c>
      <c r="C6122" s="1">
        <v>44461</v>
      </c>
      <c r="D6122" s="1">
        <v>44462</v>
      </c>
      <c r="E6122">
        <v>1</v>
      </c>
      <c r="F6122" t="s">
        <v>41</v>
      </c>
      <c r="G6122" t="str">
        <f>"01-D01-03"</f>
        <v>01-D01-03</v>
      </c>
      <c r="H6122">
        <v>0.158</v>
      </c>
      <c r="I6122" t="s">
        <v>4472</v>
      </c>
      <c r="J6122" t="s">
        <v>14</v>
      </c>
      <c r="K6122" t="str">
        <f>"2F5"</f>
        <v>2F5</v>
      </c>
      <c r="L6122" t="s">
        <v>15</v>
      </c>
    </row>
    <row r="6123" spans="1:12" x14ac:dyDescent="0.25">
      <c r="A6123" t="str">
        <f>"5410292778"</f>
        <v>5410292778</v>
      </c>
      <c r="B6123" t="str">
        <f t="shared" si="307"/>
        <v>89301000</v>
      </c>
      <c r="C6123" s="1">
        <v>44343</v>
      </c>
      <c r="D6123" s="1">
        <v>44350</v>
      </c>
      <c r="E6123">
        <v>1</v>
      </c>
      <c r="F6123" t="s">
        <v>1953</v>
      </c>
      <c r="G6123" t="str">
        <f>"07-M02-03"</f>
        <v>07-M02-03</v>
      </c>
      <c r="H6123">
        <v>1.2850999999999999</v>
      </c>
      <c r="I6123" t="s">
        <v>4473</v>
      </c>
      <c r="J6123" t="s">
        <v>17</v>
      </c>
      <c r="K6123" t="str">
        <f>"4F2"</f>
        <v>4F2</v>
      </c>
      <c r="L6123" t="s">
        <v>15</v>
      </c>
    </row>
    <row r="6124" spans="1:12" x14ac:dyDescent="0.25">
      <c r="A6124" t="str">
        <f>"5410292778"</f>
        <v>5410292778</v>
      </c>
      <c r="B6124" t="str">
        <f t="shared" si="307"/>
        <v>89301000</v>
      </c>
      <c r="C6124" s="1">
        <v>44368</v>
      </c>
      <c r="D6124" s="1">
        <v>44383</v>
      </c>
      <c r="E6124">
        <v>8</v>
      </c>
      <c r="F6124" t="s">
        <v>1953</v>
      </c>
      <c r="G6124" t="str">
        <f>"07-M02-03"</f>
        <v>07-M02-03</v>
      </c>
      <c r="H6124">
        <v>1.2850999999999999</v>
      </c>
      <c r="I6124" t="s">
        <v>4474</v>
      </c>
      <c r="J6124" t="s">
        <v>17</v>
      </c>
      <c r="K6124" t="str">
        <f>"4F2"</f>
        <v>4F2</v>
      </c>
      <c r="L6124" t="s">
        <v>15</v>
      </c>
    </row>
    <row r="6125" spans="1:12" x14ac:dyDescent="0.25">
      <c r="A6125" t="str">
        <f>"5410311610"</f>
        <v>5410311610</v>
      </c>
      <c r="B6125" t="str">
        <f t="shared" si="307"/>
        <v>89301000</v>
      </c>
      <c r="C6125" s="1">
        <v>44249</v>
      </c>
      <c r="D6125" s="1">
        <v>44258</v>
      </c>
      <c r="E6125">
        <v>1</v>
      </c>
      <c r="F6125" t="s">
        <v>4475</v>
      </c>
      <c r="G6125" t="str">
        <f>"05-I18-04"</f>
        <v>05-I18-04</v>
      </c>
      <c r="H6125">
        <v>3.6120999999999999</v>
      </c>
      <c r="J6125" t="s">
        <v>14</v>
      </c>
      <c r="K6125" t="str">
        <f>"5F1"</f>
        <v>5F1</v>
      </c>
      <c r="L6125" t="s">
        <v>15</v>
      </c>
    </row>
    <row r="6126" spans="1:12" x14ac:dyDescent="0.25">
      <c r="A6126" t="str">
        <f>"5411023068"</f>
        <v>5411023068</v>
      </c>
      <c r="B6126" t="str">
        <f t="shared" si="307"/>
        <v>89301000</v>
      </c>
      <c r="C6126" s="1">
        <v>44548</v>
      </c>
      <c r="D6126" s="1">
        <v>44557</v>
      </c>
      <c r="E6126">
        <v>5</v>
      </c>
      <c r="F6126" t="s">
        <v>316</v>
      </c>
      <c r="G6126" t="str">
        <f>"01-I06-02"</f>
        <v>01-I06-02</v>
      </c>
      <c r="H6126">
        <v>5.1687000000000003</v>
      </c>
      <c r="I6126" t="s">
        <v>4476</v>
      </c>
      <c r="J6126" t="s">
        <v>17</v>
      </c>
      <c r="K6126" t="str">
        <f>"5T6"</f>
        <v>5T6</v>
      </c>
      <c r="L6126" t="s">
        <v>15</v>
      </c>
    </row>
    <row r="6127" spans="1:12" x14ac:dyDescent="0.25">
      <c r="A6127" t="str">
        <f>"5411070192"</f>
        <v>5411070192</v>
      </c>
      <c r="B6127" t="str">
        <f t="shared" si="307"/>
        <v>89301000</v>
      </c>
      <c r="C6127" s="1">
        <v>44278</v>
      </c>
      <c r="D6127" s="1">
        <v>44284</v>
      </c>
      <c r="E6127">
        <v>1</v>
      </c>
      <c r="F6127" t="s">
        <v>1569</v>
      </c>
      <c r="G6127" t="str">
        <f>"09-I12-02"</f>
        <v>09-I12-02</v>
      </c>
      <c r="H6127">
        <v>0.78990000000000005</v>
      </c>
      <c r="I6127" t="s">
        <v>4477</v>
      </c>
      <c r="J6127" t="s">
        <v>14</v>
      </c>
      <c r="K6127" t="str">
        <f>"6F1"</f>
        <v>6F1</v>
      </c>
      <c r="L6127" t="s">
        <v>15</v>
      </c>
    </row>
    <row r="6128" spans="1:12" x14ac:dyDescent="0.25">
      <c r="A6128" t="str">
        <f>"5411071501"</f>
        <v>5411071501</v>
      </c>
      <c r="B6128" t="str">
        <f t="shared" si="307"/>
        <v>89301000</v>
      </c>
      <c r="C6128" s="1">
        <v>44551</v>
      </c>
      <c r="D6128" s="1">
        <v>44554</v>
      </c>
      <c r="E6128">
        <v>1</v>
      </c>
      <c r="F6128" t="s">
        <v>4478</v>
      </c>
      <c r="G6128" t="str">
        <f>"08-M03-04"</f>
        <v>08-M03-04</v>
      </c>
      <c r="H6128">
        <v>0.8609</v>
      </c>
      <c r="I6128" t="s">
        <v>4479</v>
      </c>
      <c r="J6128" t="s">
        <v>14</v>
      </c>
      <c r="K6128" t="str">
        <f>"6F6"</f>
        <v>6F6</v>
      </c>
      <c r="L6128" t="s">
        <v>15</v>
      </c>
    </row>
    <row r="6129" spans="1:12" x14ac:dyDescent="0.25">
      <c r="A6129" t="str">
        <f>"5411152945"</f>
        <v>5411152945</v>
      </c>
      <c r="B6129" t="str">
        <f t="shared" si="307"/>
        <v>89301000</v>
      </c>
      <c r="C6129" s="1">
        <v>44292</v>
      </c>
      <c r="D6129" s="1">
        <v>44296</v>
      </c>
      <c r="E6129">
        <v>5</v>
      </c>
      <c r="F6129" t="s">
        <v>217</v>
      </c>
      <c r="G6129" t="str">
        <f>"04-K02-04"</f>
        <v>04-K02-04</v>
      </c>
      <c r="H6129">
        <v>0.82469999999999999</v>
      </c>
      <c r="I6129" t="s">
        <v>248</v>
      </c>
      <c r="J6129" t="s">
        <v>14</v>
      </c>
      <c r="K6129" t="str">
        <f>"5F1"</f>
        <v>5F1</v>
      </c>
      <c r="L6129" t="s">
        <v>15</v>
      </c>
    </row>
    <row r="6130" spans="1:12" x14ac:dyDescent="0.25">
      <c r="A6130" t="str">
        <f>"5411181512"</f>
        <v>5411181512</v>
      </c>
      <c r="B6130" t="str">
        <f t="shared" si="307"/>
        <v>89301000</v>
      </c>
      <c r="C6130" s="1">
        <v>44337</v>
      </c>
      <c r="D6130" s="1">
        <v>44347</v>
      </c>
      <c r="E6130">
        <v>1</v>
      </c>
      <c r="F6130" t="s">
        <v>2228</v>
      </c>
      <c r="G6130" t="str">
        <f>"06-K14-01"</f>
        <v>06-K14-01</v>
      </c>
      <c r="H6130">
        <v>1.17</v>
      </c>
      <c r="I6130" t="s">
        <v>4480</v>
      </c>
      <c r="J6130" t="s">
        <v>14</v>
      </c>
      <c r="K6130" t="str">
        <f>"4F2"</f>
        <v>4F2</v>
      </c>
      <c r="L6130" t="s">
        <v>15</v>
      </c>
    </row>
    <row r="6131" spans="1:12" x14ac:dyDescent="0.25">
      <c r="A6131" t="str">
        <f>"5411202753"</f>
        <v>5411202753</v>
      </c>
      <c r="B6131" t="str">
        <f t="shared" si="307"/>
        <v>89301000</v>
      </c>
      <c r="C6131" s="1">
        <v>44510</v>
      </c>
      <c r="D6131" s="1">
        <v>44512</v>
      </c>
      <c r="E6131">
        <v>1</v>
      </c>
      <c r="F6131" t="s">
        <v>3027</v>
      </c>
      <c r="G6131" t="str">
        <f>"03-I22-02"</f>
        <v>03-I22-02</v>
      </c>
      <c r="H6131">
        <v>0.75970000000000004</v>
      </c>
      <c r="J6131" t="s">
        <v>14</v>
      </c>
      <c r="K6131" t="str">
        <f>"7F1"</f>
        <v>7F1</v>
      </c>
      <c r="L6131" t="s">
        <v>15</v>
      </c>
    </row>
    <row r="6132" spans="1:12" x14ac:dyDescent="0.25">
      <c r="A6132" t="str">
        <f>"5411233586"</f>
        <v>5411233586</v>
      </c>
      <c r="B6132" t="str">
        <f t="shared" si="307"/>
        <v>89301000</v>
      </c>
      <c r="C6132" s="1">
        <v>44483</v>
      </c>
      <c r="D6132" s="1">
        <v>44485</v>
      </c>
      <c r="E6132">
        <v>1</v>
      </c>
      <c r="F6132" t="s">
        <v>2634</v>
      </c>
      <c r="G6132" t="str">
        <f>"01-K18-04"</f>
        <v>01-K18-04</v>
      </c>
      <c r="H6132">
        <v>0.49890000000000001</v>
      </c>
      <c r="I6132" t="s">
        <v>4481</v>
      </c>
      <c r="J6132" t="s">
        <v>14</v>
      </c>
      <c r="K6132" t="str">
        <f>"2F9"</f>
        <v>2F9</v>
      </c>
      <c r="L6132" t="s">
        <v>15</v>
      </c>
    </row>
    <row r="6133" spans="1:12" x14ac:dyDescent="0.25">
      <c r="A6133" t="str">
        <f>"5411241429"</f>
        <v>5411241429</v>
      </c>
      <c r="B6133" t="str">
        <f t="shared" si="307"/>
        <v>89301000</v>
      </c>
      <c r="C6133" s="1">
        <v>44430</v>
      </c>
      <c r="D6133" s="1">
        <v>44432</v>
      </c>
      <c r="E6133">
        <v>5</v>
      </c>
      <c r="F6133" t="s">
        <v>2729</v>
      </c>
      <c r="G6133" t="str">
        <f>"04-M02-02"</f>
        <v>04-M02-02</v>
      </c>
      <c r="H6133">
        <v>2.1122999999999998</v>
      </c>
      <c r="I6133" t="s">
        <v>4482</v>
      </c>
      <c r="J6133" t="s">
        <v>14</v>
      </c>
      <c r="K6133" t="str">
        <f>"2T5"</f>
        <v>2T5</v>
      </c>
      <c r="L6133" t="s">
        <v>15</v>
      </c>
    </row>
    <row r="6134" spans="1:12" x14ac:dyDescent="0.25">
      <c r="A6134" t="str">
        <f>"5411241429"</f>
        <v>5411241429</v>
      </c>
      <c r="B6134" t="str">
        <f t="shared" si="307"/>
        <v>89301000</v>
      </c>
      <c r="C6134" s="1">
        <v>44449</v>
      </c>
      <c r="D6134" s="1">
        <v>44451</v>
      </c>
      <c r="E6134">
        <v>8</v>
      </c>
      <c r="F6134" t="s">
        <v>2729</v>
      </c>
      <c r="G6134" t="str">
        <f>"04-K15-01"</f>
        <v>04-K15-01</v>
      </c>
      <c r="H6134">
        <v>1.6976</v>
      </c>
      <c r="I6134" t="s">
        <v>4483</v>
      </c>
      <c r="J6134" t="s">
        <v>14</v>
      </c>
      <c r="K6134" t="str">
        <f>"2T5"</f>
        <v>2T5</v>
      </c>
      <c r="L6134" t="s">
        <v>15</v>
      </c>
    </row>
    <row r="6135" spans="1:12" x14ac:dyDescent="0.25">
      <c r="A6135" t="str">
        <f>"5411273626"</f>
        <v>5411273626</v>
      </c>
      <c r="B6135" t="str">
        <f t="shared" si="307"/>
        <v>89301000</v>
      </c>
      <c r="C6135" s="1">
        <v>44220</v>
      </c>
      <c r="D6135" s="1">
        <v>44224</v>
      </c>
      <c r="E6135">
        <v>1</v>
      </c>
      <c r="F6135" t="s">
        <v>1563</v>
      </c>
      <c r="G6135" t="str">
        <f>"05-K05-05"</f>
        <v>05-K05-05</v>
      </c>
      <c r="H6135">
        <v>0.37819999999999998</v>
      </c>
      <c r="I6135" t="s">
        <v>1842</v>
      </c>
      <c r="J6135" t="s">
        <v>14</v>
      </c>
      <c r="K6135" t="str">
        <f>"1F1"</f>
        <v>1F1</v>
      </c>
      <c r="L6135" t="s">
        <v>15</v>
      </c>
    </row>
    <row r="6136" spans="1:12" x14ac:dyDescent="0.25">
      <c r="A6136" t="str">
        <f>"5412042460"</f>
        <v>5412042460</v>
      </c>
      <c r="B6136" t="str">
        <f t="shared" si="307"/>
        <v>89301000</v>
      </c>
      <c r="C6136" s="1">
        <v>44253</v>
      </c>
      <c r="D6136" s="1">
        <v>44254</v>
      </c>
      <c r="E6136">
        <v>1</v>
      </c>
      <c r="F6136" t="s">
        <v>1716</v>
      </c>
      <c r="G6136" t="str">
        <f>"11-M05-02"</f>
        <v>11-M05-02</v>
      </c>
      <c r="H6136">
        <v>0.65690000000000004</v>
      </c>
      <c r="I6136" t="s">
        <v>4484</v>
      </c>
      <c r="J6136" t="s">
        <v>17</v>
      </c>
      <c r="K6136" t="str">
        <f>"7F6"</f>
        <v>7F6</v>
      </c>
      <c r="L6136" t="s">
        <v>15</v>
      </c>
    </row>
    <row r="6137" spans="1:12" x14ac:dyDescent="0.25">
      <c r="A6137" t="str">
        <f>"5412233695"</f>
        <v>5412233695</v>
      </c>
      <c r="B6137" t="str">
        <f t="shared" si="307"/>
        <v>89301000</v>
      </c>
      <c r="C6137" s="1">
        <v>44311</v>
      </c>
      <c r="D6137" s="1">
        <v>44313</v>
      </c>
      <c r="E6137">
        <v>1</v>
      </c>
      <c r="F6137" t="s">
        <v>174</v>
      </c>
      <c r="G6137" t="str">
        <f>"12-I14-00"</f>
        <v>12-I14-00</v>
      </c>
      <c r="H6137">
        <v>0.44350000000000001</v>
      </c>
      <c r="I6137" t="s">
        <v>3554</v>
      </c>
      <c r="J6137" t="s">
        <v>14</v>
      </c>
      <c r="K6137" t="str">
        <f>"7F6"</f>
        <v>7F6</v>
      </c>
      <c r="L6137" t="s">
        <v>15</v>
      </c>
    </row>
    <row r="6138" spans="1:12" x14ac:dyDescent="0.25">
      <c r="A6138" t="str">
        <f>"5412300201"</f>
        <v>5412300201</v>
      </c>
      <c r="B6138" t="str">
        <f t="shared" si="307"/>
        <v>89301000</v>
      </c>
      <c r="C6138" s="1">
        <v>44448</v>
      </c>
      <c r="D6138" s="1">
        <v>44457</v>
      </c>
      <c r="E6138">
        <v>8</v>
      </c>
      <c r="F6138" t="s">
        <v>2474</v>
      </c>
      <c r="G6138" t="str">
        <f>"11-K08-01"</f>
        <v>11-K08-01</v>
      </c>
      <c r="H6138">
        <v>0.82140000000000002</v>
      </c>
      <c r="I6138" t="s">
        <v>4485</v>
      </c>
      <c r="J6138" t="s">
        <v>14</v>
      </c>
      <c r="K6138" t="str">
        <f>"4F2"</f>
        <v>4F2</v>
      </c>
      <c r="L6138" t="s">
        <v>15</v>
      </c>
    </row>
    <row r="6139" spans="1:12" x14ac:dyDescent="0.25">
      <c r="A6139" t="str">
        <f>"5451080459"</f>
        <v>5451080459</v>
      </c>
      <c r="B6139" t="str">
        <f t="shared" si="307"/>
        <v>89301000</v>
      </c>
      <c r="C6139" s="1">
        <v>44202</v>
      </c>
      <c r="D6139" s="1">
        <v>44207</v>
      </c>
      <c r="E6139">
        <v>1</v>
      </c>
      <c r="F6139" t="s">
        <v>4486</v>
      </c>
      <c r="G6139" t="str">
        <f>"23-K05-02"</f>
        <v>23-K05-02</v>
      </c>
      <c r="H6139">
        <v>0.4899</v>
      </c>
      <c r="I6139" t="s">
        <v>2638</v>
      </c>
      <c r="J6139" t="s">
        <v>14</v>
      </c>
      <c r="K6139" t="str">
        <f>"4F7"</f>
        <v>4F7</v>
      </c>
      <c r="L6139" t="s">
        <v>15</v>
      </c>
    </row>
    <row r="6140" spans="1:12" x14ac:dyDescent="0.25">
      <c r="A6140" t="str">
        <f>"5451152047"</f>
        <v>5451152047</v>
      </c>
      <c r="B6140" t="str">
        <f t="shared" si="307"/>
        <v>89301000</v>
      </c>
      <c r="C6140" s="1">
        <v>44544</v>
      </c>
      <c r="D6140" s="1">
        <v>44545</v>
      </c>
      <c r="E6140">
        <v>1</v>
      </c>
      <c r="F6140" t="s">
        <v>41</v>
      </c>
      <c r="G6140" t="str">
        <f>"01-D01-03"</f>
        <v>01-D01-03</v>
      </c>
      <c r="H6140">
        <v>0.158</v>
      </c>
      <c r="I6140" t="s">
        <v>4487</v>
      </c>
      <c r="J6140" t="s">
        <v>14</v>
      </c>
      <c r="K6140" t="str">
        <f>"2F5"</f>
        <v>2F5</v>
      </c>
      <c r="L6140" t="s">
        <v>15</v>
      </c>
    </row>
    <row r="6141" spans="1:12" x14ac:dyDescent="0.25">
      <c r="A6141" t="str">
        <f>"5451181791"</f>
        <v>5451181791</v>
      </c>
      <c r="B6141" t="str">
        <f t="shared" si="307"/>
        <v>89301000</v>
      </c>
      <c r="C6141" s="1">
        <v>44535</v>
      </c>
      <c r="D6141" s="1">
        <v>44537</v>
      </c>
      <c r="E6141">
        <v>1</v>
      </c>
      <c r="F6141" t="s">
        <v>210</v>
      </c>
      <c r="G6141" t="str">
        <f>"08-I15-03"</f>
        <v>08-I15-03</v>
      </c>
      <c r="H6141">
        <v>1.2374000000000001</v>
      </c>
      <c r="I6141" t="s">
        <v>381</v>
      </c>
      <c r="J6141" t="s">
        <v>17</v>
      </c>
      <c r="K6141" t="str">
        <f>"5F3"</f>
        <v>5F3</v>
      </c>
      <c r="L6141" t="s">
        <v>15</v>
      </c>
    </row>
    <row r="6142" spans="1:12" x14ac:dyDescent="0.25">
      <c r="A6142" t="str">
        <f>"5451211304"</f>
        <v>5451211304</v>
      </c>
      <c r="B6142" t="str">
        <f t="shared" si="307"/>
        <v>89301000</v>
      </c>
      <c r="C6142" s="1">
        <v>44431</v>
      </c>
      <c r="D6142" s="1">
        <v>44442</v>
      </c>
      <c r="E6142">
        <v>8</v>
      </c>
      <c r="F6142" t="s">
        <v>4488</v>
      </c>
      <c r="G6142" t="str">
        <f>"09-K08-02"</f>
        <v>09-K08-02</v>
      </c>
      <c r="H6142">
        <v>0.54849999999999999</v>
      </c>
      <c r="I6142" t="s">
        <v>4489</v>
      </c>
      <c r="J6142" t="s">
        <v>14</v>
      </c>
      <c r="K6142" t="str">
        <f>"4F2"</f>
        <v>4F2</v>
      </c>
      <c r="L6142" t="s">
        <v>15</v>
      </c>
    </row>
    <row r="6143" spans="1:12" x14ac:dyDescent="0.25">
      <c r="A6143" t="str">
        <f>"5451211304"</f>
        <v>5451211304</v>
      </c>
      <c r="B6143" t="str">
        <f t="shared" si="307"/>
        <v>89301000</v>
      </c>
      <c r="C6143" s="1">
        <v>44237</v>
      </c>
      <c r="D6143" s="1">
        <v>44246</v>
      </c>
      <c r="E6143">
        <v>1</v>
      </c>
      <c r="F6143" t="s">
        <v>600</v>
      </c>
      <c r="G6143" t="str">
        <f>"01-I06-02"</f>
        <v>01-I06-02</v>
      </c>
      <c r="H6143">
        <v>5.1687000000000003</v>
      </c>
      <c r="I6143" t="s">
        <v>4490</v>
      </c>
      <c r="J6143" t="s">
        <v>17</v>
      </c>
      <c r="K6143" t="str">
        <f>"5F6"</f>
        <v>5F6</v>
      </c>
      <c r="L6143" t="s">
        <v>15</v>
      </c>
    </row>
    <row r="6144" spans="1:12" x14ac:dyDescent="0.25">
      <c r="A6144" t="str">
        <f>"5451250915"</f>
        <v>5451250915</v>
      </c>
      <c r="B6144" t="str">
        <f t="shared" si="307"/>
        <v>89301000</v>
      </c>
      <c r="C6144" s="1">
        <v>44385</v>
      </c>
      <c r="D6144" s="1">
        <v>44390</v>
      </c>
      <c r="E6144">
        <v>1</v>
      </c>
      <c r="F6144" t="s">
        <v>4491</v>
      </c>
      <c r="G6144" t="str">
        <f>"01-K01-02"</f>
        <v>01-K01-02</v>
      </c>
      <c r="H6144">
        <v>0.50700000000000001</v>
      </c>
      <c r="I6144" t="s">
        <v>4492</v>
      </c>
      <c r="J6144" t="s">
        <v>14</v>
      </c>
      <c r="K6144" t="str">
        <f>"2F9"</f>
        <v>2F9</v>
      </c>
      <c r="L6144" t="s">
        <v>15</v>
      </c>
    </row>
    <row r="6145" spans="1:12" x14ac:dyDescent="0.25">
      <c r="A6145" t="str">
        <f>"5451250915"</f>
        <v>5451250915</v>
      </c>
      <c r="B6145" t="str">
        <f t="shared" si="307"/>
        <v>89301000</v>
      </c>
      <c r="C6145" s="1">
        <v>44482</v>
      </c>
      <c r="D6145" s="1">
        <v>44487</v>
      </c>
      <c r="E6145">
        <v>1</v>
      </c>
      <c r="F6145" t="s">
        <v>4491</v>
      </c>
      <c r="G6145" t="str">
        <f>"01-K01-02"</f>
        <v>01-K01-02</v>
      </c>
      <c r="H6145">
        <v>0.50700000000000001</v>
      </c>
      <c r="I6145" t="s">
        <v>4493</v>
      </c>
      <c r="J6145" t="s">
        <v>14</v>
      </c>
      <c r="K6145" t="str">
        <f>"2F9"</f>
        <v>2F9</v>
      </c>
      <c r="L6145" t="s">
        <v>15</v>
      </c>
    </row>
    <row r="6146" spans="1:12" x14ac:dyDescent="0.25">
      <c r="A6146" t="str">
        <f>"5452023027"</f>
        <v>5452023027</v>
      </c>
      <c r="B6146" t="str">
        <f t="shared" si="307"/>
        <v>89301000</v>
      </c>
      <c r="C6146" s="1">
        <v>44379</v>
      </c>
      <c r="D6146" s="1">
        <v>44379</v>
      </c>
      <c r="E6146">
        <v>1</v>
      </c>
      <c r="F6146" t="s">
        <v>92</v>
      </c>
      <c r="G6146" t="str">
        <f>"05-D01-02"</f>
        <v>05-D01-02</v>
      </c>
      <c r="H6146">
        <v>1.4422999999999999</v>
      </c>
      <c r="J6146" t="s">
        <v>14</v>
      </c>
      <c r="K6146" t="str">
        <f>"1F1"</f>
        <v>1F1</v>
      </c>
      <c r="L6146" t="s">
        <v>15</v>
      </c>
    </row>
    <row r="6147" spans="1:12" x14ac:dyDescent="0.25">
      <c r="A6147" t="str">
        <f>"5452070943"</f>
        <v>5452070943</v>
      </c>
      <c r="B6147" t="str">
        <f t="shared" si="307"/>
        <v>89301000</v>
      </c>
      <c r="C6147" s="1">
        <v>44528</v>
      </c>
      <c r="D6147" s="1">
        <v>44548</v>
      </c>
      <c r="E6147">
        <v>1</v>
      </c>
      <c r="F6147" t="s">
        <v>1953</v>
      </c>
      <c r="G6147" t="str">
        <f>"07-I01-02"</f>
        <v>07-I01-02</v>
      </c>
      <c r="H6147">
        <v>5.4947999999999997</v>
      </c>
      <c r="I6147" t="s">
        <v>699</v>
      </c>
      <c r="J6147" t="s">
        <v>17</v>
      </c>
      <c r="K6147" t="str">
        <f>"5F1"</f>
        <v>5F1</v>
      </c>
      <c r="L6147" t="s">
        <v>15</v>
      </c>
    </row>
    <row r="6148" spans="1:12" x14ac:dyDescent="0.25">
      <c r="A6148" t="str">
        <f>"5452071471"</f>
        <v>5452071471</v>
      </c>
      <c r="B6148" t="str">
        <f t="shared" ref="B6148:B6209" si="308">"89301000"</f>
        <v>89301000</v>
      </c>
      <c r="C6148" s="1">
        <v>44374</v>
      </c>
      <c r="D6148" s="1">
        <v>44376</v>
      </c>
      <c r="E6148">
        <v>1</v>
      </c>
      <c r="F6148" t="s">
        <v>622</v>
      </c>
      <c r="G6148" t="str">
        <f>"02-I11-02"</f>
        <v>02-I11-02</v>
      </c>
      <c r="H6148">
        <v>0.64790000000000003</v>
      </c>
      <c r="I6148" t="s">
        <v>4494</v>
      </c>
      <c r="J6148" t="s">
        <v>17</v>
      </c>
      <c r="K6148" t="str">
        <f>"7F5"</f>
        <v>7F5</v>
      </c>
      <c r="L6148" t="s">
        <v>15</v>
      </c>
    </row>
    <row r="6149" spans="1:12" x14ac:dyDescent="0.25">
      <c r="A6149" t="str">
        <f>"5452080293"</f>
        <v>5452080293</v>
      </c>
      <c r="B6149" t="str">
        <f t="shared" si="308"/>
        <v>89301000</v>
      </c>
      <c r="C6149" s="1">
        <v>44356</v>
      </c>
      <c r="D6149" s="1">
        <v>44362</v>
      </c>
      <c r="E6149">
        <v>1</v>
      </c>
      <c r="F6149" t="s">
        <v>4495</v>
      </c>
      <c r="G6149" t="str">
        <f>"08-K02-03"</f>
        <v>08-K02-03</v>
      </c>
      <c r="H6149">
        <v>0.73560000000000003</v>
      </c>
      <c r="I6149" t="s">
        <v>4496</v>
      </c>
      <c r="J6149" t="s">
        <v>14</v>
      </c>
      <c r="K6149" t="str">
        <f>"1F9"</f>
        <v>1F9</v>
      </c>
      <c r="L6149" t="s">
        <v>15</v>
      </c>
    </row>
    <row r="6150" spans="1:12" x14ac:dyDescent="0.25">
      <c r="A6150" t="str">
        <f>"5452180459"</f>
        <v>5452180459</v>
      </c>
      <c r="B6150" t="str">
        <f t="shared" si="308"/>
        <v>89301000</v>
      </c>
      <c r="C6150" s="1">
        <v>44456</v>
      </c>
      <c r="D6150" s="1">
        <v>44477</v>
      </c>
      <c r="E6150">
        <v>1</v>
      </c>
      <c r="F6150" t="s">
        <v>2109</v>
      </c>
      <c r="G6150" t="str">
        <f>"07-M02-03"</f>
        <v>07-M02-03</v>
      </c>
      <c r="H6150">
        <v>1.6472</v>
      </c>
      <c r="I6150" t="s">
        <v>4497</v>
      </c>
      <c r="J6150" t="s">
        <v>17</v>
      </c>
      <c r="K6150" t="str">
        <f>"1F1"</f>
        <v>1F1</v>
      </c>
      <c r="L6150" t="s">
        <v>15</v>
      </c>
    </row>
    <row r="6151" spans="1:12" x14ac:dyDescent="0.25">
      <c r="A6151" t="str">
        <f>"5452190271"</f>
        <v>5452190271</v>
      </c>
      <c r="B6151" t="str">
        <f t="shared" si="308"/>
        <v>89301000</v>
      </c>
      <c r="C6151" s="1">
        <v>44482</v>
      </c>
      <c r="D6151" s="1">
        <v>44487</v>
      </c>
      <c r="E6151">
        <v>1</v>
      </c>
      <c r="F6151" t="s">
        <v>79</v>
      </c>
      <c r="G6151" t="str">
        <f>"10-K06-00"</f>
        <v>10-K06-00</v>
      </c>
      <c r="H6151">
        <v>0.49630000000000002</v>
      </c>
      <c r="I6151" t="s">
        <v>4498</v>
      </c>
      <c r="J6151" t="s">
        <v>14</v>
      </c>
      <c r="K6151" t="str">
        <f>"4F7"</f>
        <v>4F7</v>
      </c>
      <c r="L6151" t="s">
        <v>15</v>
      </c>
    </row>
    <row r="6152" spans="1:12" x14ac:dyDescent="0.25">
      <c r="A6152" t="str">
        <f>"5452191085"</f>
        <v>5452191085</v>
      </c>
      <c r="B6152" t="str">
        <f t="shared" si="308"/>
        <v>89301000</v>
      </c>
      <c r="C6152" s="1">
        <v>44472</v>
      </c>
      <c r="D6152" s="1">
        <v>44473</v>
      </c>
      <c r="E6152">
        <v>1</v>
      </c>
      <c r="F6152" t="s">
        <v>489</v>
      </c>
      <c r="G6152" t="str">
        <f>"05-D01-08"</f>
        <v>05-D01-08</v>
      </c>
      <c r="H6152">
        <v>0.4093</v>
      </c>
      <c r="I6152" t="s">
        <v>2457</v>
      </c>
      <c r="J6152" t="s">
        <v>14</v>
      </c>
      <c r="K6152" t="str">
        <f>"1F7"</f>
        <v>1F7</v>
      </c>
      <c r="L6152" t="s">
        <v>15</v>
      </c>
    </row>
    <row r="6153" spans="1:12" x14ac:dyDescent="0.25">
      <c r="A6153" t="str">
        <f>"5453042177"</f>
        <v>5453042177</v>
      </c>
      <c r="B6153" t="str">
        <f t="shared" si="308"/>
        <v>89301000</v>
      </c>
      <c r="C6153" s="1">
        <v>44532</v>
      </c>
      <c r="D6153" s="1">
        <v>44544</v>
      </c>
      <c r="E6153">
        <v>4</v>
      </c>
      <c r="F6153" t="s">
        <v>217</v>
      </c>
      <c r="G6153" t="str">
        <f>"04-K02-03"</f>
        <v>04-K02-03</v>
      </c>
      <c r="H6153">
        <v>1.2859</v>
      </c>
      <c r="I6153" t="s">
        <v>4499</v>
      </c>
      <c r="J6153" t="s">
        <v>14</v>
      </c>
      <c r="K6153" t="str">
        <f>"1F6"</f>
        <v>1F6</v>
      </c>
      <c r="L6153" t="s">
        <v>15</v>
      </c>
    </row>
    <row r="6154" spans="1:12" x14ac:dyDescent="0.25">
      <c r="A6154" t="str">
        <f>"5453071690"</f>
        <v>5453071690</v>
      </c>
      <c r="B6154" t="str">
        <f t="shared" si="308"/>
        <v>89301000</v>
      </c>
      <c r="C6154" s="1">
        <v>44304</v>
      </c>
      <c r="D6154" s="1">
        <v>44312</v>
      </c>
      <c r="E6154">
        <v>4</v>
      </c>
      <c r="F6154" t="s">
        <v>1968</v>
      </c>
      <c r="G6154" t="str">
        <f>"08-I05-04"</f>
        <v>08-I05-04</v>
      </c>
      <c r="H6154">
        <v>2.4581</v>
      </c>
      <c r="I6154" t="s">
        <v>4500</v>
      </c>
      <c r="J6154" t="s">
        <v>17</v>
      </c>
      <c r="K6154" t="str">
        <f>"6F6"</f>
        <v>6F6</v>
      </c>
      <c r="L6154" t="s">
        <v>15</v>
      </c>
    </row>
    <row r="6155" spans="1:12" x14ac:dyDescent="0.25">
      <c r="A6155" t="str">
        <f>"5453231696"</f>
        <v>5453231696</v>
      </c>
      <c r="B6155" t="str">
        <f t="shared" si="308"/>
        <v>89301000</v>
      </c>
      <c r="C6155" s="1">
        <v>44286</v>
      </c>
      <c r="D6155" s="1">
        <v>44295</v>
      </c>
      <c r="E6155">
        <v>1</v>
      </c>
      <c r="F6155" t="s">
        <v>217</v>
      </c>
      <c r="G6155" t="str">
        <f>"04-K02-02"</f>
        <v>04-K02-02</v>
      </c>
      <c r="H6155">
        <v>2.5186000000000002</v>
      </c>
      <c r="I6155" t="s">
        <v>4501</v>
      </c>
      <c r="J6155" t="s">
        <v>14</v>
      </c>
      <c r="K6155" t="str">
        <f>"1F1"</f>
        <v>1F1</v>
      </c>
      <c r="L6155" t="s">
        <v>15</v>
      </c>
    </row>
    <row r="6156" spans="1:12" x14ac:dyDescent="0.25">
      <c r="A6156" t="str">
        <f>"5453240254"</f>
        <v>5453240254</v>
      </c>
      <c r="B6156" t="str">
        <f t="shared" si="308"/>
        <v>89301000</v>
      </c>
      <c r="C6156" s="1">
        <v>44364</v>
      </c>
      <c r="D6156" s="1">
        <v>44386</v>
      </c>
      <c r="E6156">
        <v>1</v>
      </c>
      <c r="F6156" t="s">
        <v>2623</v>
      </c>
      <c r="G6156" t="str">
        <f>"17-M01-00"</f>
        <v>17-M01-00</v>
      </c>
      <c r="H6156">
        <v>11.939</v>
      </c>
      <c r="I6156" t="s">
        <v>4502</v>
      </c>
      <c r="J6156" t="s">
        <v>14</v>
      </c>
      <c r="K6156" t="str">
        <f>"2F2"</f>
        <v>2F2</v>
      </c>
      <c r="L6156" t="s">
        <v>15</v>
      </c>
    </row>
    <row r="6157" spans="1:12" x14ac:dyDescent="0.25">
      <c r="A6157" t="str">
        <f>"5453240254"</f>
        <v>5453240254</v>
      </c>
      <c r="B6157" t="str">
        <f t="shared" si="308"/>
        <v>89301000</v>
      </c>
      <c r="C6157" s="1">
        <v>44536</v>
      </c>
      <c r="D6157" s="1">
        <v>44537</v>
      </c>
      <c r="E6157">
        <v>1</v>
      </c>
      <c r="F6157" t="s">
        <v>2623</v>
      </c>
      <c r="G6157" t="str">
        <f>"17-C05-06"</f>
        <v>17-C05-06</v>
      </c>
      <c r="H6157">
        <v>0.50260000000000005</v>
      </c>
      <c r="I6157" t="s">
        <v>2945</v>
      </c>
      <c r="J6157" t="s">
        <v>14</v>
      </c>
      <c r="K6157" t="str">
        <f>"2F2"</f>
        <v>2F2</v>
      </c>
      <c r="L6157" t="s">
        <v>15</v>
      </c>
    </row>
    <row r="6158" spans="1:12" x14ac:dyDescent="0.25">
      <c r="A6158" t="str">
        <f>"5453240254"</f>
        <v>5453240254</v>
      </c>
      <c r="B6158" t="str">
        <f t="shared" si="308"/>
        <v>89301000</v>
      </c>
      <c r="C6158" s="1">
        <v>44543</v>
      </c>
      <c r="D6158" s="1">
        <v>44547</v>
      </c>
      <c r="E6158">
        <v>1</v>
      </c>
      <c r="F6158" t="s">
        <v>2623</v>
      </c>
      <c r="G6158" t="str">
        <f>"00-M10-02"</f>
        <v>00-M10-02</v>
      </c>
      <c r="H6158">
        <v>1.2450000000000001</v>
      </c>
      <c r="I6158" t="s">
        <v>4503</v>
      </c>
      <c r="J6158" t="s">
        <v>24</v>
      </c>
      <c r="K6158" t="str">
        <f>"2F2"</f>
        <v>2F2</v>
      </c>
      <c r="L6158" t="s">
        <v>15</v>
      </c>
    </row>
    <row r="6159" spans="1:12" x14ac:dyDescent="0.25">
      <c r="A6159" t="str">
        <f>"5453262243"</f>
        <v>5453262243</v>
      </c>
      <c r="B6159" t="str">
        <f t="shared" si="308"/>
        <v>89301000</v>
      </c>
      <c r="C6159" s="1">
        <v>44329</v>
      </c>
      <c r="D6159" s="1">
        <v>44329</v>
      </c>
      <c r="E6159">
        <v>1</v>
      </c>
      <c r="F6159" t="s">
        <v>1962</v>
      </c>
      <c r="G6159" t="str">
        <f>"04-K15-03"</f>
        <v>04-K15-03</v>
      </c>
      <c r="H6159">
        <v>0.25090000000000001</v>
      </c>
      <c r="I6159" t="s">
        <v>348</v>
      </c>
      <c r="J6159" t="s">
        <v>14</v>
      </c>
      <c r="K6159" t="str">
        <f>"1F1"</f>
        <v>1F1</v>
      </c>
      <c r="L6159" t="s">
        <v>15</v>
      </c>
    </row>
    <row r="6160" spans="1:12" x14ac:dyDescent="0.25">
      <c r="A6160" t="str">
        <f>"5453263134"</f>
        <v>5453263134</v>
      </c>
      <c r="B6160" t="str">
        <f t="shared" si="308"/>
        <v>89301000</v>
      </c>
      <c r="C6160" s="1">
        <v>44381</v>
      </c>
      <c r="D6160" s="1">
        <v>44390</v>
      </c>
      <c r="E6160">
        <v>1</v>
      </c>
      <c r="F6160" t="s">
        <v>1878</v>
      </c>
      <c r="G6160" t="str">
        <f>"10-K12-02"</f>
        <v>10-K12-02</v>
      </c>
      <c r="H6160">
        <v>0.94830000000000003</v>
      </c>
      <c r="I6160" t="s">
        <v>4504</v>
      </c>
      <c r="J6160" t="s">
        <v>14</v>
      </c>
      <c r="K6160" t="str">
        <f>"1F1"</f>
        <v>1F1</v>
      </c>
      <c r="L6160" t="s">
        <v>15</v>
      </c>
    </row>
    <row r="6161" spans="1:12" x14ac:dyDescent="0.25">
      <c r="A6161" t="str">
        <f>"5453263134"</f>
        <v>5453263134</v>
      </c>
      <c r="B6161" t="str">
        <f t="shared" si="308"/>
        <v>89301000</v>
      </c>
      <c r="C6161" s="1">
        <v>44520</v>
      </c>
      <c r="D6161" s="1">
        <v>44526</v>
      </c>
      <c r="E6161">
        <v>1</v>
      </c>
      <c r="F6161" t="s">
        <v>217</v>
      </c>
      <c r="G6161" t="str">
        <f>"04-K02-04"</f>
        <v>04-K02-04</v>
      </c>
      <c r="H6161">
        <v>0.82469999999999999</v>
      </c>
      <c r="I6161" t="s">
        <v>4505</v>
      </c>
      <c r="J6161" t="s">
        <v>14</v>
      </c>
      <c r="K6161" t="str">
        <f>"1F6"</f>
        <v>1F6</v>
      </c>
      <c r="L6161" t="s">
        <v>15</v>
      </c>
    </row>
    <row r="6162" spans="1:12" x14ac:dyDescent="0.25">
      <c r="A6162" t="str">
        <f>"5453280932"</f>
        <v>5453280932</v>
      </c>
      <c r="B6162" t="str">
        <f t="shared" si="308"/>
        <v>89301000</v>
      </c>
      <c r="C6162" s="1">
        <v>44480</v>
      </c>
      <c r="D6162" s="1">
        <v>44484</v>
      </c>
      <c r="E6162">
        <v>1</v>
      </c>
      <c r="F6162" t="s">
        <v>4506</v>
      </c>
      <c r="G6162" t="str">
        <f>"01-K16-02"</f>
        <v>01-K16-02</v>
      </c>
      <c r="H6162">
        <v>1.0797000000000001</v>
      </c>
      <c r="I6162" t="s">
        <v>4507</v>
      </c>
      <c r="J6162" t="s">
        <v>14</v>
      </c>
      <c r="K6162" t="str">
        <f>"5F6"</f>
        <v>5F6</v>
      </c>
      <c r="L6162" t="s">
        <v>15</v>
      </c>
    </row>
    <row r="6163" spans="1:12" x14ac:dyDescent="0.25">
      <c r="A6163" t="str">
        <f>"5453301216"</f>
        <v>5453301216</v>
      </c>
      <c r="B6163" t="str">
        <f t="shared" si="308"/>
        <v>89301000</v>
      </c>
      <c r="C6163" s="1">
        <v>44301</v>
      </c>
      <c r="D6163" s="1">
        <v>44302</v>
      </c>
      <c r="E6163">
        <v>5</v>
      </c>
      <c r="F6163" t="s">
        <v>217</v>
      </c>
      <c r="G6163" t="str">
        <f>"04-K02-03"</f>
        <v>04-K02-03</v>
      </c>
      <c r="H6163">
        <v>0.6724</v>
      </c>
      <c r="I6163" t="s">
        <v>4508</v>
      </c>
      <c r="J6163" t="s">
        <v>14</v>
      </c>
      <c r="K6163" t="str">
        <f>"1F6"</f>
        <v>1F6</v>
      </c>
      <c r="L6163" t="s">
        <v>15</v>
      </c>
    </row>
    <row r="6164" spans="1:12" x14ac:dyDescent="0.25">
      <c r="A6164" t="str">
        <f>"5454110343"</f>
        <v>5454110343</v>
      </c>
      <c r="B6164" t="str">
        <f t="shared" si="308"/>
        <v>89301000</v>
      </c>
      <c r="C6164" s="1">
        <v>44405</v>
      </c>
      <c r="D6164" s="1">
        <v>44421</v>
      </c>
      <c r="E6164">
        <v>1</v>
      </c>
      <c r="F6164" t="s">
        <v>109</v>
      </c>
      <c r="G6164" t="str">
        <f>"24-M07-02"</f>
        <v>24-M07-02</v>
      </c>
      <c r="H6164">
        <v>1.5094000000000001</v>
      </c>
      <c r="I6164" t="s">
        <v>4509</v>
      </c>
      <c r="J6164" t="s">
        <v>14</v>
      </c>
      <c r="K6164" t="str">
        <f>"2F1"</f>
        <v>2F1</v>
      </c>
      <c r="L6164" t="s">
        <v>15</v>
      </c>
    </row>
    <row r="6165" spans="1:12" x14ac:dyDescent="0.25">
      <c r="A6165" t="str">
        <f>"5454110343"</f>
        <v>5454110343</v>
      </c>
      <c r="B6165" t="str">
        <f t="shared" si="308"/>
        <v>89301000</v>
      </c>
      <c r="C6165" s="1">
        <v>44401</v>
      </c>
      <c r="D6165" s="1">
        <v>44405</v>
      </c>
      <c r="E6165">
        <v>3</v>
      </c>
      <c r="F6165" t="s">
        <v>866</v>
      </c>
      <c r="G6165" t="str">
        <f>"08-I13-06"</f>
        <v>08-I13-06</v>
      </c>
      <c r="H6165">
        <v>2.0099</v>
      </c>
      <c r="I6165" t="s">
        <v>381</v>
      </c>
      <c r="J6165" t="s">
        <v>17</v>
      </c>
      <c r="K6165" t="str">
        <f>"5F3"</f>
        <v>5F3</v>
      </c>
      <c r="L6165" t="s">
        <v>15</v>
      </c>
    </row>
    <row r="6166" spans="1:12" x14ac:dyDescent="0.25">
      <c r="A6166" t="str">
        <f>"5454110343"</f>
        <v>5454110343</v>
      </c>
      <c r="B6166" t="str">
        <f t="shared" si="308"/>
        <v>89301000</v>
      </c>
      <c r="C6166" s="1">
        <v>44448</v>
      </c>
      <c r="D6166" s="1">
        <v>44449</v>
      </c>
      <c r="E6166">
        <v>1</v>
      </c>
      <c r="F6166" t="s">
        <v>173</v>
      </c>
      <c r="G6166" t="str">
        <f>"08-I32-02"</f>
        <v>08-I32-02</v>
      </c>
      <c r="H6166">
        <v>0.4143</v>
      </c>
      <c r="I6166" t="s">
        <v>381</v>
      </c>
      <c r="J6166" t="s">
        <v>14</v>
      </c>
      <c r="K6166" t="str">
        <f>"5F3"</f>
        <v>5F3</v>
      </c>
      <c r="L6166" t="s">
        <v>15</v>
      </c>
    </row>
    <row r="6167" spans="1:12" x14ac:dyDescent="0.25">
      <c r="A6167" t="str">
        <f>"5454140197"</f>
        <v>5454140197</v>
      </c>
      <c r="B6167" t="str">
        <f t="shared" si="308"/>
        <v>89301000</v>
      </c>
      <c r="C6167" s="1">
        <v>44448</v>
      </c>
      <c r="D6167" s="1">
        <v>44452</v>
      </c>
      <c r="E6167">
        <v>1</v>
      </c>
      <c r="F6167" t="s">
        <v>2366</v>
      </c>
      <c r="G6167" t="str">
        <f>"02-I09-03"</f>
        <v>02-I09-03</v>
      </c>
      <c r="H6167">
        <v>0.92979999999999996</v>
      </c>
      <c r="J6167" t="s">
        <v>14</v>
      </c>
      <c r="K6167" t="str">
        <f>"7F5"</f>
        <v>7F5</v>
      </c>
      <c r="L6167" t="s">
        <v>15</v>
      </c>
    </row>
    <row r="6168" spans="1:12" x14ac:dyDescent="0.25">
      <c r="A6168" t="str">
        <f>"5454153320"</f>
        <v>5454153320</v>
      </c>
      <c r="B6168" t="str">
        <f t="shared" si="308"/>
        <v>89301000</v>
      </c>
      <c r="C6168" s="1">
        <v>44517</v>
      </c>
      <c r="D6168" s="1">
        <v>44525</v>
      </c>
      <c r="E6168">
        <v>4</v>
      </c>
      <c r="F6168" t="s">
        <v>1968</v>
      </c>
      <c r="G6168" t="str">
        <f>"08-I05-04"</f>
        <v>08-I05-04</v>
      </c>
      <c r="H6168">
        <v>2.4581</v>
      </c>
      <c r="I6168" t="s">
        <v>2288</v>
      </c>
      <c r="J6168" t="s">
        <v>17</v>
      </c>
      <c r="K6168" t="str">
        <f>"6F6"</f>
        <v>6F6</v>
      </c>
      <c r="L6168" t="s">
        <v>15</v>
      </c>
    </row>
    <row r="6169" spans="1:12" x14ac:dyDescent="0.25">
      <c r="A6169" t="str">
        <f>"5454160184"</f>
        <v>5454160184</v>
      </c>
      <c r="B6169" t="str">
        <f t="shared" si="308"/>
        <v>89301000</v>
      </c>
      <c r="C6169" s="1">
        <v>44322</v>
      </c>
      <c r="D6169" s="1">
        <v>44324</v>
      </c>
      <c r="E6169">
        <v>1</v>
      </c>
      <c r="F6169" t="s">
        <v>1551</v>
      </c>
      <c r="G6169" t="str">
        <f>"09-I06-04"</f>
        <v>09-I06-04</v>
      </c>
      <c r="H6169">
        <v>0.98829999999999996</v>
      </c>
      <c r="J6169" t="s">
        <v>17</v>
      </c>
      <c r="K6169" t="str">
        <f>"5F1"</f>
        <v>5F1</v>
      </c>
      <c r="L6169" t="s">
        <v>15</v>
      </c>
    </row>
    <row r="6170" spans="1:12" x14ac:dyDescent="0.25">
      <c r="A6170" t="str">
        <f>"5454170568"</f>
        <v>5454170568</v>
      </c>
      <c r="B6170" t="str">
        <f t="shared" si="308"/>
        <v>89301000</v>
      </c>
      <c r="C6170" s="1">
        <v>44293</v>
      </c>
      <c r="D6170" s="1">
        <v>44295</v>
      </c>
      <c r="E6170">
        <v>1</v>
      </c>
      <c r="F6170" t="s">
        <v>1797</v>
      </c>
      <c r="G6170" t="str">
        <f>"11-I17-03"</f>
        <v>11-I17-03</v>
      </c>
      <c r="H6170">
        <v>0.50609999999999999</v>
      </c>
      <c r="I6170" t="s">
        <v>4510</v>
      </c>
      <c r="J6170" t="s">
        <v>14</v>
      </c>
      <c r="K6170" t="str">
        <f>"7F6"</f>
        <v>7F6</v>
      </c>
      <c r="L6170" t="s">
        <v>15</v>
      </c>
    </row>
    <row r="6171" spans="1:12" x14ac:dyDescent="0.25">
      <c r="A6171" t="str">
        <f>"5454170568"</f>
        <v>5454170568</v>
      </c>
      <c r="B6171" t="str">
        <f t="shared" si="308"/>
        <v>89301000</v>
      </c>
      <c r="C6171" s="1">
        <v>44375</v>
      </c>
      <c r="D6171" s="1">
        <v>44380</v>
      </c>
      <c r="E6171">
        <v>1</v>
      </c>
      <c r="F6171" t="s">
        <v>1621</v>
      </c>
      <c r="G6171" t="str">
        <f>"07-K06-02"</f>
        <v>07-K06-02</v>
      </c>
      <c r="H6171">
        <v>0.45710000000000001</v>
      </c>
      <c r="I6171" t="s">
        <v>4511</v>
      </c>
      <c r="J6171" t="s">
        <v>14</v>
      </c>
      <c r="K6171" t="str">
        <f>"5F1"</f>
        <v>5F1</v>
      </c>
      <c r="L6171" t="s">
        <v>15</v>
      </c>
    </row>
    <row r="6172" spans="1:12" x14ac:dyDescent="0.25">
      <c r="A6172" t="str">
        <f>"5454192337"</f>
        <v>5454192337</v>
      </c>
      <c r="B6172" t="str">
        <f t="shared" si="308"/>
        <v>89301000</v>
      </c>
      <c r="C6172" s="1">
        <v>44348</v>
      </c>
      <c r="D6172" s="1">
        <v>44349</v>
      </c>
      <c r="E6172">
        <v>1</v>
      </c>
      <c r="F6172" t="s">
        <v>2603</v>
      </c>
      <c r="G6172" t="str">
        <f>"05-D01-08"</f>
        <v>05-D01-08</v>
      </c>
      <c r="H6172">
        <v>0.4093</v>
      </c>
      <c r="J6172" t="s">
        <v>14</v>
      </c>
      <c r="K6172" t="str">
        <f>"1F7"</f>
        <v>1F7</v>
      </c>
      <c r="L6172" t="s">
        <v>15</v>
      </c>
    </row>
    <row r="6173" spans="1:12" x14ac:dyDescent="0.25">
      <c r="A6173" t="str">
        <f>"5454231079"</f>
        <v>5454231079</v>
      </c>
      <c r="B6173" t="str">
        <f t="shared" si="308"/>
        <v>89301000</v>
      </c>
      <c r="C6173" s="1">
        <v>44390</v>
      </c>
      <c r="D6173" s="1">
        <v>44393</v>
      </c>
      <c r="E6173">
        <v>1</v>
      </c>
      <c r="F6173" t="s">
        <v>457</v>
      </c>
      <c r="G6173" t="str">
        <f>"08-I16-04"</f>
        <v>08-I16-04</v>
      </c>
      <c r="H6173">
        <v>0.92159999999999997</v>
      </c>
      <c r="I6173" t="s">
        <v>4512</v>
      </c>
      <c r="J6173" t="s">
        <v>17</v>
      </c>
      <c r="K6173" t="str">
        <f>"5F3"</f>
        <v>5F3</v>
      </c>
      <c r="L6173" t="s">
        <v>15</v>
      </c>
    </row>
    <row r="6174" spans="1:12" x14ac:dyDescent="0.25">
      <c r="A6174" t="str">
        <f>"5454290369"</f>
        <v>5454290369</v>
      </c>
      <c r="B6174" t="str">
        <f t="shared" si="308"/>
        <v>89301000</v>
      </c>
      <c r="C6174" s="1">
        <v>44279</v>
      </c>
      <c r="D6174" s="1">
        <v>44280</v>
      </c>
      <c r="E6174">
        <v>1</v>
      </c>
      <c r="F6174" t="s">
        <v>84</v>
      </c>
      <c r="G6174" t="str">
        <f>"09-I09-05"</f>
        <v>09-I09-05</v>
      </c>
      <c r="H6174">
        <v>0.47210000000000002</v>
      </c>
      <c r="J6174" t="s">
        <v>17</v>
      </c>
      <c r="K6174" t="str">
        <f>"5F1"</f>
        <v>5F1</v>
      </c>
      <c r="L6174" t="s">
        <v>15</v>
      </c>
    </row>
    <row r="6175" spans="1:12" x14ac:dyDescent="0.25">
      <c r="A6175" t="str">
        <f>"5454291073"</f>
        <v>5454291073</v>
      </c>
      <c r="B6175" t="str">
        <f t="shared" si="308"/>
        <v>89301000</v>
      </c>
      <c r="C6175" s="1">
        <v>44269</v>
      </c>
      <c r="D6175" s="1">
        <v>44277</v>
      </c>
      <c r="E6175">
        <v>1</v>
      </c>
      <c r="F6175" t="s">
        <v>2228</v>
      </c>
      <c r="G6175" t="str">
        <f>"06-I07-05"</f>
        <v>06-I07-05</v>
      </c>
      <c r="H6175">
        <v>2.8466999999999998</v>
      </c>
      <c r="J6175" t="s">
        <v>17</v>
      </c>
      <c r="K6175" t="str">
        <f>"5F1"</f>
        <v>5F1</v>
      </c>
      <c r="L6175" t="s">
        <v>15</v>
      </c>
    </row>
    <row r="6176" spans="1:12" x14ac:dyDescent="0.25">
      <c r="A6176" t="str">
        <f>"5454300181"</f>
        <v>5454300181</v>
      </c>
      <c r="B6176" t="str">
        <f t="shared" si="308"/>
        <v>89301000</v>
      </c>
      <c r="C6176" s="1">
        <v>44390</v>
      </c>
      <c r="D6176" s="1">
        <v>44396</v>
      </c>
      <c r="E6176">
        <v>4</v>
      </c>
      <c r="F6176" t="s">
        <v>109</v>
      </c>
      <c r="G6176" t="str">
        <f>"24-M05-02"</f>
        <v>24-M05-02</v>
      </c>
      <c r="H6176">
        <v>0.58960000000000001</v>
      </c>
      <c r="I6176" t="s">
        <v>3241</v>
      </c>
      <c r="J6176" t="s">
        <v>14</v>
      </c>
      <c r="K6176" t="str">
        <f>"2F1"</f>
        <v>2F1</v>
      </c>
      <c r="L6176" t="s">
        <v>15</v>
      </c>
    </row>
    <row r="6177" spans="1:12" x14ac:dyDescent="0.25">
      <c r="A6177" t="str">
        <f>"5454300181"</f>
        <v>5454300181</v>
      </c>
      <c r="B6177" t="str">
        <f t="shared" si="308"/>
        <v>89301000</v>
      </c>
      <c r="C6177" s="1">
        <v>44384</v>
      </c>
      <c r="D6177" s="1">
        <v>44390</v>
      </c>
      <c r="E6177">
        <v>3</v>
      </c>
      <c r="F6177" t="s">
        <v>2407</v>
      </c>
      <c r="G6177" t="str">
        <f>"08-I06-04"</f>
        <v>08-I06-04</v>
      </c>
      <c r="H6177">
        <v>2.4260000000000002</v>
      </c>
      <c r="I6177" t="s">
        <v>4513</v>
      </c>
      <c r="J6177" t="s">
        <v>24</v>
      </c>
      <c r="K6177" t="str">
        <f>"6F6"</f>
        <v>6F6</v>
      </c>
      <c r="L6177" t="s">
        <v>15</v>
      </c>
    </row>
    <row r="6178" spans="1:12" x14ac:dyDescent="0.25">
      <c r="A6178" t="str">
        <f>"5455011529"</f>
        <v>5455011529</v>
      </c>
      <c r="B6178" t="str">
        <f t="shared" si="308"/>
        <v>89301000</v>
      </c>
      <c r="C6178" s="1">
        <v>44430</v>
      </c>
      <c r="D6178" s="1">
        <v>44434</v>
      </c>
      <c r="E6178">
        <v>1</v>
      </c>
      <c r="F6178" t="s">
        <v>2527</v>
      </c>
      <c r="G6178" t="str">
        <f>"13-I11-03"</f>
        <v>13-I11-03</v>
      </c>
      <c r="H6178">
        <v>1.3809</v>
      </c>
      <c r="J6178" t="s">
        <v>24</v>
      </c>
      <c r="K6178" t="str">
        <f>"6F3"</f>
        <v>6F3</v>
      </c>
      <c r="L6178" t="s">
        <v>15</v>
      </c>
    </row>
    <row r="6179" spans="1:12" x14ac:dyDescent="0.25">
      <c r="A6179" t="str">
        <f>"5455021506"</f>
        <v>5455021506</v>
      </c>
      <c r="B6179" t="str">
        <f t="shared" si="308"/>
        <v>89301000</v>
      </c>
      <c r="C6179" s="1">
        <v>44347</v>
      </c>
      <c r="D6179" s="1">
        <v>44356</v>
      </c>
      <c r="E6179">
        <v>1</v>
      </c>
      <c r="F6179" t="s">
        <v>4514</v>
      </c>
      <c r="G6179" t="str">
        <f>"08-K12-02"</f>
        <v>08-K12-02</v>
      </c>
      <c r="H6179">
        <v>0.71619999999999995</v>
      </c>
      <c r="I6179" t="s">
        <v>4515</v>
      </c>
      <c r="J6179" t="s">
        <v>14</v>
      </c>
      <c r="K6179" t="str">
        <f>"5F1"</f>
        <v>5F1</v>
      </c>
      <c r="L6179" t="s">
        <v>15</v>
      </c>
    </row>
    <row r="6180" spans="1:12" x14ac:dyDescent="0.25">
      <c r="A6180" t="str">
        <f>"5455021506"</f>
        <v>5455021506</v>
      </c>
      <c r="B6180" t="str">
        <f t="shared" si="308"/>
        <v>89301000</v>
      </c>
      <c r="C6180" s="1">
        <v>44368</v>
      </c>
      <c r="D6180" s="1">
        <v>44377</v>
      </c>
      <c r="E6180">
        <v>1</v>
      </c>
      <c r="F6180" t="s">
        <v>109</v>
      </c>
      <c r="G6180" t="str">
        <f>"24-M06-02"</f>
        <v>24-M06-02</v>
      </c>
      <c r="H6180">
        <v>1.0233000000000001</v>
      </c>
      <c r="I6180" t="s">
        <v>4516</v>
      </c>
      <c r="J6180" t="s">
        <v>14</v>
      </c>
      <c r="K6180" t="str">
        <f>"2F1"</f>
        <v>2F1</v>
      </c>
      <c r="L6180" t="s">
        <v>15</v>
      </c>
    </row>
    <row r="6181" spans="1:12" x14ac:dyDescent="0.25">
      <c r="A6181" t="str">
        <f>"5455060435"</f>
        <v>5455060435</v>
      </c>
      <c r="B6181" t="str">
        <f t="shared" si="308"/>
        <v>89301000</v>
      </c>
      <c r="C6181" s="1">
        <v>44510</v>
      </c>
      <c r="D6181" s="1">
        <v>44533</v>
      </c>
      <c r="E6181">
        <v>1</v>
      </c>
      <c r="F6181" t="s">
        <v>2623</v>
      </c>
      <c r="G6181" t="str">
        <f>"00-M08-00"</f>
        <v>00-M08-00</v>
      </c>
      <c r="H6181">
        <v>4.7394999999999996</v>
      </c>
      <c r="I6181" t="s">
        <v>4517</v>
      </c>
      <c r="J6181" t="s">
        <v>17</v>
      </c>
      <c r="K6181" t="str">
        <f>"2T2"</f>
        <v>2T2</v>
      </c>
      <c r="L6181" t="s">
        <v>15</v>
      </c>
    </row>
    <row r="6182" spans="1:12" x14ac:dyDescent="0.25">
      <c r="A6182" t="str">
        <f>"5455060435"</f>
        <v>5455060435</v>
      </c>
      <c r="B6182" t="str">
        <f t="shared" si="308"/>
        <v>89301000</v>
      </c>
      <c r="C6182" s="1">
        <v>44452</v>
      </c>
      <c r="D6182" s="1">
        <v>44458</v>
      </c>
      <c r="E6182">
        <v>1</v>
      </c>
      <c r="F6182" t="s">
        <v>2623</v>
      </c>
      <c r="G6182" t="str">
        <f>"00-M10-01"</f>
        <v>00-M10-01</v>
      </c>
      <c r="H6182">
        <v>3.6057999999999999</v>
      </c>
      <c r="I6182" t="s">
        <v>4518</v>
      </c>
      <c r="J6182" t="s">
        <v>24</v>
      </c>
      <c r="K6182" t="str">
        <f>"2F2"</f>
        <v>2F2</v>
      </c>
      <c r="L6182" t="s">
        <v>15</v>
      </c>
    </row>
    <row r="6183" spans="1:12" x14ac:dyDescent="0.25">
      <c r="A6183" t="str">
        <f>"5455060435"</f>
        <v>5455060435</v>
      </c>
      <c r="B6183" t="str">
        <f t="shared" si="308"/>
        <v>89301000</v>
      </c>
      <c r="C6183" s="1">
        <v>44445</v>
      </c>
      <c r="D6183" s="1">
        <v>44446</v>
      </c>
      <c r="E6183">
        <v>1</v>
      </c>
      <c r="F6183" t="s">
        <v>2623</v>
      </c>
      <c r="G6183" t="str">
        <f>"17-C05-06"</f>
        <v>17-C05-06</v>
      </c>
      <c r="H6183">
        <v>0.50260000000000005</v>
      </c>
      <c r="I6183" t="s">
        <v>4519</v>
      </c>
      <c r="J6183" t="s">
        <v>14</v>
      </c>
      <c r="K6183" t="str">
        <f>"2F2"</f>
        <v>2F2</v>
      </c>
      <c r="L6183" t="s">
        <v>15</v>
      </c>
    </row>
    <row r="6184" spans="1:12" x14ac:dyDescent="0.25">
      <c r="A6184" t="str">
        <f>"5455111739"</f>
        <v>5455111739</v>
      </c>
      <c r="B6184" t="str">
        <f t="shared" si="308"/>
        <v>89301000</v>
      </c>
      <c r="C6184" s="1">
        <v>44509</v>
      </c>
      <c r="D6184" s="1">
        <v>44516</v>
      </c>
      <c r="E6184">
        <v>4</v>
      </c>
      <c r="F6184" t="s">
        <v>217</v>
      </c>
      <c r="G6184" t="str">
        <f>"04-K02-03"</f>
        <v>04-K02-03</v>
      </c>
      <c r="H6184">
        <v>1.2859</v>
      </c>
      <c r="I6184" t="s">
        <v>4520</v>
      </c>
      <c r="J6184" t="s">
        <v>14</v>
      </c>
      <c r="K6184" t="str">
        <f>"1F6"</f>
        <v>1F6</v>
      </c>
      <c r="L6184" t="s">
        <v>15</v>
      </c>
    </row>
    <row r="6185" spans="1:12" x14ac:dyDescent="0.25">
      <c r="A6185" t="str">
        <f>"5455183877"</f>
        <v>5455183877</v>
      </c>
      <c r="B6185" t="str">
        <f t="shared" si="308"/>
        <v>89301000</v>
      </c>
      <c r="C6185" s="1">
        <v>44341</v>
      </c>
      <c r="D6185" s="1">
        <v>44355</v>
      </c>
      <c r="E6185">
        <v>1</v>
      </c>
      <c r="F6185" t="s">
        <v>2004</v>
      </c>
      <c r="G6185" t="str">
        <f>"05-I16-02"</f>
        <v>05-I16-02</v>
      </c>
      <c r="H6185">
        <v>9.157</v>
      </c>
      <c r="J6185" t="s">
        <v>17</v>
      </c>
      <c r="K6185" t="str">
        <f>"5F5"</f>
        <v>5F5</v>
      </c>
      <c r="L6185" t="s">
        <v>15</v>
      </c>
    </row>
    <row r="6186" spans="1:12" x14ac:dyDescent="0.25">
      <c r="A6186" t="str">
        <f>"5455282140"</f>
        <v>5455282140</v>
      </c>
      <c r="B6186" t="str">
        <f t="shared" si="308"/>
        <v>89301000</v>
      </c>
      <c r="C6186" s="1">
        <v>44530</v>
      </c>
      <c r="D6186" s="1">
        <v>44533</v>
      </c>
      <c r="E6186">
        <v>8</v>
      </c>
      <c r="F6186" t="s">
        <v>1742</v>
      </c>
      <c r="G6186" t="str">
        <f>"01-K18-01"</f>
        <v>01-K18-01</v>
      </c>
      <c r="H6186">
        <v>2.5028999999999999</v>
      </c>
      <c r="I6186" t="s">
        <v>4521</v>
      </c>
      <c r="J6186" t="s">
        <v>14</v>
      </c>
      <c r="K6186" t="str">
        <f>"2T9"</f>
        <v>2T9</v>
      </c>
      <c r="L6186" t="s">
        <v>15</v>
      </c>
    </row>
    <row r="6187" spans="1:12" x14ac:dyDescent="0.25">
      <c r="A6187" t="str">
        <f>"5455300873"</f>
        <v>5455300873</v>
      </c>
      <c r="B6187" t="str">
        <f t="shared" si="308"/>
        <v>89301000</v>
      </c>
      <c r="C6187" s="1">
        <v>44375</v>
      </c>
      <c r="D6187" s="1">
        <v>44379</v>
      </c>
      <c r="E6187">
        <v>1</v>
      </c>
      <c r="F6187" t="s">
        <v>2303</v>
      </c>
      <c r="G6187" t="str">
        <f>"13-I19-00"</f>
        <v>13-I19-00</v>
      </c>
      <c r="H6187">
        <v>0.46629999999999999</v>
      </c>
      <c r="I6187" t="s">
        <v>4522</v>
      </c>
      <c r="J6187" t="s">
        <v>14</v>
      </c>
      <c r="K6187" t="str">
        <f>"6F3"</f>
        <v>6F3</v>
      </c>
      <c r="L6187" t="s">
        <v>15</v>
      </c>
    </row>
    <row r="6188" spans="1:12" x14ac:dyDescent="0.25">
      <c r="A6188" t="str">
        <f>"5456060533"</f>
        <v>5456060533</v>
      </c>
      <c r="B6188" t="str">
        <f t="shared" si="308"/>
        <v>89301000</v>
      </c>
      <c r="C6188" s="1">
        <v>44438</v>
      </c>
      <c r="D6188" s="1">
        <v>44446</v>
      </c>
      <c r="E6188">
        <v>1</v>
      </c>
      <c r="F6188" t="s">
        <v>1955</v>
      </c>
      <c r="G6188" t="str">
        <f>"01-K04-01"</f>
        <v>01-K04-01</v>
      </c>
      <c r="H6188">
        <v>1.1855</v>
      </c>
      <c r="I6188" t="s">
        <v>4523</v>
      </c>
      <c r="J6188" t="s">
        <v>14</v>
      </c>
      <c r="K6188" t="str">
        <f>"2F9"</f>
        <v>2F9</v>
      </c>
      <c r="L6188" t="s">
        <v>15</v>
      </c>
    </row>
    <row r="6189" spans="1:12" x14ac:dyDescent="0.25">
      <c r="A6189" t="str">
        <f>"5456092114"</f>
        <v>5456092114</v>
      </c>
      <c r="B6189" t="str">
        <f t="shared" si="308"/>
        <v>89301000</v>
      </c>
      <c r="C6189" s="1">
        <v>44479</v>
      </c>
      <c r="D6189" s="1">
        <v>44481</v>
      </c>
      <c r="E6189">
        <v>1</v>
      </c>
      <c r="F6189" t="s">
        <v>1557</v>
      </c>
      <c r="G6189" t="str">
        <f>"05-D01-08"</f>
        <v>05-D01-08</v>
      </c>
      <c r="H6189">
        <v>0.4093</v>
      </c>
      <c r="I6189" t="s">
        <v>1606</v>
      </c>
      <c r="J6189" t="s">
        <v>14</v>
      </c>
      <c r="K6189" t="str">
        <f>"1F1"</f>
        <v>1F1</v>
      </c>
      <c r="L6189" t="s">
        <v>15</v>
      </c>
    </row>
    <row r="6190" spans="1:12" x14ac:dyDescent="0.25">
      <c r="A6190" t="str">
        <f>"5456251185"</f>
        <v>5456251185</v>
      </c>
      <c r="B6190" t="str">
        <f t="shared" si="308"/>
        <v>89301000</v>
      </c>
      <c r="C6190" s="1">
        <v>44416</v>
      </c>
      <c r="D6190" s="1">
        <v>44417</v>
      </c>
      <c r="E6190">
        <v>1</v>
      </c>
      <c r="F6190" t="s">
        <v>2407</v>
      </c>
      <c r="G6190" t="str">
        <f>"08-K04-03"</f>
        <v>08-K04-03</v>
      </c>
      <c r="H6190">
        <v>0.45050000000000001</v>
      </c>
      <c r="I6190" t="s">
        <v>4524</v>
      </c>
      <c r="J6190" t="s">
        <v>14</v>
      </c>
      <c r="K6190" t="str">
        <f>"6F6"</f>
        <v>6F6</v>
      </c>
      <c r="L6190" t="s">
        <v>15</v>
      </c>
    </row>
    <row r="6191" spans="1:12" x14ac:dyDescent="0.25">
      <c r="A6191" t="str">
        <f>"5456251185"</f>
        <v>5456251185</v>
      </c>
      <c r="B6191" t="str">
        <f t="shared" si="308"/>
        <v>89301000</v>
      </c>
      <c r="C6191" s="1">
        <v>44444</v>
      </c>
      <c r="D6191" s="1">
        <v>44452</v>
      </c>
      <c r="E6191">
        <v>3</v>
      </c>
      <c r="F6191" t="s">
        <v>2407</v>
      </c>
      <c r="G6191" t="str">
        <f>"08-I06-04"</f>
        <v>08-I06-04</v>
      </c>
      <c r="H6191">
        <v>2.4260000000000002</v>
      </c>
      <c r="I6191" t="s">
        <v>2708</v>
      </c>
      <c r="J6191" t="s">
        <v>24</v>
      </c>
      <c r="K6191" t="str">
        <f>"6F6"</f>
        <v>6F6</v>
      </c>
      <c r="L6191" t="s">
        <v>15</v>
      </c>
    </row>
    <row r="6192" spans="1:12" x14ac:dyDescent="0.25">
      <c r="A6192" t="str">
        <f>"5456251185"</f>
        <v>5456251185</v>
      </c>
      <c r="B6192" t="str">
        <f t="shared" si="308"/>
        <v>89301000</v>
      </c>
      <c r="C6192" s="1">
        <v>44514</v>
      </c>
      <c r="D6192" s="1">
        <v>44517</v>
      </c>
      <c r="E6192">
        <v>1</v>
      </c>
      <c r="F6192" t="s">
        <v>217</v>
      </c>
      <c r="G6192" t="str">
        <f>"04-K02-04"</f>
        <v>04-K02-04</v>
      </c>
      <c r="H6192">
        <v>0.82469999999999999</v>
      </c>
      <c r="I6192" t="s">
        <v>4525</v>
      </c>
      <c r="J6192" t="s">
        <v>14</v>
      </c>
      <c r="K6192" t="str">
        <f>"1F1"</f>
        <v>1F1</v>
      </c>
      <c r="L6192" t="s">
        <v>15</v>
      </c>
    </row>
    <row r="6193" spans="1:12" x14ac:dyDescent="0.25">
      <c r="A6193" t="str">
        <f>"5456251185"</f>
        <v>5456251185</v>
      </c>
      <c r="B6193" t="str">
        <f t="shared" si="308"/>
        <v>89301000</v>
      </c>
      <c r="C6193" s="1">
        <v>44452</v>
      </c>
      <c r="D6193" s="1">
        <v>44456</v>
      </c>
      <c r="E6193">
        <v>1</v>
      </c>
      <c r="F6193" t="s">
        <v>109</v>
      </c>
      <c r="G6193" t="str">
        <f>"24-M05-02"</f>
        <v>24-M05-02</v>
      </c>
      <c r="H6193">
        <v>0.58960000000000001</v>
      </c>
      <c r="I6193" t="s">
        <v>3247</v>
      </c>
      <c r="J6193" t="s">
        <v>14</v>
      </c>
      <c r="K6193" t="str">
        <f>"2F1"</f>
        <v>2F1</v>
      </c>
      <c r="L6193" t="s">
        <v>15</v>
      </c>
    </row>
    <row r="6194" spans="1:12" x14ac:dyDescent="0.25">
      <c r="A6194" t="str">
        <f>"5456263626"</f>
        <v>5456263626</v>
      </c>
      <c r="B6194" t="str">
        <f t="shared" si="308"/>
        <v>89301000</v>
      </c>
      <c r="C6194" s="1">
        <v>44290</v>
      </c>
      <c r="D6194" s="1">
        <v>44307</v>
      </c>
      <c r="E6194">
        <v>1</v>
      </c>
      <c r="F6194" t="s">
        <v>2944</v>
      </c>
      <c r="G6194" t="str">
        <f>"17-K05-01"</f>
        <v>17-K05-01</v>
      </c>
      <c r="H6194">
        <v>2.6164999999999998</v>
      </c>
      <c r="I6194" t="s">
        <v>4526</v>
      </c>
      <c r="J6194" t="s">
        <v>14</v>
      </c>
      <c r="K6194" t="str">
        <f>"2F2"</f>
        <v>2F2</v>
      </c>
      <c r="L6194" t="s">
        <v>15</v>
      </c>
    </row>
    <row r="6195" spans="1:12" x14ac:dyDescent="0.25">
      <c r="A6195" t="str">
        <f>"5456263626"</f>
        <v>5456263626</v>
      </c>
      <c r="B6195" t="str">
        <f t="shared" si="308"/>
        <v>89301000</v>
      </c>
      <c r="C6195" s="1">
        <v>44215</v>
      </c>
      <c r="D6195" s="1">
        <v>44286</v>
      </c>
      <c r="E6195">
        <v>1</v>
      </c>
      <c r="F6195" t="s">
        <v>4527</v>
      </c>
      <c r="G6195" t="str">
        <f>"17-C05-04"</f>
        <v>17-C05-04</v>
      </c>
      <c r="H6195">
        <v>7.7868000000000004</v>
      </c>
      <c r="I6195" t="s">
        <v>4528</v>
      </c>
      <c r="J6195" t="s">
        <v>14</v>
      </c>
      <c r="K6195" t="str">
        <f>"2F2"</f>
        <v>2F2</v>
      </c>
      <c r="L6195" t="s">
        <v>15</v>
      </c>
    </row>
    <row r="6196" spans="1:12" x14ac:dyDescent="0.25">
      <c r="A6196" t="str">
        <f>"5456263626"</f>
        <v>5456263626</v>
      </c>
      <c r="B6196" t="str">
        <f t="shared" si="308"/>
        <v>89301000</v>
      </c>
      <c r="C6196" s="1">
        <v>44319</v>
      </c>
      <c r="D6196" s="1">
        <v>44321</v>
      </c>
      <c r="E6196">
        <v>1</v>
      </c>
      <c r="F6196" t="s">
        <v>4527</v>
      </c>
      <c r="G6196" t="str">
        <f>"17-C05-04"</f>
        <v>17-C05-04</v>
      </c>
      <c r="H6196">
        <v>0.7712</v>
      </c>
      <c r="I6196" t="s">
        <v>4529</v>
      </c>
      <c r="J6196" t="s">
        <v>14</v>
      </c>
      <c r="K6196" t="str">
        <f>"2F2"</f>
        <v>2F2</v>
      </c>
      <c r="L6196" t="s">
        <v>15</v>
      </c>
    </row>
    <row r="6197" spans="1:12" x14ac:dyDescent="0.25">
      <c r="A6197" t="str">
        <f>"5456291511"</f>
        <v>5456291511</v>
      </c>
      <c r="B6197" t="str">
        <f t="shared" si="308"/>
        <v>89301000</v>
      </c>
      <c r="C6197" s="1">
        <v>44336</v>
      </c>
      <c r="D6197" s="1">
        <v>44339</v>
      </c>
      <c r="E6197">
        <v>1</v>
      </c>
      <c r="F6197" t="s">
        <v>948</v>
      </c>
      <c r="G6197" t="str">
        <f>"17-K10-02"</f>
        <v>17-K10-02</v>
      </c>
      <c r="H6197">
        <v>0.65480000000000005</v>
      </c>
      <c r="J6197" t="s">
        <v>14</v>
      </c>
      <c r="K6197" t="str">
        <f>"6F6"</f>
        <v>6F6</v>
      </c>
      <c r="L6197" t="s">
        <v>15</v>
      </c>
    </row>
    <row r="6198" spans="1:12" x14ac:dyDescent="0.25">
      <c r="A6198" t="str">
        <f>"5457052227"</f>
        <v>5457052227</v>
      </c>
      <c r="B6198" t="str">
        <f t="shared" si="308"/>
        <v>89301000</v>
      </c>
      <c r="C6198" s="1">
        <v>44461</v>
      </c>
      <c r="D6198" s="1">
        <v>44462</v>
      </c>
      <c r="E6198">
        <v>1</v>
      </c>
      <c r="F6198" t="s">
        <v>41</v>
      </c>
      <c r="G6198" t="str">
        <f>"01-D01-03"</f>
        <v>01-D01-03</v>
      </c>
      <c r="H6198">
        <v>0.158</v>
      </c>
      <c r="I6198" t="s">
        <v>4530</v>
      </c>
      <c r="J6198" t="s">
        <v>14</v>
      </c>
      <c r="K6198" t="str">
        <f>"2F5"</f>
        <v>2F5</v>
      </c>
      <c r="L6198" t="s">
        <v>15</v>
      </c>
    </row>
    <row r="6199" spans="1:12" x14ac:dyDescent="0.25">
      <c r="A6199" t="str">
        <f>"5457082103"</f>
        <v>5457082103</v>
      </c>
      <c r="B6199" t="str">
        <f t="shared" si="308"/>
        <v>89301000</v>
      </c>
      <c r="C6199" s="1">
        <v>44256</v>
      </c>
      <c r="D6199" s="1">
        <v>44257</v>
      </c>
      <c r="E6199">
        <v>1</v>
      </c>
      <c r="F6199" t="s">
        <v>41</v>
      </c>
      <c r="G6199" t="str">
        <f>"01-D01-03"</f>
        <v>01-D01-03</v>
      </c>
      <c r="H6199">
        <v>0.158</v>
      </c>
      <c r="I6199" t="s">
        <v>4531</v>
      </c>
      <c r="J6199" t="s">
        <v>14</v>
      </c>
      <c r="K6199" t="str">
        <f>"2F5"</f>
        <v>2F5</v>
      </c>
      <c r="L6199" t="s">
        <v>15</v>
      </c>
    </row>
    <row r="6200" spans="1:12" x14ac:dyDescent="0.25">
      <c r="A6200" t="str">
        <f>"5457151601"</f>
        <v>5457151601</v>
      </c>
      <c r="B6200" t="str">
        <f t="shared" si="308"/>
        <v>89301000</v>
      </c>
      <c r="C6200" s="1">
        <v>44413</v>
      </c>
      <c r="D6200" s="1">
        <v>44415</v>
      </c>
      <c r="E6200">
        <v>1</v>
      </c>
      <c r="F6200" t="s">
        <v>1551</v>
      </c>
      <c r="G6200" t="str">
        <f>"09-I06-04"</f>
        <v>09-I06-04</v>
      </c>
      <c r="H6200">
        <v>0.98829999999999996</v>
      </c>
      <c r="J6200" t="s">
        <v>17</v>
      </c>
      <c r="K6200" t="str">
        <f>"5F1"</f>
        <v>5F1</v>
      </c>
      <c r="L6200" t="s">
        <v>15</v>
      </c>
    </row>
    <row r="6201" spans="1:12" x14ac:dyDescent="0.25">
      <c r="A6201" t="str">
        <f>"5457172347"</f>
        <v>5457172347</v>
      </c>
      <c r="B6201" t="str">
        <f t="shared" si="308"/>
        <v>89301000</v>
      </c>
      <c r="C6201" s="1">
        <v>44351</v>
      </c>
      <c r="D6201" s="1">
        <v>44352</v>
      </c>
      <c r="E6201">
        <v>1</v>
      </c>
      <c r="F6201" t="s">
        <v>831</v>
      </c>
      <c r="G6201" t="str">
        <f>"02-I06-03"</f>
        <v>02-I06-03</v>
      </c>
      <c r="H6201">
        <v>0.63690000000000002</v>
      </c>
      <c r="I6201" t="s">
        <v>4532</v>
      </c>
      <c r="J6201" t="s">
        <v>17</v>
      </c>
      <c r="K6201" t="str">
        <f>"7F5"</f>
        <v>7F5</v>
      </c>
      <c r="L6201" t="s">
        <v>15</v>
      </c>
    </row>
    <row r="6202" spans="1:12" x14ac:dyDescent="0.25">
      <c r="A6202" t="str">
        <f>"5457172347"</f>
        <v>5457172347</v>
      </c>
      <c r="B6202" t="str">
        <f t="shared" si="308"/>
        <v>89301000</v>
      </c>
      <c r="C6202" s="1">
        <v>44270</v>
      </c>
      <c r="D6202" s="1">
        <v>44287</v>
      </c>
      <c r="E6202">
        <v>1</v>
      </c>
      <c r="F6202" t="s">
        <v>4533</v>
      </c>
      <c r="G6202" t="str">
        <f>"19-K05-02"</f>
        <v>19-K05-02</v>
      </c>
      <c r="H6202">
        <v>1.8835999999999999</v>
      </c>
      <c r="I6202" t="s">
        <v>4534</v>
      </c>
      <c r="J6202" t="s">
        <v>27</v>
      </c>
      <c r="K6202" t="str">
        <f>"3F5"</f>
        <v>3F5</v>
      </c>
      <c r="L6202" t="s">
        <v>15</v>
      </c>
    </row>
    <row r="6203" spans="1:12" x14ac:dyDescent="0.25">
      <c r="A6203" t="str">
        <f>"5457210165"</f>
        <v>5457210165</v>
      </c>
      <c r="B6203" t="str">
        <f t="shared" si="308"/>
        <v>89301000</v>
      </c>
      <c r="C6203" s="1">
        <v>44249</v>
      </c>
      <c r="D6203" s="1">
        <v>44268</v>
      </c>
      <c r="E6203">
        <v>8</v>
      </c>
      <c r="F6203" t="s">
        <v>4535</v>
      </c>
      <c r="G6203" t="str">
        <f>"07-K01-01"</f>
        <v>07-K01-01</v>
      </c>
      <c r="H6203">
        <v>1.7039</v>
      </c>
      <c r="I6203" t="s">
        <v>4536</v>
      </c>
      <c r="J6203" t="s">
        <v>14</v>
      </c>
      <c r="K6203" t="str">
        <f>"1F6"</f>
        <v>1F6</v>
      </c>
      <c r="L6203" t="s">
        <v>15</v>
      </c>
    </row>
    <row r="6204" spans="1:12" x14ac:dyDescent="0.25">
      <c r="A6204" t="str">
        <f>"5457273943"</f>
        <v>5457273943</v>
      </c>
      <c r="B6204" t="str">
        <f t="shared" si="308"/>
        <v>89301000</v>
      </c>
      <c r="C6204" s="1">
        <v>44460</v>
      </c>
      <c r="D6204" s="1">
        <v>44462</v>
      </c>
      <c r="E6204">
        <v>1</v>
      </c>
      <c r="F6204" t="s">
        <v>1033</v>
      </c>
      <c r="G6204" t="str">
        <f>"11-K03-02"</f>
        <v>11-K03-02</v>
      </c>
      <c r="H6204">
        <v>0.6008</v>
      </c>
      <c r="I6204" t="s">
        <v>489</v>
      </c>
      <c r="J6204" t="s">
        <v>14</v>
      </c>
      <c r="K6204" t="str">
        <f>"1F1"</f>
        <v>1F1</v>
      </c>
      <c r="L6204" t="s">
        <v>15</v>
      </c>
    </row>
    <row r="6205" spans="1:12" x14ac:dyDescent="0.25">
      <c r="A6205" t="str">
        <f>"5458021668"</f>
        <v>5458021668</v>
      </c>
      <c r="B6205" t="str">
        <f t="shared" si="308"/>
        <v>89301000</v>
      </c>
      <c r="C6205" s="1">
        <v>44329</v>
      </c>
      <c r="D6205" s="1">
        <v>44330</v>
      </c>
      <c r="E6205">
        <v>1</v>
      </c>
      <c r="F6205" t="s">
        <v>41</v>
      </c>
      <c r="G6205" t="str">
        <f>"01-D01-03"</f>
        <v>01-D01-03</v>
      </c>
      <c r="H6205">
        <v>0.158</v>
      </c>
      <c r="I6205" t="s">
        <v>489</v>
      </c>
      <c r="J6205" t="s">
        <v>14</v>
      </c>
      <c r="K6205" t="str">
        <f>"2F5"</f>
        <v>2F5</v>
      </c>
      <c r="L6205" t="s">
        <v>15</v>
      </c>
    </row>
    <row r="6206" spans="1:12" x14ac:dyDescent="0.25">
      <c r="A6206" t="str">
        <f>"5458021668"</f>
        <v>5458021668</v>
      </c>
      <c r="B6206" t="str">
        <f t="shared" si="308"/>
        <v>89301000</v>
      </c>
      <c r="C6206" s="1">
        <v>44407</v>
      </c>
      <c r="D6206" s="1">
        <v>44410</v>
      </c>
      <c r="E6206">
        <v>1</v>
      </c>
      <c r="F6206" t="s">
        <v>41</v>
      </c>
      <c r="G6206" t="str">
        <f>"01-D01-03"</f>
        <v>01-D01-03</v>
      </c>
      <c r="H6206">
        <v>0.2054</v>
      </c>
      <c r="I6206" t="s">
        <v>489</v>
      </c>
      <c r="J6206" t="s">
        <v>14</v>
      </c>
      <c r="K6206" t="str">
        <f>"2F5"</f>
        <v>2F5</v>
      </c>
      <c r="L6206" t="s">
        <v>15</v>
      </c>
    </row>
    <row r="6207" spans="1:12" x14ac:dyDescent="0.25">
      <c r="A6207" t="str">
        <f>"5458032151"</f>
        <v>5458032151</v>
      </c>
      <c r="B6207" t="str">
        <f t="shared" si="308"/>
        <v>89301000</v>
      </c>
      <c r="C6207" s="1">
        <v>44335</v>
      </c>
      <c r="D6207" s="1">
        <v>44336</v>
      </c>
      <c r="E6207">
        <v>1</v>
      </c>
      <c r="F6207" t="s">
        <v>4537</v>
      </c>
      <c r="G6207" t="str">
        <f>"05-M03-00"</f>
        <v>05-M03-00</v>
      </c>
      <c r="H6207">
        <v>3.3506999999999998</v>
      </c>
      <c r="J6207" t="s">
        <v>24</v>
      </c>
      <c r="K6207" t="str">
        <f>"1F7"</f>
        <v>1F7</v>
      </c>
      <c r="L6207" t="s">
        <v>15</v>
      </c>
    </row>
    <row r="6208" spans="1:12" x14ac:dyDescent="0.25">
      <c r="A6208" t="str">
        <f>"5458130931"</f>
        <v>5458130931</v>
      </c>
      <c r="B6208" t="str">
        <f t="shared" si="308"/>
        <v>89301000</v>
      </c>
      <c r="C6208" s="1">
        <v>44299</v>
      </c>
      <c r="D6208" s="1">
        <v>44335</v>
      </c>
      <c r="E6208">
        <v>8</v>
      </c>
      <c r="F6208" t="s">
        <v>4538</v>
      </c>
      <c r="G6208" t="str">
        <f>"06-I04-01"</f>
        <v>06-I04-01</v>
      </c>
      <c r="H6208">
        <v>9.6600999999999999</v>
      </c>
      <c r="I6208" t="s">
        <v>4539</v>
      </c>
      <c r="J6208" t="s">
        <v>17</v>
      </c>
      <c r="K6208" t="str">
        <f>"5F1"</f>
        <v>5F1</v>
      </c>
      <c r="L6208" t="s">
        <v>15</v>
      </c>
    </row>
    <row r="6209" spans="1:12" x14ac:dyDescent="0.25">
      <c r="A6209" t="str">
        <f>"5458191695"</f>
        <v>5458191695</v>
      </c>
      <c r="B6209" t="str">
        <f t="shared" si="308"/>
        <v>89301000</v>
      </c>
      <c r="C6209" s="1">
        <v>44306</v>
      </c>
      <c r="D6209" s="1">
        <v>44309</v>
      </c>
      <c r="E6209">
        <v>5</v>
      </c>
      <c r="F6209" t="s">
        <v>962</v>
      </c>
      <c r="G6209" t="str">
        <f>"04-M01-06"</f>
        <v>04-M01-06</v>
      </c>
      <c r="H6209">
        <v>3.5308999999999999</v>
      </c>
      <c r="I6209" t="s">
        <v>4540</v>
      </c>
      <c r="J6209" t="s">
        <v>14</v>
      </c>
      <c r="K6209" t="str">
        <f>"7T8"</f>
        <v>7T8</v>
      </c>
      <c r="L6209" t="s">
        <v>15</v>
      </c>
    </row>
    <row r="6210" spans="1:12" x14ac:dyDescent="0.25">
      <c r="A6210" t="str">
        <f>"5459024362"</f>
        <v>5459024362</v>
      </c>
      <c r="B6210" t="str">
        <f t="shared" ref="B6210:B6272" si="309">"89301000"</f>
        <v>89301000</v>
      </c>
      <c r="C6210" s="1">
        <v>44289</v>
      </c>
      <c r="D6210" s="1">
        <v>44293</v>
      </c>
      <c r="E6210">
        <v>1</v>
      </c>
      <c r="F6210" t="s">
        <v>4541</v>
      </c>
      <c r="G6210" t="str">
        <f>"03-K04-01"</f>
        <v>03-K04-01</v>
      </c>
      <c r="H6210">
        <v>0.46660000000000001</v>
      </c>
      <c r="I6210" t="s">
        <v>168</v>
      </c>
      <c r="J6210" t="s">
        <v>14</v>
      </c>
      <c r="K6210" t="str">
        <f>"7F1"</f>
        <v>7F1</v>
      </c>
      <c r="L6210" t="s">
        <v>15</v>
      </c>
    </row>
    <row r="6211" spans="1:12" x14ac:dyDescent="0.25">
      <c r="A6211" t="str">
        <f>"5459061234"</f>
        <v>5459061234</v>
      </c>
      <c r="B6211" t="str">
        <f t="shared" si="309"/>
        <v>89301000</v>
      </c>
      <c r="C6211" s="1">
        <v>44403</v>
      </c>
      <c r="D6211" s="1">
        <v>44421</v>
      </c>
      <c r="E6211">
        <v>1</v>
      </c>
      <c r="F6211" t="s">
        <v>109</v>
      </c>
      <c r="G6211" t="str">
        <f>"24-M07-02"</f>
        <v>24-M07-02</v>
      </c>
      <c r="H6211">
        <v>1.5094000000000001</v>
      </c>
      <c r="I6211" t="s">
        <v>4542</v>
      </c>
      <c r="J6211" t="s">
        <v>14</v>
      </c>
      <c r="K6211" t="str">
        <f>"2F1"</f>
        <v>2F1</v>
      </c>
      <c r="L6211" t="s">
        <v>15</v>
      </c>
    </row>
    <row r="6212" spans="1:12" x14ac:dyDescent="0.25">
      <c r="A6212" t="str">
        <f>"5459173060"</f>
        <v>5459173060</v>
      </c>
      <c r="B6212" t="str">
        <f t="shared" si="309"/>
        <v>89301000</v>
      </c>
      <c r="C6212" s="1">
        <v>44531</v>
      </c>
      <c r="D6212" s="1">
        <v>44532</v>
      </c>
      <c r="E6212">
        <v>1</v>
      </c>
      <c r="F6212" t="s">
        <v>1557</v>
      </c>
      <c r="G6212" t="str">
        <f>"05-D01-08"</f>
        <v>05-D01-08</v>
      </c>
      <c r="H6212">
        <v>0.4093</v>
      </c>
      <c r="J6212" t="s">
        <v>14</v>
      </c>
      <c r="K6212" t="str">
        <f>"1F7"</f>
        <v>1F7</v>
      </c>
      <c r="L6212" t="s">
        <v>15</v>
      </c>
    </row>
    <row r="6213" spans="1:12" x14ac:dyDescent="0.25">
      <c r="A6213" t="str">
        <f>"5459173060"</f>
        <v>5459173060</v>
      </c>
      <c r="B6213" t="str">
        <f t="shared" si="309"/>
        <v>89301000</v>
      </c>
      <c r="C6213" s="1">
        <v>44395</v>
      </c>
      <c r="D6213" s="1">
        <v>44398</v>
      </c>
      <c r="E6213">
        <v>1</v>
      </c>
      <c r="F6213" t="s">
        <v>1683</v>
      </c>
      <c r="G6213" t="str">
        <f>"05-M06-06"</f>
        <v>05-M06-06</v>
      </c>
      <c r="H6213">
        <v>1.9541999999999999</v>
      </c>
      <c r="J6213" t="s">
        <v>17</v>
      </c>
      <c r="K6213" t="str">
        <f>"1T1"</f>
        <v>1T1</v>
      </c>
      <c r="L6213" t="s">
        <v>15</v>
      </c>
    </row>
    <row r="6214" spans="1:12" x14ac:dyDescent="0.25">
      <c r="A6214" t="str">
        <f>"5459173060"</f>
        <v>5459173060</v>
      </c>
      <c r="B6214" t="str">
        <f t="shared" si="309"/>
        <v>89301000</v>
      </c>
      <c r="C6214" s="1">
        <v>44405</v>
      </c>
      <c r="D6214" s="1">
        <v>44407</v>
      </c>
      <c r="E6214">
        <v>1</v>
      </c>
      <c r="F6214" t="s">
        <v>1842</v>
      </c>
      <c r="G6214" t="str">
        <f>"05-I14-04"</f>
        <v>05-I14-04</v>
      </c>
      <c r="H6214">
        <v>5.4002999999999997</v>
      </c>
      <c r="I6214" t="s">
        <v>4543</v>
      </c>
      <c r="J6214" t="s">
        <v>14</v>
      </c>
      <c r="K6214" t="str">
        <f>"1F1"</f>
        <v>1F1</v>
      </c>
      <c r="L6214" t="s">
        <v>15</v>
      </c>
    </row>
    <row r="6215" spans="1:12" x14ac:dyDescent="0.25">
      <c r="A6215" t="str">
        <f>"5459183631"</f>
        <v>5459183631</v>
      </c>
      <c r="B6215" t="str">
        <f t="shared" si="309"/>
        <v>89301000</v>
      </c>
      <c r="C6215" s="1">
        <v>44203</v>
      </c>
      <c r="D6215" s="1">
        <v>44208</v>
      </c>
      <c r="E6215">
        <v>1</v>
      </c>
      <c r="F6215" t="s">
        <v>2232</v>
      </c>
      <c r="G6215" t="str">
        <f>"11-I08-03"</f>
        <v>11-I08-03</v>
      </c>
      <c r="H6215">
        <v>2.0676999999999999</v>
      </c>
      <c r="I6215" t="s">
        <v>4544</v>
      </c>
      <c r="J6215" t="s">
        <v>17</v>
      </c>
      <c r="K6215" t="str">
        <f>"7F6"</f>
        <v>7F6</v>
      </c>
      <c r="L6215" t="s">
        <v>15</v>
      </c>
    </row>
    <row r="6216" spans="1:12" x14ac:dyDescent="0.25">
      <c r="A6216" t="str">
        <f>"5459183631"</f>
        <v>5459183631</v>
      </c>
      <c r="B6216" t="str">
        <f t="shared" si="309"/>
        <v>89301000</v>
      </c>
      <c r="C6216" s="1">
        <v>44459</v>
      </c>
      <c r="D6216" s="1">
        <v>44460</v>
      </c>
      <c r="E6216">
        <v>1</v>
      </c>
      <c r="F6216" t="s">
        <v>186</v>
      </c>
      <c r="G6216" t="str">
        <f>"05-M05-03"</f>
        <v>05-M05-03</v>
      </c>
      <c r="H6216">
        <v>1.9991000000000001</v>
      </c>
      <c r="J6216" t="s">
        <v>24</v>
      </c>
      <c r="K6216" t="str">
        <f>"1F1"</f>
        <v>1F1</v>
      </c>
      <c r="L6216" t="s">
        <v>15</v>
      </c>
    </row>
    <row r="6217" spans="1:12" x14ac:dyDescent="0.25">
      <c r="A6217" t="str">
        <f>"5459222142"</f>
        <v>5459222142</v>
      </c>
      <c r="B6217" t="str">
        <f t="shared" si="309"/>
        <v>89301000</v>
      </c>
      <c r="C6217" s="1">
        <v>44430</v>
      </c>
      <c r="D6217" s="1">
        <v>44432</v>
      </c>
      <c r="E6217">
        <v>1</v>
      </c>
      <c r="F6217" t="s">
        <v>1557</v>
      </c>
      <c r="G6217" t="str">
        <f>"05-D01-08"</f>
        <v>05-D01-08</v>
      </c>
      <c r="H6217">
        <v>0.4093</v>
      </c>
      <c r="J6217" t="s">
        <v>14</v>
      </c>
      <c r="K6217" t="str">
        <f>"1F7"</f>
        <v>1F7</v>
      </c>
      <c r="L6217" t="s">
        <v>15</v>
      </c>
    </row>
    <row r="6218" spans="1:12" x14ac:dyDescent="0.25">
      <c r="A6218" t="str">
        <f>"5459230997"</f>
        <v>5459230997</v>
      </c>
      <c r="B6218" t="str">
        <f t="shared" si="309"/>
        <v>89301000</v>
      </c>
      <c r="C6218" s="1">
        <v>44398</v>
      </c>
      <c r="D6218" s="1">
        <v>44403</v>
      </c>
      <c r="E6218">
        <v>1</v>
      </c>
      <c r="F6218" t="s">
        <v>4545</v>
      </c>
      <c r="G6218" t="str">
        <f>"13-I13-02"</f>
        <v>13-I13-02</v>
      </c>
      <c r="H6218">
        <v>0.98650000000000004</v>
      </c>
      <c r="J6218" t="s">
        <v>17</v>
      </c>
      <c r="K6218" t="str">
        <f>"6F3"</f>
        <v>6F3</v>
      </c>
      <c r="L6218" t="s">
        <v>15</v>
      </c>
    </row>
    <row r="6219" spans="1:12" x14ac:dyDescent="0.25">
      <c r="A6219" t="str">
        <f>"5459243240"</f>
        <v>5459243240</v>
      </c>
      <c r="B6219" t="str">
        <f t="shared" si="309"/>
        <v>89301000</v>
      </c>
      <c r="C6219" s="1">
        <v>44479</v>
      </c>
      <c r="D6219" s="1">
        <v>44489</v>
      </c>
      <c r="E6219">
        <v>4</v>
      </c>
      <c r="F6219" t="s">
        <v>2407</v>
      </c>
      <c r="G6219" t="str">
        <f>"08-I06-04"</f>
        <v>08-I06-04</v>
      </c>
      <c r="H6219">
        <v>2.4260000000000002</v>
      </c>
      <c r="I6219" t="s">
        <v>4546</v>
      </c>
      <c r="J6219" t="s">
        <v>24</v>
      </c>
      <c r="K6219" t="str">
        <f>"6F6"</f>
        <v>6F6</v>
      </c>
      <c r="L6219" t="s">
        <v>15</v>
      </c>
    </row>
    <row r="6220" spans="1:12" x14ac:dyDescent="0.25">
      <c r="A6220" t="str">
        <f>"5460070539"</f>
        <v>5460070539</v>
      </c>
      <c r="B6220" t="str">
        <f t="shared" si="309"/>
        <v>89301000</v>
      </c>
      <c r="C6220" s="1">
        <v>44404</v>
      </c>
      <c r="D6220" s="1">
        <v>44406</v>
      </c>
      <c r="E6220">
        <v>1</v>
      </c>
      <c r="F6220" t="s">
        <v>4237</v>
      </c>
      <c r="G6220" t="str">
        <f>"03-I23-00"</f>
        <v>03-I23-00</v>
      </c>
      <c r="H6220">
        <v>0.47639999999999999</v>
      </c>
      <c r="I6220" t="s">
        <v>4547</v>
      </c>
      <c r="J6220" t="s">
        <v>14</v>
      </c>
      <c r="K6220" t="str">
        <f>"6F5"</f>
        <v>6F5</v>
      </c>
      <c r="L6220" t="s">
        <v>15</v>
      </c>
    </row>
    <row r="6221" spans="1:12" x14ac:dyDescent="0.25">
      <c r="A6221" t="str">
        <f>"5460093001"</f>
        <v>5460093001</v>
      </c>
      <c r="B6221" t="str">
        <f t="shared" si="309"/>
        <v>89301000</v>
      </c>
      <c r="C6221" s="1">
        <v>44347</v>
      </c>
      <c r="D6221" s="1">
        <v>44349</v>
      </c>
      <c r="E6221">
        <v>1</v>
      </c>
      <c r="F6221" t="s">
        <v>3665</v>
      </c>
      <c r="G6221" t="str">
        <f>"03-I19-03"</f>
        <v>03-I19-03</v>
      </c>
      <c r="H6221">
        <v>0.60699999999999998</v>
      </c>
      <c r="I6221" t="s">
        <v>4548</v>
      </c>
      <c r="J6221" t="s">
        <v>14</v>
      </c>
      <c r="K6221" t="str">
        <f>"6F5"</f>
        <v>6F5</v>
      </c>
      <c r="L6221" t="s">
        <v>15</v>
      </c>
    </row>
    <row r="6222" spans="1:12" x14ac:dyDescent="0.25">
      <c r="A6222" t="str">
        <f>"5460100063"</f>
        <v>5460100063</v>
      </c>
      <c r="B6222" t="str">
        <f t="shared" si="309"/>
        <v>89301000</v>
      </c>
      <c r="C6222" s="1">
        <v>44495</v>
      </c>
      <c r="D6222" s="1">
        <v>44505</v>
      </c>
      <c r="E6222">
        <v>1</v>
      </c>
      <c r="F6222" t="s">
        <v>109</v>
      </c>
      <c r="G6222" t="str">
        <f>"24-M06-02"</f>
        <v>24-M06-02</v>
      </c>
      <c r="H6222">
        <v>1.0233000000000001</v>
      </c>
      <c r="I6222" t="s">
        <v>3241</v>
      </c>
      <c r="J6222" t="s">
        <v>14</v>
      </c>
      <c r="K6222" t="str">
        <f>"2F1"</f>
        <v>2F1</v>
      </c>
      <c r="L6222" t="s">
        <v>15</v>
      </c>
    </row>
    <row r="6223" spans="1:12" x14ac:dyDescent="0.25">
      <c r="A6223" t="str">
        <f>"5460100063"</f>
        <v>5460100063</v>
      </c>
      <c r="B6223" t="str">
        <f t="shared" si="309"/>
        <v>89301000</v>
      </c>
      <c r="C6223" s="1">
        <v>44263</v>
      </c>
      <c r="D6223" s="1">
        <v>44274</v>
      </c>
      <c r="E6223">
        <v>1</v>
      </c>
      <c r="F6223" t="s">
        <v>109</v>
      </c>
      <c r="G6223" t="str">
        <f>"24-M06-02"</f>
        <v>24-M06-02</v>
      </c>
      <c r="H6223">
        <v>1.0233000000000001</v>
      </c>
      <c r="I6223" t="s">
        <v>3247</v>
      </c>
      <c r="J6223" t="s">
        <v>14</v>
      </c>
      <c r="K6223" t="str">
        <f>"2F1"</f>
        <v>2F1</v>
      </c>
      <c r="L6223" t="s">
        <v>15</v>
      </c>
    </row>
    <row r="6224" spans="1:12" x14ac:dyDescent="0.25">
      <c r="A6224" t="str">
        <f>"5460100063"</f>
        <v>5460100063</v>
      </c>
      <c r="B6224" t="str">
        <f t="shared" si="309"/>
        <v>89301000</v>
      </c>
      <c r="C6224" s="1">
        <v>44489</v>
      </c>
      <c r="D6224" s="1">
        <v>44495</v>
      </c>
      <c r="E6224">
        <v>3</v>
      </c>
      <c r="F6224" t="s">
        <v>2407</v>
      </c>
      <c r="G6224" t="str">
        <f>"08-I06-04"</f>
        <v>08-I06-04</v>
      </c>
      <c r="H6224">
        <v>2.4260000000000002</v>
      </c>
      <c r="I6224" t="s">
        <v>699</v>
      </c>
      <c r="J6224" t="s">
        <v>24</v>
      </c>
      <c r="K6224" t="str">
        <f>"6F6"</f>
        <v>6F6</v>
      </c>
      <c r="L6224" t="s">
        <v>15</v>
      </c>
    </row>
    <row r="6225" spans="1:12" x14ac:dyDescent="0.25">
      <c r="A6225" t="str">
        <f>"5460100063"</f>
        <v>5460100063</v>
      </c>
      <c r="B6225" t="str">
        <f t="shared" si="309"/>
        <v>89301000</v>
      </c>
      <c r="C6225" s="1">
        <v>44257</v>
      </c>
      <c r="D6225" s="1">
        <v>44263</v>
      </c>
      <c r="E6225">
        <v>3</v>
      </c>
      <c r="F6225" t="s">
        <v>2852</v>
      </c>
      <c r="G6225" t="str">
        <f>"08-I06-04"</f>
        <v>08-I06-04</v>
      </c>
      <c r="H6225">
        <v>2.4260000000000002</v>
      </c>
      <c r="I6225" t="s">
        <v>699</v>
      </c>
      <c r="J6225" t="s">
        <v>24</v>
      </c>
      <c r="K6225" t="str">
        <f>"6F6"</f>
        <v>6F6</v>
      </c>
      <c r="L6225" t="s">
        <v>15</v>
      </c>
    </row>
    <row r="6226" spans="1:12" x14ac:dyDescent="0.25">
      <c r="A6226" t="str">
        <f>"5460142732"</f>
        <v>5460142732</v>
      </c>
      <c r="B6226" t="str">
        <f t="shared" si="309"/>
        <v>89301000</v>
      </c>
      <c r="C6226" s="1">
        <v>44439</v>
      </c>
      <c r="D6226" s="1">
        <v>44461</v>
      </c>
      <c r="E6226">
        <v>1</v>
      </c>
      <c r="F6226" t="s">
        <v>998</v>
      </c>
      <c r="G6226" t="str">
        <f>"18-I01-02"</f>
        <v>18-I01-02</v>
      </c>
      <c r="H6226">
        <v>3.4746999999999999</v>
      </c>
      <c r="I6226" t="s">
        <v>4549</v>
      </c>
      <c r="J6226" t="s">
        <v>14</v>
      </c>
      <c r="K6226" t="str">
        <f>"1F1"</f>
        <v>1F1</v>
      </c>
      <c r="L6226" t="s">
        <v>15</v>
      </c>
    </row>
    <row r="6227" spans="1:12" x14ac:dyDescent="0.25">
      <c r="A6227" t="str">
        <f>"5460171398"</f>
        <v>5460171398</v>
      </c>
      <c r="B6227" t="str">
        <f t="shared" si="309"/>
        <v>89301000</v>
      </c>
      <c r="C6227" s="1">
        <v>44546</v>
      </c>
      <c r="D6227" s="1">
        <v>44550</v>
      </c>
      <c r="E6227">
        <v>1</v>
      </c>
      <c r="F6227" t="s">
        <v>4550</v>
      </c>
      <c r="G6227" t="str">
        <f>"08-K01-02"</f>
        <v>08-K01-02</v>
      </c>
      <c r="H6227">
        <v>1.1327</v>
      </c>
      <c r="I6227" t="s">
        <v>4551</v>
      </c>
      <c r="J6227" t="s">
        <v>14</v>
      </c>
      <c r="K6227" t="str">
        <f>"1F9"</f>
        <v>1F9</v>
      </c>
      <c r="L6227" t="s">
        <v>15</v>
      </c>
    </row>
    <row r="6228" spans="1:12" x14ac:dyDescent="0.25">
      <c r="A6228" t="str">
        <f>"5460172927"</f>
        <v>5460172927</v>
      </c>
      <c r="B6228" t="str">
        <f t="shared" si="309"/>
        <v>89301000</v>
      </c>
      <c r="C6228" s="1">
        <v>44519</v>
      </c>
      <c r="D6228" s="1">
        <v>44522</v>
      </c>
      <c r="E6228">
        <v>1</v>
      </c>
      <c r="F6228" t="s">
        <v>217</v>
      </c>
      <c r="G6228" t="str">
        <f>"04-K02-04"</f>
        <v>04-K02-04</v>
      </c>
      <c r="H6228">
        <v>0.82469999999999999</v>
      </c>
      <c r="I6228" t="s">
        <v>4552</v>
      </c>
      <c r="J6228" t="s">
        <v>14</v>
      </c>
      <c r="K6228" t="str">
        <f>"1F1"</f>
        <v>1F1</v>
      </c>
      <c r="L6228" t="s">
        <v>15</v>
      </c>
    </row>
    <row r="6229" spans="1:12" x14ac:dyDescent="0.25">
      <c r="A6229" t="str">
        <f>"5460200757"</f>
        <v>5460200757</v>
      </c>
      <c r="B6229" t="str">
        <f t="shared" si="309"/>
        <v>89301000</v>
      </c>
      <c r="C6229" s="1">
        <v>44472</v>
      </c>
      <c r="D6229" s="1">
        <v>44484</v>
      </c>
      <c r="E6229">
        <v>1</v>
      </c>
      <c r="F6229" t="s">
        <v>2910</v>
      </c>
      <c r="G6229" t="str">
        <f>"06-I05-04"</f>
        <v>06-I05-04</v>
      </c>
      <c r="H6229">
        <v>3.3546</v>
      </c>
      <c r="I6229" t="s">
        <v>4553</v>
      </c>
      <c r="J6229" t="s">
        <v>17</v>
      </c>
      <c r="K6229" t="str">
        <f>"5F1"</f>
        <v>5F1</v>
      </c>
      <c r="L6229" t="s">
        <v>15</v>
      </c>
    </row>
    <row r="6230" spans="1:12" x14ac:dyDescent="0.25">
      <c r="A6230" t="str">
        <f>"5460222911"</f>
        <v>5460222911</v>
      </c>
      <c r="B6230" t="str">
        <f t="shared" si="309"/>
        <v>89301000</v>
      </c>
      <c r="C6230" s="1">
        <v>44416</v>
      </c>
      <c r="D6230" s="1">
        <v>44419</v>
      </c>
      <c r="E6230">
        <v>1</v>
      </c>
      <c r="F6230" t="s">
        <v>215</v>
      </c>
      <c r="G6230" t="str">
        <f>"08-I15-03"</f>
        <v>08-I15-03</v>
      </c>
      <c r="H6230">
        <v>1.1838</v>
      </c>
      <c r="I6230" t="s">
        <v>4554</v>
      </c>
      <c r="J6230" t="s">
        <v>17</v>
      </c>
      <c r="K6230" t="str">
        <f>"5F3"</f>
        <v>5F3</v>
      </c>
      <c r="L6230" t="s">
        <v>15</v>
      </c>
    </row>
    <row r="6231" spans="1:12" x14ac:dyDescent="0.25">
      <c r="A6231" t="str">
        <f>"5460300714"</f>
        <v>5460300714</v>
      </c>
      <c r="B6231" t="str">
        <f t="shared" si="309"/>
        <v>89301000</v>
      </c>
      <c r="C6231" s="1">
        <v>44307</v>
      </c>
      <c r="D6231" s="1">
        <v>44308</v>
      </c>
      <c r="E6231">
        <v>1</v>
      </c>
      <c r="F6231" t="s">
        <v>1557</v>
      </c>
      <c r="G6231" t="str">
        <f>"05-D01-08"</f>
        <v>05-D01-08</v>
      </c>
      <c r="H6231">
        <v>0.4093</v>
      </c>
      <c r="I6231" t="s">
        <v>1606</v>
      </c>
      <c r="J6231" t="s">
        <v>14</v>
      </c>
      <c r="K6231" t="str">
        <f>"1F1"</f>
        <v>1F1</v>
      </c>
      <c r="L6231" t="s">
        <v>15</v>
      </c>
    </row>
    <row r="6232" spans="1:12" x14ac:dyDescent="0.25">
      <c r="A6232" t="str">
        <f>"5460300714"</f>
        <v>5460300714</v>
      </c>
      <c r="B6232" t="str">
        <f t="shared" si="309"/>
        <v>89301000</v>
      </c>
      <c r="C6232" s="1">
        <v>44356</v>
      </c>
      <c r="D6232" s="1">
        <v>44362</v>
      </c>
      <c r="E6232">
        <v>4</v>
      </c>
      <c r="F6232" t="s">
        <v>1555</v>
      </c>
      <c r="G6232" t="str">
        <f>"05-M04-04"</f>
        <v>05-M04-04</v>
      </c>
      <c r="H6232">
        <v>2.4672999999999998</v>
      </c>
      <c r="I6232" t="s">
        <v>4555</v>
      </c>
      <c r="J6232" t="s">
        <v>17</v>
      </c>
      <c r="K6232" t="str">
        <f>"5F1"</f>
        <v>5F1</v>
      </c>
      <c r="L6232" t="s">
        <v>15</v>
      </c>
    </row>
    <row r="6233" spans="1:12" x14ac:dyDescent="0.25">
      <c r="A6233" t="str">
        <f>"5461110996"</f>
        <v>5461110996</v>
      </c>
      <c r="B6233" t="str">
        <f t="shared" si="309"/>
        <v>89301000</v>
      </c>
      <c r="C6233" s="1">
        <v>44540</v>
      </c>
      <c r="D6233" s="1">
        <v>44552</v>
      </c>
      <c r="E6233">
        <v>1</v>
      </c>
      <c r="F6233" t="s">
        <v>109</v>
      </c>
      <c r="G6233" t="str">
        <f>"24-M07-02"</f>
        <v>24-M07-02</v>
      </c>
      <c r="H6233">
        <v>1.5094000000000001</v>
      </c>
      <c r="I6233" t="s">
        <v>3555</v>
      </c>
      <c r="J6233" t="s">
        <v>14</v>
      </c>
      <c r="K6233" t="str">
        <f>"2F1"</f>
        <v>2F1</v>
      </c>
      <c r="L6233" t="s">
        <v>15</v>
      </c>
    </row>
    <row r="6234" spans="1:12" x14ac:dyDescent="0.25">
      <c r="A6234" t="str">
        <f>"5461152906"</f>
        <v>5461152906</v>
      </c>
      <c r="B6234" t="str">
        <f t="shared" si="309"/>
        <v>89301000</v>
      </c>
      <c r="C6234" s="1">
        <v>44515</v>
      </c>
      <c r="D6234" s="1">
        <v>44516</v>
      </c>
      <c r="E6234">
        <v>1</v>
      </c>
      <c r="F6234" t="s">
        <v>2457</v>
      </c>
      <c r="G6234" t="str">
        <f>"05-D01-08"</f>
        <v>05-D01-08</v>
      </c>
      <c r="H6234">
        <v>0.4093</v>
      </c>
      <c r="I6234" t="s">
        <v>1892</v>
      </c>
      <c r="J6234" t="s">
        <v>14</v>
      </c>
      <c r="K6234" t="str">
        <f>"1F7"</f>
        <v>1F7</v>
      </c>
      <c r="L6234" t="s">
        <v>15</v>
      </c>
    </row>
    <row r="6235" spans="1:12" x14ac:dyDescent="0.25">
      <c r="A6235" t="str">
        <f>"5461293882"</f>
        <v>5461293882</v>
      </c>
      <c r="B6235" t="str">
        <f t="shared" si="309"/>
        <v>89301000</v>
      </c>
      <c r="C6235" s="1">
        <v>44533</v>
      </c>
      <c r="D6235" s="1">
        <v>44540</v>
      </c>
      <c r="E6235">
        <v>1</v>
      </c>
      <c r="F6235" t="s">
        <v>217</v>
      </c>
      <c r="G6235" t="str">
        <f>"04-K02-04"</f>
        <v>04-K02-04</v>
      </c>
      <c r="H6235">
        <v>0.82469999999999999</v>
      </c>
      <c r="I6235" t="s">
        <v>274</v>
      </c>
      <c r="J6235" t="s">
        <v>14</v>
      </c>
      <c r="K6235" t="str">
        <f>"1F1"</f>
        <v>1F1</v>
      </c>
      <c r="L6235" t="s">
        <v>15</v>
      </c>
    </row>
    <row r="6236" spans="1:12" x14ac:dyDescent="0.25">
      <c r="A6236" t="str">
        <f>"5461293882"</f>
        <v>5461293882</v>
      </c>
      <c r="B6236" t="str">
        <f t="shared" si="309"/>
        <v>89301000</v>
      </c>
      <c r="C6236" s="1">
        <v>44549</v>
      </c>
      <c r="D6236" s="1">
        <v>44552</v>
      </c>
      <c r="E6236">
        <v>1</v>
      </c>
      <c r="F6236" t="s">
        <v>217</v>
      </c>
      <c r="G6236" t="str">
        <f>"04-K02-04"</f>
        <v>04-K02-04</v>
      </c>
      <c r="H6236">
        <v>0.82469999999999999</v>
      </c>
      <c r="I6236" t="s">
        <v>4556</v>
      </c>
      <c r="J6236" t="s">
        <v>14</v>
      </c>
      <c r="K6236" t="str">
        <f>"2F5"</f>
        <v>2F5</v>
      </c>
      <c r="L6236" t="s">
        <v>15</v>
      </c>
    </row>
    <row r="6237" spans="1:12" x14ac:dyDescent="0.25">
      <c r="A6237" t="str">
        <f>"5462012842"</f>
        <v>5462012842</v>
      </c>
      <c r="B6237" t="str">
        <f t="shared" si="309"/>
        <v>89301000</v>
      </c>
      <c r="C6237" s="1">
        <v>44288</v>
      </c>
      <c r="D6237" s="1">
        <v>44301</v>
      </c>
      <c r="E6237">
        <v>1</v>
      </c>
      <c r="F6237" t="s">
        <v>4557</v>
      </c>
      <c r="G6237" t="str">
        <f>"20-K04-02"</f>
        <v>20-K04-02</v>
      </c>
      <c r="H6237">
        <v>1.4984</v>
      </c>
      <c r="I6237" t="s">
        <v>4558</v>
      </c>
      <c r="J6237" t="s">
        <v>14</v>
      </c>
      <c r="K6237" t="str">
        <f>"3F5"</f>
        <v>3F5</v>
      </c>
      <c r="L6237" t="s">
        <v>15</v>
      </c>
    </row>
    <row r="6238" spans="1:12" x14ac:dyDescent="0.25">
      <c r="A6238" t="str">
        <f>"5462062056"</f>
        <v>5462062056</v>
      </c>
      <c r="B6238" t="str">
        <f t="shared" si="309"/>
        <v>89301000</v>
      </c>
      <c r="C6238" s="1">
        <v>44529</v>
      </c>
      <c r="D6238" s="1">
        <v>44531</v>
      </c>
      <c r="E6238">
        <v>1</v>
      </c>
      <c r="F6238" t="s">
        <v>3308</v>
      </c>
      <c r="G6238" t="str">
        <f>"11-K03-02"</f>
        <v>11-K03-02</v>
      </c>
      <c r="H6238">
        <v>0.6008</v>
      </c>
      <c r="I6238" t="s">
        <v>4559</v>
      </c>
      <c r="J6238" t="s">
        <v>14</v>
      </c>
      <c r="K6238" t="str">
        <f>"1F1"</f>
        <v>1F1</v>
      </c>
      <c r="L6238" t="s">
        <v>15</v>
      </c>
    </row>
    <row r="6239" spans="1:12" x14ac:dyDescent="0.25">
      <c r="A6239" t="str">
        <f>"5462092702"</f>
        <v>5462092702</v>
      </c>
      <c r="B6239" t="str">
        <f t="shared" si="309"/>
        <v>89301000</v>
      </c>
      <c r="C6239" s="1">
        <v>44391</v>
      </c>
      <c r="D6239" s="1">
        <v>44397</v>
      </c>
      <c r="E6239">
        <v>1</v>
      </c>
      <c r="F6239" t="s">
        <v>4560</v>
      </c>
      <c r="G6239" t="str">
        <f>"05-I14-04"</f>
        <v>05-I14-04</v>
      </c>
      <c r="H6239">
        <v>5.4002999999999997</v>
      </c>
      <c r="I6239" t="s">
        <v>4561</v>
      </c>
      <c r="J6239" t="s">
        <v>14</v>
      </c>
      <c r="K6239" t="str">
        <f>"1F7"</f>
        <v>1F7</v>
      </c>
      <c r="L6239" t="s">
        <v>15</v>
      </c>
    </row>
    <row r="6240" spans="1:12" x14ac:dyDescent="0.25">
      <c r="A6240" t="str">
        <f>"5462103163"</f>
        <v>5462103163</v>
      </c>
      <c r="B6240" t="str">
        <f t="shared" si="309"/>
        <v>89301000</v>
      </c>
      <c r="C6240" s="1">
        <v>44256</v>
      </c>
      <c r="D6240" s="1">
        <v>44265</v>
      </c>
      <c r="E6240">
        <v>1</v>
      </c>
      <c r="F6240" t="s">
        <v>3609</v>
      </c>
      <c r="G6240" t="str">
        <f>"17-I04-02"</f>
        <v>17-I04-02</v>
      </c>
      <c r="H6240">
        <v>3.4542999999999999</v>
      </c>
      <c r="I6240" t="s">
        <v>4562</v>
      </c>
      <c r="J6240" t="s">
        <v>17</v>
      </c>
      <c r="K6240" t="str">
        <f>"5F1"</f>
        <v>5F1</v>
      </c>
      <c r="L6240" t="s">
        <v>15</v>
      </c>
    </row>
    <row r="6241" spans="1:12" x14ac:dyDescent="0.25">
      <c r="A6241" t="str">
        <f>"5462162508"</f>
        <v>5462162508</v>
      </c>
      <c r="B6241" t="str">
        <f t="shared" si="309"/>
        <v>89301000</v>
      </c>
      <c r="C6241" s="1">
        <v>44266</v>
      </c>
      <c r="D6241" s="1">
        <v>44267</v>
      </c>
      <c r="E6241">
        <v>1</v>
      </c>
      <c r="F6241" t="s">
        <v>496</v>
      </c>
      <c r="G6241" t="str">
        <f>"08-M03-05"</f>
        <v>08-M03-05</v>
      </c>
      <c r="H6241">
        <v>0.51759999999999995</v>
      </c>
      <c r="I6241" t="s">
        <v>4563</v>
      </c>
      <c r="J6241" t="s">
        <v>14</v>
      </c>
      <c r="K6241" t="str">
        <f>"6F6"</f>
        <v>6F6</v>
      </c>
      <c r="L6241" t="s">
        <v>15</v>
      </c>
    </row>
    <row r="6242" spans="1:12" x14ac:dyDescent="0.25">
      <c r="A6242" t="str">
        <f>"5462202867"</f>
        <v>5462202867</v>
      </c>
      <c r="B6242" t="str">
        <f t="shared" si="309"/>
        <v>89301000</v>
      </c>
      <c r="C6242" s="1">
        <v>44315</v>
      </c>
      <c r="D6242" s="1">
        <v>44320</v>
      </c>
      <c r="E6242">
        <v>1</v>
      </c>
      <c r="F6242" t="s">
        <v>1551</v>
      </c>
      <c r="G6242" t="str">
        <f>"09-K08-02"</f>
        <v>09-K08-02</v>
      </c>
      <c r="H6242">
        <v>0.54849999999999999</v>
      </c>
      <c r="I6242" t="s">
        <v>2886</v>
      </c>
      <c r="J6242" t="s">
        <v>14</v>
      </c>
      <c r="K6242" t="str">
        <f>"5F1"</f>
        <v>5F1</v>
      </c>
      <c r="L6242" t="s">
        <v>15</v>
      </c>
    </row>
    <row r="6243" spans="1:12" x14ac:dyDescent="0.25">
      <c r="A6243" t="str">
        <f>"5462230191"</f>
        <v>5462230191</v>
      </c>
      <c r="B6243" t="str">
        <f t="shared" si="309"/>
        <v>89301000</v>
      </c>
      <c r="C6243" s="1">
        <v>44407</v>
      </c>
      <c r="D6243" s="1">
        <v>44408</v>
      </c>
      <c r="E6243">
        <v>1</v>
      </c>
      <c r="F6243" t="s">
        <v>2360</v>
      </c>
      <c r="G6243" t="str">
        <f>"06-M01-02"</f>
        <v>06-M01-02</v>
      </c>
      <c r="H6243">
        <v>1.2191000000000001</v>
      </c>
      <c r="I6243" t="s">
        <v>489</v>
      </c>
      <c r="J6243" t="s">
        <v>14</v>
      </c>
      <c r="K6243" t="str">
        <f>"1F1"</f>
        <v>1F1</v>
      </c>
      <c r="L6243" t="s">
        <v>15</v>
      </c>
    </row>
    <row r="6244" spans="1:12" x14ac:dyDescent="0.25">
      <c r="A6244" t="str">
        <f>"5462262388"</f>
        <v>5462262388</v>
      </c>
      <c r="B6244" t="str">
        <f t="shared" si="309"/>
        <v>89301000</v>
      </c>
      <c r="C6244" s="1">
        <v>44417</v>
      </c>
      <c r="D6244" s="1">
        <v>44419</v>
      </c>
      <c r="E6244">
        <v>1</v>
      </c>
      <c r="F6244" t="s">
        <v>4564</v>
      </c>
      <c r="G6244" t="str">
        <f>"08-K01-03"</f>
        <v>08-K01-03</v>
      </c>
      <c r="H6244">
        <v>0.65310000000000001</v>
      </c>
      <c r="I6244" t="s">
        <v>4565</v>
      </c>
      <c r="J6244" t="s">
        <v>14</v>
      </c>
      <c r="K6244" t="str">
        <f>"1F1"</f>
        <v>1F1</v>
      </c>
      <c r="L6244" t="s">
        <v>15</v>
      </c>
    </row>
    <row r="6245" spans="1:12" x14ac:dyDescent="0.25">
      <c r="A6245" t="str">
        <f>"5462262388"</f>
        <v>5462262388</v>
      </c>
      <c r="B6245" t="str">
        <f t="shared" si="309"/>
        <v>89301000</v>
      </c>
      <c r="C6245" s="1">
        <v>44377</v>
      </c>
      <c r="D6245" s="1">
        <v>44389</v>
      </c>
      <c r="E6245">
        <v>1</v>
      </c>
      <c r="F6245" t="s">
        <v>4566</v>
      </c>
      <c r="G6245" t="str">
        <f>"08-K01-03"</f>
        <v>08-K01-03</v>
      </c>
      <c r="H6245">
        <v>0.65310000000000001</v>
      </c>
      <c r="I6245" t="s">
        <v>4567</v>
      </c>
      <c r="J6245" t="s">
        <v>14</v>
      </c>
      <c r="K6245" t="str">
        <f>"1F1"</f>
        <v>1F1</v>
      </c>
      <c r="L6245" t="s">
        <v>15</v>
      </c>
    </row>
    <row r="6246" spans="1:12" x14ac:dyDescent="0.25">
      <c r="A6246" t="str">
        <f>"5501027092"</f>
        <v>5501027092</v>
      </c>
      <c r="B6246" t="str">
        <f t="shared" si="309"/>
        <v>89301000</v>
      </c>
      <c r="C6246" s="1">
        <v>44479</v>
      </c>
      <c r="D6246" s="1">
        <v>44485</v>
      </c>
      <c r="E6246">
        <v>1</v>
      </c>
      <c r="F6246" t="s">
        <v>2585</v>
      </c>
      <c r="G6246" t="str">
        <f>"12-I03-01"</f>
        <v>12-I03-01</v>
      </c>
      <c r="H6246">
        <v>2.6785999999999999</v>
      </c>
      <c r="I6246" t="s">
        <v>4568</v>
      </c>
      <c r="J6246" t="s">
        <v>14</v>
      </c>
      <c r="K6246" t="str">
        <f>"7F6"</f>
        <v>7F6</v>
      </c>
      <c r="L6246" t="s">
        <v>15</v>
      </c>
    </row>
    <row r="6247" spans="1:12" x14ac:dyDescent="0.25">
      <c r="A6247" t="str">
        <f>"5501031668"</f>
        <v>5501031668</v>
      </c>
      <c r="B6247" t="str">
        <f t="shared" si="309"/>
        <v>89301000</v>
      </c>
      <c r="C6247" s="1">
        <v>44273</v>
      </c>
      <c r="D6247" s="1">
        <v>44275</v>
      </c>
      <c r="E6247">
        <v>1</v>
      </c>
      <c r="F6247" t="s">
        <v>2049</v>
      </c>
      <c r="G6247" t="str">
        <f>"06-M01-02"</f>
        <v>06-M01-02</v>
      </c>
      <c r="H6247">
        <v>1.2191000000000001</v>
      </c>
      <c r="I6247" t="s">
        <v>168</v>
      </c>
      <c r="J6247" t="s">
        <v>14</v>
      </c>
      <c r="K6247" t="str">
        <f>"1F5"</f>
        <v>1F5</v>
      </c>
      <c r="L6247" t="s">
        <v>15</v>
      </c>
    </row>
    <row r="6248" spans="1:12" x14ac:dyDescent="0.25">
      <c r="A6248" t="str">
        <f>"5501041018"</f>
        <v>5501041018</v>
      </c>
      <c r="B6248" t="str">
        <f t="shared" si="309"/>
        <v>89301000</v>
      </c>
      <c r="C6248" s="1">
        <v>44363</v>
      </c>
      <c r="D6248" s="1">
        <v>44365</v>
      </c>
      <c r="E6248">
        <v>1</v>
      </c>
      <c r="F6248" t="s">
        <v>2445</v>
      </c>
      <c r="G6248" t="str">
        <f>"04-K08-04"</f>
        <v>04-K08-04</v>
      </c>
      <c r="H6248">
        <v>0.92730000000000001</v>
      </c>
      <c r="I6248" t="s">
        <v>4569</v>
      </c>
      <c r="J6248" t="s">
        <v>14</v>
      </c>
      <c r="K6248" t="str">
        <f>"1F1"</f>
        <v>1F1</v>
      </c>
      <c r="L6248" t="s">
        <v>15</v>
      </c>
    </row>
    <row r="6249" spans="1:12" x14ac:dyDescent="0.25">
      <c r="A6249" t="str">
        <f>"5501091585"</f>
        <v>5501091585</v>
      </c>
      <c r="B6249" t="str">
        <f t="shared" si="309"/>
        <v>89301000</v>
      </c>
      <c r="C6249" s="1">
        <v>44481</v>
      </c>
      <c r="D6249" s="1">
        <v>44483</v>
      </c>
      <c r="E6249">
        <v>1</v>
      </c>
      <c r="F6249" t="s">
        <v>1235</v>
      </c>
      <c r="G6249" t="str">
        <f>"01-I14-02"</f>
        <v>01-I14-02</v>
      </c>
      <c r="H6249">
        <v>1.1561999999999999</v>
      </c>
      <c r="I6249" t="s">
        <v>489</v>
      </c>
      <c r="J6249" t="s">
        <v>14</v>
      </c>
      <c r="K6249" t="str">
        <f>"5F6"</f>
        <v>5F6</v>
      </c>
      <c r="L6249" t="s">
        <v>15</v>
      </c>
    </row>
    <row r="6250" spans="1:12" x14ac:dyDescent="0.25">
      <c r="A6250" t="str">
        <f>"5501091893"</f>
        <v>5501091893</v>
      </c>
      <c r="B6250" t="str">
        <f t="shared" si="309"/>
        <v>89301000</v>
      </c>
      <c r="C6250" s="1">
        <v>44528</v>
      </c>
      <c r="D6250" s="1">
        <v>44532</v>
      </c>
      <c r="E6250">
        <v>1</v>
      </c>
      <c r="F6250" t="s">
        <v>217</v>
      </c>
      <c r="G6250" t="str">
        <f>"04-K02-04"</f>
        <v>04-K02-04</v>
      </c>
      <c r="H6250">
        <v>0.82469999999999999</v>
      </c>
      <c r="I6250" t="s">
        <v>274</v>
      </c>
      <c r="J6250" t="s">
        <v>14</v>
      </c>
      <c r="K6250" t="str">
        <f>"1T1"</f>
        <v>1T1</v>
      </c>
      <c r="L6250" t="s">
        <v>15</v>
      </c>
    </row>
    <row r="6251" spans="1:12" x14ac:dyDescent="0.25">
      <c r="A6251" t="str">
        <f>"5501152107"</f>
        <v>5501152107</v>
      </c>
      <c r="B6251" t="str">
        <f t="shared" si="309"/>
        <v>89301000</v>
      </c>
      <c r="C6251" s="1">
        <v>44383</v>
      </c>
      <c r="D6251" s="1">
        <v>44386</v>
      </c>
      <c r="E6251">
        <v>1</v>
      </c>
      <c r="F6251" t="s">
        <v>1914</v>
      </c>
      <c r="G6251" t="str">
        <f>"04-K09-03"</f>
        <v>04-K09-03</v>
      </c>
      <c r="H6251">
        <v>0.62749999999999995</v>
      </c>
      <c r="I6251" t="s">
        <v>4570</v>
      </c>
      <c r="J6251" t="s">
        <v>14</v>
      </c>
      <c r="K6251" t="str">
        <f>"2F5"</f>
        <v>2F5</v>
      </c>
      <c r="L6251" t="s">
        <v>15</v>
      </c>
    </row>
    <row r="6252" spans="1:12" x14ac:dyDescent="0.25">
      <c r="A6252" t="str">
        <f>"5501152107"</f>
        <v>5501152107</v>
      </c>
      <c r="B6252" t="str">
        <f t="shared" si="309"/>
        <v>89301000</v>
      </c>
      <c r="C6252" s="1">
        <v>44358</v>
      </c>
      <c r="D6252" s="1">
        <v>44379</v>
      </c>
      <c r="E6252">
        <v>1</v>
      </c>
      <c r="F6252" t="s">
        <v>1914</v>
      </c>
      <c r="G6252" t="str">
        <f>"04-R02-06"</f>
        <v>04-R02-06</v>
      </c>
      <c r="H6252">
        <v>1.5911</v>
      </c>
      <c r="I6252" t="s">
        <v>4570</v>
      </c>
      <c r="J6252" t="s">
        <v>14</v>
      </c>
      <c r="K6252" t="str">
        <f>"2F5"</f>
        <v>2F5</v>
      </c>
      <c r="L6252" t="s">
        <v>15</v>
      </c>
    </row>
    <row r="6253" spans="1:12" x14ac:dyDescent="0.25">
      <c r="A6253" t="str">
        <f>"5501251228"</f>
        <v>5501251228</v>
      </c>
      <c r="B6253" t="str">
        <f t="shared" si="309"/>
        <v>89301000</v>
      </c>
      <c r="C6253" s="1">
        <v>44279</v>
      </c>
      <c r="D6253" s="1">
        <v>44287</v>
      </c>
      <c r="E6253">
        <v>1</v>
      </c>
      <c r="F6253" t="s">
        <v>4571</v>
      </c>
      <c r="G6253" t="str">
        <f>"08-K09-02"</f>
        <v>08-K09-02</v>
      </c>
      <c r="H6253">
        <v>1.0061</v>
      </c>
      <c r="I6253" t="s">
        <v>145</v>
      </c>
      <c r="J6253" t="s">
        <v>14</v>
      </c>
      <c r="K6253" t="str">
        <f>"4F2"</f>
        <v>4F2</v>
      </c>
      <c r="L6253" t="s">
        <v>15</v>
      </c>
    </row>
    <row r="6254" spans="1:12" x14ac:dyDescent="0.25">
      <c r="A6254" t="str">
        <f>"5502011383"</f>
        <v>5502011383</v>
      </c>
      <c r="B6254" t="str">
        <f t="shared" si="309"/>
        <v>89301000</v>
      </c>
      <c r="C6254" s="1">
        <v>44465</v>
      </c>
      <c r="D6254" s="1">
        <v>44466</v>
      </c>
      <c r="E6254">
        <v>4</v>
      </c>
      <c r="F6254" t="s">
        <v>1878</v>
      </c>
      <c r="G6254" t="str">
        <f>"10-K12-03"</f>
        <v>10-K12-03</v>
      </c>
      <c r="H6254">
        <v>0.50629999999999997</v>
      </c>
      <c r="I6254" t="s">
        <v>4572</v>
      </c>
      <c r="J6254" t="s">
        <v>14</v>
      </c>
      <c r="K6254" t="str">
        <f>"1F1"</f>
        <v>1F1</v>
      </c>
      <c r="L6254" t="s">
        <v>15</v>
      </c>
    </row>
    <row r="6255" spans="1:12" x14ac:dyDescent="0.25">
      <c r="A6255" t="str">
        <f>"5502082025"</f>
        <v>5502082025</v>
      </c>
      <c r="B6255" t="str">
        <f t="shared" si="309"/>
        <v>89301000</v>
      </c>
      <c r="C6255" s="1">
        <v>44306</v>
      </c>
      <c r="D6255" s="1">
        <v>44308</v>
      </c>
      <c r="E6255">
        <v>1</v>
      </c>
      <c r="F6255" t="s">
        <v>4573</v>
      </c>
      <c r="G6255" t="str">
        <f>"02-I08-02"</f>
        <v>02-I08-02</v>
      </c>
      <c r="H6255">
        <v>0.55269999999999997</v>
      </c>
      <c r="I6255" t="s">
        <v>4574</v>
      </c>
      <c r="J6255" t="s">
        <v>17</v>
      </c>
      <c r="K6255" t="str">
        <f>"7F5"</f>
        <v>7F5</v>
      </c>
      <c r="L6255" t="s">
        <v>15</v>
      </c>
    </row>
    <row r="6256" spans="1:12" x14ac:dyDescent="0.25">
      <c r="A6256" t="str">
        <f>"5502101825"</f>
        <v>5502101825</v>
      </c>
      <c r="B6256" t="str">
        <f t="shared" si="309"/>
        <v>89301000</v>
      </c>
      <c r="C6256" s="1">
        <v>44307</v>
      </c>
      <c r="D6256" s="1">
        <v>44312</v>
      </c>
      <c r="E6256">
        <v>1</v>
      </c>
      <c r="F6256" t="s">
        <v>955</v>
      </c>
      <c r="G6256" t="str">
        <f>"11-K04-02"</f>
        <v>11-K04-02</v>
      </c>
      <c r="H6256">
        <v>0.3669</v>
      </c>
      <c r="I6256" t="s">
        <v>2611</v>
      </c>
      <c r="J6256" t="s">
        <v>14</v>
      </c>
      <c r="K6256" t="str">
        <f>"7F6"</f>
        <v>7F6</v>
      </c>
      <c r="L6256" t="s">
        <v>15</v>
      </c>
    </row>
    <row r="6257" spans="1:12" x14ac:dyDescent="0.25">
      <c r="A6257" t="str">
        <f>"5502101825"</f>
        <v>5502101825</v>
      </c>
      <c r="B6257" t="str">
        <f t="shared" si="309"/>
        <v>89301000</v>
      </c>
      <c r="C6257" s="1">
        <v>44483</v>
      </c>
      <c r="D6257" s="1">
        <v>44491</v>
      </c>
      <c r="E6257">
        <v>1</v>
      </c>
      <c r="F6257" t="s">
        <v>1991</v>
      </c>
      <c r="G6257" t="str">
        <f>"12-I03-04"</f>
        <v>12-I03-04</v>
      </c>
      <c r="H6257">
        <v>1.8419000000000001</v>
      </c>
      <c r="I6257" t="s">
        <v>4575</v>
      </c>
      <c r="J6257" t="s">
        <v>24</v>
      </c>
      <c r="K6257" t="str">
        <f>"7F6"</f>
        <v>7F6</v>
      </c>
      <c r="L6257" t="s">
        <v>15</v>
      </c>
    </row>
    <row r="6258" spans="1:12" x14ac:dyDescent="0.25">
      <c r="A6258" t="str">
        <f>"5502112209"</f>
        <v>5502112209</v>
      </c>
      <c r="B6258" t="str">
        <f t="shared" si="309"/>
        <v>89301000</v>
      </c>
      <c r="C6258" s="1">
        <v>44228</v>
      </c>
      <c r="D6258" s="1">
        <v>44230</v>
      </c>
      <c r="E6258">
        <v>1</v>
      </c>
      <c r="F6258" t="s">
        <v>2355</v>
      </c>
      <c r="G6258" t="str">
        <f>"04-K09-03"</f>
        <v>04-K09-03</v>
      </c>
      <c r="H6258">
        <v>0.62749999999999995</v>
      </c>
      <c r="I6258" t="s">
        <v>4576</v>
      </c>
      <c r="J6258" t="s">
        <v>14</v>
      </c>
      <c r="K6258" t="str">
        <f>"2F5"</f>
        <v>2F5</v>
      </c>
      <c r="L6258" t="s">
        <v>15</v>
      </c>
    </row>
    <row r="6259" spans="1:12" x14ac:dyDescent="0.25">
      <c r="A6259" t="str">
        <f>"5502112209"</f>
        <v>5502112209</v>
      </c>
      <c r="B6259" t="str">
        <f t="shared" si="309"/>
        <v>89301000</v>
      </c>
      <c r="C6259" s="1">
        <v>44251</v>
      </c>
      <c r="D6259" s="1">
        <v>44253</v>
      </c>
      <c r="E6259">
        <v>1</v>
      </c>
      <c r="F6259" t="s">
        <v>144</v>
      </c>
      <c r="G6259" t="str">
        <f>"04-K10-02"</f>
        <v>04-K10-02</v>
      </c>
      <c r="H6259">
        <v>0.38879999999999998</v>
      </c>
      <c r="I6259" t="s">
        <v>4577</v>
      </c>
      <c r="J6259" t="s">
        <v>14</v>
      </c>
      <c r="K6259" t="str">
        <f>"2F5"</f>
        <v>2F5</v>
      </c>
      <c r="L6259" t="s">
        <v>15</v>
      </c>
    </row>
    <row r="6260" spans="1:12" x14ac:dyDescent="0.25">
      <c r="A6260" t="str">
        <f>"5502112209"</f>
        <v>5502112209</v>
      </c>
      <c r="B6260" t="str">
        <f t="shared" si="309"/>
        <v>89301000</v>
      </c>
      <c r="C6260" s="1">
        <v>44286</v>
      </c>
      <c r="D6260" s="1">
        <v>44309</v>
      </c>
      <c r="E6260">
        <v>1</v>
      </c>
      <c r="F6260" t="s">
        <v>2544</v>
      </c>
      <c r="G6260" t="str">
        <f>"04-I02-04"</f>
        <v>04-I02-04</v>
      </c>
      <c r="H6260">
        <v>4.4844999999999997</v>
      </c>
      <c r="I6260" t="s">
        <v>4578</v>
      </c>
      <c r="J6260" t="s">
        <v>106</v>
      </c>
      <c r="K6260" t="str">
        <f>"2F5"</f>
        <v>2F5</v>
      </c>
      <c r="L6260" t="s">
        <v>15</v>
      </c>
    </row>
    <row r="6261" spans="1:12" x14ac:dyDescent="0.25">
      <c r="A6261" t="str">
        <f>"5502112209"</f>
        <v>5502112209</v>
      </c>
      <c r="B6261" t="str">
        <f t="shared" si="309"/>
        <v>89301000</v>
      </c>
      <c r="C6261" s="1">
        <v>44333</v>
      </c>
      <c r="D6261" s="1">
        <v>44343</v>
      </c>
      <c r="E6261">
        <v>1</v>
      </c>
      <c r="F6261" t="s">
        <v>2434</v>
      </c>
      <c r="G6261" t="str">
        <f>"04-K09-03"</f>
        <v>04-K09-03</v>
      </c>
      <c r="H6261">
        <v>0.62749999999999995</v>
      </c>
      <c r="I6261" t="s">
        <v>4579</v>
      </c>
      <c r="J6261" t="s">
        <v>14</v>
      </c>
      <c r="K6261" t="str">
        <f>"2F5"</f>
        <v>2F5</v>
      </c>
      <c r="L6261" t="s">
        <v>15</v>
      </c>
    </row>
    <row r="6262" spans="1:12" x14ac:dyDescent="0.25">
      <c r="A6262" t="str">
        <f>"5502112209"</f>
        <v>5502112209</v>
      </c>
      <c r="B6262" t="str">
        <f t="shared" si="309"/>
        <v>89301000</v>
      </c>
      <c r="C6262" s="1">
        <v>44503</v>
      </c>
      <c r="D6262" s="1">
        <v>44523</v>
      </c>
      <c r="E6262">
        <v>1</v>
      </c>
      <c r="F6262" t="s">
        <v>1914</v>
      </c>
      <c r="G6262" t="str">
        <f>"04-K09-02"</f>
        <v>04-K09-02</v>
      </c>
      <c r="H6262">
        <v>1.2861</v>
      </c>
      <c r="I6262" t="s">
        <v>4580</v>
      </c>
      <c r="J6262" t="s">
        <v>14</v>
      </c>
      <c r="K6262" t="str">
        <f>"2F5"</f>
        <v>2F5</v>
      </c>
      <c r="L6262" t="s">
        <v>15</v>
      </c>
    </row>
    <row r="6263" spans="1:12" x14ac:dyDescent="0.25">
      <c r="A6263" t="str">
        <f>"5502112253"</f>
        <v>5502112253</v>
      </c>
      <c r="B6263" t="str">
        <f t="shared" si="309"/>
        <v>89301000</v>
      </c>
      <c r="C6263" s="1">
        <v>44354</v>
      </c>
      <c r="D6263" s="1">
        <v>44355</v>
      </c>
      <c r="E6263">
        <v>1</v>
      </c>
      <c r="F6263" t="s">
        <v>2457</v>
      </c>
      <c r="G6263" t="str">
        <f>"05-D01-08"</f>
        <v>05-D01-08</v>
      </c>
      <c r="H6263">
        <v>0.4093</v>
      </c>
      <c r="I6263" t="s">
        <v>489</v>
      </c>
      <c r="J6263" t="s">
        <v>14</v>
      </c>
      <c r="K6263" t="str">
        <f>"1F7"</f>
        <v>1F7</v>
      </c>
      <c r="L6263" t="s">
        <v>15</v>
      </c>
    </row>
    <row r="6264" spans="1:12" x14ac:dyDescent="0.25">
      <c r="A6264" t="str">
        <f>"5502141623"</f>
        <v>5502141623</v>
      </c>
      <c r="B6264" t="str">
        <f t="shared" si="309"/>
        <v>89301000</v>
      </c>
      <c r="C6264" s="1">
        <v>44484</v>
      </c>
      <c r="D6264" s="1">
        <v>44488</v>
      </c>
      <c r="E6264">
        <v>1</v>
      </c>
      <c r="F6264" t="s">
        <v>320</v>
      </c>
      <c r="G6264" t="str">
        <f>"03-I23-00"</f>
        <v>03-I23-00</v>
      </c>
      <c r="H6264">
        <v>0.47639999999999999</v>
      </c>
      <c r="I6264" t="s">
        <v>4581</v>
      </c>
      <c r="J6264" t="s">
        <v>14</v>
      </c>
      <c r="K6264" t="str">
        <f>"6F5"</f>
        <v>6F5</v>
      </c>
      <c r="L6264" t="s">
        <v>15</v>
      </c>
    </row>
    <row r="6265" spans="1:12" x14ac:dyDescent="0.25">
      <c r="A6265" t="str">
        <f>"5502181300"</f>
        <v>5502181300</v>
      </c>
      <c r="B6265" t="str">
        <f t="shared" si="309"/>
        <v>89301000</v>
      </c>
      <c r="C6265" s="1">
        <v>44203</v>
      </c>
      <c r="D6265" s="1">
        <v>44207</v>
      </c>
      <c r="E6265">
        <v>1</v>
      </c>
      <c r="F6265" t="s">
        <v>2120</v>
      </c>
      <c r="G6265" t="str">
        <f>"06-K07-02"</f>
        <v>06-K07-02</v>
      </c>
      <c r="H6265">
        <v>0.44419999999999998</v>
      </c>
      <c r="I6265" t="s">
        <v>489</v>
      </c>
      <c r="J6265" t="s">
        <v>14</v>
      </c>
      <c r="K6265" t="str">
        <f>"1F1"</f>
        <v>1F1</v>
      </c>
      <c r="L6265" t="s">
        <v>15</v>
      </c>
    </row>
    <row r="6266" spans="1:12" x14ac:dyDescent="0.25">
      <c r="A6266" t="str">
        <f>"5502181663"</f>
        <v>5502181663</v>
      </c>
      <c r="B6266" t="str">
        <f t="shared" si="309"/>
        <v>89301000</v>
      </c>
      <c r="C6266" s="1">
        <v>44475</v>
      </c>
      <c r="D6266" s="1">
        <v>44497</v>
      </c>
      <c r="E6266">
        <v>1</v>
      </c>
      <c r="F6266" t="s">
        <v>31</v>
      </c>
      <c r="G6266" t="str">
        <f>"08-I03-04"</f>
        <v>08-I03-04</v>
      </c>
      <c r="H6266">
        <v>5.3734999999999999</v>
      </c>
      <c r="I6266" t="s">
        <v>4582</v>
      </c>
      <c r="J6266" t="s">
        <v>17</v>
      </c>
      <c r="K6266" t="str">
        <f>"5F6"</f>
        <v>5F6</v>
      </c>
      <c r="L6266" t="s">
        <v>15</v>
      </c>
    </row>
    <row r="6267" spans="1:12" x14ac:dyDescent="0.25">
      <c r="A6267" t="str">
        <f>"5502202178"</f>
        <v>5502202178</v>
      </c>
      <c r="B6267" t="str">
        <f t="shared" si="309"/>
        <v>89301000</v>
      </c>
      <c r="C6267" s="1">
        <v>44525</v>
      </c>
      <c r="D6267" s="1">
        <v>44531</v>
      </c>
      <c r="E6267">
        <v>1</v>
      </c>
      <c r="F6267" t="s">
        <v>2623</v>
      </c>
      <c r="G6267" t="str">
        <f>"17-K03-02"</f>
        <v>17-K03-02</v>
      </c>
      <c r="H6267">
        <v>0.93659999999999999</v>
      </c>
      <c r="I6267" t="s">
        <v>4583</v>
      </c>
      <c r="J6267" t="s">
        <v>14</v>
      </c>
      <c r="K6267" t="str">
        <f>"1F5"</f>
        <v>1F5</v>
      </c>
      <c r="L6267" t="s">
        <v>15</v>
      </c>
    </row>
    <row r="6268" spans="1:12" x14ac:dyDescent="0.25">
      <c r="A6268" t="str">
        <f>"5503042655"</f>
        <v>5503042655</v>
      </c>
      <c r="B6268" t="str">
        <f t="shared" si="309"/>
        <v>89301000</v>
      </c>
      <c r="C6268" s="1">
        <v>44195</v>
      </c>
      <c r="D6268" s="1">
        <v>44200</v>
      </c>
      <c r="E6268">
        <v>1</v>
      </c>
      <c r="F6268" t="s">
        <v>16</v>
      </c>
      <c r="G6268" t="str">
        <f>"08-I03-06"</f>
        <v>08-I03-06</v>
      </c>
      <c r="H6268">
        <v>3.2993000000000001</v>
      </c>
      <c r="I6268" t="s">
        <v>1557</v>
      </c>
      <c r="J6268" t="s">
        <v>17</v>
      </c>
      <c r="K6268" t="str">
        <f>"5F6"</f>
        <v>5F6</v>
      </c>
      <c r="L6268" t="s">
        <v>15</v>
      </c>
    </row>
    <row r="6269" spans="1:12" x14ac:dyDescent="0.25">
      <c r="A6269" t="str">
        <f>"5503141435"</f>
        <v>5503141435</v>
      </c>
      <c r="B6269" t="str">
        <f t="shared" si="309"/>
        <v>89301000</v>
      </c>
      <c r="C6269" s="1">
        <v>44488</v>
      </c>
      <c r="D6269" s="1">
        <v>44504</v>
      </c>
      <c r="E6269">
        <v>1</v>
      </c>
      <c r="F6269" t="s">
        <v>2752</v>
      </c>
      <c r="G6269" t="str">
        <f>"06-K14-01"</f>
        <v>06-K14-01</v>
      </c>
      <c r="H6269">
        <v>1.7067000000000001</v>
      </c>
      <c r="I6269" t="s">
        <v>4584</v>
      </c>
      <c r="J6269" t="s">
        <v>14</v>
      </c>
      <c r="K6269" t="str">
        <f>"4F2"</f>
        <v>4F2</v>
      </c>
      <c r="L6269" t="s">
        <v>15</v>
      </c>
    </row>
    <row r="6270" spans="1:12" x14ac:dyDescent="0.25">
      <c r="A6270" t="str">
        <f>"5503242327"</f>
        <v>5503242327</v>
      </c>
      <c r="B6270" t="str">
        <f t="shared" si="309"/>
        <v>89301000</v>
      </c>
      <c r="C6270" s="1">
        <v>44513</v>
      </c>
      <c r="D6270" s="1">
        <v>44518</v>
      </c>
      <c r="E6270">
        <v>1</v>
      </c>
      <c r="F6270" t="s">
        <v>1553</v>
      </c>
      <c r="G6270" t="str">
        <f>"04-K05-03"</f>
        <v>04-K05-03</v>
      </c>
      <c r="H6270">
        <v>0.74980000000000002</v>
      </c>
      <c r="I6270" t="s">
        <v>4585</v>
      </c>
      <c r="J6270" t="s">
        <v>14</v>
      </c>
      <c r="K6270" t="str">
        <f>"1F5"</f>
        <v>1F5</v>
      </c>
      <c r="L6270" t="s">
        <v>15</v>
      </c>
    </row>
    <row r="6271" spans="1:12" x14ac:dyDescent="0.25">
      <c r="A6271" t="str">
        <f>"5503271719"</f>
        <v>5503271719</v>
      </c>
      <c r="B6271" t="str">
        <f t="shared" si="309"/>
        <v>89301000</v>
      </c>
      <c r="C6271" s="1">
        <v>44270</v>
      </c>
      <c r="D6271" s="1">
        <v>44300</v>
      </c>
      <c r="E6271">
        <v>8</v>
      </c>
      <c r="F6271" t="s">
        <v>962</v>
      </c>
      <c r="G6271" t="str">
        <f>"04-M01-03"</f>
        <v>04-M01-03</v>
      </c>
      <c r="H6271">
        <v>17.538900000000002</v>
      </c>
      <c r="I6271" t="s">
        <v>4586</v>
      </c>
      <c r="J6271" t="s">
        <v>14</v>
      </c>
      <c r="K6271" t="str">
        <f>"2T5"</f>
        <v>2T5</v>
      </c>
      <c r="L6271" t="s">
        <v>15</v>
      </c>
    </row>
    <row r="6272" spans="1:12" x14ac:dyDescent="0.25">
      <c r="A6272" t="str">
        <f>"5503301749"</f>
        <v>5503301749</v>
      </c>
      <c r="B6272" t="str">
        <f t="shared" si="309"/>
        <v>89301000</v>
      </c>
      <c r="C6272" s="1">
        <v>44464</v>
      </c>
      <c r="D6272" s="1">
        <v>44468</v>
      </c>
      <c r="E6272">
        <v>1</v>
      </c>
      <c r="F6272" t="s">
        <v>879</v>
      </c>
      <c r="G6272" t="str">
        <f>"03-K02-02"</f>
        <v>03-K02-02</v>
      </c>
      <c r="H6272">
        <v>0.56889999999999996</v>
      </c>
      <c r="I6272" t="s">
        <v>4587</v>
      </c>
      <c r="J6272" t="s">
        <v>14</v>
      </c>
      <c r="K6272" t="str">
        <f>"7F1"</f>
        <v>7F1</v>
      </c>
      <c r="L6272" t="s">
        <v>15</v>
      </c>
    </row>
    <row r="6273" spans="1:12" x14ac:dyDescent="0.25">
      <c r="A6273" t="str">
        <f>"5504022623"</f>
        <v>5504022623</v>
      </c>
      <c r="B6273" t="str">
        <f t="shared" ref="B6273:B6335" si="310">"89301000"</f>
        <v>89301000</v>
      </c>
      <c r="C6273" s="1">
        <v>44494</v>
      </c>
      <c r="D6273" s="1">
        <v>44497</v>
      </c>
      <c r="E6273">
        <v>1</v>
      </c>
      <c r="F6273" t="s">
        <v>496</v>
      </c>
      <c r="G6273" t="str">
        <f>"08-M03-05"</f>
        <v>08-M03-05</v>
      </c>
      <c r="H6273">
        <v>0.51759999999999995</v>
      </c>
      <c r="I6273" t="s">
        <v>524</v>
      </c>
      <c r="J6273" t="s">
        <v>14</v>
      </c>
      <c r="K6273" t="str">
        <f>"6F6"</f>
        <v>6F6</v>
      </c>
      <c r="L6273" t="s">
        <v>15</v>
      </c>
    </row>
    <row r="6274" spans="1:12" x14ac:dyDescent="0.25">
      <c r="A6274" t="str">
        <f>"5504071463"</f>
        <v>5504071463</v>
      </c>
      <c r="B6274" t="str">
        <f t="shared" si="310"/>
        <v>89301000</v>
      </c>
      <c r="C6274" s="1">
        <v>44370</v>
      </c>
      <c r="D6274" s="1">
        <v>44377</v>
      </c>
      <c r="E6274">
        <v>1</v>
      </c>
      <c r="F6274" t="s">
        <v>2391</v>
      </c>
      <c r="G6274" t="str">
        <f>"05-I13-03"</f>
        <v>05-I13-03</v>
      </c>
      <c r="H6274">
        <v>6.7173999999999996</v>
      </c>
      <c r="J6274" t="s">
        <v>17</v>
      </c>
      <c r="K6274" t="str">
        <f>"5F5"</f>
        <v>5F5</v>
      </c>
      <c r="L6274" t="s">
        <v>15</v>
      </c>
    </row>
    <row r="6275" spans="1:12" x14ac:dyDescent="0.25">
      <c r="A6275" t="str">
        <f>"5504092231"</f>
        <v>5504092231</v>
      </c>
      <c r="B6275" t="str">
        <f t="shared" si="310"/>
        <v>89301000</v>
      </c>
      <c r="C6275" s="1">
        <v>44485</v>
      </c>
      <c r="D6275" s="1">
        <v>44491</v>
      </c>
      <c r="E6275">
        <v>1</v>
      </c>
      <c r="F6275" t="s">
        <v>96</v>
      </c>
      <c r="G6275" t="str">
        <f>"11-K01-03"</f>
        <v>11-K01-03</v>
      </c>
      <c r="H6275">
        <v>0.59489999999999998</v>
      </c>
      <c r="I6275" t="s">
        <v>4588</v>
      </c>
      <c r="J6275" t="s">
        <v>14</v>
      </c>
      <c r="K6275" t="str">
        <f>"7F6"</f>
        <v>7F6</v>
      </c>
      <c r="L6275" t="s">
        <v>15</v>
      </c>
    </row>
    <row r="6276" spans="1:12" x14ac:dyDescent="0.25">
      <c r="A6276" t="str">
        <f>"5504111833"</f>
        <v>5504111833</v>
      </c>
      <c r="B6276" t="str">
        <f t="shared" si="310"/>
        <v>89301000</v>
      </c>
      <c r="C6276" s="1">
        <v>44411</v>
      </c>
      <c r="D6276" s="1">
        <v>44412</v>
      </c>
      <c r="E6276">
        <v>1</v>
      </c>
      <c r="F6276" t="s">
        <v>41</v>
      </c>
      <c r="G6276" t="str">
        <f>"01-D01-03"</f>
        <v>01-D01-03</v>
      </c>
      <c r="H6276">
        <v>0.158</v>
      </c>
      <c r="J6276" t="s">
        <v>14</v>
      </c>
      <c r="K6276" t="str">
        <f>"2F5"</f>
        <v>2F5</v>
      </c>
      <c r="L6276" t="s">
        <v>15</v>
      </c>
    </row>
    <row r="6277" spans="1:12" x14ac:dyDescent="0.25">
      <c r="A6277" t="str">
        <f>"5504141984"</f>
        <v>5504141984</v>
      </c>
      <c r="B6277" t="str">
        <f t="shared" si="310"/>
        <v>89301000</v>
      </c>
      <c r="C6277" s="1">
        <v>44191</v>
      </c>
      <c r="D6277" s="1">
        <v>44200</v>
      </c>
      <c r="E6277">
        <v>1</v>
      </c>
      <c r="F6277" t="s">
        <v>217</v>
      </c>
      <c r="G6277" t="str">
        <f>"04-K02-03"</f>
        <v>04-K02-03</v>
      </c>
      <c r="H6277">
        <v>1.2859</v>
      </c>
      <c r="I6277" t="s">
        <v>4589</v>
      </c>
      <c r="J6277" t="s">
        <v>14</v>
      </c>
      <c r="K6277" t="str">
        <f>"1F1"</f>
        <v>1F1</v>
      </c>
      <c r="L6277" t="s">
        <v>15</v>
      </c>
    </row>
    <row r="6278" spans="1:12" x14ac:dyDescent="0.25">
      <c r="A6278" t="str">
        <f>"5504141984"</f>
        <v>5504141984</v>
      </c>
      <c r="B6278" t="str">
        <f t="shared" si="310"/>
        <v>89301000</v>
      </c>
      <c r="C6278" s="1">
        <v>44492</v>
      </c>
      <c r="D6278" s="1">
        <v>44510</v>
      </c>
      <c r="E6278">
        <v>1</v>
      </c>
      <c r="F6278" t="s">
        <v>3799</v>
      </c>
      <c r="G6278" t="str">
        <f>"00-I05-01"</f>
        <v>00-I05-01</v>
      </c>
      <c r="H6278">
        <v>12.213100000000001</v>
      </c>
      <c r="I6278" t="s">
        <v>4590</v>
      </c>
      <c r="J6278" t="s">
        <v>17</v>
      </c>
      <c r="K6278" t="str">
        <f>"1F1"</f>
        <v>1F1</v>
      </c>
      <c r="L6278" t="s">
        <v>15</v>
      </c>
    </row>
    <row r="6279" spans="1:12" x14ac:dyDescent="0.25">
      <c r="A6279" t="str">
        <f>"5504141984"</f>
        <v>5504141984</v>
      </c>
      <c r="B6279" t="str">
        <f t="shared" si="310"/>
        <v>89301000</v>
      </c>
      <c r="C6279" s="1">
        <v>44536</v>
      </c>
      <c r="D6279" s="1">
        <v>44539</v>
      </c>
      <c r="E6279">
        <v>1</v>
      </c>
      <c r="F6279" t="s">
        <v>607</v>
      </c>
      <c r="G6279" t="str">
        <f>"11-K03-02"</f>
        <v>11-K03-02</v>
      </c>
      <c r="H6279">
        <v>0.6008</v>
      </c>
      <c r="I6279" t="s">
        <v>4591</v>
      </c>
      <c r="J6279" t="s">
        <v>14</v>
      </c>
      <c r="K6279" t="str">
        <f>"1F1"</f>
        <v>1F1</v>
      </c>
      <c r="L6279" t="s">
        <v>15</v>
      </c>
    </row>
    <row r="6280" spans="1:12" x14ac:dyDescent="0.25">
      <c r="A6280" t="str">
        <f>"5504141984"</f>
        <v>5504141984</v>
      </c>
      <c r="B6280" t="str">
        <f t="shared" si="310"/>
        <v>89301000</v>
      </c>
      <c r="C6280" s="1">
        <v>44550</v>
      </c>
      <c r="D6280" s="1">
        <v>44552</v>
      </c>
      <c r="E6280">
        <v>1</v>
      </c>
      <c r="F6280" t="s">
        <v>1557</v>
      </c>
      <c r="G6280" t="str">
        <f>"05-M06-08"</f>
        <v>05-M06-08</v>
      </c>
      <c r="H6280">
        <v>1.4719</v>
      </c>
      <c r="I6280" t="s">
        <v>4592</v>
      </c>
      <c r="J6280" t="s">
        <v>17</v>
      </c>
      <c r="K6280" t="str">
        <f>"1F7"</f>
        <v>1F7</v>
      </c>
      <c r="L6280" t="s">
        <v>15</v>
      </c>
    </row>
    <row r="6281" spans="1:12" x14ac:dyDescent="0.25">
      <c r="A6281" t="str">
        <f>"5504192155"</f>
        <v>5504192155</v>
      </c>
      <c r="B6281" t="str">
        <f t="shared" si="310"/>
        <v>89301000</v>
      </c>
      <c r="C6281" s="1">
        <v>44207</v>
      </c>
      <c r="D6281" s="1">
        <v>44215</v>
      </c>
      <c r="E6281">
        <v>7</v>
      </c>
      <c r="F6281" t="s">
        <v>38</v>
      </c>
      <c r="G6281" t="str">
        <f>"00-M01-03"</f>
        <v>00-M01-03</v>
      </c>
      <c r="H6281">
        <v>9.8292999999999999</v>
      </c>
      <c r="I6281" t="s">
        <v>4593</v>
      </c>
      <c r="J6281" t="s">
        <v>14</v>
      </c>
      <c r="K6281" t="str">
        <f>"1T1"</f>
        <v>1T1</v>
      </c>
      <c r="L6281" t="s">
        <v>15</v>
      </c>
    </row>
    <row r="6282" spans="1:12" x14ac:dyDescent="0.25">
      <c r="A6282" t="str">
        <f>"5504212263"</f>
        <v>5504212263</v>
      </c>
      <c r="B6282" t="str">
        <f t="shared" si="310"/>
        <v>89301000</v>
      </c>
      <c r="C6282" s="1">
        <v>44421</v>
      </c>
      <c r="D6282" s="1">
        <v>44428</v>
      </c>
      <c r="E6282">
        <v>3</v>
      </c>
      <c r="F6282" t="s">
        <v>67</v>
      </c>
      <c r="G6282" t="str">
        <f>"01-C02-02"</f>
        <v>01-C02-02</v>
      </c>
      <c r="H6282">
        <v>1.4877</v>
      </c>
      <c r="I6282" t="s">
        <v>4594</v>
      </c>
      <c r="J6282" t="s">
        <v>14</v>
      </c>
      <c r="K6282" t="str">
        <f>"2F9"</f>
        <v>2F9</v>
      </c>
      <c r="L6282" t="s">
        <v>15</v>
      </c>
    </row>
    <row r="6283" spans="1:12" x14ac:dyDescent="0.25">
      <c r="A6283" t="str">
        <f>"5504212263"</f>
        <v>5504212263</v>
      </c>
      <c r="B6283" t="str">
        <f t="shared" si="310"/>
        <v>89301000</v>
      </c>
      <c r="C6283" s="1">
        <v>44428</v>
      </c>
      <c r="D6283" s="1">
        <v>44442</v>
      </c>
      <c r="E6283">
        <v>1</v>
      </c>
      <c r="F6283" t="s">
        <v>109</v>
      </c>
      <c r="G6283" t="str">
        <f>"24-M07-01"</f>
        <v>24-M07-01</v>
      </c>
      <c r="H6283">
        <v>1.7399</v>
      </c>
      <c r="I6283" t="s">
        <v>4595</v>
      </c>
      <c r="J6283" t="s">
        <v>14</v>
      </c>
      <c r="K6283" t="str">
        <f>"2F1"</f>
        <v>2F1</v>
      </c>
      <c r="L6283" t="s">
        <v>15</v>
      </c>
    </row>
    <row r="6284" spans="1:12" x14ac:dyDescent="0.25">
      <c r="A6284" t="str">
        <f>"5504222416"</f>
        <v>5504222416</v>
      </c>
      <c r="B6284" t="str">
        <f t="shared" si="310"/>
        <v>89301000</v>
      </c>
      <c r="C6284" s="1">
        <v>44442</v>
      </c>
      <c r="D6284" s="1">
        <v>44443</v>
      </c>
      <c r="E6284">
        <v>1</v>
      </c>
      <c r="F6284" t="s">
        <v>1557</v>
      </c>
      <c r="G6284" t="str">
        <f>"05-M06-07"</f>
        <v>05-M06-07</v>
      </c>
      <c r="H6284">
        <v>1.8717999999999999</v>
      </c>
      <c r="I6284" t="s">
        <v>1959</v>
      </c>
      <c r="J6284" t="s">
        <v>17</v>
      </c>
      <c r="K6284" t="str">
        <f>"1F7"</f>
        <v>1F7</v>
      </c>
      <c r="L6284" t="s">
        <v>15</v>
      </c>
    </row>
    <row r="6285" spans="1:12" x14ac:dyDescent="0.25">
      <c r="A6285" t="str">
        <f>"5504232822"</f>
        <v>5504232822</v>
      </c>
      <c r="B6285" t="str">
        <f t="shared" si="310"/>
        <v>89301000</v>
      </c>
      <c r="C6285" s="1">
        <v>44200</v>
      </c>
      <c r="D6285" s="1">
        <v>44205</v>
      </c>
      <c r="E6285">
        <v>1</v>
      </c>
      <c r="F6285" t="s">
        <v>197</v>
      </c>
      <c r="G6285" t="str">
        <f>"03-I17-00"</f>
        <v>03-I17-00</v>
      </c>
      <c r="H6285">
        <v>0.84960000000000002</v>
      </c>
      <c r="I6285" t="s">
        <v>4596</v>
      </c>
      <c r="J6285" t="s">
        <v>24</v>
      </c>
      <c r="K6285" t="str">
        <f>"7F1"</f>
        <v>7F1</v>
      </c>
      <c r="L6285" t="s">
        <v>15</v>
      </c>
    </row>
    <row r="6286" spans="1:12" x14ac:dyDescent="0.25">
      <c r="A6286" t="str">
        <f>"5504262489"</f>
        <v>5504262489</v>
      </c>
      <c r="B6286" t="str">
        <f t="shared" si="310"/>
        <v>89301000</v>
      </c>
      <c r="C6286" s="1">
        <v>44453</v>
      </c>
      <c r="D6286" s="1">
        <v>44454</v>
      </c>
      <c r="E6286">
        <v>1</v>
      </c>
      <c r="F6286" t="s">
        <v>1557</v>
      </c>
      <c r="G6286" t="str">
        <f>"05-D01-08"</f>
        <v>05-D01-08</v>
      </c>
      <c r="H6286">
        <v>0.4093</v>
      </c>
      <c r="I6286" t="s">
        <v>489</v>
      </c>
      <c r="J6286" t="s">
        <v>14</v>
      </c>
      <c r="K6286" t="str">
        <f>"1F7"</f>
        <v>1F7</v>
      </c>
      <c r="L6286" t="s">
        <v>15</v>
      </c>
    </row>
    <row r="6287" spans="1:12" x14ac:dyDescent="0.25">
      <c r="A6287" t="str">
        <f>"5504302155"</f>
        <v>5504302155</v>
      </c>
      <c r="B6287" t="str">
        <f t="shared" si="310"/>
        <v>89301000</v>
      </c>
      <c r="C6287" s="1">
        <v>44242</v>
      </c>
      <c r="D6287" s="1">
        <v>44245</v>
      </c>
      <c r="E6287">
        <v>1</v>
      </c>
      <c r="F6287" t="s">
        <v>2595</v>
      </c>
      <c r="G6287" t="str">
        <f>"08-I25-02"</f>
        <v>08-I25-02</v>
      </c>
      <c r="H6287">
        <v>0.5746</v>
      </c>
      <c r="J6287" t="s">
        <v>14</v>
      </c>
      <c r="K6287" t="str">
        <f>"6F6"</f>
        <v>6F6</v>
      </c>
      <c r="L6287" t="s">
        <v>15</v>
      </c>
    </row>
    <row r="6288" spans="1:12" x14ac:dyDescent="0.25">
      <c r="A6288" t="str">
        <f>"5505091757"</f>
        <v>5505091757</v>
      </c>
      <c r="B6288" t="str">
        <f t="shared" si="310"/>
        <v>89301000</v>
      </c>
      <c r="C6288" s="1">
        <v>44432</v>
      </c>
      <c r="D6288" s="1">
        <v>44433</v>
      </c>
      <c r="E6288">
        <v>1</v>
      </c>
      <c r="F6288" t="s">
        <v>2111</v>
      </c>
      <c r="G6288" t="str">
        <f>"10-K15-02"</f>
        <v>10-K15-02</v>
      </c>
      <c r="H6288">
        <v>0.51819999999999999</v>
      </c>
      <c r="I6288" t="s">
        <v>4597</v>
      </c>
      <c r="J6288" t="s">
        <v>14</v>
      </c>
      <c r="K6288" t="str">
        <f>"2F5"</f>
        <v>2F5</v>
      </c>
      <c r="L6288" t="s">
        <v>15</v>
      </c>
    </row>
    <row r="6289" spans="1:12" x14ac:dyDescent="0.25">
      <c r="A6289" t="str">
        <f>"5505120786"</f>
        <v>5505120786</v>
      </c>
      <c r="B6289" t="str">
        <f t="shared" si="310"/>
        <v>89301000</v>
      </c>
      <c r="C6289" s="1">
        <v>44470</v>
      </c>
      <c r="D6289" s="1">
        <v>44474</v>
      </c>
      <c r="E6289">
        <v>1</v>
      </c>
      <c r="F6289" t="s">
        <v>475</v>
      </c>
      <c r="G6289" t="str">
        <f>"10-K04-04"</f>
        <v>10-K04-04</v>
      </c>
      <c r="H6289">
        <v>0.56330000000000002</v>
      </c>
      <c r="I6289" t="s">
        <v>4598</v>
      </c>
      <c r="J6289" t="s">
        <v>14</v>
      </c>
      <c r="K6289" t="str">
        <f>"1F1"</f>
        <v>1F1</v>
      </c>
      <c r="L6289" t="s">
        <v>15</v>
      </c>
    </row>
    <row r="6290" spans="1:12" x14ac:dyDescent="0.25">
      <c r="A6290" t="str">
        <f>"5505131324"</f>
        <v>5505131324</v>
      </c>
      <c r="B6290" t="str">
        <f t="shared" si="310"/>
        <v>89301000</v>
      </c>
      <c r="C6290" s="1">
        <v>44309</v>
      </c>
      <c r="D6290" s="1">
        <v>44309</v>
      </c>
      <c r="E6290">
        <v>5</v>
      </c>
      <c r="F6290" t="s">
        <v>1599</v>
      </c>
      <c r="G6290" t="str">
        <f>"05-D01-06"</f>
        <v>05-D01-06</v>
      </c>
      <c r="H6290">
        <v>0.40649999999999997</v>
      </c>
      <c r="I6290" t="s">
        <v>4599</v>
      </c>
      <c r="J6290" t="s">
        <v>14</v>
      </c>
      <c r="K6290" t="str">
        <f>"1F1"</f>
        <v>1F1</v>
      </c>
      <c r="L6290" t="s">
        <v>15</v>
      </c>
    </row>
    <row r="6291" spans="1:12" x14ac:dyDescent="0.25">
      <c r="A6291" t="str">
        <f>"5505160980"</f>
        <v>5505160980</v>
      </c>
      <c r="B6291" t="str">
        <f t="shared" si="310"/>
        <v>89301000</v>
      </c>
      <c r="C6291" s="1">
        <v>44375</v>
      </c>
      <c r="D6291" s="1">
        <v>44377</v>
      </c>
      <c r="E6291">
        <v>1</v>
      </c>
      <c r="F6291" t="s">
        <v>1631</v>
      </c>
      <c r="G6291" t="str">
        <f>"17-K02-02"</f>
        <v>17-K02-02</v>
      </c>
      <c r="H6291">
        <v>0.71860000000000002</v>
      </c>
      <c r="I6291" t="s">
        <v>4600</v>
      </c>
      <c r="J6291" t="s">
        <v>14</v>
      </c>
      <c r="K6291" t="str">
        <f>"2F2"</f>
        <v>2F2</v>
      </c>
      <c r="L6291" t="s">
        <v>15</v>
      </c>
    </row>
    <row r="6292" spans="1:12" x14ac:dyDescent="0.25">
      <c r="A6292" t="str">
        <f>"5505160980"</f>
        <v>5505160980</v>
      </c>
      <c r="B6292" t="str">
        <f t="shared" si="310"/>
        <v>89301000</v>
      </c>
      <c r="C6292" s="1">
        <v>44425</v>
      </c>
      <c r="D6292" s="1">
        <v>44435</v>
      </c>
      <c r="E6292">
        <v>1</v>
      </c>
      <c r="F6292" t="s">
        <v>1631</v>
      </c>
      <c r="G6292" t="str">
        <f>"17-K02-01"</f>
        <v>17-K02-01</v>
      </c>
      <c r="H6292">
        <v>2.8917000000000002</v>
      </c>
      <c r="I6292" t="s">
        <v>4601</v>
      </c>
      <c r="J6292" t="s">
        <v>14</v>
      </c>
      <c r="K6292" t="str">
        <f>"2F2"</f>
        <v>2F2</v>
      </c>
      <c r="L6292" t="s">
        <v>15</v>
      </c>
    </row>
    <row r="6293" spans="1:12" x14ac:dyDescent="0.25">
      <c r="A6293" t="str">
        <f>"5505171859"</f>
        <v>5505171859</v>
      </c>
      <c r="B6293" t="str">
        <f t="shared" si="310"/>
        <v>89301000</v>
      </c>
      <c r="C6293" s="1">
        <v>44538</v>
      </c>
      <c r="D6293" s="1">
        <v>44540</v>
      </c>
      <c r="E6293">
        <v>1</v>
      </c>
      <c r="F6293" t="s">
        <v>2366</v>
      </c>
      <c r="G6293" t="str">
        <f>"02-I09-03"</f>
        <v>02-I09-03</v>
      </c>
      <c r="H6293">
        <v>0.92979999999999996</v>
      </c>
      <c r="I6293" t="s">
        <v>4602</v>
      </c>
      <c r="J6293" t="s">
        <v>14</v>
      </c>
      <c r="K6293" t="str">
        <f>"5F3"</f>
        <v>5F3</v>
      </c>
      <c r="L6293" t="s">
        <v>15</v>
      </c>
    </row>
    <row r="6294" spans="1:12" x14ac:dyDescent="0.25">
      <c r="A6294" t="str">
        <f>"5505230676"</f>
        <v>5505230676</v>
      </c>
      <c r="B6294" t="str">
        <f t="shared" si="310"/>
        <v>89301000</v>
      </c>
      <c r="C6294" s="1">
        <v>44449</v>
      </c>
      <c r="D6294" s="1">
        <v>44453</v>
      </c>
      <c r="E6294">
        <v>1</v>
      </c>
      <c r="F6294" t="s">
        <v>2311</v>
      </c>
      <c r="G6294" t="str">
        <f>"08-I03-08"</f>
        <v>08-I03-08</v>
      </c>
      <c r="H6294">
        <v>2.0605000000000002</v>
      </c>
      <c r="I6294" t="s">
        <v>489</v>
      </c>
      <c r="J6294" t="s">
        <v>17</v>
      </c>
      <c r="K6294" t="str">
        <f>"5F6"</f>
        <v>5F6</v>
      </c>
      <c r="L6294" t="s">
        <v>15</v>
      </c>
    </row>
    <row r="6295" spans="1:12" x14ac:dyDescent="0.25">
      <c r="A6295" t="str">
        <f>"5505262037"</f>
        <v>5505262037</v>
      </c>
      <c r="B6295" t="str">
        <f t="shared" si="310"/>
        <v>89301000</v>
      </c>
      <c r="C6295" s="1">
        <v>44531</v>
      </c>
      <c r="D6295" s="1">
        <v>44540</v>
      </c>
      <c r="E6295">
        <v>1</v>
      </c>
      <c r="F6295" t="s">
        <v>625</v>
      </c>
      <c r="G6295" t="str">
        <f>"04-M01-07"</f>
        <v>04-M01-07</v>
      </c>
      <c r="H6295">
        <v>2.6560000000000001</v>
      </c>
      <c r="I6295" t="s">
        <v>4603</v>
      </c>
      <c r="J6295" t="s">
        <v>14</v>
      </c>
      <c r="K6295" t="str">
        <f>"2F5"</f>
        <v>2F5</v>
      </c>
      <c r="L6295" t="s">
        <v>15</v>
      </c>
    </row>
    <row r="6296" spans="1:12" x14ac:dyDescent="0.25">
      <c r="A6296" t="str">
        <f>"5505312131"</f>
        <v>5505312131</v>
      </c>
      <c r="B6296" t="str">
        <f t="shared" si="310"/>
        <v>89301000</v>
      </c>
      <c r="C6296" s="1">
        <v>44377</v>
      </c>
      <c r="D6296" s="1">
        <v>44380</v>
      </c>
      <c r="E6296">
        <v>1</v>
      </c>
      <c r="F6296" t="s">
        <v>38</v>
      </c>
      <c r="G6296" t="str">
        <f>"05-M06-06"</f>
        <v>05-M06-06</v>
      </c>
      <c r="H6296">
        <v>1.7652000000000001</v>
      </c>
      <c r="I6296" t="s">
        <v>489</v>
      </c>
      <c r="J6296" t="s">
        <v>17</v>
      </c>
      <c r="K6296" t="str">
        <f>"1F7"</f>
        <v>1F7</v>
      </c>
      <c r="L6296" t="s">
        <v>15</v>
      </c>
    </row>
    <row r="6297" spans="1:12" x14ac:dyDescent="0.25">
      <c r="A6297" t="str">
        <f>"5506021895"</f>
        <v>5506021895</v>
      </c>
      <c r="B6297" t="str">
        <f t="shared" si="310"/>
        <v>89301000</v>
      </c>
      <c r="C6297" s="1">
        <v>44482</v>
      </c>
      <c r="D6297" s="1">
        <v>44483</v>
      </c>
      <c r="E6297">
        <v>1</v>
      </c>
      <c r="F6297" t="s">
        <v>1875</v>
      </c>
      <c r="G6297" t="str">
        <f>"05-D01-06"</f>
        <v>05-D01-06</v>
      </c>
      <c r="H6297">
        <v>0.7611</v>
      </c>
      <c r="J6297" t="s">
        <v>14</v>
      </c>
      <c r="K6297" t="str">
        <f>"1F7"</f>
        <v>1F7</v>
      </c>
      <c r="L6297" t="s">
        <v>15</v>
      </c>
    </row>
    <row r="6298" spans="1:12" x14ac:dyDescent="0.25">
      <c r="A6298" t="str">
        <f>"5506060758"</f>
        <v>5506060758</v>
      </c>
      <c r="B6298" t="str">
        <f t="shared" si="310"/>
        <v>89301000</v>
      </c>
      <c r="C6298" s="1">
        <v>44554</v>
      </c>
      <c r="D6298" s="1">
        <v>44561</v>
      </c>
      <c r="E6298">
        <v>1</v>
      </c>
      <c r="F6298" t="s">
        <v>1643</v>
      </c>
      <c r="G6298" t="str">
        <f>"08-I05-07"</f>
        <v>08-I05-07</v>
      </c>
      <c r="H6298">
        <v>1.9537</v>
      </c>
      <c r="I6298" t="s">
        <v>4604</v>
      </c>
      <c r="J6298" t="s">
        <v>17</v>
      </c>
      <c r="K6298" t="str">
        <f>"6F6"</f>
        <v>6F6</v>
      </c>
      <c r="L6298" t="s">
        <v>15</v>
      </c>
    </row>
    <row r="6299" spans="1:12" x14ac:dyDescent="0.25">
      <c r="A6299" t="str">
        <f>"5506061847"</f>
        <v>5506061847</v>
      </c>
      <c r="B6299" t="str">
        <f t="shared" si="310"/>
        <v>89301000</v>
      </c>
      <c r="C6299" s="1">
        <v>44335</v>
      </c>
      <c r="D6299" s="1">
        <v>44337</v>
      </c>
      <c r="E6299">
        <v>5</v>
      </c>
      <c r="F6299" t="s">
        <v>4605</v>
      </c>
      <c r="G6299" t="str">
        <f>"05-I21-02"</f>
        <v>05-I21-02</v>
      </c>
      <c r="H6299">
        <v>3.8491</v>
      </c>
      <c r="J6299" t="s">
        <v>14</v>
      </c>
      <c r="K6299" t="str">
        <f>"1F1"</f>
        <v>1F1</v>
      </c>
      <c r="L6299" t="s">
        <v>15</v>
      </c>
    </row>
    <row r="6300" spans="1:12" x14ac:dyDescent="0.25">
      <c r="A6300" t="str">
        <f>"5506112535"</f>
        <v>5506112535</v>
      </c>
      <c r="B6300" t="str">
        <f t="shared" si="310"/>
        <v>89301000</v>
      </c>
      <c r="C6300" s="1">
        <v>44207</v>
      </c>
      <c r="D6300" s="1">
        <v>44219</v>
      </c>
      <c r="E6300">
        <v>5</v>
      </c>
      <c r="F6300" t="s">
        <v>1553</v>
      </c>
      <c r="G6300" t="str">
        <f>"04-K05-02"</f>
        <v>04-K05-02</v>
      </c>
      <c r="H6300">
        <v>1.2657</v>
      </c>
      <c r="I6300" t="s">
        <v>4606</v>
      </c>
      <c r="J6300" t="s">
        <v>14</v>
      </c>
      <c r="K6300" t="str">
        <f>"1F5"</f>
        <v>1F5</v>
      </c>
      <c r="L6300" t="s">
        <v>15</v>
      </c>
    </row>
    <row r="6301" spans="1:12" x14ac:dyDescent="0.25">
      <c r="A6301" t="str">
        <f>"5506121676"</f>
        <v>5506121676</v>
      </c>
      <c r="B6301" t="str">
        <f t="shared" si="310"/>
        <v>89301000</v>
      </c>
      <c r="C6301" s="1">
        <v>44300</v>
      </c>
      <c r="D6301" s="1">
        <v>44334</v>
      </c>
      <c r="E6301">
        <v>4</v>
      </c>
      <c r="F6301" t="s">
        <v>2328</v>
      </c>
      <c r="G6301" t="str">
        <f>"08-I05-04"</f>
        <v>08-I05-04</v>
      </c>
      <c r="H6301">
        <v>4.4488000000000003</v>
      </c>
      <c r="I6301" t="s">
        <v>4607</v>
      </c>
      <c r="J6301" t="s">
        <v>17</v>
      </c>
      <c r="K6301" t="str">
        <f>"6F6"</f>
        <v>6F6</v>
      </c>
      <c r="L6301" t="s">
        <v>15</v>
      </c>
    </row>
    <row r="6302" spans="1:12" x14ac:dyDescent="0.25">
      <c r="A6302" t="str">
        <f>"5506130861"</f>
        <v>5506130861</v>
      </c>
      <c r="B6302" t="str">
        <f t="shared" si="310"/>
        <v>89301000</v>
      </c>
      <c r="C6302" s="1">
        <v>44454</v>
      </c>
      <c r="D6302" s="1">
        <v>44458</v>
      </c>
      <c r="E6302">
        <v>1</v>
      </c>
      <c r="F6302" t="s">
        <v>1991</v>
      </c>
      <c r="G6302" t="str">
        <f>"12-M02-02"</f>
        <v>12-M02-02</v>
      </c>
      <c r="H6302">
        <v>0.995</v>
      </c>
      <c r="I6302" t="s">
        <v>4608</v>
      </c>
      <c r="J6302" t="s">
        <v>24</v>
      </c>
      <c r="K6302" t="str">
        <f>"7F6"</f>
        <v>7F6</v>
      </c>
      <c r="L6302" t="s">
        <v>15</v>
      </c>
    </row>
    <row r="6303" spans="1:12" x14ac:dyDescent="0.25">
      <c r="A6303" t="str">
        <f>"5506141630"</f>
        <v>5506141630</v>
      </c>
      <c r="B6303" t="str">
        <f t="shared" si="310"/>
        <v>89301000</v>
      </c>
      <c r="C6303" s="1">
        <v>44494</v>
      </c>
      <c r="D6303" s="1">
        <v>44495</v>
      </c>
      <c r="E6303">
        <v>1</v>
      </c>
      <c r="F6303" t="s">
        <v>2457</v>
      </c>
      <c r="G6303" t="str">
        <f>"05-D01-08"</f>
        <v>05-D01-08</v>
      </c>
      <c r="H6303">
        <v>0.4093</v>
      </c>
      <c r="J6303" t="s">
        <v>14</v>
      </c>
      <c r="K6303" t="str">
        <f>"1F7"</f>
        <v>1F7</v>
      </c>
      <c r="L6303" t="s">
        <v>15</v>
      </c>
    </row>
    <row r="6304" spans="1:12" x14ac:dyDescent="0.25">
      <c r="A6304" t="str">
        <f>"5506231973"</f>
        <v>5506231973</v>
      </c>
      <c r="B6304" t="str">
        <f t="shared" si="310"/>
        <v>89301000</v>
      </c>
      <c r="C6304" s="1">
        <v>44246</v>
      </c>
      <c r="D6304" s="1">
        <v>44248</v>
      </c>
      <c r="E6304">
        <v>1</v>
      </c>
      <c r="F6304" t="s">
        <v>496</v>
      </c>
      <c r="G6304" t="str">
        <f>"08-M03-05"</f>
        <v>08-M03-05</v>
      </c>
      <c r="H6304">
        <v>0.51759999999999995</v>
      </c>
      <c r="I6304" t="s">
        <v>4609</v>
      </c>
      <c r="J6304" t="s">
        <v>14</v>
      </c>
      <c r="K6304" t="str">
        <f>"6F6"</f>
        <v>6F6</v>
      </c>
      <c r="L6304" t="s">
        <v>15</v>
      </c>
    </row>
    <row r="6305" spans="1:12" x14ac:dyDescent="0.25">
      <c r="A6305" t="str">
        <f>"5506241972"</f>
        <v>5506241972</v>
      </c>
      <c r="B6305" t="str">
        <f t="shared" si="310"/>
        <v>89301000</v>
      </c>
      <c r="C6305" s="1">
        <v>44321</v>
      </c>
      <c r="D6305" s="1">
        <v>44327</v>
      </c>
      <c r="E6305">
        <v>4</v>
      </c>
      <c r="F6305" t="s">
        <v>1968</v>
      </c>
      <c r="G6305" t="str">
        <f>"08-I05-04"</f>
        <v>08-I05-04</v>
      </c>
      <c r="H6305">
        <v>2.4581</v>
      </c>
      <c r="I6305" t="s">
        <v>3246</v>
      </c>
      <c r="J6305" t="s">
        <v>17</v>
      </c>
      <c r="K6305" t="str">
        <f>"6F6"</f>
        <v>6F6</v>
      </c>
      <c r="L6305" t="s">
        <v>15</v>
      </c>
    </row>
    <row r="6306" spans="1:12" x14ac:dyDescent="0.25">
      <c r="A6306" t="str">
        <f>"5506252378"</f>
        <v>5506252378</v>
      </c>
      <c r="B6306" t="str">
        <f t="shared" si="310"/>
        <v>89301000</v>
      </c>
      <c r="C6306" s="1">
        <v>44356</v>
      </c>
      <c r="D6306" s="1">
        <v>44359</v>
      </c>
      <c r="E6306">
        <v>1</v>
      </c>
      <c r="F6306" t="s">
        <v>4196</v>
      </c>
      <c r="G6306" t="str">
        <f>"08-M03-01"</f>
        <v>08-M03-01</v>
      </c>
      <c r="H6306">
        <v>1.0429999999999999</v>
      </c>
      <c r="J6306" t="s">
        <v>14</v>
      </c>
      <c r="K6306" t="str">
        <f>"6F6"</f>
        <v>6F6</v>
      </c>
      <c r="L6306" t="s">
        <v>15</v>
      </c>
    </row>
    <row r="6307" spans="1:12" x14ac:dyDescent="0.25">
      <c r="A6307" t="str">
        <f>"5506281759"</f>
        <v>5506281759</v>
      </c>
      <c r="B6307" t="str">
        <f t="shared" si="310"/>
        <v>89301000</v>
      </c>
      <c r="C6307" s="1">
        <v>44307</v>
      </c>
      <c r="D6307" s="1">
        <v>44316</v>
      </c>
      <c r="E6307">
        <v>1</v>
      </c>
      <c r="F6307" t="s">
        <v>1894</v>
      </c>
      <c r="G6307" t="str">
        <f>"01-K11-01"</f>
        <v>01-K11-01</v>
      </c>
      <c r="H6307">
        <v>2.3525999999999998</v>
      </c>
      <c r="I6307" t="s">
        <v>4610</v>
      </c>
      <c r="J6307" t="s">
        <v>14</v>
      </c>
      <c r="K6307" t="str">
        <f>"2F9"</f>
        <v>2F9</v>
      </c>
      <c r="L6307" t="s">
        <v>15</v>
      </c>
    </row>
    <row r="6308" spans="1:12" x14ac:dyDescent="0.25">
      <c r="A6308" t="str">
        <f>"5507022180"</f>
        <v>5507022180</v>
      </c>
      <c r="B6308" t="str">
        <f t="shared" si="310"/>
        <v>89301000</v>
      </c>
      <c r="C6308" s="1">
        <v>44291</v>
      </c>
      <c r="D6308" s="1">
        <v>44297</v>
      </c>
      <c r="E6308">
        <v>1</v>
      </c>
      <c r="F6308" t="s">
        <v>2585</v>
      </c>
      <c r="G6308" t="str">
        <f>"12-I02-01"</f>
        <v>12-I02-01</v>
      </c>
      <c r="H6308">
        <v>3.1240999999999999</v>
      </c>
      <c r="J6308" t="s">
        <v>14</v>
      </c>
      <c r="K6308" t="str">
        <f>"7F6"</f>
        <v>7F6</v>
      </c>
      <c r="L6308" t="s">
        <v>15</v>
      </c>
    </row>
    <row r="6309" spans="1:12" x14ac:dyDescent="0.25">
      <c r="A6309" t="str">
        <f>"5507080876"</f>
        <v>5507080876</v>
      </c>
      <c r="B6309" t="str">
        <f t="shared" si="310"/>
        <v>89301000</v>
      </c>
      <c r="C6309" s="1">
        <v>44283</v>
      </c>
      <c r="D6309" s="1">
        <v>44288</v>
      </c>
      <c r="E6309">
        <v>1</v>
      </c>
      <c r="F6309" t="s">
        <v>2232</v>
      </c>
      <c r="G6309" t="str">
        <f>"11-I07-01"</f>
        <v>11-I07-01</v>
      </c>
      <c r="H6309">
        <v>2.5975999999999999</v>
      </c>
      <c r="I6309" t="s">
        <v>4611</v>
      </c>
      <c r="J6309" t="s">
        <v>14</v>
      </c>
      <c r="K6309" t="str">
        <f>"7F6"</f>
        <v>7F6</v>
      </c>
      <c r="L6309" t="s">
        <v>15</v>
      </c>
    </row>
    <row r="6310" spans="1:12" x14ac:dyDescent="0.25">
      <c r="A6310" t="str">
        <f>"5507080876"</f>
        <v>5507080876</v>
      </c>
      <c r="B6310" t="str">
        <f t="shared" si="310"/>
        <v>89301000</v>
      </c>
      <c r="C6310" s="1">
        <v>44327</v>
      </c>
      <c r="D6310" s="1">
        <v>44331</v>
      </c>
      <c r="E6310">
        <v>1</v>
      </c>
      <c r="F6310" t="s">
        <v>2232</v>
      </c>
      <c r="G6310" t="str">
        <f>"11-I07-01"</f>
        <v>11-I07-01</v>
      </c>
      <c r="H6310">
        <v>2.5975999999999999</v>
      </c>
      <c r="I6310" t="s">
        <v>168</v>
      </c>
      <c r="J6310" t="s">
        <v>14</v>
      </c>
      <c r="K6310" t="str">
        <f>"7F6"</f>
        <v>7F6</v>
      </c>
      <c r="L6310" t="s">
        <v>15</v>
      </c>
    </row>
    <row r="6311" spans="1:12" x14ac:dyDescent="0.25">
      <c r="A6311" t="str">
        <f>"5507111434"</f>
        <v>5507111434</v>
      </c>
      <c r="B6311" t="str">
        <f t="shared" si="310"/>
        <v>89301000</v>
      </c>
      <c r="C6311" s="1">
        <v>44297</v>
      </c>
      <c r="D6311" s="1">
        <v>44299</v>
      </c>
      <c r="E6311">
        <v>8</v>
      </c>
      <c r="F6311" t="s">
        <v>4612</v>
      </c>
      <c r="G6311" t="str">
        <f>"17-K04-00"</f>
        <v>17-K04-00</v>
      </c>
      <c r="H6311">
        <v>0.86660000000000004</v>
      </c>
      <c r="I6311" t="s">
        <v>4613</v>
      </c>
      <c r="J6311" t="s">
        <v>14</v>
      </c>
      <c r="K6311" t="str">
        <f>"2F2"</f>
        <v>2F2</v>
      </c>
      <c r="L6311" t="s">
        <v>15</v>
      </c>
    </row>
    <row r="6312" spans="1:12" x14ac:dyDescent="0.25">
      <c r="A6312" t="str">
        <f>"5507111434"</f>
        <v>5507111434</v>
      </c>
      <c r="B6312" t="str">
        <f t="shared" si="310"/>
        <v>89301000</v>
      </c>
      <c r="C6312" s="1">
        <v>44264</v>
      </c>
      <c r="D6312" s="1">
        <v>44267</v>
      </c>
      <c r="E6312">
        <v>1</v>
      </c>
      <c r="F6312" t="s">
        <v>4612</v>
      </c>
      <c r="G6312" t="str">
        <f>"17-C05-09"</f>
        <v>17-C05-09</v>
      </c>
      <c r="H6312">
        <v>0.74960000000000004</v>
      </c>
      <c r="I6312" t="s">
        <v>2945</v>
      </c>
      <c r="J6312" t="s">
        <v>14</v>
      </c>
      <c r="K6312" t="str">
        <f>"2F2"</f>
        <v>2F2</v>
      </c>
      <c r="L6312" t="s">
        <v>15</v>
      </c>
    </row>
    <row r="6313" spans="1:12" x14ac:dyDescent="0.25">
      <c r="A6313" t="str">
        <f>"5507121499"</f>
        <v>5507121499</v>
      </c>
      <c r="B6313" t="str">
        <f t="shared" si="310"/>
        <v>89301000</v>
      </c>
      <c r="C6313" s="1">
        <v>44350</v>
      </c>
      <c r="D6313" s="1">
        <v>44356</v>
      </c>
      <c r="E6313">
        <v>1</v>
      </c>
      <c r="F6313" t="s">
        <v>2585</v>
      </c>
      <c r="G6313" t="str">
        <f>"12-I03-01"</f>
        <v>12-I03-01</v>
      </c>
      <c r="H6313">
        <v>2.6785999999999999</v>
      </c>
      <c r="I6313" t="s">
        <v>4614</v>
      </c>
      <c r="J6313" t="s">
        <v>14</v>
      </c>
      <c r="K6313" t="str">
        <f>"7F6"</f>
        <v>7F6</v>
      </c>
      <c r="L6313" t="s">
        <v>15</v>
      </c>
    </row>
    <row r="6314" spans="1:12" x14ac:dyDescent="0.25">
      <c r="A6314" t="str">
        <f>"5507141596"</f>
        <v>5507141596</v>
      </c>
      <c r="B6314" t="str">
        <f t="shared" si="310"/>
        <v>89301000</v>
      </c>
      <c r="C6314" s="1">
        <v>44335</v>
      </c>
      <c r="D6314" s="1">
        <v>44338</v>
      </c>
      <c r="E6314">
        <v>1</v>
      </c>
      <c r="F6314" t="s">
        <v>4615</v>
      </c>
      <c r="G6314" t="str">
        <f>"08-I23-02"</f>
        <v>08-I23-02</v>
      </c>
      <c r="H6314">
        <v>1.1923999999999999</v>
      </c>
      <c r="J6314" t="s">
        <v>17</v>
      </c>
      <c r="K6314" t="str">
        <f>"6F6"</f>
        <v>6F6</v>
      </c>
      <c r="L6314" t="s">
        <v>15</v>
      </c>
    </row>
    <row r="6315" spans="1:12" x14ac:dyDescent="0.25">
      <c r="A6315" t="str">
        <f>"5507206562"</f>
        <v>5507206562</v>
      </c>
      <c r="B6315" t="str">
        <f t="shared" si="310"/>
        <v>89301000</v>
      </c>
      <c r="C6315" s="1">
        <v>44540</v>
      </c>
      <c r="D6315" s="1">
        <v>44546</v>
      </c>
      <c r="E6315">
        <v>1</v>
      </c>
      <c r="F6315" t="s">
        <v>217</v>
      </c>
      <c r="G6315" t="str">
        <f>"04-K02-03"</f>
        <v>04-K02-03</v>
      </c>
      <c r="H6315">
        <v>1.2859</v>
      </c>
      <c r="I6315" t="s">
        <v>4616</v>
      </c>
      <c r="J6315" t="s">
        <v>14</v>
      </c>
      <c r="K6315" t="str">
        <f>"1F1"</f>
        <v>1F1</v>
      </c>
      <c r="L6315" t="s">
        <v>15</v>
      </c>
    </row>
    <row r="6316" spans="1:12" x14ac:dyDescent="0.25">
      <c r="A6316" t="str">
        <f>"5507206562"</f>
        <v>5507206562</v>
      </c>
      <c r="B6316" t="str">
        <f t="shared" si="310"/>
        <v>89301000</v>
      </c>
      <c r="C6316" s="1">
        <v>44412</v>
      </c>
      <c r="D6316" s="1">
        <v>44413</v>
      </c>
      <c r="E6316">
        <v>1</v>
      </c>
      <c r="F6316" t="s">
        <v>1557</v>
      </c>
      <c r="G6316" t="str">
        <f>"05-M06-08"</f>
        <v>05-M06-08</v>
      </c>
      <c r="H6316">
        <v>1.4719</v>
      </c>
      <c r="J6316" t="s">
        <v>17</v>
      </c>
      <c r="K6316" t="str">
        <f>"1F7"</f>
        <v>1F7</v>
      </c>
      <c r="L6316" t="s">
        <v>15</v>
      </c>
    </row>
    <row r="6317" spans="1:12" x14ac:dyDescent="0.25">
      <c r="A6317" t="str">
        <f>"5507206562"</f>
        <v>5507206562</v>
      </c>
      <c r="B6317" t="str">
        <f t="shared" si="310"/>
        <v>89301000</v>
      </c>
      <c r="C6317" s="1">
        <v>44397</v>
      </c>
      <c r="D6317" s="1">
        <v>44400</v>
      </c>
      <c r="E6317">
        <v>1</v>
      </c>
      <c r="F6317" t="s">
        <v>489</v>
      </c>
      <c r="G6317" t="str">
        <f>"05-K14-02"</f>
        <v>05-K14-02</v>
      </c>
      <c r="H6317">
        <v>0.8427</v>
      </c>
      <c r="I6317" t="s">
        <v>1600</v>
      </c>
      <c r="J6317" t="s">
        <v>14</v>
      </c>
      <c r="K6317" t="str">
        <f>"1F1"</f>
        <v>1F1</v>
      </c>
      <c r="L6317" t="s">
        <v>15</v>
      </c>
    </row>
    <row r="6318" spans="1:12" x14ac:dyDescent="0.25">
      <c r="A6318" t="str">
        <f>"5507241553"</f>
        <v>5507241553</v>
      </c>
      <c r="B6318" t="str">
        <f t="shared" si="310"/>
        <v>89301000</v>
      </c>
      <c r="C6318" s="1">
        <v>44515</v>
      </c>
      <c r="D6318" s="1">
        <v>44529</v>
      </c>
      <c r="E6318">
        <v>1</v>
      </c>
      <c r="F6318" t="s">
        <v>1188</v>
      </c>
      <c r="G6318" t="str">
        <f>"09-I05-02"</f>
        <v>09-I05-02</v>
      </c>
      <c r="H6318">
        <v>1.8446</v>
      </c>
      <c r="I6318" t="s">
        <v>4617</v>
      </c>
      <c r="J6318" t="s">
        <v>14</v>
      </c>
      <c r="K6318" t="str">
        <f>"5F1"</f>
        <v>5F1</v>
      </c>
      <c r="L6318" t="s">
        <v>15</v>
      </c>
    </row>
    <row r="6319" spans="1:12" x14ac:dyDescent="0.25">
      <c r="A6319" t="str">
        <f>"5507241663"</f>
        <v>5507241663</v>
      </c>
      <c r="B6319" t="str">
        <f t="shared" si="310"/>
        <v>89301000</v>
      </c>
      <c r="C6319" s="1">
        <v>44452</v>
      </c>
      <c r="D6319" s="1">
        <v>44456</v>
      </c>
      <c r="E6319">
        <v>1</v>
      </c>
      <c r="F6319" t="s">
        <v>79</v>
      </c>
      <c r="G6319" t="str">
        <f>"10-K06-00"</f>
        <v>10-K06-00</v>
      </c>
      <c r="H6319">
        <v>0.49630000000000002</v>
      </c>
      <c r="I6319" t="s">
        <v>4498</v>
      </c>
      <c r="J6319" t="s">
        <v>14</v>
      </c>
      <c r="K6319" t="str">
        <f>"4F7"</f>
        <v>4F7</v>
      </c>
      <c r="L6319" t="s">
        <v>15</v>
      </c>
    </row>
    <row r="6320" spans="1:12" x14ac:dyDescent="0.25">
      <c r="A6320" t="str">
        <f>"5507271451"</f>
        <v>5507271451</v>
      </c>
      <c r="B6320" t="str">
        <f t="shared" si="310"/>
        <v>89301000</v>
      </c>
      <c r="C6320" s="1">
        <v>44472</v>
      </c>
      <c r="D6320" s="1">
        <v>44475</v>
      </c>
      <c r="E6320">
        <v>4</v>
      </c>
      <c r="F6320" t="s">
        <v>3292</v>
      </c>
      <c r="G6320" t="str">
        <f>"08-K13-02"</f>
        <v>08-K13-02</v>
      </c>
      <c r="H6320">
        <v>0.47210000000000002</v>
      </c>
      <c r="I6320" t="s">
        <v>381</v>
      </c>
      <c r="J6320" t="s">
        <v>14</v>
      </c>
      <c r="K6320" t="str">
        <f>"5F3"</f>
        <v>5F3</v>
      </c>
      <c r="L6320" t="s">
        <v>15</v>
      </c>
    </row>
    <row r="6321" spans="1:12" x14ac:dyDescent="0.25">
      <c r="A6321" t="str">
        <f>"5508011828"</f>
        <v>5508011828</v>
      </c>
      <c r="B6321" t="str">
        <f t="shared" si="310"/>
        <v>89301000</v>
      </c>
      <c r="C6321" s="1">
        <v>44491</v>
      </c>
      <c r="D6321" s="1">
        <v>44492</v>
      </c>
      <c r="E6321">
        <v>1</v>
      </c>
      <c r="F6321" t="s">
        <v>1557</v>
      </c>
      <c r="G6321" t="str">
        <f>"05-D01-08"</f>
        <v>05-D01-08</v>
      </c>
      <c r="H6321">
        <v>0.4093</v>
      </c>
      <c r="I6321" t="s">
        <v>4618</v>
      </c>
      <c r="J6321" t="s">
        <v>14</v>
      </c>
      <c r="K6321" t="str">
        <f>"1F1"</f>
        <v>1F1</v>
      </c>
      <c r="L6321" t="s">
        <v>15</v>
      </c>
    </row>
    <row r="6322" spans="1:12" x14ac:dyDescent="0.25">
      <c r="A6322" t="str">
        <f>"5508041605"</f>
        <v>5508041605</v>
      </c>
      <c r="B6322" t="str">
        <f t="shared" si="310"/>
        <v>89301000</v>
      </c>
      <c r="C6322" s="1">
        <v>44288</v>
      </c>
      <c r="D6322" s="1">
        <v>44303</v>
      </c>
      <c r="E6322">
        <v>8</v>
      </c>
      <c r="F6322" t="s">
        <v>217</v>
      </c>
      <c r="G6322" t="str">
        <f>"00-M02-04"</f>
        <v>00-M02-04</v>
      </c>
      <c r="H6322">
        <v>12.071199999999999</v>
      </c>
      <c r="I6322" t="s">
        <v>4619</v>
      </c>
      <c r="J6322" t="s">
        <v>14</v>
      </c>
      <c r="K6322" t="str">
        <f>"1T1"</f>
        <v>1T1</v>
      </c>
      <c r="L6322" t="s">
        <v>15</v>
      </c>
    </row>
    <row r="6323" spans="1:12" x14ac:dyDescent="0.25">
      <c r="A6323" t="str">
        <f>"5508041781"</f>
        <v>5508041781</v>
      </c>
      <c r="B6323" t="str">
        <f t="shared" si="310"/>
        <v>89301000</v>
      </c>
      <c r="C6323" s="1">
        <v>44336</v>
      </c>
      <c r="D6323" s="1">
        <v>44341</v>
      </c>
      <c r="E6323">
        <v>1</v>
      </c>
      <c r="F6323" t="s">
        <v>2729</v>
      </c>
      <c r="G6323" t="str">
        <f>"04-K15-03"</f>
        <v>04-K15-03</v>
      </c>
      <c r="H6323">
        <v>0.49009999999999998</v>
      </c>
      <c r="J6323" t="s">
        <v>14</v>
      </c>
      <c r="K6323" t="str">
        <f>"2F5"</f>
        <v>2F5</v>
      </c>
      <c r="L6323" t="s">
        <v>15</v>
      </c>
    </row>
    <row r="6324" spans="1:12" x14ac:dyDescent="0.25">
      <c r="A6324" t="str">
        <f>"5508181833"</f>
        <v>5508181833</v>
      </c>
      <c r="B6324" t="str">
        <f t="shared" si="310"/>
        <v>89301000</v>
      </c>
      <c r="C6324" s="1">
        <v>44303</v>
      </c>
      <c r="D6324" s="1">
        <v>44330</v>
      </c>
      <c r="E6324">
        <v>7</v>
      </c>
      <c r="F6324" t="s">
        <v>217</v>
      </c>
      <c r="G6324" t="str">
        <f>"00-M01-03"</f>
        <v>00-M01-03</v>
      </c>
      <c r="H6324">
        <v>10.0288</v>
      </c>
      <c r="I6324" t="s">
        <v>4620</v>
      </c>
      <c r="J6324" t="s">
        <v>14</v>
      </c>
      <c r="K6324" t="str">
        <f>"7T8"</f>
        <v>7T8</v>
      </c>
      <c r="L6324" t="s">
        <v>15</v>
      </c>
    </row>
    <row r="6325" spans="1:12" x14ac:dyDescent="0.25">
      <c r="A6325" t="str">
        <f>"5508261594"</f>
        <v>5508261594</v>
      </c>
      <c r="B6325" t="str">
        <f t="shared" si="310"/>
        <v>89301000</v>
      </c>
      <c r="C6325" s="1">
        <v>44458</v>
      </c>
      <c r="D6325" s="1">
        <v>44466</v>
      </c>
      <c r="E6325">
        <v>1</v>
      </c>
      <c r="F6325" t="s">
        <v>998</v>
      </c>
      <c r="G6325" t="str">
        <f>"18-K01-06"</f>
        <v>18-K01-06</v>
      </c>
      <c r="H6325">
        <v>1.4033</v>
      </c>
      <c r="I6325" t="s">
        <v>4621</v>
      </c>
      <c r="J6325" t="s">
        <v>14</v>
      </c>
      <c r="K6325" t="str">
        <f>"1F1"</f>
        <v>1F1</v>
      </c>
      <c r="L6325" t="s">
        <v>15</v>
      </c>
    </row>
    <row r="6326" spans="1:12" x14ac:dyDescent="0.25">
      <c r="A6326" t="str">
        <f>"5508261594"</f>
        <v>5508261594</v>
      </c>
      <c r="B6326" t="str">
        <f t="shared" si="310"/>
        <v>89301000</v>
      </c>
      <c r="C6326" s="1">
        <v>44292</v>
      </c>
      <c r="D6326" s="1">
        <v>44295</v>
      </c>
      <c r="E6326">
        <v>1</v>
      </c>
      <c r="F6326" t="s">
        <v>1938</v>
      </c>
      <c r="G6326" t="str">
        <f>"11-K07-01"</f>
        <v>11-K07-01</v>
      </c>
      <c r="H6326">
        <v>1.0079</v>
      </c>
      <c r="I6326" t="s">
        <v>4622</v>
      </c>
      <c r="J6326" t="s">
        <v>14</v>
      </c>
      <c r="K6326" t="str">
        <f>"7F6"</f>
        <v>7F6</v>
      </c>
      <c r="L6326" t="s">
        <v>15</v>
      </c>
    </row>
    <row r="6327" spans="1:12" x14ac:dyDescent="0.25">
      <c r="A6327" t="str">
        <f>"5508261594"</f>
        <v>5508261594</v>
      </c>
      <c r="B6327" t="str">
        <f t="shared" si="310"/>
        <v>89301000</v>
      </c>
      <c r="C6327" s="1">
        <v>44557</v>
      </c>
      <c r="D6327" s="1">
        <v>44561</v>
      </c>
      <c r="E6327">
        <v>8</v>
      </c>
      <c r="F6327" t="s">
        <v>962</v>
      </c>
      <c r="G6327" t="str">
        <f>"04-M01-06"</f>
        <v>04-M01-06</v>
      </c>
      <c r="H6327">
        <v>3.5308999999999999</v>
      </c>
      <c r="I6327" t="s">
        <v>4623</v>
      </c>
      <c r="J6327" t="s">
        <v>14</v>
      </c>
      <c r="K6327" t="str">
        <f>"7T8"</f>
        <v>7T8</v>
      </c>
      <c r="L6327" t="s">
        <v>15</v>
      </c>
    </row>
    <row r="6328" spans="1:12" x14ac:dyDescent="0.25">
      <c r="A6328" t="str">
        <f>"5508261594"</f>
        <v>5508261594</v>
      </c>
      <c r="B6328" t="str">
        <f t="shared" si="310"/>
        <v>89301000</v>
      </c>
      <c r="C6328" s="1">
        <v>44538</v>
      </c>
      <c r="D6328" s="1">
        <v>44550</v>
      </c>
      <c r="E6328">
        <v>1</v>
      </c>
      <c r="F6328" t="s">
        <v>979</v>
      </c>
      <c r="G6328" t="str">
        <f>"04-K02-03"</f>
        <v>04-K02-03</v>
      </c>
      <c r="H6328">
        <v>1.2859</v>
      </c>
      <c r="I6328" t="s">
        <v>4624</v>
      </c>
      <c r="J6328" t="s">
        <v>14</v>
      </c>
      <c r="K6328" t="str">
        <f>"1F1"</f>
        <v>1F1</v>
      </c>
      <c r="L6328" t="s">
        <v>15</v>
      </c>
    </row>
    <row r="6329" spans="1:12" x14ac:dyDescent="0.25">
      <c r="A6329" t="str">
        <f>"5508261594"</f>
        <v>5508261594</v>
      </c>
      <c r="B6329" t="str">
        <f t="shared" si="310"/>
        <v>89301000</v>
      </c>
      <c r="C6329" s="1">
        <v>44252</v>
      </c>
      <c r="D6329" s="1">
        <v>44254</v>
      </c>
      <c r="E6329">
        <v>1</v>
      </c>
      <c r="F6329" t="s">
        <v>4625</v>
      </c>
      <c r="G6329" t="str">
        <f>"11-K09-00"</f>
        <v>11-K09-00</v>
      </c>
      <c r="H6329">
        <v>0.43959999999999999</v>
      </c>
      <c r="I6329" t="s">
        <v>4626</v>
      </c>
      <c r="J6329" t="s">
        <v>14</v>
      </c>
      <c r="K6329" t="str">
        <f>"7F6"</f>
        <v>7F6</v>
      </c>
      <c r="L6329" t="s">
        <v>15</v>
      </c>
    </row>
    <row r="6330" spans="1:12" x14ac:dyDescent="0.25">
      <c r="A6330" t="str">
        <f>"5509101983"</f>
        <v>5509101983</v>
      </c>
      <c r="B6330" t="str">
        <f t="shared" si="310"/>
        <v>89301000</v>
      </c>
      <c r="C6330" s="1">
        <v>44286</v>
      </c>
      <c r="D6330" s="1">
        <v>44295</v>
      </c>
      <c r="E6330">
        <v>1</v>
      </c>
      <c r="F6330" t="s">
        <v>217</v>
      </c>
      <c r="G6330" t="str">
        <f>"04-K02-04"</f>
        <v>04-K02-04</v>
      </c>
      <c r="H6330">
        <v>0.82469999999999999</v>
      </c>
      <c r="I6330" t="s">
        <v>274</v>
      </c>
      <c r="J6330" t="s">
        <v>14</v>
      </c>
      <c r="K6330" t="str">
        <f>"1F1"</f>
        <v>1F1</v>
      </c>
      <c r="L6330" t="s">
        <v>15</v>
      </c>
    </row>
    <row r="6331" spans="1:12" x14ac:dyDescent="0.25">
      <c r="A6331" t="str">
        <f>"5509120353"</f>
        <v>5509120353</v>
      </c>
      <c r="B6331" t="str">
        <f t="shared" si="310"/>
        <v>89301000</v>
      </c>
      <c r="C6331" s="1">
        <v>44461</v>
      </c>
      <c r="D6331" s="1">
        <v>44462</v>
      </c>
      <c r="E6331">
        <v>1</v>
      </c>
      <c r="F6331" t="s">
        <v>2239</v>
      </c>
      <c r="G6331" t="str">
        <f>"05-M05-03"</f>
        <v>05-M05-03</v>
      </c>
      <c r="H6331">
        <v>1.9991000000000001</v>
      </c>
      <c r="I6331" t="s">
        <v>1606</v>
      </c>
      <c r="J6331" t="s">
        <v>24</v>
      </c>
      <c r="K6331" t="str">
        <f>"1F1"</f>
        <v>1F1</v>
      </c>
      <c r="L6331" t="s">
        <v>15</v>
      </c>
    </row>
    <row r="6332" spans="1:12" x14ac:dyDescent="0.25">
      <c r="A6332" t="str">
        <f>"5509211928"</f>
        <v>5509211928</v>
      </c>
      <c r="B6332" t="str">
        <f t="shared" si="310"/>
        <v>89301000</v>
      </c>
      <c r="C6332" s="1">
        <v>44310</v>
      </c>
      <c r="D6332" s="1">
        <v>44313</v>
      </c>
      <c r="E6332">
        <v>6</v>
      </c>
      <c r="F6332" t="s">
        <v>67</v>
      </c>
      <c r="G6332" t="str">
        <f>"01-K10-03"</f>
        <v>01-K10-03</v>
      </c>
      <c r="H6332">
        <v>1.0016</v>
      </c>
      <c r="I6332" t="s">
        <v>4404</v>
      </c>
      <c r="J6332" t="s">
        <v>14</v>
      </c>
      <c r="K6332" t="str">
        <f>"2F9"</f>
        <v>2F9</v>
      </c>
      <c r="L6332" t="s">
        <v>15</v>
      </c>
    </row>
    <row r="6333" spans="1:12" x14ac:dyDescent="0.25">
      <c r="A6333" t="str">
        <f>"5509281272"</f>
        <v>5509281272</v>
      </c>
      <c r="B6333" t="str">
        <f t="shared" si="310"/>
        <v>89301000</v>
      </c>
      <c r="C6333" s="1">
        <v>44533</v>
      </c>
      <c r="D6333" s="1">
        <v>44545</v>
      </c>
      <c r="E6333">
        <v>5</v>
      </c>
      <c r="F6333" t="s">
        <v>217</v>
      </c>
      <c r="G6333" t="str">
        <f>"00-M01-04"</f>
        <v>00-M01-04</v>
      </c>
      <c r="H6333">
        <v>6.85</v>
      </c>
      <c r="I6333" t="s">
        <v>4627</v>
      </c>
      <c r="J6333" t="s">
        <v>14</v>
      </c>
      <c r="K6333" t="str">
        <f>"7T8"</f>
        <v>7T8</v>
      </c>
      <c r="L6333" t="s">
        <v>15</v>
      </c>
    </row>
    <row r="6334" spans="1:12" x14ac:dyDescent="0.25">
      <c r="A6334" t="str">
        <f>"5509291777"</f>
        <v>5509291777</v>
      </c>
      <c r="B6334" t="str">
        <f t="shared" si="310"/>
        <v>89301000</v>
      </c>
      <c r="C6334" s="1">
        <v>44267</v>
      </c>
      <c r="D6334" s="1">
        <v>44271</v>
      </c>
      <c r="E6334">
        <v>1</v>
      </c>
      <c r="F6334" t="s">
        <v>475</v>
      </c>
      <c r="G6334" t="str">
        <f>"10-K04-04"</f>
        <v>10-K04-04</v>
      </c>
      <c r="H6334">
        <v>0.56330000000000002</v>
      </c>
      <c r="I6334" t="s">
        <v>4628</v>
      </c>
      <c r="J6334" t="s">
        <v>14</v>
      </c>
      <c r="K6334" t="str">
        <f>"1F1"</f>
        <v>1F1</v>
      </c>
      <c r="L6334" t="s">
        <v>15</v>
      </c>
    </row>
    <row r="6335" spans="1:12" x14ac:dyDescent="0.25">
      <c r="A6335" t="str">
        <f>"5510012409"</f>
        <v>5510012409</v>
      </c>
      <c r="B6335" t="str">
        <f t="shared" si="310"/>
        <v>89301000</v>
      </c>
      <c r="C6335" s="1">
        <v>44494</v>
      </c>
      <c r="D6335" s="1">
        <v>44495</v>
      </c>
      <c r="E6335">
        <v>1</v>
      </c>
      <c r="F6335" t="s">
        <v>41</v>
      </c>
      <c r="G6335" t="str">
        <f>"01-D01-03"</f>
        <v>01-D01-03</v>
      </c>
      <c r="H6335">
        <v>0.158</v>
      </c>
      <c r="I6335" t="s">
        <v>4629</v>
      </c>
      <c r="J6335" t="s">
        <v>14</v>
      </c>
      <c r="K6335" t="str">
        <f>"2F5"</f>
        <v>2F5</v>
      </c>
      <c r="L6335" t="s">
        <v>15</v>
      </c>
    </row>
    <row r="6336" spans="1:12" x14ac:dyDescent="0.25">
      <c r="A6336" t="str">
        <f>"5510051272"</f>
        <v>5510051272</v>
      </c>
      <c r="B6336" t="str">
        <f t="shared" ref="B6336:B6399" si="311">"89301000"</f>
        <v>89301000</v>
      </c>
      <c r="C6336" s="1">
        <v>44472</v>
      </c>
      <c r="D6336" s="1">
        <v>44483</v>
      </c>
      <c r="E6336">
        <v>4</v>
      </c>
      <c r="F6336" t="s">
        <v>4630</v>
      </c>
      <c r="G6336" t="str">
        <f>"21-K06-00"</f>
        <v>21-K06-00</v>
      </c>
      <c r="H6336">
        <v>1.0491999999999999</v>
      </c>
      <c r="I6336" t="s">
        <v>4631</v>
      </c>
      <c r="J6336" t="s">
        <v>14</v>
      </c>
      <c r="K6336" t="str">
        <f>"6F6"</f>
        <v>6F6</v>
      </c>
      <c r="L6336" t="s">
        <v>15</v>
      </c>
    </row>
    <row r="6337" spans="1:12" x14ac:dyDescent="0.25">
      <c r="A6337" t="str">
        <f>"5510051272"</f>
        <v>5510051272</v>
      </c>
      <c r="B6337" t="str">
        <f t="shared" si="311"/>
        <v>89301000</v>
      </c>
      <c r="C6337" s="1">
        <v>44250</v>
      </c>
      <c r="D6337" s="1">
        <v>44271</v>
      </c>
      <c r="E6337">
        <v>4</v>
      </c>
      <c r="F6337" t="s">
        <v>217</v>
      </c>
      <c r="G6337" t="str">
        <f>"00-M02-04"</f>
        <v>00-M02-04</v>
      </c>
      <c r="H6337">
        <v>12.071199999999999</v>
      </c>
      <c r="I6337" t="s">
        <v>4632</v>
      </c>
      <c r="J6337" t="s">
        <v>14</v>
      </c>
      <c r="K6337" t="str">
        <f>"2F5"</f>
        <v>2F5</v>
      </c>
      <c r="L6337" t="s">
        <v>15</v>
      </c>
    </row>
    <row r="6338" spans="1:12" x14ac:dyDescent="0.25">
      <c r="A6338" t="str">
        <f>"5510112069"</f>
        <v>5510112069</v>
      </c>
      <c r="B6338" t="str">
        <f t="shared" si="311"/>
        <v>89301000</v>
      </c>
      <c r="C6338" s="1">
        <v>44215</v>
      </c>
      <c r="D6338" s="1">
        <v>44221</v>
      </c>
      <c r="E6338">
        <v>1</v>
      </c>
      <c r="F6338" t="s">
        <v>2585</v>
      </c>
      <c r="G6338" t="str">
        <f>"12-I02-01"</f>
        <v>12-I02-01</v>
      </c>
      <c r="H6338">
        <v>3.1240999999999999</v>
      </c>
      <c r="I6338" t="s">
        <v>4544</v>
      </c>
      <c r="J6338" t="s">
        <v>14</v>
      </c>
      <c r="K6338" t="str">
        <f>"7F6"</f>
        <v>7F6</v>
      </c>
      <c r="L6338" t="s">
        <v>15</v>
      </c>
    </row>
    <row r="6339" spans="1:12" x14ac:dyDescent="0.25">
      <c r="A6339" t="str">
        <f>"5510131748"</f>
        <v>5510131748</v>
      </c>
      <c r="B6339" t="str">
        <f t="shared" si="311"/>
        <v>89301000</v>
      </c>
      <c r="C6339" s="1">
        <v>44337</v>
      </c>
      <c r="D6339" s="1">
        <v>44340</v>
      </c>
      <c r="E6339">
        <v>1</v>
      </c>
      <c r="F6339" t="s">
        <v>1704</v>
      </c>
      <c r="G6339" t="str">
        <f>"23-K05-02"</f>
        <v>23-K05-02</v>
      </c>
      <c r="H6339">
        <v>0.4425</v>
      </c>
      <c r="I6339" t="s">
        <v>4633</v>
      </c>
      <c r="J6339" t="s">
        <v>14</v>
      </c>
      <c r="K6339" t="str">
        <f>"7F5"</f>
        <v>7F5</v>
      </c>
      <c r="L6339" t="s">
        <v>15</v>
      </c>
    </row>
    <row r="6340" spans="1:12" x14ac:dyDescent="0.25">
      <c r="A6340" t="str">
        <f>"5510136456"</f>
        <v>5510136456</v>
      </c>
      <c r="B6340" t="str">
        <f t="shared" si="311"/>
        <v>89301000</v>
      </c>
      <c r="C6340" s="1">
        <v>44509</v>
      </c>
      <c r="D6340" s="1">
        <v>44511</v>
      </c>
      <c r="E6340">
        <v>1</v>
      </c>
      <c r="F6340" t="s">
        <v>2004</v>
      </c>
      <c r="G6340" t="str">
        <f>"05-M06-06"</f>
        <v>05-M06-06</v>
      </c>
      <c r="H6340">
        <v>1.7652000000000001</v>
      </c>
      <c r="I6340" t="s">
        <v>3460</v>
      </c>
      <c r="J6340" t="s">
        <v>17</v>
      </c>
      <c r="K6340" t="str">
        <f>"1F1"</f>
        <v>1F1</v>
      </c>
      <c r="L6340" t="s">
        <v>15</v>
      </c>
    </row>
    <row r="6341" spans="1:12" x14ac:dyDescent="0.25">
      <c r="A6341" t="str">
        <f>"5510150569"</f>
        <v>5510150569</v>
      </c>
      <c r="B6341" t="str">
        <f t="shared" si="311"/>
        <v>89301000</v>
      </c>
      <c r="C6341" s="1">
        <v>44339</v>
      </c>
      <c r="D6341" s="1">
        <v>44345</v>
      </c>
      <c r="E6341">
        <v>1</v>
      </c>
      <c r="F6341" t="s">
        <v>2350</v>
      </c>
      <c r="G6341" t="str">
        <f>"01-I09-02"</f>
        <v>01-I09-02</v>
      </c>
      <c r="H6341">
        <v>1.5302</v>
      </c>
      <c r="I6341" t="s">
        <v>2321</v>
      </c>
      <c r="J6341" t="s">
        <v>17</v>
      </c>
      <c r="K6341" t="str">
        <f>"5F1"</f>
        <v>5F1</v>
      </c>
      <c r="L6341" t="s">
        <v>15</v>
      </c>
    </row>
    <row r="6342" spans="1:12" x14ac:dyDescent="0.25">
      <c r="A6342" t="str">
        <f>"5510151460"</f>
        <v>5510151460</v>
      </c>
      <c r="B6342" t="str">
        <f t="shared" si="311"/>
        <v>89301000</v>
      </c>
      <c r="C6342" s="1">
        <v>44448</v>
      </c>
      <c r="D6342" s="1">
        <v>44454</v>
      </c>
      <c r="E6342">
        <v>1</v>
      </c>
      <c r="F6342" t="s">
        <v>4634</v>
      </c>
      <c r="G6342" t="str">
        <f>"07-K11-03"</f>
        <v>07-K11-03</v>
      </c>
      <c r="H6342">
        <v>0.41060000000000002</v>
      </c>
      <c r="I6342" t="s">
        <v>4635</v>
      </c>
      <c r="J6342" t="s">
        <v>14</v>
      </c>
      <c r="K6342" t="str">
        <f>"1F1"</f>
        <v>1F1</v>
      </c>
      <c r="L6342" t="s">
        <v>15</v>
      </c>
    </row>
    <row r="6343" spans="1:12" x14ac:dyDescent="0.25">
      <c r="A6343" t="str">
        <f>"5510202203"</f>
        <v>5510202203</v>
      </c>
      <c r="B6343" t="str">
        <f t="shared" si="311"/>
        <v>89301000</v>
      </c>
      <c r="C6343" s="1">
        <v>44332</v>
      </c>
      <c r="D6343" s="1">
        <v>44332</v>
      </c>
      <c r="E6343">
        <v>7</v>
      </c>
      <c r="F6343" t="s">
        <v>883</v>
      </c>
      <c r="G6343" t="str">
        <f>"06-K20-03"</f>
        <v>06-K20-03</v>
      </c>
      <c r="H6343">
        <v>0.23599999999999999</v>
      </c>
      <c r="I6343" t="s">
        <v>2095</v>
      </c>
      <c r="J6343" t="s">
        <v>14</v>
      </c>
      <c r="K6343" t="str">
        <f>"1F1"</f>
        <v>1F1</v>
      </c>
      <c r="L6343" t="s">
        <v>15</v>
      </c>
    </row>
    <row r="6344" spans="1:12" x14ac:dyDescent="0.25">
      <c r="A6344" t="str">
        <f>"5510211388"</f>
        <v>5510211388</v>
      </c>
      <c r="B6344" t="str">
        <f t="shared" si="311"/>
        <v>89301000</v>
      </c>
      <c r="C6344" s="1">
        <v>44301</v>
      </c>
      <c r="D6344" s="1">
        <v>44301</v>
      </c>
      <c r="E6344">
        <v>1</v>
      </c>
      <c r="F6344" t="s">
        <v>1814</v>
      </c>
      <c r="G6344" t="str">
        <f>"05-D01-08"</f>
        <v>05-D01-08</v>
      </c>
      <c r="H6344">
        <v>0.21890000000000001</v>
      </c>
      <c r="I6344" t="s">
        <v>2183</v>
      </c>
      <c r="J6344" t="s">
        <v>14</v>
      </c>
      <c r="K6344" t="str">
        <f>"1F1"</f>
        <v>1F1</v>
      </c>
      <c r="L6344" t="s">
        <v>15</v>
      </c>
    </row>
    <row r="6345" spans="1:12" x14ac:dyDescent="0.25">
      <c r="A6345" t="str">
        <f>"5510211388"</f>
        <v>5510211388</v>
      </c>
      <c r="B6345" t="str">
        <f t="shared" si="311"/>
        <v>89301000</v>
      </c>
      <c r="C6345" s="1">
        <v>44550</v>
      </c>
      <c r="D6345" s="1">
        <v>44558</v>
      </c>
      <c r="E6345">
        <v>1</v>
      </c>
      <c r="F6345" t="s">
        <v>3671</v>
      </c>
      <c r="G6345" t="str">
        <f>"06-M01-03"</f>
        <v>06-M01-03</v>
      </c>
      <c r="H6345">
        <v>0.82450000000000001</v>
      </c>
      <c r="I6345" t="s">
        <v>4636</v>
      </c>
      <c r="J6345" t="s">
        <v>14</v>
      </c>
      <c r="K6345" t="str">
        <f>"1F1"</f>
        <v>1F1</v>
      </c>
      <c r="L6345" t="s">
        <v>15</v>
      </c>
    </row>
    <row r="6346" spans="1:12" x14ac:dyDescent="0.25">
      <c r="A6346" t="str">
        <f>"5510281117"</f>
        <v>5510281117</v>
      </c>
      <c r="B6346" t="str">
        <f t="shared" si="311"/>
        <v>89301000</v>
      </c>
      <c r="C6346" s="1">
        <v>44446</v>
      </c>
      <c r="D6346" s="1">
        <v>44449</v>
      </c>
      <c r="E6346">
        <v>1</v>
      </c>
      <c r="F6346" t="s">
        <v>1683</v>
      </c>
      <c r="G6346" t="str">
        <f>"05-M06-06"</f>
        <v>05-M06-06</v>
      </c>
      <c r="H6346">
        <v>1.8593</v>
      </c>
      <c r="I6346" t="s">
        <v>2250</v>
      </c>
      <c r="J6346" t="s">
        <v>17</v>
      </c>
      <c r="K6346" t="str">
        <f>"1F7"</f>
        <v>1F7</v>
      </c>
      <c r="L6346" t="s">
        <v>15</v>
      </c>
    </row>
    <row r="6347" spans="1:12" x14ac:dyDescent="0.25">
      <c r="A6347" t="str">
        <f>"5510301610"</f>
        <v>5510301610</v>
      </c>
      <c r="B6347" t="str">
        <f t="shared" si="311"/>
        <v>89301000</v>
      </c>
      <c r="C6347" s="1">
        <v>44460</v>
      </c>
      <c r="D6347" s="1">
        <v>44461</v>
      </c>
      <c r="E6347">
        <v>1</v>
      </c>
      <c r="F6347" t="s">
        <v>3027</v>
      </c>
      <c r="G6347" t="str">
        <f>"03-K09-01"</f>
        <v>03-K09-01</v>
      </c>
      <c r="H6347">
        <v>0.59919999999999995</v>
      </c>
      <c r="I6347" t="s">
        <v>4637</v>
      </c>
      <c r="J6347" t="s">
        <v>14</v>
      </c>
      <c r="K6347" t="str">
        <f>"7F1"</f>
        <v>7F1</v>
      </c>
      <c r="L6347" t="s">
        <v>15</v>
      </c>
    </row>
    <row r="6348" spans="1:12" x14ac:dyDescent="0.25">
      <c r="A6348" t="str">
        <f>"5511020658"</f>
        <v>5511020658</v>
      </c>
      <c r="B6348" t="str">
        <f t="shared" si="311"/>
        <v>89301000</v>
      </c>
      <c r="C6348" s="1">
        <v>44446</v>
      </c>
      <c r="D6348" s="1">
        <v>44452</v>
      </c>
      <c r="E6348">
        <v>4</v>
      </c>
      <c r="F6348" t="s">
        <v>2407</v>
      </c>
      <c r="G6348" t="str">
        <f>"08-I06-04"</f>
        <v>08-I06-04</v>
      </c>
      <c r="H6348">
        <v>2.4260000000000002</v>
      </c>
      <c r="I6348" t="s">
        <v>4638</v>
      </c>
      <c r="J6348" t="s">
        <v>24</v>
      </c>
      <c r="K6348" t="str">
        <f>"6F6"</f>
        <v>6F6</v>
      </c>
      <c r="L6348" t="s">
        <v>15</v>
      </c>
    </row>
    <row r="6349" spans="1:12" x14ac:dyDescent="0.25">
      <c r="A6349" t="str">
        <f>"5511061182"</f>
        <v>5511061182</v>
      </c>
      <c r="B6349" t="str">
        <f t="shared" si="311"/>
        <v>89301000</v>
      </c>
      <c r="C6349" s="1">
        <v>44334</v>
      </c>
      <c r="D6349" s="1">
        <v>44336</v>
      </c>
      <c r="E6349">
        <v>8</v>
      </c>
      <c r="F6349" t="s">
        <v>1721</v>
      </c>
      <c r="G6349" t="str">
        <f>"11-K02-01"</f>
        <v>11-K02-01</v>
      </c>
      <c r="H6349">
        <v>1.3351999999999999</v>
      </c>
      <c r="I6349" t="s">
        <v>4639</v>
      </c>
      <c r="J6349" t="s">
        <v>14</v>
      </c>
      <c r="K6349" t="str">
        <f>"1T1"</f>
        <v>1T1</v>
      </c>
      <c r="L6349" t="s">
        <v>15</v>
      </c>
    </row>
    <row r="6350" spans="1:12" x14ac:dyDescent="0.25">
      <c r="A6350" t="str">
        <f>"5511130988"</f>
        <v>5511130988</v>
      </c>
      <c r="B6350" t="str">
        <f t="shared" si="311"/>
        <v>89301000</v>
      </c>
      <c r="C6350" s="1">
        <v>44544</v>
      </c>
      <c r="D6350" s="1">
        <v>44546</v>
      </c>
      <c r="E6350">
        <v>3</v>
      </c>
      <c r="F6350" t="s">
        <v>1699</v>
      </c>
      <c r="G6350" t="str">
        <f>"01-K10-03"</f>
        <v>01-K10-03</v>
      </c>
      <c r="H6350">
        <v>1.0016</v>
      </c>
      <c r="I6350" t="s">
        <v>2036</v>
      </c>
      <c r="J6350" t="s">
        <v>14</v>
      </c>
      <c r="K6350" t="str">
        <f>"2F9"</f>
        <v>2F9</v>
      </c>
      <c r="L6350" t="s">
        <v>15</v>
      </c>
    </row>
    <row r="6351" spans="1:12" x14ac:dyDescent="0.25">
      <c r="A6351" t="str">
        <f>"5511130988"</f>
        <v>5511130988</v>
      </c>
      <c r="B6351" t="str">
        <f t="shared" si="311"/>
        <v>89301000</v>
      </c>
      <c r="C6351" s="1">
        <v>44546</v>
      </c>
      <c r="D6351" s="1">
        <v>44551</v>
      </c>
      <c r="E6351">
        <v>1</v>
      </c>
      <c r="F6351" t="s">
        <v>109</v>
      </c>
      <c r="G6351" t="str">
        <f>"24-M05-01"</f>
        <v>24-M05-01</v>
      </c>
      <c r="H6351">
        <v>0.64190000000000003</v>
      </c>
      <c r="I6351" t="s">
        <v>2793</v>
      </c>
      <c r="J6351" t="s">
        <v>14</v>
      </c>
      <c r="K6351" t="str">
        <f>"2F1"</f>
        <v>2F1</v>
      </c>
      <c r="L6351" t="s">
        <v>15</v>
      </c>
    </row>
    <row r="6352" spans="1:12" x14ac:dyDescent="0.25">
      <c r="A6352" t="str">
        <f>"5511211079"</f>
        <v>5511211079</v>
      </c>
      <c r="B6352" t="str">
        <f t="shared" si="311"/>
        <v>89301000</v>
      </c>
      <c r="C6352" s="1">
        <v>44440</v>
      </c>
      <c r="D6352" s="1">
        <v>44441</v>
      </c>
      <c r="E6352">
        <v>6</v>
      </c>
      <c r="F6352" t="s">
        <v>1928</v>
      </c>
      <c r="G6352" t="str">
        <f>"11-M02-07"</f>
        <v>11-M02-07</v>
      </c>
      <c r="H6352">
        <v>0.54039999999999999</v>
      </c>
      <c r="I6352" t="s">
        <v>2428</v>
      </c>
      <c r="J6352" t="s">
        <v>14</v>
      </c>
      <c r="K6352" t="str">
        <f>"5F1"</f>
        <v>5F1</v>
      </c>
      <c r="L6352" t="s">
        <v>15</v>
      </c>
    </row>
    <row r="6353" spans="1:12" x14ac:dyDescent="0.25">
      <c r="A6353" t="str">
        <f>"5511231110"</f>
        <v>5511231110</v>
      </c>
      <c r="B6353" t="str">
        <f t="shared" si="311"/>
        <v>89301000</v>
      </c>
      <c r="C6353" s="1">
        <v>44397</v>
      </c>
      <c r="D6353" s="1">
        <v>44401</v>
      </c>
      <c r="E6353">
        <v>1</v>
      </c>
      <c r="F6353" t="s">
        <v>2350</v>
      </c>
      <c r="G6353" t="str">
        <f>"01-I09-02"</f>
        <v>01-I09-02</v>
      </c>
      <c r="H6353">
        <v>1.5302</v>
      </c>
      <c r="I6353" t="s">
        <v>2119</v>
      </c>
      <c r="J6353" t="s">
        <v>17</v>
      </c>
      <c r="K6353" t="str">
        <f>"5F6"</f>
        <v>5F6</v>
      </c>
      <c r="L6353" t="s">
        <v>15</v>
      </c>
    </row>
    <row r="6354" spans="1:12" x14ac:dyDescent="0.25">
      <c r="A6354" t="str">
        <f>"5511271777"</f>
        <v>5511271777</v>
      </c>
      <c r="B6354" t="str">
        <f t="shared" si="311"/>
        <v>89301000</v>
      </c>
      <c r="C6354" s="1">
        <v>44493</v>
      </c>
      <c r="D6354" s="1">
        <v>44495</v>
      </c>
      <c r="E6354">
        <v>1</v>
      </c>
      <c r="F6354" t="s">
        <v>1545</v>
      </c>
      <c r="G6354" t="str">
        <f>"05-I14-04"</f>
        <v>05-I14-04</v>
      </c>
      <c r="H6354">
        <v>5.4002999999999997</v>
      </c>
      <c r="I6354" t="s">
        <v>1602</v>
      </c>
      <c r="J6354" t="s">
        <v>14</v>
      </c>
      <c r="K6354" t="str">
        <f>"1F1"</f>
        <v>1F1</v>
      </c>
      <c r="L6354" t="s">
        <v>15</v>
      </c>
    </row>
    <row r="6355" spans="1:12" x14ac:dyDescent="0.25">
      <c r="A6355" t="str">
        <f>"5512010966"</f>
        <v>5512010966</v>
      </c>
      <c r="B6355" t="str">
        <f t="shared" si="311"/>
        <v>89301000</v>
      </c>
      <c r="C6355" s="1">
        <v>44508</v>
      </c>
      <c r="D6355" s="1">
        <v>44509</v>
      </c>
      <c r="E6355">
        <v>1</v>
      </c>
      <c r="F6355" t="s">
        <v>4640</v>
      </c>
      <c r="G6355" t="str">
        <f>"03-I22-03"</f>
        <v>03-I22-03</v>
      </c>
      <c r="H6355">
        <v>0.49049999999999999</v>
      </c>
      <c r="I6355" t="s">
        <v>4641</v>
      </c>
      <c r="J6355" t="s">
        <v>14</v>
      </c>
      <c r="K6355" t="str">
        <f>"7F1"</f>
        <v>7F1</v>
      </c>
      <c r="L6355" t="s">
        <v>15</v>
      </c>
    </row>
    <row r="6356" spans="1:12" x14ac:dyDescent="0.25">
      <c r="A6356" t="str">
        <f>"5512021427"</f>
        <v>5512021427</v>
      </c>
      <c r="B6356" t="str">
        <f t="shared" si="311"/>
        <v>89301000</v>
      </c>
      <c r="C6356" s="1">
        <v>44377</v>
      </c>
      <c r="D6356" s="1">
        <v>44385</v>
      </c>
      <c r="E6356">
        <v>1</v>
      </c>
      <c r="F6356" t="s">
        <v>2433</v>
      </c>
      <c r="G6356" t="str">
        <f>"09-K04-02"</f>
        <v>09-K04-02</v>
      </c>
      <c r="H6356">
        <v>0.68279999999999996</v>
      </c>
      <c r="I6356" t="s">
        <v>2216</v>
      </c>
      <c r="J6356" t="s">
        <v>14</v>
      </c>
      <c r="K6356" t="str">
        <f>"4F4"</f>
        <v>4F4</v>
      </c>
      <c r="L6356" t="s">
        <v>15</v>
      </c>
    </row>
    <row r="6357" spans="1:12" x14ac:dyDescent="0.25">
      <c r="A6357" t="str">
        <f>"5512021427"</f>
        <v>5512021427</v>
      </c>
      <c r="B6357" t="str">
        <f t="shared" si="311"/>
        <v>89301000</v>
      </c>
      <c r="C6357" s="1">
        <v>44350</v>
      </c>
      <c r="D6357" s="1">
        <v>44356</v>
      </c>
      <c r="E6357">
        <v>1</v>
      </c>
      <c r="F6357" t="s">
        <v>2433</v>
      </c>
      <c r="G6357" t="str">
        <f>"09-K04-02"</f>
        <v>09-K04-02</v>
      </c>
      <c r="H6357">
        <v>0.68279999999999996</v>
      </c>
      <c r="I6357" t="s">
        <v>4642</v>
      </c>
      <c r="J6357" t="s">
        <v>14</v>
      </c>
      <c r="K6357" t="str">
        <f>"4F4"</f>
        <v>4F4</v>
      </c>
      <c r="L6357" t="s">
        <v>15</v>
      </c>
    </row>
    <row r="6358" spans="1:12" x14ac:dyDescent="0.25">
      <c r="A6358" t="str">
        <f>"5512041238"</f>
        <v>5512041238</v>
      </c>
      <c r="B6358" t="str">
        <f t="shared" si="311"/>
        <v>89301000</v>
      </c>
      <c r="C6358" s="1">
        <v>44496</v>
      </c>
      <c r="D6358" s="1">
        <v>44504</v>
      </c>
      <c r="E6358">
        <v>1</v>
      </c>
      <c r="F6358" t="s">
        <v>1902</v>
      </c>
      <c r="G6358" t="str">
        <f>"09-K02-00"</f>
        <v>09-K02-00</v>
      </c>
      <c r="H6358">
        <v>1.1361000000000001</v>
      </c>
      <c r="I6358" t="s">
        <v>4643</v>
      </c>
      <c r="J6358" t="s">
        <v>14</v>
      </c>
      <c r="K6358" t="str">
        <f>"4F4"</f>
        <v>4F4</v>
      </c>
      <c r="L6358" t="s">
        <v>15</v>
      </c>
    </row>
    <row r="6359" spans="1:12" x14ac:dyDescent="0.25">
      <c r="A6359" t="str">
        <f>"5512071059"</f>
        <v>5512071059</v>
      </c>
      <c r="B6359" t="str">
        <f t="shared" si="311"/>
        <v>89301000</v>
      </c>
      <c r="C6359" s="1">
        <v>44480</v>
      </c>
      <c r="D6359" s="1">
        <v>44481</v>
      </c>
      <c r="E6359">
        <v>1</v>
      </c>
      <c r="F6359" t="s">
        <v>1557</v>
      </c>
      <c r="G6359" t="str">
        <f>"05-D01-08"</f>
        <v>05-D01-08</v>
      </c>
      <c r="H6359">
        <v>0.4093</v>
      </c>
      <c r="I6359" t="s">
        <v>1892</v>
      </c>
      <c r="J6359" t="s">
        <v>14</v>
      </c>
      <c r="K6359" t="str">
        <f>"1F1"</f>
        <v>1F1</v>
      </c>
      <c r="L6359" t="s">
        <v>15</v>
      </c>
    </row>
    <row r="6360" spans="1:12" x14ac:dyDescent="0.25">
      <c r="A6360" t="str">
        <f>"5512071961"</f>
        <v>5512071961</v>
      </c>
      <c r="B6360" t="str">
        <f t="shared" si="311"/>
        <v>89301000</v>
      </c>
      <c r="C6360" s="1">
        <v>44450</v>
      </c>
      <c r="D6360" s="1">
        <v>44455</v>
      </c>
      <c r="E6360">
        <v>1</v>
      </c>
      <c r="F6360" t="s">
        <v>396</v>
      </c>
      <c r="G6360" t="str">
        <f>"08-I16-02"</f>
        <v>08-I16-02</v>
      </c>
      <c r="H6360">
        <v>1.8051999999999999</v>
      </c>
      <c r="I6360" t="s">
        <v>381</v>
      </c>
      <c r="J6360" t="s">
        <v>17</v>
      </c>
      <c r="K6360" t="str">
        <f>"5F3"</f>
        <v>5F3</v>
      </c>
      <c r="L6360" t="s">
        <v>15</v>
      </c>
    </row>
    <row r="6361" spans="1:12" x14ac:dyDescent="0.25">
      <c r="A6361" t="str">
        <f>"5512091552"</f>
        <v>5512091552</v>
      </c>
      <c r="B6361" t="str">
        <f t="shared" si="311"/>
        <v>89301000</v>
      </c>
      <c r="C6361" s="1">
        <v>44219</v>
      </c>
      <c r="D6361" s="1">
        <v>44228</v>
      </c>
      <c r="E6361">
        <v>1</v>
      </c>
      <c r="F6361" t="s">
        <v>1026</v>
      </c>
      <c r="G6361" t="str">
        <f>"04-K02-04"</f>
        <v>04-K02-04</v>
      </c>
      <c r="H6361">
        <v>0.82469999999999999</v>
      </c>
      <c r="I6361" t="s">
        <v>274</v>
      </c>
      <c r="J6361" t="s">
        <v>14</v>
      </c>
      <c r="K6361" t="str">
        <f>"1F1"</f>
        <v>1F1</v>
      </c>
      <c r="L6361" t="s">
        <v>15</v>
      </c>
    </row>
    <row r="6362" spans="1:12" x14ac:dyDescent="0.25">
      <c r="A6362" t="str">
        <f>"5512171390"</f>
        <v>5512171390</v>
      </c>
      <c r="B6362" t="str">
        <f t="shared" si="311"/>
        <v>89301000</v>
      </c>
      <c r="C6362" s="1">
        <v>44265</v>
      </c>
      <c r="D6362" s="1">
        <v>44268</v>
      </c>
      <c r="E6362">
        <v>8</v>
      </c>
      <c r="F6362" t="s">
        <v>1595</v>
      </c>
      <c r="G6362" t="str">
        <f>"18-I01-01"</f>
        <v>18-I01-01</v>
      </c>
      <c r="H6362">
        <v>3.1160999999999999</v>
      </c>
      <c r="I6362" t="s">
        <v>4644</v>
      </c>
      <c r="J6362" t="s">
        <v>14</v>
      </c>
      <c r="K6362" t="str">
        <f>"5T1"</f>
        <v>5T1</v>
      </c>
      <c r="L6362" t="s">
        <v>15</v>
      </c>
    </row>
    <row r="6363" spans="1:12" x14ac:dyDescent="0.25">
      <c r="A6363" t="str">
        <f>"5512181213"</f>
        <v>5512181213</v>
      </c>
      <c r="B6363" t="str">
        <f t="shared" si="311"/>
        <v>89301000</v>
      </c>
      <c r="C6363" s="1">
        <v>44445</v>
      </c>
      <c r="D6363" s="1">
        <v>44452</v>
      </c>
      <c r="E6363">
        <v>1</v>
      </c>
      <c r="F6363" t="s">
        <v>96</v>
      </c>
      <c r="G6363" t="str">
        <f>"11-K01-01"</f>
        <v>11-K01-01</v>
      </c>
      <c r="H6363">
        <v>1.2689999999999999</v>
      </c>
      <c r="I6363" t="s">
        <v>4645</v>
      </c>
      <c r="J6363" t="s">
        <v>14</v>
      </c>
      <c r="K6363" t="str">
        <f>"1F1"</f>
        <v>1F1</v>
      </c>
      <c r="L6363" t="s">
        <v>15</v>
      </c>
    </row>
    <row r="6364" spans="1:12" x14ac:dyDescent="0.25">
      <c r="A6364" t="str">
        <f>"5512181213"</f>
        <v>5512181213</v>
      </c>
      <c r="B6364" t="str">
        <f t="shared" si="311"/>
        <v>89301000</v>
      </c>
      <c r="C6364" s="1">
        <v>44397</v>
      </c>
      <c r="D6364" s="1">
        <v>44407</v>
      </c>
      <c r="E6364">
        <v>1</v>
      </c>
      <c r="F6364" t="s">
        <v>448</v>
      </c>
      <c r="G6364" t="str">
        <f>"11-K01-01"</f>
        <v>11-K01-01</v>
      </c>
      <c r="H6364">
        <v>1.2689999999999999</v>
      </c>
      <c r="I6364" t="s">
        <v>998</v>
      </c>
      <c r="J6364" t="s">
        <v>14</v>
      </c>
      <c r="K6364" t="str">
        <f>"1F5"</f>
        <v>1F5</v>
      </c>
      <c r="L6364" t="s">
        <v>15</v>
      </c>
    </row>
    <row r="6365" spans="1:12" x14ac:dyDescent="0.25">
      <c r="A6365" t="str">
        <f>"5512280763"</f>
        <v>5512280763</v>
      </c>
      <c r="B6365" t="str">
        <f t="shared" si="311"/>
        <v>89301000</v>
      </c>
      <c r="C6365" s="1">
        <v>44463</v>
      </c>
      <c r="D6365" s="1">
        <v>44470</v>
      </c>
      <c r="E6365">
        <v>1</v>
      </c>
      <c r="F6365" t="s">
        <v>3861</v>
      </c>
      <c r="G6365" t="str">
        <f>"11-K02-03"</f>
        <v>11-K02-03</v>
      </c>
      <c r="H6365">
        <v>0.79790000000000005</v>
      </c>
      <c r="I6365" t="s">
        <v>4646</v>
      </c>
      <c r="J6365" t="s">
        <v>14</v>
      </c>
      <c r="K6365" t="str">
        <f>"1F1"</f>
        <v>1F1</v>
      </c>
      <c r="L6365" t="s">
        <v>15</v>
      </c>
    </row>
    <row r="6366" spans="1:12" x14ac:dyDescent="0.25">
      <c r="A6366" t="str">
        <f>"5551061087"</f>
        <v>5551061087</v>
      </c>
      <c r="B6366" t="str">
        <f t="shared" si="311"/>
        <v>89301000</v>
      </c>
      <c r="C6366" s="1">
        <v>44550</v>
      </c>
      <c r="D6366" s="1">
        <v>44554</v>
      </c>
      <c r="E6366">
        <v>1</v>
      </c>
      <c r="F6366" t="s">
        <v>260</v>
      </c>
      <c r="G6366" t="str">
        <f>"03-I16-01"</f>
        <v>03-I16-01</v>
      </c>
      <c r="H6366">
        <v>1.4655</v>
      </c>
      <c r="I6366" t="s">
        <v>4647</v>
      </c>
      <c r="J6366" t="s">
        <v>24</v>
      </c>
      <c r="K6366" t="str">
        <f>"7F1"</f>
        <v>7F1</v>
      </c>
      <c r="L6366" t="s">
        <v>15</v>
      </c>
    </row>
    <row r="6367" spans="1:12" x14ac:dyDescent="0.25">
      <c r="A6367" t="str">
        <f>"5551081415"</f>
        <v>5551081415</v>
      </c>
      <c r="B6367" t="str">
        <f t="shared" si="311"/>
        <v>89301000</v>
      </c>
      <c r="C6367" s="1">
        <v>44506</v>
      </c>
      <c r="D6367" s="1">
        <v>44517</v>
      </c>
      <c r="E6367">
        <v>1</v>
      </c>
      <c r="F6367" t="s">
        <v>217</v>
      </c>
      <c r="G6367" t="str">
        <f>"04-K02-03"</f>
        <v>04-K02-03</v>
      </c>
      <c r="H6367">
        <v>1.2859</v>
      </c>
      <c r="I6367" t="s">
        <v>4648</v>
      </c>
      <c r="J6367" t="s">
        <v>14</v>
      </c>
      <c r="K6367" t="str">
        <f>"1F1"</f>
        <v>1F1</v>
      </c>
      <c r="L6367" t="s">
        <v>15</v>
      </c>
    </row>
    <row r="6368" spans="1:12" x14ac:dyDescent="0.25">
      <c r="A6368" t="str">
        <f>"5551141277"</f>
        <v>5551141277</v>
      </c>
      <c r="B6368" t="str">
        <f t="shared" si="311"/>
        <v>89301000</v>
      </c>
      <c r="C6368" s="1">
        <v>44371</v>
      </c>
      <c r="D6368" s="1">
        <v>44378</v>
      </c>
      <c r="E6368">
        <v>4</v>
      </c>
      <c r="F6368" t="s">
        <v>3986</v>
      </c>
      <c r="G6368" t="str">
        <f>"08-I05-05"</f>
        <v>08-I05-05</v>
      </c>
      <c r="H6368">
        <v>2.2932000000000001</v>
      </c>
      <c r="I6368" t="s">
        <v>4649</v>
      </c>
      <c r="J6368" t="s">
        <v>17</v>
      </c>
      <c r="K6368" t="str">
        <f>"6F6"</f>
        <v>6F6</v>
      </c>
      <c r="L6368" t="s">
        <v>15</v>
      </c>
    </row>
    <row r="6369" spans="1:12" x14ac:dyDescent="0.25">
      <c r="A6369" t="str">
        <f>"5551201271"</f>
        <v>5551201271</v>
      </c>
      <c r="B6369" t="str">
        <f t="shared" si="311"/>
        <v>89301000</v>
      </c>
      <c r="C6369" s="1">
        <v>44214</v>
      </c>
      <c r="D6369" s="1">
        <v>44215</v>
      </c>
      <c r="E6369">
        <v>8</v>
      </c>
      <c r="F6369" t="s">
        <v>290</v>
      </c>
      <c r="G6369" t="str">
        <f>"05-K06-01"</f>
        <v>05-K06-01</v>
      </c>
      <c r="H6369">
        <v>2.5053000000000001</v>
      </c>
      <c r="I6369" t="s">
        <v>4650</v>
      </c>
      <c r="J6369" t="s">
        <v>14</v>
      </c>
      <c r="K6369" t="str">
        <f>"5T1"</f>
        <v>5T1</v>
      </c>
      <c r="L6369" t="s">
        <v>15</v>
      </c>
    </row>
    <row r="6370" spans="1:12" x14ac:dyDescent="0.25">
      <c r="A6370" t="str">
        <f>"5551201271"</f>
        <v>5551201271</v>
      </c>
      <c r="B6370" t="str">
        <f t="shared" si="311"/>
        <v>89301000</v>
      </c>
      <c r="C6370" s="1">
        <v>44204</v>
      </c>
      <c r="D6370" s="1">
        <v>44208</v>
      </c>
      <c r="E6370">
        <v>1</v>
      </c>
      <c r="F6370" t="s">
        <v>2120</v>
      </c>
      <c r="G6370" t="str">
        <f>"06-K07-02"</f>
        <v>06-K07-02</v>
      </c>
      <c r="H6370">
        <v>0.44419999999999998</v>
      </c>
      <c r="I6370" t="s">
        <v>3554</v>
      </c>
      <c r="J6370" t="s">
        <v>14</v>
      </c>
      <c r="K6370" t="str">
        <f>"1F1"</f>
        <v>1F1</v>
      </c>
      <c r="L6370" t="s">
        <v>15</v>
      </c>
    </row>
    <row r="6371" spans="1:12" x14ac:dyDescent="0.25">
      <c r="A6371" t="str">
        <f>"5551221467"</f>
        <v>5551221467</v>
      </c>
      <c r="B6371" t="str">
        <f t="shared" si="311"/>
        <v>89301000</v>
      </c>
      <c r="C6371" s="1">
        <v>44306</v>
      </c>
      <c r="D6371" s="1">
        <v>44310</v>
      </c>
      <c r="E6371">
        <v>1</v>
      </c>
      <c r="F6371" t="s">
        <v>2232</v>
      </c>
      <c r="G6371" t="str">
        <f>"11-I07-01"</f>
        <v>11-I07-01</v>
      </c>
      <c r="H6371">
        <v>2.5975999999999999</v>
      </c>
      <c r="I6371" t="s">
        <v>4651</v>
      </c>
      <c r="J6371" t="s">
        <v>14</v>
      </c>
      <c r="K6371" t="str">
        <f>"7F6"</f>
        <v>7F6</v>
      </c>
      <c r="L6371" t="s">
        <v>15</v>
      </c>
    </row>
    <row r="6372" spans="1:12" x14ac:dyDescent="0.25">
      <c r="A6372" t="str">
        <f>"5551241476"</f>
        <v>5551241476</v>
      </c>
      <c r="B6372" t="str">
        <f t="shared" si="311"/>
        <v>89301000</v>
      </c>
      <c r="C6372" s="1">
        <v>44308</v>
      </c>
      <c r="D6372" s="1">
        <v>44313</v>
      </c>
      <c r="E6372">
        <v>1</v>
      </c>
      <c r="F6372" t="s">
        <v>31</v>
      </c>
      <c r="G6372" t="str">
        <f>"08-I03-06"</f>
        <v>08-I03-06</v>
      </c>
      <c r="H6372">
        <v>3.3738000000000001</v>
      </c>
      <c r="J6372" t="s">
        <v>17</v>
      </c>
      <c r="K6372" t="str">
        <f>"5F6"</f>
        <v>5F6</v>
      </c>
      <c r="L6372" t="s">
        <v>15</v>
      </c>
    </row>
    <row r="6373" spans="1:12" x14ac:dyDescent="0.25">
      <c r="A6373" t="str">
        <f>"5551241476"</f>
        <v>5551241476</v>
      </c>
      <c r="B6373" t="str">
        <f t="shared" si="311"/>
        <v>89301000</v>
      </c>
      <c r="C6373" s="1">
        <v>44424</v>
      </c>
      <c r="D6373" s="1">
        <v>44435</v>
      </c>
      <c r="E6373">
        <v>1</v>
      </c>
      <c r="F6373" t="s">
        <v>109</v>
      </c>
      <c r="G6373" t="str">
        <f>"24-M06-02"</f>
        <v>24-M06-02</v>
      </c>
      <c r="H6373">
        <v>1.0233000000000001</v>
      </c>
      <c r="I6373" t="s">
        <v>4652</v>
      </c>
      <c r="J6373" t="s">
        <v>14</v>
      </c>
      <c r="K6373" t="str">
        <f>"2F1"</f>
        <v>2F1</v>
      </c>
      <c r="L6373" t="s">
        <v>15</v>
      </c>
    </row>
    <row r="6374" spans="1:12" x14ac:dyDescent="0.25">
      <c r="A6374" t="str">
        <f>"5551261331"</f>
        <v>5551261331</v>
      </c>
      <c r="B6374" t="str">
        <f t="shared" si="311"/>
        <v>89301000</v>
      </c>
      <c r="C6374" s="1">
        <v>44343</v>
      </c>
      <c r="D6374" s="1">
        <v>44349</v>
      </c>
      <c r="E6374">
        <v>1</v>
      </c>
      <c r="F6374" t="s">
        <v>4653</v>
      </c>
      <c r="G6374" t="str">
        <f>"08-K08-00"</f>
        <v>08-K08-00</v>
      </c>
      <c r="H6374">
        <v>0.51670000000000005</v>
      </c>
      <c r="I6374" t="s">
        <v>4654</v>
      </c>
      <c r="J6374" t="s">
        <v>14</v>
      </c>
      <c r="K6374" t="str">
        <f>"2F9"</f>
        <v>2F9</v>
      </c>
      <c r="L6374" t="s">
        <v>15</v>
      </c>
    </row>
    <row r="6375" spans="1:12" x14ac:dyDescent="0.25">
      <c r="A6375" t="str">
        <f>"5551261331"</f>
        <v>5551261331</v>
      </c>
      <c r="B6375" t="str">
        <f t="shared" si="311"/>
        <v>89301000</v>
      </c>
      <c r="C6375" s="1">
        <v>44475</v>
      </c>
      <c r="D6375" s="1">
        <v>44481</v>
      </c>
      <c r="E6375">
        <v>1</v>
      </c>
      <c r="F6375" t="s">
        <v>475</v>
      </c>
      <c r="G6375" t="str">
        <f>"10-K04-04"</f>
        <v>10-K04-04</v>
      </c>
      <c r="H6375">
        <v>0.56330000000000002</v>
      </c>
      <c r="I6375" t="s">
        <v>4655</v>
      </c>
      <c r="J6375" t="s">
        <v>14</v>
      </c>
      <c r="K6375" t="str">
        <f>"1F1"</f>
        <v>1F1</v>
      </c>
      <c r="L6375" t="s">
        <v>15</v>
      </c>
    </row>
    <row r="6376" spans="1:12" x14ac:dyDescent="0.25">
      <c r="A6376" t="str">
        <f>"5551261331"</f>
        <v>5551261331</v>
      </c>
      <c r="B6376" t="str">
        <f t="shared" si="311"/>
        <v>89301000</v>
      </c>
      <c r="C6376" s="1">
        <v>44225</v>
      </c>
      <c r="D6376" s="1">
        <v>44230</v>
      </c>
      <c r="E6376">
        <v>1</v>
      </c>
      <c r="F6376" t="s">
        <v>4653</v>
      </c>
      <c r="G6376" t="str">
        <f>"08-K08-00"</f>
        <v>08-K08-00</v>
      </c>
      <c r="H6376">
        <v>0.51670000000000005</v>
      </c>
      <c r="I6376" t="s">
        <v>4656</v>
      </c>
      <c r="J6376" t="s">
        <v>14</v>
      </c>
      <c r="K6376" t="str">
        <f>"2F9"</f>
        <v>2F9</v>
      </c>
      <c r="L6376" t="s">
        <v>15</v>
      </c>
    </row>
    <row r="6377" spans="1:12" x14ac:dyDescent="0.25">
      <c r="A6377" t="str">
        <f>"5551261331"</f>
        <v>5551261331</v>
      </c>
      <c r="B6377" t="str">
        <f t="shared" si="311"/>
        <v>89301000</v>
      </c>
      <c r="C6377" s="1">
        <v>44522</v>
      </c>
      <c r="D6377" s="1">
        <v>44540</v>
      </c>
      <c r="E6377">
        <v>1</v>
      </c>
      <c r="F6377" t="s">
        <v>1420</v>
      </c>
      <c r="G6377" t="str">
        <f>"03-K02-02"</f>
        <v>03-K02-02</v>
      </c>
      <c r="H6377">
        <v>0.9617</v>
      </c>
      <c r="I6377" t="s">
        <v>4657</v>
      </c>
      <c r="J6377" t="s">
        <v>14</v>
      </c>
      <c r="K6377" t="str">
        <f>"1F6"</f>
        <v>1F6</v>
      </c>
      <c r="L6377" t="s">
        <v>15</v>
      </c>
    </row>
    <row r="6378" spans="1:12" x14ac:dyDescent="0.25">
      <c r="A6378" t="str">
        <f>"5551302031"</f>
        <v>5551302031</v>
      </c>
      <c r="B6378" t="str">
        <f t="shared" si="311"/>
        <v>89301000</v>
      </c>
      <c r="C6378" s="1">
        <v>44466</v>
      </c>
      <c r="D6378" s="1">
        <v>44470</v>
      </c>
      <c r="E6378">
        <v>1</v>
      </c>
      <c r="F6378" t="s">
        <v>2437</v>
      </c>
      <c r="G6378" t="str">
        <f>"06-K07-02"</f>
        <v>06-K07-02</v>
      </c>
      <c r="H6378">
        <v>0.44419999999999998</v>
      </c>
      <c r="I6378" t="s">
        <v>1586</v>
      </c>
      <c r="J6378" t="s">
        <v>14</v>
      </c>
      <c r="K6378" t="str">
        <f>"5F1"</f>
        <v>5F1</v>
      </c>
      <c r="L6378" t="s">
        <v>15</v>
      </c>
    </row>
    <row r="6379" spans="1:12" x14ac:dyDescent="0.25">
      <c r="A6379" t="str">
        <f>"5552021750"</f>
        <v>5552021750</v>
      </c>
      <c r="B6379" t="str">
        <f t="shared" si="311"/>
        <v>89301000</v>
      </c>
      <c r="C6379" s="1">
        <v>44224</v>
      </c>
      <c r="D6379" s="1">
        <v>44226</v>
      </c>
      <c r="E6379">
        <v>1</v>
      </c>
      <c r="F6379" t="s">
        <v>4658</v>
      </c>
      <c r="G6379" t="str">
        <f>"09-I06-04"</f>
        <v>09-I06-04</v>
      </c>
      <c r="H6379">
        <v>0.98829999999999996</v>
      </c>
      <c r="J6379" t="s">
        <v>17</v>
      </c>
      <c r="K6379" t="str">
        <f>"5F1"</f>
        <v>5F1</v>
      </c>
      <c r="L6379" t="s">
        <v>15</v>
      </c>
    </row>
    <row r="6380" spans="1:12" x14ac:dyDescent="0.25">
      <c r="A6380" t="str">
        <f>"5552080688"</f>
        <v>5552080688</v>
      </c>
      <c r="B6380" t="str">
        <f t="shared" si="311"/>
        <v>89301000</v>
      </c>
      <c r="C6380" s="1">
        <v>44312</v>
      </c>
      <c r="D6380" s="1">
        <v>44314</v>
      </c>
      <c r="E6380">
        <v>1</v>
      </c>
      <c r="F6380" t="s">
        <v>1551</v>
      </c>
      <c r="G6380" t="str">
        <f>"09-I06-04"</f>
        <v>09-I06-04</v>
      </c>
      <c r="H6380">
        <v>0.98829999999999996</v>
      </c>
      <c r="J6380" t="s">
        <v>17</v>
      </c>
      <c r="K6380" t="str">
        <f>"5F1"</f>
        <v>5F1</v>
      </c>
      <c r="L6380" t="s">
        <v>15</v>
      </c>
    </row>
    <row r="6381" spans="1:12" x14ac:dyDescent="0.25">
      <c r="A6381" t="str">
        <f>"5552180920"</f>
        <v>5552180920</v>
      </c>
      <c r="B6381" t="str">
        <f t="shared" si="311"/>
        <v>89301000</v>
      </c>
      <c r="C6381" s="1">
        <v>44322</v>
      </c>
      <c r="D6381" s="1">
        <v>44337</v>
      </c>
      <c r="E6381">
        <v>1</v>
      </c>
      <c r="F6381" t="s">
        <v>78</v>
      </c>
      <c r="G6381" t="str">
        <f>"19-K05-02"</f>
        <v>19-K05-02</v>
      </c>
      <c r="H6381">
        <v>1.8835999999999999</v>
      </c>
      <c r="I6381" t="s">
        <v>168</v>
      </c>
      <c r="J6381" t="s">
        <v>27</v>
      </c>
      <c r="K6381" t="str">
        <f>"3F5"</f>
        <v>3F5</v>
      </c>
      <c r="L6381" t="s">
        <v>15</v>
      </c>
    </row>
    <row r="6382" spans="1:12" x14ac:dyDescent="0.25">
      <c r="A6382" t="str">
        <f>"5552211951"</f>
        <v>5552211951</v>
      </c>
      <c r="B6382" t="str">
        <f t="shared" si="311"/>
        <v>89301000</v>
      </c>
      <c r="C6382" s="1">
        <v>44221</v>
      </c>
      <c r="D6382" s="1">
        <v>44222</v>
      </c>
      <c r="E6382">
        <v>6</v>
      </c>
      <c r="F6382" t="s">
        <v>1688</v>
      </c>
      <c r="G6382" t="str">
        <f>"02-I06-03"</f>
        <v>02-I06-03</v>
      </c>
      <c r="H6382">
        <v>0.63690000000000002</v>
      </c>
      <c r="I6382" t="s">
        <v>4659</v>
      </c>
      <c r="J6382" t="s">
        <v>17</v>
      </c>
      <c r="K6382" t="str">
        <f>"7F5"</f>
        <v>7F5</v>
      </c>
      <c r="L6382" t="s">
        <v>15</v>
      </c>
    </row>
    <row r="6383" spans="1:12" x14ac:dyDescent="0.25">
      <c r="A6383" t="str">
        <f>"5552222434"</f>
        <v>5552222434</v>
      </c>
      <c r="B6383" t="str">
        <f t="shared" si="311"/>
        <v>89301000</v>
      </c>
      <c r="C6383" s="1">
        <v>44513</v>
      </c>
      <c r="D6383" s="1">
        <v>44559</v>
      </c>
      <c r="E6383">
        <v>1</v>
      </c>
      <c r="F6383" t="s">
        <v>1911</v>
      </c>
      <c r="G6383" t="str">
        <f>"05-M02-01"</f>
        <v>05-M02-01</v>
      </c>
      <c r="H6383">
        <v>17.904599999999999</v>
      </c>
      <c r="J6383" t="s">
        <v>17</v>
      </c>
      <c r="K6383" t="str">
        <f>"5F5"</f>
        <v>5F5</v>
      </c>
      <c r="L6383" t="s">
        <v>15</v>
      </c>
    </row>
    <row r="6384" spans="1:12" x14ac:dyDescent="0.25">
      <c r="A6384" t="str">
        <f>"5552231179"</f>
        <v>5552231179</v>
      </c>
      <c r="B6384" t="str">
        <f t="shared" si="311"/>
        <v>89301000</v>
      </c>
      <c r="C6384" s="1">
        <v>44252</v>
      </c>
      <c r="D6384" s="1">
        <v>44254</v>
      </c>
      <c r="E6384">
        <v>1</v>
      </c>
      <c r="F6384" t="s">
        <v>445</v>
      </c>
      <c r="G6384" t="str">
        <f>"08-I17-02"</f>
        <v>08-I17-02</v>
      </c>
      <c r="H6384">
        <v>0.98309999999999997</v>
      </c>
      <c r="I6384" t="s">
        <v>211</v>
      </c>
      <c r="J6384" t="s">
        <v>14</v>
      </c>
      <c r="K6384" t="str">
        <f>"5F3"</f>
        <v>5F3</v>
      </c>
      <c r="L6384" t="s">
        <v>15</v>
      </c>
    </row>
    <row r="6385" spans="1:12" x14ac:dyDescent="0.25">
      <c r="A6385" t="str">
        <f>"5552281955"</f>
        <v>5552281955</v>
      </c>
      <c r="B6385" t="str">
        <f t="shared" si="311"/>
        <v>89301000</v>
      </c>
      <c r="C6385" s="1">
        <v>44546</v>
      </c>
      <c r="D6385" s="1">
        <v>44546</v>
      </c>
      <c r="E6385">
        <v>1</v>
      </c>
      <c r="F6385" t="s">
        <v>1558</v>
      </c>
      <c r="G6385" t="str">
        <f>"05-D01-06"</f>
        <v>05-D01-06</v>
      </c>
      <c r="H6385">
        <v>0.40649999999999997</v>
      </c>
      <c r="I6385" t="s">
        <v>489</v>
      </c>
      <c r="J6385" t="s">
        <v>14</v>
      </c>
      <c r="K6385" t="str">
        <f>"1F1"</f>
        <v>1F1</v>
      </c>
      <c r="L6385" t="s">
        <v>15</v>
      </c>
    </row>
    <row r="6386" spans="1:12" x14ac:dyDescent="0.25">
      <c r="A6386" t="str">
        <f>"5553202138"</f>
        <v>5553202138</v>
      </c>
      <c r="B6386" t="str">
        <f t="shared" si="311"/>
        <v>89301000</v>
      </c>
      <c r="C6386" s="1">
        <v>44423</v>
      </c>
      <c r="D6386" s="1">
        <v>44426</v>
      </c>
      <c r="E6386">
        <v>1</v>
      </c>
      <c r="F6386" t="s">
        <v>300</v>
      </c>
      <c r="G6386" t="str">
        <f>"11-M05-02"</f>
        <v>11-M05-02</v>
      </c>
      <c r="H6386">
        <v>0.65690000000000004</v>
      </c>
      <c r="I6386" t="s">
        <v>4660</v>
      </c>
      <c r="J6386" t="s">
        <v>17</v>
      </c>
      <c r="K6386" t="str">
        <f>"7F6"</f>
        <v>7F6</v>
      </c>
      <c r="L6386" t="s">
        <v>15</v>
      </c>
    </row>
    <row r="6387" spans="1:12" x14ac:dyDescent="0.25">
      <c r="A6387" t="str">
        <f>"5553222213"</f>
        <v>5553222213</v>
      </c>
      <c r="B6387" t="str">
        <f t="shared" si="311"/>
        <v>89301000</v>
      </c>
      <c r="C6387" s="1">
        <v>44333</v>
      </c>
      <c r="D6387" s="1">
        <v>44337</v>
      </c>
      <c r="E6387">
        <v>1</v>
      </c>
      <c r="F6387" t="s">
        <v>1096</v>
      </c>
      <c r="G6387" t="str">
        <f>"04-K02-03"</f>
        <v>04-K02-03</v>
      </c>
      <c r="H6387">
        <v>1.2859</v>
      </c>
      <c r="I6387" t="s">
        <v>4661</v>
      </c>
      <c r="J6387" t="s">
        <v>14</v>
      </c>
      <c r="K6387" t="str">
        <f>"2F5"</f>
        <v>2F5</v>
      </c>
      <c r="L6387" t="s">
        <v>15</v>
      </c>
    </row>
    <row r="6388" spans="1:12" x14ac:dyDescent="0.25">
      <c r="A6388" t="str">
        <f>"5553222213"</f>
        <v>5553222213</v>
      </c>
      <c r="B6388" t="str">
        <f t="shared" si="311"/>
        <v>89301000</v>
      </c>
      <c r="C6388" s="1">
        <v>44364</v>
      </c>
      <c r="D6388" s="1">
        <v>44371</v>
      </c>
      <c r="E6388">
        <v>1</v>
      </c>
      <c r="F6388" t="s">
        <v>1096</v>
      </c>
      <c r="G6388" t="str">
        <f>"04-K02-03"</f>
        <v>04-K02-03</v>
      </c>
      <c r="H6388">
        <v>1.2859</v>
      </c>
      <c r="I6388" t="s">
        <v>4662</v>
      </c>
      <c r="J6388" t="s">
        <v>14</v>
      </c>
      <c r="K6388" t="str">
        <f>"2F5"</f>
        <v>2F5</v>
      </c>
      <c r="L6388" t="s">
        <v>15</v>
      </c>
    </row>
    <row r="6389" spans="1:12" x14ac:dyDescent="0.25">
      <c r="A6389" t="str">
        <f>"5553251572"</f>
        <v>5553251572</v>
      </c>
      <c r="B6389" t="str">
        <f t="shared" si="311"/>
        <v>89301000</v>
      </c>
      <c r="C6389" s="1">
        <v>44244</v>
      </c>
      <c r="D6389" s="1">
        <v>44250</v>
      </c>
      <c r="E6389">
        <v>1</v>
      </c>
      <c r="F6389" t="s">
        <v>1558</v>
      </c>
      <c r="G6389" t="str">
        <f>"05-M01-03"</f>
        <v>05-M01-03</v>
      </c>
      <c r="H6389">
        <v>12.3805</v>
      </c>
      <c r="I6389" t="s">
        <v>2898</v>
      </c>
      <c r="J6389" t="s">
        <v>17</v>
      </c>
      <c r="K6389" t="str">
        <f>"1F1"</f>
        <v>1F1</v>
      </c>
      <c r="L6389" t="s">
        <v>15</v>
      </c>
    </row>
    <row r="6390" spans="1:12" x14ac:dyDescent="0.25">
      <c r="A6390" t="str">
        <f>"5553271878"</f>
        <v>5553271878</v>
      </c>
      <c r="B6390" t="str">
        <f t="shared" si="311"/>
        <v>89301000</v>
      </c>
      <c r="C6390" s="1">
        <v>44546</v>
      </c>
      <c r="D6390" s="1">
        <v>44552</v>
      </c>
      <c r="E6390">
        <v>1</v>
      </c>
      <c r="F6390" t="s">
        <v>1955</v>
      </c>
      <c r="G6390" t="str">
        <f>"01-K04-01"</f>
        <v>01-K04-01</v>
      </c>
      <c r="H6390">
        <v>1.1855</v>
      </c>
      <c r="I6390" t="s">
        <v>4663</v>
      </c>
      <c r="J6390" t="s">
        <v>14</v>
      </c>
      <c r="K6390" t="str">
        <f>"2F9"</f>
        <v>2F9</v>
      </c>
      <c r="L6390" t="s">
        <v>15</v>
      </c>
    </row>
    <row r="6391" spans="1:12" x14ac:dyDescent="0.25">
      <c r="A6391" t="str">
        <f>"5553310598"</f>
        <v>5553310598</v>
      </c>
      <c r="B6391" t="str">
        <f t="shared" si="311"/>
        <v>89301000</v>
      </c>
      <c r="C6391" s="1">
        <v>44513</v>
      </c>
      <c r="D6391" s="1">
        <v>44546</v>
      </c>
      <c r="E6391">
        <v>4</v>
      </c>
      <c r="F6391" t="s">
        <v>217</v>
      </c>
      <c r="G6391" t="str">
        <f>"00-M02-04"</f>
        <v>00-M02-04</v>
      </c>
      <c r="H6391">
        <v>12.071199999999999</v>
      </c>
      <c r="I6391" t="s">
        <v>4664</v>
      </c>
      <c r="J6391" t="s">
        <v>14</v>
      </c>
      <c r="K6391" t="str">
        <f>"1F1"</f>
        <v>1F1</v>
      </c>
      <c r="L6391" t="s">
        <v>15</v>
      </c>
    </row>
    <row r="6392" spans="1:12" x14ac:dyDescent="0.25">
      <c r="A6392" t="str">
        <f>"5553310653"</f>
        <v>5553310653</v>
      </c>
      <c r="B6392" t="str">
        <f t="shared" si="311"/>
        <v>89301000</v>
      </c>
      <c r="C6392" s="1">
        <v>44451</v>
      </c>
      <c r="D6392" s="1">
        <v>44454</v>
      </c>
      <c r="E6392">
        <v>1</v>
      </c>
      <c r="F6392" t="s">
        <v>496</v>
      </c>
      <c r="G6392" t="str">
        <f>"08-M03-05"</f>
        <v>08-M03-05</v>
      </c>
      <c r="H6392">
        <v>0.51759999999999995</v>
      </c>
      <c r="I6392" t="s">
        <v>47</v>
      </c>
      <c r="J6392" t="s">
        <v>14</v>
      </c>
      <c r="K6392" t="str">
        <f>"6F6"</f>
        <v>6F6</v>
      </c>
      <c r="L6392" t="s">
        <v>15</v>
      </c>
    </row>
    <row r="6393" spans="1:12" x14ac:dyDescent="0.25">
      <c r="A6393" t="str">
        <f>"5554031549"</f>
        <v>5554031549</v>
      </c>
      <c r="B6393" t="str">
        <f t="shared" si="311"/>
        <v>89301000</v>
      </c>
      <c r="C6393" s="1">
        <v>44356</v>
      </c>
      <c r="D6393" s="1">
        <v>44379</v>
      </c>
      <c r="E6393">
        <v>1</v>
      </c>
      <c r="F6393" t="s">
        <v>1953</v>
      </c>
      <c r="G6393" t="str">
        <f>"07-I01-01"</f>
        <v>07-I01-01</v>
      </c>
      <c r="H6393">
        <v>9.4321000000000002</v>
      </c>
      <c r="I6393" t="s">
        <v>4665</v>
      </c>
      <c r="J6393" t="s">
        <v>17</v>
      </c>
      <c r="K6393" t="str">
        <f>"5F1"</f>
        <v>5F1</v>
      </c>
      <c r="L6393" t="s">
        <v>15</v>
      </c>
    </row>
    <row r="6394" spans="1:12" x14ac:dyDescent="0.25">
      <c r="A6394" t="str">
        <f>"5554041933"</f>
        <v>5554041933</v>
      </c>
      <c r="B6394" t="str">
        <f t="shared" si="311"/>
        <v>89301000</v>
      </c>
      <c r="C6394" s="1">
        <v>44259</v>
      </c>
      <c r="D6394" s="1">
        <v>44261</v>
      </c>
      <c r="E6394">
        <v>1</v>
      </c>
      <c r="F6394" t="s">
        <v>1551</v>
      </c>
      <c r="G6394" t="str">
        <f>"09-K08-01"</f>
        <v>09-K08-01</v>
      </c>
      <c r="H6394">
        <v>1.1131</v>
      </c>
      <c r="I6394" t="s">
        <v>3026</v>
      </c>
      <c r="J6394" t="s">
        <v>14</v>
      </c>
      <c r="K6394" t="str">
        <f>"4F2"</f>
        <v>4F2</v>
      </c>
      <c r="L6394" t="s">
        <v>15</v>
      </c>
    </row>
    <row r="6395" spans="1:12" x14ac:dyDescent="0.25">
      <c r="A6395" t="str">
        <f>"5554081775"</f>
        <v>5554081775</v>
      </c>
      <c r="B6395" t="str">
        <f t="shared" si="311"/>
        <v>89301000</v>
      </c>
      <c r="C6395" s="1">
        <v>44348</v>
      </c>
      <c r="D6395" s="1">
        <v>44351</v>
      </c>
      <c r="E6395">
        <v>1</v>
      </c>
      <c r="F6395" t="s">
        <v>67</v>
      </c>
      <c r="G6395" t="str">
        <f>"01-K10-03"</f>
        <v>01-K10-03</v>
      </c>
      <c r="H6395">
        <v>1.0016</v>
      </c>
      <c r="I6395" t="s">
        <v>2036</v>
      </c>
      <c r="J6395" t="s">
        <v>14</v>
      </c>
      <c r="K6395" t="str">
        <f>"2F9"</f>
        <v>2F9</v>
      </c>
      <c r="L6395" t="s">
        <v>15</v>
      </c>
    </row>
    <row r="6396" spans="1:12" x14ac:dyDescent="0.25">
      <c r="A6396" t="str">
        <f>"5554091752"</f>
        <v>5554091752</v>
      </c>
      <c r="B6396" t="str">
        <f t="shared" si="311"/>
        <v>89301000</v>
      </c>
      <c r="C6396" s="1">
        <v>44495</v>
      </c>
      <c r="D6396" s="1">
        <v>44497</v>
      </c>
      <c r="E6396">
        <v>1</v>
      </c>
      <c r="F6396" t="s">
        <v>475</v>
      </c>
      <c r="G6396" t="str">
        <f>"10-K04-04"</f>
        <v>10-K04-04</v>
      </c>
      <c r="H6396">
        <v>0.56330000000000002</v>
      </c>
      <c r="I6396" t="s">
        <v>4666</v>
      </c>
      <c r="J6396" t="s">
        <v>14</v>
      </c>
      <c r="K6396" t="str">
        <f>"1F1"</f>
        <v>1F1</v>
      </c>
      <c r="L6396" t="s">
        <v>15</v>
      </c>
    </row>
    <row r="6397" spans="1:12" x14ac:dyDescent="0.25">
      <c r="A6397" t="str">
        <f>"5554091796"</f>
        <v>5554091796</v>
      </c>
      <c r="B6397" t="str">
        <f t="shared" si="311"/>
        <v>89301000</v>
      </c>
      <c r="C6397" s="1">
        <v>44280</v>
      </c>
      <c r="D6397" s="1">
        <v>44285</v>
      </c>
      <c r="E6397">
        <v>8</v>
      </c>
      <c r="F6397" t="s">
        <v>962</v>
      </c>
      <c r="G6397" t="str">
        <f>"04-M01-06"</f>
        <v>04-M01-06</v>
      </c>
      <c r="H6397">
        <v>3.5308999999999999</v>
      </c>
      <c r="I6397" t="s">
        <v>4667</v>
      </c>
      <c r="J6397" t="s">
        <v>14</v>
      </c>
      <c r="K6397" t="str">
        <f>"5T1"</f>
        <v>5T1</v>
      </c>
      <c r="L6397" t="s">
        <v>15</v>
      </c>
    </row>
    <row r="6398" spans="1:12" x14ac:dyDescent="0.25">
      <c r="A6398" t="str">
        <f>"5554092346"</f>
        <v>5554092346</v>
      </c>
      <c r="B6398" t="str">
        <f t="shared" si="311"/>
        <v>89301000</v>
      </c>
      <c r="C6398" s="1">
        <v>44323</v>
      </c>
      <c r="D6398" s="1">
        <v>44326</v>
      </c>
      <c r="E6398">
        <v>1</v>
      </c>
      <c r="F6398" t="s">
        <v>831</v>
      </c>
      <c r="G6398" t="str">
        <f>"02-I06-03"</f>
        <v>02-I06-03</v>
      </c>
      <c r="H6398">
        <v>0.63690000000000002</v>
      </c>
      <c r="I6398" t="s">
        <v>2288</v>
      </c>
      <c r="J6398" t="s">
        <v>17</v>
      </c>
      <c r="K6398" t="str">
        <f>"7F5"</f>
        <v>7F5</v>
      </c>
      <c r="L6398" t="s">
        <v>15</v>
      </c>
    </row>
    <row r="6399" spans="1:12" x14ac:dyDescent="0.25">
      <c r="A6399" t="str">
        <f>"5554101894"</f>
        <v>5554101894</v>
      </c>
      <c r="B6399" t="str">
        <f t="shared" si="311"/>
        <v>89301000</v>
      </c>
      <c r="C6399" s="1">
        <v>44316</v>
      </c>
      <c r="D6399" s="1">
        <v>44337</v>
      </c>
      <c r="E6399">
        <v>1</v>
      </c>
      <c r="F6399" t="s">
        <v>4668</v>
      </c>
      <c r="G6399" t="str">
        <f>"19-K06-02"</f>
        <v>19-K06-02</v>
      </c>
      <c r="H6399">
        <v>2.4085000000000001</v>
      </c>
      <c r="I6399" t="s">
        <v>4669</v>
      </c>
      <c r="J6399" t="s">
        <v>27</v>
      </c>
      <c r="K6399" t="str">
        <f>"3F5"</f>
        <v>3F5</v>
      </c>
      <c r="L6399" t="s">
        <v>15</v>
      </c>
    </row>
    <row r="6400" spans="1:12" x14ac:dyDescent="0.25">
      <c r="A6400" t="str">
        <f>"5554172888"</f>
        <v>5554172888</v>
      </c>
      <c r="B6400" t="str">
        <f t="shared" ref="B6400:B6463" si="312">"89301000"</f>
        <v>89301000</v>
      </c>
      <c r="C6400" s="1">
        <v>44377</v>
      </c>
      <c r="D6400" s="1">
        <v>44385</v>
      </c>
      <c r="E6400">
        <v>1</v>
      </c>
      <c r="F6400" t="s">
        <v>979</v>
      </c>
      <c r="G6400" t="str">
        <f>"04-K02-04"</f>
        <v>04-K02-04</v>
      </c>
      <c r="H6400">
        <v>0.8377</v>
      </c>
      <c r="I6400" t="s">
        <v>4670</v>
      </c>
      <c r="J6400" t="s">
        <v>14</v>
      </c>
      <c r="K6400" t="str">
        <f>"2F5"</f>
        <v>2F5</v>
      </c>
      <c r="L6400" t="s">
        <v>15</v>
      </c>
    </row>
    <row r="6401" spans="1:12" x14ac:dyDescent="0.25">
      <c r="A6401" t="str">
        <f>"5554251208"</f>
        <v>5554251208</v>
      </c>
      <c r="B6401" t="str">
        <f t="shared" si="312"/>
        <v>89301000</v>
      </c>
      <c r="C6401" s="1">
        <v>44326</v>
      </c>
      <c r="D6401" s="1">
        <v>44330</v>
      </c>
      <c r="E6401">
        <v>1</v>
      </c>
      <c r="F6401" t="s">
        <v>2527</v>
      </c>
      <c r="G6401" t="str">
        <f>"13-I11-03"</f>
        <v>13-I11-03</v>
      </c>
      <c r="H6401">
        <v>1.3809</v>
      </c>
      <c r="I6401" t="s">
        <v>1868</v>
      </c>
      <c r="J6401" t="s">
        <v>24</v>
      </c>
      <c r="K6401" t="str">
        <f>"6F3"</f>
        <v>6F3</v>
      </c>
      <c r="L6401" t="s">
        <v>15</v>
      </c>
    </row>
    <row r="6402" spans="1:12" x14ac:dyDescent="0.25">
      <c r="A6402" t="str">
        <f>"5554252110"</f>
        <v>5554252110</v>
      </c>
      <c r="B6402" t="str">
        <f t="shared" si="312"/>
        <v>89301000</v>
      </c>
      <c r="C6402" s="1">
        <v>44270</v>
      </c>
      <c r="D6402" s="1">
        <v>44274</v>
      </c>
      <c r="E6402">
        <v>7</v>
      </c>
      <c r="F6402" t="s">
        <v>625</v>
      </c>
      <c r="G6402" t="str">
        <f>"04-M01-06"</f>
        <v>04-M01-06</v>
      </c>
      <c r="H6402">
        <v>3.5308999999999999</v>
      </c>
      <c r="I6402" t="s">
        <v>4671</v>
      </c>
      <c r="J6402" t="s">
        <v>14</v>
      </c>
      <c r="K6402" t="str">
        <f>"2T5"</f>
        <v>2T5</v>
      </c>
      <c r="L6402" t="s">
        <v>15</v>
      </c>
    </row>
    <row r="6403" spans="1:12" x14ac:dyDescent="0.25">
      <c r="A6403" t="str">
        <f>"5554282668"</f>
        <v>5554282668</v>
      </c>
      <c r="B6403" t="str">
        <f t="shared" si="312"/>
        <v>89301000</v>
      </c>
      <c r="C6403" s="1">
        <v>44420</v>
      </c>
      <c r="D6403" s="1">
        <v>44427</v>
      </c>
      <c r="E6403">
        <v>1</v>
      </c>
      <c r="F6403" t="s">
        <v>1863</v>
      </c>
      <c r="G6403" t="str">
        <f>"07-K07-02"</f>
        <v>07-K07-02</v>
      </c>
      <c r="H6403">
        <v>0.53259999999999996</v>
      </c>
      <c r="I6403" t="s">
        <v>4672</v>
      </c>
      <c r="J6403" t="s">
        <v>14</v>
      </c>
      <c r="K6403" t="str">
        <f>"4F2"</f>
        <v>4F2</v>
      </c>
      <c r="L6403" t="s">
        <v>15</v>
      </c>
    </row>
    <row r="6404" spans="1:12" x14ac:dyDescent="0.25">
      <c r="A6404" t="str">
        <f>"5554282668"</f>
        <v>5554282668</v>
      </c>
      <c r="B6404" t="str">
        <f t="shared" si="312"/>
        <v>89301000</v>
      </c>
      <c r="C6404" s="1">
        <v>44323</v>
      </c>
      <c r="D6404" s="1">
        <v>44324</v>
      </c>
      <c r="E6404">
        <v>1</v>
      </c>
      <c r="F6404" t="s">
        <v>672</v>
      </c>
      <c r="G6404" t="str">
        <f>"17-I08-02"</f>
        <v>17-I08-02</v>
      </c>
      <c r="H6404">
        <v>1.1428</v>
      </c>
      <c r="I6404" t="s">
        <v>4673</v>
      </c>
      <c r="J6404" t="s">
        <v>14</v>
      </c>
      <c r="K6404" t="str">
        <f>"1F5"</f>
        <v>1F5</v>
      </c>
      <c r="L6404" t="s">
        <v>15</v>
      </c>
    </row>
    <row r="6405" spans="1:12" x14ac:dyDescent="0.25">
      <c r="A6405" t="str">
        <f>"5554302721"</f>
        <v>5554302721</v>
      </c>
      <c r="B6405" t="str">
        <f t="shared" si="312"/>
        <v>89301000</v>
      </c>
      <c r="C6405" s="1">
        <v>44510</v>
      </c>
      <c r="D6405" s="1">
        <v>44519</v>
      </c>
      <c r="E6405">
        <v>8</v>
      </c>
      <c r="F6405" t="s">
        <v>217</v>
      </c>
      <c r="G6405" t="str">
        <f>"00-M02-04"</f>
        <v>00-M02-04</v>
      </c>
      <c r="H6405">
        <v>12.071199999999999</v>
      </c>
      <c r="I6405" t="s">
        <v>4674</v>
      </c>
      <c r="J6405" t="s">
        <v>14</v>
      </c>
      <c r="K6405" t="str">
        <f>"7T8"</f>
        <v>7T8</v>
      </c>
      <c r="L6405" t="s">
        <v>15</v>
      </c>
    </row>
    <row r="6406" spans="1:12" x14ac:dyDescent="0.25">
      <c r="A6406" t="str">
        <f>"5555021263"</f>
        <v>5555021263</v>
      </c>
      <c r="B6406" t="str">
        <f t="shared" si="312"/>
        <v>89301000</v>
      </c>
      <c r="C6406" s="1">
        <v>44297</v>
      </c>
      <c r="D6406" s="1">
        <v>44299</v>
      </c>
      <c r="E6406">
        <v>1</v>
      </c>
      <c r="F6406" t="s">
        <v>2350</v>
      </c>
      <c r="G6406" t="str">
        <f>"01-M03-02"</f>
        <v>01-M03-02</v>
      </c>
      <c r="H6406">
        <v>2.7069999999999999</v>
      </c>
      <c r="I6406" t="s">
        <v>4614</v>
      </c>
      <c r="J6406" t="s">
        <v>17</v>
      </c>
      <c r="K6406" t="str">
        <f>"5F6"</f>
        <v>5F6</v>
      </c>
      <c r="L6406" t="s">
        <v>15</v>
      </c>
    </row>
    <row r="6407" spans="1:12" x14ac:dyDescent="0.25">
      <c r="A6407" t="str">
        <f>"5555021263"</f>
        <v>5555021263</v>
      </c>
      <c r="B6407" t="str">
        <f t="shared" si="312"/>
        <v>89301000</v>
      </c>
      <c r="C6407" s="1">
        <v>44287</v>
      </c>
      <c r="D6407" s="1">
        <v>44289</v>
      </c>
      <c r="E6407">
        <v>1</v>
      </c>
      <c r="F6407" t="s">
        <v>2350</v>
      </c>
      <c r="G6407" t="str">
        <f>"01-I09-02"</f>
        <v>01-I09-02</v>
      </c>
      <c r="H6407">
        <v>1.5302</v>
      </c>
      <c r="I6407" t="s">
        <v>860</v>
      </c>
      <c r="J6407" t="s">
        <v>17</v>
      </c>
      <c r="K6407" t="str">
        <f>"5F6"</f>
        <v>5F6</v>
      </c>
      <c r="L6407" t="s">
        <v>15</v>
      </c>
    </row>
    <row r="6408" spans="1:12" x14ac:dyDescent="0.25">
      <c r="A6408" t="str">
        <f>"5555031889"</f>
        <v>5555031889</v>
      </c>
      <c r="B6408" t="str">
        <f t="shared" si="312"/>
        <v>89301000</v>
      </c>
      <c r="C6408" s="1">
        <v>44299</v>
      </c>
      <c r="D6408" s="1">
        <v>44305</v>
      </c>
      <c r="E6408">
        <v>2</v>
      </c>
      <c r="F6408" t="s">
        <v>1204</v>
      </c>
      <c r="G6408" t="str">
        <f>"09-K01-04"</f>
        <v>09-K01-04</v>
      </c>
      <c r="H6408">
        <v>0.57820000000000005</v>
      </c>
      <c r="I6408" t="s">
        <v>4675</v>
      </c>
      <c r="J6408" t="s">
        <v>14</v>
      </c>
      <c r="K6408" t="str">
        <f>"1F1"</f>
        <v>1F1</v>
      </c>
      <c r="L6408" t="s">
        <v>15</v>
      </c>
    </row>
    <row r="6409" spans="1:12" x14ac:dyDescent="0.25">
      <c r="A6409" t="str">
        <f>"5555061666"</f>
        <v>5555061666</v>
      </c>
      <c r="B6409" t="str">
        <f t="shared" si="312"/>
        <v>89301000</v>
      </c>
      <c r="C6409" s="1">
        <v>44298</v>
      </c>
      <c r="D6409" s="1">
        <v>44300</v>
      </c>
      <c r="E6409">
        <v>1</v>
      </c>
      <c r="F6409" t="s">
        <v>831</v>
      </c>
      <c r="G6409" t="str">
        <f>"02-I06-03"</f>
        <v>02-I06-03</v>
      </c>
      <c r="H6409">
        <v>0.63690000000000002</v>
      </c>
      <c r="I6409" t="s">
        <v>4676</v>
      </c>
      <c r="J6409" t="s">
        <v>17</v>
      </c>
      <c r="K6409" t="str">
        <f>"7F5"</f>
        <v>7F5</v>
      </c>
      <c r="L6409" t="s">
        <v>15</v>
      </c>
    </row>
    <row r="6410" spans="1:12" x14ac:dyDescent="0.25">
      <c r="A6410" t="str">
        <f>"5555091916"</f>
        <v>5555091916</v>
      </c>
      <c r="B6410" t="str">
        <f t="shared" si="312"/>
        <v>89301000</v>
      </c>
      <c r="C6410" s="1">
        <v>44509</v>
      </c>
      <c r="D6410" s="1">
        <v>44512</v>
      </c>
      <c r="E6410">
        <v>1</v>
      </c>
      <c r="F6410" t="s">
        <v>496</v>
      </c>
      <c r="G6410" t="str">
        <f>"08-M03-05"</f>
        <v>08-M03-05</v>
      </c>
      <c r="H6410">
        <v>0.51759999999999995</v>
      </c>
      <c r="I6410" t="s">
        <v>2407</v>
      </c>
      <c r="J6410" t="s">
        <v>14</v>
      </c>
      <c r="K6410" t="str">
        <f>"6F6"</f>
        <v>6F6</v>
      </c>
      <c r="L6410" t="s">
        <v>15</v>
      </c>
    </row>
    <row r="6411" spans="1:12" x14ac:dyDescent="0.25">
      <c r="A6411" t="str">
        <f>"5555161986"</f>
        <v>5555161986</v>
      </c>
      <c r="B6411" t="str">
        <f t="shared" si="312"/>
        <v>89301000</v>
      </c>
      <c r="C6411" s="1">
        <v>44418</v>
      </c>
      <c r="D6411" s="1">
        <v>44420</v>
      </c>
      <c r="E6411">
        <v>1</v>
      </c>
      <c r="F6411" t="s">
        <v>2236</v>
      </c>
      <c r="G6411" t="str">
        <f>"10-K04-04"</f>
        <v>10-K04-04</v>
      </c>
      <c r="H6411">
        <v>0.56330000000000002</v>
      </c>
      <c r="I6411" t="s">
        <v>4677</v>
      </c>
      <c r="J6411" t="s">
        <v>14</v>
      </c>
      <c r="K6411" t="str">
        <f>"1F5"</f>
        <v>1F5</v>
      </c>
      <c r="L6411" t="s">
        <v>15</v>
      </c>
    </row>
    <row r="6412" spans="1:12" x14ac:dyDescent="0.25">
      <c r="A6412" t="str">
        <f>"5555291137"</f>
        <v>5555291137</v>
      </c>
      <c r="B6412" t="str">
        <f t="shared" si="312"/>
        <v>89301000</v>
      </c>
      <c r="C6412" s="1">
        <v>44284</v>
      </c>
      <c r="D6412" s="1">
        <v>44286</v>
      </c>
      <c r="E6412">
        <v>1</v>
      </c>
      <c r="F6412" t="s">
        <v>2162</v>
      </c>
      <c r="G6412" t="str">
        <f>"01-K01-02"</f>
        <v>01-K01-02</v>
      </c>
      <c r="H6412">
        <v>0.50700000000000001</v>
      </c>
      <c r="I6412" t="s">
        <v>2136</v>
      </c>
      <c r="J6412" t="s">
        <v>14</v>
      </c>
      <c r="K6412" t="str">
        <f>"2F9"</f>
        <v>2F9</v>
      </c>
      <c r="L6412" t="s">
        <v>15</v>
      </c>
    </row>
    <row r="6413" spans="1:12" x14ac:dyDescent="0.25">
      <c r="A6413" t="str">
        <f>"5555292292"</f>
        <v>5555292292</v>
      </c>
      <c r="B6413" t="str">
        <f t="shared" si="312"/>
        <v>89301000</v>
      </c>
      <c r="C6413" s="1">
        <v>44166</v>
      </c>
      <c r="D6413" s="1">
        <v>44234</v>
      </c>
      <c r="E6413">
        <v>8</v>
      </c>
      <c r="F6413" t="s">
        <v>2368</v>
      </c>
      <c r="G6413" t="str">
        <f>"08-I04-01"</f>
        <v>08-I04-01</v>
      </c>
      <c r="H6413">
        <v>10.248900000000001</v>
      </c>
      <c r="I6413" t="s">
        <v>4678</v>
      </c>
      <c r="J6413" t="s">
        <v>17</v>
      </c>
      <c r="K6413" t="str">
        <f>"4F2"</f>
        <v>4F2</v>
      </c>
      <c r="L6413" t="s">
        <v>15</v>
      </c>
    </row>
    <row r="6414" spans="1:12" x14ac:dyDescent="0.25">
      <c r="A6414" t="str">
        <f>"5555301829"</f>
        <v>5555301829</v>
      </c>
      <c r="B6414" t="str">
        <f t="shared" si="312"/>
        <v>89301000</v>
      </c>
      <c r="C6414" s="1">
        <v>44234</v>
      </c>
      <c r="D6414" s="1">
        <v>44237</v>
      </c>
      <c r="E6414">
        <v>1</v>
      </c>
      <c r="F6414" t="s">
        <v>609</v>
      </c>
      <c r="G6414" t="str">
        <f>"08-I16-03"</f>
        <v>08-I16-03</v>
      </c>
      <c r="H6414">
        <v>1.3984000000000001</v>
      </c>
      <c r="I6414" t="s">
        <v>211</v>
      </c>
      <c r="J6414" t="s">
        <v>17</v>
      </c>
      <c r="K6414" t="str">
        <f>"5F3"</f>
        <v>5F3</v>
      </c>
      <c r="L6414" t="s">
        <v>15</v>
      </c>
    </row>
    <row r="6415" spans="1:12" x14ac:dyDescent="0.25">
      <c r="A6415" t="str">
        <f>"5556032207"</f>
        <v>5556032207</v>
      </c>
      <c r="B6415" t="str">
        <f t="shared" si="312"/>
        <v>89301000</v>
      </c>
      <c r="C6415" s="1">
        <v>44452</v>
      </c>
      <c r="D6415" s="1">
        <v>44456</v>
      </c>
      <c r="E6415">
        <v>1</v>
      </c>
      <c r="F6415" t="s">
        <v>740</v>
      </c>
      <c r="G6415" t="str">
        <f>"08-K01-03"</f>
        <v>08-K01-03</v>
      </c>
      <c r="H6415">
        <v>0.65310000000000001</v>
      </c>
      <c r="I6415" t="s">
        <v>4679</v>
      </c>
      <c r="J6415" t="s">
        <v>14</v>
      </c>
      <c r="K6415" t="str">
        <f>"1F9"</f>
        <v>1F9</v>
      </c>
      <c r="L6415" t="s">
        <v>15</v>
      </c>
    </row>
    <row r="6416" spans="1:12" x14ac:dyDescent="0.25">
      <c r="A6416" t="str">
        <f>"5556041997"</f>
        <v>5556041997</v>
      </c>
      <c r="B6416" t="str">
        <f t="shared" si="312"/>
        <v>89301000</v>
      </c>
      <c r="C6416" s="1">
        <v>44461</v>
      </c>
      <c r="D6416" s="1">
        <v>44466</v>
      </c>
      <c r="E6416">
        <v>1</v>
      </c>
      <c r="F6416" t="s">
        <v>4545</v>
      </c>
      <c r="G6416" t="str">
        <f>"13-I13-02"</f>
        <v>13-I13-02</v>
      </c>
      <c r="H6416">
        <v>0.98650000000000004</v>
      </c>
      <c r="J6416" t="s">
        <v>17</v>
      </c>
      <c r="K6416" t="str">
        <f>"6F3"</f>
        <v>6F3</v>
      </c>
      <c r="L6416" t="s">
        <v>15</v>
      </c>
    </row>
    <row r="6417" spans="1:12" x14ac:dyDescent="0.25">
      <c r="A6417" t="str">
        <f>"5556092322"</f>
        <v>5556092322</v>
      </c>
      <c r="B6417" t="str">
        <f t="shared" si="312"/>
        <v>89301000</v>
      </c>
      <c r="C6417" s="1">
        <v>44216</v>
      </c>
      <c r="D6417" s="1">
        <v>44222</v>
      </c>
      <c r="E6417">
        <v>1</v>
      </c>
      <c r="F6417" t="s">
        <v>3758</v>
      </c>
      <c r="G6417" t="str">
        <f>"06-R01-08"</f>
        <v>06-R01-08</v>
      </c>
      <c r="H6417">
        <v>0.86509999999999998</v>
      </c>
      <c r="I6417" t="s">
        <v>4680</v>
      </c>
      <c r="J6417" t="s">
        <v>14</v>
      </c>
      <c r="K6417" t="str">
        <f>"4F2"</f>
        <v>4F2</v>
      </c>
      <c r="L6417" t="s">
        <v>15</v>
      </c>
    </row>
    <row r="6418" spans="1:12" x14ac:dyDescent="0.25">
      <c r="A6418" t="str">
        <f>"5556092322"</f>
        <v>5556092322</v>
      </c>
      <c r="B6418" t="str">
        <f t="shared" si="312"/>
        <v>89301000</v>
      </c>
      <c r="C6418" s="1">
        <v>44237</v>
      </c>
      <c r="D6418" s="1">
        <v>44246</v>
      </c>
      <c r="E6418">
        <v>8</v>
      </c>
      <c r="F6418" t="s">
        <v>3758</v>
      </c>
      <c r="G6418" t="str">
        <f>"06-R01-07"</f>
        <v>06-R01-07</v>
      </c>
      <c r="H6418">
        <v>1.8460000000000001</v>
      </c>
      <c r="I6418" t="s">
        <v>4681</v>
      </c>
      <c r="J6418" t="s">
        <v>14</v>
      </c>
      <c r="K6418" t="str">
        <f>"5F1"</f>
        <v>5F1</v>
      </c>
      <c r="L6418" t="s">
        <v>15</v>
      </c>
    </row>
    <row r="6419" spans="1:12" x14ac:dyDescent="0.25">
      <c r="A6419" t="str">
        <f>"5556110714"</f>
        <v>5556110714</v>
      </c>
      <c r="B6419" t="str">
        <f t="shared" si="312"/>
        <v>89301000</v>
      </c>
      <c r="C6419" s="1">
        <v>44501</v>
      </c>
      <c r="D6419" s="1">
        <v>44503</v>
      </c>
      <c r="E6419">
        <v>1</v>
      </c>
      <c r="F6419" t="s">
        <v>1606</v>
      </c>
      <c r="G6419" t="str">
        <f>"05-M05-02"</f>
        <v>05-M05-02</v>
      </c>
      <c r="H6419">
        <v>3.516</v>
      </c>
      <c r="J6419" t="s">
        <v>24</v>
      </c>
      <c r="K6419" t="str">
        <f>"1F1"</f>
        <v>1F1</v>
      </c>
      <c r="L6419" t="s">
        <v>15</v>
      </c>
    </row>
    <row r="6420" spans="1:12" x14ac:dyDescent="0.25">
      <c r="A6420" t="str">
        <f>"5556112342"</f>
        <v>5556112342</v>
      </c>
      <c r="B6420" t="str">
        <f t="shared" si="312"/>
        <v>89301000</v>
      </c>
      <c r="C6420" s="1">
        <v>44251</v>
      </c>
      <c r="D6420" s="1">
        <v>44255</v>
      </c>
      <c r="E6420">
        <v>1</v>
      </c>
      <c r="F6420" t="s">
        <v>2008</v>
      </c>
      <c r="G6420" t="str">
        <f>"13-I11-03"</f>
        <v>13-I11-03</v>
      </c>
      <c r="H6420">
        <v>1.3809</v>
      </c>
      <c r="J6420" t="s">
        <v>24</v>
      </c>
      <c r="K6420" t="str">
        <f>"6F3"</f>
        <v>6F3</v>
      </c>
      <c r="L6420" t="s">
        <v>15</v>
      </c>
    </row>
    <row r="6421" spans="1:12" x14ac:dyDescent="0.25">
      <c r="A6421" t="str">
        <f>"5556141943"</f>
        <v>5556141943</v>
      </c>
      <c r="B6421" t="str">
        <f t="shared" si="312"/>
        <v>89301000</v>
      </c>
      <c r="C6421" s="1">
        <v>44430</v>
      </c>
      <c r="D6421" s="1">
        <v>44439</v>
      </c>
      <c r="E6421">
        <v>1</v>
      </c>
      <c r="F6421" t="s">
        <v>4682</v>
      </c>
      <c r="G6421" t="str">
        <f>"07-I03-02"</f>
        <v>07-I03-02</v>
      </c>
      <c r="H6421">
        <v>3.3117000000000001</v>
      </c>
      <c r="I6421" t="s">
        <v>3022</v>
      </c>
      <c r="J6421" t="s">
        <v>17</v>
      </c>
      <c r="K6421" t="str">
        <f>"5F1"</f>
        <v>5F1</v>
      </c>
      <c r="L6421" t="s">
        <v>15</v>
      </c>
    </row>
    <row r="6422" spans="1:12" x14ac:dyDescent="0.25">
      <c r="A6422" t="str">
        <f>"5556152162"</f>
        <v>5556152162</v>
      </c>
      <c r="B6422" t="str">
        <f t="shared" si="312"/>
        <v>89301000</v>
      </c>
      <c r="C6422" s="1">
        <v>44487</v>
      </c>
      <c r="D6422" s="1">
        <v>44491</v>
      </c>
      <c r="E6422">
        <v>1</v>
      </c>
      <c r="F6422" t="s">
        <v>109</v>
      </c>
      <c r="G6422" t="str">
        <f>"24-M05-02"</f>
        <v>24-M05-02</v>
      </c>
      <c r="H6422">
        <v>0.58960000000000001</v>
      </c>
      <c r="I6422" t="s">
        <v>4138</v>
      </c>
      <c r="J6422" t="s">
        <v>14</v>
      </c>
      <c r="K6422" t="str">
        <f>"2F1"</f>
        <v>2F1</v>
      </c>
      <c r="L6422" t="s">
        <v>15</v>
      </c>
    </row>
    <row r="6423" spans="1:12" x14ac:dyDescent="0.25">
      <c r="A6423" t="str">
        <f>"5556171632"</f>
        <v>5556171632</v>
      </c>
      <c r="B6423" t="str">
        <f t="shared" si="312"/>
        <v>89301000</v>
      </c>
      <c r="C6423" s="1">
        <v>44230</v>
      </c>
      <c r="D6423" s="1">
        <v>44231</v>
      </c>
      <c r="E6423">
        <v>1</v>
      </c>
      <c r="F6423" t="s">
        <v>1950</v>
      </c>
      <c r="G6423" t="str">
        <f>"02-I13-02"</f>
        <v>02-I13-02</v>
      </c>
      <c r="H6423">
        <v>0.376</v>
      </c>
      <c r="J6423" t="s">
        <v>14</v>
      </c>
      <c r="K6423" t="str">
        <f>"7F5"</f>
        <v>7F5</v>
      </c>
      <c r="L6423" t="s">
        <v>15</v>
      </c>
    </row>
    <row r="6424" spans="1:12" x14ac:dyDescent="0.25">
      <c r="A6424" t="str">
        <f>"5556271644"</f>
        <v>5556271644</v>
      </c>
      <c r="B6424" t="str">
        <f t="shared" si="312"/>
        <v>89301000</v>
      </c>
      <c r="C6424" s="1">
        <v>44406</v>
      </c>
      <c r="D6424" s="1">
        <v>44420</v>
      </c>
      <c r="E6424">
        <v>4</v>
      </c>
      <c r="F6424" t="s">
        <v>4683</v>
      </c>
      <c r="G6424" t="str">
        <f>"08-K08-00"</f>
        <v>08-K08-00</v>
      </c>
      <c r="H6424">
        <v>0.67100000000000004</v>
      </c>
      <c r="I6424" t="s">
        <v>4684</v>
      </c>
      <c r="J6424" t="s">
        <v>14</v>
      </c>
      <c r="K6424" t="str">
        <f>"2F9"</f>
        <v>2F9</v>
      </c>
      <c r="L6424" t="s">
        <v>15</v>
      </c>
    </row>
    <row r="6425" spans="1:12" x14ac:dyDescent="0.25">
      <c r="A6425" t="str">
        <f>"5557071311"</f>
        <v>5557071311</v>
      </c>
      <c r="B6425" t="str">
        <f t="shared" si="312"/>
        <v>89301000</v>
      </c>
      <c r="C6425" s="1">
        <v>44236</v>
      </c>
      <c r="D6425" s="1">
        <v>44239</v>
      </c>
      <c r="E6425">
        <v>1</v>
      </c>
      <c r="F6425" t="s">
        <v>4685</v>
      </c>
      <c r="G6425" t="str">
        <f>"04-K03-01"</f>
        <v>04-K03-01</v>
      </c>
      <c r="H6425">
        <v>1.1687000000000001</v>
      </c>
      <c r="I6425" t="s">
        <v>4686</v>
      </c>
      <c r="J6425" t="s">
        <v>14</v>
      </c>
      <c r="K6425" t="str">
        <f>"2F5"</f>
        <v>2F5</v>
      </c>
      <c r="L6425" t="s">
        <v>15</v>
      </c>
    </row>
    <row r="6426" spans="1:12" x14ac:dyDescent="0.25">
      <c r="A6426" t="str">
        <f>"5557071311"</f>
        <v>5557071311</v>
      </c>
      <c r="B6426" t="str">
        <f t="shared" si="312"/>
        <v>89301000</v>
      </c>
      <c r="C6426" s="1">
        <v>44246</v>
      </c>
      <c r="D6426" s="1">
        <v>44249</v>
      </c>
      <c r="E6426">
        <v>1</v>
      </c>
      <c r="F6426" t="s">
        <v>2729</v>
      </c>
      <c r="G6426" t="str">
        <f>"04-M02-02"</f>
        <v>04-M02-02</v>
      </c>
      <c r="H6426">
        <v>2.1122999999999998</v>
      </c>
      <c r="I6426" t="s">
        <v>4687</v>
      </c>
      <c r="J6426" t="s">
        <v>14</v>
      </c>
      <c r="K6426" t="str">
        <f>"2F5"</f>
        <v>2F5</v>
      </c>
      <c r="L6426" t="s">
        <v>15</v>
      </c>
    </row>
    <row r="6427" spans="1:12" x14ac:dyDescent="0.25">
      <c r="A6427" t="str">
        <f t="shared" ref="A6427:A6434" si="313">"5557120690"</f>
        <v>5557120690</v>
      </c>
      <c r="B6427" t="str">
        <f t="shared" si="312"/>
        <v>89301000</v>
      </c>
      <c r="C6427" s="1">
        <v>44311</v>
      </c>
      <c r="D6427" s="1">
        <v>44318</v>
      </c>
      <c r="E6427">
        <v>1</v>
      </c>
      <c r="F6427" t="s">
        <v>1621</v>
      </c>
      <c r="G6427" t="str">
        <f>"07-I02-02"</f>
        <v>07-I02-02</v>
      </c>
      <c r="H6427">
        <v>3.5583999999999998</v>
      </c>
      <c r="I6427" t="s">
        <v>4688</v>
      </c>
      <c r="J6427" t="s">
        <v>17</v>
      </c>
      <c r="K6427" t="str">
        <f>"5F1"</f>
        <v>5F1</v>
      </c>
      <c r="L6427" t="s">
        <v>15</v>
      </c>
    </row>
    <row r="6428" spans="1:12" x14ac:dyDescent="0.25">
      <c r="A6428" t="str">
        <f t="shared" si="313"/>
        <v>5557120690</v>
      </c>
      <c r="B6428" t="str">
        <f t="shared" si="312"/>
        <v>89301000</v>
      </c>
      <c r="C6428" s="1">
        <v>44361</v>
      </c>
      <c r="D6428" s="1">
        <v>44362</v>
      </c>
      <c r="E6428">
        <v>1</v>
      </c>
      <c r="F6428" t="s">
        <v>2513</v>
      </c>
      <c r="G6428" t="str">
        <f>"06-K14-01"</f>
        <v>06-K14-01</v>
      </c>
      <c r="H6428">
        <v>0.80730000000000002</v>
      </c>
      <c r="I6428" t="s">
        <v>4689</v>
      </c>
      <c r="J6428" t="s">
        <v>14</v>
      </c>
      <c r="K6428" t="str">
        <f t="shared" ref="K6428:K6434" si="314">"4F2"</f>
        <v>4F2</v>
      </c>
      <c r="L6428" t="s">
        <v>15</v>
      </c>
    </row>
    <row r="6429" spans="1:12" x14ac:dyDescent="0.25">
      <c r="A6429" t="str">
        <f t="shared" si="313"/>
        <v>5557120690</v>
      </c>
      <c r="B6429" t="str">
        <f t="shared" si="312"/>
        <v>89301000</v>
      </c>
      <c r="C6429" s="1">
        <v>44368</v>
      </c>
      <c r="D6429" s="1">
        <v>44370</v>
      </c>
      <c r="E6429">
        <v>1</v>
      </c>
      <c r="F6429" t="s">
        <v>2513</v>
      </c>
      <c r="G6429" t="str">
        <f>"06-C02-03"</f>
        <v>06-C02-03</v>
      </c>
      <c r="H6429">
        <v>0.25769999999999998</v>
      </c>
      <c r="I6429" t="s">
        <v>541</v>
      </c>
      <c r="J6429" t="s">
        <v>14</v>
      </c>
      <c r="K6429" t="str">
        <f t="shared" si="314"/>
        <v>4F2</v>
      </c>
      <c r="L6429" t="s">
        <v>15</v>
      </c>
    </row>
    <row r="6430" spans="1:12" x14ac:dyDescent="0.25">
      <c r="A6430" t="str">
        <f t="shared" si="313"/>
        <v>5557120690</v>
      </c>
      <c r="B6430" t="str">
        <f t="shared" si="312"/>
        <v>89301000</v>
      </c>
      <c r="C6430" s="1">
        <v>44384</v>
      </c>
      <c r="D6430" s="1">
        <v>44386</v>
      </c>
      <c r="E6430">
        <v>1</v>
      </c>
      <c r="F6430" t="s">
        <v>2513</v>
      </c>
      <c r="G6430" t="str">
        <f>"06-C02-03"</f>
        <v>06-C02-03</v>
      </c>
      <c r="H6430">
        <v>0.25769999999999998</v>
      </c>
      <c r="I6430" t="s">
        <v>541</v>
      </c>
      <c r="J6430" t="s">
        <v>14</v>
      </c>
      <c r="K6430" t="str">
        <f t="shared" si="314"/>
        <v>4F2</v>
      </c>
      <c r="L6430" t="s">
        <v>15</v>
      </c>
    </row>
    <row r="6431" spans="1:12" x14ac:dyDescent="0.25">
      <c r="A6431" t="str">
        <f t="shared" si="313"/>
        <v>5557120690</v>
      </c>
      <c r="B6431" t="str">
        <f t="shared" si="312"/>
        <v>89301000</v>
      </c>
      <c r="C6431" s="1">
        <v>44398</v>
      </c>
      <c r="D6431" s="1">
        <v>44400</v>
      </c>
      <c r="E6431">
        <v>1</v>
      </c>
      <c r="F6431" t="s">
        <v>2513</v>
      </c>
      <c r="G6431" t="str">
        <f>"06-C02-03"</f>
        <v>06-C02-03</v>
      </c>
      <c r="H6431">
        <v>0.25769999999999998</v>
      </c>
      <c r="I6431" t="s">
        <v>541</v>
      </c>
      <c r="J6431" t="s">
        <v>14</v>
      </c>
      <c r="K6431" t="str">
        <f t="shared" si="314"/>
        <v>4F2</v>
      </c>
      <c r="L6431" t="s">
        <v>15</v>
      </c>
    </row>
    <row r="6432" spans="1:12" x14ac:dyDescent="0.25">
      <c r="A6432" t="str">
        <f t="shared" si="313"/>
        <v>5557120690</v>
      </c>
      <c r="B6432" t="str">
        <f t="shared" si="312"/>
        <v>89301000</v>
      </c>
      <c r="C6432" s="1">
        <v>44412</v>
      </c>
      <c r="D6432" s="1">
        <v>44414</v>
      </c>
      <c r="E6432">
        <v>1</v>
      </c>
      <c r="F6432" t="s">
        <v>2513</v>
      </c>
      <c r="G6432" t="str">
        <f>"06-C02-03"</f>
        <v>06-C02-03</v>
      </c>
      <c r="H6432">
        <v>0.25769999999999998</v>
      </c>
      <c r="I6432" t="s">
        <v>541</v>
      </c>
      <c r="J6432" t="s">
        <v>14</v>
      </c>
      <c r="K6432" t="str">
        <f t="shared" si="314"/>
        <v>4F2</v>
      </c>
      <c r="L6432" t="s">
        <v>15</v>
      </c>
    </row>
    <row r="6433" spans="1:12" x14ac:dyDescent="0.25">
      <c r="A6433" t="str">
        <f t="shared" si="313"/>
        <v>5557120690</v>
      </c>
      <c r="B6433" t="str">
        <f t="shared" si="312"/>
        <v>89301000</v>
      </c>
      <c r="C6433" s="1">
        <v>44431</v>
      </c>
      <c r="D6433" s="1">
        <v>44434</v>
      </c>
      <c r="E6433">
        <v>1</v>
      </c>
      <c r="F6433" t="s">
        <v>2513</v>
      </c>
      <c r="G6433" t="str">
        <f>"06-C02-01"</f>
        <v>06-C02-01</v>
      </c>
      <c r="H6433">
        <v>0.27229999999999999</v>
      </c>
      <c r="I6433" t="s">
        <v>2558</v>
      </c>
      <c r="J6433" t="s">
        <v>14</v>
      </c>
      <c r="K6433" t="str">
        <f t="shared" si="314"/>
        <v>4F2</v>
      </c>
      <c r="L6433" t="s">
        <v>15</v>
      </c>
    </row>
    <row r="6434" spans="1:12" x14ac:dyDescent="0.25">
      <c r="A6434" t="str">
        <f t="shared" si="313"/>
        <v>5557120690</v>
      </c>
      <c r="B6434" t="str">
        <f t="shared" si="312"/>
        <v>89301000</v>
      </c>
      <c r="C6434" s="1">
        <v>44347</v>
      </c>
      <c r="D6434" s="1">
        <v>44349</v>
      </c>
      <c r="E6434">
        <v>1</v>
      </c>
      <c r="F6434" t="s">
        <v>2513</v>
      </c>
      <c r="G6434" t="str">
        <f>"06-C02-03"</f>
        <v>06-C02-03</v>
      </c>
      <c r="H6434">
        <v>0.25769999999999998</v>
      </c>
      <c r="I6434" t="s">
        <v>541</v>
      </c>
      <c r="J6434" t="s">
        <v>14</v>
      </c>
      <c r="K6434" t="str">
        <f t="shared" si="314"/>
        <v>4F2</v>
      </c>
      <c r="L6434" t="s">
        <v>15</v>
      </c>
    </row>
    <row r="6435" spans="1:12" x14ac:dyDescent="0.25">
      <c r="A6435" t="str">
        <f>"5557121482"</f>
        <v>5557121482</v>
      </c>
      <c r="B6435" t="str">
        <f t="shared" si="312"/>
        <v>89301000</v>
      </c>
      <c r="C6435" s="1">
        <v>44522</v>
      </c>
      <c r="D6435" s="1">
        <v>44525</v>
      </c>
      <c r="E6435">
        <v>1</v>
      </c>
      <c r="F6435" t="s">
        <v>586</v>
      </c>
      <c r="G6435" t="str">
        <f>"03-K03-02"</f>
        <v>03-K03-02</v>
      </c>
      <c r="H6435">
        <v>0.49249999999999999</v>
      </c>
      <c r="I6435" t="s">
        <v>4690</v>
      </c>
      <c r="J6435" t="s">
        <v>14</v>
      </c>
      <c r="K6435" t="str">
        <f>"6F5"</f>
        <v>6F5</v>
      </c>
      <c r="L6435" t="s">
        <v>15</v>
      </c>
    </row>
    <row r="6436" spans="1:12" x14ac:dyDescent="0.25">
      <c r="A6436" t="str">
        <f t="shared" ref="A6436:A6445" si="315">"5557201056"</f>
        <v>5557201056</v>
      </c>
      <c r="B6436" t="str">
        <f t="shared" si="312"/>
        <v>89301000</v>
      </c>
      <c r="C6436" s="1">
        <v>44558</v>
      </c>
      <c r="D6436" s="1">
        <v>44560</v>
      </c>
      <c r="E6436">
        <v>1</v>
      </c>
      <c r="F6436" t="s">
        <v>2910</v>
      </c>
      <c r="G6436" t="str">
        <f>"06-C02-03"</f>
        <v>06-C02-03</v>
      </c>
      <c r="H6436">
        <v>0.25769999999999998</v>
      </c>
      <c r="I6436" t="s">
        <v>541</v>
      </c>
      <c r="J6436" t="s">
        <v>14</v>
      </c>
      <c r="K6436" t="str">
        <f t="shared" ref="K6436:K6442" si="316">"4F2"</f>
        <v>4F2</v>
      </c>
      <c r="L6436" t="s">
        <v>15</v>
      </c>
    </row>
    <row r="6437" spans="1:12" x14ac:dyDescent="0.25">
      <c r="A6437" t="str">
        <f t="shared" si="315"/>
        <v>5557201056</v>
      </c>
      <c r="B6437" t="str">
        <f t="shared" si="312"/>
        <v>89301000</v>
      </c>
      <c r="C6437" s="1">
        <v>44321</v>
      </c>
      <c r="D6437" s="1">
        <v>44322</v>
      </c>
      <c r="E6437">
        <v>1</v>
      </c>
      <c r="F6437" t="s">
        <v>2910</v>
      </c>
      <c r="G6437" t="str">
        <f>"06-K14-02"</f>
        <v>06-K14-02</v>
      </c>
      <c r="H6437">
        <v>0.57279999999999998</v>
      </c>
      <c r="I6437" t="s">
        <v>4691</v>
      </c>
      <c r="J6437" t="s">
        <v>14</v>
      </c>
      <c r="K6437" t="str">
        <f t="shared" si="316"/>
        <v>4F2</v>
      </c>
      <c r="L6437" t="s">
        <v>15</v>
      </c>
    </row>
    <row r="6438" spans="1:12" x14ac:dyDescent="0.25">
      <c r="A6438" t="str">
        <f t="shared" si="315"/>
        <v>5557201056</v>
      </c>
      <c r="B6438" t="str">
        <f t="shared" si="312"/>
        <v>89301000</v>
      </c>
      <c r="C6438" s="1">
        <v>44375</v>
      </c>
      <c r="D6438" s="1">
        <v>44378</v>
      </c>
      <c r="E6438">
        <v>1</v>
      </c>
      <c r="F6438" t="s">
        <v>2910</v>
      </c>
      <c r="G6438" t="str">
        <f>"06-C02-03"</f>
        <v>06-C02-03</v>
      </c>
      <c r="H6438">
        <v>0.25769999999999998</v>
      </c>
      <c r="I6438" t="s">
        <v>2946</v>
      </c>
      <c r="J6438" t="s">
        <v>14</v>
      </c>
      <c r="K6438" t="str">
        <f t="shared" si="316"/>
        <v>4F2</v>
      </c>
      <c r="L6438" t="s">
        <v>15</v>
      </c>
    </row>
    <row r="6439" spans="1:12" x14ac:dyDescent="0.25">
      <c r="A6439" t="str">
        <f t="shared" si="315"/>
        <v>5557201056</v>
      </c>
      <c r="B6439" t="str">
        <f t="shared" si="312"/>
        <v>89301000</v>
      </c>
      <c r="C6439" s="1">
        <v>44390</v>
      </c>
      <c r="D6439" s="1">
        <v>44392</v>
      </c>
      <c r="E6439">
        <v>1</v>
      </c>
      <c r="F6439" t="s">
        <v>2910</v>
      </c>
      <c r="G6439" t="str">
        <f>"06-C02-03"</f>
        <v>06-C02-03</v>
      </c>
      <c r="H6439">
        <v>0.25769999999999998</v>
      </c>
      <c r="I6439" t="s">
        <v>2946</v>
      </c>
      <c r="J6439" t="s">
        <v>14</v>
      </c>
      <c r="K6439" t="str">
        <f t="shared" si="316"/>
        <v>4F2</v>
      </c>
      <c r="L6439" t="s">
        <v>15</v>
      </c>
    </row>
    <row r="6440" spans="1:12" x14ac:dyDescent="0.25">
      <c r="A6440" t="str">
        <f t="shared" si="315"/>
        <v>5557201056</v>
      </c>
      <c r="B6440" t="str">
        <f t="shared" si="312"/>
        <v>89301000</v>
      </c>
      <c r="C6440" s="1">
        <v>44419</v>
      </c>
      <c r="D6440" s="1">
        <v>44421</v>
      </c>
      <c r="E6440">
        <v>1</v>
      </c>
      <c r="F6440" t="s">
        <v>2910</v>
      </c>
      <c r="G6440" t="str">
        <f>"06-C02-03"</f>
        <v>06-C02-03</v>
      </c>
      <c r="H6440">
        <v>0.25769999999999998</v>
      </c>
      <c r="I6440" t="s">
        <v>4692</v>
      </c>
      <c r="J6440" t="s">
        <v>14</v>
      </c>
      <c r="K6440" t="str">
        <f t="shared" si="316"/>
        <v>4F2</v>
      </c>
      <c r="L6440" t="s">
        <v>15</v>
      </c>
    </row>
    <row r="6441" spans="1:12" x14ac:dyDescent="0.25">
      <c r="A6441" t="str">
        <f t="shared" si="315"/>
        <v>5557201056</v>
      </c>
      <c r="B6441" t="str">
        <f t="shared" si="312"/>
        <v>89301000</v>
      </c>
      <c r="C6441" s="1">
        <v>44432</v>
      </c>
      <c r="D6441" s="1">
        <v>44434</v>
      </c>
      <c r="E6441">
        <v>1</v>
      </c>
      <c r="F6441" t="s">
        <v>2910</v>
      </c>
      <c r="G6441" t="str">
        <f>"06-C02-03"</f>
        <v>06-C02-03</v>
      </c>
      <c r="H6441">
        <v>0.25769999999999998</v>
      </c>
      <c r="I6441" t="s">
        <v>4692</v>
      </c>
      <c r="J6441" t="s">
        <v>14</v>
      </c>
      <c r="K6441" t="str">
        <f t="shared" si="316"/>
        <v>4F2</v>
      </c>
      <c r="L6441" t="s">
        <v>15</v>
      </c>
    </row>
    <row r="6442" spans="1:12" x14ac:dyDescent="0.25">
      <c r="A6442" t="str">
        <f t="shared" si="315"/>
        <v>5557201056</v>
      </c>
      <c r="B6442" t="str">
        <f t="shared" si="312"/>
        <v>89301000</v>
      </c>
      <c r="C6442" s="1">
        <v>44447</v>
      </c>
      <c r="D6442" s="1">
        <v>44449</v>
      </c>
      <c r="E6442">
        <v>1</v>
      </c>
      <c r="F6442" t="s">
        <v>2910</v>
      </c>
      <c r="G6442" t="str">
        <f>"06-C02-03"</f>
        <v>06-C02-03</v>
      </c>
      <c r="H6442">
        <v>0.25769999999999998</v>
      </c>
      <c r="I6442" t="s">
        <v>2946</v>
      </c>
      <c r="J6442" t="s">
        <v>14</v>
      </c>
      <c r="K6442" t="str">
        <f t="shared" si="316"/>
        <v>4F2</v>
      </c>
      <c r="L6442" t="s">
        <v>15</v>
      </c>
    </row>
    <row r="6443" spans="1:12" x14ac:dyDescent="0.25">
      <c r="A6443" t="str">
        <f t="shared" si="315"/>
        <v>5557201056</v>
      </c>
      <c r="B6443" t="str">
        <f t="shared" si="312"/>
        <v>89301000</v>
      </c>
      <c r="C6443" s="1">
        <v>44494</v>
      </c>
      <c r="D6443" s="1">
        <v>44509</v>
      </c>
      <c r="E6443">
        <v>1</v>
      </c>
      <c r="F6443" t="s">
        <v>1621</v>
      </c>
      <c r="G6443" t="str">
        <f>"07-I04-02"</f>
        <v>07-I04-02</v>
      </c>
      <c r="H6443">
        <v>2.4611000000000001</v>
      </c>
      <c r="I6443" t="s">
        <v>4693</v>
      </c>
      <c r="J6443" t="s">
        <v>17</v>
      </c>
      <c r="K6443" t="str">
        <f>"5F1"</f>
        <v>5F1</v>
      </c>
      <c r="L6443" t="s">
        <v>15</v>
      </c>
    </row>
    <row r="6444" spans="1:12" x14ac:dyDescent="0.25">
      <c r="A6444" t="str">
        <f t="shared" si="315"/>
        <v>5557201056</v>
      </c>
      <c r="B6444" t="str">
        <f t="shared" si="312"/>
        <v>89301000</v>
      </c>
      <c r="C6444" s="1">
        <v>44537</v>
      </c>
      <c r="D6444" s="1">
        <v>44540</v>
      </c>
      <c r="E6444">
        <v>1</v>
      </c>
      <c r="F6444" t="s">
        <v>2910</v>
      </c>
      <c r="G6444" t="str">
        <f>"06-C02-03"</f>
        <v>06-C02-03</v>
      </c>
      <c r="H6444">
        <v>0.25769999999999998</v>
      </c>
      <c r="I6444" t="s">
        <v>541</v>
      </c>
      <c r="J6444" t="s">
        <v>14</v>
      </c>
      <c r="K6444" t="str">
        <f>"4F2"</f>
        <v>4F2</v>
      </c>
      <c r="L6444" t="s">
        <v>15</v>
      </c>
    </row>
    <row r="6445" spans="1:12" x14ac:dyDescent="0.25">
      <c r="A6445" t="str">
        <f t="shared" si="315"/>
        <v>5557201056</v>
      </c>
      <c r="B6445" t="str">
        <f t="shared" si="312"/>
        <v>89301000</v>
      </c>
      <c r="C6445" s="1">
        <v>44405</v>
      </c>
      <c r="D6445" s="1">
        <v>44407</v>
      </c>
      <c r="E6445">
        <v>1</v>
      </c>
      <c r="F6445" t="s">
        <v>2910</v>
      </c>
      <c r="G6445" t="str">
        <f>"06-C02-03"</f>
        <v>06-C02-03</v>
      </c>
      <c r="H6445">
        <v>0.25769999999999998</v>
      </c>
      <c r="I6445" t="s">
        <v>4692</v>
      </c>
      <c r="J6445" t="s">
        <v>14</v>
      </c>
      <c r="K6445" t="str">
        <f>"4F2"</f>
        <v>4F2</v>
      </c>
      <c r="L6445" t="s">
        <v>15</v>
      </c>
    </row>
    <row r="6446" spans="1:12" x14ac:dyDescent="0.25">
      <c r="A6446" t="str">
        <f>"5557301024"</f>
        <v>5557301024</v>
      </c>
      <c r="B6446" t="str">
        <f t="shared" si="312"/>
        <v>89301000</v>
      </c>
      <c r="C6446" s="1">
        <v>44490</v>
      </c>
      <c r="D6446" s="1">
        <v>44491</v>
      </c>
      <c r="E6446">
        <v>1</v>
      </c>
      <c r="F6446" t="s">
        <v>1859</v>
      </c>
      <c r="G6446" t="str">
        <f>"03-I23-00"</f>
        <v>03-I23-00</v>
      </c>
      <c r="H6446">
        <v>0.47639999999999999</v>
      </c>
      <c r="I6446" t="s">
        <v>1983</v>
      </c>
      <c r="J6446" t="s">
        <v>14</v>
      </c>
      <c r="K6446" t="str">
        <f>"6F5"</f>
        <v>6F5</v>
      </c>
      <c r="L6446" t="s">
        <v>15</v>
      </c>
    </row>
    <row r="6447" spans="1:12" x14ac:dyDescent="0.25">
      <c r="A6447" t="str">
        <f>"5558030621"</f>
        <v>5558030621</v>
      </c>
      <c r="B6447" t="str">
        <f t="shared" si="312"/>
        <v>89301000</v>
      </c>
      <c r="C6447" s="1">
        <v>44459</v>
      </c>
      <c r="D6447" s="1">
        <v>44462</v>
      </c>
      <c r="E6447">
        <v>1</v>
      </c>
      <c r="F6447" t="s">
        <v>1606</v>
      </c>
      <c r="G6447" t="str">
        <f>"05-M05-02"</f>
        <v>05-M05-02</v>
      </c>
      <c r="H6447">
        <v>3.516</v>
      </c>
      <c r="I6447" t="s">
        <v>1959</v>
      </c>
      <c r="J6447" t="s">
        <v>24</v>
      </c>
      <c r="K6447" t="str">
        <f>"1F1"</f>
        <v>1F1</v>
      </c>
      <c r="L6447" t="s">
        <v>15</v>
      </c>
    </row>
    <row r="6448" spans="1:12" x14ac:dyDescent="0.25">
      <c r="A6448" t="str">
        <f>"5558131359"</f>
        <v>5558131359</v>
      </c>
      <c r="B6448" t="str">
        <f t="shared" si="312"/>
        <v>89301000</v>
      </c>
      <c r="C6448" s="1">
        <v>44461</v>
      </c>
      <c r="D6448" s="1">
        <v>44490</v>
      </c>
      <c r="E6448">
        <v>4</v>
      </c>
      <c r="F6448" t="s">
        <v>4694</v>
      </c>
      <c r="G6448" t="str">
        <f>"08-K01-01"</f>
        <v>08-K01-01</v>
      </c>
      <c r="H6448">
        <v>1.9581999999999999</v>
      </c>
      <c r="I6448" t="s">
        <v>4695</v>
      </c>
      <c r="J6448" t="s">
        <v>14</v>
      </c>
      <c r="K6448" t="str">
        <f>"1F9"</f>
        <v>1F9</v>
      </c>
      <c r="L6448" t="s">
        <v>15</v>
      </c>
    </row>
    <row r="6449" spans="1:12" x14ac:dyDescent="0.25">
      <c r="A6449" t="str">
        <f>"5558160652"</f>
        <v>5558160652</v>
      </c>
      <c r="B6449" t="str">
        <f t="shared" si="312"/>
        <v>89301000</v>
      </c>
      <c r="C6449" s="1">
        <v>44371</v>
      </c>
      <c r="D6449" s="1">
        <v>44373</v>
      </c>
      <c r="E6449">
        <v>1</v>
      </c>
      <c r="F6449" t="s">
        <v>1805</v>
      </c>
      <c r="G6449" t="str">
        <f>"13-I19-00"</f>
        <v>13-I19-00</v>
      </c>
      <c r="H6449">
        <v>0.24679999999999999</v>
      </c>
      <c r="I6449" t="s">
        <v>489</v>
      </c>
      <c r="J6449" t="s">
        <v>14</v>
      </c>
      <c r="K6449" t="str">
        <f>"6F3"</f>
        <v>6F3</v>
      </c>
      <c r="L6449" t="s">
        <v>15</v>
      </c>
    </row>
    <row r="6450" spans="1:12" x14ac:dyDescent="0.25">
      <c r="A6450" t="str">
        <f>"5558191771"</f>
        <v>5558191771</v>
      </c>
      <c r="B6450" t="str">
        <f t="shared" si="312"/>
        <v>89301000</v>
      </c>
      <c r="C6450" s="1">
        <v>44277</v>
      </c>
      <c r="D6450" s="1">
        <v>44280</v>
      </c>
      <c r="E6450">
        <v>1</v>
      </c>
      <c r="F6450" t="s">
        <v>489</v>
      </c>
      <c r="G6450" t="str">
        <f>"05-K14-03"</f>
        <v>05-K14-03</v>
      </c>
      <c r="H6450">
        <v>0.44159999999999999</v>
      </c>
      <c r="I6450" t="s">
        <v>551</v>
      </c>
      <c r="J6450" t="s">
        <v>14</v>
      </c>
      <c r="K6450" t="str">
        <f>"1F7"</f>
        <v>1F7</v>
      </c>
      <c r="L6450" t="s">
        <v>15</v>
      </c>
    </row>
    <row r="6451" spans="1:12" x14ac:dyDescent="0.25">
      <c r="A6451" t="str">
        <f>"5558201946"</f>
        <v>5558201946</v>
      </c>
      <c r="B6451" t="str">
        <f t="shared" si="312"/>
        <v>89301000</v>
      </c>
      <c r="C6451" s="1">
        <v>44267</v>
      </c>
      <c r="D6451" s="1">
        <v>44272</v>
      </c>
      <c r="E6451">
        <v>1</v>
      </c>
      <c r="F6451" t="s">
        <v>699</v>
      </c>
      <c r="G6451" t="str">
        <f>"16-K02-02"</f>
        <v>16-K02-02</v>
      </c>
      <c r="H6451">
        <v>0.77459999999999996</v>
      </c>
      <c r="I6451" t="s">
        <v>4696</v>
      </c>
      <c r="J6451" t="s">
        <v>14</v>
      </c>
      <c r="K6451" t="str">
        <f>"1F1"</f>
        <v>1F1</v>
      </c>
      <c r="L6451" t="s">
        <v>15</v>
      </c>
    </row>
    <row r="6452" spans="1:12" x14ac:dyDescent="0.25">
      <c r="A6452" t="str">
        <f>"5558201946"</f>
        <v>5558201946</v>
      </c>
      <c r="B6452" t="str">
        <f t="shared" si="312"/>
        <v>89301000</v>
      </c>
      <c r="C6452" s="1">
        <v>44421</v>
      </c>
      <c r="D6452" s="1">
        <v>44427</v>
      </c>
      <c r="E6452">
        <v>5</v>
      </c>
      <c r="F6452" t="s">
        <v>1096</v>
      </c>
      <c r="G6452" t="str">
        <f>"00-M01-04"</f>
        <v>00-M01-04</v>
      </c>
      <c r="H6452">
        <v>6.85</v>
      </c>
      <c r="I6452" t="s">
        <v>4697</v>
      </c>
      <c r="J6452" t="s">
        <v>14</v>
      </c>
      <c r="K6452" t="str">
        <f>"7T8"</f>
        <v>7T8</v>
      </c>
      <c r="L6452" t="s">
        <v>15</v>
      </c>
    </row>
    <row r="6453" spans="1:12" x14ac:dyDescent="0.25">
      <c r="A6453" t="str">
        <f>"5558201946"</f>
        <v>5558201946</v>
      </c>
      <c r="B6453" t="str">
        <f t="shared" si="312"/>
        <v>89301000</v>
      </c>
      <c r="C6453" s="1">
        <v>44405</v>
      </c>
      <c r="D6453" s="1">
        <v>44413</v>
      </c>
      <c r="E6453">
        <v>4</v>
      </c>
      <c r="F6453" t="s">
        <v>448</v>
      </c>
      <c r="G6453" t="str">
        <f>"11-K01-01"</f>
        <v>11-K01-01</v>
      </c>
      <c r="H6453">
        <v>1.2689999999999999</v>
      </c>
      <c r="I6453" t="s">
        <v>4698</v>
      </c>
      <c r="J6453" t="s">
        <v>14</v>
      </c>
      <c r="K6453" t="str">
        <f>"1F1"</f>
        <v>1F1</v>
      </c>
      <c r="L6453" t="s">
        <v>15</v>
      </c>
    </row>
    <row r="6454" spans="1:12" x14ac:dyDescent="0.25">
      <c r="A6454" t="str">
        <f>"5558210790"</f>
        <v>5558210790</v>
      </c>
      <c r="B6454" t="str">
        <f t="shared" si="312"/>
        <v>89301000</v>
      </c>
      <c r="C6454" s="1">
        <v>44480</v>
      </c>
      <c r="D6454" s="1">
        <v>44487</v>
      </c>
      <c r="E6454">
        <v>4</v>
      </c>
      <c r="F6454" t="s">
        <v>2407</v>
      </c>
      <c r="G6454" t="str">
        <f>"08-I06-04"</f>
        <v>08-I06-04</v>
      </c>
      <c r="H6454">
        <v>2.4260000000000002</v>
      </c>
      <c r="I6454" t="s">
        <v>489</v>
      </c>
      <c r="J6454" t="s">
        <v>24</v>
      </c>
      <c r="K6454" t="str">
        <f>"6F6"</f>
        <v>6F6</v>
      </c>
      <c r="L6454" t="s">
        <v>15</v>
      </c>
    </row>
    <row r="6455" spans="1:12" x14ac:dyDescent="0.25">
      <c r="A6455" t="str">
        <f>"5558210790"</f>
        <v>5558210790</v>
      </c>
      <c r="B6455" t="str">
        <f t="shared" si="312"/>
        <v>89301000</v>
      </c>
      <c r="C6455" s="1">
        <v>44248</v>
      </c>
      <c r="D6455" s="1">
        <v>44251</v>
      </c>
      <c r="E6455">
        <v>1</v>
      </c>
      <c r="F6455" t="s">
        <v>3894</v>
      </c>
      <c r="G6455" t="str">
        <f>"08-M03-01"</f>
        <v>08-M03-01</v>
      </c>
      <c r="H6455">
        <v>1.0429999999999999</v>
      </c>
      <c r="I6455" t="s">
        <v>3567</v>
      </c>
      <c r="J6455" t="s">
        <v>14</v>
      </c>
      <c r="K6455" t="str">
        <f>"6F6"</f>
        <v>6F6</v>
      </c>
      <c r="L6455" t="s">
        <v>15</v>
      </c>
    </row>
    <row r="6456" spans="1:12" x14ac:dyDescent="0.25">
      <c r="A6456" t="str">
        <f>"5558261720"</f>
        <v>5558261720</v>
      </c>
      <c r="B6456" t="str">
        <f t="shared" si="312"/>
        <v>89301000</v>
      </c>
      <c r="C6456" s="1">
        <v>44259</v>
      </c>
      <c r="D6456" s="1">
        <v>44268</v>
      </c>
      <c r="E6456">
        <v>1</v>
      </c>
      <c r="F6456" t="s">
        <v>23</v>
      </c>
      <c r="G6456" t="str">
        <f>"06-I18-04"</f>
        <v>06-I18-04</v>
      </c>
      <c r="H6456">
        <v>1.1514</v>
      </c>
      <c r="I6456" t="s">
        <v>4699</v>
      </c>
      <c r="J6456" t="s">
        <v>24</v>
      </c>
      <c r="K6456" t="str">
        <f>"5F1"</f>
        <v>5F1</v>
      </c>
      <c r="L6456" t="s">
        <v>15</v>
      </c>
    </row>
    <row r="6457" spans="1:12" x14ac:dyDescent="0.25">
      <c r="A6457" t="str">
        <f t="shared" ref="A6457:A6463" si="317">"5558271158"</f>
        <v>5558271158</v>
      </c>
      <c r="B6457" t="str">
        <f t="shared" si="312"/>
        <v>89301000</v>
      </c>
      <c r="C6457" s="1">
        <v>44336</v>
      </c>
      <c r="D6457" s="1">
        <v>44337</v>
      </c>
      <c r="E6457">
        <v>1</v>
      </c>
      <c r="F6457" t="s">
        <v>3796</v>
      </c>
      <c r="G6457" t="str">
        <f>"08-C04-02"</f>
        <v>08-C04-02</v>
      </c>
      <c r="H6457">
        <v>0.43919999999999998</v>
      </c>
      <c r="I6457" t="s">
        <v>4700</v>
      </c>
      <c r="J6457" t="s">
        <v>14</v>
      </c>
      <c r="K6457" t="str">
        <f>"1F9"</f>
        <v>1F9</v>
      </c>
      <c r="L6457" t="s">
        <v>15</v>
      </c>
    </row>
    <row r="6458" spans="1:12" x14ac:dyDescent="0.25">
      <c r="A6458" t="str">
        <f t="shared" si="317"/>
        <v>5558271158</v>
      </c>
      <c r="B6458" t="str">
        <f t="shared" si="312"/>
        <v>89301000</v>
      </c>
      <c r="C6458" s="1">
        <v>44368</v>
      </c>
      <c r="D6458" s="1">
        <v>44371</v>
      </c>
      <c r="E6458">
        <v>1</v>
      </c>
      <c r="F6458" t="s">
        <v>3796</v>
      </c>
      <c r="G6458" t="str">
        <f>"08-C04-02"</f>
        <v>08-C04-02</v>
      </c>
      <c r="H6458">
        <v>0.43919999999999998</v>
      </c>
      <c r="I6458" t="s">
        <v>4700</v>
      </c>
      <c r="J6458" t="s">
        <v>14</v>
      </c>
      <c r="K6458" t="str">
        <f>"1F9"</f>
        <v>1F9</v>
      </c>
      <c r="L6458" t="s">
        <v>15</v>
      </c>
    </row>
    <row r="6459" spans="1:12" x14ac:dyDescent="0.25">
      <c r="A6459" t="str">
        <f t="shared" si="317"/>
        <v>5558271158</v>
      </c>
      <c r="B6459" t="str">
        <f t="shared" si="312"/>
        <v>89301000</v>
      </c>
      <c r="C6459" s="1">
        <v>44501</v>
      </c>
      <c r="D6459" s="1">
        <v>44502</v>
      </c>
      <c r="E6459">
        <v>1</v>
      </c>
      <c r="F6459" t="s">
        <v>1557</v>
      </c>
      <c r="G6459" t="str">
        <f>"05-M06-08"</f>
        <v>05-M06-08</v>
      </c>
      <c r="H6459">
        <v>1.4719</v>
      </c>
      <c r="J6459" t="s">
        <v>17</v>
      </c>
      <c r="K6459" t="str">
        <f>"1F7"</f>
        <v>1F7</v>
      </c>
      <c r="L6459" t="s">
        <v>15</v>
      </c>
    </row>
    <row r="6460" spans="1:12" x14ac:dyDescent="0.25">
      <c r="A6460" t="str">
        <f t="shared" si="317"/>
        <v>5558271158</v>
      </c>
      <c r="B6460" t="str">
        <f t="shared" si="312"/>
        <v>89301000</v>
      </c>
      <c r="C6460" s="1">
        <v>44244</v>
      </c>
      <c r="D6460" s="1">
        <v>44245</v>
      </c>
      <c r="E6460">
        <v>1</v>
      </c>
      <c r="F6460" t="s">
        <v>3796</v>
      </c>
      <c r="G6460" t="str">
        <f>"08-C04-02"</f>
        <v>08-C04-02</v>
      </c>
      <c r="H6460">
        <v>0.43919999999999998</v>
      </c>
      <c r="I6460" t="s">
        <v>4701</v>
      </c>
      <c r="J6460" t="s">
        <v>14</v>
      </c>
      <c r="K6460" t="str">
        <f>"1F9"</f>
        <v>1F9</v>
      </c>
      <c r="L6460" t="s">
        <v>15</v>
      </c>
    </row>
    <row r="6461" spans="1:12" x14ac:dyDescent="0.25">
      <c r="A6461" t="str">
        <f t="shared" si="317"/>
        <v>5558271158</v>
      </c>
      <c r="B6461" t="str">
        <f t="shared" si="312"/>
        <v>89301000</v>
      </c>
      <c r="C6461" s="1">
        <v>44300</v>
      </c>
      <c r="D6461" s="1">
        <v>44301</v>
      </c>
      <c r="E6461">
        <v>1</v>
      </c>
      <c r="F6461" t="s">
        <v>3796</v>
      </c>
      <c r="G6461" t="str">
        <f>"08-C04-02"</f>
        <v>08-C04-02</v>
      </c>
      <c r="H6461">
        <v>0.43919999999999998</v>
      </c>
      <c r="I6461" t="s">
        <v>4700</v>
      </c>
      <c r="J6461" t="s">
        <v>14</v>
      </c>
      <c r="K6461" t="str">
        <f>"1F9"</f>
        <v>1F9</v>
      </c>
      <c r="L6461" t="s">
        <v>15</v>
      </c>
    </row>
    <row r="6462" spans="1:12" x14ac:dyDescent="0.25">
      <c r="A6462" t="str">
        <f t="shared" si="317"/>
        <v>5558271158</v>
      </c>
      <c r="B6462" t="str">
        <f t="shared" si="312"/>
        <v>89301000</v>
      </c>
      <c r="C6462" s="1">
        <v>44272</v>
      </c>
      <c r="D6462" s="1">
        <v>44273</v>
      </c>
      <c r="E6462">
        <v>1</v>
      </c>
      <c r="F6462" t="s">
        <v>3796</v>
      </c>
      <c r="G6462" t="str">
        <f>"08-C04-02"</f>
        <v>08-C04-02</v>
      </c>
      <c r="H6462">
        <v>0.43919999999999998</v>
      </c>
      <c r="I6462" t="s">
        <v>4700</v>
      </c>
      <c r="J6462" t="s">
        <v>14</v>
      </c>
      <c r="K6462" t="str">
        <f>"1F1"</f>
        <v>1F1</v>
      </c>
      <c r="L6462" t="s">
        <v>15</v>
      </c>
    </row>
    <row r="6463" spans="1:12" x14ac:dyDescent="0.25">
      <c r="A6463" t="str">
        <f t="shared" si="317"/>
        <v>5558271158</v>
      </c>
      <c r="B6463" t="str">
        <f t="shared" si="312"/>
        <v>89301000</v>
      </c>
      <c r="C6463" s="1">
        <v>44207</v>
      </c>
      <c r="D6463" s="1">
        <v>44216</v>
      </c>
      <c r="E6463">
        <v>1</v>
      </c>
      <c r="F6463" t="s">
        <v>3796</v>
      </c>
      <c r="G6463" t="str">
        <f>"08-C04-02"</f>
        <v>08-C04-02</v>
      </c>
      <c r="H6463">
        <v>0.43919999999999998</v>
      </c>
      <c r="I6463" t="s">
        <v>4702</v>
      </c>
      <c r="J6463" t="s">
        <v>14</v>
      </c>
      <c r="K6463" t="str">
        <f>"1F9"</f>
        <v>1F9</v>
      </c>
      <c r="L6463" t="s">
        <v>15</v>
      </c>
    </row>
    <row r="6464" spans="1:12" x14ac:dyDescent="0.25">
      <c r="A6464" t="str">
        <f>"5559010633"</f>
        <v>5559010633</v>
      </c>
      <c r="B6464" t="str">
        <f t="shared" ref="B6464:B6526" si="318">"89301000"</f>
        <v>89301000</v>
      </c>
      <c r="C6464" s="1">
        <v>44422</v>
      </c>
      <c r="D6464" s="1">
        <v>44425</v>
      </c>
      <c r="E6464">
        <v>4</v>
      </c>
      <c r="F6464" t="s">
        <v>406</v>
      </c>
      <c r="G6464" t="str">
        <f>"08-K12-01"</f>
        <v>08-K12-01</v>
      </c>
      <c r="H6464">
        <v>1.5250999999999999</v>
      </c>
      <c r="I6464" t="s">
        <v>4703</v>
      </c>
      <c r="J6464" t="s">
        <v>14</v>
      </c>
      <c r="K6464" t="str">
        <f>"5F3"</f>
        <v>5F3</v>
      </c>
      <c r="L6464" t="s">
        <v>15</v>
      </c>
    </row>
    <row r="6465" spans="1:12" x14ac:dyDescent="0.25">
      <c r="A6465" t="str">
        <f>"5559031027"</f>
        <v>5559031027</v>
      </c>
      <c r="B6465" t="str">
        <f t="shared" si="318"/>
        <v>89301000</v>
      </c>
      <c r="C6465" s="1">
        <v>44411</v>
      </c>
      <c r="D6465" s="1">
        <v>44415</v>
      </c>
      <c r="E6465">
        <v>1</v>
      </c>
      <c r="F6465" t="s">
        <v>28</v>
      </c>
      <c r="G6465" t="str">
        <f>"03-I12-04"</f>
        <v>03-I12-04</v>
      </c>
      <c r="H6465">
        <v>0.94040000000000001</v>
      </c>
      <c r="I6465" t="s">
        <v>4704</v>
      </c>
      <c r="J6465" t="s">
        <v>17</v>
      </c>
      <c r="K6465" t="str">
        <f>"7F1"</f>
        <v>7F1</v>
      </c>
      <c r="L6465" t="s">
        <v>15</v>
      </c>
    </row>
    <row r="6466" spans="1:12" x14ac:dyDescent="0.25">
      <c r="A6466" t="str">
        <f>"5559060408"</f>
        <v>5559060408</v>
      </c>
      <c r="B6466" t="str">
        <f t="shared" si="318"/>
        <v>89301000</v>
      </c>
      <c r="C6466" s="1">
        <v>44334</v>
      </c>
      <c r="D6466" s="1">
        <v>44335</v>
      </c>
      <c r="E6466">
        <v>1</v>
      </c>
      <c r="F6466" t="s">
        <v>1950</v>
      </c>
      <c r="G6466" t="str">
        <f>"02-I13-02"</f>
        <v>02-I13-02</v>
      </c>
      <c r="H6466">
        <v>0.376</v>
      </c>
      <c r="I6466" t="s">
        <v>489</v>
      </c>
      <c r="J6466" t="s">
        <v>14</v>
      </c>
      <c r="K6466" t="str">
        <f>"7F5"</f>
        <v>7F5</v>
      </c>
      <c r="L6466" t="s">
        <v>15</v>
      </c>
    </row>
    <row r="6467" spans="1:12" x14ac:dyDescent="0.25">
      <c r="A6467" t="str">
        <f>"5559151697"</f>
        <v>5559151697</v>
      </c>
      <c r="B6467" t="str">
        <f t="shared" si="318"/>
        <v>89301000</v>
      </c>
      <c r="C6467" s="1">
        <v>44200</v>
      </c>
      <c r="D6467" s="1">
        <v>44209</v>
      </c>
      <c r="E6467">
        <v>1</v>
      </c>
      <c r="F6467" t="s">
        <v>109</v>
      </c>
      <c r="G6467" t="str">
        <f>"24-M06-02"</f>
        <v>24-M06-02</v>
      </c>
      <c r="H6467">
        <v>1.0233000000000001</v>
      </c>
      <c r="I6467" t="s">
        <v>3731</v>
      </c>
      <c r="J6467" t="s">
        <v>14</v>
      </c>
      <c r="K6467" t="str">
        <f>"2F1"</f>
        <v>2F1</v>
      </c>
      <c r="L6467" t="s">
        <v>15</v>
      </c>
    </row>
    <row r="6468" spans="1:12" x14ac:dyDescent="0.25">
      <c r="A6468" t="str">
        <f>"5559180737"</f>
        <v>5559180737</v>
      </c>
      <c r="B6468" t="str">
        <f t="shared" si="318"/>
        <v>89301000</v>
      </c>
      <c r="C6468" s="1">
        <v>44363</v>
      </c>
      <c r="D6468" s="1">
        <v>44368</v>
      </c>
      <c r="E6468">
        <v>1</v>
      </c>
      <c r="F6468" t="s">
        <v>1802</v>
      </c>
      <c r="G6468" t="str">
        <f>"13-I04-01"</f>
        <v>13-I04-01</v>
      </c>
      <c r="H6468">
        <v>2.6413000000000002</v>
      </c>
      <c r="J6468" t="s">
        <v>14</v>
      </c>
      <c r="K6468" t="str">
        <f>"6F3"</f>
        <v>6F3</v>
      </c>
      <c r="L6468" t="s">
        <v>15</v>
      </c>
    </row>
    <row r="6469" spans="1:12" x14ac:dyDescent="0.25">
      <c r="A6469" t="str">
        <f>"5559221899"</f>
        <v>5559221899</v>
      </c>
      <c r="B6469" t="str">
        <f t="shared" si="318"/>
        <v>89301000</v>
      </c>
      <c r="C6469" s="1">
        <v>44329</v>
      </c>
      <c r="D6469" s="1">
        <v>44330</v>
      </c>
      <c r="E6469">
        <v>1</v>
      </c>
      <c r="F6469" t="s">
        <v>41</v>
      </c>
      <c r="G6469" t="str">
        <f>"01-D01-03"</f>
        <v>01-D01-03</v>
      </c>
      <c r="H6469">
        <v>0.158</v>
      </c>
      <c r="I6469" t="s">
        <v>4705</v>
      </c>
      <c r="J6469" t="s">
        <v>14</v>
      </c>
      <c r="K6469" t="str">
        <f>"2F5"</f>
        <v>2F5</v>
      </c>
      <c r="L6469" t="s">
        <v>15</v>
      </c>
    </row>
    <row r="6470" spans="1:12" x14ac:dyDescent="0.25">
      <c r="A6470" t="str">
        <f>"5559261653"</f>
        <v>5559261653</v>
      </c>
      <c r="B6470" t="str">
        <f t="shared" si="318"/>
        <v>89301000</v>
      </c>
      <c r="C6470" s="1">
        <v>44450</v>
      </c>
      <c r="D6470" s="1">
        <v>44476</v>
      </c>
      <c r="E6470">
        <v>1</v>
      </c>
      <c r="F6470" t="s">
        <v>4706</v>
      </c>
      <c r="G6470" t="str">
        <f>"00-M01-04"</f>
        <v>00-M01-04</v>
      </c>
      <c r="H6470">
        <v>6.85</v>
      </c>
      <c r="I6470" t="s">
        <v>4707</v>
      </c>
      <c r="J6470" t="s">
        <v>14</v>
      </c>
      <c r="K6470" t="str">
        <f>"1F6"</f>
        <v>1F6</v>
      </c>
      <c r="L6470" t="s">
        <v>15</v>
      </c>
    </row>
    <row r="6471" spans="1:12" x14ac:dyDescent="0.25">
      <c r="A6471" t="str">
        <f>"5560021995"</f>
        <v>5560021995</v>
      </c>
      <c r="B6471" t="str">
        <f t="shared" si="318"/>
        <v>89301000</v>
      </c>
      <c r="C6471" s="1">
        <v>44216</v>
      </c>
      <c r="D6471" s="1">
        <v>44218</v>
      </c>
      <c r="E6471">
        <v>1</v>
      </c>
      <c r="F6471" t="s">
        <v>1679</v>
      </c>
      <c r="G6471" t="str">
        <f>"11-M06-03"</f>
        <v>11-M06-03</v>
      </c>
      <c r="H6471">
        <v>0.61519999999999997</v>
      </c>
      <c r="I6471" t="s">
        <v>4708</v>
      </c>
      <c r="J6471" t="s">
        <v>17</v>
      </c>
      <c r="K6471" t="str">
        <f>"7F6"</f>
        <v>7F6</v>
      </c>
      <c r="L6471" t="s">
        <v>15</v>
      </c>
    </row>
    <row r="6472" spans="1:12" x14ac:dyDescent="0.25">
      <c r="A6472" t="str">
        <f>"5560121688"</f>
        <v>5560121688</v>
      </c>
      <c r="B6472" t="str">
        <f t="shared" si="318"/>
        <v>89301000</v>
      </c>
      <c r="C6472" s="1">
        <v>44332</v>
      </c>
      <c r="D6472" s="1">
        <v>44344</v>
      </c>
      <c r="E6472">
        <v>1</v>
      </c>
      <c r="F6472" t="s">
        <v>2348</v>
      </c>
      <c r="G6472" t="str">
        <f>"04-K06-01"</f>
        <v>04-K06-01</v>
      </c>
      <c r="H6472">
        <v>1.9838</v>
      </c>
      <c r="I6472" t="s">
        <v>4709</v>
      </c>
      <c r="J6472" t="s">
        <v>14</v>
      </c>
      <c r="K6472" t="str">
        <f>"2F5"</f>
        <v>2F5</v>
      </c>
      <c r="L6472" t="s">
        <v>15</v>
      </c>
    </row>
    <row r="6473" spans="1:12" x14ac:dyDescent="0.25">
      <c r="A6473" t="str">
        <f>"5560121688"</f>
        <v>5560121688</v>
      </c>
      <c r="B6473" t="str">
        <f t="shared" si="318"/>
        <v>89301000</v>
      </c>
      <c r="C6473" s="1">
        <v>44195</v>
      </c>
      <c r="D6473" s="1">
        <v>44209</v>
      </c>
      <c r="E6473">
        <v>1</v>
      </c>
      <c r="F6473" t="s">
        <v>2133</v>
      </c>
      <c r="G6473" t="str">
        <f>"04-K06-02"</f>
        <v>04-K06-02</v>
      </c>
      <c r="H6473">
        <v>1.0042</v>
      </c>
      <c r="I6473" t="s">
        <v>4710</v>
      </c>
      <c r="J6473" t="s">
        <v>14</v>
      </c>
      <c r="K6473" t="str">
        <f>"2F5"</f>
        <v>2F5</v>
      </c>
      <c r="L6473" t="s">
        <v>15</v>
      </c>
    </row>
    <row r="6474" spans="1:12" x14ac:dyDescent="0.25">
      <c r="A6474" t="str">
        <f>"5560121688"</f>
        <v>5560121688</v>
      </c>
      <c r="B6474" t="str">
        <f t="shared" si="318"/>
        <v>89301000</v>
      </c>
      <c r="C6474" s="1">
        <v>44251</v>
      </c>
      <c r="D6474" s="1">
        <v>44252</v>
      </c>
      <c r="E6474">
        <v>1</v>
      </c>
      <c r="F6474" t="s">
        <v>3575</v>
      </c>
      <c r="G6474" t="str">
        <f>"04-K06-02"</f>
        <v>04-K06-02</v>
      </c>
      <c r="H6474">
        <v>0.67369999999999997</v>
      </c>
      <c r="I6474" t="s">
        <v>4711</v>
      </c>
      <c r="J6474" t="s">
        <v>14</v>
      </c>
      <c r="K6474" t="str">
        <f>"2F5"</f>
        <v>2F5</v>
      </c>
      <c r="L6474" t="s">
        <v>15</v>
      </c>
    </row>
    <row r="6475" spans="1:12" x14ac:dyDescent="0.25">
      <c r="A6475" t="str">
        <f>"5560121688"</f>
        <v>5560121688</v>
      </c>
      <c r="B6475" t="str">
        <f t="shared" si="318"/>
        <v>89301000</v>
      </c>
      <c r="C6475" s="1">
        <v>44530</v>
      </c>
      <c r="D6475" s="1">
        <v>44538</v>
      </c>
      <c r="E6475">
        <v>1</v>
      </c>
      <c r="F6475" t="s">
        <v>2348</v>
      </c>
      <c r="G6475" t="str">
        <f>"04-K06-01"</f>
        <v>04-K06-01</v>
      </c>
      <c r="H6475">
        <v>1.9838</v>
      </c>
      <c r="I6475" t="s">
        <v>4712</v>
      </c>
      <c r="J6475" t="s">
        <v>14</v>
      </c>
      <c r="K6475" t="str">
        <f>"2F5"</f>
        <v>2F5</v>
      </c>
      <c r="L6475" t="s">
        <v>15</v>
      </c>
    </row>
    <row r="6476" spans="1:12" x14ac:dyDescent="0.25">
      <c r="A6476" t="str">
        <f>"5560121688"</f>
        <v>5560121688</v>
      </c>
      <c r="B6476" t="str">
        <f t="shared" si="318"/>
        <v>89301000</v>
      </c>
      <c r="C6476" s="1">
        <v>44452</v>
      </c>
      <c r="D6476" s="1">
        <v>44462</v>
      </c>
      <c r="E6476">
        <v>1</v>
      </c>
      <c r="F6476" t="s">
        <v>625</v>
      </c>
      <c r="G6476" t="str">
        <f>"04-M01-05"</f>
        <v>04-M01-05</v>
      </c>
      <c r="H6476">
        <v>6.2100999999999997</v>
      </c>
      <c r="I6476" t="s">
        <v>4713</v>
      </c>
      <c r="J6476" t="s">
        <v>14</v>
      </c>
      <c r="K6476" t="str">
        <f>"2F5"</f>
        <v>2F5</v>
      </c>
      <c r="L6476" t="s">
        <v>15</v>
      </c>
    </row>
    <row r="6477" spans="1:12" x14ac:dyDescent="0.25">
      <c r="A6477" t="str">
        <f>"5560130664"</f>
        <v>5560130664</v>
      </c>
      <c r="B6477" t="str">
        <f t="shared" si="318"/>
        <v>89301000</v>
      </c>
      <c r="C6477" s="1">
        <v>44377</v>
      </c>
      <c r="D6477" s="1">
        <v>44378</v>
      </c>
      <c r="E6477">
        <v>1</v>
      </c>
      <c r="F6477" t="s">
        <v>2623</v>
      </c>
      <c r="G6477" t="str">
        <f>"17-C05-06"</f>
        <v>17-C05-06</v>
      </c>
      <c r="H6477">
        <v>0.50260000000000005</v>
      </c>
      <c r="I6477" t="s">
        <v>2945</v>
      </c>
      <c r="J6477" t="s">
        <v>14</v>
      </c>
      <c r="K6477" t="str">
        <f>"2F2"</f>
        <v>2F2</v>
      </c>
      <c r="L6477" t="s">
        <v>15</v>
      </c>
    </row>
    <row r="6478" spans="1:12" x14ac:dyDescent="0.25">
      <c r="A6478" t="str">
        <f>"5560211404"</f>
        <v>5560211404</v>
      </c>
      <c r="B6478" t="str">
        <f t="shared" si="318"/>
        <v>89301000</v>
      </c>
      <c r="C6478" s="1">
        <v>44329</v>
      </c>
      <c r="D6478" s="1">
        <v>44329</v>
      </c>
      <c r="E6478">
        <v>1</v>
      </c>
      <c r="F6478" t="s">
        <v>1557</v>
      </c>
      <c r="G6478" t="str">
        <f>"05-D01-08"</f>
        <v>05-D01-08</v>
      </c>
      <c r="H6478">
        <v>0.21890000000000001</v>
      </c>
      <c r="J6478" t="s">
        <v>14</v>
      </c>
      <c r="K6478" t="str">
        <f>"1F1"</f>
        <v>1F1</v>
      </c>
      <c r="L6478" t="s">
        <v>15</v>
      </c>
    </row>
    <row r="6479" spans="1:12" x14ac:dyDescent="0.25">
      <c r="A6479" t="str">
        <f>"5560231655"</f>
        <v>5560231655</v>
      </c>
      <c r="B6479" t="str">
        <f t="shared" si="318"/>
        <v>89301000</v>
      </c>
      <c r="C6479" s="1">
        <v>44475</v>
      </c>
      <c r="D6479" s="1">
        <v>44477</v>
      </c>
      <c r="E6479">
        <v>1</v>
      </c>
      <c r="F6479" t="s">
        <v>1606</v>
      </c>
      <c r="G6479" t="str">
        <f>"05-M05-02"</f>
        <v>05-M05-02</v>
      </c>
      <c r="H6479">
        <v>3.516</v>
      </c>
      <c r="I6479" t="s">
        <v>4714</v>
      </c>
      <c r="J6479" t="s">
        <v>24</v>
      </c>
      <c r="K6479" t="str">
        <f>"1F1"</f>
        <v>1F1</v>
      </c>
      <c r="L6479" t="s">
        <v>15</v>
      </c>
    </row>
    <row r="6480" spans="1:12" x14ac:dyDescent="0.25">
      <c r="A6480" t="str">
        <f>"5560240983"</f>
        <v>5560240983</v>
      </c>
      <c r="B6480" t="str">
        <f t="shared" si="318"/>
        <v>89301000</v>
      </c>
      <c r="C6480" s="1">
        <v>44458</v>
      </c>
      <c r="D6480" s="1">
        <v>44463</v>
      </c>
      <c r="E6480">
        <v>1</v>
      </c>
      <c r="F6480" t="s">
        <v>4715</v>
      </c>
      <c r="G6480" t="str">
        <f>"06-I22-02"</f>
        <v>06-I22-02</v>
      </c>
      <c r="H6480">
        <v>0.4521</v>
      </c>
      <c r="J6480" t="s">
        <v>14</v>
      </c>
      <c r="K6480" t="str">
        <f>"5F1"</f>
        <v>5F1</v>
      </c>
      <c r="L6480" t="s">
        <v>15</v>
      </c>
    </row>
    <row r="6481" spans="1:12" x14ac:dyDescent="0.25">
      <c r="A6481" t="str">
        <f>"5560261564"</f>
        <v>5560261564</v>
      </c>
      <c r="B6481" t="str">
        <f t="shared" si="318"/>
        <v>89301000</v>
      </c>
      <c r="C6481" s="1">
        <v>44274</v>
      </c>
      <c r="D6481" s="1">
        <v>44274</v>
      </c>
      <c r="E6481">
        <v>1</v>
      </c>
      <c r="F6481" t="s">
        <v>2457</v>
      </c>
      <c r="G6481" t="str">
        <f>"05-D01-08"</f>
        <v>05-D01-08</v>
      </c>
      <c r="H6481">
        <v>0.21890000000000001</v>
      </c>
      <c r="J6481" t="s">
        <v>14</v>
      </c>
      <c r="K6481" t="str">
        <f>"1F1"</f>
        <v>1F1</v>
      </c>
      <c r="L6481" t="s">
        <v>15</v>
      </c>
    </row>
    <row r="6482" spans="1:12" x14ac:dyDescent="0.25">
      <c r="A6482" t="str">
        <f>"5560291000"</f>
        <v>5560291000</v>
      </c>
      <c r="B6482" t="str">
        <f t="shared" si="318"/>
        <v>89301000</v>
      </c>
      <c r="C6482" s="1">
        <v>44346</v>
      </c>
      <c r="D6482" s="1">
        <v>44349</v>
      </c>
      <c r="E6482">
        <v>1</v>
      </c>
      <c r="F6482" t="s">
        <v>4716</v>
      </c>
      <c r="G6482" t="str">
        <f>"08-I03-06"</f>
        <v>08-I03-06</v>
      </c>
      <c r="H6482">
        <v>2.4291999999999998</v>
      </c>
      <c r="J6482" t="s">
        <v>17</v>
      </c>
      <c r="K6482" t="str">
        <f>"5F6"</f>
        <v>5F6</v>
      </c>
      <c r="L6482" t="s">
        <v>15</v>
      </c>
    </row>
    <row r="6483" spans="1:12" x14ac:dyDescent="0.25">
      <c r="A6483" t="str">
        <f>"5560291000"</f>
        <v>5560291000</v>
      </c>
      <c r="B6483" t="str">
        <f t="shared" si="318"/>
        <v>89301000</v>
      </c>
      <c r="C6483" s="1">
        <v>44263</v>
      </c>
      <c r="D6483" s="1">
        <v>44270</v>
      </c>
      <c r="E6483">
        <v>1</v>
      </c>
      <c r="F6483" t="s">
        <v>4717</v>
      </c>
      <c r="G6483" t="str">
        <f>"08-K02-02"</f>
        <v>08-K02-02</v>
      </c>
      <c r="H6483">
        <v>1.2081999999999999</v>
      </c>
      <c r="I6483" t="s">
        <v>4718</v>
      </c>
      <c r="J6483" t="s">
        <v>14</v>
      </c>
      <c r="K6483" t="str">
        <f>"1F9"</f>
        <v>1F9</v>
      </c>
      <c r="L6483" t="s">
        <v>15</v>
      </c>
    </row>
    <row r="6484" spans="1:12" x14ac:dyDescent="0.25">
      <c r="A6484" t="str">
        <f>"5561021202"</f>
        <v>5561021202</v>
      </c>
      <c r="B6484" t="str">
        <f t="shared" si="318"/>
        <v>89301000</v>
      </c>
      <c r="C6484" s="1">
        <v>44410</v>
      </c>
      <c r="D6484" s="1">
        <v>44412</v>
      </c>
      <c r="E6484">
        <v>1</v>
      </c>
      <c r="F6484" t="s">
        <v>1551</v>
      </c>
      <c r="G6484" t="str">
        <f>"09-I06-04"</f>
        <v>09-I06-04</v>
      </c>
      <c r="H6484">
        <v>0.98829999999999996</v>
      </c>
      <c r="I6484" t="s">
        <v>3499</v>
      </c>
      <c r="J6484" t="s">
        <v>17</v>
      </c>
      <c r="K6484" t="str">
        <f>"5F1"</f>
        <v>5F1</v>
      </c>
      <c r="L6484" t="s">
        <v>15</v>
      </c>
    </row>
    <row r="6485" spans="1:12" x14ac:dyDescent="0.25">
      <c r="A6485" t="str">
        <f>"5561231588"</f>
        <v>5561231588</v>
      </c>
      <c r="B6485" t="str">
        <f t="shared" si="318"/>
        <v>89301000</v>
      </c>
      <c r="C6485" s="1">
        <v>44249</v>
      </c>
      <c r="D6485" s="1">
        <v>44256</v>
      </c>
      <c r="E6485">
        <v>1</v>
      </c>
      <c r="F6485" t="s">
        <v>2648</v>
      </c>
      <c r="G6485" t="str">
        <f>"06-I12-03"</f>
        <v>06-I12-03</v>
      </c>
      <c r="H6485">
        <v>1.8894</v>
      </c>
      <c r="I6485" t="s">
        <v>4719</v>
      </c>
      <c r="J6485" t="s">
        <v>14</v>
      </c>
      <c r="K6485" t="str">
        <f>"5F1"</f>
        <v>5F1</v>
      </c>
      <c r="L6485" t="s">
        <v>15</v>
      </c>
    </row>
    <row r="6486" spans="1:12" x14ac:dyDescent="0.25">
      <c r="A6486" t="str">
        <f>"5561261332"</f>
        <v>5561261332</v>
      </c>
      <c r="B6486" t="str">
        <f t="shared" si="318"/>
        <v>89301000</v>
      </c>
      <c r="C6486" s="1">
        <v>44333</v>
      </c>
      <c r="D6486" s="1">
        <v>44351</v>
      </c>
      <c r="E6486">
        <v>1</v>
      </c>
      <c r="F6486" t="s">
        <v>109</v>
      </c>
      <c r="G6486" t="str">
        <f>"24-M08-02"</f>
        <v>24-M08-02</v>
      </c>
      <c r="H6486">
        <v>2.3557000000000001</v>
      </c>
      <c r="I6486" t="s">
        <v>4720</v>
      </c>
      <c r="J6486" t="s">
        <v>14</v>
      </c>
      <c r="K6486" t="str">
        <f>"2F1"</f>
        <v>2F1</v>
      </c>
      <c r="L6486" t="s">
        <v>15</v>
      </c>
    </row>
    <row r="6487" spans="1:12" x14ac:dyDescent="0.25">
      <c r="A6487" t="str">
        <f>"5561261332"</f>
        <v>5561261332</v>
      </c>
      <c r="B6487" t="str">
        <f t="shared" si="318"/>
        <v>89301000</v>
      </c>
      <c r="C6487" s="1">
        <v>44286</v>
      </c>
      <c r="D6487" s="1">
        <v>44288</v>
      </c>
      <c r="E6487">
        <v>1</v>
      </c>
      <c r="F6487" t="s">
        <v>210</v>
      </c>
      <c r="G6487" t="str">
        <f>"08-I15-03"</f>
        <v>08-I15-03</v>
      </c>
      <c r="H6487">
        <v>1.1838</v>
      </c>
      <c r="I6487" t="s">
        <v>295</v>
      </c>
      <c r="J6487" t="s">
        <v>17</v>
      </c>
      <c r="K6487" t="str">
        <f>"5F3"</f>
        <v>5F3</v>
      </c>
      <c r="L6487" t="s">
        <v>15</v>
      </c>
    </row>
    <row r="6488" spans="1:12" x14ac:dyDescent="0.25">
      <c r="A6488" t="str">
        <f>"5561301526"</f>
        <v>5561301526</v>
      </c>
      <c r="B6488" t="str">
        <f t="shared" si="318"/>
        <v>89301000</v>
      </c>
      <c r="C6488" s="1">
        <v>44277</v>
      </c>
      <c r="D6488" s="1">
        <v>44287</v>
      </c>
      <c r="E6488">
        <v>1</v>
      </c>
      <c r="F6488" t="s">
        <v>4721</v>
      </c>
      <c r="G6488" t="str">
        <f>"04-K15-02"</f>
        <v>04-K15-02</v>
      </c>
      <c r="H6488">
        <v>1.0601</v>
      </c>
      <c r="I6488" t="s">
        <v>4722</v>
      </c>
      <c r="J6488" t="s">
        <v>14</v>
      </c>
      <c r="K6488" t="str">
        <f>"2F5"</f>
        <v>2F5</v>
      </c>
      <c r="L6488" t="s">
        <v>15</v>
      </c>
    </row>
    <row r="6489" spans="1:12" x14ac:dyDescent="0.25">
      <c r="A6489" t="str">
        <f>"5561301526"</f>
        <v>5561301526</v>
      </c>
      <c r="B6489" t="str">
        <f t="shared" si="318"/>
        <v>89301000</v>
      </c>
      <c r="C6489" s="1">
        <v>44327</v>
      </c>
      <c r="D6489" s="1">
        <v>44335</v>
      </c>
      <c r="E6489">
        <v>1</v>
      </c>
      <c r="F6489" t="s">
        <v>217</v>
      </c>
      <c r="G6489" t="str">
        <f>"04-K02-03"</f>
        <v>04-K02-03</v>
      </c>
      <c r="H6489">
        <v>1.2859</v>
      </c>
      <c r="I6489" t="s">
        <v>4723</v>
      </c>
      <c r="J6489" t="s">
        <v>14</v>
      </c>
      <c r="K6489" t="str">
        <f>"1F1"</f>
        <v>1F1</v>
      </c>
      <c r="L6489" t="s">
        <v>15</v>
      </c>
    </row>
    <row r="6490" spans="1:12" x14ac:dyDescent="0.25">
      <c r="A6490" t="str">
        <f>"5561301526"</f>
        <v>5561301526</v>
      </c>
      <c r="B6490" t="str">
        <f t="shared" si="318"/>
        <v>89301000</v>
      </c>
      <c r="C6490" s="1">
        <v>44301</v>
      </c>
      <c r="D6490" s="1">
        <v>44312</v>
      </c>
      <c r="E6490">
        <v>1</v>
      </c>
      <c r="F6490" t="s">
        <v>1914</v>
      </c>
      <c r="G6490" t="str">
        <f>"04-I08-03"</f>
        <v>04-I08-03</v>
      </c>
      <c r="H6490">
        <v>1.5696000000000001</v>
      </c>
      <c r="I6490" t="s">
        <v>4724</v>
      </c>
      <c r="J6490" t="s">
        <v>14</v>
      </c>
      <c r="K6490" t="str">
        <f>"2F5"</f>
        <v>2F5</v>
      </c>
      <c r="L6490" t="s">
        <v>15</v>
      </c>
    </row>
    <row r="6491" spans="1:12" x14ac:dyDescent="0.25">
      <c r="A6491" t="str">
        <f>"5562041309"</f>
        <v>5562041309</v>
      </c>
      <c r="B6491" t="str">
        <f t="shared" si="318"/>
        <v>89301000</v>
      </c>
      <c r="C6491" s="1">
        <v>44536</v>
      </c>
      <c r="D6491" s="1">
        <v>44543</v>
      </c>
      <c r="E6491">
        <v>1</v>
      </c>
      <c r="F6491" t="s">
        <v>4725</v>
      </c>
      <c r="G6491" t="str">
        <f>"17-C04-03"</f>
        <v>17-C04-03</v>
      </c>
      <c r="H6491">
        <v>1.5115000000000001</v>
      </c>
      <c r="I6491" t="s">
        <v>4726</v>
      </c>
      <c r="J6491" t="s">
        <v>14</v>
      </c>
      <c r="K6491" t="str">
        <f>"2F2"</f>
        <v>2F2</v>
      </c>
      <c r="L6491" t="s">
        <v>15</v>
      </c>
    </row>
    <row r="6492" spans="1:12" x14ac:dyDescent="0.25">
      <c r="A6492" t="str">
        <f>"5562061626"</f>
        <v>5562061626</v>
      </c>
      <c r="B6492" t="str">
        <f t="shared" si="318"/>
        <v>89301000</v>
      </c>
      <c r="C6492" s="1">
        <v>44474</v>
      </c>
      <c r="D6492" s="1">
        <v>44475</v>
      </c>
      <c r="E6492">
        <v>1</v>
      </c>
      <c r="F6492" t="s">
        <v>720</v>
      </c>
      <c r="G6492" t="str">
        <f>"06-K02-04"</f>
        <v>06-K02-04</v>
      </c>
      <c r="H6492">
        <v>0.3634</v>
      </c>
      <c r="I6492" t="s">
        <v>4727</v>
      </c>
      <c r="J6492" t="s">
        <v>14</v>
      </c>
      <c r="K6492" t="str">
        <f>"1F9"</f>
        <v>1F9</v>
      </c>
      <c r="L6492" t="s">
        <v>15</v>
      </c>
    </row>
    <row r="6493" spans="1:12" x14ac:dyDescent="0.25">
      <c r="A6493" t="str">
        <f>"5562061626"</f>
        <v>5562061626</v>
      </c>
      <c r="B6493" t="str">
        <f t="shared" si="318"/>
        <v>89301000</v>
      </c>
      <c r="C6493" s="1">
        <v>44425</v>
      </c>
      <c r="D6493" s="1">
        <v>44433</v>
      </c>
      <c r="E6493">
        <v>1</v>
      </c>
      <c r="F6493" t="s">
        <v>304</v>
      </c>
      <c r="G6493" t="str">
        <f>"10-K03-04"</f>
        <v>10-K03-04</v>
      </c>
      <c r="H6493">
        <v>0.65390000000000004</v>
      </c>
      <c r="I6493" t="s">
        <v>4728</v>
      </c>
      <c r="J6493" t="s">
        <v>14</v>
      </c>
      <c r="K6493" t="str">
        <f>"1F1"</f>
        <v>1F1</v>
      </c>
      <c r="L6493" t="s">
        <v>15</v>
      </c>
    </row>
    <row r="6494" spans="1:12" x14ac:dyDescent="0.25">
      <c r="A6494" t="str">
        <f>"5562081646"</f>
        <v>5562081646</v>
      </c>
      <c r="B6494" t="str">
        <f t="shared" si="318"/>
        <v>89301000</v>
      </c>
      <c r="C6494" s="1">
        <v>44491</v>
      </c>
      <c r="D6494" s="1">
        <v>44494</v>
      </c>
      <c r="E6494">
        <v>1</v>
      </c>
      <c r="F6494" t="s">
        <v>41</v>
      </c>
      <c r="G6494" t="str">
        <f>"01-D01-03"</f>
        <v>01-D01-03</v>
      </c>
      <c r="H6494">
        <v>0.2054</v>
      </c>
      <c r="J6494" t="s">
        <v>14</v>
      </c>
      <c r="K6494" t="str">
        <f>"2F5"</f>
        <v>2F5</v>
      </c>
      <c r="L6494" t="s">
        <v>15</v>
      </c>
    </row>
    <row r="6495" spans="1:12" x14ac:dyDescent="0.25">
      <c r="A6495" t="str">
        <f>"5562131124"</f>
        <v>5562131124</v>
      </c>
      <c r="B6495" t="str">
        <f t="shared" si="318"/>
        <v>89301000</v>
      </c>
      <c r="C6495" s="1">
        <v>44511</v>
      </c>
      <c r="D6495" s="1">
        <v>44538</v>
      </c>
      <c r="E6495">
        <v>4</v>
      </c>
      <c r="F6495" t="s">
        <v>109</v>
      </c>
      <c r="G6495" t="str">
        <f>"24-M09-01"</f>
        <v>24-M09-01</v>
      </c>
      <c r="H6495">
        <v>3.4546000000000001</v>
      </c>
      <c r="I6495" t="s">
        <v>4729</v>
      </c>
      <c r="J6495" t="s">
        <v>14</v>
      </c>
      <c r="K6495" t="str">
        <f>"2F1"</f>
        <v>2F1</v>
      </c>
      <c r="L6495" t="s">
        <v>15</v>
      </c>
    </row>
    <row r="6496" spans="1:12" x14ac:dyDescent="0.25">
      <c r="A6496" t="str">
        <f>"5562131124"</f>
        <v>5562131124</v>
      </c>
      <c r="B6496" t="str">
        <f t="shared" si="318"/>
        <v>89301000</v>
      </c>
      <c r="C6496" s="1">
        <v>44506</v>
      </c>
      <c r="D6496" s="1">
        <v>44511</v>
      </c>
      <c r="E6496">
        <v>3</v>
      </c>
      <c r="F6496" t="s">
        <v>67</v>
      </c>
      <c r="G6496" t="str">
        <f>"01-K10-03"</f>
        <v>01-K10-03</v>
      </c>
      <c r="H6496">
        <v>1.0016</v>
      </c>
      <c r="I6496" t="s">
        <v>4730</v>
      </c>
      <c r="J6496" t="s">
        <v>14</v>
      </c>
      <c r="K6496" t="str">
        <f>"2F9"</f>
        <v>2F9</v>
      </c>
      <c r="L6496" t="s">
        <v>15</v>
      </c>
    </row>
    <row r="6497" spans="1:12" x14ac:dyDescent="0.25">
      <c r="A6497" t="str">
        <f>"5562241245"</f>
        <v>5562241245</v>
      </c>
      <c r="B6497" t="str">
        <f t="shared" si="318"/>
        <v>89301000</v>
      </c>
      <c r="C6497" s="1">
        <v>44356</v>
      </c>
      <c r="D6497" s="1">
        <v>44358</v>
      </c>
      <c r="E6497">
        <v>1</v>
      </c>
      <c r="F6497" t="s">
        <v>4731</v>
      </c>
      <c r="G6497" t="str">
        <f>"17-C05-04"</f>
        <v>17-C05-04</v>
      </c>
      <c r="H6497">
        <v>0.7712</v>
      </c>
      <c r="I6497" t="s">
        <v>4732</v>
      </c>
      <c r="J6497" t="s">
        <v>14</v>
      </c>
      <c r="K6497" t="str">
        <f>"2F2"</f>
        <v>2F2</v>
      </c>
      <c r="L6497" t="s">
        <v>15</v>
      </c>
    </row>
    <row r="6498" spans="1:12" x14ac:dyDescent="0.25">
      <c r="A6498" t="str">
        <f>"5562241245"</f>
        <v>5562241245</v>
      </c>
      <c r="B6498" t="str">
        <f t="shared" si="318"/>
        <v>89301000</v>
      </c>
      <c r="C6498" s="1">
        <v>44333</v>
      </c>
      <c r="D6498" s="1">
        <v>44340</v>
      </c>
      <c r="E6498">
        <v>1</v>
      </c>
      <c r="F6498" t="s">
        <v>4733</v>
      </c>
      <c r="G6498" t="str">
        <f>"17-C05-04"</f>
        <v>17-C05-04</v>
      </c>
      <c r="H6498">
        <v>0.7712</v>
      </c>
      <c r="I6498" t="s">
        <v>4734</v>
      </c>
      <c r="J6498" t="s">
        <v>14</v>
      </c>
      <c r="K6498" t="str">
        <f>"2F2"</f>
        <v>2F2</v>
      </c>
      <c r="L6498" t="s">
        <v>15</v>
      </c>
    </row>
    <row r="6499" spans="1:12" x14ac:dyDescent="0.25">
      <c r="A6499" t="str">
        <f>"5562241245"</f>
        <v>5562241245</v>
      </c>
      <c r="B6499" t="str">
        <f t="shared" si="318"/>
        <v>89301000</v>
      </c>
      <c r="C6499" s="1">
        <v>44384</v>
      </c>
      <c r="D6499" s="1">
        <v>44389</v>
      </c>
      <c r="E6499">
        <v>1</v>
      </c>
      <c r="F6499" t="s">
        <v>2944</v>
      </c>
      <c r="G6499" t="str">
        <f>"17-K05-01"</f>
        <v>17-K05-01</v>
      </c>
      <c r="H6499">
        <v>2.6164999999999998</v>
      </c>
      <c r="I6499" t="s">
        <v>4735</v>
      </c>
      <c r="J6499" t="s">
        <v>14</v>
      </c>
      <c r="K6499" t="str">
        <f>"2F2"</f>
        <v>2F2</v>
      </c>
      <c r="L6499" t="s">
        <v>15</v>
      </c>
    </row>
    <row r="6500" spans="1:12" x14ac:dyDescent="0.25">
      <c r="A6500" t="str">
        <f>"5562241245"</f>
        <v>5562241245</v>
      </c>
      <c r="B6500" t="str">
        <f t="shared" si="318"/>
        <v>89301000</v>
      </c>
      <c r="C6500" s="1">
        <v>44202</v>
      </c>
      <c r="D6500" s="1">
        <v>44210</v>
      </c>
      <c r="E6500">
        <v>1</v>
      </c>
      <c r="F6500" t="s">
        <v>217</v>
      </c>
      <c r="G6500" t="str">
        <f>"04-K02-04"</f>
        <v>04-K02-04</v>
      </c>
      <c r="H6500">
        <v>0.82469999999999999</v>
      </c>
      <c r="I6500" t="s">
        <v>274</v>
      </c>
      <c r="J6500" t="s">
        <v>14</v>
      </c>
      <c r="K6500" t="str">
        <f>"5F1"</f>
        <v>5F1</v>
      </c>
      <c r="L6500" t="s">
        <v>15</v>
      </c>
    </row>
    <row r="6501" spans="1:12" x14ac:dyDescent="0.25">
      <c r="A6501" t="str">
        <f>"5601072202"</f>
        <v>5601072202</v>
      </c>
      <c r="B6501" t="str">
        <f t="shared" si="318"/>
        <v>89301000</v>
      </c>
      <c r="C6501" s="1">
        <v>44488</v>
      </c>
      <c r="D6501" s="1">
        <v>44490</v>
      </c>
      <c r="E6501">
        <v>1</v>
      </c>
      <c r="F6501" t="s">
        <v>1606</v>
      </c>
      <c r="G6501" t="str">
        <f>"05-M05-02"</f>
        <v>05-M05-02</v>
      </c>
      <c r="H6501">
        <v>3.516</v>
      </c>
      <c r="J6501" t="s">
        <v>24</v>
      </c>
      <c r="K6501" t="str">
        <f>"1F7"</f>
        <v>1F7</v>
      </c>
      <c r="L6501" t="s">
        <v>15</v>
      </c>
    </row>
    <row r="6502" spans="1:12" x14ac:dyDescent="0.25">
      <c r="A6502" t="str">
        <f>"5601110768"</f>
        <v>5601110768</v>
      </c>
      <c r="B6502" t="str">
        <f t="shared" si="318"/>
        <v>89301000</v>
      </c>
      <c r="C6502" s="1">
        <v>44503</v>
      </c>
      <c r="D6502" s="1">
        <v>44505</v>
      </c>
      <c r="E6502">
        <v>1</v>
      </c>
      <c r="F6502" t="s">
        <v>2360</v>
      </c>
      <c r="G6502" t="str">
        <f>"06-M01-02"</f>
        <v>06-M01-02</v>
      </c>
      <c r="H6502">
        <v>1.2191000000000001</v>
      </c>
      <c r="I6502" t="s">
        <v>4736</v>
      </c>
      <c r="J6502" t="s">
        <v>14</v>
      </c>
      <c r="K6502" t="str">
        <f>"1F1"</f>
        <v>1F1</v>
      </c>
      <c r="L6502" t="s">
        <v>15</v>
      </c>
    </row>
    <row r="6503" spans="1:12" x14ac:dyDescent="0.25">
      <c r="A6503" t="str">
        <f>"5601131228"</f>
        <v>5601131228</v>
      </c>
      <c r="B6503" t="str">
        <f t="shared" si="318"/>
        <v>89301000</v>
      </c>
      <c r="C6503" s="1">
        <v>44496</v>
      </c>
      <c r="D6503" s="1">
        <v>44510</v>
      </c>
      <c r="E6503">
        <v>1</v>
      </c>
      <c r="F6503" t="s">
        <v>1955</v>
      </c>
      <c r="G6503" t="str">
        <f>"01-I01-02"</f>
        <v>01-I01-02</v>
      </c>
      <c r="H6503">
        <v>15.7235</v>
      </c>
      <c r="J6503" t="s">
        <v>24</v>
      </c>
      <c r="K6503" t="str">
        <f>"2F9"</f>
        <v>2F9</v>
      </c>
      <c r="L6503" t="s">
        <v>15</v>
      </c>
    </row>
    <row r="6504" spans="1:12" x14ac:dyDescent="0.25">
      <c r="A6504" t="str">
        <f>"5601131228"</f>
        <v>5601131228</v>
      </c>
      <c r="B6504" t="str">
        <f t="shared" si="318"/>
        <v>89301000</v>
      </c>
      <c r="C6504" s="1">
        <v>44468</v>
      </c>
      <c r="D6504" s="1">
        <v>44477</v>
      </c>
      <c r="E6504">
        <v>1</v>
      </c>
      <c r="F6504" t="s">
        <v>1955</v>
      </c>
      <c r="G6504" t="str">
        <f>"01-K04-01"</f>
        <v>01-K04-01</v>
      </c>
      <c r="H6504">
        <v>1.1855</v>
      </c>
      <c r="I6504" t="s">
        <v>1643</v>
      </c>
      <c r="J6504" t="s">
        <v>14</v>
      </c>
      <c r="K6504" t="str">
        <f>"2F9"</f>
        <v>2F9</v>
      </c>
      <c r="L6504" t="s">
        <v>15</v>
      </c>
    </row>
    <row r="6505" spans="1:12" x14ac:dyDescent="0.25">
      <c r="A6505" t="str">
        <f>"5601131228"</f>
        <v>5601131228</v>
      </c>
      <c r="B6505" t="str">
        <f t="shared" si="318"/>
        <v>89301000</v>
      </c>
      <c r="C6505" s="1">
        <v>44529</v>
      </c>
      <c r="D6505" s="1">
        <v>44532</v>
      </c>
      <c r="E6505">
        <v>1</v>
      </c>
      <c r="F6505" t="s">
        <v>1955</v>
      </c>
      <c r="G6505" t="str">
        <f>"01-K04-02"</f>
        <v>01-K04-02</v>
      </c>
      <c r="H6505">
        <v>0.80059999999999998</v>
      </c>
      <c r="J6505" t="s">
        <v>14</v>
      </c>
      <c r="K6505" t="str">
        <f>"2F9"</f>
        <v>2F9</v>
      </c>
      <c r="L6505" t="s">
        <v>15</v>
      </c>
    </row>
    <row r="6506" spans="1:12" x14ac:dyDescent="0.25">
      <c r="A6506" t="str">
        <f>"5601151391"</f>
        <v>5601151391</v>
      </c>
      <c r="B6506" t="str">
        <f t="shared" si="318"/>
        <v>89301000</v>
      </c>
      <c r="C6506" s="1">
        <v>44302</v>
      </c>
      <c r="D6506" s="1">
        <v>44305</v>
      </c>
      <c r="E6506">
        <v>1</v>
      </c>
      <c r="F6506" t="s">
        <v>41</v>
      </c>
      <c r="G6506" t="str">
        <f>"01-D01-03"</f>
        <v>01-D01-03</v>
      </c>
      <c r="H6506">
        <v>0.2054</v>
      </c>
      <c r="I6506" t="s">
        <v>1959</v>
      </c>
      <c r="J6506" t="s">
        <v>14</v>
      </c>
      <c r="K6506" t="str">
        <f>"2F5"</f>
        <v>2F5</v>
      </c>
      <c r="L6506" t="s">
        <v>15</v>
      </c>
    </row>
    <row r="6507" spans="1:12" x14ac:dyDescent="0.25">
      <c r="A6507" t="str">
        <f>"5601151391"</f>
        <v>5601151391</v>
      </c>
      <c r="B6507" t="str">
        <f t="shared" si="318"/>
        <v>89301000</v>
      </c>
      <c r="C6507" s="1">
        <v>44258</v>
      </c>
      <c r="D6507" s="1">
        <v>44259</v>
      </c>
      <c r="E6507">
        <v>1</v>
      </c>
      <c r="F6507" t="s">
        <v>41</v>
      </c>
      <c r="G6507" t="str">
        <f>"01-D01-03"</f>
        <v>01-D01-03</v>
      </c>
      <c r="H6507">
        <v>0.158</v>
      </c>
      <c r="I6507" t="s">
        <v>489</v>
      </c>
      <c r="J6507" t="s">
        <v>14</v>
      </c>
      <c r="K6507" t="str">
        <f>"2F5"</f>
        <v>2F5</v>
      </c>
      <c r="L6507" t="s">
        <v>15</v>
      </c>
    </row>
    <row r="6508" spans="1:12" x14ac:dyDescent="0.25">
      <c r="A6508" t="str">
        <f>"5602010766"</f>
        <v>5602010766</v>
      </c>
      <c r="B6508" t="str">
        <f t="shared" si="318"/>
        <v>89301000</v>
      </c>
      <c r="C6508" s="1">
        <v>44252</v>
      </c>
      <c r="D6508" s="1">
        <v>44252</v>
      </c>
      <c r="E6508">
        <v>1</v>
      </c>
      <c r="F6508" t="s">
        <v>1606</v>
      </c>
      <c r="G6508" t="str">
        <f>"05-D01-06"</f>
        <v>05-D01-06</v>
      </c>
      <c r="H6508">
        <v>0.40649999999999997</v>
      </c>
      <c r="I6508" t="s">
        <v>2183</v>
      </c>
      <c r="J6508" t="s">
        <v>14</v>
      </c>
      <c r="K6508" t="str">
        <f>"1F1"</f>
        <v>1F1</v>
      </c>
      <c r="L6508" t="s">
        <v>15</v>
      </c>
    </row>
    <row r="6509" spans="1:12" x14ac:dyDescent="0.25">
      <c r="A6509" t="str">
        <f>"5602131414"</f>
        <v>5602131414</v>
      </c>
      <c r="B6509" t="str">
        <f t="shared" si="318"/>
        <v>89301000</v>
      </c>
      <c r="C6509" s="1">
        <v>44460</v>
      </c>
      <c r="D6509" s="1">
        <v>44467</v>
      </c>
      <c r="E6509">
        <v>1</v>
      </c>
      <c r="F6509" t="s">
        <v>2366</v>
      </c>
      <c r="G6509" t="str">
        <f>"02-M01-02"</f>
        <v>02-M01-02</v>
      </c>
      <c r="H6509">
        <v>0.58299999999999996</v>
      </c>
      <c r="I6509" t="s">
        <v>4737</v>
      </c>
      <c r="J6509" t="s">
        <v>14</v>
      </c>
      <c r="K6509" t="str">
        <f>"7F5"</f>
        <v>7F5</v>
      </c>
      <c r="L6509" t="s">
        <v>15</v>
      </c>
    </row>
    <row r="6510" spans="1:12" x14ac:dyDescent="0.25">
      <c r="A6510" t="str">
        <f>"5602171289"</f>
        <v>5602171289</v>
      </c>
      <c r="B6510" t="str">
        <f t="shared" si="318"/>
        <v>89301000</v>
      </c>
      <c r="C6510" s="1">
        <v>44504</v>
      </c>
      <c r="D6510" s="1">
        <v>44506</v>
      </c>
      <c r="E6510">
        <v>1</v>
      </c>
      <c r="F6510" t="s">
        <v>1875</v>
      </c>
      <c r="G6510" t="str">
        <f>"05-I25-02"</f>
        <v>05-I25-02</v>
      </c>
      <c r="H6510">
        <v>2.9081000000000001</v>
      </c>
      <c r="I6510" t="s">
        <v>1892</v>
      </c>
      <c r="J6510" t="s">
        <v>17</v>
      </c>
      <c r="K6510" t="str">
        <f>"1F1"</f>
        <v>1F1</v>
      </c>
      <c r="L6510" t="s">
        <v>15</v>
      </c>
    </row>
    <row r="6511" spans="1:12" x14ac:dyDescent="0.25">
      <c r="A6511" t="str">
        <f>"5602260829"</f>
        <v>5602260829</v>
      </c>
      <c r="B6511" t="str">
        <f t="shared" si="318"/>
        <v>89301000</v>
      </c>
      <c r="C6511" s="1">
        <v>44413</v>
      </c>
      <c r="D6511" s="1">
        <v>44415</v>
      </c>
      <c r="E6511">
        <v>1</v>
      </c>
      <c r="F6511" t="s">
        <v>4478</v>
      </c>
      <c r="G6511" t="str">
        <f>"08-I19-03"</f>
        <v>08-I19-03</v>
      </c>
      <c r="H6511">
        <v>0.62050000000000005</v>
      </c>
      <c r="I6511" t="s">
        <v>4738</v>
      </c>
      <c r="J6511" t="s">
        <v>17</v>
      </c>
      <c r="K6511" t="str">
        <f>"6F6"</f>
        <v>6F6</v>
      </c>
      <c r="L6511" t="s">
        <v>15</v>
      </c>
    </row>
    <row r="6512" spans="1:12" x14ac:dyDescent="0.25">
      <c r="A6512" t="str">
        <f>"5602271411"</f>
        <v>5602271411</v>
      </c>
      <c r="B6512" t="str">
        <f t="shared" si="318"/>
        <v>89301000</v>
      </c>
      <c r="C6512" s="1">
        <v>44448</v>
      </c>
      <c r="D6512" s="1">
        <v>44449</v>
      </c>
      <c r="E6512">
        <v>1</v>
      </c>
      <c r="F6512" t="s">
        <v>1842</v>
      </c>
      <c r="G6512" t="str">
        <f>"05-I14-04"</f>
        <v>05-I14-04</v>
      </c>
      <c r="H6512">
        <v>5.4002999999999997</v>
      </c>
      <c r="I6512" t="s">
        <v>489</v>
      </c>
      <c r="J6512" t="s">
        <v>14</v>
      </c>
      <c r="K6512" t="str">
        <f>"1F1"</f>
        <v>1F1</v>
      </c>
      <c r="L6512" t="s">
        <v>15</v>
      </c>
    </row>
    <row r="6513" spans="1:12" x14ac:dyDescent="0.25">
      <c r="A6513" t="str">
        <f>"5602271411"</f>
        <v>5602271411</v>
      </c>
      <c r="B6513" t="str">
        <f t="shared" si="318"/>
        <v>89301000</v>
      </c>
      <c r="C6513" s="1">
        <v>44418</v>
      </c>
      <c r="D6513" s="1">
        <v>44421</v>
      </c>
      <c r="E6513">
        <v>1</v>
      </c>
      <c r="F6513" t="s">
        <v>2706</v>
      </c>
      <c r="G6513" t="str">
        <f>"09-K01-03"</f>
        <v>09-K01-03</v>
      </c>
      <c r="H6513">
        <v>0.88329999999999997</v>
      </c>
      <c r="I6513" t="s">
        <v>4739</v>
      </c>
      <c r="J6513" t="s">
        <v>14</v>
      </c>
      <c r="K6513" t="str">
        <f>"1F1"</f>
        <v>1F1</v>
      </c>
      <c r="L6513" t="s">
        <v>15</v>
      </c>
    </row>
    <row r="6514" spans="1:12" x14ac:dyDescent="0.25">
      <c r="A6514" t="str">
        <f>"5602271411"</f>
        <v>5602271411</v>
      </c>
      <c r="B6514" t="str">
        <f t="shared" si="318"/>
        <v>89301000</v>
      </c>
      <c r="C6514" s="1">
        <v>44454</v>
      </c>
      <c r="D6514" s="1">
        <v>44459</v>
      </c>
      <c r="E6514">
        <v>1</v>
      </c>
      <c r="F6514" t="s">
        <v>2931</v>
      </c>
      <c r="G6514" t="str">
        <f>"07-K04-04"</f>
        <v>07-K04-04</v>
      </c>
      <c r="H6514">
        <v>0.61360000000000003</v>
      </c>
      <c r="I6514" t="s">
        <v>4740</v>
      </c>
      <c r="J6514" t="s">
        <v>14</v>
      </c>
      <c r="K6514" t="str">
        <f>"1F5"</f>
        <v>1F5</v>
      </c>
      <c r="L6514" t="s">
        <v>15</v>
      </c>
    </row>
    <row r="6515" spans="1:12" x14ac:dyDescent="0.25">
      <c r="A6515" t="str">
        <f>"5602290155"</f>
        <v>5602290155</v>
      </c>
      <c r="B6515" t="str">
        <f t="shared" si="318"/>
        <v>89301000</v>
      </c>
      <c r="C6515" s="1">
        <v>44319</v>
      </c>
      <c r="D6515" s="1">
        <v>44322</v>
      </c>
      <c r="E6515">
        <v>2</v>
      </c>
      <c r="F6515" t="s">
        <v>2910</v>
      </c>
      <c r="G6515" t="str">
        <f>"06-K14-01"</f>
        <v>06-K14-01</v>
      </c>
      <c r="H6515">
        <v>1.17</v>
      </c>
      <c r="I6515" t="s">
        <v>4741</v>
      </c>
      <c r="J6515" t="s">
        <v>14</v>
      </c>
      <c r="K6515" t="str">
        <f>"4F2"</f>
        <v>4F2</v>
      </c>
      <c r="L6515" t="s">
        <v>15</v>
      </c>
    </row>
    <row r="6516" spans="1:12" x14ac:dyDescent="0.25">
      <c r="A6516" t="str">
        <f>"5602291277"</f>
        <v>5602291277</v>
      </c>
      <c r="B6516" t="str">
        <f t="shared" si="318"/>
        <v>89301000</v>
      </c>
      <c r="C6516" s="1">
        <v>44356</v>
      </c>
      <c r="D6516" s="1">
        <v>44358</v>
      </c>
      <c r="E6516">
        <v>1</v>
      </c>
      <c r="F6516" t="s">
        <v>1604</v>
      </c>
      <c r="G6516" t="str">
        <f>"05-I25-03"</f>
        <v>05-I25-03</v>
      </c>
      <c r="H6516">
        <v>1.5508</v>
      </c>
      <c r="I6516" t="s">
        <v>4742</v>
      </c>
      <c r="J6516" t="s">
        <v>17</v>
      </c>
      <c r="K6516" t="str">
        <f>"1F7"</f>
        <v>1F7</v>
      </c>
      <c r="L6516" t="s">
        <v>15</v>
      </c>
    </row>
    <row r="6517" spans="1:12" x14ac:dyDescent="0.25">
      <c r="A6517" t="str">
        <f>"5602291277"</f>
        <v>5602291277</v>
      </c>
      <c r="B6517" t="str">
        <f t="shared" si="318"/>
        <v>89301000</v>
      </c>
      <c r="C6517" s="1">
        <v>44278</v>
      </c>
      <c r="D6517" s="1">
        <v>44287</v>
      </c>
      <c r="E6517">
        <v>1</v>
      </c>
      <c r="F6517" t="s">
        <v>1555</v>
      </c>
      <c r="G6517" t="str">
        <f>"05-I18-04"</f>
        <v>05-I18-04</v>
      </c>
      <c r="H6517">
        <v>3.6120999999999999</v>
      </c>
      <c r="I6517" t="s">
        <v>4743</v>
      </c>
      <c r="J6517" t="s">
        <v>14</v>
      </c>
      <c r="K6517" t="str">
        <f>"1F7"</f>
        <v>1F7</v>
      </c>
      <c r="L6517" t="s">
        <v>15</v>
      </c>
    </row>
    <row r="6518" spans="1:12" x14ac:dyDescent="0.25">
      <c r="A6518" t="str">
        <f>"5603011997"</f>
        <v>5603011997</v>
      </c>
      <c r="B6518" t="str">
        <f t="shared" si="318"/>
        <v>89301000</v>
      </c>
      <c r="C6518" s="1">
        <v>44552</v>
      </c>
      <c r="D6518" s="1">
        <v>44553</v>
      </c>
      <c r="E6518">
        <v>1</v>
      </c>
      <c r="F6518" t="s">
        <v>1557</v>
      </c>
      <c r="G6518" t="str">
        <f>"05-D01-08"</f>
        <v>05-D01-08</v>
      </c>
      <c r="H6518">
        <v>0.4093</v>
      </c>
      <c r="J6518" t="s">
        <v>14</v>
      </c>
      <c r="K6518" t="str">
        <f>"1F7"</f>
        <v>1F7</v>
      </c>
      <c r="L6518" t="s">
        <v>15</v>
      </c>
    </row>
    <row r="6519" spans="1:12" x14ac:dyDescent="0.25">
      <c r="A6519" t="str">
        <f>"5603020544"</f>
        <v>5603020544</v>
      </c>
      <c r="B6519" t="str">
        <f t="shared" si="318"/>
        <v>89301000</v>
      </c>
      <c r="C6519" s="1">
        <v>44242</v>
      </c>
      <c r="D6519" s="1">
        <v>44245</v>
      </c>
      <c r="E6519">
        <v>1</v>
      </c>
      <c r="F6519" t="s">
        <v>1683</v>
      </c>
      <c r="G6519" t="str">
        <f>"05-M06-06"</f>
        <v>05-M06-06</v>
      </c>
      <c r="H6519">
        <v>1.7652000000000001</v>
      </c>
      <c r="I6519" t="s">
        <v>489</v>
      </c>
      <c r="J6519" t="s">
        <v>17</v>
      </c>
      <c r="K6519" t="str">
        <f>"1F1"</f>
        <v>1F1</v>
      </c>
      <c r="L6519" t="s">
        <v>15</v>
      </c>
    </row>
    <row r="6520" spans="1:12" x14ac:dyDescent="0.25">
      <c r="A6520" t="str">
        <f>"5603020544"</f>
        <v>5603020544</v>
      </c>
      <c r="B6520" t="str">
        <f t="shared" si="318"/>
        <v>89301000</v>
      </c>
      <c r="C6520" s="1">
        <v>44284</v>
      </c>
      <c r="D6520" s="1">
        <v>44285</v>
      </c>
      <c r="E6520">
        <v>1</v>
      </c>
      <c r="F6520" t="s">
        <v>1557</v>
      </c>
      <c r="G6520" t="str">
        <f>"05-M06-08"</f>
        <v>05-M06-08</v>
      </c>
      <c r="H6520">
        <v>1.4719</v>
      </c>
      <c r="I6520" t="s">
        <v>4744</v>
      </c>
      <c r="J6520" t="s">
        <v>17</v>
      </c>
      <c r="K6520" t="str">
        <f>"1F1"</f>
        <v>1F1</v>
      </c>
      <c r="L6520" t="s">
        <v>15</v>
      </c>
    </row>
    <row r="6521" spans="1:12" x14ac:dyDescent="0.25">
      <c r="A6521" t="str">
        <f>"5603172388"</f>
        <v>5603172388</v>
      </c>
      <c r="B6521" t="str">
        <f t="shared" si="318"/>
        <v>89301000</v>
      </c>
      <c r="C6521" s="1">
        <v>44354</v>
      </c>
      <c r="D6521" s="1">
        <v>44362</v>
      </c>
      <c r="E6521">
        <v>1</v>
      </c>
      <c r="F6521" t="s">
        <v>79</v>
      </c>
      <c r="G6521" t="str">
        <f>"10-R02-01"</f>
        <v>10-R02-01</v>
      </c>
      <c r="H6521">
        <v>1.0588</v>
      </c>
      <c r="I6521" t="s">
        <v>80</v>
      </c>
      <c r="J6521" t="s">
        <v>24</v>
      </c>
      <c r="K6521" t="str">
        <f>"4F7"</f>
        <v>4F7</v>
      </c>
      <c r="L6521" t="s">
        <v>15</v>
      </c>
    </row>
    <row r="6522" spans="1:12" x14ac:dyDescent="0.25">
      <c r="A6522" t="str">
        <f>"5603172388"</f>
        <v>5603172388</v>
      </c>
      <c r="B6522" t="str">
        <f t="shared" si="318"/>
        <v>89301000</v>
      </c>
      <c r="C6522" s="1">
        <v>44214</v>
      </c>
      <c r="D6522" s="1">
        <v>44223</v>
      </c>
      <c r="E6522">
        <v>1</v>
      </c>
      <c r="F6522" t="s">
        <v>79</v>
      </c>
      <c r="G6522" t="str">
        <f>"10-R02-01"</f>
        <v>10-R02-01</v>
      </c>
      <c r="H6522">
        <v>0.9698</v>
      </c>
      <c r="I6522" t="s">
        <v>80</v>
      </c>
      <c r="J6522" t="s">
        <v>24</v>
      </c>
      <c r="K6522" t="str">
        <f>"4F7"</f>
        <v>4F7</v>
      </c>
      <c r="L6522" t="s">
        <v>15</v>
      </c>
    </row>
    <row r="6523" spans="1:12" x14ac:dyDescent="0.25">
      <c r="A6523" t="str">
        <f>"5603221547"</f>
        <v>5603221547</v>
      </c>
      <c r="B6523" t="str">
        <f t="shared" si="318"/>
        <v>89301000</v>
      </c>
      <c r="C6523" s="1">
        <v>44416</v>
      </c>
      <c r="D6523" s="1">
        <v>44418</v>
      </c>
      <c r="E6523">
        <v>1</v>
      </c>
      <c r="F6523" t="s">
        <v>1842</v>
      </c>
      <c r="G6523" t="str">
        <f>"05-I14-04"</f>
        <v>05-I14-04</v>
      </c>
      <c r="H6523">
        <v>5.4002999999999997</v>
      </c>
      <c r="I6523" t="s">
        <v>2799</v>
      </c>
      <c r="J6523" t="s">
        <v>14</v>
      </c>
      <c r="K6523" t="str">
        <f>"1F1"</f>
        <v>1F1</v>
      </c>
      <c r="L6523" t="s">
        <v>15</v>
      </c>
    </row>
    <row r="6524" spans="1:12" x14ac:dyDescent="0.25">
      <c r="A6524" t="str">
        <f>"5603221547"</f>
        <v>5603221547</v>
      </c>
      <c r="B6524" t="str">
        <f t="shared" si="318"/>
        <v>89301000</v>
      </c>
      <c r="C6524" s="1">
        <v>44383</v>
      </c>
      <c r="D6524" s="1">
        <v>44386</v>
      </c>
      <c r="E6524">
        <v>1</v>
      </c>
      <c r="F6524" t="s">
        <v>1619</v>
      </c>
      <c r="G6524" t="str">
        <f>"05-M06-06"</f>
        <v>05-M06-06</v>
      </c>
      <c r="H6524">
        <v>2.1255999999999999</v>
      </c>
      <c r="I6524" t="s">
        <v>4745</v>
      </c>
      <c r="J6524" t="s">
        <v>17</v>
      </c>
      <c r="K6524" t="str">
        <f>"1F1"</f>
        <v>1F1</v>
      </c>
      <c r="L6524" t="s">
        <v>15</v>
      </c>
    </row>
    <row r="6525" spans="1:12" x14ac:dyDescent="0.25">
      <c r="A6525" t="str">
        <f>"5603242392"</f>
        <v>5603242392</v>
      </c>
      <c r="B6525" t="str">
        <f t="shared" si="318"/>
        <v>89301000</v>
      </c>
      <c r="C6525" s="1">
        <v>44293</v>
      </c>
      <c r="D6525" s="1">
        <v>44299</v>
      </c>
      <c r="E6525">
        <v>1</v>
      </c>
      <c r="F6525" t="s">
        <v>31</v>
      </c>
      <c r="G6525" t="str">
        <f>"08-I03-06"</f>
        <v>08-I03-06</v>
      </c>
      <c r="H6525">
        <v>3.3283999999999998</v>
      </c>
      <c r="I6525" t="s">
        <v>489</v>
      </c>
      <c r="J6525" t="s">
        <v>17</v>
      </c>
      <c r="K6525" t="str">
        <f>"5F6"</f>
        <v>5F6</v>
      </c>
      <c r="L6525" t="s">
        <v>15</v>
      </c>
    </row>
    <row r="6526" spans="1:12" x14ac:dyDescent="0.25">
      <c r="A6526" t="str">
        <f>"5603302518"</f>
        <v>5603302518</v>
      </c>
      <c r="B6526" t="str">
        <f t="shared" si="318"/>
        <v>89301000</v>
      </c>
      <c r="C6526" s="1">
        <v>44281</v>
      </c>
      <c r="D6526" s="1">
        <v>44284</v>
      </c>
      <c r="E6526">
        <v>1</v>
      </c>
      <c r="F6526" t="s">
        <v>2004</v>
      </c>
      <c r="G6526" t="str">
        <f>"05-M06-06"</f>
        <v>05-M06-06</v>
      </c>
      <c r="H6526">
        <v>1.7652000000000001</v>
      </c>
      <c r="I6526" t="s">
        <v>4746</v>
      </c>
      <c r="J6526" t="s">
        <v>17</v>
      </c>
      <c r="K6526" t="str">
        <f>"1F1"</f>
        <v>1F1</v>
      </c>
      <c r="L6526" t="s">
        <v>15</v>
      </c>
    </row>
    <row r="6527" spans="1:12" x14ac:dyDescent="0.25">
      <c r="A6527" t="str">
        <f>"5604012084"</f>
        <v>5604012084</v>
      </c>
      <c r="B6527" t="str">
        <f t="shared" ref="B6527:B6590" si="319">"89301000"</f>
        <v>89301000</v>
      </c>
      <c r="C6527" s="1">
        <v>44416</v>
      </c>
      <c r="D6527" s="1">
        <v>44427</v>
      </c>
      <c r="E6527">
        <v>1</v>
      </c>
      <c r="F6527" t="s">
        <v>1991</v>
      </c>
      <c r="G6527" t="str">
        <f>"12-I03-04"</f>
        <v>12-I03-04</v>
      </c>
      <c r="H6527">
        <v>1.8419000000000001</v>
      </c>
      <c r="I6527" t="s">
        <v>4747</v>
      </c>
      <c r="J6527" t="s">
        <v>24</v>
      </c>
      <c r="K6527" t="str">
        <f>"7F6"</f>
        <v>7F6</v>
      </c>
      <c r="L6527" t="s">
        <v>15</v>
      </c>
    </row>
    <row r="6528" spans="1:12" x14ac:dyDescent="0.25">
      <c r="A6528" t="str">
        <f>"5604041047"</f>
        <v>5604041047</v>
      </c>
      <c r="B6528" t="str">
        <f t="shared" si="319"/>
        <v>89301000</v>
      </c>
      <c r="C6528" s="1">
        <v>44238</v>
      </c>
      <c r="D6528" s="1">
        <v>44239</v>
      </c>
      <c r="E6528">
        <v>1</v>
      </c>
      <c r="F6528" t="s">
        <v>2360</v>
      </c>
      <c r="G6528" t="str">
        <f>"06-M01-05"</f>
        <v>06-M01-05</v>
      </c>
      <c r="H6528">
        <v>0.41710000000000003</v>
      </c>
      <c r="I6528" t="s">
        <v>4748</v>
      </c>
      <c r="J6528" t="s">
        <v>14</v>
      </c>
      <c r="K6528" t="str">
        <f>"1F1"</f>
        <v>1F1</v>
      </c>
      <c r="L6528" t="s">
        <v>15</v>
      </c>
    </row>
    <row r="6529" spans="1:12" x14ac:dyDescent="0.25">
      <c r="A6529" t="str">
        <f>"5604071407"</f>
        <v>5604071407</v>
      </c>
      <c r="B6529" t="str">
        <f t="shared" si="319"/>
        <v>89301000</v>
      </c>
      <c r="C6529" s="1">
        <v>44363</v>
      </c>
      <c r="D6529" s="1">
        <v>44368</v>
      </c>
      <c r="E6529">
        <v>1</v>
      </c>
      <c r="F6529" t="s">
        <v>1557</v>
      </c>
      <c r="G6529" t="str">
        <f>"05-I16-07"</f>
        <v>05-I16-07</v>
      </c>
      <c r="H6529">
        <v>4.2412000000000001</v>
      </c>
      <c r="J6529" t="s">
        <v>17</v>
      </c>
      <c r="K6529" t="str">
        <f>"5F5"</f>
        <v>5F5</v>
      </c>
      <c r="L6529" t="s">
        <v>15</v>
      </c>
    </row>
    <row r="6530" spans="1:12" x14ac:dyDescent="0.25">
      <c r="A6530" t="str">
        <f>"5604081318"</f>
        <v>5604081318</v>
      </c>
      <c r="B6530" t="str">
        <f t="shared" si="319"/>
        <v>89301000</v>
      </c>
      <c r="C6530" s="1">
        <v>44502</v>
      </c>
      <c r="D6530" s="1">
        <v>44506</v>
      </c>
      <c r="E6530">
        <v>1</v>
      </c>
      <c r="F6530" t="s">
        <v>28</v>
      </c>
      <c r="G6530" t="str">
        <f>"03-I12-02"</f>
        <v>03-I12-02</v>
      </c>
      <c r="H6530">
        <v>1.3254999999999999</v>
      </c>
      <c r="I6530" t="s">
        <v>4749</v>
      </c>
      <c r="J6530" t="s">
        <v>17</v>
      </c>
      <c r="K6530" t="str">
        <f>"7F1"</f>
        <v>7F1</v>
      </c>
      <c r="L6530" t="s">
        <v>15</v>
      </c>
    </row>
    <row r="6531" spans="1:12" x14ac:dyDescent="0.25">
      <c r="A6531" t="str">
        <f>"5604222844"</f>
        <v>5604222844</v>
      </c>
      <c r="B6531" t="str">
        <f t="shared" si="319"/>
        <v>89301000</v>
      </c>
      <c r="C6531" s="1">
        <v>44529</v>
      </c>
      <c r="D6531" s="1">
        <v>44531</v>
      </c>
      <c r="E6531">
        <v>1</v>
      </c>
      <c r="F6531" t="s">
        <v>496</v>
      </c>
      <c r="G6531" t="str">
        <f>"08-M03-05"</f>
        <v>08-M03-05</v>
      </c>
      <c r="H6531">
        <v>0.51759999999999995</v>
      </c>
      <c r="I6531" t="s">
        <v>524</v>
      </c>
      <c r="J6531" t="s">
        <v>14</v>
      </c>
      <c r="K6531" t="str">
        <f>"6F6"</f>
        <v>6F6</v>
      </c>
      <c r="L6531" t="s">
        <v>15</v>
      </c>
    </row>
    <row r="6532" spans="1:12" x14ac:dyDescent="0.25">
      <c r="A6532" t="str">
        <f>"5604251356"</f>
        <v>5604251356</v>
      </c>
      <c r="B6532" t="str">
        <f t="shared" si="319"/>
        <v>89301000</v>
      </c>
      <c r="C6532" s="1">
        <v>44409</v>
      </c>
      <c r="D6532" s="1">
        <v>44414</v>
      </c>
      <c r="E6532">
        <v>1</v>
      </c>
      <c r="F6532" t="s">
        <v>2232</v>
      </c>
      <c r="G6532" t="str">
        <f>"11-I07-01"</f>
        <v>11-I07-01</v>
      </c>
      <c r="H6532">
        <v>2.5975999999999999</v>
      </c>
      <c r="I6532" t="s">
        <v>4750</v>
      </c>
      <c r="J6532" t="s">
        <v>14</v>
      </c>
      <c r="K6532" t="str">
        <f>"7F6"</f>
        <v>7F6</v>
      </c>
      <c r="L6532" t="s">
        <v>15</v>
      </c>
    </row>
    <row r="6533" spans="1:12" x14ac:dyDescent="0.25">
      <c r="A6533" t="str">
        <f>"5605040474"</f>
        <v>5605040474</v>
      </c>
      <c r="B6533" t="str">
        <f t="shared" si="319"/>
        <v>89301000</v>
      </c>
      <c r="C6533" s="1">
        <v>44309</v>
      </c>
      <c r="D6533" s="1">
        <v>44328</v>
      </c>
      <c r="E6533">
        <v>8</v>
      </c>
      <c r="F6533" t="s">
        <v>217</v>
      </c>
      <c r="G6533" t="str">
        <f>"00-M02-04"</f>
        <v>00-M02-04</v>
      </c>
      <c r="H6533">
        <v>12.434699999999999</v>
      </c>
      <c r="I6533" t="s">
        <v>4751</v>
      </c>
      <c r="J6533" t="s">
        <v>14</v>
      </c>
      <c r="K6533" t="str">
        <f>"7T8"</f>
        <v>7T8</v>
      </c>
      <c r="L6533" t="s">
        <v>15</v>
      </c>
    </row>
    <row r="6534" spans="1:12" x14ac:dyDescent="0.25">
      <c r="A6534" t="str">
        <f>"5605061242"</f>
        <v>5605061242</v>
      </c>
      <c r="B6534" t="str">
        <f t="shared" si="319"/>
        <v>89301000</v>
      </c>
      <c r="C6534" s="1">
        <v>44321</v>
      </c>
      <c r="D6534" s="1">
        <v>44327</v>
      </c>
      <c r="E6534">
        <v>1</v>
      </c>
      <c r="F6534" t="s">
        <v>1699</v>
      </c>
      <c r="G6534" t="str">
        <f>"01-K10-03"</f>
        <v>01-K10-03</v>
      </c>
      <c r="H6534">
        <v>1.0016</v>
      </c>
      <c r="I6534" t="s">
        <v>3078</v>
      </c>
      <c r="J6534" t="s">
        <v>14</v>
      </c>
      <c r="K6534" t="str">
        <f>"2F9"</f>
        <v>2F9</v>
      </c>
      <c r="L6534" t="s">
        <v>15</v>
      </c>
    </row>
    <row r="6535" spans="1:12" x14ac:dyDescent="0.25">
      <c r="A6535" t="str">
        <f>"5605071516"</f>
        <v>5605071516</v>
      </c>
      <c r="B6535" t="str">
        <f t="shared" si="319"/>
        <v>89301000</v>
      </c>
      <c r="C6535" s="1">
        <v>44455</v>
      </c>
      <c r="D6535" s="1">
        <v>44456</v>
      </c>
      <c r="E6535">
        <v>1</v>
      </c>
      <c r="F6535" t="s">
        <v>1557</v>
      </c>
      <c r="G6535" t="str">
        <f>"05-M06-08"</f>
        <v>05-M06-08</v>
      </c>
      <c r="H6535">
        <v>1.4719</v>
      </c>
      <c r="I6535" t="s">
        <v>4752</v>
      </c>
      <c r="J6535" t="s">
        <v>17</v>
      </c>
      <c r="K6535" t="str">
        <f>"1F1"</f>
        <v>1F1</v>
      </c>
      <c r="L6535" t="s">
        <v>15</v>
      </c>
    </row>
    <row r="6536" spans="1:12" x14ac:dyDescent="0.25">
      <c r="A6536" t="str">
        <f>"5605080437"</f>
        <v>5605080437</v>
      </c>
      <c r="B6536" t="str">
        <f t="shared" si="319"/>
        <v>89301000</v>
      </c>
      <c r="C6536" s="1">
        <v>44231</v>
      </c>
      <c r="D6536" s="1">
        <v>44232</v>
      </c>
      <c r="E6536">
        <v>1</v>
      </c>
      <c r="F6536" t="s">
        <v>2360</v>
      </c>
      <c r="G6536" t="str">
        <f>"06-M01-02"</f>
        <v>06-M01-02</v>
      </c>
      <c r="H6536">
        <v>1.2191000000000001</v>
      </c>
      <c r="I6536" t="s">
        <v>489</v>
      </c>
      <c r="J6536" t="s">
        <v>14</v>
      </c>
      <c r="K6536" t="str">
        <f>"1F1"</f>
        <v>1F1</v>
      </c>
      <c r="L6536" t="s">
        <v>15</v>
      </c>
    </row>
    <row r="6537" spans="1:12" x14ac:dyDescent="0.25">
      <c r="A6537" t="str">
        <f>"5605081273"</f>
        <v>5605081273</v>
      </c>
      <c r="B6537" t="str">
        <f t="shared" si="319"/>
        <v>89301000</v>
      </c>
      <c r="C6537" s="1">
        <v>44259</v>
      </c>
      <c r="D6537" s="1">
        <v>44265</v>
      </c>
      <c r="E6537">
        <v>4</v>
      </c>
      <c r="F6537" t="s">
        <v>1968</v>
      </c>
      <c r="G6537" t="str">
        <f>"08-I05-04"</f>
        <v>08-I05-04</v>
      </c>
      <c r="H6537">
        <v>2.4581</v>
      </c>
      <c r="I6537" t="s">
        <v>4260</v>
      </c>
      <c r="J6537" t="s">
        <v>17</v>
      </c>
      <c r="K6537" t="str">
        <f>"6F6"</f>
        <v>6F6</v>
      </c>
      <c r="L6537" t="s">
        <v>15</v>
      </c>
    </row>
    <row r="6538" spans="1:12" x14ac:dyDescent="0.25">
      <c r="A6538" t="str">
        <f>"5605131312"</f>
        <v>5605131312</v>
      </c>
      <c r="B6538" t="str">
        <f t="shared" si="319"/>
        <v>89301000</v>
      </c>
      <c r="C6538" s="1">
        <v>44390</v>
      </c>
      <c r="D6538" s="1">
        <v>44392</v>
      </c>
      <c r="E6538">
        <v>1</v>
      </c>
      <c r="F6538" t="s">
        <v>4753</v>
      </c>
      <c r="G6538" t="str">
        <f>"03-K04-01"</f>
        <v>03-K04-01</v>
      </c>
      <c r="H6538">
        <v>0.46660000000000001</v>
      </c>
      <c r="I6538" t="s">
        <v>489</v>
      </c>
      <c r="J6538" t="s">
        <v>14</v>
      </c>
      <c r="K6538" t="str">
        <f>"7F1"</f>
        <v>7F1</v>
      </c>
      <c r="L6538" t="s">
        <v>15</v>
      </c>
    </row>
    <row r="6539" spans="1:12" x14ac:dyDescent="0.25">
      <c r="A6539" t="str">
        <f>"5605161221"</f>
        <v>5605161221</v>
      </c>
      <c r="B6539" t="str">
        <f t="shared" si="319"/>
        <v>89301000</v>
      </c>
      <c r="C6539" s="1">
        <v>44245</v>
      </c>
      <c r="D6539" s="1">
        <v>44247</v>
      </c>
      <c r="E6539">
        <v>1</v>
      </c>
      <c r="F6539" t="s">
        <v>4070</v>
      </c>
      <c r="G6539" t="str">
        <f>"09-I13-05"</f>
        <v>09-I13-05</v>
      </c>
      <c r="H6539">
        <v>0.43659999999999999</v>
      </c>
      <c r="J6539" t="s">
        <v>14</v>
      </c>
      <c r="K6539" t="str">
        <f>"6F6"</f>
        <v>6F6</v>
      </c>
      <c r="L6539" t="s">
        <v>15</v>
      </c>
    </row>
    <row r="6540" spans="1:12" x14ac:dyDescent="0.25">
      <c r="A6540" t="str">
        <f>"5605181571"</f>
        <v>5605181571</v>
      </c>
      <c r="B6540" t="str">
        <f t="shared" si="319"/>
        <v>89301000</v>
      </c>
      <c r="C6540" s="1">
        <v>44402</v>
      </c>
      <c r="D6540" s="1">
        <v>44404</v>
      </c>
      <c r="E6540">
        <v>1</v>
      </c>
      <c r="F6540" t="s">
        <v>245</v>
      </c>
      <c r="G6540" t="str">
        <f>"12-I13-02"</f>
        <v>12-I13-02</v>
      </c>
      <c r="H6540">
        <v>0.57240000000000002</v>
      </c>
      <c r="I6540" t="s">
        <v>4754</v>
      </c>
      <c r="J6540" t="s">
        <v>24</v>
      </c>
      <c r="K6540" t="str">
        <f>"7F6"</f>
        <v>7F6</v>
      </c>
      <c r="L6540" t="s">
        <v>15</v>
      </c>
    </row>
    <row r="6541" spans="1:12" x14ac:dyDescent="0.25">
      <c r="A6541" t="str">
        <f>"5605231665"</f>
        <v>5605231665</v>
      </c>
      <c r="B6541" t="str">
        <f t="shared" si="319"/>
        <v>89301000</v>
      </c>
      <c r="C6541" s="1">
        <v>44411</v>
      </c>
      <c r="D6541" s="1">
        <v>44421</v>
      </c>
      <c r="E6541">
        <v>1</v>
      </c>
      <c r="F6541" t="s">
        <v>1739</v>
      </c>
      <c r="G6541" t="str">
        <f>"10-K04-02"</f>
        <v>10-K04-02</v>
      </c>
      <c r="H6541">
        <v>1.0504</v>
      </c>
      <c r="I6541" t="s">
        <v>4755</v>
      </c>
      <c r="J6541" t="s">
        <v>14</v>
      </c>
      <c r="K6541" t="str">
        <f>"1F1"</f>
        <v>1F1</v>
      </c>
      <c r="L6541" t="s">
        <v>15</v>
      </c>
    </row>
    <row r="6542" spans="1:12" x14ac:dyDescent="0.25">
      <c r="A6542" t="str">
        <f>"5605231665"</f>
        <v>5605231665</v>
      </c>
      <c r="B6542" t="str">
        <f t="shared" si="319"/>
        <v>89301000</v>
      </c>
      <c r="C6542" s="1">
        <v>44489</v>
      </c>
      <c r="D6542" s="1">
        <v>44503</v>
      </c>
      <c r="E6542">
        <v>1</v>
      </c>
      <c r="F6542" t="s">
        <v>2549</v>
      </c>
      <c r="G6542" t="str">
        <f>"10-I05-01"</f>
        <v>10-I05-01</v>
      </c>
      <c r="H6542">
        <v>2.7082000000000002</v>
      </c>
      <c r="I6542" t="s">
        <v>4756</v>
      </c>
      <c r="J6542" t="s">
        <v>17</v>
      </c>
      <c r="K6542" t="str">
        <f>"1F1"</f>
        <v>1F1</v>
      </c>
      <c r="L6542" t="s">
        <v>15</v>
      </c>
    </row>
    <row r="6543" spans="1:12" x14ac:dyDescent="0.25">
      <c r="A6543" t="str">
        <f>"5605231665"</f>
        <v>5605231665</v>
      </c>
      <c r="B6543" t="str">
        <f t="shared" si="319"/>
        <v>89301000</v>
      </c>
      <c r="C6543" s="1">
        <v>44529</v>
      </c>
      <c r="D6543" s="1">
        <v>44544</v>
      </c>
      <c r="E6543">
        <v>1</v>
      </c>
      <c r="F6543" t="s">
        <v>2549</v>
      </c>
      <c r="G6543" t="str">
        <f>"10-I05-01"</f>
        <v>10-I05-01</v>
      </c>
      <c r="H6543">
        <v>2.7082000000000002</v>
      </c>
      <c r="I6543" t="s">
        <v>4757</v>
      </c>
      <c r="J6543" t="s">
        <v>17</v>
      </c>
      <c r="K6543" t="str">
        <f>"5F1"</f>
        <v>5F1</v>
      </c>
      <c r="L6543" t="s">
        <v>15</v>
      </c>
    </row>
    <row r="6544" spans="1:12" x14ac:dyDescent="0.25">
      <c r="A6544" t="str">
        <f>"5606010927"</f>
        <v>5606010927</v>
      </c>
      <c r="B6544" t="str">
        <f t="shared" si="319"/>
        <v>89301000</v>
      </c>
      <c r="C6544" s="1">
        <v>44341</v>
      </c>
      <c r="D6544" s="1">
        <v>44347</v>
      </c>
      <c r="E6544">
        <v>1</v>
      </c>
      <c r="F6544" t="s">
        <v>2457</v>
      </c>
      <c r="G6544" t="str">
        <f>"05-D01-08"</f>
        <v>05-D01-08</v>
      </c>
      <c r="H6544">
        <v>0.56579999999999997</v>
      </c>
      <c r="I6544" t="s">
        <v>2301</v>
      </c>
      <c r="J6544" t="s">
        <v>14</v>
      </c>
      <c r="K6544" t="str">
        <f>"1F7"</f>
        <v>1F7</v>
      </c>
      <c r="L6544" t="s">
        <v>15</v>
      </c>
    </row>
    <row r="6545" spans="1:12" x14ac:dyDescent="0.25">
      <c r="A6545" t="str">
        <f>"5606021399"</f>
        <v>5606021399</v>
      </c>
      <c r="B6545" t="str">
        <f t="shared" si="319"/>
        <v>89301000</v>
      </c>
      <c r="C6545" s="1">
        <v>44454</v>
      </c>
      <c r="D6545" s="1">
        <v>44455</v>
      </c>
      <c r="E6545">
        <v>1</v>
      </c>
      <c r="F6545" t="s">
        <v>2731</v>
      </c>
      <c r="G6545" t="str">
        <f>"02-I13-02"</f>
        <v>02-I13-02</v>
      </c>
      <c r="H6545">
        <v>0.376</v>
      </c>
      <c r="J6545" t="s">
        <v>14</v>
      </c>
      <c r="K6545" t="str">
        <f>"7F5"</f>
        <v>7F5</v>
      </c>
      <c r="L6545" t="s">
        <v>15</v>
      </c>
    </row>
    <row r="6546" spans="1:12" x14ac:dyDescent="0.25">
      <c r="A6546" t="str">
        <f>"5606021597"</f>
        <v>5606021597</v>
      </c>
      <c r="B6546" t="str">
        <f t="shared" si="319"/>
        <v>89301000</v>
      </c>
      <c r="C6546" s="1">
        <v>44216</v>
      </c>
      <c r="D6546" s="1">
        <v>44218</v>
      </c>
      <c r="E6546">
        <v>2</v>
      </c>
      <c r="F6546" t="s">
        <v>320</v>
      </c>
      <c r="G6546" t="str">
        <f>"03-I23-00"</f>
        <v>03-I23-00</v>
      </c>
      <c r="H6546">
        <v>0.47639999999999999</v>
      </c>
      <c r="I6546" t="s">
        <v>4758</v>
      </c>
      <c r="J6546" t="s">
        <v>14</v>
      </c>
      <c r="K6546" t="str">
        <f>"6F5"</f>
        <v>6F5</v>
      </c>
      <c r="L6546" t="s">
        <v>15</v>
      </c>
    </row>
    <row r="6547" spans="1:12" x14ac:dyDescent="0.25">
      <c r="A6547" t="str">
        <f>"5606080667"</f>
        <v>5606080667</v>
      </c>
      <c r="B6547" t="str">
        <f t="shared" si="319"/>
        <v>89301000</v>
      </c>
      <c r="C6547" s="1">
        <v>44412</v>
      </c>
      <c r="D6547" s="1">
        <v>44416</v>
      </c>
      <c r="E6547">
        <v>1</v>
      </c>
      <c r="F6547" t="s">
        <v>4082</v>
      </c>
      <c r="G6547" t="str">
        <f>"01-I06-04"</f>
        <v>01-I06-04</v>
      </c>
      <c r="H6547">
        <v>3.6231</v>
      </c>
      <c r="I6547" t="s">
        <v>489</v>
      </c>
      <c r="J6547" t="s">
        <v>17</v>
      </c>
      <c r="K6547" t="str">
        <f>"5F6"</f>
        <v>5F6</v>
      </c>
      <c r="L6547" t="s">
        <v>15</v>
      </c>
    </row>
    <row r="6548" spans="1:12" x14ac:dyDescent="0.25">
      <c r="A6548" t="str">
        <f>"5606080678"</f>
        <v>5606080678</v>
      </c>
      <c r="B6548" t="str">
        <f t="shared" si="319"/>
        <v>89301000</v>
      </c>
      <c r="C6548" s="1">
        <v>44295</v>
      </c>
      <c r="D6548" s="1">
        <v>44299</v>
      </c>
      <c r="E6548">
        <v>1</v>
      </c>
      <c r="F6548" t="s">
        <v>4100</v>
      </c>
      <c r="G6548" t="str">
        <f>"09-K02-00"</f>
        <v>09-K02-00</v>
      </c>
      <c r="H6548">
        <v>1.1361000000000001</v>
      </c>
      <c r="I6548" t="s">
        <v>4759</v>
      </c>
      <c r="J6548" t="s">
        <v>14</v>
      </c>
      <c r="K6548" t="str">
        <f>"4F4"</f>
        <v>4F4</v>
      </c>
      <c r="L6548" t="s">
        <v>15</v>
      </c>
    </row>
    <row r="6549" spans="1:12" x14ac:dyDescent="0.25">
      <c r="A6549" t="str">
        <f>"5606120729"</f>
        <v>5606120729</v>
      </c>
      <c r="B6549" t="str">
        <f t="shared" si="319"/>
        <v>89301000</v>
      </c>
      <c r="C6549" s="1">
        <v>44503</v>
      </c>
      <c r="D6549" s="1">
        <v>44504</v>
      </c>
      <c r="E6549">
        <v>1</v>
      </c>
      <c r="F6549" t="s">
        <v>2111</v>
      </c>
      <c r="G6549" t="str">
        <f>"10-K15-02"</f>
        <v>10-K15-02</v>
      </c>
      <c r="H6549">
        <v>0.51819999999999999</v>
      </c>
      <c r="I6549" t="s">
        <v>4760</v>
      </c>
      <c r="J6549" t="s">
        <v>14</v>
      </c>
      <c r="K6549" t="str">
        <f>"2F5"</f>
        <v>2F5</v>
      </c>
      <c r="L6549" t="s">
        <v>15</v>
      </c>
    </row>
    <row r="6550" spans="1:12" x14ac:dyDescent="0.25">
      <c r="A6550" t="str">
        <f>"5606120839"</f>
        <v>5606120839</v>
      </c>
      <c r="B6550" t="str">
        <f t="shared" si="319"/>
        <v>89301000</v>
      </c>
      <c r="C6550" s="1">
        <v>44494</v>
      </c>
      <c r="D6550" s="1">
        <v>44497</v>
      </c>
      <c r="E6550">
        <v>1</v>
      </c>
      <c r="F6550" t="s">
        <v>3813</v>
      </c>
      <c r="G6550" t="str">
        <f>"07-C01-02"</f>
        <v>07-C01-02</v>
      </c>
      <c r="H6550">
        <v>0.30530000000000002</v>
      </c>
      <c r="I6550" t="s">
        <v>2946</v>
      </c>
      <c r="J6550" t="s">
        <v>14</v>
      </c>
      <c r="K6550" t="str">
        <f>"4F2"</f>
        <v>4F2</v>
      </c>
      <c r="L6550" t="s">
        <v>15</v>
      </c>
    </row>
    <row r="6551" spans="1:12" x14ac:dyDescent="0.25">
      <c r="A6551" t="str">
        <f>"5606132433"</f>
        <v>5606132433</v>
      </c>
      <c r="B6551" t="str">
        <f t="shared" si="319"/>
        <v>89301000</v>
      </c>
      <c r="C6551" s="1">
        <v>44494</v>
      </c>
      <c r="D6551" s="1">
        <v>44498</v>
      </c>
      <c r="E6551">
        <v>1</v>
      </c>
      <c r="F6551" t="s">
        <v>1688</v>
      </c>
      <c r="G6551" t="str">
        <f>"02-I06-03"</f>
        <v>02-I06-03</v>
      </c>
      <c r="H6551">
        <v>0.63690000000000002</v>
      </c>
      <c r="I6551" t="s">
        <v>4761</v>
      </c>
      <c r="J6551" t="s">
        <v>17</v>
      </c>
      <c r="K6551" t="str">
        <f>"7F5"</f>
        <v>7F5</v>
      </c>
      <c r="L6551" t="s">
        <v>15</v>
      </c>
    </row>
    <row r="6552" spans="1:12" x14ac:dyDescent="0.25">
      <c r="A6552" t="str">
        <f>"5606151562"</f>
        <v>5606151562</v>
      </c>
      <c r="B6552" t="str">
        <f t="shared" si="319"/>
        <v>89301000</v>
      </c>
      <c r="C6552" s="1">
        <v>44510</v>
      </c>
      <c r="D6552" s="1">
        <v>44518</v>
      </c>
      <c r="E6552">
        <v>1</v>
      </c>
      <c r="F6552" t="s">
        <v>3475</v>
      </c>
      <c r="G6552" t="str">
        <f>"06-K10-01"</f>
        <v>06-K10-01</v>
      </c>
      <c r="H6552">
        <v>1.6342000000000001</v>
      </c>
      <c r="I6552" t="s">
        <v>4762</v>
      </c>
      <c r="J6552" t="s">
        <v>14</v>
      </c>
      <c r="K6552" t="str">
        <f>"1F1"</f>
        <v>1F1</v>
      </c>
      <c r="L6552" t="s">
        <v>15</v>
      </c>
    </row>
    <row r="6553" spans="1:12" x14ac:dyDescent="0.25">
      <c r="A6553" t="str">
        <f>"5606191602"</f>
        <v>5606191602</v>
      </c>
      <c r="B6553" t="str">
        <f t="shared" si="319"/>
        <v>89301000</v>
      </c>
      <c r="C6553" s="1">
        <v>44264</v>
      </c>
      <c r="D6553" s="1">
        <v>44287</v>
      </c>
      <c r="E6553">
        <v>8</v>
      </c>
      <c r="F6553" t="s">
        <v>962</v>
      </c>
      <c r="G6553" t="str">
        <f>"04-M01-03"</f>
        <v>04-M01-03</v>
      </c>
      <c r="H6553">
        <v>17.538900000000002</v>
      </c>
      <c r="I6553" t="s">
        <v>4763</v>
      </c>
      <c r="J6553" t="s">
        <v>14</v>
      </c>
      <c r="K6553" t="str">
        <f>"5T1"</f>
        <v>5T1</v>
      </c>
      <c r="L6553" t="s">
        <v>15</v>
      </c>
    </row>
    <row r="6554" spans="1:12" x14ac:dyDescent="0.25">
      <c r="A6554" t="str">
        <f>"5606232038"</f>
        <v>5606232038</v>
      </c>
      <c r="B6554" t="str">
        <f t="shared" si="319"/>
        <v>89301000</v>
      </c>
      <c r="C6554" s="1">
        <v>44420</v>
      </c>
      <c r="D6554" s="1">
        <v>44422</v>
      </c>
      <c r="E6554">
        <v>1</v>
      </c>
      <c r="F6554" t="s">
        <v>174</v>
      </c>
      <c r="G6554" t="str">
        <f>"12-I14-00"</f>
        <v>12-I14-00</v>
      </c>
      <c r="H6554">
        <v>0.44350000000000001</v>
      </c>
      <c r="I6554" t="s">
        <v>2236</v>
      </c>
      <c r="J6554" t="s">
        <v>14</v>
      </c>
      <c r="K6554" t="str">
        <f>"7F6"</f>
        <v>7F6</v>
      </c>
      <c r="L6554" t="s">
        <v>15</v>
      </c>
    </row>
    <row r="6555" spans="1:12" x14ac:dyDescent="0.25">
      <c r="A6555" t="str">
        <f>"5606241421"</f>
        <v>5606241421</v>
      </c>
      <c r="B6555" t="str">
        <f t="shared" si="319"/>
        <v>89301000</v>
      </c>
      <c r="C6555" s="1">
        <v>44365</v>
      </c>
      <c r="D6555" s="1">
        <v>44366</v>
      </c>
      <c r="E6555">
        <v>1</v>
      </c>
      <c r="F6555" t="s">
        <v>489</v>
      </c>
      <c r="G6555" t="str">
        <f>"05-D01-08"</f>
        <v>05-D01-08</v>
      </c>
      <c r="H6555">
        <v>0.4093</v>
      </c>
      <c r="I6555" t="s">
        <v>4306</v>
      </c>
      <c r="J6555" t="s">
        <v>14</v>
      </c>
      <c r="K6555" t="str">
        <f>"1F1"</f>
        <v>1F1</v>
      </c>
      <c r="L6555" t="s">
        <v>15</v>
      </c>
    </row>
    <row r="6556" spans="1:12" x14ac:dyDescent="0.25">
      <c r="A6556" t="str">
        <f>"5606261177"</f>
        <v>5606261177</v>
      </c>
      <c r="B6556" t="str">
        <f t="shared" si="319"/>
        <v>89301000</v>
      </c>
      <c r="C6556" s="1">
        <v>44529</v>
      </c>
      <c r="D6556" s="1">
        <v>44530</v>
      </c>
      <c r="E6556">
        <v>1</v>
      </c>
      <c r="F6556" t="s">
        <v>2859</v>
      </c>
      <c r="G6556" t="str">
        <f>"05-D01-06"</f>
        <v>05-D01-06</v>
      </c>
      <c r="H6556">
        <v>0.7611</v>
      </c>
      <c r="I6556" t="s">
        <v>3002</v>
      </c>
      <c r="J6556" t="s">
        <v>14</v>
      </c>
      <c r="K6556" t="str">
        <f>"1F7"</f>
        <v>1F7</v>
      </c>
      <c r="L6556" t="s">
        <v>15</v>
      </c>
    </row>
    <row r="6557" spans="1:12" x14ac:dyDescent="0.25">
      <c r="A6557" t="str">
        <f>"5607041495"</f>
        <v>5607041495</v>
      </c>
      <c r="B6557" t="str">
        <f t="shared" si="319"/>
        <v>89301000</v>
      </c>
      <c r="C6557" s="1">
        <v>44292</v>
      </c>
      <c r="D6557" s="1">
        <v>44298</v>
      </c>
      <c r="E6557">
        <v>1</v>
      </c>
      <c r="F6557" t="s">
        <v>1683</v>
      </c>
      <c r="G6557" t="str">
        <f>"05-M06-02"</f>
        <v>05-M06-02</v>
      </c>
      <c r="H6557">
        <v>3.8521999999999998</v>
      </c>
      <c r="I6557" t="s">
        <v>2283</v>
      </c>
      <c r="J6557" t="s">
        <v>17</v>
      </c>
      <c r="K6557" t="str">
        <f>"1F1"</f>
        <v>1F1</v>
      </c>
      <c r="L6557" t="s">
        <v>15</v>
      </c>
    </row>
    <row r="6558" spans="1:12" x14ac:dyDescent="0.25">
      <c r="A6558" t="str">
        <f>"5607102215"</f>
        <v>5607102215</v>
      </c>
      <c r="B6558" t="str">
        <f t="shared" si="319"/>
        <v>89301000</v>
      </c>
      <c r="C6558" s="1">
        <v>44347</v>
      </c>
      <c r="D6558" s="1">
        <v>44348</v>
      </c>
      <c r="E6558">
        <v>1</v>
      </c>
      <c r="F6558" t="s">
        <v>1557</v>
      </c>
      <c r="G6558" t="str">
        <f>"05-D01-08"</f>
        <v>05-D01-08</v>
      </c>
      <c r="H6558">
        <v>0.4093</v>
      </c>
      <c r="I6558" t="s">
        <v>4764</v>
      </c>
      <c r="J6558" t="s">
        <v>14</v>
      </c>
      <c r="K6558" t="str">
        <f>"1F1"</f>
        <v>1F1</v>
      </c>
      <c r="L6558" t="s">
        <v>15</v>
      </c>
    </row>
    <row r="6559" spans="1:12" x14ac:dyDescent="0.25">
      <c r="A6559" t="str">
        <f>"5607102215"</f>
        <v>5607102215</v>
      </c>
      <c r="B6559" t="str">
        <f t="shared" si="319"/>
        <v>89301000</v>
      </c>
      <c r="C6559" s="1">
        <v>44317</v>
      </c>
      <c r="D6559" s="1">
        <v>44327</v>
      </c>
      <c r="E6559">
        <v>1</v>
      </c>
      <c r="F6559" t="s">
        <v>1683</v>
      </c>
      <c r="G6559" t="str">
        <f>"05-I16-04"</f>
        <v>05-I16-04</v>
      </c>
      <c r="H6559">
        <v>6.1497999999999999</v>
      </c>
      <c r="I6559" t="s">
        <v>4765</v>
      </c>
      <c r="J6559" t="s">
        <v>17</v>
      </c>
      <c r="K6559" t="str">
        <f>"5F5"</f>
        <v>5F5</v>
      </c>
      <c r="L6559" t="s">
        <v>15</v>
      </c>
    </row>
    <row r="6560" spans="1:12" x14ac:dyDescent="0.25">
      <c r="A6560" t="str">
        <f>"5607111928"</f>
        <v>5607111928</v>
      </c>
      <c r="B6560" t="str">
        <f t="shared" si="319"/>
        <v>89301000</v>
      </c>
      <c r="C6560" s="1">
        <v>44525</v>
      </c>
      <c r="D6560" s="1">
        <v>44526</v>
      </c>
      <c r="E6560">
        <v>1</v>
      </c>
      <c r="F6560" t="s">
        <v>174</v>
      </c>
      <c r="G6560" t="str">
        <f>"12-I14-00"</f>
        <v>12-I14-00</v>
      </c>
      <c r="H6560">
        <v>0.44350000000000001</v>
      </c>
      <c r="I6560" t="s">
        <v>4766</v>
      </c>
      <c r="J6560" t="s">
        <v>14</v>
      </c>
      <c r="K6560" t="str">
        <f>"7F6"</f>
        <v>7F6</v>
      </c>
      <c r="L6560" t="s">
        <v>15</v>
      </c>
    </row>
    <row r="6561" spans="1:12" x14ac:dyDescent="0.25">
      <c r="A6561" t="str">
        <f>"5607121355"</f>
        <v>5607121355</v>
      </c>
      <c r="B6561" t="str">
        <f t="shared" si="319"/>
        <v>89301000</v>
      </c>
      <c r="C6561" s="1">
        <v>44265</v>
      </c>
      <c r="D6561" s="1">
        <v>44286</v>
      </c>
      <c r="E6561">
        <v>1</v>
      </c>
      <c r="F6561" t="s">
        <v>666</v>
      </c>
      <c r="G6561" t="str">
        <f>"09-K04-02"</f>
        <v>09-K04-02</v>
      </c>
      <c r="H6561">
        <v>1.161</v>
      </c>
      <c r="I6561" t="s">
        <v>4767</v>
      </c>
      <c r="J6561" t="s">
        <v>14</v>
      </c>
      <c r="K6561" t="str">
        <f>"4F4"</f>
        <v>4F4</v>
      </c>
      <c r="L6561" t="s">
        <v>15</v>
      </c>
    </row>
    <row r="6562" spans="1:12" x14ac:dyDescent="0.25">
      <c r="A6562" t="str">
        <f>"5607121883"</f>
        <v>5607121883</v>
      </c>
      <c r="B6562" t="str">
        <f t="shared" si="319"/>
        <v>89301000</v>
      </c>
      <c r="C6562" s="1">
        <v>44530</v>
      </c>
      <c r="D6562" s="1">
        <v>44535</v>
      </c>
      <c r="E6562">
        <v>1</v>
      </c>
      <c r="F6562" t="s">
        <v>4768</v>
      </c>
      <c r="G6562" t="str">
        <f>"04-I05-03"</f>
        <v>04-I05-03</v>
      </c>
      <c r="H6562">
        <v>2.1143000000000001</v>
      </c>
      <c r="I6562" t="s">
        <v>4769</v>
      </c>
      <c r="J6562" t="s">
        <v>106</v>
      </c>
      <c r="K6562" t="str">
        <f>"5F1"</f>
        <v>5F1</v>
      </c>
      <c r="L6562" t="s">
        <v>15</v>
      </c>
    </row>
    <row r="6563" spans="1:12" x14ac:dyDescent="0.25">
      <c r="A6563" t="str">
        <f>"5607151825"</f>
        <v>5607151825</v>
      </c>
      <c r="B6563" t="str">
        <f t="shared" si="319"/>
        <v>89301000</v>
      </c>
      <c r="C6563" s="1">
        <v>44368</v>
      </c>
      <c r="D6563" s="1">
        <v>44370</v>
      </c>
      <c r="E6563">
        <v>1</v>
      </c>
      <c r="F6563" t="s">
        <v>259</v>
      </c>
      <c r="G6563" t="str">
        <f>"03-K04-01"</f>
        <v>03-K04-01</v>
      </c>
      <c r="H6563">
        <v>0.46660000000000001</v>
      </c>
      <c r="J6563" t="s">
        <v>14</v>
      </c>
      <c r="K6563" t="str">
        <f>"7F1"</f>
        <v>7F1</v>
      </c>
      <c r="L6563" t="s">
        <v>15</v>
      </c>
    </row>
    <row r="6564" spans="1:12" x14ac:dyDescent="0.25">
      <c r="A6564" t="str">
        <f>"5607161879"</f>
        <v>5607161879</v>
      </c>
      <c r="B6564" t="str">
        <f t="shared" si="319"/>
        <v>89301000</v>
      </c>
      <c r="C6564" s="1">
        <v>44503</v>
      </c>
      <c r="D6564" s="1">
        <v>44509</v>
      </c>
      <c r="E6564">
        <v>3</v>
      </c>
      <c r="F6564" t="s">
        <v>2407</v>
      </c>
      <c r="G6564" t="str">
        <f>"08-I06-04"</f>
        <v>08-I06-04</v>
      </c>
      <c r="H6564">
        <v>2.4260000000000002</v>
      </c>
      <c r="I6564" t="s">
        <v>168</v>
      </c>
      <c r="J6564" t="s">
        <v>24</v>
      </c>
      <c r="K6564" t="str">
        <f>"6F6"</f>
        <v>6F6</v>
      </c>
      <c r="L6564" t="s">
        <v>15</v>
      </c>
    </row>
    <row r="6565" spans="1:12" x14ac:dyDescent="0.25">
      <c r="A6565" t="str">
        <f>"5607161879"</f>
        <v>5607161879</v>
      </c>
      <c r="B6565" t="str">
        <f t="shared" si="319"/>
        <v>89301000</v>
      </c>
      <c r="C6565" s="1">
        <v>44509</v>
      </c>
      <c r="D6565" s="1">
        <v>44525</v>
      </c>
      <c r="E6565">
        <v>1</v>
      </c>
      <c r="F6565" t="s">
        <v>109</v>
      </c>
      <c r="G6565" t="str">
        <f>"24-M07-02"</f>
        <v>24-M07-02</v>
      </c>
      <c r="H6565">
        <v>1.5094000000000001</v>
      </c>
      <c r="I6565" t="s">
        <v>4770</v>
      </c>
      <c r="J6565" t="s">
        <v>14</v>
      </c>
      <c r="K6565" t="str">
        <f>"2F1"</f>
        <v>2F1</v>
      </c>
      <c r="L6565" t="s">
        <v>15</v>
      </c>
    </row>
    <row r="6566" spans="1:12" x14ac:dyDescent="0.25">
      <c r="A6566" t="str">
        <f>"5607180557"</f>
        <v>5607180557</v>
      </c>
      <c r="B6566" t="str">
        <f t="shared" si="319"/>
        <v>89301000</v>
      </c>
      <c r="C6566" s="1">
        <v>44384</v>
      </c>
      <c r="D6566" s="1">
        <v>44386</v>
      </c>
      <c r="E6566">
        <v>1</v>
      </c>
      <c r="F6566" t="s">
        <v>4771</v>
      </c>
      <c r="G6566" t="str">
        <f>"03-K09-01"</f>
        <v>03-K09-01</v>
      </c>
      <c r="H6566">
        <v>0.59919999999999995</v>
      </c>
      <c r="I6566" t="s">
        <v>4772</v>
      </c>
      <c r="J6566" t="s">
        <v>14</v>
      </c>
      <c r="K6566" t="str">
        <f>"7F1"</f>
        <v>7F1</v>
      </c>
      <c r="L6566" t="s">
        <v>15</v>
      </c>
    </row>
    <row r="6567" spans="1:12" x14ac:dyDescent="0.25">
      <c r="A6567" t="str">
        <f>"5607180557"</f>
        <v>5607180557</v>
      </c>
      <c r="B6567" t="str">
        <f t="shared" si="319"/>
        <v>89301000</v>
      </c>
      <c r="C6567" s="1">
        <v>44411</v>
      </c>
      <c r="D6567" s="1">
        <v>44412</v>
      </c>
      <c r="E6567">
        <v>1</v>
      </c>
      <c r="F6567" t="s">
        <v>4773</v>
      </c>
      <c r="G6567" t="str">
        <f>"03-K09-01"</f>
        <v>03-K09-01</v>
      </c>
      <c r="H6567">
        <v>0.59919999999999995</v>
      </c>
      <c r="I6567" t="s">
        <v>4774</v>
      </c>
      <c r="J6567" t="s">
        <v>14</v>
      </c>
      <c r="K6567" t="str">
        <f>"1F1"</f>
        <v>1F1</v>
      </c>
      <c r="L6567" t="s">
        <v>15</v>
      </c>
    </row>
    <row r="6568" spans="1:12" x14ac:dyDescent="0.25">
      <c r="A6568" t="str">
        <f>"5607220949"</f>
        <v>5607220949</v>
      </c>
      <c r="B6568" t="str">
        <f t="shared" si="319"/>
        <v>89301000</v>
      </c>
      <c r="C6568" s="1">
        <v>44504</v>
      </c>
      <c r="D6568" s="1">
        <v>44537</v>
      </c>
      <c r="E6568">
        <v>1</v>
      </c>
      <c r="F6568" t="s">
        <v>607</v>
      </c>
      <c r="G6568" t="str">
        <f>"00-I05-01"</f>
        <v>00-I05-01</v>
      </c>
      <c r="H6568">
        <v>13.4655</v>
      </c>
      <c r="I6568" t="s">
        <v>4775</v>
      </c>
      <c r="J6568" t="s">
        <v>17</v>
      </c>
      <c r="K6568" t="str">
        <f>"1F1"</f>
        <v>1F1</v>
      </c>
      <c r="L6568" t="s">
        <v>15</v>
      </c>
    </row>
    <row r="6569" spans="1:12" x14ac:dyDescent="0.25">
      <c r="A6569" t="str">
        <f>"5607220949"</f>
        <v>5607220949</v>
      </c>
      <c r="B6569" t="str">
        <f t="shared" si="319"/>
        <v>89301000</v>
      </c>
      <c r="C6569" s="1">
        <v>44543</v>
      </c>
      <c r="D6569" s="1">
        <v>44552</v>
      </c>
      <c r="E6569">
        <v>1</v>
      </c>
      <c r="F6569" t="s">
        <v>96</v>
      </c>
      <c r="G6569" t="str">
        <f>"11-K01-02"</f>
        <v>11-K01-02</v>
      </c>
      <c r="H6569">
        <v>0.82289999999999996</v>
      </c>
      <c r="I6569" t="s">
        <v>4776</v>
      </c>
      <c r="J6569" t="s">
        <v>14</v>
      </c>
      <c r="K6569" t="str">
        <f>"1F1"</f>
        <v>1F1</v>
      </c>
      <c r="L6569" t="s">
        <v>15</v>
      </c>
    </row>
    <row r="6570" spans="1:12" x14ac:dyDescent="0.25">
      <c r="A6570" t="str">
        <f>"5607261539"</f>
        <v>5607261539</v>
      </c>
      <c r="B6570" t="str">
        <f t="shared" si="319"/>
        <v>89301000</v>
      </c>
      <c r="C6570" s="1">
        <v>44216</v>
      </c>
      <c r="D6570" s="1">
        <v>44225</v>
      </c>
      <c r="E6570">
        <v>1</v>
      </c>
      <c r="F6570" t="s">
        <v>2270</v>
      </c>
      <c r="G6570" t="str">
        <f>"09-K03-01"</f>
        <v>09-K03-01</v>
      </c>
      <c r="H6570">
        <v>1.4508000000000001</v>
      </c>
      <c r="I6570" t="s">
        <v>4777</v>
      </c>
      <c r="J6570" t="s">
        <v>14</v>
      </c>
      <c r="K6570" t="str">
        <f>"1F1"</f>
        <v>1F1</v>
      </c>
      <c r="L6570" t="s">
        <v>15</v>
      </c>
    </row>
    <row r="6571" spans="1:12" x14ac:dyDescent="0.25">
      <c r="A6571" t="str">
        <f>"5607261539"</f>
        <v>5607261539</v>
      </c>
      <c r="B6571" t="str">
        <f t="shared" si="319"/>
        <v>89301000</v>
      </c>
      <c r="C6571" s="1">
        <v>44242</v>
      </c>
      <c r="D6571" s="1">
        <v>44264</v>
      </c>
      <c r="E6571">
        <v>7</v>
      </c>
      <c r="F6571" t="s">
        <v>962</v>
      </c>
      <c r="G6571" t="str">
        <f>"04-M01-06"</f>
        <v>04-M01-06</v>
      </c>
      <c r="H6571">
        <v>3.5308999999999999</v>
      </c>
      <c r="I6571" t="s">
        <v>4778</v>
      </c>
      <c r="J6571" t="s">
        <v>14</v>
      </c>
      <c r="K6571" t="str">
        <f>"5T1"</f>
        <v>5T1</v>
      </c>
      <c r="L6571" t="s">
        <v>15</v>
      </c>
    </row>
    <row r="6572" spans="1:12" x14ac:dyDescent="0.25">
      <c r="A6572" t="str">
        <f>"5607271560"</f>
        <v>5607271560</v>
      </c>
      <c r="B6572" t="str">
        <f t="shared" si="319"/>
        <v>89301000</v>
      </c>
      <c r="C6572" s="1">
        <v>44448</v>
      </c>
      <c r="D6572" s="1">
        <v>44449</v>
      </c>
      <c r="E6572">
        <v>1</v>
      </c>
      <c r="F6572" t="s">
        <v>41</v>
      </c>
      <c r="G6572" t="str">
        <f>"01-D01-03"</f>
        <v>01-D01-03</v>
      </c>
      <c r="H6572">
        <v>0.158</v>
      </c>
      <c r="I6572" t="s">
        <v>4779</v>
      </c>
      <c r="J6572" t="s">
        <v>14</v>
      </c>
      <c r="K6572" t="str">
        <f>"2F5"</f>
        <v>2F5</v>
      </c>
      <c r="L6572" t="s">
        <v>15</v>
      </c>
    </row>
    <row r="6573" spans="1:12" x14ac:dyDescent="0.25">
      <c r="A6573" t="str">
        <f>"5607281680"</f>
        <v>5607281680</v>
      </c>
      <c r="B6573" t="str">
        <f t="shared" si="319"/>
        <v>89301000</v>
      </c>
      <c r="C6573" s="1">
        <v>44197</v>
      </c>
      <c r="D6573" s="1">
        <v>44202</v>
      </c>
      <c r="E6573">
        <v>1</v>
      </c>
      <c r="F6573" t="s">
        <v>1986</v>
      </c>
      <c r="G6573" t="str">
        <f>"01-K12-01"</f>
        <v>01-K12-01</v>
      </c>
      <c r="H6573">
        <v>0.71289999999999998</v>
      </c>
      <c r="I6573" t="s">
        <v>4780</v>
      </c>
      <c r="J6573" t="s">
        <v>14</v>
      </c>
      <c r="K6573" t="str">
        <f>"2F9"</f>
        <v>2F9</v>
      </c>
      <c r="L6573" t="s">
        <v>15</v>
      </c>
    </row>
    <row r="6574" spans="1:12" x14ac:dyDescent="0.25">
      <c r="A6574" t="str">
        <f>"5607281680"</f>
        <v>5607281680</v>
      </c>
      <c r="B6574" t="str">
        <f t="shared" si="319"/>
        <v>89301000</v>
      </c>
      <c r="C6574" s="1">
        <v>44508</v>
      </c>
      <c r="D6574" s="1">
        <v>44519</v>
      </c>
      <c r="E6574">
        <v>4</v>
      </c>
      <c r="F6574" t="s">
        <v>4781</v>
      </c>
      <c r="G6574" t="str">
        <f>"01-K04-02"</f>
        <v>01-K04-02</v>
      </c>
      <c r="H6574">
        <v>0.80059999999999998</v>
      </c>
      <c r="I6574" t="s">
        <v>4782</v>
      </c>
      <c r="J6574" t="s">
        <v>14</v>
      </c>
      <c r="K6574" t="str">
        <f>"3F5"</f>
        <v>3F5</v>
      </c>
      <c r="L6574" t="s">
        <v>15</v>
      </c>
    </row>
    <row r="6575" spans="1:12" x14ac:dyDescent="0.25">
      <c r="A6575" t="str">
        <f>"5607291657"</f>
        <v>5607291657</v>
      </c>
      <c r="B6575" t="str">
        <f t="shared" si="319"/>
        <v>89301000</v>
      </c>
      <c r="C6575" s="1">
        <v>44445</v>
      </c>
      <c r="D6575" s="1">
        <v>44446</v>
      </c>
      <c r="E6575">
        <v>1</v>
      </c>
      <c r="F6575" t="s">
        <v>2239</v>
      </c>
      <c r="G6575" t="str">
        <f>"05-M05-03"</f>
        <v>05-M05-03</v>
      </c>
      <c r="H6575">
        <v>1.9991000000000001</v>
      </c>
      <c r="I6575" t="s">
        <v>1605</v>
      </c>
      <c r="J6575" t="s">
        <v>24</v>
      </c>
      <c r="K6575" t="str">
        <f>"1F1"</f>
        <v>1F1</v>
      </c>
      <c r="L6575" t="s">
        <v>15</v>
      </c>
    </row>
    <row r="6576" spans="1:12" x14ac:dyDescent="0.25">
      <c r="A6576" t="str">
        <f>"5607291657"</f>
        <v>5607291657</v>
      </c>
      <c r="B6576" t="str">
        <f t="shared" si="319"/>
        <v>89301000</v>
      </c>
      <c r="C6576" s="1">
        <v>44375</v>
      </c>
      <c r="D6576" s="1">
        <v>44377</v>
      </c>
      <c r="E6576">
        <v>1</v>
      </c>
      <c r="F6576" t="s">
        <v>1606</v>
      </c>
      <c r="G6576" t="str">
        <f>"05-M05-02"</f>
        <v>05-M05-02</v>
      </c>
      <c r="H6576">
        <v>3.516</v>
      </c>
      <c r="J6576" t="s">
        <v>24</v>
      </c>
      <c r="K6576" t="str">
        <f>"1F7"</f>
        <v>1F7</v>
      </c>
      <c r="L6576" t="s">
        <v>15</v>
      </c>
    </row>
    <row r="6577" spans="1:12" x14ac:dyDescent="0.25">
      <c r="A6577" t="str">
        <f>"5607291657"</f>
        <v>5607291657</v>
      </c>
      <c r="B6577" t="str">
        <f t="shared" si="319"/>
        <v>89301000</v>
      </c>
      <c r="C6577" s="1">
        <v>44217</v>
      </c>
      <c r="D6577" s="1">
        <v>44218</v>
      </c>
      <c r="E6577">
        <v>1</v>
      </c>
      <c r="F6577" t="s">
        <v>1606</v>
      </c>
      <c r="G6577" t="str">
        <f>"05-K05-05"</f>
        <v>05-K05-05</v>
      </c>
      <c r="H6577">
        <v>0.37819999999999998</v>
      </c>
      <c r="J6577" t="s">
        <v>14</v>
      </c>
      <c r="K6577" t="str">
        <f>"1F1"</f>
        <v>1F1</v>
      </c>
      <c r="L6577" t="s">
        <v>15</v>
      </c>
    </row>
    <row r="6578" spans="1:12" x14ac:dyDescent="0.25">
      <c r="A6578" t="str">
        <f>"5608062064"</f>
        <v>5608062064</v>
      </c>
      <c r="B6578" t="str">
        <f t="shared" si="319"/>
        <v>89301000</v>
      </c>
      <c r="C6578" s="1">
        <v>44376</v>
      </c>
      <c r="D6578" s="1">
        <v>44386</v>
      </c>
      <c r="E6578">
        <v>1</v>
      </c>
      <c r="F6578" t="s">
        <v>933</v>
      </c>
      <c r="G6578" t="str">
        <f>"17-K01-01"</f>
        <v>17-K01-01</v>
      </c>
      <c r="H6578">
        <v>4.7359</v>
      </c>
      <c r="I6578" t="s">
        <v>4783</v>
      </c>
      <c r="J6578" t="s">
        <v>14</v>
      </c>
      <c r="K6578" t="str">
        <f>"2F2"</f>
        <v>2F2</v>
      </c>
      <c r="L6578" t="s">
        <v>15</v>
      </c>
    </row>
    <row r="6579" spans="1:12" x14ac:dyDescent="0.25">
      <c r="A6579" t="str">
        <f>"5608062064"</f>
        <v>5608062064</v>
      </c>
      <c r="B6579" t="str">
        <f t="shared" si="319"/>
        <v>89301000</v>
      </c>
      <c r="C6579" s="1">
        <v>44315</v>
      </c>
      <c r="D6579" s="1">
        <v>44323</v>
      </c>
      <c r="E6579">
        <v>1</v>
      </c>
      <c r="F6579" t="s">
        <v>933</v>
      </c>
      <c r="G6579" t="str">
        <f>"17-K01-01"</f>
        <v>17-K01-01</v>
      </c>
      <c r="H6579">
        <v>5.0045999999999999</v>
      </c>
      <c r="I6579" t="s">
        <v>4784</v>
      </c>
      <c r="J6579" t="s">
        <v>14</v>
      </c>
      <c r="K6579" t="str">
        <f>"2F2"</f>
        <v>2F2</v>
      </c>
      <c r="L6579" t="s">
        <v>15</v>
      </c>
    </row>
    <row r="6580" spans="1:12" x14ac:dyDescent="0.25">
      <c r="A6580" t="str">
        <f>"5608081809"</f>
        <v>5608081809</v>
      </c>
      <c r="B6580" t="str">
        <f t="shared" si="319"/>
        <v>89301000</v>
      </c>
      <c r="C6580" s="1">
        <v>44407</v>
      </c>
      <c r="D6580" s="1">
        <v>44418</v>
      </c>
      <c r="E6580">
        <v>1</v>
      </c>
      <c r="F6580" t="s">
        <v>4557</v>
      </c>
      <c r="G6580" t="str">
        <f>"20-K04-02"</f>
        <v>20-K04-02</v>
      </c>
      <c r="H6580">
        <v>1.4984</v>
      </c>
      <c r="I6580" t="s">
        <v>4785</v>
      </c>
      <c r="J6580" t="s">
        <v>14</v>
      </c>
      <c r="K6580" t="str">
        <f>"3F5"</f>
        <v>3F5</v>
      </c>
      <c r="L6580" t="s">
        <v>15</v>
      </c>
    </row>
    <row r="6581" spans="1:12" x14ac:dyDescent="0.25">
      <c r="A6581" t="str">
        <f>"5608081809"</f>
        <v>5608081809</v>
      </c>
      <c r="B6581" t="str">
        <f t="shared" si="319"/>
        <v>89301000</v>
      </c>
      <c r="C6581" s="1">
        <v>44423</v>
      </c>
      <c r="D6581" s="1">
        <v>44428</v>
      </c>
      <c r="E6581">
        <v>1</v>
      </c>
      <c r="F6581" t="s">
        <v>4557</v>
      </c>
      <c r="G6581" t="str">
        <f>"20-K03-03"</f>
        <v>20-K03-03</v>
      </c>
      <c r="H6581">
        <v>1.0109999999999999</v>
      </c>
      <c r="I6581" t="s">
        <v>4786</v>
      </c>
      <c r="J6581" t="s">
        <v>14</v>
      </c>
      <c r="K6581" t="str">
        <f>"3F5"</f>
        <v>3F5</v>
      </c>
      <c r="L6581" t="s">
        <v>15</v>
      </c>
    </row>
    <row r="6582" spans="1:12" x14ac:dyDescent="0.25">
      <c r="A6582" t="str">
        <f>"5608112444"</f>
        <v>5608112444</v>
      </c>
      <c r="B6582" t="str">
        <f t="shared" si="319"/>
        <v>89301000</v>
      </c>
      <c r="C6582" s="1">
        <v>44444</v>
      </c>
      <c r="D6582" s="1">
        <v>44452</v>
      </c>
      <c r="E6582">
        <v>4</v>
      </c>
      <c r="F6582" t="s">
        <v>2407</v>
      </c>
      <c r="G6582" t="str">
        <f>"08-I06-04"</f>
        <v>08-I06-04</v>
      </c>
      <c r="H6582">
        <v>2.4260000000000002</v>
      </c>
      <c r="J6582" t="s">
        <v>24</v>
      </c>
      <c r="K6582" t="str">
        <f>"6F6"</f>
        <v>6F6</v>
      </c>
      <c r="L6582" t="s">
        <v>15</v>
      </c>
    </row>
    <row r="6583" spans="1:12" x14ac:dyDescent="0.25">
      <c r="A6583" t="str">
        <f>"5608251231"</f>
        <v>5608251231</v>
      </c>
      <c r="B6583" t="str">
        <f t="shared" si="319"/>
        <v>89301000</v>
      </c>
      <c r="C6583" s="1">
        <v>44517</v>
      </c>
      <c r="D6583" s="1">
        <v>44524</v>
      </c>
      <c r="E6583">
        <v>1</v>
      </c>
      <c r="F6583" t="s">
        <v>217</v>
      </c>
      <c r="G6583" t="str">
        <f>"04-K02-04"</f>
        <v>04-K02-04</v>
      </c>
      <c r="H6583">
        <v>0.82469999999999999</v>
      </c>
      <c r="I6583" t="s">
        <v>248</v>
      </c>
      <c r="J6583" t="s">
        <v>14</v>
      </c>
      <c r="K6583" t="str">
        <f>"5F1"</f>
        <v>5F1</v>
      </c>
      <c r="L6583" t="s">
        <v>15</v>
      </c>
    </row>
    <row r="6584" spans="1:12" x14ac:dyDescent="0.25">
      <c r="A6584" t="str">
        <f>"5608262000"</f>
        <v>5608262000</v>
      </c>
      <c r="B6584" t="str">
        <f t="shared" si="319"/>
        <v>89301000</v>
      </c>
      <c r="C6584" s="1">
        <v>44371</v>
      </c>
      <c r="D6584" s="1">
        <v>44383</v>
      </c>
      <c r="E6584">
        <v>1</v>
      </c>
      <c r="F6584" t="s">
        <v>2662</v>
      </c>
      <c r="G6584" t="str">
        <f>"05-I10-03"</f>
        <v>05-I10-03</v>
      </c>
      <c r="H6584">
        <v>9.0176999999999996</v>
      </c>
      <c r="I6584" t="s">
        <v>1557</v>
      </c>
      <c r="J6584" t="s">
        <v>17</v>
      </c>
      <c r="K6584" t="str">
        <f>"5F5"</f>
        <v>5F5</v>
      </c>
      <c r="L6584" t="s">
        <v>15</v>
      </c>
    </row>
    <row r="6585" spans="1:12" x14ac:dyDescent="0.25">
      <c r="A6585" t="str">
        <f>"5608301424"</f>
        <v>5608301424</v>
      </c>
      <c r="B6585" t="str">
        <f t="shared" si="319"/>
        <v>89301000</v>
      </c>
      <c r="C6585" s="1">
        <v>44331</v>
      </c>
      <c r="D6585" s="1">
        <v>44335</v>
      </c>
      <c r="E6585">
        <v>1</v>
      </c>
      <c r="F6585" t="s">
        <v>473</v>
      </c>
      <c r="G6585" t="str">
        <f>"05-K13-02"</f>
        <v>05-K13-02</v>
      </c>
      <c r="H6585">
        <v>0.60950000000000004</v>
      </c>
      <c r="I6585" t="s">
        <v>4787</v>
      </c>
      <c r="J6585" t="s">
        <v>14</v>
      </c>
      <c r="K6585" t="str">
        <f>"1F9"</f>
        <v>1F9</v>
      </c>
      <c r="L6585" t="s">
        <v>15</v>
      </c>
    </row>
    <row r="6586" spans="1:12" x14ac:dyDescent="0.25">
      <c r="A6586" t="str">
        <f>"5608311731"</f>
        <v>5608311731</v>
      </c>
      <c r="B6586" t="str">
        <f t="shared" si="319"/>
        <v>89301000</v>
      </c>
      <c r="C6586" s="1">
        <v>44253</v>
      </c>
      <c r="D6586" s="1">
        <v>44253</v>
      </c>
      <c r="E6586">
        <v>1</v>
      </c>
      <c r="F6586" t="s">
        <v>1842</v>
      </c>
      <c r="G6586" t="str">
        <f>"05-I14-04"</f>
        <v>05-I14-04</v>
      </c>
      <c r="H6586">
        <v>5.1692</v>
      </c>
      <c r="J6586" t="s">
        <v>14</v>
      </c>
      <c r="K6586" t="str">
        <f>"1F1"</f>
        <v>1F1</v>
      </c>
      <c r="L6586" t="s">
        <v>15</v>
      </c>
    </row>
    <row r="6587" spans="1:12" x14ac:dyDescent="0.25">
      <c r="A6587" t="str">
        <f>"5608311731"</f>
        <v>5608311731</v>
      </c>
      <c r="B6587" t="str">
        <f t="shared" si="319"/>
        <v>89301000</v>
      </c>
      <c r="C6587" s="1">
        <v>44235</v>
      </c>
      <c r="D6587" s="1">
        <v>44237</v>
      </c>
      <c r="E6587">
        <v>1</v>
      </c>
      <c r="F6587" t="s">
        <v>1619</v>
      </c>
      <c r="G6587" t="str">
        <f>"05-M06-06"</f>
        <v>05-M06-06</v>
      </c>
      <c r="H6587">
        <v>1.7652000000000001</v>
      </c>
      <c r="I6587" t="s">
        <v>2708</v>
      </c>
      <c r="J6587" t="s">
        <v>17</v>
      </c>
      <c r="K6587" t="str">
        <f>"1F1"</f>
        <v>1F1</v>
      </c>
      <c r="L6587" t="s">
        <v>15</v>
      </c>
    </row>
    <row r="6588" spans="1:12" x14ac:dyDescent="0.25">
      <c r="A6588" t="str">
        <f>"5609051140"</f>
        <v>5609051140</v>
      </c>
      <c r="B6588" t="str">
        <f t="shared" si="319"/>
        <v>89301000</v>
      </c>
      <c r="C6588" s="1">
        <v>44268</v>
      </c>
      <c r="D6588" s="1">
        <v>44271</v>
      </c>
      <c r="E6588">
        <v>1</v>
      </c>
      <c r="F6588" t="s">
        <v>38</v>
      </c>
      <c r="G6588" t="str">
        <f>"05-M06-05"</f>
        <v>05-M06-05</v>
      </c>
      <c r="H6588">
        <v>2.3010000000000002</v>
      </c>
      <c r="I6588" t="s">
        <v>1606</v>
      </c>
      <c r="J6588" t="s">
        <v>17</v>
      </c>
      <c r="K6588" t="str">
        <f>"1F7"</f>
        <v>1F7</v>
      </c>
      <c r="L6588" t="s">
        <v>15</v>
      </c>
    </row>
    <row r="6589" spans="1:12" x14ac:dyDescent="0.25">
      <c r="A6589" t="str">
        <f>"5609051140"</f>
        <v>5609051140</v>
      </c>
      <c r="B6589" t="str">
        <f t="shared" si="319"/>
        <v>89301000</v>
      </c>
      <c r="C6589" s="1">
        <v>44212</v>
      </c>
      <c r="D6589" s="1">
        <v>44232</v>
      </c>
      <c r="E6589">
        <v>1</v>
      </c>
      <c r="F6589" t="s">
        <v>4491</v>
      </c>
      <c r="G6589" t="str">
        <f>"01-K01-02"</f>
        <v>01-K01-02</v>
      </c>
      <c r="H6589">
        <v>1.2330000000000001</v>
      </c>
      <c r="I6589" t="s">
        <v>489</v>
      </c>
      <c r="J6589" t="s">
        <v>14</v>
      </c>
      <c r="K6589" t="str">
        <f>"2F9"</f>
        <v>2F9</v>
      </c>
      <c r="L6589" t="s">
        <v>15</v>
      </c>
    </row>
    <row r="6590" spans="1:12" x14ac:dyDescent="0.25">
      <c r="A6590" t="str">
        <f>"5609071787"</f>
        <v>5609071787</v>
      </c>
      <c r="B6590" t="str">
        <f t="shared" si="319"/>
        <v>89301000</v>
      </c>
      <c r="C6590" s="1">
        <v>44313</v>
      </c>
      <c r="D6590" s="1">
        <v>44313</v>
      </c>
      <c r="E6590">
        <v>1</v>
      </c>
      <c r="F6590" t="s">
        <v>1557</v>
      </c>
      <c r="G6590" t="str">
        <f>"05-D01-08"</f>
        <v>05-D01-08</v>
      </c>
      <c r="H6590">
        <v>0.21890000000000001</v>
      </c>
      <c r="I6590" t="s">
        <v>4788</v>
      </c>
      <c r="J6590" t="s">
        <v>14</v>
      </c>
      <c r="K6590" t="str">
        <f>"1F1"</f>
        <v>1F1</v>
      </c>
      <c r="L6590" t="s">
        <v>15</v>
      </c>
    </row>
    <row r="6591" spans="1:12" x14ac:dyDescent="0.25">
      <c r="A6591" t="str">
        <f t="shared" ref="A6591:A6606" si="320">"5609081577"</f>
        <v>5609081577</v>
      </c>
      <c r="B6591" t="str">
        <f t="shared" ref="B6591:B6653" si="321">"89301000"</f>
        <v>89301000</v>
      </c>
      <c r="C6591" s="1">
        <v>44529</v>
      </c>
      <c r="D6591" s="1">
        <v>44532</v>
      </c>
      <c r="E6591">
        <v>1</v>
      </c>
      <c r="F6591" t="s">
        <v>2560</v>
      </c>
      <c r="G6591" t="str">
        <f>"17-C06-02"</f>
        <v>17-C06-02</v>
      </c>
      <c r="H6591">
        <v>0.3826</v>
      </c>
      <c r="I6591" t="s">
        <v>4789</v>
      </c>
      <c r="J6591" t="s">
        <v>14</v>
      </c>
      <c r="K6591" t="str">
        <f t="shared" ref="K6591:K6606" si="322">"4F2"</f>
        <v>4F2</v>
      </c>
      <c r="L6591" t="s">
        <v>15</v>
      </c>
    </row>
    <row r="6592" spans="1:12" x14ac:dyDescent="0.25">
      <c r="A6592" t="str">
        <f t="shared" si="320"/>
        <v>5609081577</v>
      </c>
      <c r="B6592" t="str">
        <f t="shared" si="321"/>
        <v>89301000</v>
      </c>
      <c r="C6592" s="1">
        <v>44512</v>
      </c>
      <c r="D6592" s="1">
        <v>44514</v>
      </c>
      <c r="E6592">
        <v>1</v>
      </c>
      <c r="F6592" t="s">
        <v>2553</v>
      </c>
      <c r="G6592" t="str">
        <f>"17-C06-02"</f>
        <v>17-C06-02</v>
      </c>
      <c r="H6592">
        <v>0.3826</v>
      </c>
      <c r="I6592" t="s">
        <v>4790</v>
      </c>
      <c r="J6592" t="s">
        <v>14</v>
      </c>
      <c r="K6592" t="str">
        <f t="shared" si="322"/>
        <v>4F2</v>
      </c>
      <c r="L6592" t="s">
        <v>15</v>
      </c>
    </row>
    <row r="6593" spans="1:12" x14ac:dyDescent="0.25">
      <c r="A6593" t="str">
        <f t="shared" si="320"/>
        <v>5609081577</v>
      </c>
      <c r="B6593" t="str">
        <f t="shared" si="321"/>
        <v>89301000</v>
      </c>
      <c r="C6593" s="1">
        <v>44468</v>
      </c>
      <c r="D6593" s="1">
        <v>44470</v>
      </c>
      <c r="E6593">
        <v>1</v>
      </c>
      <c r="F6593" t="s">
        <v>2030</v>
      </c>
      <c r="G6593" t="str">
        <f>"06-C02-03"</f>
        <v>06-C02-03</v>
      </c>
      <c r="H6593">
        <v>0.25769999999999998</v>
      </c>
      <c r="I6593" t="s">
        <v>4791</v>
      </c>
      <c r="J6593" t="s">
        <v>14</v>
      </c>
      <c r="K6593" t="str">
        <f t="shared" si="322"/>
        <v>4F2</v>
      </c>
      <c r="L6593" t="s">
        <v>15</v>
      </c>
    </row>
    <row r="6594" spans="1:12" x14ac:dyDescent="0.25">
      <c r="A6594" t="str">
        <f t="shared" si="320"/>
        <v>5609081577</v>
      </c>
      <c r="B6594" t="str">
        <f t="shared" si="321"/>
        <v>89301000</v>
      </c>
      <c r="C6594" s="1">
        <v>44482</v>
      </c>
      <c r="D6594" s="1">
        <v>44484</v>
      </c>
      <c r="E6594">
        <v>1</v>
      </c>
      <c r="F6594" t="s">
        <v>2553</v>
      </c>
      <c r="G6594" t="str">
        <f>"17-C06-02"</f>
        <v>17-C06-02</v>
      </c>
      <c r="H6594">
        <v>0.3826</v>
      </c>
      <c r="I6594" t="s">
        <v>4790</v>
      </c>
      <c r="J6594" t="s">
        <v>14</v>
      </c>
      <c r="K6594" t="str">
        <f t="shared" si="322"/>
        <v>4F2</v>
      </c>
      <c r="L6594" t="s">
        <v>15</v>
      </c>
    </row>
    <row r="6595" spans="1:12" x14ac:dyDescent="0.25">
      <c r="A6595" t="str">
        <f t="shared" si="320"/>
        <v>5609081577</v>
      </c>
      <c r="B6595" t="str">
        <f t="shared" si="321"/>
        <v>89301000</v>
      </c>
      <c r="C6595" s="1">
        <v>44293</v>
      </c>
      <c r="D6595" s="1">
        <v>44296</v>
      </c>
      <c r="E6595">
        <v>1</v>
      </c>
      <c r="F6595" t="s">
        <v>2030</v>
      </c>
      <c r="G6595" t="str">
        <f>"06-C02-01"</f>
        <v>06-C02-01</v>
      </c>
      <c r="H6595">
        <v>0.27229999999999999</v>
      </c>
      <c r="J6595" t="s">
        <v>14</v>
      </c>
      <c r="K6595" t="str">
        <f t="shared" si="322"/>
        <v>4F2</v>
      </c>
      <c r="L6595" t="s">
        <v>15</v>
      </c>
    </row>
    <row r="6596" spans="1:12" x14ac:dyDescent="0.25">
      <c r="A6596" t="str">
        <f t="shared" si="320"/>
        <v>5609081577</v>
      </c>
      <c r="B6596" t="str">
        <f t="shared" si="321"/>
        <v>89301000</v>
      </c>
      <c r="C6596" s="1">
        <v>44454</v>
      </c>
      <c r="D6596" s="1">
        <v>44456</v>
      </c>
      <c r="E6596">
        <v>1</v>
      </c>
      <c r="F6596" t="s">
        <v>2030</v>
      </c>
      <c r="G6596" t="str">
        <f>"06-C02-03"</f>
        <v>06-C02-03</v>
      </c>
      <c r="H6596">
        <v>0.25769999999999998</v>
      </c>
      <c r="I6596" t="s">
        <v>4791</v>
      </c>
      <c r="J6596" t="s">
        <v>14</v>
      </c>
      <c r="K6596" t="str">
        <f t="shared" si="322"/>
        <v>4F2</v>
      </c>
      <c r="L6596" t="s">
        <v>15</v>
      </c>
    </row>
    <row r="6597" spans="1:12" x14ac:dyDescent="0.25">
      <c r="A6597" t="str">
        <f t="shared" si="320"/>
        <v>5609081577</v>
      </c>
      <c r="B6597" t="str">
        <f t="shared" si="321"/>
        <v>89301000</v>
      </c>
      <c r="C6597" s="1">
        <v>44440</v>
      </c>
      <c r="D6597" s="1">
        <v>44442</v>
      </c>
      <c r="E6597">
        <v>1</v>
      </c>
      <c r="F6597" t="s">
        <v>2030</v>
      </c>
      <c r="G6597" t="str">
        <f>"06-C02-03"</f>
        <v>06-C02-03</v>
      </c>
      <c r="H6597">
        <v>0.25769999999999998</v>
      </c>
      <c r="I6597" t="s">
        <v>3317</v>
      </c>
      <c r="J6597" t="s">
        <v>14</v>
      </c>
      <c r="K6597" t="str">
        <f t="shared" si="322"/>
        <v>4F2</v>
      </c>
      <c r="L6597" t="s">
        <v>15</v>
      </c>
    </row>
    <row r="6598" spans="1:12" x14ac:dyDescent="0.25">
      <c r="A6598" t="str">
        <f t="shared" si="320"/>
        <v>5609081577</v>
      </c>
      <c r="B6598" t="str">
        <f t="shared" si="321"/>
        <v>89301000</v>
      </c>
      <c r="C6598" s="1">
        <v>44425</v>
      </c>
      <c r="D6598" s="1">
        <v>44428</v>
      </c>
      <c r="E6598">
        <v>1</v>
      </c>
      <c r="F6598" t="s">
        <v>2030</v>
      </c>
      <c r="G6598" t="str">
        <f>"06-C02-03"</f>
        <v>06-C02-03</v>
      </c>
      <c r="H6598">
        <v>0.25769999999999998</v>
      </c>
      <c r="I6598" t="s">
        <v>4792</v>
      </c>
      <c r="J6598" t="s">
        <v>14</v>
      </c>
      <c r="K6598" t="str">
        <f t="shared" si="322"/>
        <v>4F2</v>
      </c>
      <c r="L6598" t="s">
        <v>15</v>
      </c>
    </row>
    <row r="6599" spans="1:12" x14ac:dyDescent="0.25">
      <c r="A6599" t="str">
        <f t="shared" si="320"/>
        <v>5609081577</v>
      </c>
      <c r="B6599" t="str">
        <f t="shared" si="321"/>
        <v>89301000</v>
      </c>
      <c r="C6599" s="1">
        <v>44407</v>
      </c>
      <c r="D6599" s="1">
        <v>44409</v>
      </c>
      <c r="E6599">
        <v>1</v>
      </c>
      <c r="F6599" t="s">
        <v>2553</v>
      </c>
      <c r="G6599" t="str">
        <f>"17-C06-02"</f>
        <v>17-C06-02</v>
      </c>
      <c r="H6599">
        <v>0.3826</v>
      </c>
      <c r="I6599" t="s">
        <v>4793</v>
      </c>
      <c r="J6599" t="s">
        <v>14</v>
      </c>
      <c r="K6599" t="str">
        <f t="shared" si="322"/>
        <v>4F2</v>
      </c>
      <c r="L6599" t="s">
        <v>15</v>
      </c>
    </row>
    <row r="6600" spans="1:12" x14ac:dyDescent="0.25">
      <c r="A6600" t="str">
        <f t="shared" si="320"/>
        <v>5609081577</v>
      </c>
      <c r="B6600" t="str">
        <f t="shared" si="321"/>
        <v>89301000</v>
      </c>
      <c r="C6600" s="1">
        <v>44393</v>
      </c>
      <c r="D6600" s="1">
        <v>44395</v>
      </c>
      <c r="E6600">
        <v>1</v>
      </c>
      <c r="F6600" t="s">
        <v>2030</v>
      </c>
      <c r="G6600" t="str">
        <f>"06-C02-01"</f>
        <v>06-C02-01</v>
      </c>
      <c r="H6600">
        <v>0.27229999999999999</v>
      </c>
      <c r="I6600" t="s">
        <v>541</v>
      </c>
      <c r="J6600" t="s">
        <v>14</v>
      </c>
      <c r="K6600" t="str">
        <f t="shared" si="322"/>
        <v>4F2</v>
      </c>
      <c r="L6600" t="s">
        <v>15</v>
      </c>
    </row>
    <row r="6601" spans="1:12" x14ac:dyDescent="0.25">
      <c r="A6601" t="str">
        <f t="shared" si="320"/>
        <v>5609081577</v>
      </c>
      <c r="B6601" t="str">
        <f t="shared" si="321"/>
        <v>89301000</v>
      </c>
      <c r="C6601" s="1">
        <v>44372</v>
      </c>
      <c r="D6601" s="1">
        <v>44384</v>
      </c>
      <c r="E6601">
        <v>1</v>
      </c>
      <c r="F6601" t="s">
        <v>2030</v>
      </c>
      <c r="G6601" t="str">
        <f>"06-C02-01"</f>
        <v>06-C02-01</v>
      </c>
      <c r="H6601">
        <v>0.61580000000000001</v>
      </c>
      <c r="I6601" t="s">
        <v>4794</v>
      </c>
      <c r="J6601" t="s">
        <v>14</v>
      </c>
      <c r="K6601" t="str">
        <f t="shared" si="322"/>
        <v>4F2</v>
      </c>
      <c r="L6601" t="s">
        <v>15</v>
      </c>
    </row>
    <row r="6602" spans="1:12" x14ac:dyDescent="0.25">
      <c r="A6602" t="str">
        <f t="shared" si="320"/>
        <v>5609081577</v>
      </c>
      <c r="B6602" t="str">
        <f t="shared" si="321"/>
        <v>89301000</v>
      </c>
      <c r="C6602" s="1">
        <v>44544</v>
      </c>
      <c r="D6602" s="1">
        <v>44546</v>
      </c>
      <c r="E6602">
        <v>1</v>
      </c>
      <c r="F6602" t="s">
        <v>2553</v>
      </c>
      <c r="G6602" t="str">
        <f>"17-C06-02"</f>
        <v>17-C06-02</v>
      </c>
      <c r="H6602">
        <v>0.3826</v>
      </c>
      <c r="I6602" t="s">
        <v>4790</v>
      </c>
      <c r="J6602" t="s">
        <v>14</v>
      </c>
      <c r="K6602" t="str">
        <f t="shared" si="322"/>
        <v>4F2</v>
      </c>
      <c r="L6602" t="s">
        <v>15</v>
      </c>
    </row>
    <row r="6603" spans="1:12" x14ac:dyDescent="0.25">
      <c r="A6603" t="str">
        <f t="shared" si="320"/>
        <v>5609081577</v>
      </c>
      <c r="B6603" t="str">
        <f t="shared" si="321"/>
        <v>89301000</v>
      </c>
      <c r="C6603" s="1">
        <v>44308</v>
      </c>
      <c r="D6603" s="1">
        <v>44310</v>
      </c>
      <c r="E6603">
        <v>1</v>
      </c>
      <c r="F6603" t="s">
        <v>2030</v>
      </c>
      <c r="G6603" t="str">
        <f>"06-C02-01"</f>
        <v>06-C02-01</v>
      </c>
      <c r="H6603">
        <v>0.27229999999999999</v>
      </c>
      <c r="I6603" t="s">
        <v>3375</v>
      </c>
      <c r="J6603" t="s">
        <v>14</v>
      </c>
      <c r="K6603" t="str">
        <f t="shared" si="322"/>
        <v>4F2</v>
      </c>
      <c r="L6603" t="s">
        <v>15</v>
      </c>
    </row>
    <row r="6604" spans="1:12" x14ac:dyDescent="0.25">
      <c r="A6604" t="str">
        <f t="shared" si="320"/>
        <v>5609081577</v>
      </c>
      <c r="B6604" t="str">
        <f t="shared" si="321"/>
        <v>89301000</v>
      </c>
      <c r="C6604" s="1">
        <v>44322</v>
      </c>
      <c r="D6604" s="1">
        <v>44324</v>
      </c>
      <c r="E6604">
        <v>1</v>
      </c>
      <c r="F6604" t="s">
        <v>2030</v>
      </c>
      <c r="G6604" t="str">
        <f>"06-C02-01"</f>
        <v>06-C02-01</v>
      </c>
      <c r="H6604">
        <v>0.27229999999999999</v>
      </c>
      <c r="I6604" t="s">
        <v>4795</v>
      </c>
      <c r="J6604" t="s">
        <v>14</v>
      </c>
      <c r="K6604" t="str">
        <f t="shared" si="322"/>
        <v>4F2</v>
      </c>
      <c r="L6604" t="s">
        <v>15</v>
      </c>
    </row>
    <row r="6605" spans="1:12" x14ac:dyDescent="0.25">
      <c r="A6605" t="str">
        <f t="shared" si="320"/>
        <v>5609081577</v>
      </c>
      <c r="B6605" t="str">
        <f t="shared" si="321"/>
        <v>89301000</v>
      </c>
      <c r="C6605" s="1">
        <v>44335</v>
      </c>
      <c r="D6605" s="1">
        <v>44338</v>
      </c>
      <c r="E6605">
        <v>1</v>
      </c>
      <c r="F6605" t="s">
        <v>2030</v>
      </c>
      <c r="G6605" t="str">
        <f>"06-C02-01"</f>
        <v>06-C02-01</v>
      </c>
      <c r="H6605">
        <v>0.27229999999999999</v>
      </c>
      <c r="I6605" t="s">
        <v>4792</v>
      </c>
      <c r="J6605" t="s">
        <v>14</v>
      </c>
      <c r="K6605" t="str">
        <f t="shared" si="322"/>
        <v>4F2</v>
      </c>
      <c r="L6605" t="s">
        <v>15</v>
      </c>
    </row>
    <row r="6606" spans="1:12" x14ac:dyDescent="0.25">
      <c r="A6606" t="str">
        <f t="shared" si="320"/>
        <v>5609081577</v>
      </c>
      <c r="B6606" t="str">
        <f t="shared" si="321"/>
        <v>89301000</v>
      </c>
      <c r="C6606" s="1">
        <v>44350</v>
      </c>
      <c r="D6606" s="1">
        <v>44358</v>
      </c>
      <c r="E6606">
        <v>1</v>
      </c>
      <c r="F6606" t="s">
        <v>2030</v>
      </c>
      <c r="G6606" t="str">
        <f>"06-C02-01"</f>
        <v>06-C02-01</v>
      </c>
      <c r="H6606">
        <v>0.44409999999999999</v>
      </c>
      <c r="I6606" t="s">
        <v>4796</v>
      </c>
      <c r="J6606" t="s">
        <v>14</v>
      </c>
      <c r="K6606" t="str">
        <f t="shared" si="322"/>
        <v>4F2</v>
      </c>
      <c r="L6606" t="s">
        <v>15</v>
      </c>
    </row>
    <row r="6607" spans="1:12" x14ac:dyDescent="0.25">
      <c r="A6607" t="str">
        <f>"5609151130"</f>
        <v>5609151130</v>
      </c>
      <c r="B6607" t="str">
        <f t="shared" si="321"/>
        <v>89301000</v>
      </c>
      <c r="C6607" s="1">
        <v>44432</v>
      </c>
      <c r="D6607" s="1">
        <v>44435</v>
      </c>
      <c r="E6607">
        <v>1</v>
      </c>
      <c r="F6607" t="s">
        <v>154</v>
      </c>
      <c r="G6607" t="str">
        <f>"16-C03-02"</f>
        <v>16-C03-02</v>
      </c>
      <c r="H6607">
        <v>3.5937999999999999</v>
      </c>
      <c r="I6607" t="s">
        <v>4797</v>
      </c>
      <c r="J6607" t="s">
        <v>14</v>
      </c>
      <c r="K6607" t="str">
        <f>"2F2"</f>
        <v>2F2</v>
      </c>
      <c r="L6607" t="s">
        <v>15</v>
      </c>
    </row>
    <row r="6608" spans="1:12" x14ac:dyDescent="0.25">
      <c r="A6608" t="str">
        <f>"5609151130"</f>
        <v>5609151130</v>
      </c>
      <c r="B6608" t="str">
        <f t="shared" si="321"/>
        <v>89301000</v>
      </c>
      <c r="C6608" s="1">
        <v>44474</v>
      </c>
      <c r="D6608" s="1">
        <v>44522</v>
      </c>
      <c r="E6608">
        <v>8</v>
      </c>
      <c r="F6608" t="s">
        <v>154</v>
      </c>
      <c r="G6608" t="str">
        <f>"00-M01-03"</f>
        <v>00-M01-03</v>
      </c>
      <c r="H6608">
        <v>22.4893</v>
      </c>
      <c r="I6608" t="s">
        <v>4798</v>
      </c>
      <c r="J6608" t="s">
        <v>14</v>
      </c>
      <c r="K6608" t="str">
        <f>"2T2"</f>
        <v>2T2</v>
      </c>
      <c r="L6608" t="s">
        <v>15</v>
      </c>
    </row>
    <row r="6609" spans="1:12" x14ac:dyDescent="0.25">
      <c r="A6609" t="str">
        <f>"5609201543"</f>
        <v>5609201543</v>
      </c>
      <c r="B6609" t="str">
        <f t="shared" si="321"/>
        <v>89301000</v>
      </c>
      <c r="C6609" s="1">
        <v>44250</v>
      </c>
      <c r="D6609" s="1">
        <v>44258</v>
      </c>
      <c r="E6609">
        <v>1</v>
      </c>
      <c r="F6609" t="s">
        <v>874</v>
      </c>
      <c r="G6609" t="str">
        <f>"07-K03-01"</f>
        <v>07-K03-01</v>
      </c>
      <c r="H6609">
        <v>2.1690999999999998</v>
      </c>
      <c r="I6609" t="s">
        <v>4799</v>
      </c>
      <c r="J6609" t="s">
        <v>14</v>
      </c>
      <c r="K6609" t="str">
        <f>"1F6"</f>
        <v>1F6</v>
      </c>
      <c r="L6609" t="s">
        <v>15</v>
      </c>
    </row>
    <row r="6610" spans="1:12" x14ac:dyDescent="0.25">
      <c r="A6610" t="str">
        <f>"5609210574"</f>
        <v>5609210574</v>
      </c>
      <c r="B6610" t="str">
        <f t="shared" si="321"/>
        <v>89301000</v>
      </c>
      <c r="C6610" s="1">
        <v>44243</v>
      </c>
      <c r="D6610" s="1">
        <v>44248</v>
      </c>
      <c r="E6610">
        <v>1</v>
      </c>
      <c r="F6610" t="s">
        <v>217</v>
      </c>
      <c r="G6610" t="str">
        <f>"04-K02-04"</f>
        <v>04-K02-04</v>
      </c>
      <c r="H6610">
        <v>0.82469999999999999</v>
      </c>
      <c r="I6610" t="s">
        <v>4800</v>
      </c>
      <c r="J6610" t="s">
        <v>14</v>
      </c>
      <c r="K6610" t="str">
        <f>"5F1"</f>
        <v>5F1</v>
      </c>
      <c r="L6610" t="s">
        <v>15</v>
      </c>
    </row>
    <row r="6611" spans="1:12" x14ac:dyDescent="0.25">
      <c r="A6611" t="str">
        <f>"5609231386"</f>
        <v>5609231386</v>
      </c>
      <c r="B6611" t="str">
        <f t="shared" si="321"/>
        <v>89301000</v>
      </c>
      <c r="C6611" s="1">
        <v>44521</v>
      </c>
      <c r="D6611" s="1">
        <v>44524</v>
      </c>
      <c r="E6611">
        <v>1</v>
      </c>
      <c r="F6611" t="s">
        <v>71</v>
      </c>
      <c r="G6611" t="str">
        <f>"08-M03-05"</f>
        <v>08-M03-05</v>
      </c>
      <c r="H6611">
        <v>0.51759999999999995</v>
      </c>
      <c r="I6611" t="s">
        <v>4801</v>
      </c>
      <c r="J6611" t="s">
        <v>14</v>
      </c>
      <c r="K6611" t="str">
        <f>"6F6"</f>
        <v>6F6</v>
      </c>
      <c r="L6611" t="s">
        <v>15</v>
      </c>
    </row>
    <row r="6612" spans="1:12" x14ac:dyDescent="0.25">
      <c r="A6612" t="str">
        <f>"5609241176"</f>
        <v>5609241176</v>
      </c>
      <c r="B6612" t="str">
        <f t="shared" si="321"/>
        <v>89301000</v>
      </c>
      <c r="C6612" s="1">
        <v>44267</v>
      </c>
      <c r="D6612" s="1">
        <v>44268</v>
      </c>
      <c r="E6612">
        <v>1</v>
      </c>
      <c r="F6612" t="s">
        <v>767</v>
      </c>
      <c r="G6612" t="str">
        <f>"03-I22-03"</f>
        <v>03-I22-03</v>
      </c>
      <c r="H6612">
        <v>0.49049999999999999</v>
      </c>
      <c r="I6612" t="s">
        <v>168</v>
      </c>
      <c r="J6612" t="s">
        <v>14</v>
      </c>
      <c r="K6612" t="str">
        <f>"7F1"</f>
        <v>7F1</v>
      </c>
      <c r="L6612" t="s">
        <v>15</v>
      </c>
    </row>
    <row r="6613" spans="1:12" x14ac:dyDescent="0.25">
      <c r="A6613" t="str">
        <f>"5609302138"</f>
        <v>5609302138</v>
      </c>
      <c r="B6613" t="str">
        <f t="shared" si="321"/>
        <v>89301000</v>
      </c>
      <c r="C6613" s="1">
        <v>44354</v>
      </c>
      <c r="D6613" s="1">
        <v>44358</v>
      </c>
      <c r="E6613">
        <v>1</v>
      </c>
      <c r="F6613" t="s">
        <v>1555</v>
      </c>
      <c r="G6613" t="str">
        <f>"05-K12-02"</f>
        <v>05-K12-02</v>
      </c>
      <c r="H6613">
        <v>0.62370000000000003</v>
      </c>
      <c r="I6613" t="s">
        <v>4802</v>
      </c>
      <c r="J6613" t="s">
        <v>14</v>
      </c>
      <c r="K6613" t="str">
        <f>"5F1"</f>
        <v>5F1</v>
      </c>
      <c r="L6613" t="s">
        <v>15</v>
      </c>
    </row>
    <row r="6614" spans="1:12" x14ac:dyDescent="0.25">
      <c r="A6614" t="str">
        <f>"5610030151"</f>
        <v>5610030151</v>
      </c>
      <c r="B6614" t="str">
        <f t="shared" si="321"/>
        <v>89301000</v>
      </c>
      <c r="C6614" s="1">
        <v>44228</v>
      </c>
      <c r="D6614" s="1">
        <v>44230</v>
      </c>
      <c r="E6614">
        <v>1</v>
      </c>
      <c r="F6614" t="s">
        <v>4803</v>
      </c>
      <c r="G6614" t="str">
        <f>"03-I20-02"</f>
        <v>03-I20-02</v>
      </c>
      <c r="H6614">
        <v>0.83640000000000003</v>
      </c>
      <c r="I6614" t="s">
        <v>168</v>
      </c>
      <c r="J6614" t="s">
        <v>17</v>
      </c>
      <c r="K6614" t="str">
        <f>"7F1"</f>
        <v>7F1</v>
      </c>
      <c r="L6614" t="s">
        <v>15</v>
      </c>
    </row>
    <row r="6615" spans="1:12" x14ac:dyDescent="0.25">
      <c r="A6615" t="str">
        <f>"5610080608"</f>
        <v>5610080608</v>
      </c>
      <c r="B6615" t="str">
        <f t="shared" si="321"/>
        <v>89301000</v>
      </c>
      <c r="C6615" s="1">
        <v>44235</v>
      </c>
      <c r="D6615" s="1">
        <v>44238</v>
      </c>
      <c r="E6615">
        <v>1</v>
      </c>
      <c r="F6615" t="s">
        <v>4804</v>
      </c>
      <c r="G6615" t="str">
        <f>"23-K05-02"</f>
        <v>23-K05-02</v>
      </c>
      <c r="H6615">
        <v>0.4425</v>
      </c>
      <c r="I6615" t="s">
        <v>4805</v>
      </c>
      <c r="J6615" t="s">
        <v>14</v>
      </c>
      <c r="K6615" t="str">
        <f>"5F6"</f>
        <v>5F6</v>
      </c>
      <c r="L6615" t="s">
        <v>15</v>
      </c>
    </row>
    <row r="6616" spans="1:12" x14ac:dyDescent="0.25">
      <c r="A6616" t="str">
        <f>"5610100529"</f>
        <v>5610100529</v>
      </c>
      <c r="B6616" t="str">
        <f t="shared" si="321"/>
        <v>89301000</v>
      </c>
      <c r="C6616" s="1">
        <v>44432</v>
      </c>
      <c r="D6616" s="1">
        <v>44438</v>
      </c>
      <c r="E6616">
        <v>1</v>
      </c>
      <c r="F6616" t="s">
        <v>2585</v>
      </c>
      <c r="G6616" t="str">
        <f>"12-I02-01"</f>
        <v>12-I02-01</v>
      </c>
      <c r="H6616">
        <v>3.1240999999999999</v>
      </c>
      <c r="I6616" t="s">
        <v>3099</v>
      </c>
      <c r="J6616" t="s">
        <v>14</v>
      </c>
      <c r="K6616" t="str">
        <f>"7F6"</f>
        <v>7F6</v>
      </c>
      <c r="L6616" t="s">
        <v>15</v>
      </c>
    </row>
    <row r="6617" spans="1:12" x14ac:dyDescent="0.25">
      <c r="A6617" t="str">
        <f>"5610102025"</f>
        <v>5610102025</v>
      </c>
      <c r="B6617" t="str">
        <f t="shared" si="321"/>
        <v>89301000</v>
      </c>
      <c r="C6617" s="1">
        <v>44422</v>
      </c>
      <c r="D6617" s="1">
        <v>44428</v>
      </c>
      <c r="E6617">
        <v>1</v>
      </c>
      <c r="F6617" t="s">
        <v>4806</v>
      </c>
      <c r="G6617" t="str">
        <f>"05-I14-01"</f>
        <v>05-I14-01</v>
      </c>
      <c r="H6617">
        <v>10.0059</v>
      </c>
      <c r="I6617" t="s">
        <v>4807</v>
      </c>
      <c r="J6617" t="s">
        <v>14</v>
      </c>
      <c r="K6617" t="str">
        <f>"1F7"</f>
        <v>1F7</v>
      </c>
      <c r="L6617" t="s">
        <v>15</v>
      </c>
    </row>
    <row r="6618" spans="1:12" x14ac:dyDescent="0.25">
      <c r="A6618" t="str">
        <f>"5610131362"</f>
        <v>5610131362</v>
      </c>
      <c r="B6618" t="str">
        <f t="shared" si="321"/>
        <v>89301000</v>
      </c>
      <c r="C6618" s="1">
        <v>44486</v>
      </c>
      <c r="D6618" s="1">
        <v>44492</v>
      </c>
      <c r="E6618">
        <v>1</v>
      </c>
      <c r="F6618" t="s">
        <v>217</v>
      </c>
      <c r="G6618" t="str">
        <f>"04-K02-04"</f>
        <v>04-K02-04</v>
      </c>
      <c r="H6618">
        <v>0.82469999999999999</v>
      </c>
      <c r="I6618" t="s">
        <v>274</v>
      </c>
      <c r="J6618" t="s">
        <v>14</v>
      </c>
      <c r="K6618" t="str">
        <f>"1F1"</f>
        <v>1F1</v>
      </c>
      <c r="L6618" t="s">
        <v>15</v>
      </c>
    </row>
    <row r="6619" spans="1:12" x14ac:dyDescent="0.25">
      <c r="A6619" t="str">
        <f>"5610191543"</f>
        <v>5610191543</v>
      </c>
      <c r="B6619" t="str">
        <f t="shared" si="321"/>
        <v>89301000</v>
      </c>
      <c r="C6619" s="1">
        <v>44481</v>
      </c>
      <c r="D6619" s="1">
        <v>44484</v>
      </c>
      <c r="E6619">
        <v>1</v>
      </c>
      <c r="F6619" t="s">
        <v>151</v>
      </c>
      <c r="G6619" t="str">
        <f>"06-I16-04"</f>
        <v>06-I16-04</v>
      </c>
      <c r="H6619">
        <v>0.67620000000000002</v>
      </c>
      <c r="J6619" t="s">
        <v>24</v>
      </c>
      <c r="K6619" t="str">
        <f>"5F1"</f>
        <v>5F1</v>
      </c>
      <c r="L6619" t="s">
        <v>15</v>
      </c>
    </row>
    <row r="6620" spans="1:12" x14ac:dyDescent="0.25">
      <c r="A6620" t="str">
        <f>"5610261316"</f>
        <v>5610261316</v>
      </c>
      <c r="B6620" t="str">
        <f t="shared" si="321"/>
        <v>89301000</v>
      </c>
      <c r="C6620" s="1">
        <v>44241</v>
      </c>
      <c r="D6620" s="1">
        <v>44250</v>
      </c>
      <c r="E6620">
        <v>1</v>
      </c>
      <c r="F6620" t="s">
        <v>659</v>
      </c>
      <c r="G6620" t="str">
        <f>"04-K03-01"</f>
        <v>04-K03-01</v>
      </c>
      <c r="H6620">
        <v>1.1687000000000001</v>
      </c>
      <c r="I6620" t="s">
        <v>4808</v>
      </c>
      <c r="J6620" t="s">
        <v>14</v>
      </c>
      <c r="K6620" t="str">
        <f>"2F5"</f>
        <v>2F5</v>
      </c>
      <c r="L6620" t="s">
        <v>15</v>
      </c>
    </row>
    <row r="6621" spans="1:12" x14ac:dyDescent="0.25">
      <c r="A6621" t="str">
        <f>"5611042217"</f>
        <v>5611042217</v>
      </c>
      <c r="B6621" t="str">
        <f t="shared" si="321"/>
        <v>89301000</v>
      </c>
      <c r="C6621" s="1">
        <v>44419</v>
      </c>
      <c r="D6621" s="1">
        <v>44420</v>
      </c>
      <c r="E6621">
        <v>1</v>
      </c>
      <c r="F6621" t="s">
        <v>41</v>
      </c>
      <c r="G6621" t="str">
        <f>"01-D01-03"</f>
        <v>01-D01-03</v>
      </c>
      <c r="H6621">
        <v>0.158</v>
      </c>
      <c r="I6621" t="s">
        <v>4809</v>
      </c>
      <c r="J6621" t="s">
        <v>14</v>
      </c>
      <c r="K6621" t="str">
        <f>"2F5"</f>
        <v>2F5</v>
      </c>
      <c r="L6621" t="s">
        <v>15</v>
      </c>
    </row>
    <row r="6622" spans="1:12" x14ac:dyDescent="0.25">
      <c r="A6622" t="str">
        <f>"5611091299"</f>
        <v>5611091299</v>
      </c>
      <c r="B6622" t="str">
        <f t="shared" si="321"/>
        <v>89301000</v>
      </c>
      <c r="C6622" s="1">
        <v>44320</v>
      </c>
      <c r="D6622" s="1">
        <v>44322</v>
      </c>
      <c r="E6622">
        <v>1</v>
      </c>
      <c r="F6622" t="s">
        <v>1567</v>
      </c>
      <c r="G6622" t="str">
        <f>"05-I25-02"</f>
        <v>05-I25-02</v>
      </c>
      <c r="H6622">
        <v>2.9081000000000001</v>
      </c>
      <c r="I6622" t="s">
        <v>1556</v>
      </c>
      <c r="J6622" t="s">
        <v>17</v>
      </c>
      <c r="K6622" t="str">
        <f>"1F1"</f>
        <v>1F1</v>
      </c>
      <c r="L6622" t="s">
        <v>15</v>
      </c>
    </row>
    <row r="6623" spans="1:12" x14ac:dyDescent="0.25">
      <c r="A6623" t="str">
        <f>"5611251481"</f>
        <v>5611251481</v>
      </c>
      <c r="B6623" t="str">
        <f t="shared" si="321"/>
        <v>89301000</v>
      </c>
      <c r="C6623" s="1">
        <v>44332</v>
      </c>
      <c r="D6623" s="1">
        <v>44339</v>
      </c>
      <c r="E6623">
        <v>1</v>
      </c>
      <c r="F6623" t="s">
        <v>2350</v>
      </c>
      <c r="G6623" t="str">
        <f>"01-I09-02"</f>
        <v>01-I09-02</v>
      </c>
      <c r="H6623">
        <v>1.5302</v>
      </c>
      <c r="I6623" t="s">
        <v>2321</v>
      </c>
      <c r="J6623" t="s">
        <v>17</v>
      </c>
      <c r="K6623" t="str">
        <f>"5F1"</f>
        <v>5F1</v>
      </c>
      <c r="L6623" t="s">
        <v>15</v>
      </c>
    </row>
    <row r="6624" spans="1:12" x14ac:dyDescent="0.25">
      <c r="A6624" t="str">
        <f>"5611251481"</f>
        <v>5611251481</v>
      </c>
      <c r="B6624" t="str">
        <f t="shared" si="321"/>
        <v>89301000</v>
      </c>
      <c r="C6624" s="1">
        <v>44460</v>
      </c>
      <c r="D6624" s="1">
        <v>44461</v>
      </c>
      <c r="E6624">
        <v>1</v>
      </c>
      <c r="F6624" t="s">
        <v>2360</v>
      </c>
      <c r="G6624" t="str">
        <f>"06-M01-05"</f>
        <v>06-M01-05</v>
      </c>
      <c r="H6624">
        <v>0.41710000000000003</v>
      </c>
      <c r="I6624" t="s">
        <v>3692</v>
      </c>
      <c r="J6624" t="s">
        <v>14</v>
      </c>
      <c r="K6624" t="str">
        <f>"1F1"</f>
        <v>1F1</v>
      </c>
      <c r="L6624" t="s">
        <v>15</v>
      </c>
    </row>
    <row r="6625" spans="1:12" x14ac:dyDescent="0.25">
      <c r="A6625" t="str">
        <f>"5611300530"</f>
        <v>5611300530</v>
      </c>
      <c r="B6625" t="str">
        <f t="shared" si="321"/>
        <v>89301000</v>
      </c>
      <c r="C6625" s="1">
        <v>44217</v>
      </c>
      <c r="D6625" s="1">
        <v>44218</v>
      </c>
      <c r="E6625">
        <v>5</v>
      </c>
      <c r="F6625" t="s">
        <v>1581</v>
      </c>
      <c r="G6625" t="str">
        <f>"05-M07-06"</f>
        <v>05-M07-06</v>
      </c>
      <c r="H6625">
        <v>1.2513000000000001</v>
      </c>
      <c r="I6625" t="s">
        <v>4810</v>
      </c>
      <c r="J6625" t="s">
        <v>17</v>
      </c>
      <c r="K6625" t="str">
        <f>"5T1"</f>
        <v>5T1</v>
      </c>
      <c r="L6625" t="s">
        <v>15</v>
      </c>
    </row>
    <row r="6626" spans="1:12" x14ac:dyDescent="0.25">
      <c r="A6626" t="str">
        <f>"5612061862"</f>
        <v>5612061862</v>
      </c>
      <c r="B6626" t="str">
        <f t="shared" si="321"/>
        <v>89301000</v>
      </c>
      <c r="C6626" s="1">
        <v>44245</v>
      </c>
      <c r="D6626" s="1">
        <v>44250</v>
      </c>
      <c r="E6626">
        <v>1</v>
      </c>
      <c r="F6626" t="s">
        <v>3018</v>
      </c>
      <c r="G6626" t="str">
        <f>"10-I11-00"</f>
        <v>10-I11-00</v>
      </c>
      <c r="H6626">
        <v>1.8462000000000001</v>
      </c>
      <c r="I6626" t="s">
        <v>4811</v>
      </c>
      <c r="J6626" t="s">
        <v>24</v>
      </c>
      <c r="K6626" t="str">
        <f>"7F6"</f>
        <v>7F6</v>
      </c>
      <c r="L6626" t="s">
        <v>15</v>
      </c>
    </row>
    <row r="6627" spans="1:12" x14ac:dyDescent="0.25">
      <c r="A6627" t="str">
        <f>"5612081453"</f>
        <v>5612081453</v>
      </c>
      <c r="B6627" t="str">
        <f t="shared" si="321"/>
        <v>89301000</v>
      </c>
      <c r="C6627" s="1">
        <v>44502</v>
      </c>
      <c r="D6627" s="1">
        <v>44508</v>
      </c>
      <c r="E6627">
        <v>2</v>
      </c>
      <c r="F6627" t="s">
        <v>4812</v>
      </c>
      <c r="G6627" t="str">
        <f>"01-K03-06"</f>
        <v>01-K03-06</v>
      </c>
      <c r="H6627">
        <v>0.80789999999999995</v>
      </c>
      <c r="I6627" t="s">
        <v>4813</v>
      </c>
      <c r="J6627" t="s">
        <v>14</v>
      </c>
      <c r="K6627" t="str">
        <f>"2F9"</f>
        <v>2F9</v>
      </c>
      <c r="L6627" t="s">
        <v>15</v>
      </c>
    </row>
    <row r="6628" spans="1:12" x14ac:dyDescent="0.25">
      <c r="A6628" t="str">
        <f>"5612141293"</f>
        <v>5612141293</v>
      </c>
      <c r="B6628" t="str">
        <f t="shared" si="321"/>
        <v>89301000</v>
      </c>
      <c r="C6628" s="1">
        <v>44334</v>
      </c>
      <c r="D6628" s="1">
        <v>44337</v>
      </c>
      <c r="E6628">
        <v>1</v>
      </c>
      <c r="F6628" t="s">
        <v>2355</v>
      </c>
      <c r="G6628" t="str">
        <f>"04-K09-03"</f>
        <v>04-K09-03</v>
      </c>
      <c r="H6628">
        <v>0.6623</v>
      </c>
      <c r="I6628" t="s">
        <v>4814</v>
      </c>
      <c r="J6628" t="s">
        <v>14</v>
      </c>
      <c r="K6628" t="str">
        <f>"2F5"</f>
        <v>2F5</v>
      </c>
      <c r="L6628" t="s">
        <v>15</v>
      </c>
    </row>
    <row r="6629" spans="1:12" x14ac:dyDescent="0.25">
      <c r="A6629" t="str">
        <f>"5612141293"</f>
        <v>5612141293</v>
      </c>
      <c r="B6629" t="str">
        <f t="shared" si="321"/>
        <v>89301000</v>
      </c>
      <c r="C6629" s="1">
        <v>44303</v>
      </c>
      <c r="D6629" s="1">
        <v>44312</v>
      </c>
      <c r="E6629">
        <v>1</v>
      </c>
      <c r="F6629" t="s">
        <v>217</v>
      </c>
      <c r="G6629" t="str">
        <f>"04-K02-04"</f>
        <v>04-K02-04</v>
      </c>
      <c r="H6629">
        <v>0.82469999999999999</v>
      </c>
      <c r="I6629" t="s">
        <v>4815</v>
      </c>
      <c r="J6629" t="s">
        <v>14</v>
      </c>
      <c r="K6629" t="str">
        <f>"1F6"</f>
        <v>1F6</v>
      </c>
      <c r="L6629" t="s">
        <v>15</v>
      </c>
    </row>
    <row r="6630" spans="1:12" x14ac:dyDescent="0.25">
      <c r="A6630" t="str">
        <f>"5612141293"</f>
        <v>5612141293</v>
      </c>
      <c r="B6630" t="str">
        <f t="shared" si="321"/>
        <v>89301000</v>
      </c>
      <c r="C6630" s="1">
        <v>44376</v>
      </c>
      <c r="D6630" s="1">
        <v>44386</v>
      </c>
      <c r="E6630">
        <v>1</v>
      </c>
      <c r="F6630" t="s">
        <v>1762</v>
      </c>
      <c r="G6630" t="str">
        <f>"04-I02-04"</f>
        <v>04-I02-04</v>
      </c>
      <c r="H6630">
        <v>3.1617999999999999</v>
      </c>
      <c r="I6630" t="s">
        <v>4816</v>
      </c>
      <c r="J6630" t="s">
        <v>106</v>
      </c>
      <c r="K6630" t="str">
        <f>"5F1"</f>
        <v>5F1</v>
      </c>
      <c r="L6630" t="s">
        <v>15</v>
      </c>
    </row>
    <row r="6631" spans="1:12" x14ac:dyDescent="0.25">
      <c r="A6631" t="str">
        <f>"5612141931"</f>
        <v>5612141931</v>
      </c>
      <c r="B6631" t="str">
        <f t="shared" si="321"/>
        <v>89301000</v>
      </c>
      <c r="C6631" s="1">
        <v>44484</v>
      </c>
      <c r="D6631" s="1">
        <v>44485</v>
      </c>
      <c r="E6631">
        <v>1</v>
      </c>
      <c r="F6631" t="s">
        <v>41</v>
      </c>
      <c r="G6631" t="str">
        <f>"01-D01-03"</f>
        <v>01-D01-03</v>
      </c>
      <c r="H6631">
        <v>0.158</v>
      </c>
      <c r="J6631" t="s">
        <v>14</v>
      </c>
      <c r="K6631" t="str">
        <f>"2F5"</f>
        <v>2F5</v>
      </c>
      <c r="L6631" t="s">
        <v>15</v>
      </c>
    </row>
    <row r="6632" spans="1:12" x14ac:dyDescent="0.25">
      <c r="A6632" t="str">
        <f>"5612230481"</f>
        <v>5612230481</v>
      </c>
      <c r="B6632" t="str">
        <f t="shared" si="321"/>
        <v>89301000</v>
      </c>
      <c r="C6632" s="1">
        <v>44378</v>
      </c>
      <c r="D6632" s="1">
        <v>44381</v>
      </c>
      <c r="E6632">
        <v>1</v>
      </c>
      <c r="F6632" t="s">
        <v>4817</v>
      </c>
      <c r="G6632" t="str">
        <f>"03-I12-03"</f>
        <v>03-I12-03</v>
      </c>
      <c r="H6632">
        <v>1.0016</v>
      </c>
      <c r="I6632" t="s">
        <v>4818</v>
      </c>
      <c r="J6632" t="s">
        <v>17</v>
      </c>
      <c r="K6632" t="str">
        <f>"7F1"</f>
        <v>7F1</v>
      </c>
      <c r="L6632" t="s">
        <v>15</v>
      </c>
    </row>
    <row r="6633" spans="1:12" x14ac:dyDescent="0.25">
      <c r="A6633" t="str">
        <f>"5612241646"</f>
        <v>5612241646</v>
      </c>
      <c r="B6633" t="str">
        <f t="shared" si="321"/>
        <v>89301000</v>
      </c>
      <c r="C6633" s="1">
        <v>44300</v>
      </c>
      <c r="D6633" s="1">
        <v>44302</v>
      </c>
      <c r="E6633">
        <v>1</v>
      </c>
      <c r="F6633" t="s">
        <v>97</v>
      </c>
      <c r="G6633" t="str">
        <f>"01-K03-08"</f>
        <v>01-K03-08</v>
      </c>
      <c r="H6633">
        <v>0.34789999999999999</v>
      </c>
      <c r="J6633" t="s">
        <v>14</v>
      </c>
      <c r="K6633" t="str">
        <f>"2F9"</f>
        <v>2F9</v>
      </c>
      <c r="L6633" t="s">
        <v>15</v>
      </c>
    </row>
    <row r="6634" spans="1:12" x14ac:dyDescent="0.25">
      <c r="A6634" t="str">
        <f>"5612300397"</f>
        <v>5612300397</v>
      </c>
      <c r="B6634" t="str">
        <f t="shared" si="321"/>
        <v>89301000</v>
      </c>
      <c r="C6634" s="1">
        <v>44485</v>
      </c>
      <c r="D6634" s="1">
        <v>44489</v>
      </c>
      <c r="E6634">
        <v>1</v>
      </c>
      <c r="F6634" t="s">
        <v>500</v>
      </c>
      <c r="G6634" t="str">
        <f>"06-K06-01"</f>
        <v>06-K06-01</v>
      </c>
      <c r="H6634">
        <v>1.3448</v>
      </c>
      <c r="I6634" t="s">
        <v>4819</v>
      </c>
      <c r="J6634" t="s">
        <v>14</v>
      </c>
      <c r="K6634" t="str">
        <f>"1F1"</f>
        <v>1F1</v>
      </c>
      <c r="L6634" t="s">
        <v>15</v>
      </c>
    </row>
    <row r="6635" spans="1:12" x14ac:dyDescent="0.25">
      <c r="A6635" t="str">
        <f>"5651031485"</f>
        <v>5651031485</v>
      </c>
      <c r="B6635" t="str">
        <f t="shared" si="321"/>
        <v>89301000</v>
      </c>
      <c r="C6635" s="1">
        <v>44341</v>
      </c>
      <c r="D6635" s="1">
        <v>44345</v>
      </c>
      <c r="E6635">
        <v>1</v>
      </c>
      <c r="F6635" t="s">
        <v>318</v>
      </c>
      <c r="G6635" t="str">
        <f>"08-I23-02"</f>
        <v>08-I23-02</v>
      </c>
      <c r="H6635">
        <v>0.93840000000000001</v>
      </c>
      <c r="J6635" t="s">
        <v>17</v>
      </c>
      <c r="K6635" t="str">
        <f>"6F6"</f>
        <v>6F6</v>
      </c>
      <c r="L6635" t="s">
        <v>15</v>
      </c>
    </row>
    <row r="6636" spans="1:12" x14ac:dyDescent="0.25">
      <c r="A6636" t="str">
        <f>"5651101467"</f>
        <v>5651101467</v>
      </c>
      <c r="B6636" t="str">
        <f t="shared" si="321"/>
        <v>89301000</v>
      </c>
      <c r="C6636" s="1">
        <v>44327</v>
      </c>
      <c r="D6636" s="1">
        <v>44327</v>
      </c>
      <c r="E6636">
        <v>6</v>
      </c>
      <c r="F6636" t="s">
        <v>2303</v>
      </c>
      <c r="G6636" t="str">
        <f>"13-I19-00"</f>
        <v>13-I19-00</v>
      </c>
      <c r="H6636">
        <v>0.1235</v>
      </c>
      <c r="J6636" t="s">
        <v>14</v>
      </c>
      <c r="K6636" t="str">
        <f>"6F3"</f>
        <v>6F3</v>
      </c>
      <c r="L6636" t="s">
        <v>15</v>
      </c>
    </row>
    <row r="6637" spans="1:12" x14ac:dyDescent="0.25">
      <c r="A6637" t="str">
        <f>"5651171779"</f>
        <v>5651171779</v>
      </c>
      <c r="B6637" t="str">
        <f t="shared" si="321"/>
        <v>89301000</v>
      </c>
      <c r="C6637" s="1">
        <v>44490</v>
      </c>
      <c r="D6637" s="1">
        <v>44491</v>
      </c>
      <c r="E6637">
        <v>1</v>
      </c>
      <c r="F6637" t="s">
        <v>4820</v>
      </c>
      <c r="G6637" t="str">
        <f>"08-I32-02"</f>
        <v>08-I32-02</v>
      </c>
      <c r="H6637">
        <v>0.4143</v>
      </c>
      <c r="J6637" t="s">
        <v>14</v>
      </c>
      <c r="K6637" t="str">
        <f>"6F6"</f>
        <v>6F6</v>
      </c>
      <c r="L6637" t="s">
        <v>15</v>
      </c>
    </row>
    <row r="6638" spans="1:12" x14ac:dyDescent="0.25">
      <c r="A6638" t="str">
        <f>"5651206176"</f>
        <v>5651206176</v>
      </c>
      <c r="B6638" t="str">
        <f t="shared" si="321"/>
        <v>89301000</v>
      </c>
      <c r="C6638" s="1">
        <v>44265</v>
      </c>
      <c r="D6638" s="1">
        <v>44268</v>
      </c>
      <c r="E6638">
        <v>1</v>
      </c>
      <c r="F6638" t="s">
        <v>1551</v>
      </c>
      <c r="G6638" t="str">
        <f>"09-I06-04"</f>
        <v>09-I06-04</v>
      </c>
      <c r="H6638">
        <v>0.98829999999999996</v>
      </c>
      <c r="J6638" t="s">
        <v>17</v>
      </c>
      <c r="K6638" t="str">
        <f>"5F1"</f>
        <v>5F1</v>
      </c>
      <c r="L6638" t="s">
        <v>15</v>
      </c>
    </row>
    <row r="6639" spans="1:12" x14ac:dyDescent="0.25">
      <c r="A6639" t="str">
        <f>"5651262089"</f>
        <v>5651262089</v>
      </c>
      <c r="B6639" t="str">
        <f t="shared" si="321"/>
        <v>89301000</v>
      </c>
      <c r="C6639" s="1">
        <v>44292</v>
      </c>
      <c r="D6639" s="1">
        <v>44293</v>
      </c>
      <c r="E6639">
        <v>1</v>
      </c>
      <c r="F6639" t="s">
        <v>2623</v>
      </c>
      <c r="G6639" t="str">
        <f>"17-C05-06"</f>
        <v>17-C05-06</v>
      </c>
      <c r="H6639">
        <v>0.50260000000000005</v>
      </c>
      <c r="I6639" t="s">
        <v>4821</v>
      </c>
      <c r="J6639" t="s">
        <v>14</v>
      </c>
      <c r="K6639" t="str">
        <f>"2F2"</f>
        <v>2F2</v>
      </c>
      <c r="L6639" t="s">
        <v>15</v>
      </c>
    </row>
    <row r="6640" spans="1:12" x14ac:dyDescent="0.25">
      <c r="A6640" t="str">
        <f>"5651262111"</f>
        <v>5651262111</v>
      </c>
      <c r="B6640" t="str">
        <f t="shared" si="321"/>
        <v>89301000</v>
      </c>
      <c r="C6640" s="1">
        <v>44246</v>
      </c>
      <c r="D6640" s="1">
        <v>44247</v>
      </c>
      <c r="E6640">
        <v>8</v>
      </c>
      <c r="F6640" t="s">
        <v>1548</v>
      </c>
      <c r="G6640" t="str">
        <f>"05-K07-02"</f>
        <v>05-K07-02</v>
      </c>
      <c r="H6640">
        <v>0.24510000000000001</v>
      </c>
      <c r="I6640" t="s">
        <v>4822</v>
      </c>
      <c r="J6640" t="s">
        <v>14</v>
      </c>
      <c r="K6640" t="str">
        <f>"1F5"</f>
        <v>1F5</v>
      </c>
      <c r="L6640" t="s">
        <v>15</v>
      </c>
    </row>
    <row r="6641" spans="1:12" x14ac:dyDescent="0.25">
      <c r="A6641" t="str">
        <f>"5651270273"</f>
        <v>5651270273</v>
      </c>
      <c r="B6641" t="str">
        <f t="shared" si="321"/>
        <v>89301000</v>
      </c>
      <c r="C6641" s="1">
        <v>44314</v>
      </c>
      <c r="D6641" s="1">
        <v>44326</v>
      </c>
      <c r="E6641">
        <v>1</v>
      </c>
      <c r="F6641" t="s">
        <v>1631</v>
      </c>
      <c r="G6641" t="str">
        <f>"17-K02-02"</f>
        <v>17-K02-02</v>
      </c>
      <c r="H6641">
        <v>1.0082</v>
      </c>
      <c r="I6641" t="s">
        <v>2945</v>
      </c>
      <c r="J6641" t="s">
        <v>14</v>
      </c>
      <c r="K6641" t="str">
        <f>"2F2"</f>
        <v>2F2</v>
      </c>
      <c r="L6641" t="s">
        <v>15</v>
      </c>
    </row>
    <row r="6642" spans="1:12" x14ac:dyDescent="0.25">
      <c r="A6642" t="str">
        <f>"5651300996"</f>
        <v>5651300996</v>
      </c>
      <c r="B6642" t="str">
        <f t="shared" si="321"/>
        <v>89301000</v>
      </c>
      <c r="C6642" s="1">
        <v>44365</v>
      </c>
      <c r="D6642" s="1">
        <v>44371</v>
      </c>
      <c r="E6642">
        <v>1</v>
      </c>
      <c r="F6642" t="s">
        <v>1555</v>
      </c>
      <c r="G6642" t="str">
        <f>"05-K12-02"</f>
        <v>05-K12-02</v>
      </c>
      <c r="H6642">
        <v>0.53600000000000003</v>
      </c>
      <c r="I6642" t="s">
        <v>4823</v>
      </c>
      <c r="J6642" t="s">
        <v>14</v>
      </c>
      <c r="K6642" t="str">
        <f>"5F1"</f>
        <v>5F1</v>
      </c>
      <c r="L6642" t="s">
        <v>15</v>
      </c>
    </row>
    <row r="6643" spans="1:12" x14ac:dyDescent="0.25">
      <c r="A6643" t="str">
        <f>"5652011409"</f>
        <v>5652011409</v>
      </c>
      <c r="B6643" t="str">
        <f t="shared" si="321"/>
        <v>89301000</v>
      </c>
      <c r="C6643" s="1">
        <v>44350</v>
      </c>
      <c r="D6643" s="1">
        <v>44358</v>
      </c>
      <c r="E6643">
        <v>1</v>
      </c>
      <c r="F6643" t="s">
        <v>4824</v>
      </c>
      <c r="G6643" t="str">
        <f>"07-I04-02"</f>
        <v>07-I04-02</v>
      </c>
      <c r="H6643">
        <v>2.0665</v>
      </c>
      <c r="I6643" t="s">
        <v>4825</v>
      </c>
      <c r="J6643" t="s">
        <v>17</v>
      </c>
      <c r="K6643" t="str">
        <f>"5F1"</f>
        <v>5F1</v>
      </c>
      <c r="L6643" t="s">
        <v>15</v>
      </c>
    </row>
    <row r="6644" spans="1:12" x14ac:dyDescent="0.25">
      <c r="A6644" t="str">
        <f>"5652012256"</f>
        <v>5652012256</v>
      </c>
      <c r="B6644" t="str">
        <f t="shared" si="321"/>
        <v>89301000</v>
      </c>
      <c r="C6644" s="1">
        <v>44370</v>
      </c>
      <c r="D6644" s="1">
        <v>44371</v>
      </c>
      <c r="E6644">
        <v>1</v>
      </c>
      <c r="F6644" t="s">
        <v>1557</v>
      </c>
      <c r="G6644" t="str">
        <f>"05-D01-08"</f>
        <v>05-D01-08</v>
      </c>
      <c r="H6644">
        <v>0.4093</v>
      </c>
      <c r="I6644" t="s">
        <v>4826</v>
      </c>
      <c r="J6644" t="s">
        <v>14</v>
      </c>
      <c r="K6644" t="str">
        <f>"1F7"</f>
        <v>1F7</v>
      </c>
      <c r="L6644" t="s">
        <v>15</v>
      </c>
    </row>
    <row r="6645" spans="1:12" x14ac:dyDescent="0.25">
      <c r="A6645" t="str">
        <f>"5652021441"</f>
        <v>5652021441</v>
      </c>
      <c r="B6645" t="str">
        <f t="shared" si="321"/>
        <v>89301000</v>
      </c>
      <c r="C6645" s="1">
        <v>44495</v>
      </c>
      <c r="D6645" s="1">
        <v>44498</v>
      </c>
      <c r="E6645">
        <v>1</v>
      </c>
      <c r="F6645" t="s">
        <v>4196</v>
      </c>
      <c r="G6645" t="str">
        <f>"08-M03-01"</f>
        <v>08-M03-01</v>
      </c>
      <c r="H6645">
        <v>1.3706</v>
      </c>
      <c r="J6645" t="s">
        <v>14</v>
      </c>
      <c r="K6645" t="str">
        <f>"6F6"</f>
        <v>6F6</v>
      </c>
      <c r="L6645" t="s">
        <v>15</v>
      </c>
    </row>
    <row r="6646" spans="1:12" x14ac:dyDescent="0.25">
      <c r="A6646" t="str">
        <f>"5652031341"</f>
        <v>5652031341</v>
      </c>
      <c r="B6646" t="str">
        <f t="shared" si="321"/>
        <v>89301000</v>
      </c>
      <c r="C6646" s="1">
        <v>44315</v>
      </c>
      <c r="D6646" s="1">
        <v>44319</v>
      </c>
      <c r="E6646">
        <v>1</v>
      </c>
      <c r="F6646" t="s">
        <v>2931</v>
      </c>
      <c r="G6646" t="str">
        <f>"07-K04-03"</f>
        <v>07-K04-03</v>
      </c>
      <c r="H6646">
        <v>1.5608</v>
      </c>
      <c r="I6646" t="s">
        <v>4827</v>
      </c>
      <c r="J6646" t="s">
        <v>14</v>
      </c>
      <c r="K6646" t="str">
        <f>"1F5"</f>
        <v>1F5</v>
      </c>
      <c r="L6646" t="s">
        <v>15</v>
      </c>
    </row>
    <row r="6647" spans="1:12" x14ac:dyDescent="0.25">
      <c r="A6647" t="str">
        <f>"5652031341"</f>
        <v>5652031341</v>
      </c>
      <c r="B6647" t="str">
        <f t="shared" si="321"/>
        <v>89301000</v>
      </c>
      <c r="C6647" s="1">
        <v>44356</v>
      </c>
      <c r="D6647" s="1">
        <v>44357</v>
      </c>
      <c r="E6647">
        <v>1</v>
      </c>
      <c r="F6647" t="s">
        <v>4173</v>
      </c>
      <c r="G6647" t="str">
        <f>"07-M02-03"</f>
        <v>07-M02-03</v>
      </c>
      <c r="H6647">
        <v>0.98880000000000001</v>
      </c>
      <c r="I6647" t="s">
        <v>4828</v>
      </c>
      <c r="J6647" t="s">
        <v>17</v>
      </c>
      <c r="K6647" t="str">
        <f>"1F1"</f>
        <v>1F1</v>
      </c>
      <c r="L6647" t="s">
        <v>15</v>
      </c>
    </row>
    <row r="6648" spans="1:12" x14ac:dyDescent="0.25">
      <c r="A6648" t="str">
        <f>"5652041967"</f>
        <v>5652041967</v>
      </c>
      <c r="B6648" t="str">
        <f t="shared" si="321"/>
        <v>89301000</v>
      </c>
      <c r="C6648" s="1">
        <v>44336</v>
      </c>
      <c r="D6648" s="1">
        <v>44340</v>
      </c>
      <c r="E6648">
        <v>1</v>
      </c>
      <c r="F6648" t="s">
        <v>1551</v>
      </c>
      <c r="G6648" t="str">
        <f>"09-I06-04"</f>
        <v>09-I06-04</v>
      </c>
      <c r="H6648">
        <v>0.98829999999999996</v>
      </c>
      <c r="I6648" t="s">
        <v>489</v>
      </c>
      <c r="J6648" t="s">
        <v>17</v>
      </c>
      <c r="K6648" t="str">
        <f>"5F1"</f>
        <v>5F1</v>
      </c>
      <c r="L6648" t="s">
        <v>15</v>
      </c>
    </row>
    <row r="6649" spans="1:12" x14ac:dyDescent="0.25">
      <c r="A6649" t="str">
        <f>"5652110904"</f>
        <v>5652110904</v>
      </c>
      <c r="B6649" t="str">
        <f t="shared" si="321"/>
        <v>89301000</v>
      </c>
      <c r="C6649" s="1">
        <v>44389</v>
      </c>
      <c r="D6649" s="1">
        <v>44390</v>
      </c>
      <c r="E6649">
        <v>1</v>
      </c>
      <c r="F6649" t="s">
        <v>1679</v>
      </c>
      <c r="G6649" t="str">
        <f>"11-M06-03"</f>
        <v>11-M06-03</v>
      </c>
      <c r="H6649">
        <v>0.61519999999999997</v>
      </c>
      <c r="I6649" t="s">
        <v>1551</v>
      </c>
      <c r="J6649" t="s">
        <v>17</v>
      </c>
      <c r="K6649" t="str">
        <f>"7F6"</f>
        <v>7F6</v>
      </c>
      <c r="L6649" t="s">
        <v>15</v>
      </c>
    </row>
    <row r="6650" spans="1:12" x14ac:dyDescent="0.25">
      <c r="A6650" t="str">
        <f>"5652110904"</f>
        <v>5652110904</v>
      </c>
      <c r="B6650" t="str">
        <f t="shared" si="321"/>
        <v>89301000</v>
      </c>
      <c r="C6650" s="1">
        <v>44340</v>
      </c>
      <c r="D6650" s="1">
        <v>44343</v>
      </c>
      <c r="E6650">
        <v>1</v>
      </c>
      <c r="F6650" t="s">
        <v>1679</v>
      </c>
      <c r="G6650" t="str">
        <f>"11-M06-03"</f>
        <v>11-M06-03</v>
      </c>
      <c r="H6650">
        <v>0.61519999999999997</v>
      </c>
      <c r="I6650" t="s">
        <v>4829</v>
      </c>
      <c r="J6650" t="s">
        <v>17</v>
      </c>
      <c r="K6650" t="str">
        <f>"7F6"</f>
        <v>7F6</v>
      </c>
      <c r="L6650" t="s">
        <v>15</v>
      </c>
    </row>
    <row r="6651" spans="1:12" x14ac:dyDescent="0.25">
      <c r="A6651" t="str">
        <f>"5652190819"</f>
        <v>5652190819</v>
      </c>
      <c r="B6651" t="str">
        <f t="shared" si="321"/>
        <v>89301000</v>
      </c>
      <c r="C6651" s="1">
        <v>44283</v>
      </c>
      <c r="D6651" s="1">
        <v>44287</v>
      </c>
      <c r="E6651">
        <v>1</v>
      </c>
      <c r="F6651" t="s">
        <v>1690</v>
      </c>
      <c r="G6651" t="str">
        <f>"07-I10-06"</f>
        <v>07-I10-06</v>
      </c>
      <c r="H6651">
        <v>0.9728</v>
      </c>
      <c r="I6651" t="s">
        <v>489</v>
      </c>
      <c r="J6651" t="s">
        <v>17</v>
      </c>
      <c r="K6651" t="str">
        <f>"5F1"</f>
        <v>5F1</v>
      </c>
      <c r="L6651" t="s">
        <v>15</v>
      </c>
    </row>
    <row r="6652" spans="1:12" x14ac:dyDescent="0.25">
      <c r="A6652" t="str">
        <f>"5652212115"</f>
        <v>5652212115</v>
      </c>
      <c r="B6652" t="str">
        <f t="shared" si="321"/>
        <v>89301000</v>
      </c>
      <c r="C6652" s="1">
        <v>44253</v>
      </c>
      <c r="D6652" s="1">
        <v>44272</v>
      </c>
      <c r="E6652">
        <v>4</v>
      </c>
      <c r="F6652" t="s">
        <v>962</v>
      </c>
      <c r="G6652" t="str">
        <f>"04-M01-05"</f>
        <v>04-M01-05</v>
      </c>
      <c r="H6652">
        <v>6.2100999999999997</v>
      </c>
      <c r="I6652" t="s">
        <v>4830</v>
      </c>
      <c r="J6652" t="s">
        <v>14</v>
      </c>
      <c r="K6652" t="str">
        <f>"2F5"</f>
        <v>2F5</v>
      </c>
      <c r="L6652" t="s">
        <v>15</v>
      </c>
    </row>
    <row r="6653" spans="1:12" x14ac:dyDescent="0.25">
      <c r="A6653" t="str">
        <f>"5652227350"</f>
        <v>5652227350</v>
      </c>
      <c r="B6653" t="str">
        <f t="shared" si="321"/>
        <v>89301000</v>
      </c>
      <c r="C6653" s="1">
        <v>44443</v>
      </c>
      <c r="D6653" s="1">
        <v>44454</v>
      </c>
      <c r="E6653">
        <v>4</v>
      </c>
      <c r="F6653" t="s">
        <v>2766</v>
      </c>
      <c r="G6653" t="str">
        <f>"08-I14-01"</f>
        <v>08-I14-01</v>
      </c>
      <c r="H6653">
        <v>3.8473000000000002</v>
      </c>
      <c r="I6653" t="s">
        <v>381</v>
      </c>
      <c r="J6653" t="s">
        <v>17</v>
      </c>
      <c r="K6653" t="str">
        <f>"5F3"</f>
        <v>5F3</v>
      </c>
      <c r="L6653" t="s">
        <v>15</v>
      </c>
    </row>
    <row r="6654" spans="1:12" x14ac:dyDescent="0.25">
      <c r="A6654" t="str">
        <f>"5652230848"</f>
        <v>5652230848</v>
      </c>
      <c r="B6654" t="str">
        <f t="shared" ref="B6654:B6717" si="323">"89301000"</f>
        <v>89301000</v>
      </c>
      <c r="C6654" s="1">
        <v>44378</v>
      </c>
      <c r="D6654" s="1">
        <v>44383</v>
      </c>
      <c r="E6654">
        <v>1</v>
      </c>
      <c r="F6654" t="s">
        <v>1553</v>
      </c>
      <c r="G6654" t="str">
        <f>"04-K05-03"</f>
        <v>04-K05-03</v>
      </c>
      <c r="H6654">
        <v>0.74980000000000002</v>
      </c>
      <c r="I6654" t="s">
        <v>4831</v>
      </c>
      <c r="J6654" t="s">
        <v>14</v>
      </c>
      <c r="K6654" t="str">
        <f>"1F1"</f>
        <v>1F1</v>
      </c>
      <c r="L6654" t="s">
        <v>15</v>
      </c>
    </row>
    <row r="6655" spans="1:12" x14ac:dyDescent="0.25">
      <c r="A6655" t="str">
        <f>"5652262044"</f>
        <v>5652262044</v>
      </c>
      <c r="B6655" t="str">
        <f t="shared" si="323"/>
        <v>89301000</v>
      </c>
      <c r="C6655" s="1">
        <v>44322</v>
      </c>
      <c r="D6655" s="1">
        <v>44326</v>
      </c>
      <c r="E6655">
        <v>1</v>
      </c>
      <c r="F6655" t="s">
        <v>2068</v>
      </c>
      <c r="G6655" t="str">
        <f>"02-I06-02"</f>
        <v>02-I06-02</v>
      </c>
      <c r="H6655">
        <v>0.90300000000000002</v>
      </c>
      <c r="I6655" t="s">
        <v>348</v>
      </c>
      <c r="J6655" t="s">
        <v>17</v>
      </c>
      <c r="K6655" t="str">
        <f>"7F5"</f>
        <v>7F5</v>
      </c>
      <c r="L6655" t="s">
        <v>15</v>
      </c>
    </row>
    <row r="6656" spans="1:12" x14ac:dyDescent="0.25">
      <c r="A6656" t="str">
        <f>"5653021352"</f>
        <v>5653021352</v>
      </c>
      <c r="B6656" t="str">
        <f t="shared" si="323"/>
        <v>89301000</v>
      </c>
      <c r="C6656" s="1">
        <v>44413</v>
      </c>
      <c r="D6656" s="1">
        <v>44415</v>
      </c>
      <c r="E6656">
        <v>1</v>
      </c>
      <c r="F6656" t="s">
        <v>1551</v>
      </c>
      <c r="G6656" t="str">
        <f>"09-I06-04"</f>
        <v>09-I06-04</v>
      </c>
      <c r="H6656">
        <v>0.98829999999999996</v>
      </c>
      <c r="I6656" t="s">
        <v>3885</v>
      </c>
      <c r="J6656" t="s">
        <v>17</v>
      </c>
      <c r="K6656" t="str">
        <f>"5F1"</f>
        <v>5F1</v>
      </c>
      <c r="L6656" t="s">
        <v>15</v>
      </c>
    </row>
    <row r="6657" spans="1:12" x14ac:dyDescent="0.25">
      <c r="A6657" t="str">
        <f>"5653050942"</f>
        <v>5653050942</v>
      </c>
      <c r="B6657" t="str">
        <f t="shared" si="323"/>
        <v>89301000</v>
      </c>
      <c r="C6657" s="1">
        <v>44522</v>
      </c>
      <c r="D6657" s="1">
        <v>44524</v>
      </c>
      <c r="E6657">
        <v>1</v>
      </c>
      <c r="F6657" t="s">
        <v>1859</v>
      </c>
      <c r="G6657" t="str">
        <f>"03-I23-00"</f>
        <v>03-I23-00</v>
      </c>
      <c r="H6657">
        <v>0.47639999999999999</v>
      </c>
      <c r="I6657" t="s">
        <v>4832</v>
      </c>
      <c r="J6657" t="s">
        <v>14</v>
      </c>
      <c r="K6657" t="str">
        <f>"6F5"</f>
        <v>6F5</v>
      </c>
      <c r="L6657" t="s">
        <v>15</v>
      </c>
    </row>
    <row r="6658" spans="1:12" x14ac:dyDescent="0.25">
      <c r="A6658" t="str">
        <f>"5653081852"</f>
        <v>5653081852</v>
      </c>
      <c r="B6658" t="str">
        <f t="shared" si="323"/>
        <v>89301000</v>
      </c>
      <c r="C6658" s="1">
        <v>44495</v>
      </c>
      <c r="D6658" s="1">
        <v>44505</v>
      </c>
      <c r="E6658">
        <v>1</v>
      </c>
      <c r="F6658" t="s">
        <v>67</v>
      </c>
      <c r="G6658" t="str">
        <f>"01-M02-00"</f>
        <v>01-M02-00</v>
      </c>
      <c r="H6658">
        <v>5.4023000000000003</v>
      </c>
      <c r="I6658" t="s">
        <v>4833</v>
      </c>
      <c r="J6658" t="s">
        <v>17</v>
      </c>
      <c r="K6658" t="str">
        <f>"2F9"</f>
        <v>2F9</v>
      </c>
      <c r="L6658" t="s">
        <v>15</v>
      </c>
    </row>
    <row r="6659" spans="1:12" x14ac:dyDescent="0.25">
      <c r="A6659" t="str">
        <f>"5653110694"</f>
        <v>5653110694</v>
      </c>
      <c r="B6659" t="str">
        <f t="shared" si="323"/>
        <v>89301000</v>
      </c>
      <c r="C6659" s="1">
        <v>44313</v>
      </c>
      <c r="D6659" s="1">
        <v>44321</v>
      </c>
      <c r="E6659">
        <v>1</v>
      </c>
      <c r="F6659" t="s">
        <v>4557</v>
      </c>
      <c r="G6659" t="str">
        <f>"20-K03-03"</f>
        <v>20-K03-03</v>
      </c>
      <c r="H6659">
        <v>1.0109999999999999</v>
      </c>
      <c r="I6659" t="s">
        <v>4834</v>
      </c>
      <c r="J6659" t="s">
        <v>14</v>
      </c>
      <c r="K6659" t="str">
        <f>"3F5"</f>
        <v>3F5</v>
      </c>
      <c r="L6659" t="s">
        <v>15</v>
      </c>
    </row>
    <row r="6660" spans="1:12" x14ac:dyDescent="0.25">
      <c r="A6660" t="str">
        <f>"5653121199"</f>
        <v>5653121199</v>
      </c>
      <c r="B6660" t="str">
        <f t="shared" si="323"/>
        <v>89301000</v>
      </c>
      <c r="C6660" s="1">
        <v>44468</v>
      </c>
      <c r="D6660" s="1">
        <v>44471</v>
      </c>
      <c r="E6660">
        <v>8</v>
      </c>
      <c r="F6660" t="s">
        <v>4835</v>
      </c>
      <c r="G6660" t="str">
        <f>"16-C03-01"</f>
        <v>16-C03-01</v>
      </c>
      <c r="H6660">
        <v>4.4527999999999999</v>
      </c>
      <c r="I6660" t="s">
        <v>4836</v>
      </c>
      <c r="J6660" t="s">
        <v>14</v>
      </c>
      <c r="K6660" t="str">
        <f>"2F2"</f>
        <v>2F2</v>
      </c>
      <c r="L6660" t="s">
        <v>15</v>
      </c>
    </row>
    <row r="6661" spans="1:12" x14ac:dyDescent="0.25">
      <c r="A6661" t="str">
        <f>"5653142209"</f>
        <v>5653142209</v>
      </c>
      <c r="B6661" t="str">
        <f t="shared" si="323"/>
        <v>89301000</v>
      </c>
      <c r="C6661" s="1">
        <v>44404</v>
      </c>
      <c r="D6661" s="1">
        <v>44421</v>
      </c>
      <c r="E6661">
        <v>1</v>
      </c>
      <c r="F6661" t="s">
        <v>3381</v>
      </c>
      <c r="G6661" t="str">
        <f>"09-K08-02"</f>
        <v>09-K08-02</v>
      </c>
      <c r="H6661">
        <v>0.92479999999999996</v>
      </c>
      <c r="I6661" t="s">
        <v>4837</v>
      </c>
      <c r="J6661" t="s">
        <v>14</v>
      </c>
      <c r="K6661" t="str">
        <f>"4F2"</f>
        <v>4F2</v>
      </c>
      <c r="L6661" t="s">
        <v>15</v>
      </c>
    </row>
    <row r="6662" spans="1:12" x14ac:dyDescent="0.25">
      <c r="A6662" t="str">
        <f>"5653151801"</f>
        <v>5653151801</v>
      </c>
      <c r="B6662" t="str">
        <f t="shared" si="323"/>
        <v>89301000</v>
      </c>
      <c r="C6662" s="1">
        <v>44258</v>
      </c>
      <c r="D6662" s="1">
        <v>44263</v>
      </c>
      <c r="E6662">
        <v>1</v>
      </c>
      <c r="F6662" t="s">
        <v>1551</v>
      </c>
      <c r="G6662" t="str">
        <f>"09-I06-04"</f>
        <v>09-I06-04</v>
      </c>
      <c r="H6662">
        <v>0.98829999999999996</v>
      </c>
      <c r="J6662" t="s">
        <v>17</v>
      </c>
      <c r="K6662" t="str">
        <f>"5F1"</f>
        <v>5F1</v>
      </c>
      <c r="L6662" t="s">
        <v>15</v>
      </c>
    </row>
    <row r="6663" spans="1:12" x14ac:dyDescent="0.25">
      <c r="A6663" t="str">
        <f>"5653161547"</f>
        <v>5653161547</v>
      </c>
      <c r="B6663" t="str">
        <f t="shared" si="323"/>
        <v>89301000</v>
      </c>
      <c r="C6663" s="1">
        <v>44455</v>
      </c>
      <c r="D6663" s="1">
        <v>44469</v>
      </c>
      <c r="E6663">
        <v>5</v>
      </c>
      <c r="F6663" t="s">
        <v>4838</v>
      </c>
      <c r="G6663" t="str">
        <f>"00-M01-04"</f>
        <v>00-M01-04</v>
      </c>
      <c r="H6663">
        <v>7.1924000000000001</v>
      </c>
      <c r="I6663" t="s">
        <v>4839</v>
      </c>
      <c r="J6663" t="s">
        <v>14</v>
      </c>
      <c r="K6663" t="str">
        <f>"7T8"</f>
        <v>7T8</v>
      </c>
      <c r="L6663" t="s">
        <v>15</v>
      </c>
    </row>
    <row r="6664" spans="1:12" x14ac:dyDescent="0.25">
      <c r="A6664" t="str">
        <f>"5653161547"</f>
        <v>5653161547</v>
      </c>
      <c r="B6664" t="str">
        <f t="shared" si="323"/>
        <v>89301000</v>
      </c>
      <c r="C6664" s="1">
        <v>44447</v>
      </c>
      <c r="D6664" s="1">
        <v>44451</v>
      </c>
      <c r="E6664">
        <v>1</v>
      </c>
      <c r="F6664" t="s">
        <v>1953</v>
      </c>
      <c r="G6664" t="str">
        <f>"07-C01-02"</f>
        <v>07-C01-02</v>
      </c>
      <c r="H6664">
        <v>0.30530000000000002</v>
      </c>
      <c r="I6664" t="s">
        <v>4840</v>
      </c>
      <c r="J6664" t="s">
        <v>14</v>
      </c>
      <c r="K6664" t="str">
        <f>"4F2"</f>
        <v>4F2</v>
      </c>
      <c r="L6664" t="s">
        <v>15</v>
      </c>
    </row>
    <row r="6665" spans="1:12" x14ac:dyDescent="0.25">
      <c r="A6665" t="str">
        <f>"5653161547"</f>
        <v>5653161547</v>
      </c>
      <c r="B6665" t="str">
        <f t="shared" si="323"/>
        <v>89301000</v>
      </c>
      <c r="C6665" s="1">
        <v>44406</v>
      </c>
      <c r="D6665" s="1">
        <v>44415</v>
      </c>
      <c r="E6665">
        <v>1</v>
      </c>
      <c r="F6665" t="s">
        <v>1953</v>
      </c>
      <c r="G6665" t="str">
        <f>"07-M02-02"</f>
        <v>07-M02-02</v>
      </c>
      <c r="H6665">
        <v>2.1716000000000002</v>
      </c>
      <c r="I6665" t="s">
        <v>4841</v>
      </c>
      <c r="J6665" t="s">
        <v>17</v>
      </c>
      <c r="K6665" t="str">
        <f>"5F1"</f>
        <v>5F1</v>
      </c>
      <c r="L6665" t="s">
        <v>15</v>
      </c>
    </row>
    <row r="6666" spans="1:12" x14ac:dyDescent="0.25">
      <c r="A6666" t="str">
        <f>"5653161547"</f>
        <v>5653161547</v>
      </c>
      <c r="B6666" t="str">
        <f t="shared" si="323"/>
        <v>89301000</v>
      </c>
      <c r="C6666" s="1">
        <v>44385</v>
      </c>
      <c r="D6666" s="1">
        <v>44396</v>
      </c>
      <c r="E6666">
        <v>1</v>
      </c>
      <c r="F6666" t="s">
        <v>1953</v>
      </c>
      <c r="G6666" t="str">
        <f>"07-I01-02"</f>
        <v>07-I01-02</v>
      </c>
      <c r="H6666">
        <v>5.4947999999999997</v>
      </c>
      <c r="I6666" t="s">
        <v>4842</v>
      </c>
      <c r="J6666" t="s">
        <v>17</v>
      </c>
      <c r="K6666" t="str">
        <f>"5F1"</f>
        <v>5F1</v>
      </c>
      <c r="L6666" t="s">
        <v>15</v>
      </c>
    </row>
    <row r="6667" spans="1:12" x14ac:dyDescent="0.25">
      <c r="A6667" t="str">
        <f>"5653270436"</f>
        <v>5653270436</v>
      </c>
      <c r="B6667" t="str">
        <f t="shared" si="323"/>
        <v>89301000</v>
      </c>
      <c r="C6667" s="1">
        <v>44532</v>
      </c>
      <c r="D6667" s="1">
        <v>44533</v>
      </c>
      <c r="E6667">
        <v>1</v>
      </c>
      <c r="F6667" t="s">
        <v>2303</v>
      </c>
      <c r="G6667" t="str">
        <f>"13-I19-00"</f>
        <v>13-I19-00</v>
      </c>
      <c r="H6667">
        <v>0.24679999999999999</v>
      </c>
      <c r="J6667" t="s">
        <v>14</v>
      </c>
      <c r="K6667" t="str">
        <f>"6F3"</f>
        <v>6F3</v>
      </c>
      <c r="L6667" t="s">
        <v>15</v>
      </c>
    </row>
    <row r="6668" spans="1:12" x14ac:dyDescent="0.25">
      <c r="A6668" t="str">
        <f>"5653281260"</f>
        <v>5653281260</v>
      </c>
      <c r="B6668" t="str">
        <f t="shared" si="323"/>
        <v>89301000</v>
      </c>
      <c r="C6668" s="1">
        <v>44181</v>
      </c>
      <c r="D6668" s="1">
        <v>44218</v>
      </c>
      <c r="E6668">
        <v>1</v>
      </c>
      <c r="F6668" t="s">
        <v>849</v>
      </c>
      <c r="G6668" t="str">
        <f>"17-C05-04"</f>
        <v>17-C05-04</v>
      </c>
      <c r="H6668">
        <v>3.5373999999999999</v>
      </c>
      <c r="I6668" t="s">
        <v>4843</v>
      </c>
      <c r="J6668" t="s">
        <v>14</v>
      </c>
      <c r="K6668" t="str">
        <f>"2T2"</f>
        <v>2T2</v>
      </c>
      <c r="L6668" t="s">
        <v>15</v>
      </c>
    </row>
    <row r="6669" spans="1:12" x14ac:dyDescent="0.25">
      <c r="A6669" t="str">
        <f>"5653301302"</f>
        <v>5653301302</v>
      </c>
      <c r="B6669" t="str">
        <f t="shared" si="323"/>
        <v>89301000</v>
      </c>
      <c r="C6669" s="1">
        <v>44223</v>
      </c>
      <c r="D6669" s="1">
        <v>44223</v>
      </c>
      <c r="E6669">
        <v>1</v>
      </c>
      <c r="F6669" t="s">
        <v>1962</v>
      </c>
      <c r="G6669" t="str">
        <f>"04-K15-03"</f>
        <v>04-K15-03</v>
      </c>
      <c r="H6669">
        <v>0.25090000000000001</v>
      </c>
      <c r="I6669" t="s">
        <v>1868</v>
      </c>
      <c r="J6669" t="s">
        <v>14</v>
      </c>
      <c r="K6669" t="str">
        <f>"1F7"</f>
        <v>1F7</v>
      </c>
      <c r="L6669" t="s">
        <v>15</v>
      </c>
    </row>
    <row r="6670" spans="1:12" x14ac:dyDescent="0.25">
      <c r="A6670" t="str">
        <f>"5653311499"</f>
        <v>5653311499</v>
      </c>
      <c r="B6670" t="str">
        <f t="shared" si="323"/>
        <v>89301000</v>
      </c>
      <c r="C6670" s="1">
        <v>44530</v>
      </c>
      <c r="D6670" s="1">
        <v>44538</v>
      </c>
      <c r="E6670">
        <v>1</v>
      </c>
      <c r="F6670" t="s">
        <v>1631</v>
      </c>
      <c r="G6670" t="str">
        <f>"17-C05-03"</f>
        <v>17-C05-03</v>
      </c>
      <c r="H6670">
        <v>1.3270999999999999</v>
      </c>
      <c r="I6670" t="s">
        <v>4844</v>
      </c>
      <c r="J6670" t="s">
        <v>14</v>
      </c>
      <c r="K6670" t="str">
        <f>"2F2"</f>
        <v>2F2</v>
      </c>
      <c r="L6670" t="s">
        <v>15</v>
      </c>
    </row>
    <row r="6671" spans="1:12" x14ac:dyDescent="0.25">
      <c r="A6671" t="str">
        <f>"5654021725"</f>
        <v>5654021725</v>
      </c>
      <c r="B6671" t="str">
        <f t="shared" si="323"/>
        <v>89301000</v>
      </c>
      <c r="C6671" s="1">
        <v>44252</v>
      </c>
      <c r="D6671" s="1">
        <v>44253</v>
      </c>
      <c r="E6671">
        <v>1</v>
      </c>
      <c r="F6671" t="s">
        <v>2360</v>
      </c>
      <c r="G6671" t="str">
        <f>"06-M01-02"</f>
        <v>06-M01-02</v>
      </c>
      <c r="H6671">
        <v>1.2191000000000001</v>
      </c>
      <c r="J6671" t="s">
        <v>14</v>
      </c>
      <c r="K6671" t="str">
        <f>"1F1"</f>
        <v>1F1</v>
      </c>
      <c r="L6671" t="s">
        <v>15</v>
      </c>
    </row>
    <row r="6672" spans="1:12" x14ac:dyDescent="0.25">
      <c r="A6672" t="str">
        <f>"5654200244"</f>
        <v>5654200244</v>
      </c>
      <c r="B6672" t="str">
        <f t="shared" si="323"/>
        <v>89301000</v>
      </c>
      <c r="C6672" s="1">
        <v>44211</v>
      </c>
      <c r="D6672" s="1">
        <v>44214</v>
      </c>
      <c r="E6672">
        <v>4</v>
      </c>
      <c r="F6672" t="s">
        <v>2623</v>
      </c>
      <c r="G6672" t="str">
        <f>"17-I03-00"</f>
        <v>17-I03-00</v>
      </c>
      <c r="H6672">
        <v>2.5703999999999998</v>
      </c>
      <c r="I6672" t="s">
        <v>4845</v>
      </c>
      <c r="J6672" t="s">
        <v>17</v>
      </c>
      <c r="K6672" t="str">
        <f>"5T6"</f>
        <v>5T6</v>
      </c>
      <c r="L6672" t="s">
        <v>15</v>
      </c>
    </row>
    <row r="6673" spans="1:12" x14ac:dyDescent="0.25">
      <c r="A6673" t="str">
        <f>"5654200244"</f>
        <v>5654200244</v>
      </c>
      <c r="B6673" t="str">
        <f t="shared" si="323"/>
        <v>89301000</v>
      </c>
      <c r="C6673" s="1">
        <v>44228</v>
      </c>
      <c r="D6673" s="1">
        <v>44238</v>
      </c>
      <c r="E6673">
        <v>1</v>
      </c>
      <c r="F6673" t="s">
        <v>2623</v>
      </c>
      <c r="G6673" t="str">
        <f>"17-C05-06"</f>
        <v>17-C05-06</v>
      </c>
      <c r="H6673">
        <v>0.84240000000000004</v>
      </c>
      <c r="I6673" t="s">
        <v>4846</v>
      </c>
      <c r="J6673" t="s">
        <v>14</v>
      </c>
      <c r="K6673" t="str">
        <f>"2F2"</f>
        <v>2F2</v>
      </c>
      <c r="L6673" t="s">
        <v>15</v>
      </c>
    </row>
    <row r="6674" spans="1:12" x14ac:dyDescent="0.25">
      <c r="A6674" t="str">
        <f>"5654200244"</f>
        <v>5654200244</v>
      </c>
      <c r="B6674" t="str">
        <f t="shared" si="323"/>
        <v>89301000</v>
      </c>
      <c r="C6674" s="1">
        <v>44502</v>
      </c>
      <c r="D6674" s="1">
        <v>44533</v>
      </c>
      <c r="E6674">
        <v>1</v>
      </c>
      <c r="F6674" t="s">
        <v>2623</v>
      </c>
      <c r="G6674" t="str">
        <f>"00-M08-00"</f>
        <v>00-M08-00</v>
      </c>
      <c r="H6674">
        <v>5.9123000000000001</v>
      </c>
      <c r="I6674" t="s">
        <v>4847</v>
      </c>
      <c r="J6674" t="s">
        <v>17</v>
      </c>
      <c r="K6674" t="str">
        <f>"2T2"</f>
        <v>2T2</v>
      </c>
      <c r="L6674" t="s">
        <v>15</v>
      </c>
    </row>
    <row r="6675" spans="1:12" x14ac:dyDescent="0.25">
      <c r="A6675" t="str">
        <f>"5654201135"</f>
        <v>5654201135</v>
      </c>
      <c r="B6675" t="str">
        <f t="shared" si="323"/>
        <v>89301000</v>
      </c>
      <c r="C6675" s="1">
        <v>44237</v>
      </c>
      <c r="D6675" s="1">
        <v>44240</v>
      </c>
      <c r="E6675">
        <v>1</v>
      </c>
      <c r="F6675" t="s">
        <v>496</v>
      </c>
      <c r="G6675" t="str">
        <f>"08-M03-05"</f>
        <v>08-M03-05</v>
      </c>
      <c r="H6675">
        <v>0.51759999999999995</v>
      </c>
      <c r="I6675" t="s">
        <v>4563</v>
      </c>
      <c r="J6675" t="s">
        <v>14</v>
      </c>
      <c r="K6675" t="str">
        <f>"6F6"</f>
        <v>6F6</v>
      </c>
      <c r="L6675" t="s">
        <v>15</v>
      </c>
    </row>
    <row r="6676" spans="1:12" x14ac:dyDescent="0.25">
      <c r="A6676" t="str">
        <f>"5654230395"</f>
        <v>5654230395</v>
      </c>
      <c r="B6676" t="str">
        <f t="shared" si="323"/>
        <v>89301000</v>
      </c>
      <c r="C6676" s="1">
        <v>44350</v>
      </c>
      <c r="D6676" s="1">
        <v>44352</v>
      </c>
      <c r="E6676">
        <v>1</v>
      </c>
      <c r="F6676" t="s">
        <v>64</v>
      </c>
      <c r="G6676" t="str">
        <f>"08-I31-04"</f>
        <v>08-I31-04</v>
      </c>
      <c r="H6676">
        <v>0.50949999999999995</v>
      </c>
      <c r="J6676" t="s">
        <v>14</v>
      </c>
      <c r="K6676" t="str">
        <f>"5F3"</f>
        <v>5F3</v>
      </c>
      <c r="L6676" t="s">
        <v>15</v>
      </c>
    </row>
    <row r="6677" spans="1:12" x14ac:dyDescent="0.25">
      <c r="A6677" t="str">
        <f>"5654231165"</f>
        <v>5654231165</v>
      </c>
      <c r="B6677" t="str">
        <f t="shared" si="323"/>
        <v>89301000</v>
      </c>
      <c r="C6677" s="1">
        <v>44482</v>
      </c>
      <c r="D6677" s="1">
        <v>44486</v>
      </c>
      <c r="E6677">
        <v>1</v>
      </c>
      <c r="F6677" t="s">
        <v>4848</v>
      </c>
      <c r="G6677" t="str">
        <f>"13-I11-03"</f>
        <v>13-I11-03</v>
      </c>
      <c r="H6677">
        <v>1.3809</v>
      </c>
      <c r="J6677" t="s">
        <v>24</v>
      </c>
      <c r="K6677" t="str">
        <f>"6F3"</f>
        <v>6F3</v>
      </c>
      <c r="L6677" t="s">
        <v>15</v>
      </c>
    </row>
    <row r="6678" spans="1:12" x14ac:dyDescent="0.25">
      <c r="A6678" t="str">
        <f>"5654271051"</f>
        <v>5654271051</v>
      </c>
      <c r="B6678" t="str">
        <f t="shared" si="323"/>
        <v>89301000</v>
      </c>
      <c r="C6678" s="1">
        <v>44427</v>
      </c>
      <c r="D6678" s="1">
        <v>44431</v>
      </c>
      <c r="E6678">
        <v>1</v>
      </c>
      <c r="F6678" t="s">
        <v>1553</v>
      </c>
      <c r="G6678" t="str">
        <f>"04-K05-03"</f>
        <v>04-K05-03</v>
      </c>
      <c r="H6678">
        <v>0.74980000000000002</v>
      </c>
      <c r="I6678" t="s">
        <v>4849</v>
      </c>
      <c r="J6678" t="s">
        <v>14</v>
      </c>
      <c r="K6678" t="str">
        <f>"1F1"</f>
        <v>1F1</v>
      </c>
      <c r="L6678" t="s">
        <v>15</v>
      </c>
    </row>
    <row r="6679" spans="1:12" x14ac:dyDescent="0.25">
      <c r="A6679" t="str">
        <f>"5654301323"</f>
        <v>5654301323</v>
      </c>
      <c r="B6679" t="str">
        <f t="shared" si="323"/>
        <v>89301000</v>
      </c>
      <c r="C6679" s="1">
        <v>44515</v>
      </c>
      <c r="D6679" s="1">
        <v>44517</v>
      </c>
      <c r="E6679">
        <v>1</v>
      </c>
      <c r="F6679" t="s">
        <v>1551</v>
      </c>
      <c r="G6679" t="str">
        <f>"09-I06-04"</f>
        <v>09-I06-04</v>
      </c>
      <c r="H6679">
        <v>0.98829999999999996</v>
      </c>
      <c r="J6679" t="s">
        <v>17</v>
      </c>
      <c r="K6679" t="str">
        <f>"5F1"</f>
        <v>5F1</v>
      </c>
      <c r="L6679" t="s">
        <v>15</v>
      </c>
    </row>
    <row r="6680" spans="1:12" x14ac:dyDescent="0.25">
      <c r="A6680" t="str">
        <f>"5655013012"</f>
        <v>5655013012</v>
      </c>
      <c r="B6680" t="str">
        <f t="shared" si="323"/>
        <v>89301000</v>
      </c>
      <c r="C6680" s="1">
        <v>44377</v>
      </c>
      <c r="D6680" s="1">
        <v>44378</v>
      </c>
      <c r="E6680">
        <v>1</v>
      </c>
      <c r="F6680" t="s">
        <v>445</v>
      </c>
      <c r="G6680" t="str">
        <f>"08-I17-02"</f>
        <v>08-I17-02</v>
      </c>
      <c r="H6680">
        <v>0.98309999999999997</v>
      </c>
      <c r="I6680" t="s">
        <v>4193</v>
      </c>
      <c r="J6680" t="s">
        <v>14</v>
      </c>
      <c r="K6680" t="str">
        <f>"5F3"</f>
        <v>5F3</v>
      </c>
      <c r="L6680" t="s">
        <v>15</v>
      </c>
    </row>
    <row r="6681" spans="1:12" x14ac:dyDescent="0.25">
      <c r="A6681" t="str">
        <f>"5655031019"</f>
        <v>5655031019</v>
      </c>
      <c r="B6681" t="str">
        <f t="shared" si="323"/>
        <v>89301000</v>
      </c>
      <c r="C6681" s="1">
        <v>44356</v>
      </c>
      <c r="D6681" s="1">
        <v>44359</v>
      </c>
      <c r="E6681">
        <v>1</v>
      </c>
      <c r="F6681" t="s">
        <v>4297</v>
      </c>
      <c r="G6681" t="str">
        <f>"08-M03-05"</f>
        <v>08-M03-05</v>
      </c>
      <c r="H6681">
        <v>0.51759999999999995</v>
      </c>
      <c r="I6681" t="s">
        <v>47</v>
      </c>
      <c r="J6681" t="s">
        <v>14</v>
      </c>
      <c r="K6681" t="str">
        <f>"6F6"</f>
        <v>6F6</v>
      </c>
      <c r="L6681" t="s">
        <v>15</v>
      </c>
    </row>
    <row r="6682" spans="1:12" x14ac:dyDescent="0.25">
      <c r="A6682" t="str">
        <f>"5655071059"</f>
        <v>5655071059</v>
      </c>
      <c r="B6682" t="str">
        <f t="shared" si="323"/>
        <v>89301000</v>
      </c>
      <c r="C6682" s="1">
        <v>44206</v>
      </c>
      <c r="D6682" s="1">
        <v>44217</v>
      </c>
      <c r="E6682">
        <v>1</v>
      </c>
      <c r="F6682" t="s">
        <v>1026</v>
      </c>
      <c r="G6682" t="str">
        <f>"04-K02-04"</f>
        <v>04-K02-04</v>
      </c>
      <c r="H6682">
        <v>0.82469999999999999</v>
      </c>
      <c r="I6682" t="s">
        <v>4850</v>
      </c>
      <c r="J6682" t="s">
        <v>14</v>
      </c>
      <c r="K6682" t="str">
        <f>"2F2"</f>
        <v>2F2</v>
      </c>
      <c r="L6682" t="s">
        <v>15</v>
      </c>
    </row>
    <row r="6683" spans="1:12" x14ac:dyDescent="0.25">
      <c r="A6683" t="str">
        <f>"5655071389"</f>
        <v>5655071389</v>
      </c>
      <c r="B6683" t="str">
        <f t="shared" si="323"/>
        <v>89301000</v>
      </c>
      <c r="C6683" s="1">
        <v>44547</v>
      </c>
      <c r="D6683" s="1">
        <v>44552</v>
      </c>
      <c r="E6683">
        <v>1</v>
      </c>
      <c r="F6683" t="s">
        <v>3381</v>
      </c>
      <c r="G6683" t="str">
        <f>"09-K08-01"</f>
        <v>09-K08-01</v>
      </c>
      <c r="H6683">
        <v>1.1131</v>
      </c>
      <c r="I6683" t="s">
        <v>4851</v>
      </c>
      <c r="J6683" t="s">
        <v>14</v>
      </c>
      <c r="K6683" t="str">
        <f>"4F2"</f>
        <v>4F2</v>
      </c>
      <c r="L6683" t="s">
        <v>15</v>
      </c>
    </row>
    <row r="6684" spans="1:12" x14ac:dyDescent="0.25">
      <c r="A6684" t="str">
        <f>"5655102332"</f>
        <v>5655102332</v>
      </c>
      <c r="B6684" t="str">
        <f t="shared" si="323"/>
        <v>89301000</v>
      </c>
      <c r="C6684" s="1">
        <v>44257</v>
      </c>
      <c r="D6684" s="1">
        <v>44259</v>
      </c>
      <c r="E6684">
        <v>1</v>
      </c>
      <c r="F6684" t="s">
        <v>1604</v>
      </c>
      <c r="G6684" t="str">
        <f>"05-I25-03"</f>
        <v>05-I25-03</v>
      </c>
      <c r="H6684">
        <v>1.5508</v>
      </c>
      <c r="I6684" t="s">
        <v>4852</v>
      </c>
      <c r="J6684" t="s">
        <v>17</v>
      </c>
      <c r="K6684" t="str">
        <f>"1F1"</f>
        <v>1F1</v>
      </c>
      <c r="L6684" t="s">
        <v>15</v>
      </c>
    </row>
    <row r="6685" spans="1:12" x14ac:dyDescent="0.25">
      <c r="A6685" t="str">
        <f>"5655142053"</f>
        <v>5655142053</v>
      </c>
      <c r="B6685" t="str">
        <f t="shared" si="323"/>
        <v>89301000</v>
      </c>
      <c r="C6685" s="1">
        <v>44522</v>
      </c>
      <c r="D6685" s="1">
        <v>44523</v>
      </c>
      <c r="E6685">
        <v>1</v>
      </c>
      <c r="F6685" t="s">
        <v>2734</v>
      </c>
      <c r="G6685" t="str">
        <f>"06-M01-02"</f>
        <v>06-M01-02</v>
      </c>
      <c r="H6685">
        <v>1.2191000000000001</v>
      </c>
      <c r="I6685" t="s">
        <v>4853</v>
      </c>
      <c r="J6685" t="s">
        <v>14</v>
      </c>
      <c r="K6685" t="str">
        <f>"1F6"</f>
        <v>1F6</v>
      </c>
      <c r="L6685" t="s">
        <v>15</v>
      </c>
    </row>
    <row r="6686" spans="1:12" x14ac:dyDescent="0.25">
      <c r="A6686" t="str">
        <f>"5655190959"</f>
        <v>5655190959</v>
      </c>
      <c r="B6686" t="str">
        <f t="shared" si="323"/>
        <v>89301000</v>
      </c>
      <c r="C6686" s="1">
        <v>44451</v>
      </c>
      <c r="D6686" s="1">
        <v>44454</v>
      </c>
      <c r="E6686">
        <v>1</v>
      </c>
      <c r="F6686" t="s">
        <v>39</v>
      </c>
      <c r="G6686" t="str">
        <f>"03-I19-03"</f>
        <v>03-I19-03</v>
      </c>
      <c r="H6686">
        <v>0.60699999999999998</v>
      </c>
      <c r="I6686" t="s">
        <v>4854</v>
      </c>
      <c r="J6686" t="s">
        <v>14</v>
      </c>
      <c r="K6686" t="str">
        <f>"6F5"</f>
        <v>6F5</v>
      </c>
      <c r="L6686" t="s">
        <v>15</v>
      </c>
    </row>
    <row r="6687" spans="1:12" x14ac:dyDescent="0.25">
      <c r="A6687" t="str">
        <f>"5656091837"</f>
        <v>5656091837</v>
      </c>
      <c r="B6687" t="str">
        <f t="shared" si="323"/>
        <v>89301000</v>
      </c>
      <c r="C6687" s="1">
        <v>44256</v>
      </c>
      <c r="D6687" s="1">
        <v>44274</v>
      </c>
      <c r="E6687">
        <v>1</v>
      </c>
      <c r="F6687" t="s">
        <v>962</v>
      </c>
      <c r="G6687" t="str">
        <f>"04-M01-05"</f>
        <v>04-M01-05</v>
      </c>
      <c r="H6687">
        <v>6.2100999999999997</v>
      </c>
      <c r="I6687" t="s">
        <v>4855</v>
      </c>
      <c r="J6687" t="s">
        <v>14</v>
      </c>
      <c r="K6687" t="str">
        <f>"1F1"</f>
        <v>1F1</v>
      </c>
      <c r="L6687" t="s">
        <v>15</v>
      </c>
    </row>
    <row r="6688" spans="1:12" x14ac:dyDescent="0.25">
      <c r="A6688" t="str">
        <f>"5656101902"</f>
        <v>5656101902</v>
      </c>
      <c r="B6688" t="str">
        <f t="shared" si="323"/>
        <v>89301000</v>
      </c>
      <c r="C6688" s="1">
        <v>44466</v>
      </c>
      <c r="D6688" s="1">
        <v>44470</v>
      </c>
      <c r="E6688">
        <v>1</v>
      </c>
      <c r="F6688" t="s">
        <v>1904</v>
      </c>
      <c r="G6688" t="str">
        <f>"08-K08-00"</f>
        <v>08-K08-00</v>
      </c>
      <c r="H6688">
        <v>0.51670000000000005</v>
      </c>
      <c r="I6688" t="s">
        <v>4856</v>
      </c>
      <c r="J6688" t="s">
        <v>14</v>
      </c>
      <c r="K6688" t="str">
        <f>"1F5"</f>
        <v>1F5</v>
      </c>
      <c r="L6688" t="s">
        <v>15</v>
      </c>
    </row>
    <row r="6689" spans="1:12" x14ac:dyDescent="0.25">
      <c r="A6689" t="str">
        <f>"5656141139"</f>
        <v>5656141139</v>
      </c>
      <c r="B6689" t="str">
        <f t="shared" si="323"/>
        <v>89301000</v>
      </c>
      <c r="C6689" s="1">
        <v>44344</v>
      </c>
      <c r="D6689" s="1">
        <v>44350</v>
      </c>
      <c r="E6689">
        <v>4</v>
      </c>
      <c r="F6689" t="s">
        <v>31</v>
      </c>
      <c r="G6689" t="str">
        <f>"08-I03-06"</f>
        <v>08-I03-06</v>
      </c>
      <c r="H6689">
        <v>3.3603000000000001</v>
      </c>
      <c r="I6689" t="s">
        <v>2216</v>
      </c>
      <c r="J6689" t="s">
        <v>17</v>
      </c>
      <c r="K6689" t="str">
        <f>"5F6"</f>
        <v>5F6</v>
      </c>
      <c r="L6689" t="s">
        <v>15</v>
      </c>
    </row>
    <row r="6690" spans="1:12" x14ac:dyDescent="0.25">
      <c r="A6690" t="str">
        <f>"5656152337"</f>
        <v>5656152337</v>
      </c>
      <c r="B6690" t="str">
        <f t="shared" si="323"/>
        <v>89301000</v>
      </c>
      <c r="C6690" s="1">
        <v>44515</v>
      </c>
      <c r="D6690" s="1">
        <v>44517</v>
      </c>
      <c r="E6690">
        <v>1</v>
      </c>
      <c r="F6690" t="s">
        <v>3236</v>
      </c>
      <c r="G6690" t="str">
        <f>"13-I19-00"</f>
        <v>13-I19-00</v>
      </c>
      <c r="H6690">
        <v>0.24679999999999999</v>
      </c>
      <c r="J6690" t="s">
        <v>14</v>
      </c>
      <c r="K6690" t="str">
        <f>"6F3"</f>
        <v>6F3</v>
      </c>
      <c r="L6690" t="s">
        <v>15</v>
      </c>
    </row>
    <row r="6691" spans="1:12" x14ac:dyDescent="0.25">
      <c r="A6691" t="str">
        <f>"5657031765"</f>
        <v>5657031765</v>
      </c>
      <c r="B6691" t="str">
        <f t="shared" si="323"/>
        <v>89301000</v>
      </c>
      <c r="C6691" s="1">
        <v>44229</v>
      </c>
      <c r="D6691" s="1">
        <v>44233</v>
      </c>
      <c r="E6691">
        <v>1</v>
      </c>
      <c r="F6691" t="s">
        <v>2374</v>
      </c>
      <c r="G6691" t="str">
        <f>"06-I21-03"</f>
        <v>06-I21-03</v>
      </c>
      <c r="H6691">
        <v>0.47820000000000001</v>
      </c>
      <c r="J6691" t="s">
        <v>17</v>
      </c>
      <c r="K6691" t="str">
        <f>"5F1"</f>
        <v>5F1</v>
      </c>
      <c r="L6691" t="s">
        <v>15</v>
      </c>
    </row>
    <row r="6692" spans="1:12" x14ac:dyDescent="0.25">
      <c r="A6692" t="str">
        <f>"5657062301"</f>
        <v>5657062301</v>
      </c>
      <c r="B6692" t="str">
        <f t="shared" si="323"/>
        <v>89301000</v>
      </c>
      <c r="C6692" s="1">
        <v>44392</v>
      </c>
      <c r="D6692" s="1">
        <v>44394</v>
      </c>
      <c r="E6692">
        <v>1</v>
      </c>
      <c r="F6692" t="s">
        <v>1842</v>
      </c>
      <c r="G6692" t="str">
        <f>"05-I14-04"</f>
        <v>05-I14-04</v>
      </c>
      <c r="H6692">
        <v>5.4002999999999997</v>
      </c>
      <c r="I6692" t="s">
        <v>4857</v>
      </c>
      <c r="J6692" t="s">
        <v>14</v>
      </c>
      <c r="K6692" t="str">
        <f>"1F1"</f>
        <v>1F1</v>
      </c>
      <c r="L6692" t="s">
        <v>15</v>
      </c>
    </row>
    <row r="6693" spans="1:12" x14ac:dyDescent="0.25">
      <c r="A6693" t="str">
        <f>"5657062301"</f>
        <v>5657062301</v>
      </c>
      <c r="B6693" t="str">
        <f t="shared" si="323"/>
        <v>89301000</v>
      </c>
      <c r="C6693" s="1">
        <v>44216</v>
      </c>
      <c r="D6693" s="1">
        <v>44217</v>
      </c>
      <c r="E6693">
        <v>5</v>
      </c>
      <c r="F6693" t="s">
        <v>38</v>
      </c>
      <c r="G6693" t="str">
        <f>"05-M06-06"</f>
        <v>05-M06-06</v>
      </c>
      <c r="H6693">
        <v>1.7652000000000001</v>
      </c>
      <c r="J6693" t="s">
        <v>17</v>
      </c>
      <c r="K6693" t="str">
        <f>"1T1"</f>
        <v>1T1</v>
      </c>
      <c r="L6693" t="s">
        <v>15</v>
      </c>
    </row>
    <row r="6694" spans="1:12" x14ac:dyDescent="0.25">
      <c r="A6694" t="str">
        <f>"5657120447"</f>
        <v>5657120447</v>
      </c>
      <c r="B6694" t="str">
        <f t="shared" si="323"/>
        <v>89301000</v>
      </c>
      <c r="C6694" s="1">
        <v>44307</v>
      </c>
      <c r="D6694" s="1">
        <v>44314</v>
      </c>
      <c r="E6694">
        <v>1</v>
      </c>
      <c r="F6694" t="s">
        <v>2165</v>
      </c>
      <c r="G6694" t="str">
        <f>"08-I15-03"</f>
        <v>08-I15-03</v>
      </c>
      <c r="H6694">
        <v>1.1838</v>
      </c>
      <c r="I6694" t="s">
        <v>4858</v>
      </c>
      <c r="J6694" t="s">
        <v>17</v>
      </c>
      <c r="K6694" t="str">
        <f>"5F3"</f>
        <v>5F3</v>
      </c>
      <c r="L6694" t="s">
        <v>15</v>
      </c>
    </row>
    <row r="6695" spans="1:12" x14ac:dyDescent="0.25">
      <c r="A6695" t="str">
        <f>"5657201913"</f>
        <v>5657201913</v>
      </c>
      <c r="B6695" t="str">
        <f t="shared" si="323"/>
        <v>89301000</v>
      </c>
      <c r="C6695" s="1">
        <v>44394</v>
      </c>
      <c r="D6695" s="1">
        <v>44397</v>
      </c>
      <c r="E6695">
        <v>1</v>
      </c>
      <c r="F6695" t="s">
        <v>424</v>
      </c>
      <c r="G6695" t="str">
        <f>"07-M02-04"</f>
        <v>07-M02-04</v>
      </c>
      <c r="H6695">
        <v>0.73929999999999996</v>
      </c>
      <c r="I6695" t="s">
        <v>4859</v>
      </c>
      <c r="J6695" t="s">
        <v>17</v>
      </c>
      <c r="K6695" t="str">
        <f>"1F5"</f>
        <v>1F5</v>
      </c>
      <c r="L6695" t="s">
        <v>15</v>
      </c>
    </row>
    <row r="6696" spans="1:12" x14ac:dyDescent="0.25">
      <c r="A6696" t="str">
        <f>"5657202397"</f>
        <v>5657202397</v>
      </c>
      <c r="B6696" t="str">
        <f t="shared" si="323"/>
        <v>89301000</v>
      </c>
      <c r="C6696" s="1">
        <v>44350</v>
      </c>
      <c r="D6696" s="1">
        <v>44351</v>
      </c>
      <c r="E6696">
        <v>1</v>
      </c>
      <c r="F6696" t="s">
        <v>2576</v>
      </c>
      <c r="G6696" t="str">
        <f>"11-I14-02"</f>
        <v>11-I14-02</v>
      </c>
      <c r="H6696">
        <v>0.63060000000000005</v>
      </c>
      <c r="J6696" t="s">
        <v>24</v>
      </c>
      <c r="K6696" t="str">
        <f>"6F3"</f>
        <v>6F3</v>
      </c>
      <c r="L6696" t="s">
        <v>15</v>
      </c>
    </row>
    <row r="6697" spans="1:12" x14ac:dyDescent="0.25">
      <c r="A6697" t="str">
        <f>"5657210262"</f>
        <v>5657210262</v>
      </c>
      <c r="B6697" t="str">
        <f t="shared" si="323"/>
        <v>89301000</v>
      </c>
      <c r="C6697" s="1">
        <v>44353</v>
      </c>
      <c r="D6697" s="1">
        <v>44355</v>
      </c>
      <c r="E6697">
        <v>1</v>
      </c>
      <c r="F6697" t="s">
        <v>2264</v>
      </c>
      <c r="G6697" t="str">
        <f>"11-M06-03"</f>
        <v>11-M06-03</v>
      </c>
      <c r="H6697">
        <v>0.61519999999999997</v>
      </c>
      <c r="I6697" t="s">
        <v>2690</v>
      </c>
      <c r="J6697" t="s">
        <v>17</v>
      </c>
      <c r="K6697" t="str">
        <f>"7F6"</f>
        <v>7F6</v>
      </c>
      <c r="L6697" t="s">
        <v>15</v>
      </c>
    </row>
    <row r="6698" spans="1:12" x14ac:dyDescent="0.25">
      <c r="A6698" t="str">
        <f>"5658071408"</f>
        <v>5658071408</v>
      </c>
      <c r="B6698" t="str">
        <f t="shared" si="323"/>
        <v>89301000</v>
      </c>
      <c r="C6698" s="1">
        <v>44432</v>
      </c>
      <c r="D6698" s="1">
        <v>44438</v>
      </c>
      <c r="E6698">
        <v>1</v>
      </c>
      <c r="F6698" t="s">
        <v>144</v>
      </c>
      <c r="G6698" t="str">
        <f>"04-I03-04"</f>
        <v>04-I03-04</v>
      </c>
      <c r="H6698">
        <v>2.0316000000000001</v>
      </c>
      <c r="I6698" t="s">
        <v>4860</v>
      </c>
      <c r="J6698" t="s">
        <v>106</v>
      </c>
      <c r="K6698" t="str">
        <f>"5F1"</f>
        <v>5F1</v>
      </c>
      <c r="L6698" t="s">
        <v>15</v>
      </c>
    </row>
    <row r="6699" spans="1:12" x14ac:dyDescent="0.25">
      <c r="A6699" t="str">
        <f>"5658150883"</f>
        <v>5658150883</v>
      </c>
      <c r="B6699" t="str">
        <f t="shared" si="323"/>
        <v>89301000</v>
      </c>
      <c r="C6699" s="1">
        <v>44230</v>
      </c>
      <c r="D6699" s="1">
        <v>44238</v>
      </c>
      <c r="E6699">
        <v>1</v>
      </c>
      <c r="F6699" t="s">
        <v>2807</v>
      </c>
      <c r="G6699" t="str">
        <f>"13-I08-01"</f>
        <v>13-I08-01</v>
      </c>
      <c r="H6699">
        <v>1.6611</v>
      </c>
      <c r="I6699" t="s">
        <v>4614</v>
      </c>
      <c r="J6699" t="s">
        <v>106</v>
      </c>
      <c r="K6699" t="str">
        <f>"6F3"</f>
        <v>6F3</v>
      </c>
      <c r="L6699" t="s">
        <v>15</v>
      </c>
    </row>
    <row r="6700" spans="1:12" x14ac:dyDescent="0.25">
      <c r="A6700" t="str">
        <f>"5658181034"</f>
        <v>5658181034</v>
      </c>
      <c r="B6700" t="str">
        <f t="shared" si="323"/>
        <v>89301000</v>
      </c>
      <c r="C6700" s="1">
        <v>44255</v>
      </c>
      <c r="D6700" s="1">
        <v>44258</v>
      </c>
      <c r="E6700">
        <v>1</v>
      </c>
      <c r="F6700" t="s">
        <v>3517</v>
      </c>
      <c r="G6700" t="str">
        <f>"08-M03-05"</f>
        <v>08-M03-05</v>
      </c>
      <c r="H6700">
        <v>0.51759999999999995</v>
      </c>
      <c r="I6700" t="s">
        <v>4861</v>
      </c>
      <c r="J6700" t="s">
        <v>14</v>
      </c>
      <c r="K6700" t="str">
        <f>"6F6"</f>
        <v>6F6</v>
      </c>
      <c r="L6700" t="s">
        <v>15</v>
      </c>
    </row>
    <row r="6701" spans="1:12" x14ac:dyDescent="0.25">
      <c r="A6701" t="str">
        <f>"5658211229"</f>
        <v>5658211229</v>
      </c>
      <c r="B6701" t="str">
        <f t="shared" si="323"/>
        <v>89301000</v>
      </c>
      <c r="C6701" s="1">
        <v>44232</v>
      </c>
      <c r="D6701" s="1">
        <v>44244</v>
      </c>
      <c r="E6701">
        <v>1</v>
      </c>
      <c r="F6701" t="s">
        <v>2935</v>
      </c>
      <c r="G6701" t="str">
        <f>"05-K13-01"</f>
        <v>05-K13-01</v>
      </c>
      <c r="H6701">
        <v>1.2979000000000001</v>
      </c>
      <c r="I6701" t="s">
        <v>4862</v>
      </c>
      <c r="J6701" t="s">
        <v>14</v>
      </c>
      <c r="K6701" t="str">
        <f>"5F1"</f>
        <v>5F1</v>
      </c>
      <c r="L6701" t="s">
        <v>15</v>
      </c>
    </row>
    <row r="6702" spans="1:12" x14ac:dyDescent="0.25">
      <c r="A6702" t="str">
        <f>"5658232349"</f>
        <v>5658232349</v>
      </c>
      <c r="B6702" t="str">
        <f t="shared" si="323"/>
        <v>89301000</v>
      </c>
      <c r="C6702" s="1">
        <v>44242</v>
      </c>
      <c r="D6702" s="1">
        <v>44251</v>
      </c>
      <c r="E6702">
        <v>1</v>
      </c>
      <c r="F6702" t="s">
        <v>2434</v>
      </c>
      <c r="G6702" t="str">
        <f>"04-I02-03"</f>
        <v>04-I02-03</v>
      </c>
      <c r="H6702">
        <v>3.5295999999999998</v>
      </c>
      <c r="I6702" t="s">
        <v>4863</v>
      </c>
      <c r="J6702" t="s">
        <v>106</v>
      </c>
      <c r="K6702" t="str">
        <f>"5F1"</f>
        <v>5F1</v>
      </c>
      <c r="L6702" t="s">
        <v>15</v>
      </c>
    </row>
    <row r="6703" spans="1:12" x14ac:dyDescent="0.25">
      <c r="A6703" t="str">
        <f>"5658281167"</f>
        <v>5658281167</v>
      </c>
      <c r="B6703" t="str">
        <f t="shared" si="323"/>
        <v>89301000</v>
      </c>
      <c r="C6703" s="1">
        <v>44437</v>
      </c>
      <c r="D6703" s="1">
        <v>44438</v>
      </c>
      <c r="E6703">
        <v>1</v>
      </c>
      <c r="F6703" t="s">
        <v>1557</v>
      </c>
      <c r="G6703" t="str">
        <f>"05-M06-08"</f>
        <v>05-M06-08</v>
      </c>
      <c r="H6703">
        <v>1.4719</v>
      </c>
      <c r="I6703" t="s">
        <v>3692</v>
      </c>
      <c r="J6703" t="s">
        <v>17</v>
      </c>
      <c r="K6703" t="str">
        <f>"1F7"</f>
        <v>1F7</v>
      </c>
      <c r="L6703" t="s">
        <v>15</v>
      </c>
    </row>
    <row r="6704" spans="1:12" x14ac:dyDescent="0.25">
      <c r="A6704" t="str">
        <f>"5658281167"</f>
        <v>5658281167</v>
      </c>
      <c r="B6704" t="str">
        <f t="shared" si="323"/>
        <v>89301000</v>
      </c>
      <c r="C6704" s="1">
        <v>44448</v>
      </c>
      <c r="D6704" s="1">
        <v>44463</v>
      </c>
      <c r="E6704">
        <v>5</v>
      </c>
      <c r="F6704" t="s">
        <v>1581</v>
      </c>
      <c r="G6704" t="str">
        <f>"05-I20-01"</f>
        <v>05-I20-01</v>
      </c>
      <c r="H6704">
        <v>5.8971</v>
      </c>
      <c r="I6704" t="s">
        <v>4864</v>
      </c>
      <c r="J6704" t="s">
        <v>14</v>
      </c>
      <c r="K6704" t="str">
        <f>"5T1"</f>
        <v>5T1</v>
      </c>
      <c r="L6704" t="s">
        <v>15</v>
      </c>
    </row>
    <row r="6705" spans="1:12" x14ac:dyDescent="0.25">
      <c r="A6705" t="str">
        <f>"5658282223"</f>
        <v>5658282223</v>
      </c>
      <c r="B6705" t="str">
        <f t="shared" si="323"/>
        <v>89301000</v>
      </c>
      <c r="C6705" s="1">
        <v>44321</v>
      </c>
      <c r="D6705" s="1">
        <v>44325</v>
      </c>
      <c r="E6705">
        <v>1</v>
      </c>
      <c r="F6705" t="s">
        <v>217</v>
      </c>
      <c r="G6705" t="str">
        <f>"04-K02-04"</f>
        <v>04-K02-04</v>
      </c>
      <c r="H6705">
        <v>0.82469999999999999</v>
      </c>
      <c r="I6705" t="s">
        <v>4865</v>
      </c>
      <c r="J6705" t="s">
        <v>14</v>
      </c>
      <c r="K6705" t="str">
        <f>"1F1"</f>
        <v>1F1</v>
      </c>
      <c r="L6705" t="s">
        <v>15</v>
      </c>
    </row>
    <row r="6706" spans="1:12" x14ac:dyDescent="0.25">
      <c r="A6706" t="str">
        <f>"5659050419"</f>
        <v>5659050419</v>
      </c>
      <c r="B6706" t="str">
        <f t="shared" si="323"/>
        <v>89301000</v>
      </c>
      <c r="C6706" s="1">
        <v>44543</v>
      </c>
      <c r="D6706" s="1">
        <v>44552</v>
      </c>
      <c r="E6706">
        <v>1</v>
      </c>
      <c r="F6706" t="s">
        <v>998</v>
      </c>
      <c r="G6706" t="str">
        <f>"18-I01-02"</f>
        <v>18-I01-02</v>
      </c>
      <c r="H6706">
        <v>3.4746999999999999</v>
      </c>
      <c r="I6706" t="s">
        <v>4866</v>
      </c>
      <c r="J6706" t="s">
        <v>14</v>
      </c>
      <c r="K6706" t="str">
        <f>"1F1"</f>
        <v>1F1</v>
      </c>
      <c r="L6706" t="s">
        <v>15</v>
      </c>
    </row>
    <row r="6707" spans="1:12" x14ac:dyDescent="0.25">
      <c r="A6707" t="str">
        <f>"5659050419"</f>
        <v>5659050419</v>
      </c>
      <c r="B6707" t="str">
        <f t="shared" si="323"/>
        <v>89301000</v>
      </c>
      <c r="C6707" s="1">
        <v>44512</v>
      </c>
      <c r="D6707" s="1">
        <v>44526</v>
      </c>
      <c r="E6707">
        <v>1</v>
      </c>
      <c r="F6707" t="s">
        <v>888</v>
      </c>
      <c r="G6707" t="str">
        <f>"07-M02-04"</f>
        <v>07-M02-04</v>
      </c>
      <c r="H6707">
        <v>1.2828999999999999</v>
      </c>
      <c r="I6707" t="s">
        <v>4867</v>
      </c>
      <c r="J6707" t="s">
        <v>17</v>
      </c>
      <c r="K6707" t="str">
        <f>"1F5"</f>
        <v>1F5</v>
      </c>
      <c r="L6707" t="s">
        <v>15</v>
      </c>
    </row>
    <row r="6708" spans="1:12" x14ac:dyDescent="0.25">
      <c r="A6708" t="str">
        <f>"5659061254"</f>
        <v>5659061254</v>
      </c>
      <c r="B6708" t="str">
        <f t="shared" si="323"/>
        <v>89301000</v>
      </c>
      <c r="C6708" s="1">
        <v>44251</v>
      </c>
      <c r="D6708" s="1">
        <v>44260</v>
      </c>
      <c r="E6708">
        <v>1</v>
      </c>
      <c r="F6708" t="s">
        <v>2752</v>
      </c>
      <c r="G6708" t="str">
        <f>"06-K14-01"</f>
        <v>06-K14-01</v>
      </c>
      <c r="H6708">
        <v>1.17</v>
      </c>
      <c r="I6708" t="s">
        <v>4868</v>
      </c>
      <c r="J6708" t="s">
        <v>14</v>
      </c>
      <c r="K6708" t="str">
        <f>"4F2"</f>
        <v>4F2</v>
      </c>
      <c r="L6708" t="s">
        <v>15</v>
      </c>
    </row>
    <row r="6709" spans="1:12" x14ac:dyDescent="0.25">
      <c r="A6709" t="str">
        <f>"5659140773"</f>
        <v>5659140773</v>
      </c>
      <c r="B6709" t="str">
        <f t="shared" si="323"/>
        <v>89301000</v>
      </c>
      <c r="C6709" s="1">
        <v>44269</v>
      </c>
      <c r="D6709" s="1">
        <v>44273</v>
      </c>
      <c r="E6709">
        <v>1</v>
      </c>
      <c r="F6709" t="s">
        <v>699</v>
      </c>
      <c r="G6709" t="str">
        <f>"16-K02-01"</f>
        <v>16-K02-01</v>
      </c>
      <c r="H6709">
        <v>1.2647999999999999</v>
      </c>
      <c r="I6709" t="s">
        <v>4869</v>
      </c>
      <c r="J6709" t="s">
        <v>14</v>
      </c>
      <c r="K6709" t="str">
        <f>"1F1"</f>
        <v>1F1</v>
      </c>
      <c r="L6709" t="s">
        <v>15</v>
      </c>
    </row>
    <row r="6710" spans="1:12" x14ac:dyDescent="0.25">
      <c r="A6710" t="str">
        <f>"5659152004"</f>
        <v>5659152004</v>
      </c>
      <c r="B6710" t="str">
        <f t="shared" si="323"/>
        <v>89301000</v>
      </c>
      <c r="C6710" s="1">
        <v>44228</v>
      </c>
      <c r="D6710" s="1">
        <v>44229</v>
      </c>
      <c r="E6710">
        <v>1</v>
      </c>
      <c r="F6710" t="s">
        <v>380</v>
      </c>
      <c r="G6710" t="str">
        <f>"08-I17-02"</f>
        <v>08-I17-02</v>
      </c>
      <c r="H6710">
        <v>0.98309999999999997</v>
      </c>
      <c r="I6710" t="s">
        <v>4870</v>
      </c>
      <c r="J6710" t="s">
        <v>14</v>
      </c>
      <c r="K6710" t="str">
        <f>"5F3"</f>
        <v>5F3</v>
      </c>
      <c r="L6710" t="s">
        <v>15</v>
      </c>
    </row>
    <row r="6711" spans="1:12" x14ac:dyDescent="0.25">
      <c r="A6711" t="str">
        <f>"5659171023"</f>
        <v>5659171023</v>
      </c>
      <c r="B6711" t="str">
        <f t="shared" si="323"/>
        <v>89301000</v>
      </c>
      <c r="C6711" s="1">
        <v>44388</v>
      </c>
      <c r="D6711" s="1">
        <v>44400</v>
      </c>
      <c r="E6711">
        <v>1</v>
      </c>
      <c r="F6711" t="s">
        <v>4871</v>
      </c>
      <c r="G6711" t="str">
        <f>"01-M01-02"</f>
        <v>01-M01-02</v>
      </c>
      <c r="H6711">
        <v>7.7656999999999998</v>
      </c>
      <c r="I6711" t="s">
        <v>4872</v>
      </c>
      <c r="J6711" t="s">
        <v>17</v>
      </c>
      <c r="K6711" t="str">
        <f>"5F6"</f>
        <v>5F6</v>
      </c>
      <c r="L6711" t="s">
        <v>15</v>
      </c>
    </row>
    <row r="6712" spans="1:12" x14ac:dyDescent="0.25">
      <c r="A6712" t="str">
        <f>"5659180329"</f>
        <v>5659180329</v>
      </c>
      <c r="B6712" t="str">
        <f t="shared" si="323"/>
        <v>89301000</v>
      </c>
      <c r="C6712" s="1">
        <v>44314</v>
      </c>
      <c r="D6712" s="1">
        <v>44329</v>
      </c>
      <c r="E6712">
        <v>1</v>
      </c>
      <c r="F6712" t="s">
        <v>2049</v>
      </c>
      <c r="G6712" t="str">
        <f>"06-I12-03"</f>
        <v>06-I12-03</v>
      </c>
      <c r="H6712">
        <v>2.0272000000000001</v>
      </c>
      <c r="I6712" t="s">
        <v>43</v>
      </c>
      <c r="J6712" t="s">
        <v>14</v>
      </c>
      <c r="K6712" t="str">
        <f>"5F1"</f>
        <v>5F1</v>
      </c>
      <c r="L6712" t="s">
        <v>15</v>
      </c>
    </row>
    <row r="6713" spans="1:12" x14ac:dyDescent="0.25">
      <c r="A6713" t="str">
        <f>"5659211646"</f>
        <v>5659211646</v>
      </c>
      <c r="B6713" t="str">
        <f t="shared" si="323"/>
        <v>89301000</v>
      </c>
      <c r="C6713" s="1">
        <v>44508</v>
      </c>
      <c r="D6713" s="1">
        <v>44512</v>
      </c>
      <c r="E6713">
        <v>5</v>
      </c>
      <c r="F6713" t="s">
        <v>2914</v>
      </c>
      <c r="G6713" t="str">
        <f>"08-I14-02"</f>
        <v>08-I14-02</v>
      </c>
      <c r="H6713">
        <v>1.7324999999999999</v>
      </c>
      <c r="I6713" t="s">
        <v>244</v>
      </c>
      <c r="J6713" t="s">
        <v>17</v>
      </c>
      <c r="K6713" t="str">
        <f>"5F3"</f>
        <v>5F3</v>
      </c>
      <c r="L6713" t="s">
        <v>15</v>
      </c>
    </row>
    <row r="6714" spans="1:12" x14ac:dyDescent="0.25">
      <c r="A6714" t="str">
        <f>"5659271024"</f>
        <v>5659271024</v>
      </c>
      <c r="B6714" t="str">
        <f t="shared" si="323"/>
        <v>89301000</v>
      </c>
      <c r="C6714" s="1">
        <v>44209</v>
      </c>
      <c r="D6714" s="1">
        <v>44215</v>
      </c>
      <c r="E6714">
        <v>5</v>
      </c>
      <c r="F6714" t="s">
        <v>31</v>
      </c>
      <c r="G6714" t="str">
        <f>"08-I03-04"</f>
        <v>08-I03-04</v>
      </c>
      <c r="H6714">
        <v>3.8262</v>
      </c>
      <c r="I6714" t="s">
        <v>475</v>
      </c>
      <c r="J6714" t="s">
        <v>17</v>
      </c>
      <c r="K6714" t="str">
        <f>"5F6"</f>
        <v>5F6</v>
      </c>
      <c r="L6714" t="s">
        <v>15</v>
      </c>
    </row>
    <row r="6715" spans="1:12" x14ac:dyDescent="0.25">
      <c r="A6715" t="str">
        <f>"5659272212"</f>
        <v>5659272212</v>
      </c>
      <c r="B6715" t="str">
        <f t="shared" si="323"/>
        <v>89301000</v>
      </c>
      <c r="C6715" s="1">
        <v>44455</v>
      </c>
      <c r="D6715" s="1">
        <v>44459</v>
      </c>
      <c r="E6715">
        <v>1</v>
      </c>
      <c r="F6715" t="s">
        <v>1704</v>
      </c>
      <c r="G6715" t="str">
        <f>"23-I10-00"</f>
        <v>23-I10-00</v>
      </c>
      <c r="H6715">
        <v>0.59630000000000005</v>
      </c>
      <c r="I6715" t="s">
        <v>4873</v>
      </c>
      <c r="J6715" t="s">
        <v>14</v>
      </c>
      <c r="K6715" t="str">
        <f>"7F5"</f>
        <v>7F5</v>
      </c>
      <c r="L6715" t="s">
        <v>15</v>
      </c>
    </row>
    <row r="6716" spans="1:12" x14ac:dyDescent="0.25">
      <c r="A6716" t="str">
        <f>"5659272212"</f>
        <v>5659272212</v>
      </c>
      <c r="B6716" t="str">
        <f t="shared" si="323"/>
        <v>89301000</v>
      </c>
      <c r="C6716" s="1">
        <v>44362</v>
      </c>
      <c r="D6716" s="1">
        <v>44364</v>
      </c>
      <c r="E6716">
        <v>1</v>
      </c>
      <c r="F6716" t="s">
        <v>2068</v>
      </c>
      <c r="G6716" t="str">
        <f>"02-I06-02"</f>
        <v>02-I06-02</v>
      </c>
      <c r="H6716">
        <v>0.90300000000000002</v>
      </c>
      <c r="I6716" t="s">
        <v>4873</v>
      </c>
      <c r="J6716" t="s">
        <v>17</v>
      </c>
      <c r="K6716" t="str">
        <f>"7F5"</f>
        <v>7F5</v>
      </c>
      <c r="L6716" t="s">
        <v>15</v>
      </c>
    </row>
    <row r="6717" spans="1:12" x14ac:dyDescent="0.25">
      <c r="A6717" t="str">
        <f>"5659272212"</f>
        <v>5659272212</v>
      </c>
      <c r="B6717" t="str">
        <f t="shared" si="323"/>
        <v>89301000</v>
      </c>
      <c r="C6717" s="1">
        <v>44356</v>
      </c>
      <c r="D6717" s="1">
        <v>44358</v>
      </c>
      <c r="E6717">
        <v>1</v>
      </c>
      <c r="F6717" t="s">
        <v>2068</v>
      </c>
      <c r="G6717" t="str">
        <f>"02-I06-02"</f>
        <v>02-I06-02</v>
      </c>
      <c r="H6717">
        <v>0.90300000000000002</v>
      </c>
      <c r="I6717" t="s">
        <v>4874</v>
      </c>
      <c r="J6717" t="s">
        <v>17</v>
      </c>
      <c r="K6717" t="str">
        <f>"7F5"</f>
        <v>7F5</v>
      </c>
      <c r="L6717" t="s">
        <v>15</v>
      </c>
    </row>
    <row r="6718" spans="1:12" x14ac:dyDescent="0.25">
      <c r="A6718" t="str">
        <f>"5660041618"</f>
        <v>5660041618</v>
      </c>
      <c r="B6718" t="str">
        <f t="shared" ref="B6718:B6781" si="324">"89301000"</f>
        <v>89301000</v>
      </c>
      <c r="C6718" s="1">
        <v>44396</v>
      </c>
      <c r="D6718" s="1">
        <v>44399</v>
      </c>
      <c r="E6718">
        <v>1</v>
      </c>
      <c r="F6718" t="s">
        <v>3143</v>
      </c>
      <c r="G6718" t="str">
        <f>"01-M01-03"</f>
        <v>01-M01-03</v>
      </c>
      <c r="H6718">
        <v>3.9502000000000002</v>
      </c>
      <c r="I6718" t="s">
        <v>2119</v>
      </c>
      <c r="J6718" t="s">
        <v>17</v>
      </c>
      <c r="K6718" t="str">
        <f>"5F6"</f>
        <v>5F6</v>
      </c>
      <c r="L6718" t="s">
        <v>15</v>
      </c>
    </row>
    <row r="6719" spans="1:12" x14ac:dyDescent="0.25">
      <c r="A6719" t="str">
        <f>"5660131664"</f>
        <v>5660131664</v>
      </c>
      <c r="B6719" t="str">
        <f t="shared" si="324"/>
        <v>89301000</v>
      </c>
      <c r="C6719" s="1">
        <v>44267</v>
      </c>
      <c r="D6719" s="1">
        <v>44278</v>
      </c>
      <c r="E6719">
        <v>1</v>
      </c>
      <c r="F6719" t="s">
        <v>1794</v>
      </c>
      <c r="G6719" t="str">
        <f>"04-M01-06"</f>
        <v>04-M01-06</v>
      </c>
      <c r="H6719">
        <v>3.5308999999999999</v>
      </c>
      <c r="I6719" t="s">
        <v>4875</v>
      </c>
      <c r="J6719" t="s">
        <v>14</v>
      </c>
      <c r="K6719" t="str">
        <f>"1F6"</f>
        <v>1F6</v>
      </c>
      <c r="L6719" t="s">
        <v>15</v>
      </c>
    </row>
    <row r="6720" spans="1:12" x14ac:dyDescent="0.25">
      <c r="A6720" t="str">
        <f>"5660241037"</f>
        <v>5660241037</v>
      </c>
      <c r="B6720" t="str">
        <f t="shared" si="324"/>
        <v>89301000</v>
      </c>
      <c r="C6720" s="1">
        <v>44532</v>
      </c>
      <c r="D6720" s="1">
        <v>44545</v>
      </c>
      <c r="E6720">
        <v>1</v>
      </c>
      <c r="F6720" t="s">
        <v>51</v>
      </c>
      <c r="G6720" t="str">
        <f>"13-I17-00"</f>
        <v>13-I17-00</v>
      </c>
      <c r="H6720">
        <v>1.2845</v>
      </c>
      <c r="I6720" t="s">
        <v>4876</v>
      </c>
      <c r="J6720" t="s">
        <v>24</v>
      </c>
      <c r="K6720" t="str">
        <f>"6F3"</f>
        <v>6F3</v>
      </c>
      <c r="L6720" t="s">
        <v>15</v>
      </c>
    </row>
    <row r="6721" spans="1:12" x14ac:dyDescent="0.25">
      <c r="A6721" t="str">
        <f>"5660280538"</f>
        <v>5660280538</v>
      </c>
      <c r="B6721" t="str">
        <f t="shared" si="324"/>
        <v>89301000</v>
      </c>
      <c r="C6721" s="1">
        <v>44522</v>
      </c>
      <c r="D6721" s="1">
        <v>44532</v>
      </c>
      <c r="E6721">
        <v>1</v>
      </c>
      <c r="F6721" t="s">
        <v>217</v>
      </c>
      <c r="G6721" t="str">
        <f>"04-K02-03"</f>
        <v>04-K02-03</v>
      </c>
      <c r="H6721">
        <v>1.2859</v>
      </c>
      <c r="I6721" t="s">
        <v>4877</v>
      </c>
      <c r="J6721" t="s">
        <v>14</v>
      </c>
      <c r="K6721" t="str">
        <f>"1F6"</f>
        <v>1F6</v>
      </c>
      <c r="L6721" t="s">
        <v>15</v>
      </c>
    </row>
    <row r="6722" spans="1:12" x14ac:dyDescent="0.25">
      <c r="A6722" t="str">
        <f>"5661060834"</f>
        <v>5661060834</v>
      </c>
      <c r="B6722" t="str">
        <f t="shared" si="324"/>
        <v>89301000</v>
      </c>
      <c r="C6722" s="1">
        <v>44242</v>
      </c>
      <c r="D6722" s="1">
        <v>44244</v>
      </c>
      <c r="E6722">
        <v>1</v>
      </c>
      <c r="F6722" t="s">
        <v>2360</v>
      </c>
      <c r="G6722" t="str">
        <f>"06-M01-02"</f>
        <v>06-M01-02</v>
      </c>
      <c r="H6722">
        <v>1.2191000000000001</v>
      </c>
      <c r="I6722" t="s">
        <v>4878</v>
      </c>
      <c r="J6722" t="s">
        <v>14</v>
      </c>
      <c r="K6722" t="str">
        <f>"1F5"</f>
        <v>1F5</v>
      </c>
      <c r="L6722" t="s">
        <v>15</v>
      </c>
    </row>
    <row r="6723" spans="1:12" x14ac:dyDescent="0.25">
      <c r="A6723" t="str">
        <f>"5661060834"</f>
        <v>5661060834</v>
      </c>
      <c r="B6723" t="str">
        <f t="shared" si="324"/>
        <v>89301000</v>
      </c>
      <c r="C6723" s="1">
        <v>44361</v>
      </c>
      <c r="D6723" s="1">
        <v>44362</v>
      </c>
      <c r="E6723">
        <v>1</v>
      </c>
      <c r="F6723" t="s">
        <v>4879</v>
      </c>
      <c r="G6723" t="str">
        <f>"06-M01-02"</f>
        <v>06-M01-02</v>
      </c>
      <c r="H6723">
        <v>1.3153999999999999</v>
      </c>
      <c r="I6723" t="s">
        <v>4880</v>
      </c>
      <c r="J6723" t="s">
        <v>14</v>
      </c>
      <c r="K6723" t="str">
        <f>"1F5"</f>
        <v>1F5</v>
      </c>
      <c r="L6723" t="s">
        <v>15</v>
      </c>
    </row>
    <row r="6724" spans="1:12" x14ac:dyDescent="0.25">
      <c r="A6724" t="str">
        <f>"5661061505"</f>
        <v>5661061505</v>
      </c>
      <c r="B6724" t="str">
        <f t="shared" si="324"/>
        <v>89301000</v>
      </c>
      <c r="C6724" s="1">
        <v>44201</v>
      </c>
      <c r="D6724" s="1">
        <v>44209</v>
      </c>
      <c r="E6724">
        <v>1</v>
      </c>
      <c r="F6724" t="s">
        <v>217</v>
      </c>
      <c r="G6724" t="str">
        <f>"04-K02-04"</f>
        <v>04-K02-04</v>
      </c>
      <c r="H6724">
        <v>0.82469999999999999</v>
      </c>
      <c r="I6724" t="s">
        <v>4881</v>
      </c>
      <c r="J6724" t="s">
        <v>14</v>
      </c>
      <c r="K6724" t="str">
        <f>"5F1"</f>
        <v>5F1</v>
      </c>
      <c r="L6724" t="s">
        <v>15</v>
      </c>
    </row>
    <row r="6725" spans="1:12" x14ac:dyDescent="0.25">
      <c r="A6725" t="str">
        <f>"5661101237"</f>
        <v>5661101237</v>
      </c>
      <c r="B6725" t="str">
        <f t="shared" si="324"/>
        <v>89301000</v>
      </c>
      <c r="C6725" s="1">
        <v>44270</v>
      </c>
      <c r="D6725" s="1">
        <v>44273</v>
      </c>
      <c r="E6725">
        <v>1</v>
      </c>
      <c r="F6725" t="s">
        <v>2120</v>
      </c>
      <c r="G6725" t="str">
        <f>"06-K07-02"</f>
        <v>06-K07-02</v>
      </c>
      <c r="H6725">
        <v>0.44419999999999998</v>
      </c>
      <c r="J6725" t="s">
        <v>14</v>
      </c>
      <c r="K6725" t="str">
        <f>"5F1"</f>
        <v>5F1</v>
      </c>
      <c r="L6725" t="s">
        <v>15</v>
      </c>
    </row>
    <row r="6726" spans="1:12" x14ac:dyDescent="0.25">
      <c r="A6726" t="str">
        <f>"5661211248"</f>
        <v>5661211248</v>
      </c>
      <c r="B6726" t="str">
        <f t="shared" si="324"/>
        <v>89301000</v>
      </c>
      <c r="C6726" s="1">
        <v>44270</v>
      </c>
      <c r="D6726" s="1">
        <v>44278</v>
      </c>
      <c r="E6726">
        <v>1</v>
      </c>
      <c r="F6726" t="s">
        <v>217</v>
      </c>
      <c r="G6726" t="str">
        <f>"04-K02-03"</f>
        <v>04-K02-03</v>
      </c>
      <c r="H6726">
        <v>1.2859</v>
      </c>
      <c r="I6726" t="s">
        <v>4882</v>
      </c>
      <c r="J6726" t="s">
        <v>14</v>
      </c>
      <c r="K6726" t="str">
        <f>"1F6"</f>
        <v>1F6</v>
      </c>
      <c r="L6726" t="s">
        <v>15</v>
      </c>
    </row>
    <row r="6727" spans="1:12" x14ac:dyDescent="0.25">
      <c r="A6727" t="str">
        <f>"5661281560"</f>
        <v>5661281560</v>
      </c>
      <c r="B6727" t="str">
        <f t="shared" si="324"/>
        <v>89301000</v>
      </c>
      <c r="C6727" s="1">
        <v>44262</v>
      </c>
      <c r="D6727" s="1">
        <v>44274</v>
      </c>
      <c r="E6727">
        <v>7</v>
      </c>
      <c r="F6727" t="s">
        <v>217</v>
      </c>
      <c r="G6727" t="str">
        <f>"00-M02-04"</f>
        <v>00-M02-04</v>
      </c>
      <c r="H6727">
        <v>12.071199999999999</v>
      </c>
      <c r="I6727" t="s">
        <v>4883</v>
      </c>
      <c r="J6727" t="s">
        <v>14</v>
      </c>
      <c r="K6727" t="str">
        <f>"7T8"</f>
        <v>7T8</v>
      </c>
      <c r="L6727" t="s">
        <v>15</v>
      </c>
    </row>
    <row r="6728" spans="1:12" x14ac:dyDescent="0.25">
      <c r="A6728" t="str">
        <f>"5662020529"</f>
        <v>5662020529</v>
      </c>
      <c r="B6728" t="str">
        <f t="shared" si="324"/>
        <v>89301000</v>
      </c>
      <c r="C6728" s="1">
        <v>44408</v>
      </c>
      <c r="D6728" s="1">
        <v>44414</v>
      </c>
      <c r="E6728">
        <v>1</v>
      </c>
      <c r="F6728" t="s">
        <v>2648</v>
      </c>
      <c r="G6728" t="str">
        <f>"06-I12-03"</f>
        <v>06-I12-03</v>
      </c>
      <c r="H6728">
        <v>1.8894</v>
      </c>
      <c r="I6728" t="s">
        <v>4884</v>
      </c>
      <c r="J6728" t="s">
        <v>14</v>
      </c>
      <c r="K6728" t="str">
        <f>"5F1"</f>
        <v>5F1</v>
      </c>
      <c r="L6728" t="s">
        <v>15</v>
      </c>
    </row>
    <row r="6729" spans="1:12" x14ac:dyDescent="0.25">
      <c r="A6729" t="str">
        <f>"5662020529"</f>
        <v>5662020529</v>
      </c>
      <c r="B6729" t="str">
        <f t="shared" si="324"/>
        <v>89301000</v>
      </c>
      <c r="C6729" s="1">
        <v>44358</v>
      </c>
      <c r="D6729" s="1">
        <v>44371</v>
      </c>
      <c r="E6729">
        <v>1</v>
      </c>
      <c r="F6729" t="s">
        <v>284</v>
      </c>
      <c r="G6729" t="str">
        <f>"06-K06-01"</f>
        <v>06-K06-01</v>
      </c>
      <c r="H6729">
        <v>1.3448</v>
      </c>
      <c r="I6729" t="s">
        <v>4885</v>
      </c>
      <c r="J6729" t="s">
        <v>14</v>
      </c>
      <c r="K6729" t="str">
        <f>"1F5"</f>
        <v>1F5</v>
      </c>
      <c r="L6729" t="s">
        <v>15</v>
      </c>
    </row>
    <row r="6730" spans="1:12" x14ac:dyDescent="0.25">
      <c r="A6730" t="str">
        <f>"5662020529"</f>
        <v>5662020529</v>
      </c>
      <c r="B6730" t="str">
        <f t="shared" si="324"/>
        <v>89301000</v>
      </c>
      <c r="C6730" s="1">
        <v>44256</v>
      </c>
      <c r="D6730" s="1">
        <v>44263</v>
      </c>
      <c r="E6730">
        <v>1</v>
      </c>
      <c r="F6730" t="s">
        <v>2648</v>
      </c>
      <c r="G6730" t="str">
        <f>"06-I12-03"</f>
        <v>06-I12-03</v>
      </c>
      <c r="H6730">
        <v>1.8894</v>
      </c>
      <c r="I6730" t="s">
        <v>4886</v>
      </c>
      <c r="J6730" t="s">
        <v>14</v>
      </c>
      <c r="K6730" t="str">
        <f>"5F1"</f>
        <v>5F1</v>
      </c>
      <c r="L6730" t="s">
        <v>15</v>
      </c>
    </row>
    <row r="6731" spans="1:12" x14ac:dyDescent="0.25">
      <c r="A6731" t="str">
        <f>"5662020529"</f>
        <v>5662020529</v>
      </c>
      <c r="B6731" t="str">
        <f t="shared" si="324"/>
        <v>89301000</v>
      </c>
      <c r="C6731" s="1">
        <v>44270</v>
      </c>
      <c r="D6731" s="1">
        <v>44281</v>
      </c>
      <c r="E6731">
        <v>1</v>
      </c>
      <c r="F6731" t="s">
        <v>1572</v>
      </c>
      <c r="G6731" t="str">
        <f>"06-I12-03"</f>
        <v>06-I12-03</v>
      </c>
      <c r="H6731">
        <v>1.8894</v>
      </c>
      <c r="I6731" t="s">
        <v>4887</v>
      </c>
      <c r="J6731" t="s">
        <v>14</v>
      </c>
      <c r="K6731" t="str">
        <f>"5F1"</f>
        <v>5F1</v>
      </c>
      <c r="L6731" t="s">
        <v>15</v>
      </c>
    </row>
    <row r="6732" spans="1:12" x14ac:dyDescent="0.25">
      <c r="A6732" t="str">
        <f>"5662060261"</f>
        <v>5662060261</v>
      </c>
      <c r="B6732" t="str">
        <f t="shared" si="324"/>
        <v>89301000</v>
      </c>
      <c r="C6732" s="1">
        <v>44236</v>
      </c>
      <c r="D6732" s="1">
        <v>44244</v>
      </c>
      <c r="E6732">
        <v>1</v>
      </c>
      <c r="F6732" t="s">
        <v>1565</v>
      </c>
      <c r="G6732" t="str">
        <f>"01-I06-04"</f>
        <v>01-I06-04</v>
      </c>
      <c r="H6732">
        <v>3.6231</v>
      </c>
      <c r="I6732" t="s">
        <v>2179</v>
      </c>
      <c r="J6732" t="s">
        <v>17</v>
      </c>
      <c r="K6732" t="str">
        <f>"5F6"</f>
        <v>5F6</v>
      </c>
      <c r="L6732" t="s">
        <v>15</v>
      </c>
    </row>
    <row r="6733" spans="1:12" x14ac:dyDescent="0.25">
      <c r="A6733" t="str">
        <f>"5662060261"</f>
        <v>5662060261</v>
      </c>
      <c r="B6733" t="str">
        <f t="shared" si="324"/>
        <v>89301000</v>
      </c>
      <c r="C6733" s="1">
        <v>44222</v>
      </c>
      <c r="D6733" s="1">
        <v>44224</v>
      </c>
      <c r="E6733">
        <v>1</v>
      </c>
      <c r="F6733" t="s">
        <v>764</v>
      </c>
      <c r="G6733" t="str">
        <f>"01-K13-02"</f>
        <v>01-K13-02</v>
      </c>
      <c r="H6733">
        <v>0.7954</v>
      </c>
      <c r="I6733" t="s">
        <v>4888</v>
      </c>
      <c r="J6733" t="s">
        <v>14</v>
      </c>
      <c r="K6733" t="str">
        <f>"2F9"</f>
        <v>2F9</v>
      </c>
      <c r="L6733" t="s">
        <v>15</v>
      </c>
    </row>
    <row r="6734" spans="1:12" x14ac:dyDescent="0.25">
      <c r="A6734" t="str">
        <f>"5662071514"</f>
        <v>5662071514</v>
      </c>
      <c r="B6734" t="str">
        <f t="shared" si="324"/>
        <v>89301000</v>
      </c>
      <c r="C6734" s="1">
        <v>44421</v>
      </c>
      <c r="D6734" s="1">
        <v>44424</v>
      </c>
      <c r="E6734">
        <v>1</v>
      </c>
      <c r="F6734" t="s">
        <v>1980</v>
      </c>
      <c r="G6734" t="str">
        <f>"06-K22-03"</f>
        <v>06-K22-03</v>
      </c>
      <c r="H6734">
        <v>0.3165</v>
      </c>
      <c r="I6734" t="s">
        <v>4889</v>
      </c>
      <c r="J6734" t="s">
        <v>14</v>
      </c>
      <c r="K6734" t="str">
        <f>"1F1"</f>
        <v>1F1</v>
      </c>
      <c r="L6734" t="s">
        <v>15</v>
      </c>
    </row>
    <row r="6735" spans="1:12" x14ac:dyDescent="0.25">
      <c r="A6735" t="str">
        <f>"5662071514"</f>
        <v>5662071514</v>
      </c>
      <c r="B6735" t="str">
        <f t="shared" si="324"/>
        <v>89301000</v>
      </c>
      <c r="C6735" s="1">
        <v>44380</v>
      </c>
      <c r="D6735" s="1">
        <v>44385</v>
      </c>
      <c r="E6735">
        <v>1</v>
      </c>
      <c r="F6735" t="s">
        <v>563</v>
      </c>
      <c r="G6735" t="str">
        <f>"06-K22-03"</f>
        <v>06-K22-03</v>
      </c>
      <c r="H6735">
        <v>0.3165</v>
      </c>
      <c r="I6735" t="s">
        <v>4890</v>
      </c>
      <c r="J6735" t="s">
        <v>14</v>
      </c>
      <c r="K6735" t="str">
        <f>"1F1"</f>
        <v>1F1</v>
      </c>
      <c r="L6735" t="s">
        <v>15</v>
      </c>
    </row>
    <row r="6736" spans="1:12" x14ac:dyDescent="0.25">
      <c r="A6736" t="str">
        <f>"5662201754"</f>
        <v>5662201754</v>
      </c>
      <c r="B6736" t="str">
        <f t="shared" si="324"/>
        <v>89301000</v>
      </c>
      <c r="C6736" s="1">
        <v>44211</v>
      </c>
      <c r="D6736" s="1">
        <v>44214</v>
      </c>
      <c r="E6736">
        <v>1</v>
      </c>
      <c r="F6736" t="s">
        <v>217</v>
      </c>
      <c r="G6736" t="str">
        <f>"04-K02-04"</f>
        <v>04-K02-04</v>
      </c>
      <c r="H6736">
        <v>0.82469999999999999</v>
      </c>
      <c r="I6736" t="s">
        <v>4891</v>
      </c>
      <c r="J6736" t="s">
        <v>14</v>
      </c>
      <c r="K6736" t="str">
        <f>"5F1"</f>
        <v>5F1</v>
      </c>
      <c r="L6736" t="s">
        <v>15</v>
      </c>
    </row>
    <row r="6737" spans="1:12" x14ac:dyDescent="0.25">
      <c r="A6737" t="str">
        <f>"5701070925"</f>
        <v>5701070925</v>
      </c>
      <c r="B6737" t="str">
        <f t="shared" si="324"/>
        <v>89301000</v>
      </c>
      <c r="C6737" s="1">
        <v>44258</v>
      </c>
      <c r="D6737" s="1">
        <v>44260</v>
      </c>
      <c r="E6737">
        <v>1</v>
      </c>
      <c r="F6737" t="s">
        <v>1716</v>
      </c>
      <c r="G6737" t="str">
        <f>"11-M05-02"</f>
        <v>11-M05-02</v>
      </c>
      <c r="H6737">
        <v>0.65690000000000004</v>
      </c>
      <c r="I6737" t="s">
        <v>4892</v>
      </c>
      <c r="J6737" t="s">
        <v>17</v>
      </c>
      <c r="K6737" t="str">
        <f>"7F6"</f>
        <v>7F6</v>
      </c>
      <c r="L6737" t="s">
        <v>15</v>
      </c>
    </row>
    <row r="6738" spans="1:12" x14ac:dyDescent="0.25">
      <c r="A6738" t="str">
        <f>"5701111295"</f>
        <v>5701111295</v>
      </c>
      <c r="B6738" t="str">
        <f t="shared" si="324"/>
        <v>89301000</v>
      </c>
      <c r="C6738" s="1">
        <v>44368</v>
      </c>
      <c r="D6738" s="1">
        <v>44370</v>
      </c>
      <c r="E6738">
        <v>1</v>
      </c>
      <c r="F6738" t="s">
        <v>1679</v>
      </c>
      <c r="G6738" t="str">
        <f>"11-M06-03"</f>
        <v>11-M06-03</v>
      </c>
      <c r="H6738">
        <v>0.61519999999999997</v>
      </c>
      <c r="I6738" t="s">
        <v>4893</v>
      </c>
      <c r="J6738" t="s">
        <v>17</v>
      </c>
      <c r="K6738" t="str">
        <f>"7F6"</f>
        <v>7F6</v>
      </c>
      <c r="L6738" t="s">
        <v>15</v>
      </c>
    </row>
    <row r="6739" spans="1:12" x14ac:dyDescent="0.25">
      <c r="A6739" t="str">
        <f>"5701111295"</f>
        <v>5701111295</v>
      </c>
      <c r="B6739" t="str">
        <f t="shared" si="324"/>
        <v>89301000</v>
      </c>
      <c r="C6739" s="1">
        <v>44258</v>
      </c>
      <c r="D6739" s="1">
        <v>44260</v>
      </c>
      <c r="E6739">
        <v>1</v>
      </c>
      <c r="F6739" t="s">
        <v>2264</v>
      </c>
      <c r="G6739" t="str">
        <f>"11-M06-03"</f>
        <v>11-M06-03</v>
      </c>
      <c r="H6739">
        <v>0.61519999999999997</v>
      </c>
      <c r="I6739" t="s">
        <v>4894</v>
      </c>
      <c r="J6739" t="s">
        <v>17</v>
      </c>
      <c r="K6739" t="str">
        <f>"7F6"</f>
        <v>7F6</v>
      </c>
      <c r="L6739" t="s">
        <v>15</v>
      </c>
    </row>
    <row r="6740" spans="1:12" x14ac:dyDescent="0.25">
      <c r="A6740" t="str">
        <f>"5701121283"</f>
        <v>5701121283</v>
      </c>
      <c r="B6740" t="str">
        <f t="shared" si="324"/>
        <v>89301000</v>
      </c>
      <c r="C6740" s="1">
        <v>44240</v>
      </c>
      <c r="D6740" s="1">
        <v>44252</v>
      </c>
      <c r="E6740">
        <v>4</v>
      </c>
      <c r="F6740" t="s">
        <v>1615</v>
      </c>
      <c r="G6740" t="str">
        <f>"08-I05-06"</f>
        <v>08-I05-06</v>
      </c>
      <c r="H6740">
        <v>2.0369000000000002</v>
      </c>
      <c r="I6740" t="s">
        <v>21</v>
      </c>
      <c r="J6740" t="s">
        <v>17</v>
      </c>
      <c r="K6740" t="str">
        <f>"6F6"</f>
        <v>6F6</v>
      </c>
      <c r="L6740" t="s">
        <v>15</v>
      </c>
    </row>
    <row r="6741" spans="1:12" x14ac:dyDescent="0.25">
      <c r="A6741" t="str">
        <f>"5701191309"</f>
        <v>5701191309</v>
      </c>
      <c r="B6741" t="str">
        <f t="shared" si="324"/>
        <v>89301000</v>
      </c>
      <c r="C6741" s="1">
        <v>44438</v>
      </c>
      <c r="D6741" s="1">
        <v>44440</v>
      </c>
      <c r="E6741">
        <v>1</v>
      </c>
      <c r="F6741" t="s">
        <v>4895</v>
      </c>
      <c r="G6741" t="str">
        <f>"08-K04-03"</f>
        <v>08-K04-03</v>
      </c>
      <c r="H6741">
        <v>0.45050000000000001</v>
      </c>
      <c r="I6741" t="s">
        <v>4896</v>
      </c>
      <c r="J6741" t="s">
        <v>14</v>
      </c>
      <c r="K6741" t="str">
        <f>"5F3"</f>
        <v>5F3</v>
      </c>
      <c r="L6741" t="s">
        <v>15</v>
      </c>
    </row>
    <row r="6742" spans="1:12" x14ac:dyDescent="0.25">
      <c r="A6742" t="str">
        <f>"5701290815"</f>
        <v>5701290815</v>
      </c>
      <c r="B6742" t="str">
        <f t="shared" si="324"/>
        <v>89301000</v>
      </c>
      <c r="C6742" s="1">
        <v>44334</v>
      </c>
      <c r="D6742" s="1">
        <v>44336</v>
      </c>
      <c r="E6742">
        <v>1</v>
      </c>
      <c r="F6742" t="s">
        <v>2325</v>
      </c>
      <c r="G6742" t="str">
        <f>"09-I13-03"</f>
        <v>09-I13-03</v>
      </c>
      <c r="H6742">
        <v>0.77380000000000004</v>
      </c>
      <c r="I6742" t="s">
        <v>4897</v>
      </c>
      <c r="J6742" t="s">
        <v>14</v>
      </c>
      <c r="K6742" t="str">
        <f>"6F1"</f>
        <v>6F1</v>
      </c>
      <c r="L6742" t="s">
        <v>15</v>
      </c>
    </row>
    <row r="6743" spans="1:12" x14ac:dyDescent="0.25">
      <c r="A6743" t="str">
        <f>"5701301265"</f>
        <v>5701301265</v>
      </c>
      <c r="B6743" t="str">
        <f t="shared" si="324"/>
        <v>89301000</v>
      </c>
      <c r="C6743" s="1">
        <v>44474</v>
      </c>
      <c r="D6743" s="1">
        <v>44484</v>
      </c>
      <c r="E6743">
        <v>1</v>
      </c>
      <c r="F6743" t="s">
        <v>625</v>
      </c>
      <c r="G6743" t="str">
        <f>"04-M01-06"</f>
        <v>04-M01-06</v>
      </c>
      <c r="H6743">
        <v>3.5308999999999999</v>
      </c>
      <c r="I6743" t="s">
        <v>4898</v>
      </c>
      <c r="J6743" t="s">
        <v>14</v>
      </c>
      <c r="K6743" t="str">
        <f>"2F5"</f>
        <v>2F5</v>
      </c>
      <c r="L6743" t="s">
        <v>15</v>
      </c>
    </row>
    <row r="6744" spans="1:12" x14ac:dyDescent="0.25">
      <c r="A6744" t="str">
        <f>"5702010985"</f>
        <v>5702010985</v>
      </c>
      <c r="B6744" t="str">
        <f t="shared" si="324"/>
        <v>89301000</v>
      </c>
      <c r="C6744" s="1">
        <v>44376</v>
      </c>
      <c r="D6744" s="1">
        <v>44377</v>
      </c>
      <c r="E6744">
        <v>1</v>
      </c>
      <c r="F6744" t="s">
        <v>4899</v>
      </c>
      <c r="G6744" t="str">
        <f>"04-K13-01"</f>
        <v>04-K13-01</v>
      </c>
      <c r="H6744">
        <v>0.64270000000000005</v>
      </c>
      <c r="I6744" t="s">
        <v>4900</v>
      </c>
      <c r="J6744" t="s">
        <v>14</v>
      </c>
      <c r="K6744" t="str">
        <f>"5F3"</f>
        <v>5F3</v>
      </c>
      <c r="L6744" t="s">
        <v>15</v>
      </c>
    </row>
    <row r="6745" spans="1:12" x14ac:dyDescent="0.25">
      <c r="A6745" t="str">
        <f>"5702011392"</f>
        <v>5702011392</v>
      </c>
      <c r="B6745" t="str">
        <f t="shared" si="324"/>
        <v>89301000</v>
      </c>
      <c r="C6745" s="1">
        <v>44417</v>
      </c>
      <c r="D6745" s="1">
        <v>44418</v>
      </c>
      <c r="E6745">
        <v>1</v>
      </c>
      <c r="F6745" t="s">
        <v>1557</v>
      </c>
      <c r="G6745" t="str">
        <f>"05-D01-07"</f>
        <v>05-D01-07</v>
      </c>
      <c r="H6745">
        <v>0.53269999999999995</v>
      </c>
      <c r="I6745" t="s">
        <v>4901</v>
      </c>
      <c r="J6745" t="s">
        <v>14</v>
      </c>
      <c r="K6745" t="str">
        <f>"1F1"</f>
        <v>1F1</v>
      </c>
      <c r="L6745" t="s">
        <v>15</v>
      </c>
    </row>
    <row r="6746" spans="1:12" x14ac:dyDescent="0.25">
      <c r="A6746" t="str">
        <f>"5702020885"</f>
        <v>5702020885</v>
      </c>
      <c r="B6746" t="str">
        <f t="shared" si="324"/>
        <v>89301000</v>
      </c>
      <c r="C6746" s="1">
        <v>44209</v>
      </c>
      <c r="D6746" s="1">
        <v>44214</v>
      </c>
      <c r="E6746">
        <v>1</v>
      </c>
      <c r="F6746" t="s">
        <v>1553</v>
      </c>
      <c r="G6746" t="str">
        <f>"04-K05-03"</f>
        <v>04-K05-03</v>
      </c>
      <c r="H6746">
        <v>0.74980000000000002</v>
      </c>
      <c r="I6746" t="s">
        <v>4902</v>
      </c>
      <c r="J6746" t="s">
        <v>14</v>
      </c>
      <c r="K6746" t="str">
        <f>"1F1"</f>
        <v>1F1</v>
      </c>
      <c r="L6746" t="s">
        <v>15</v>
      </c>
    </row>
    <row r="6747" spans="1:12" x14ac:dyDescent="0.25">
      <c r="A6747" t="str">
        <f>"5702110579"</f>
        <v>5702110579</v>
      </c>
      <c r="B6747" t="str">
        <f t="shared" si="324"/>
        <v>89301000</v>
      </c>
      <c r="C6747" s="1">
        <v>44223</v>
      </c>
      <c r="D6747" s="1">
        <v>44229</v>
      </c>
      <c r="E6747">
        <v>1</v>
      </c>
      <c r="F6747" t="s">
        <v>2273</v>
      </c>
      <c r="G6747" t="str">
        <f>"01-K13-02"</f>
        <v>01-K13-02</v>
      </c>
      <c r="H6747">
        <v>0.7954</v>
      </c>
      <c r="I6747" t="s">
        <v>4903</v>
      </c>
      <c r="J6747" t="s">
        <v>14</v>
      </c>
      <c r="K6747" t="str">
        <f>"2F9"</f>
        <v>2F9</v>
      </c>
      <c r="L6747" t="s">
        <v>15</v>
      </c>
    </row>
    <row r="6748" spans="1:12" x14ac:dyDescent="0.25">
      <c r="A6748" t="str">
        <f>"5702110590"</f>
        <v>5702110590</v>
      </c>
      <c r="B6748" t="str">
        <f t="shared" si="324"/>
        <v>89301000</v>
      </c>
      <c r="C6748" s="1">
        <v>44182</v>
      </c>
      <c r="D6748" s="1">
        <v>44209</v>
      </c>
      <c r="E6748">
        <v>1</v>
      </c>
      <c r="F6748" t="s">
        <v>1096</v>
      </c>
      <c r="G6748" t="str">
        <f>"00-M02-04"</f>
        <v>00-M02-04</v>
      </c>
      <c r="H6748">
        <v>12.071199999999999</v>
      </c>
      <c r="I6748" t="s">
        <v>4904</v>
      </c>
      <c r="J6748" t="s">
        <v>14</v>
      </c>
      <c r="K6748" t="str">
        <f>"2F5"</f>
        <v>2F5</v>
      </c>
      <c r="L6748" t="s">
        <v>15</v>
      </c>
    </row>
    <row r="6749" spans="1:12" x14ac:dyDescent="0.25">
      <c r="A6749" t="str">
        <f>"5702121997"</f>
        <v>5702121997</v>
      </c>
      <c r="B6749" t="str">
        <f t="shared" si="324"/>
        <v>89301000</v>
      </c>
      <c r="C6749" s="1">
        <v>44531</v>
      </c>
      <c r="D6749" s="1">
        <v>44533</v>
      </c>
      <c r="E6749">
        <v>1</v>
      </c>
      <c r="F6749" t="s">
        <v>4905</v>
      </c>
      <c r="G6749" t="str">
        <f>"02-I06-03"</f>
        <v>02-I06-03</v>
      </c>
      <c r="H6749">
        <v>0.63690000000000002</v>
      </c>
      <c r="I6749" t="s">
        <v>4906</v>
      </c>
      <c r="J6749" t="s">
        <v>17</v>
      </c>
      <c r="K6749" t="str">
        <f>"5F3"</f>
        <v>5F3</v>
      </c>
      <c r="L6749" t="s">
        <v>15</v>
      </c>
    </row>
    <row r="6750" spans="1:12" x14ac:dyDescent="0.25">
      <c r="A6750" t="str">
        <f>"5702232041"</f>
        <v>5702232041</v>
      </c>
      <c r="B6750" t="str">
        <f t="shared" si="324"/>
        <v>89301000</v>
      </c>
      <c r="C6750" s="1">
        <v>44468</v>
      </c>
      <c r="D6750" s="1">
        <v>44472</v>
      </c>
      <c r="E6750">
        <v>1</v>
      </c>
      <c r="F6750" t="s">
        <v>651</v>
      </c>
      <c r="G6750" t="str">
        <f>"10-K04-04"</f>
        <v>10-K04-04</v>
      </c>
      <c r="H6750">
        <v>0.56330000000000002</v>
      </c>
      <c r="I6750" t="s">
        <v>4907</v>
      </c>
      <c r="J6750" t="s">
        <v>14</v>
      </c>
      <c r="K6750" t="str">
        <f>"1F1"</f>
        <v>1F1</v>
      </c>
      <c r="L6750" t="s">
        <v>15</v>
      </c>
    </row>
    <row r="6751" spans="1:12" x14ac:dyDescent="0.25">
      <c r="A6751" t="str">
        <f>"5702232041"</f>
        <v>5702232041</v>
      </c>
      <c r="B6751" t="str">
        <f t="shared" si="324"/>
        <v>89301000</v>
      </c>
      <c r="C6751" s="1">
        <v>44399</v>
      </c>
      <c r="D6751" s="1">
        <v>44400</v>
      </c>
      <c r="E6751">
        <v>1</v>
      </c>
      <c r="F6751" t="s">
        <v>2457</v>
      </c>
      <c r="G6751" t="str">
        <f>"05-D01-08"</f>
        <v>05-D01-08</v>
      </c>
      <c r="H6751">
        <v>0.4093</v>
      </c>
      <c r="J6751" t="s">
        <v>14</v>
      </c>
      <c r="K6751" t="str">
        <f>"1F1"</f>
        <v>1F1</v>
      </c>
      <c r="L6751" t="s">
        <v>15</v>
      </c>
    </row>
    <row r="6752" spans="1:12" x14ac:dyDescent="0.25">
      <c r="A6752" t="str">
        <f>"5702250763"</f>
        <v>5702250763</v>
      </c>
      <c r="B6752" t="str">
        <f t="shared" si="324"/>
        <v>89301000</v>
      </c>
      <c r="C6752" s="1">
        <v>44209</v>
      </c>
      <c r="D6752" s="1">
        <v>44212</v>
      </c>
      <c r="E6752">
        <v>1</v>
      </c>
      <c r="F6752" t="s">
        <v>4908</v>
      </c>
      <c r="G6752" t="str">
        <f>"12-I08-03"</f>
        <v>12-I08-03</v>
      </c>
      <c r="H6752">
        <v>0.7036</v>
      </c>
      <c r="I6752" t="s">
        <v>168</v>
      </c>
      <c r="J6752" t="s">
        <v>14</v>
      </c>
      <c r="K6752" t="str">
        <f>"7F6"</f>
        <v>7F6</v>
      </c>
      <c r="L6752" t="s">
        <v>15</v>
      </c>
    </row>
    <row r="6753" spans="1:12" x14ac:dyDescent="0.25">
      <c r="A6753" t="str">
        <f>"5702271410"</f>
        <v>5702271410</v>
      </c>
      <c r="B6753" t="str">
        <f t="shared" si="324"/>
        <v>89301000</v>
      </c>
      <c r="C6753" s="1">
        <v>44343</v>
      </c>
      <c r="D6753" s="1">
        <v>44344</v>
      </c>
      <c r="E6753">
        <v>1</v>
      </c>
      <c r="F6753" t="s">
        <v>41</v>
      </c>
      <c r="G6753" t="str">
        <f>"01-D01-03"</f>
        <v>01-D01-03</v>
      </c>
      <c r="H6753">
        <v>0.158</v>
      </c>
      <c r="I6753" t="s">
        <v>489</v>
      </c>
      <c r="J6753" t="s">
        <v>14</v>
      </c>
      <c r="K6753" t="str">
        <f>"2F5"</f>
        <v>2F5</v>
      </c>
      <c r="L6753" t="s">
        <v>15</v>
      </c>
    </row>
    <row r="6754" spans="1:12" x14ac:dyDescent="0.25">
      <c r="A6754" t="str">
        <f>"5703062431"</f>
        <v>5703062431</v>
      </c>
      <c r="B6754" t="str">
        <f t="shared" si="324"/>
        <v>89301000</v>
      </c>
      <c r="C6754" s="1">
        <v>44371</v>
      </c>
      <c r="D6754" s="1">
        <v>44372</v>
      </c>
      <c r="E6754">
        <v>1</v>
      </c>
      <c r="F6754" t="s">
        <v>1545</v>
      </c>
      <c r="G6754" t="str">
        <f>"05-D01-06"</f>
        <v>05-D01-06</v>
      </c>
      <c r="H6754">
        <v>0.7611</v>
      </c>
      <c r="I6754" t="s">
        <v>2799</v>
      </c>
      <c r="J6754" t="s">
        <v>14</v>
      </c>
      <c r="K6754" t="str">
        <f>"1F1"</f>
        <v>1F1</v>
      </c>
      <c r="L6754" t="s">
        <v>15</v>
      </c>
    </row>
    <row r="6755" spans="1:12" x14ac:dyDescent="0.25">
      <c r="A6755" t="str">
        <f>"5703062431"</f>
        <v>5703062431</v>
      </c>
      <c r="B6755" t="str">
        <f t="shared" si="324"/>
        <v>89301000</v>
      </c>
      <c r="C6755" s="1">
        <v>44392</v>
      </c>
      <c r="D6755" s="1">
        <v>44393</v>
      </c>
      <c r="E6755">
        <v>1</v>
      </c>
      <c r="F6755" t="s">
        <v>1545</v>
      </c>
      <c r="G6755" t="str">
        <f>"05-I14-03"</f>
        <v>05-I14-03</v>
      </c>
      <c r="H6755">
        <v>6.1292</v>
      </c>
      <c r="I6755" t="s">
        <v>2798</v>
      </c>
      <c r="J6755" t="s">
        <v>14</v>
      </c>
      <c r="K6755" t="str">
        <f>"1F1"</f>
        <v>1F1</v>
      </c>
      <c r="L6755" t="s">
        <v>15</v>
      </c>
    </row>
    <row r="6756" spans="1:12" x14ac:dyDescent="0.25">
      <c r="A6756" t="str">
        <f>"5703170407"</f>
        <v>5703170407</v>
      </c>
      <c r="B6756" t="str">
        <f t="shared" si="324"/>
        <v>89301000</v>
      </c>
      <c r="C6756" s="1">
        <v>44539</v>
      </c>
      <c r="D6756" s="1">
        <v>44547</v>
      </c>
      <c r="E6756">
        <v>1</v>
      </c>
      <c r="F6756" t="s">
        <v>1914</v>
      </c>
      <c r="G6756" t="str">
        <f>"04-C02-02"</f>
        <v>04-C02-02</v>
      </c>
      <c r="H6756">
        <v>0.3629</v>
      </c>
      <c r="I6756" t="s">
        <v>4909</v>
      </c>
      <c r="J6756" t="s">
        <v>14</v>
      </c>
      <c r="K6756" t="str">
        <f>"2F5"</f>
        <v>2F5</v>
      </c>
      <c r="L6756" t="s">
        <v>15</v>
      </c>
    </row>
    <row r="6757" spans="1:12" x14ac:dyDescent="0.25">
      <c r="A6757" t="str">
        <f>"5703181825"</f>
        <v>5703181825</v>
      </c>
      <c r="B6757" t="str">
        <f t="shared" si="324"/>
        <v>89301000</v>
      </c>
      <c r="C6757" s="1">
        <v>44482</v>
      </c>
      <c r="D6757" s="1">
        <v>44484</v>
      </c>
      <c r="E6757">
        <v>5</v>
      </c>
      <c r="F6757" t="s">
        <v>3758</v>
      </c>
      <c r="G6757" t="str">
        <f>"06-K13-02"</f>
        <v>06-K13-02</v>
      </c>
      <c r="H6757">
        <v>0.70279999999999998</v>
      </c>
      <c r="I6757" t="s">
        <v>4910</v>
      </c>
      <c r="J6757" t="s">
        <v>14</v>
      </c>
      <c r="K6757" t="str">
        <f>"2F5"</f>
        <v>2F5</v>
      </c>
      <c r="L6757" t="s">
        <v>15</v>
      </c>
    </row>
    <row r="6758" spans="1:12" x14ac:dyDescent="0.25">
      <c r="A6758" t="str">
        <f>"5703220809"</f>
        <v>5703220809</v>
      </c>
      <c r="B6758" t="str">
        <f t="shared" si="324"/>
        <v>89301000</v>
      </c>
      <c r="C6758" s="1">
        <v>44354</v>
      </c>
      <c r="D6758" s="1">
        <v>44362</v>
      </c>
      <c r="E6758">
        <v>1</v>
      </c>
      <c r="F6758" t="s">
        <v>2006</v>
      </c>
      <c r="G6758" t="str">
        <f>"06-I13-02"</f>
        <v>06-I13-02</v>
      </c>
      <c r="H6758">
        <v>2.0766</v>
      </c>
      <c r="I6758" t="s">
        <v>4911</v>
      </c>
      <c r="J6758" t="s">
        <v>14</v>
      </c>
      <c r="K6758" t="str">
        <f>"5F1"</f>
        <v>5F1</v>
      </c>
      <c r="L6758" t="s">
        <v>15</v>
      </c>
    </row>
    <row r="6759" spans="1:12" x14ac:dyDescent="0.25">
      <c r="A6759" t="str">
        <f>"5703282332"</f>
        <v>5703282332</v>
      </c>
      <c r="B6759" t="str">
        <f t="shared" si="324"/>
        <v>89301000</v>
      </c>
      <c r="C6759" s="1">
        <v>44263</v>
      </c>
      <c r="D6759" s="1">
        <v>44274</v>
      </c>
      <c r="E6759">
        <v>4</v>
      </c>
      <c r="F6759" t="s">
        <v>1557</v>
      </c>
      <c r="G6759" t="str">
        <f>"05-I16-04"</f>
        <v>05-I16-04</v>
      </c>
      <c r="H6759">
        <v>6.1497999999999999</v>
      </c>
      <c r="I6759" t="s">
        <v>4912</v>
      </c>
      <c r="J6759" t="s">
        <v>17</v>
      </c>
      <c r="K6759" t="str">
        <f>"5F5"</f>
        <v>5F5</v>
      </c>
      <c r="L6759" t="s">
        <v>15</v>
      </c>
    </row>
    <row r="6760" spans="1:12" x14ac:dyDescent="0.25">
      <c r="A6760" t="str">
        <f>"5704251432"</f>
        <v>5704251432</v>
      </c>
      <c r="B6760" t="str">
        <f t="shared" si="324"/>
        <v>89301000</v>
      </c>
      <c r="C6760" s="1">
        <v>44454</v>
      </c>
      <c r="D6760" s="1">
        <v>44457</v>
      </c>
      <c r="E6760">
        <v>1</v>
      </c>
      <c r="F6760" t="s">
        <v>1581</v>
      </c>
      <c r="G6760" t="str">
        <f>"05-M07-06"</f>
        <v>05-M07-06</v>
      </c>
      <c r="H6760">
        <v>1.2513000000000001</v>
      </c>
      <c r="I6760" t="s">
        <v>4913</v>
      </c>
      <c r="J6760" t="s">
        <v>17</v>
      </c>
      <c r="K6760" t="str">
        <f>"5F1"</f>
        <v>5F1</v>
      </c>
      <c r="L6760" t="s">
        <v>15</v>
      </c>
    </row>
    <row r="6761" spans="1:12" x14ac:dyDescent="0.25">
      <c r="A6761" t="str">
        <f>"5704260826"</f>
        <v>5704260826</v>
      </c>
      <c r="B6761" t="str">
        <f t="shared" si="324"/>
        <v>89301000</v>
      </c>
      <c r="C6761" s="1">
        <v>44524</v>
      </c>
      <c r="D6761" s="1">
        <v>44533</v>
      </c>
      <c r="E6761">
        <v>1</v>
      </c>
      <c r="F6761" t="s">
        <v>1164</v>
      </c>
      <c r="G6761" t="str">
        <f>"01-K03-05"</f>
        <v>01-K03-05</v>
      </c>
      <c r="H6761">
        <v>1.9289000000000001</v>
      </c>
      <c r="I6761" t="s">
        <v>4914</v>
      </c>
      <c r="J6761" t="s">
        <v>14</v>
      </c>
      <c r="K6761" t="str">
        <f>"1F6"</f>
        <v>1F6</v>
      </c>
      <c r="L6761" t="s">
        <v>15</v>
      </c>
    </row>
    <row r="6762" spans="1:12" x14ac:dyDescent="0.25">
      <c r="A6762" t="str">
        <f>"5704276512"</f>
        <v>5704276512</v>
      </c>
      <c r="B6762" t="str">
        <f t="shared" si="324"/>
        <v>89301000</v>
      </c>
      <c r="C6762" s="1">
        <v>44356</v>
      </c>
      <c r="D6762" s="1">
        <v>44377</v>
      </c>
      <c r="E6762">
        <v>5</v>
      </c>
      <c r="F6762" t="s">
        <v>1693</v>
      </c>
      <c r="G6762" t="str">
        <f>"07-I01-02"</f>
        <v>07-I01-02</v>
      </c>
      <c r="H6762">
        <v>5.4947999999999997</v>
      </c>
      <c r="I6762" t="s">
        <v>4915</v>
      </c>
      <c r="J6762" t="s">
        <v>17</v>
      </c>
      <c r="K6762" t="str">
        <f>"5F1"</f>
        <v>5F1</v>
      </c>
      <c r="L6762" t="s">
        <v>15</v>
      </c>
    </row>
    <row r="6763" spans="1:12" x14ac:dyDescent="0.25">
      <c r="A6763" t="str">
        <f>"5705010718"</f>
        <v>5705010718</v>
      </c>
      <c r="B6763" t="str">
        <f t="shared" si="324"/>
        <v>89301000</v>
      </c>
      <c r="C6763" s="1">
        <v>44481</v>
      </c>
      <c r="D6763" s="1">
        <v>44491</v>
      </c>
      <c r="E6763">
        <v>1</v>
      </c>
      <c r="F6763" t="s">
        <v>3002</v>
      </c>
      <c r="G6763" t="str">
        <f>"05-I08-02"</f>
        <v>05-I08-02</v>
      </c>
      <c r="H6763">
        <v>7.0251999999999999</v>
      </c>
      <c r="I6763" t="s">
        <v>4916</v>
      </c>
      <c r="J6763" t="s">
        <v>17</v>
      </c>
      <c r="K6763" t="str">
        <f>"5F5"</f>
        <v>5F5</v>
      </c>
      <c r="L6763" t="s">
        <v>15</v>
      </c>
    </row>
    <row r="6764" spans="1:12" x14ac:dyDescent="0.25">
      <c r="A6764" t="str">
        <f>"5705010718"</f>
        <v>5705010718</v>
      </c>
      <c r="B6764" t="str">
        <f t="shared" si="324"/>
        <v>89301000</v>
      </c>
      <c r="C6764" s="1">
        <v>44412</v>
      </c>
      <c r="D6764" s="1">
        <v>44413</v>
      </c>
      <c r="E6764">
        <v>1</v>
      </c>
      <c r="F6764" t="s">
        <v>3002</v>
      </c>
      <c r="G6764" t="str">
        <f>"05-D01-06"</f>
        <v>05-D01-06</v>
      </c>
      <c r="H6764">
        <v>0.7611</v>
      </c>
      <c r="J6764" t="s">
        <v>14</v>
      </c>
      <c r="K6764" t="str">
        <f>"1F7"</f>
        <v>1F7</v>
      </c>
      <c r="L6764" t="s">
        <v>15</v>
      </c>
    </row>
    <row r="6765" spans="1:12" x14ac:dyDescent="0.25">
      <c r="A6765" t="str">
        <f>"5705032223"</f>
        <v>5705032223</v>
      </c>
      <c r="B6765" t="str">
        <f t="shared" si="324"/>
        <v>89301000</v>
      </c>
      <c r="C6765" s="1">
        <v>44341</v>
      </c>
      <c r="D6765" s="1">
        <v>44355</v>
      </c>
      <c r="E6765">
        <v>4</v>
      </c>
      <c r="F6765" t="s">
        <v>2931</v>
      </c>
      <c r="G6765" t="str">
        <f>"07-K04-04"</f>
        <v>07-K04-04</v>
      </c>
      <c r="H6765">
        <v>0.67300000000000004</v>
      </c>
      <c r="I6765" t="s">
        <v>4917</v>
      </c>
      <c r="J6765" t="s">
        <v>14</v>
      </c>
      <c r="K6765" t="str">
        <f>"1F5"</f>
        <v>1F5</v>
      </c>
      <c r="L6765" t="s">
        <v>15</v>
      </c>
    </row>
    <row r="6766" spans="1:12" x14ac:dyDescent="0.25">
      <c r="A6766" t="str">
        <f>"5705052155"</f>
        <v>5705052155</v>
      </c>
      <c r="B6766" t="str">
        <f t="shared" si="324"/>
        <v>89301000</v>
      </c>
      <c r="C6766" s="1">
        <v>44344</v>
      </c>
      <c r="D6766" s="1">
        <v>44349</v>
      </c>
      <c r="E6766">
        <v>1</v>
      </c>
      <c r="F6766" t="s">
        <v>114</v>
      </c>
      <c r="G6766" t="str">
        <f>"03-I18-02"</f>
        <v>03-I18-02</v>
      </c>
      <c r="H6766">
        <v>0.84370000000000001</v>
      </c>
      <c r="I6766" t="s">
        <v>722</v>
      </c>
      <c r="J6766" t="s">
        <v>24</v>
      </c>
      <c r="K6766" t="str">
        <f>"7F1"</f>
        <v>7F1</v>
      </c>
      <c r="L6766" t="s">
        <v>15</v>
      </c>
    </row>
    <row r="6767" spans="1:12" x14ac:dyDescent="0.25">
      <c r="A6767" t="str">
        <f>"5705121070"</f>
        <v>5705121070</v>
      </c>
      <c r="B6767" t="str">
        <f t="shared" si="324"/>
        <v>89301000</v>
      </c>
      <c r="C6767" s="1">
        <v>44359</v>
      </c>
      <c r="D6767" s="1">
        <v>44393</v>
      </c>
      <c r="E6767">
        <v>1</v>
      </c>
      <c r="F6767" t="s">
        <v>2285</v>
      </c>
      <c r="G6767" t="str">
        <f>"00-M01-03"</f>
        <v>00-M01-03</v>
      </c>
      <c r="H6767">
        <v>10.531499999999999</v>
      </c>
      <c r="I6767" t="s">
        <v>4918</v>
      </c>
      <c r="J6767" t="s">
        <v>14</v>
      </c>
      <c r="K6767" t="str">
        <f>"5F1"</f>
        <v>5F1</v>
      </c>
      <c r="L6767" t="s">
        <v>15</v>
      </c>
    </row>
    <row r="6768" spans="1:12" x14ac:dyDescent="0.25">
      <c r="A6768" t="str">
        <f>"5705130530"</f>
        <v>5705130530</v>
      </c>
      <c r="B6768" t="str">
        <f t="shared" si="324"/>
        <v>89301000</v>
      </c>
      <c r="C6768" s="1">
        <v>44259</v>
      </c>
      <c r="D6768" s="1">
        <v>44263</v>
      </c>
      <c r="E6768">
        <v>1</v>
      </c>
      <c r="F6768" t="s">
        <v>4612</v>
      </c>
      <c r="G6768" t="str">
        <f>"17-K04-00"</f>
        <v>17-K04-00</v>
      </c>
      <c r="H6768">
        <v>0.86660000000000004</v>
      </c>
      <c r="I6768" t="s">
        <v>168</v>
      </c>
      <c r="J6768" t="s">
        <v>14</v>
      </c>
      <c r="K6768" t="str">
        <f>"2F2"</f>
        <v>2F2</v>
      </c>
      <c r="L6768" t="s">
        <v>15</v>
      </c>
    </row>
    <row r="6769" spans="1:12" x14ac:dyDescent="0.25">
      <c r="A6769" t="str">
        <f>"5705130530"</f>
        <v>5705130530</v>
      </c>
      <c r="B6769" t="str">
        <f t="shared" si="324"/>
        <v>89301000</v>
      </c>
      <c r="C6769" s="1">
        <v>44404</v>
      </c>
      <c r="D6769" s="1">
        <v>44407</v>
      </c>
      <c r="E6769">
        <v>1</v>
      </c>
      <c r="F6769" t="s">
        <v>637</v>
      </c>
      <c r="G6769" t="str">
        <f>"17-C05-09"</f>
        <v>17-C05-09</v>
      </c>
      <c r="H6769">
        <v>0.74960000000000004</v>
      </c>
      <c r="I6769" t="s">
        <v>4919</v>
      </c>
      <c r="J6769" t="s">
        <v>14</v>
      </c>
      <c r="K6769" t="str">
        <f>"2F2"</f>
        <v>2F2</v>
      </c>
      <c r="L6769" t="s">
        <v>15</v>
      </c>
    </row>
    <row r="6770" spans="1:12" x14ac:dyDescent="0.25">
      <c r="A6770" t="str">
        <f>"5705181735"</f>
        <v>5705181735</v>
      </c>
      <c r="B6770" t="str">
        <f t="shared" si="324"/>
        <v>89301000</v>
      </c>
      <c r="C6770" s="1">
        <v>44235</v>
      </c>
      <c r="D6770" s="1">
        <v>44237</v>
      </c>
      <c r="E6770">
        <v>1</v>
      </c>
      <c r="F6770" t="s">
        <v>2270</v>
      </c>
      <c r="G6770" t="str">
        <f>"09-I11-02"</f>
        <v>09-I11-02</v>
      </c>
      <c r="H6770">
        <v>0.97040000000000004</v>
      </c>
      <c r="I6770" t="s">
        <v>4920</v>
      </c>
      <c r="J6770" t="s">
        <v>14</v>
      </c>
      <c r="K6770" t="str">
        <f>"6F1"</f>
        <v>6F1</v>
      </c>
      <c r="L6770" t="s">
        <v>15</v>
      </c>
    </row>
    <row r="6771" spans="1:12" x14ac:dyDescent="0.25">
      <c r="A6771" t="str">
        <f>"5705181735"</f>
        <v>5705181735</v>
      </c>
      <c r="B6771" t="str">
        <f t="shared" si="324"/>
        <v>89301000</v>
      </c>
      <c r="C6771" s="1">
        <v>44397</v>
      </c>
      <c r="D6771" s="1">
        <v>44400</v>
      </c>
      <c r="E6771">
        <v>1</v>
      </c>
      <c r="F6771" t="s">
        <v>2270</v>
      </c>
      <c r="G6771" t="str">
        <f>"09-I11-02"</f>
        <v>09-I11-02</v>
      </c>
      <c r="H6771">
        <v>0.97040000000000004</v>
      </c>
      <c r="I6771" t="s">
        <v>4921</v>
      </c>
      <c r="J6771" t="s">
        <v>14</v>
      </c>
      <c r="K6771" t="str">
        <f>"6F1"</f>
        <v>6F1</v>
      </c>
      <c r="L6771" t="s">
        <v>15</v>
      </c>
    </row>
    <row r="6772" spans="1:12" x14ac:dyDescent="0.25">
      <c r="A6772" t="str">
        <f>"5705190568"</f>
        <v>5705190568</v>
      </c>
      <c r="B6772" t="str">
        <f t="shared" si="324"/>
        <v>89301000</v>
      </c>
      <c r="C6772" s="1">
        <v>44503</v>
      </c>
      <c r="D6772" s="1">
        <v>44511</v>
      </c>
      <c r="E6772">
        <v>4</v>
      </c>
      <c r="F6772" t="s">
        <v>1968</v>
      </c>
      <c r="G6772" t="str">
        <f>"08-I05-04"</f>
        <v>08-I05-04</v>
      </c>
      <c r="H6772">
        <v>2.4581</v>
      </c>
      <c r="I6772" t="s">
        <v>3987</v>
      </c>
      <c r="J6772" t="s">
        <v>17</v>
      </c>
      <c r="K6772" t="str">
        <f>"6F6"</f>
        <v>6F6</v>
      </c>
      <c r="L6772" t="s">
        <v>15</v>
      </c>
    </row>
    <row r="6773" spans="1:12" x14ac:dyDescent="0.25">
      <c r="A6773" t="str">
        <f>"5705236328"</f>
        <v>5705236328</v>
      </c>
      <c r="B6773" t="str">
        <f t="shared" si="324"/>
        <v>89301000</v>
      </c>
      <c r="C6773" s="1">
        <v>44544</v>
      </c>
      <c r="D6773" s="1">
        <v>44547</v>
      </c>
      <c r="E6773">
        <v>1</v>
      </c>
      <c r="F6773" t="s">
        <v>2585</v>
      </c>
      <c r="G6773" t="str">
        <f>"12-I03-01"</f>
        <v>12-I03-01</v>
      </c>
      <c r="H6773">
        <v>2.6785999999999999</v>
      </c>
      <c r="I6773" t="s">
        <v>489</v>
      </c>
      <c r="J6773" t="s">
        <v>14</v>
      </c>
      <c r="K6773" t="str">
        <f>"7F6"</f>
        <v>7F6</v>
      </c>
      <c r="L6773" t="s">
        <v>15</v>
      </c>
    </row>
    <row r="6774" spans="1:12" x14ac:dyDescent="0.25">
      <c r="A6774" t="str">
        <f>"5705236328"</f>
        <v>5705236328</v>
      </c>
      <c r="B6774" t="str">
        <f t="shared" si="324"/>
        <v>89301000</v>
      </c>
      <c r="C6774" s="1">
        <v>44551</v>
      </c>
      <c r="D6774" s="1">
        <v>44553</v>
      </c>
      <c r="E6774">
        <v>1</v>
      </c>
      <c r="F6774" t="s">
        <v>3475</v>
      </c>
      <c r="G6774" t="str">
        <f>"06-K10-03"</f>
        <v>06-K10-03</v>
      </c>
      <c r="H6774">
        <v>0.43880000000000002</v>
      </c>
      <c r="I6774" t="s">
        <v>2585</v>
      </c>
      <c r="J6774" t="s">
        <v>14</v>
      </c>
      <c r="K6774" t="str">
        <f>"7F6"</f>
        <v>7F6</v>
      </c>
      <c r="L6774" t="s">
        <v>15</v>
      </c>
    </row>
    <row r="6775" spans="1:12" x14ac:dyDescent="0.25">
      <c r="A6775" t="str">
        <f>"5705300106"</f>
        <v>5705300106</v>
      </c>
      <c r="B6775" t="str">
        <f t="shared" si="324"/>
        <v>89301000</v>
      </c>
      <c r="C6775" s="1">
        <v>44283</v>
      </c>
      <c r="D6775" s="1">
        <v>44287</v>
      </c>
      <c r="E6775">
        <v>1</v>
      </c>
      <c r="F6775" t="s">
        <v>81</v>
      </c>
      <c r="G6775" t="str">
        <f>"10-I13-02"</f>
        <v>10-I13-02</v>
      </c>
      <c r="H6775">
        <v>1.1468</v>
      </c>
      <c r="I6775" t="s">
        <v>1868</v>
      </c>
      <c r="J6775" t="s">
        <v>24</v>
      </c>
      <c r="K6775" t="str">
        <f>"5F5"</f>
        <v>5F5</v>
      </c>
      <c r="L6775" t="s">
        <v>15</v>
      </c>
    </row>
    <row r="6776" spans="1:12" x14ac:dyDescent="0.25">
      <c r="A6776" t="str">
        <f>"5705311755"</f>
        <v>5705311755</v>
      </c>
      <c r="B6776" t="str">
        <f t="shared" si="324"/>
        <v>89301000</v>
      </c>
      <c r="C6776" s="1">
        <v>44202</v>
      </c>
      <c r="D6776" s="1">
        <v>44203</v>
      </c>
      <c r="E6776">
        <v>1</v>
      </c>
      <c r="F6776" t="s">
        <v>3831</v>
      </c>
      <c r="G6776" t="str">
        <f>"06-M01-05"</f>
        <v>06-M01-05</v>
      </c>
      <c r="H6776">
        <v>0.41710000000000003</v>
      </c>
      <c r="I6776" t="s">
        <v>4922</v>
      </c>
      <c r="J6776" t="s">
        <v>14</v>
      </c>
      <c r="K6776" t="str">
        <f>"1F1"</f>
        <v>1F1</v>
      </c>
      <c r="L6776" t="s">
        <v>15</v>
      </c>
    </row>
    <row r="6777" spans="1:12" x14ac:dyDescent="0.25">
      <c r="A6777" t="str">
        <f>"5705312646"</f>
        <v>5705312646</v>
      </c>
      <c r="B6777" t="str">
        <f t="shared" si="324"/>
        <v>89301000</v>
      </c>
      <c r="C6777" s="1">
        <v>44313</v>
      </c>
      <c r="D6777" s="1">
        <v>44313</v>
      </c>
      <c r="E6777">
        <v>1</v>
      </c>
      <c r="F6777" t="s">
        <v>1545</v>
      </c>
      <c r="G6777" t="str">
        <f>"05-I14-03"</f>
        <v>05-I14-03</v>
      </c>
      <c r="H6777">
        <v>5.8045</v>
      </c>
      <c r="I6777" t="s">
        <v>2183</v>
      </c>
      <c r="J6777" t="s">
        <v>14</v>
      </c>
      <c r="K6777" t="str">
        <f>"1F1"</f>
        <v>1F1</v>
      </c>
      <c r="L6777" t="s">
        <v>15</v>
      </c>
    </row>
    <row r="6778" spans="1:12" x14ac:dyDescent="0.25">
      <c r="A6778" t="str">
        <f>"5706042441"</f>
        <v>5706042441</v>
      </c>
      <c r="B6778" t="str">
        <f t="shared" si="324"/>
        <v>89301000</v>
      </c>
      <c r="C6778" s="1">
        <v>44328</v>
      </c>
      <c r="D6778" s="1">
        <v>44332</v>
      </c>
      <c r="E6778">
        <v>1</v>
      </c>
      <c r="F6778" t="s">
        <v>1555</v>
      </c>
      <c r="G6778" t="str">
        <f>"05-M04-04"</f>
        <v>05-M04-04</v>
      </c>
      <c r="H6778">
        <v>2.4672999999999998</v>
      </c>
      <c r="I6778" t="s">
        <v>2321</v>
      </c>
      <c r="J6778" t="s">
        <v>17</v>
      </c>
      <c r="K6778" t="str">
        <f>"5F1"</f>
        <v>5F1</v>
      </c>
      <c r="L6778" t="s">
        <v>15</v>
      </c>
    </row>
    <row r="6779" spans="1:12" x14ac:dyDescent="0.25">
      <c r="A6779" t="str">
        <f>"5706050504"</f>
        <v>5706050504</v>
      </c>
      <c r="B6779" t="str">
        <f t="shared" si="324"/>
        <v>89301000</v>
      </c>
      <c r="C6779" s="1">
        <v>44508</v>
      </c>
      <c r="D6779" s="1">
        <v>44518</v>
      </c>
      <c r="E6779">
        <v>1</v>
      </c>
      <c r="F6779" t="s">
        <v>109</v>
      </c>
      <c r="G6779" t="str">
        <f>"24-M06-02"</f>
        <v>24-M06-02</v>
      </c>
      <c r="H6779">
        <v>1.0233000000000001</v>
      </c>
      <c r="I6779" t="s">
        <v>4923</v>
      </c>
      <c r="J6779" t="s">
        <v>14</v>
      </c>
      <c r="K6779" t="str">
        <f>"2F1"</f>
        <v>2F1</v>
      </c>
      <c r="L6779" t="s">
        <v>15</v>
      </c>
    </row>
    <row r="6780" spans="1:12" x14ac:dyDescent="0.25">
      <c r="A6780" t="str">
        <f>"5706050504"</f>
        <v>5706050504</v>
      </c>
      <c r="B6780" t="str">
        <f t="shared" si="324"/>
        <v>89301000</v>
      </c>
      <c r="C6780" s="1">
        <v>44228</v>
      </c>
      <c r="D6780" s="1">
        <v>44235</v>
      </c>
      <c r="E6780">
        <v>4</v>
      </c>
      <c r="F6780" t="s">
        <v>1968</v>
      </c>
      <c r="G6780" t="str">
        <f>"08-I05-04"</f>
        <v>08-I05-04</v>
      </c>
      <c r="H6780">
        <v>2.4581</v>
      </c>
      <c r="I6780" t="s">
        <v>4924</v>
      </c>
      <c r="J6780" t="s">
        <v>17</v>
      </c>
      <c r="K6780" t="str">
        <f>"6F6"</f>
        <v>6F6</v>
      </c>
      <c r="L6780" t="s">
        <v>15</v>
      </c>
    </row>
    <row r="6781" spans="1:12" x14ac:dyDescent="0.25">
      <c r="A6781" t="str">
        <f>"5706091831"</f>
        <v>5706091831</v>
      </c>
      <c r="B6781" t="str">
        <f t="shared" si="324"/>
        <v>89301000</v>
      </c>
      <c r="C6781" s="1">
        <v>44426</v>
      </c>
      <c r="D6781" s="1">
        <v>44433</v>
      </c>
      <c r="E6781">
        <v>5</v>
      </c>
      <c r="F6781" t="s">
        <v>4925</v>
      </c>
      <c r="G6781" t="str">
        <f>"19-K03-03"</f>
        <v>19-K03-03</v>
      </c>
      <c r="H6781">
        <v>0.93169999999999997</v>
      </c>
      <c r="I6781" t="s">
        <v>4926</v>
      </c>
      <c r="J6781" t="s">
        <v>27</v>
      </c>
      <c r="K6781" t="str">
        <f>"3F5"</f>
        <v>3F5</v>
      </c>
      <c r="L6781" t="s">
        <v>15</v>
      </c>
    </row>
    <row r="6782" spans="1:12" x14ac:dyDescent="0.25">
      <c r="A6782" t="str">
        <f>"5706101940"</f>
        <v>5706101940</v>
      </c>
      <c r="B6782" t="str">
        <f t="shared" ref="B6782:B6845" si="325">"89301000"</f>
        <v>89301000</v>
      </c>
      <c r="C6782" s="1">
        <v>44534</v>
      </c>
      <c r="D6782" s="1">
        <v>44539</v>
      </c>
      <c r="E6782">
        <v>1</v>
      </c>
      <c r="F6782" t="s">
        <v>4927</v>
      </c>
      <c r="G6782" t="str">
        <f>"12-K01-02"</f>
        <v>12-K01-02</v>
      </c>
      <c r="H6782">
        <v>0.502</v>
      </c>
      <c r="I6782" t="s">
        <v>489</v>
      </c>
      <c r="J6782" t="s">
        <v>14</v>
      </c>
      <c r="K6782" t="str">
        <f>"7F6"</f>
        <v>7F6</v>
      </c>
      <c r="L6782" t="s">
        <v>15</v>
      </c>
    </row>
    <row r="6783" spans="1:12" x14ac:dyDescent="0.25">
      <c r="A6783" t="str">
        <f>"5706180700"</f>
        <v>5706180700</v>
      </c>
      <c r="B6783" t="str">
        <f t="shared" si="325"/>
        <v>89301000</v>
      </c>
      <c r="C6783" s="1">
        <v>44410</v>
      </c>
      <c r="D6783" s="1">
        <v>44412</v>
      </c>
      <c r="E6783">
        <v>1</v>
      </c>
      <c r="F6783" t="s">
        <v>1859</v>
      </c>
      <c r="G6783" t="str">
        <f>"03-I23-00"</f>
        <v>03-I23-00</v>
      </c>
      <c r="H6783">
        <v>0.47639999999999999</v>
      </c>
      <c r="I6783" t="s">
        <v>489</v>
      </c>
      <c r="J6783" t="s">
        <v>14</v>
      </c>
      <c r="K6783" t="str">
        <f>"6F5"</f>
        <v>6F5</v>
      </c>
      <c r="L6783" t="s">
        <v>15</v>
      </c>
    </row>
    <row r="6784" spans="1:12" x14ac:dyDescent="0.25">
      <c r="A6784" t="str">
        <f>"5706201138"</f>
        <v>5706201138</v>
      </c>
      <c r="B6784" t="str">
        <f t="shared" si="325"/>
        <v>89301000</v>
      </c>
      <c r="C6784" s="1">
        <v>44511</v>
      </c>
      <c r="D6784" s="1">
        <v>44553</v>
      </c>
      <c r="E6784">
        <v>1</v>
      </c>
      <c r="F6784" t="s">
        <v>933</v>
      </c>
      <c r="G6784" t="str">
        <f>"17-K01-01"</f>
        <v>17-K01-01</v>
      </c>
      <c r="H6784">
        <v>8.9945000000000004</v>
      </c>
      <c r="I6784" t="s">
        <v>4928</v>
      </c>
      <c r="J6784" t="s">
        <v>14</v>
      </c>
      <c r="K6784" t="str">
        <f>"2F2"</f>
        <v>2F2</v>
      </c>
      <c r="L6784" t="s">
        <v>15</v>
      </c>
    </row>
    <row r="6785" spans="1:12" x14ac:dyDescent="0.25">
      <c r="A6785" t="str">
        <f>"5706211467"</f>
        <v>5706211467</v>
      </c>
      <c r="B6785" t="str">
        <f t="shared" si="325"/>
        <v>89301000</v>
      </c>
      <c r="C6785" s="1">
        <v>44341</v>
      </c>
      <c r="D6785" s="1">
        <v>44342</v>
      </c>
      <c r="E6785">
        <v>1</v>
      </c>
      <c r="F6785" t="s">
        <v>1780</v>
      </c>
      <c r="G6785" t="str">
        <f>"05-D01-06"</f>
        <v>05-D01-06</v>
      </c>
      <c r="H6785">
        <v>0.7611</v>
      </c>
      <c r="I6785" t="s">
        <v>489</v>
      </c>
      <c r="J6785" t="s">
        <v>14</v>
      </c>
      <c r="K6785" t="str">
        <f>"1F7"</f>
        <v>1F7</v>
      </c>
      <c r="L6785" t="s">
        <v>15</v>
      </c>
    </row>
    <row r="6786" spans="1:12" x14ac:dyDescent="0.25">
      <c r="A6786" t="str">
        <f>"5707020418"</f>
        <v>5707020418</v>
      </c>
      <c r="B6786" t="str">
        <f t="shared" si="325"/>
        <v>89301000</v>
      </c>
      <c r="C6786" s="1">
        <v>44360</v>
      </c>
      <c r="D6786" s="1">
        <v>44363</v>
      </c>
      <c r="E6786">
        <v>1</v>
      </c>
      <c r="F6786" t="s">
        <v>4196</v>
      </c>
      <c r="G6786" t="str">
        <f>"08-M03-03"</f>
        <v>08-M03-03</v>
      </c>
      <c r="H6786">
        <v>0.69450000000000001</v>
      </c>
      <c r="J6786" t="s">
        <v>14</v>
      </c>
      <c r="K6786" t="str">
        <f>"6F6"</f>
        <v>6F6</v>
      </c>
      <c r="L6786" t="s">
        <v>15</v>
      </c>
    </row>
    <row r="6787" spans="1:12" x14ac:dyDescent="0.25">
      <c r="A6787" t="str">
        <f>"5707141957"</f>
        <v>5707141957</v>
      </c>
      <c r="B6787" t="str">
        <f t="shared" si="325"/>
        <v>89301000</v>
      </c>
      <c r="C6787" s="1">
        <v>44256</v>
      </c>
      <c r="D6787" s="1">
        <v>44260</v>
      </c>
      <c r="E6787">
        <v>4</v>
      </c>
      <c r="F6787" t="s">
        <v>217</v>
      </c>
      <c r="G6787" t="str">
        <f>"04-K02-03"</f>
        <v>04-K02-03</v>
      </c>
      <c r="H6787">
        <v>1.2859</v>
      </c>
      <c r="I6787" t="s">
        <v>4929</v>
      </c>
      <c r="J6787" t="s">
        <v>14</v>
      </c>
      <c r="K6787" t="str">
        <f>"1F6"</f>
        <v>1F6</v>
      </c>
      <c r="L6787" t="s">
        <v>15</v>
      </c>
    </row>
    <row r="6788" spans="1:12" x14ac:dyDescent="0.25">
      <c r="A6788" t="str">
        <f>"5707151527"</f>
        <v>5707151527</v>
      </c>
      <c r="B6788" t="str">
        <f t="shared" si="325"/>
        <v>89301000</v>
      </c>
      <c r="C6788" s="1">
        <v>44276</v>
      </c>
      <c r="D6788" s="1">
        <v>44281</v>
      </c>
      <c r="E6788">
        <v>1</v>
      </c>
      <c r="F6788" t="s">
        <v>4930</v>
      </c>
      <c r="G6788" t="str">
        <f>"07-I10-03"</f>
        <v>07-I10-03</v>
      </c>
      <c r="H6788">
        <v>2.21</v>
      </c>
      <c r="I6788" t="s">
        <v>4931</v>
      </c>
      <c r="J6788" t="s">
        <v>17</v>
      </c>
      <c r="K6788" t="str">
        <f>"5F1"</f>
        <v>5F1</v>
      </c>
      <c r="L6788" t="s">
        <v>15</v>
      </c>
    </row>
    <row r="6789" spans="1:12" x14ac:dyDescent="0.25">
      <c r="A6789" t="str">
        <f>"5707151527"</f>
        <v>5707151527</v>
      </c>
      <c r="B6789" t="str">
        <f t="shared" si="325"/>
        <v>89301000</v>
      </c>
      <c r="C6789" s="1">
        <v>44448</v>
      </c>
      <c r="D6789" s="1">
        <v>44457</v>
      </c>
      <c r="E6789">
        <v>1</v>
      </c>
      <c r="F6789" t="s">
        <v>1953</v>
      </c>
      <c r="G6789" t="str">
        <f>"07-I01-02"</f>
        <v>07-I01-02</v>
      </c>
      <c r="H6789">
        <v>5.4947999999999997</v>
      </c>
      <c r="I6789" t="s">
        <v>4932</v>
      </c>
      <c r="J6789" t="s">
        <v>17</v>
      </c>
      <c r="K6789" t="str">
        <f>"5F1"</f>
        <v>5F1</v>
      </c>
      <c r="L6789" t="s">
        <v>15</v>
      </c>
    </row>
    <row r="6790" spans="1:12" x14ac:dyDescent="0.25">
      <c r="A6790" t="str">
        <f>"5707160756"</f>
        <v>5707160756</v>
      </c>
      <c r="B6790" t="str">
        <f t="shared" si="325"/>
        <v>89301000</v>
      </c>
      <c r="C6790" s="1">
        <v>44201</v>
      </c>
      <c r="D6790" s="1">
        <v>44204</v>
      </c>
      <c r="E6790">
        <v>1</v>
      </c>
      <c r="F6790" t="s">
        <v>448</v>
      </c>
      <c r="G6790" t="str">
        <f>"11-K01-02"</f>
        <v>11-K01-02</v>
      </c>
      <c r="H6790">
        <v>0.82289999999999996</v>
      </c>
      <c r="I6790" t="s">
        <v>4933</v>
      </c>
      <c r="J6790" t="s">
        <v>14</v>
      </c>
      <c r="K6790" t="str">
        <f>"1F5"</f>
        <v>1F5</v>
      </c>
      <c r="L6790" t="s">
        <v>15</v>
      </c>
    </row>
    <row r="6791" spans="1:12" x14ac:dyDescent="0.25">
      <c r="A6791" t="str">
        <f>"5707160756"</f>
        <v>5707160756</v>
      </c>
      <c r="B6791" t="str">
        <f t="shared" si="325"/>
        <v>89301000</v>
      </c>
      <c r="C6791" s="1">
        <v>44516</v>
      </c>
      <c r="D6791" s="1">
        <v>44516</v>
      </c>
      <c r="E6791">
        <v>1</v>
      </c>
      <c r="F6791" t="s">
        <v>1579</v>
      </c>
      <c r="G6791" t="str">
        <f>"05-I14-03"</f>
        <v>05-I14-03</v>
      </c>
      <c r="H6791">
        <v>5.8045</v>
      </c>
      <c r="J6791" t="s">
        <v>14</v>
      </c>
      <c r="K6791" t="str">
        <f>"1F1"</f>
        <v>1F1</v>
      </c>
      <c r="L6791" t="s">
        <v>15</v>
      </c>
    </row>
    <row r="6792" spans="1:12" x14ac:dyDescent="0.25">
      <c r="A6792" t="str">
        <f>"5707232014"</f>
        <v>5707232014</v>
      </c>
      <c r="B6792" t="str">
        <f t="shared" si="325"/>
        <v>89301000</v>
      </c>
      <c r="C6792" s="1">
        <v>44452</v>
      </c>
      <c r="D6792" s="1">
        <v>44454</v>
      </c>
      <c r="E6792">
        <v>1</v>
      </c>
      <c r="F6792" t="s">
        <v>1018</v>
      </c>
      <c r="G6792" t="str">
        <f>"21-K04-00"</f>
        <v>21-K04-00</v>
      </c>
      <c r="H6792">
        <v>0.22789999999999999</v>
      </c>
      <c r="I6792" t="s">
        <v>4934</v>
      </c>
      <c r="J6792" t="s">
        <v>14</v>
      </c>
      <c r="K6792" t="str">
        <f>"1F1"</f>
        <v>1F1</v>
      </c>
      <c r="L6792" t="s">
        <v>15</v>
      </c>
    </row>
    <row r="6793" spans="1:12" x14ac:dyDescent="0.25">
      <c r="A6793" t="str">
        <f>"5707290952"</f>
        <v>5707290952</v>
      </c>
      <c r="B6793" t="str">
        <f t="shared" si="325"/>
        <v>89301000</v>
      </c>
      <c r="C6793" s="1">
        <v>44314</v>
      </c>
      <c r="D6793" s="1">
        <v>44314</v>
      </c>
      <c r="E6793">
        <v>1</v>
      </c>
      <c r="F6793" t="s">
        <v>1557</v>
      </c>
      <c r="G6793" t="str">
        <f>"05-D01-08"</f>
        <v>05-D01-08</v>
      </c>
      <c r="H6793">
        <v>0.21890000000000001</v>
      </c>
      <c r="J6793" t="s">
        <v>14</v>
      </c>
      <c r="K6793" t="str">
        <f>"1F1"</f>
        <v>1F1</v>
      </c>
      <c r="L6793" t="s">
        <v>15</v>
      </c>
    </row>
    <row r="6794" spans="1:12" x14ac:dyDescent="0.25">
      <c r="A6794" t="str">
        <f>"5708181281"</f>
        <v>5708181281</v>
      </c>
      <c r="B6794" t="str">
        <f t="shared" si="325"/>
        <v>89301000</v>
      </c>
      <c r="C6794" s="1">
        <v>44231</v>
      </c>
      <c r="D6794" s="1">
        <v>44232</v>
      </c>
      <c r="E6794">
        <v>1</v>
      </c>
      <c r="F6794" t="s">
        <v>1688</v>
      </c>
      <c r="G6794" t="str">
        <f>"02-I06-03"</f>
        <v>02-I06-03</v>
      </c>
      <c r="H6794">
        <v>0.63690000000000002</v>
      </c>
      <c r="I6794" t="s">
        <v>4935</v>
      </c>
      <c r="J6794" t="s">
        <v>17</v>
      </c>
      <c r="K6794" t="str">
        <f>"7F5"</f>
        <v>7F5</v>
      </c>
      <c r="L6794" t="s">
        <v>15</v>
      </c>
    </row>
    <row r="6795" spans="1:12" x14ac:dyDescent="0.25">
      <c r="A6795" t="str">
        <f>"5708251538"</f>
        <v>5708251538</v>
      </c>
      <c r="B6795" t="str">
        <f t="shared" si="325"/>
        <v>89301000</v>
      </c>
      <c r="C6795" s="1">
        <v>44446</v>
      </c>
      <c r="D6795" s="1">
        <v>44449</v>
      </c>
      <c r="E6795">
        <v>1</v>
      </c>
      <c r="F6795" t="s">
        <v>651</v>
      </c>
      <c r="G6795" t="str">
        <f>"10-K04-04"</f>
        <v>10-K04-04</v>
      </c>
      <c r="H6795">
        <v>0.56330000000000002</v>
      </c>
      <c r="I6795" t="s">
        <v>4936</v>
      </c>
      <c r="J6795" t="s">
        <v>14</v>
      </c>
      <c r="K6795" t="str">
        <f>"1F1"</f>
        <v>1F1</v>
      </c>
      <c r="L6795" t="s">
        <v>15</v>
      </c>
    </row>
    <row r="6796" spans="1:12" x14ac:dyDescent="0.25">
      <c r="A6796" t="str">
        <f>"5708251538"</f>
        <v>5708251538</v>
      </c>
      <c r="B6796" t="str">
        <f t="shared" si="325"/>
        <v>89301000</v>
      </c>
      <c r="C6796" s="1">
        <v>44343</v>
      </c>
      <c r="D6796" s="1">
        <v>44347</v>
      </c>
      <c r="E6796">
        <v>1</v>
      </c>
      <c r="F6796" t="s">
        <v>651</v>
      </c>
      <c r="G6796" t="str">
        <f>"10-K04-02"</f>
        <v>10-K04-02</v>
      </c>
      <c r="H6796">
        <v>1.0504</v>
      </c>
      <c r="I6796" t="s">
        <v>4937</v>
      </c>
      <c r="J6796" t="s">
        <v>14</v>
      </c>
      <c r="K6796" t="str">
        <f>"1F1"</f>
        <v>1F1</v>
      </c>
      <c r="L6796" t="s">
        <v>15</v>
      </c>
    </row>
    <row r="6797" spans="1:12" x14ac:dyDescent="0.25">
      <c r="A6797" t="str">
        <f>"5708271019"</f>
        <v>5708271019</v>
      </c>
      <c r="B6797" t="str">
        <f t="shared" si="325"/>
        <v>89301000</v>
      </c>
      <c r="C6797" s="1">
        <v>44269</v>
      </c>
      <c r="D6797" s="1">
        <v>44285</v>
      </c>
      <c r="E6797">
        <v>8</v>
      </c>
      <c r="F6797" t="s">
        <v>217</v>
      </c>
      <c r="G6797" t="str">
        <f>"00-M02-04"</f>
        <v>00-M02-04</v>
      </c>
      <c r="H6797">
        <v>12.071199999999999</v>
      </c>
      <c r="I6797" t="s">
        <v>4938</v>
      </c>
      <c r="J6797" t="s">
        <v>14</v>
      </c>
      <c r="K6797" t="str">
        <f>"7T8"</f>
        <v>7T8</v>
      </c>
      <c r="L6797" t="s">
        <v>15</v>
      </c>
    </row>
    <row r="6798" spans="1:12" x14ac:dyDescent="0.25">
      <c r="A6798" t="str">
        <f>"5709010318"</f>
        <v>5709010318</v>
      </c>
      <c r="B6798" t="str">
        <f t="shared" si="325"/>
        <v>89301000</v>
      </c>
      <c r="C6798" s="1">
        <v>44266</v>
      </c>
      <c r="D6798" s="1">
        <v>44266</v>
      </c>
      <c r="E6798">
        <v>5</v>
      </c>
      <c r="F6798" t="s">
        <v>2004</v>
      </c>
      <c r="G6798" t="str">
        <f>"05-M06-06"</f>
        <v>05-M06-06</v>
      </c>
      <c r="H6798">
        <v>1.2576000000000001</v>
      </c>
      <c r="J6798" t="s">
        <v>17</v>
      </c>
      <c r="K6798" t="str">
        <f>"1F1"</f>
        <v>1F1</v>
      </c>
      <c r="L6798" t="s">
        <v>15</v>
      </c>
    </row>
    <row r="6799" spans="1:12" x14ac:dyDescent="0.25">
      <c r="A6799" t="str">
        <f>"5709020779"</f>
        <v>5709020779</v>
      </c>
      <c r="B6799" t="str">
        <f t="shared" si="325"/>
        <v>89301000</v>
      </c>
      <c r="C6799" s="1">
        <v>44218</v>
      </c>
      <c r="D6799" s="1">
        <v>44218</v>
      </c>
      <c r="E6799">
        <v>1</v>
      </c>
      <c r="F6799" t="s">
        <v>1557</v>
      </c>
      <c r="G6799" t="str">
        <f>"05-D01-08"</f>
        <v>05-D01-08</v>
      </c>
      <c r="H6799">
        <v>0.21890000000000001</v>
      </c>
      <c r="J6799" t="s">
        <v>14</v>
      </c>
      <c r="K6799" t="str">
        <f>"1F1"</f>
        <v>1F1</v>
      </c>
      <c r="L6799" t="s">
        <v>15</v>
      </c>
    </row>
    <row r="6800" spans="1:12" x14ac:dyDescent="0.25">
      <c r="A6800" t="str">
        <f>"5709020779"</f>
        <v>5709020779</v>
      </c>
      <c r="B6800" t="str">
        <f t="shared" si="325"/>
        <v>89301000</v>
      </c>
      <c r="C6800" s="1">
        <v>44300</v>
      </c>
      <c r="D6800" s="1">
        <v>44308</v>
      </c>
      <c r="E6800">
        <v>1</v>
      </c>
      <c r="F6800" t="s">
        <v>1557</v>
      </c>
      <c r="G6800" t="str">
        <f>"05-I16-07"</f>
        <v>05-I16-07</v>
      </c>
      <c r="H6800">
        <v>4.2412000000000001</v>
      </c>
      <c r="I6800" t="s">
        <v>448</v>
      </c>
      <c r="J6800" t="s">
        <v>17</v>
      </c>
      <c r="K6800" t="str">
        <f>"5F5"</f>
        <v>5F5</v>
      </c>
      <c r="L6800" t="s">
        <v>15</v>
      </c>
    </row>
    <row r="6801" spans="1:12" x14ac:dyDescent="0.25">
      <c r="A6801" t="str">
        <f>"5709020779"</f>
        <v>5709020779</v>
      </c>
      <c r="B6801" t="str">
        <f t="shared" si="325"/>
        <v>89301000</v>
      </c>
      <c r="C6801" s="1">
        <v>44200</v>
      </c>
      <c r="D6801" s="1">
        <v>44202</v>
      </c>
      <c r="E6801">
        <v>1</v>
      </c>
      <c r="F6801" t="s">
        <v>1679</v>
      </c>
      <c r="G6801" t="str">
        <f>"11-I17-03"</f>
        <v>11-I17-03</v>
      </c>
      <c r="H6801">
        <v>0.50609999999999999</v>
      </c>
      <c r="I6801" t="s">
        <v>168</v>
      </c>
      <c r="J6801" t="s">
        <v>14</v>
      </c>
      <c r="K6801" t="str">
        <f>"7F6"</f>
        <v>7F6</v>
      </c>
      <c r="L6801" t="s">
        <v>15</v>
      </c>
    </row>
    <row r="6802" spans="1:12" x14ac:dyDescent="0.25">
      <c r="A6802" t="str">
        <f>"5709041041"</f>
        <v>5709041041</v>
      </c>
      <c r="B6802" t="str">
        <f t="shared" si="325"/>
        <v>89301000</v>
      </c>
      <c r="C6802" s="1">
        <v>44394</v>
      </c>
      <c r="D6802" s="1">
        <v>44398</v>
      </c>
      <c r="E6802">
        <v>1</v>
      </c>
      <c r="F6802" t="s">
        <v>1683</v>
      </c>
      <c r="G6802" t="str">
        <f>"05-D01-06"</f>
        <v>05-D01-06</v>
      </c>
      <c r="H6802">
        <v>0.7611</v>
      </c>
      <c r="I6802" t="s">
        <v>1558</v>
      </c>
      <c r="J6802" t="s">
        <v>14</v>
      </c>
      <c r="K6802" t="str">
        <f>"1F7"</f>
        <v>1F7</v>
      </c>
      <c r="L6802" t="s">
        <v>15</v>
      </c>
    </row>
    <row r="6803" spans="1:12" x14ac:dyDescent="0.25">
      <c r="A6803" t="str">
        <f>"5709042163"</f>
        <v>5709042163</v>
      </c>
      <c r="B6803" t="str">
        <f t="shared" si="325"/>
        <v>89301000</v>
      </c>
      <c r="C6803" s="1">
        <v>44234</v>
      </c>
      <c r="D6803" s="1">
        <v>44238</v>
      </c>
      <c r="E6803">
        <v>1</v>
      </c>
      <c r="F6803" t="s">
        <v>2232</v>
      </c>
      <c r="G6803" t="str">
        <f>"11-I07-01"</f>
        <v>11-I07-01</v>
      </c>
      <c r="H6803">
        <v>2.5975999999999999</v>
      </c>
      <c r="I6803" t="s">
        <v>2288</v>
      </c>
      <c r="J6803" t="s">
        <v>14</v>
      </c>
      <c r="K6803" t="str">
        <f>"7F6"</f>
        <v>7F6</v>
      </c>
      <c r="L6803" t="s">
        <v>15</v>
      </c>
    </row>
    <row r="6804" spans="1:12" x14ac:dyDescent="0.25">
      <c r="A6804" t="str">
        <f>"5709042163"</f>
        <v>5709042163</v>
      </c>
      <c r="B6804" t="str">
        <f t="shared" si="325"/>
        <v>89301000</v>
      </c>
      <c r="C6804" s="1">
        <v>44556</v>
      </c>
      <c r="D6804" s="1">
        <v>44560</v>
      </c>
      <c r="E6804">
        <v>1</v>
      </c>
      <c r="F6804" t="s">
        <v>2585</v>
      </c>
      <c r="G6804" t="str">
        <f>"12-I02-01"</f>
        <v>12-I02-01</v>
      </c>
      <c r="H6804">
        <v>3.1240999999999999</v>
      </c>
      <c r="I6804" t="s">
        <v>4939</v>
      </c>
      <c r="J6804" t="s">
        <v>14</v>
      </c>
      <c r="K6804" t="str">
        <f>"7F6"</f>
        <v>7F6</v>
      </c>
      <c r="L6804" t="s">
        <v>15</v>
      </c>
    </row>
    <row r="6805" spans="1:12" x14ac:dyDescent="0.25">
      <c r="A6805" t="str">
        <f>"5709050545"</f>
        <v>5709050545</v>
      </c>
      <c r="B6805" t="str">
        <f t="shared" si="325"/>
        <v>89301000</v>
      </c>
      <c r="C6805" s="1">
        <v>44302</v>
      </c>
      <c r="D6805" s="1">
        <v>44308</v>
      </c>
      <c r="E6805">
        <v>1</v>
      </c>
      <c r="F6805" t="s">
        <v>588</v>
      </c>
      <c r="G6805" t="str">
        <f>"07-K02-03"</f>
        <v>07-K02-03</v>
      </c>
      <c r="H6805">
        <v>0.7742</v>
      </c>
      <c r="I6805" t="s">
        <v>4940</v>
      </c>
      <c r="J6805" t="s">
        <v>14</v>
      </c>
      <c r="K6805" t="str">
        <f>"1F1"</f>
        <v>1F1</v>
      </c>
      <c r="L6805" t="s">
        <v>15</v>
      </c>
    </row>
    <row r="6806" spans="1:12" x14ac:dyDescent="0.25">
      <c r="A6806" t="str">
        <f>"5709141504"</f>
        <v>5709141504</v>
      </c>
      <c r="B6806" t="str">
        <f t="shared" si="325"/>
        <v>89301000</v>
      </c>
      <c r="C6806" s="1">
        <v>44487</v>
      </c>
      <c r="D6806" s="1">
        <v>44490</v>
      </c>
      <c r="E6806">
        <v>1</v>
      </c>
      <c r="F6806" t="s">
        <v>496</v>
      </c>
      <c r="G6806" t="str">
        <f>"08-M03-05"</f>
        <v>08-M03-05</v>
      </c>
      <c r="H6806">
        <v>0.51759999999999995</v>
      </c>
      <c r="J6806" t="s">
        <v>14</v>
      </c>
      <c r="K6806" t="str">
        <f>"6F6"</f>
        <v>6F6</v>
      </c>
      <c r="L6806" t="s">
        <v>15</v>
      </c>
    </row>
    <row r="6807" spans="1:12" x14ac:dyDescent="0.25">
      <c r="A6807" t="str">
        <f>"5709191026"</f>
        <v>5709191026</v>
      </c>
      <c r="B6807" t="str">
        <f t="shared" si="325"/>
        <v>89301000</v>
      </c>
      <c r="C6807" s="1">
        <v>44221</v>
      </c>
      <c r="D6807" s="1">
        <v>44222</v>
      </c>
      <c r="E6807">
        <v>1</v>
      </c>
      <c r="F6807" t="s">
        <v>2111</v>
      </c>
      <c r="G6807" t="str">
        <f>"10-K15-02"</f>
        <v>10-K15-02</v>
      </c>
      <c r="H6807">
        <v>0.51819999999999999</v>
      </c>
      <c r="I6807" t="s">
        <v>2421</v>
      </c>
      <c r="J6807" t="s">
        <v>14</v>
      </c>
      <c r="K6807" t="str">
        <f>"2F5"</f>
        <v>2F5</v>
      </c>
      <c r="L6807" t="s">
        <v>15</v>
      </c>
    </row>
    <row r="6808" spans="1:12" x14ac:dyDescent="0.25">
      <c r="A6808" t="str">
        <f>"5709210727"</f>
        <v>5709210727</v>
      </c>
      <c r="B6808" t="str">
        <f t="shared" si="325"/>
        <v>89301000</v>
      </c>
      <c r="C6808" s="1">
        <v>44473</v>
      </c>
      <c r="D6808" s="1">
        <v>44476</v>
      </c>
      <c r="E6808">
        <v>1</v>
      </c>
      <c r="F6808" t="s">
        <v>111</v>
      </c>
      <c r="G6808" t="str">
        <f>"08-I31-04"</f>
        <v>08-I31-04</v>
      </c>
      <c r="H6808">
        <v>0.50949999999999995</v>
      </c>
      <c r="J6808" t="s">
        <v>14</v>
      </c>
      <c r="K6808" t="str">
        <f>"6F6"</f>
        <v>6F6</v>
      </c>
      <c r="L6808" t="s">
        <v>15</v>
      </c>
    </row>
    <row r="6809" spans="1:12" x14ac:dyDescent="0.25">
      <c r="A6809" t="str">
        <f>"5709210727"</f>
        <v>5709210727</v>
      </c>
      <c r="B6809" t="str">
        <f t="shared" si="325"/>
        <v>89301000</v>
      </c>
      <c r="C6809" s="1">
        <v>44459</v>
      </c>
      <c r="D6809" s="1">
        <v>44460</v>
      </c>
      <c r="E6809">
        <v>1</v>
      </c>
      <c r="F6809" t="s">
        <v>111</v>
      </c>
      <c r="G6809" t="str">
        <f>"08-K04-03"</f>
        <v>08-K04-03</v>
      </c>
      <c r="H6809">
        <v>0.45050000000000001</v>
      </c>
      <c r="J6809" t="s">
        <v>14</v>
      </c>
      <c r="K6809" t="str">
        <f>"6F6"</f>
        <v>6F6</v>
      </c>
      <c r="L6809" t="s">
        <v>15</v>
      </c>
    </row>
    <row r="6810" spans="1:12" x14ac:dyDescent="0.25">
      <c r="A6810" t="str">
        <f>"5709241637"</f>
        <v>5709241637</v>
      </c>
      <c r="B6810" t="str">
        <f t="shared" si="325"/>
        <v>89301000</v>
      </c>
      <c r="C6810" s="1">
        <v>44229</v>
      </c>
      <c r="D6810" s="1">
        <v>44230</v>
      </c>
      <c r="E6810">
        <v>1</v>
      </c>
      <c r="F6810" t="s">
        <v>2232</v>
      </c>
      <c r="G6810" t="str">
        <f>"11-K07-02"</f>
        <v>11-K07-02</v>
      </c>
      <c r="H6810">
        <v>0.4869</v>
      </c>
      <c r="I6810" t="s">
        <v>2321</v>
      </c>
      <c r="J6810" t="s">
        <v>14</v>
      </c>
      <c r="K6810" t="str">
        <f>"7F6"</f>
        <v>7F6</v>
      </c>
      <c r="L6810" t="s">
        <v>15</v>
      </c>
    </row>
    <row r="6811" spans="1:12" x14ac:dyDescent="0.25">
      <c r="A6811" t="str">
        <f>"5709241637"</f>
        <v>5709241637</v>
      </c>
      <c r="B6811" t="str">
        <f t="shared" si="325"/>
        <v>89301000</v>
      </c>
      <c r="C6811" s="1">
        <v>44392</v>
      </c>
      <c r="D6811" s="1">
        <v>44405</v>
      </c>
      <c r="E6811">
        <v>1</v>
      </c>
      <c r="F6811" t="s">
        <v>2232</v>
      </c>
      <c r="G6811" t="str">
        <f>"11-M01-02"</f>
        <v>11-M01-02</v>
      </c>
      <c r="H6811">
        <v>2.1408999999999998</v>
      </c>
      <c r="I6811" t="s">
        <v>4941</v>
      </c>
      <c r="J6811" t="s">
        <v>17</v>
      </c>
      <c r="K6811" t="str">
        <f>"7F6"</f>
        <v>7F6</v>
      </c>
      <c r="L6811" t="s">
        <v>15</v>
      </c>
    </row>
    <row r="6812" spans="1:12" x14ac:dyDescent="0.25">
      <c r="A6812" t="str">
        <f>"5710020536"</f>
        <v>5710020536</v>
      </c>
      <c r="B6812" t="str">
        <f t="shared" si="325"/>
        <v>89301000</v>
      </c>
      <c r="C6812" s="1">
        <v>44391</v>
      </c>
      <c r="D6812" s="1">
        <v>44405</v>
      </c>
      <c r="E6812">
        <v>1</v>
      </c>
      <c r="F6812" t="s">
        <v>2585</v>
      </c>
      <c r="G6812" t="str">
        <f>"12-D01-00"</f>
        <v>12-D01-00</v>
      </c>
      <c r="H6812">
        <v>1.2894000000000001</v>
      </c>
      <c r="I6812" t="s">
        <v>489</v>
      </c>
      <c r="J6812" t="s">
        <v>14</v>
      </c>
      <c r="K6812" t="str">
        <f>"7F6"</f>
        <v>7F6</v>
      </c>
      <c r="L6812" t="s">
        <v>15</v>
      </c>
    </row>
    <row r="6813" spans="1:12" x14ac:dyDescent="0.25">
      <c r="A6813" t="str">
        <f>"5710020536"</f>
        <v>5710020536</v>
      </c>
      <c r="B6813" t="str">
        <f t="shared" si="325"/>
        <v>89301000</v>
      </c>
      <c r="C6813" s="1">
        <v>44483</v>
      </c>
      <c r="D6813" s="1">
        <v>44496</v>
      </c>
      <c r="E6813">
        <v>1</v>
      </c>
      <c r="F6813" t="s">
        <v>1721</v>
      </c>
      <c r="G6813" t="str">
        <f>"11-K02-03"</f>
        <v>11-K02-03</v>
      </c>
      <c r="H6813">
        <v>0.83830000000000005</v>
      </c>
      <c r="I6813" t="s">
        <v>4942</v>
      </c>
      <c r="J6813" t="s">
        <v>14</v>
      </c>
      <c r="K6813" t="str">
        <f>"1F1"</f>
        <v>1F1</v>
      </c>
      <c r="L6813" t="s">
        <v>15</v>
      </c>
    </row>
    <row r="6814" spans="1:12" x14ac:dyDescent="0.25">
      <c r="A6814" t="str">
        <f>"5710051743"</f>
        <v>5710051743</v>
      </c>
      <c r="B6814" t="str">
        <f t="shared" si="325"/>
        <v>89301000</v>
      </c>
      <c r="C6814" s="1">
        <v>44203</v>
      </c>
      <c r="D6814" s="1">
        <v>44209</v>
      </c>
      <c r="E6814">
        <v>1</v>
      </c>
      <c r="F6814" t="s">
        <v>3604</v>
      </c>
      <c r="G6814" t="str">
        <f>"08-I03-02"</f>
        <v>08-I03-02</v>
      </c>
      <c r="H6814">
        <v>7.0648999999999997</v>
      </c>
      <c r="I6814" t="s">
        <v>4943</v>
      </c>
      <c r="J6814" t="s">
        <v>17</v>
      </c>
      <c r="K6814" t="str">
        <f>"5F6"</f>
        <v>5F6</v>
      </c>
      <c r="L6814" t="s">
        <v>15</v>
      </c>
    </row>
    <row r="6815" spans="1:12" x14ac:dyDescent="0.25">
      <c r="A6815" t="str">
        <f>"5710071059"</f>
        <v>5710071059</v>
      </c>
      <c r="B6815" t="str">
        <f t="shared" si="325"/>
        <v>89301000</v>
      </c>
      <c r="C6815" s="1">
        <v>44480</v>
      </c>
      <c r="D6815" s="1">
        <v>44483</v>
      </c>
      <c r="E6815">
        <v>1</v>
      </c>
      <c r="F6815" t="s">
        <v>938</v>
      </c>
      <c r="G6815" t="str">
        <f>"06-I17-04"</f>
        <v>06-I17-04</v>
      </c>
      <c r="H6815">
        <v>0.49940000000000001</v>
      </c>
      <c r="J6815" t="s">
        <v>17</v>
      </c>
      <c r="K6815" t="str">
        <f>"5F1"</f>
        <v>5F1</v>
      </c>
      <c r="L6815" t="s">
        <v>15</v>
      </c>
    </row>
    <row r="6816" spans="1:12" x14ac:dyDescent="0.25">
      <c r="A6816" t="str">
        <f>"5710101012"</f>
        <v>5710101012</v>
      </c>
      <c r="B6816" t="str">
        <f t="shared" si="325"/>
        <v>89301000</v>
      </c>
      <c r="C6816" s="1">
        <v>44238</v>
      </c>
      <c r="D6816" s="1">
        <v>44241</v>
      </c>
      <c r="E6816">
        <v>1</v>
      </c>
      <c r="F6816" t="s">
        <v>1928</v>
      </c>
      <c r="G6816" t="str">
        <f>"11-I16-02"</f>
        <v>11-I16-02</v>
      </c>
      <c r="H6816">
        <v>0.49480000000000002</v>
      </c>
      <c r="J6816" t="s">
        <v>14</v>
      </c>
      <c r="K6816" t="str">
        <f>"5F1"</f>
        <v>5F1</v>
      </c>
      <c r="L6816" t="s">
        <v>15</v>
      </c>
    </row>
    <row r="6817" spans="1:12" x14ac:dyDescent="0.25">
      <c r="A6817" t="str">
        <f>"5710300640"</f>
        <v>5710300640</v>
      </c>
      <c r="B6817" t="str">
        <f t="shared" si="325"/>
        <v>89301000</v>
      </c>
      <c r="C6817" s="1">
        <v>44305</v>
      </c>
      <c r="D6817" s="1">
        <v>44313</v>
      </c>
      <c r="E6817">
        <v>8</v>
      </c>
      <c r="F6817" t="s">
        <v>217</v>
      </c>
      <c r="G6817" t="str">
        <f>"00-M01-04"</f>
        <v>00-M01-04</v>
      </c>
      <c r="H6817">
        <v>6.85</v>
      </c>
      <c r="I6817" t="s">
        <v>4944</v>
      </c>
      <c r="J6817" t="s">
        <v>14</v>
      </c>
      <c r="K6817" t="str">
        <f>"7T8"</f>
        <v>7T8</v>
      </c>
      <c r="L6817" t="s">
        <v>15</v>
      </c>
    </row>
    <row r="6818" spans="1:12" x14ac:dyDescent="0.25">
      <c r="A6818" t="str">
        <f>"5710312003"</f>
        <v>5710312003</v>
      </c>
      <c r="B6818" t="str">
        <f t="shared" si="325"/>
        <v>89301000</v>
      </c>
      <c r="C6818" s="1">
        <v>44551</v>
      </c>
      <c r="D6818" s="1">
        <v>44553</v>
      </c>
      <c r="E6818">
        <v>1</v>
      </c>
      <c r="F6818" t="s">
        <v>320</v>
      </c>
      <c r="G6818" t="str">
        <f>"03-I23-00"</f>
        <v>03-I23-00</v>
      </c>
      <c r="H6818">
        <v>0.47639999999999999</v>
      </c>
      <c r="I6818" t="s">
        <v>4945</v>
      </c>
      <c r="J6818" t="s">
        <v>14</v>
      </c>
      <c r="K6818" t="str">
        <f>"6F5"</f>
        <v>6F5</v>
      </c>
      <c r="L6818" t="s">
        <v>15</v>
      </c>
    </row>
    <row r="6819" spans="1:12" x14ac:dyDescent="0.25">
      <c r="A6819" t="str">
        <f>"5711021514"</f>
        <v>5711021514</v>
      </c>
      <c r="B6819" t="str">
        <f t="shared" si="325"/>
        <v>89301000</v>
      </c>
      <c r="C6819" s="1">
        <v>44501</v>
      </c>
      <c r="D6819" s="1">
        <v>44504</v>
      </c>
      <c r="E6819">
        <v>1</v>
      </c>
      <c r="F6819" t="s">
        <v>1955</v>
      </c>
      <c r="G6819" t="str">
        <f>"01-I01-02"</f>
        <v>01-I01-02</v>
      </c>
      <c r="H6819">
        <v>11.2827</v>
      </c>
      <c r="I6819" t="s">
        <v>453</v>
      </c>
      <c r="J6819" t="s">
        <v>24</v>
      </c>
      <c r="K6819" t="str">
        <f>"2F9"</f>
        <v>2F9</v>
      </c>
      <c r="L6819" t="s">
        <v>15</v>
      </c>
    </row>
    <row r="6820" spans="1:12" x14ac:dyDescent="0.25">
      <c r="A6820" t="str">
        <f>"5711091474"</f>
        <v>5711091474</v>
      </c>
      <c r="B6820" t="str">
        <f t="shared" si="325"/>
        <v>89301000</v>
      </c>
      <c r="C6820" s="1">
        <v>44325</v>
      </c>
      <c r="D6820" s="1">
        <v>44327</v>
      </c>
      <c r="E6820">
        <v>1</v>
      </c>
      <c r="F6820" t="s">
        <v>287</v>
      </c>
      <c r="G6820" t="str">
        <f>"01-K16-06"</f>
        <v>01-K16-06</v>
      </c>
      <c r="H6820">
        <v>0.26469999999999999</v>
      </c>
      <c r="I6820" t="s">
        <v>4946</v>
      </c>
      <c r="J6820" t="s">
        <v>14</v>
      </c>
      <c r="K6820" t="str">
        <f>"5F3"</f>
        <v>5F3</v>
      </c>
      <c r="L6820" t="s">
        <v>15</v>
      </c>
    </row>
    <row r="6821" spans="1:12" x14ac:dyDescent="0.25">
      <c r="A6821" t="str">
        <f>"5711140149"</f>
        <v>5711140149</v>
      </c>
      <c r="B6821" t="str">
        <f t="shared" si="325"/>
        <v>89301000</v>
      </c>
      <c r="C6821" s="1">
        <v>44217</v>
      </c>
      <c r="D6821" s="1">
        <v>44217</v>
      </c>
      <c r="E6821">
        <v>5</v>
      </c>
      <c r="F6821" t="s">
        <v>1557</v>
      </c>
      <c r="G6821" t="str">
        <f>"05-M06-08"</f>
        <v>05-M06-08</v>
      </c>
      <c r="H6821">
        <v>1.1200000000000001</v>
      </c>
      <c r="J6821" t="s">
        <v>17</v>
      </c>
      <c r="K6821" t="str">
        <f>"1F1"</f>
        <v>1F1</v>
      </c>
      <c r="L6821" t="s">
        <v>15</v>
      </c>
    </row>
    <row r="6822" spans="1:12" x14ac:dyDescent="0.25">
      <c r="A6822" t="str">
        <f>"5711162105"</f>
        <v>5711162105</v>
      </c>
      <c r="B6822" t="str">
        <f t="shared" si="325"/>
        <v>89301000</v>
      </c>
      <c r="C6822" s="1">
        <v>44211</v>
      </c>
      <c r="D6822" s="1">
        <v>44217</v>
      </c>
      <c r="E6822">
        <v>1</v>
      </c>
      <c r="F6822" t="s">
        <v>1299</v>
      </c>
      <c r="G6822" t="str">
        <f>"03-I12-03"</f>
        <v>03-I12-03</v>
      </c>
      <c r="H6822">
        <v>1.0016</v>
      </c>
      <c r="I6822" t="s">
        <v>4947</v>
      </c>
      <c r="J6822" t="s">
        <v>17</v>
      </c>
      <c r="K6822" t="str">
        <f>"7F1"</f>
        <v>7F1</v>
      </c>
      <c r="L6822" t="s">
        <v>15</v>
      </c>
    </row>
    <row r="6823" spans="1:12" x14ac:dyDescent="0.25">
      <c r="A6823" t="str">
        <f>"5711261083"</f>
        <v>5711261083</v>
      </c>
      <c r="B6823" t="str">
        <f t="shared" si="325"/>
        <v>89301000</v>
      </c>
      <c r="C6823" s="1">
        <v>44482</v>
      </c>
      <c r="D6823" s="1">
        <v>44483</v>
      </c>
      <c r="E6823">
        <v>1</v>
      </c>
      <c r="F6823" t="s">
        <v>1936</v>
      </c>
      <c r="G6823" t="str">
        <f>"05-D01-06"</f>
        <v>05-D01-06</v>
      </c>
      <c r="H6823">
        <v>0.7611</v>
      </c>
      <c r="I6823" t="s">
        <v>4948</v>
      </c>
      <c r="J6823" t="s">
        <v>14</v>
      </c>
      <c r="K6823" t="str">
        <f>"1F1"</f>
        <v>1F1</v>
      </c>
      <c r="L6823" t="s">
        <v>15</v>
      </c>
    </row>
    <row r="6824" spans="1:12" x14ac:dyDescent="0.25">
      <c r="A6824" t="str">
        <f>"5711281444"</f>
        <v>5711281444</v>
      </c>
      <c r="B6824" t="str">
        <f t="shared" si="325"/>
        <v>89301000</v>
      </c>
      <c r="C6824" s="1">
        <v>44532</v>
      </c>
      <c r="D6824" s="1">
        <v>44535</v>
      </c>
      <c r="E6824">
        <v>1</v>
      </c>
      <c r="F6824" t="s">
        <v>38</v>
      </c>
      <c r="G6824" t="str">
        <f>"05-M06-06"</f>
        <v>05-M06-06</v>
      </c>
      <c r="H6824">
        <v>1.7652000000000001</v>
      </c>
      <c r="J6824" t="s">
        <v>17</v>
      </c>
      <c r="K6824" t="str">
        <f>"1F1"</f>
        <v>1F1</v>
      </c>
      <c r="L6824" t="s">
        <v>15</v>
      </c>
    </row>
    <row r="6825" spans="1:12" x14ac:dyDescent="0.25">
      <c r="A6825" t="str">
        <f>"5711291124"</f>
        <v>5711291124</v>
      </c>
      <c r="B6825" t="str">
        <f t="shared" si="325"/>
        <v>89301000</v>
      </c>
      <c r="C6825" s="1">
        <v>44440</v>
      </c>
      <c r="D6825" s="1">
        <v>44441</v>
      </c>
      <c r="E6825">
        <v>1</v>
      </c>
      <c r="F6825" t="s">
        <v>1602</v>
      </c>
      <c r="G6825" t="str">
        <f>"05-D01-06"</f>
        <v>05-D01-06</v>
      </c>
      <c r="H6825">
        <v>0.7611</v>
      </c>
      <c r="I6825" t="s">
        <v>4949</v>
      </c>
      <c r="J6825" t="s">
        <v>14</v>
      </c>
      <c r="K6825" t="str">
        <f>"1F7"</f>
        <v>1F7</v>
      </c>
      <c r="L6825" t="s">
        <v>15</v>
      </c>
    </row>
    <row r="6826" spans="1:12" x14ac:dyDescent="0.25">
      <c r="A6826" t="str">
        <f>"5712021458"</f>
        <v>5712021458</v>
      </c>
      <c r="B6826" t="str">
        <f t="shared" si="325"/>
        <v>89301000</v>
      </c>
      <c r="C6826" s="1">
        <v>44551</v>
      </c>
      <c r="D6826" s="1">
        <v>44560</v>
      </c>
      <c r="E6826">
        <v>1</v>
      </c>
      <c r="F6826" t="s">
        <v>472</v>
      </c>
      <c r="G6826" t="str">
        <f>"12-K01-02"</f>
        <v>12-K01-02</v>
      </c>
      <c r="H6826">
        <v>0.502</v>
      </c>
      <c r="I6826" t="s">
        <v>4950</v>
      </c>
      <c r="J6826" t="s">
        <v>14</v>
      </c>
      <c r="K6826" t="str">
        <f>"7F6"</f>
        <v>7F6</v>
      </c>
      <c r="L6826" t="s">
        <v>15</v>
      </c>
    </row>
    <row r="6827" spans="1:12" x14ac:dyDescent="0.25">
      <c r="A6827" t="str">
        <f>"5712021458"</f>
        <v>5712021458</v>
      </c>
      <c r="B6827" t="str">
        <f t="shared" si="325"/>
        <v>89301000</v>
      </c>
      <c r="C6827" s="1">
        <v>44389</v>
      </c>
      <c r="D6827" s="1">
        <v>44390</v>
      </c>
      <c r="E6827">
        <v>1</v>
      </c>
      <c r="F6827" t="s">
        <v>1557</v>
      </c>
      <c r="G6827" t="str">
        <f>"05-D01-08"</f>
        <v>05-D01-08</v>
      </c>
      <c r="H6827">
        <v>0.72089999999999999</v>
      </c>
      <c r="I6827" t="s">
        <v>1959</v>
      </c>
      <c r="J6827" t="s">
        <v>14</v>
      </c>
      <c r="K6827" t="str">
        <f>"1F7"</f>
        <v>1F7</v>
      </c>
      <c r="L6827" t="s">
        <v>15</v>
      </c>
    </row>
    <row r="6828" spans="1:12" x14ac:dyDescent="0.25">
      <c r="A6828" t="str">
        <f>"5712021458"</f>
        <v>5712021458</v>
      </c>
      <c r="B6828" t="str">
        <f t="shared" si="325"/>
        <v>89301000</v>
      </c>
      <c r="C6828" s="1">
        <v>44215</v>
      </c>
      <c r="D6828" s="1">
        <v>44228</v>
      </c>
      <c r="E6828">
        <v>1</v>
      </c>
      <c r="F6828" t="s">
        <v>217</v>
      </c>
      <c r="G6828" t="str">
        <f>"00-M01-04"</f>
        <v>00-M01-04</v>
      </c>
      <c r="H6828">
        <v>6.85</v>
      </c>
      <c r="I6828" t="s">
        <v>4951</v>
      </c>
      <c r="J6828" t="s">
        <v>14</v>
      </c>
      <c r="K6828" t="str">
        <f>"1F6"</f>
        <v>1F6</v>
      </c>
      <c r="L6828" t="s">
        <v>15</v>
      </c>
    </row>
    <row r="6829" spans="1:12" x14ac:dyDescent="0.25">
      <c r="A6829" t="str">
        <f>"5712100757"</f>
        <v>5712100757</v>
      </c>
      <c r="B6829" t="str">
        <f t="shared" si="325"/>
        <v>89301000</v>
      </c>
      <c r="C6829" s="1">
        <v>44544</v>
      </c>
      <c r="D6829" s="1">
        <v>44551</v>
      </c>
      <c r="E6829">
        <v>2</v>
      </c>
      <c r="F6829" t="s">
        <v>1096</v>
      </c>
      <c r="G6829" t="str">
        <f>"04-K02-02"</f>
        <v>04-K02-02</v>
      </c>
      <c r="H6829">
        <v>2.5186000000000002</v>
      </c>
      <c r="I6829" t="s">
        <v>4952</v>
      </c>
      <c r="J6829" t="s">
        <v>14</v>
      </c>
      <c r="K6829" t="str">
        <f>"1F1"</f>
        <v>1F1</v>
      </c>
      <c r="L6829" t="s">
        <v>15</v>
      </c>
    </row>
    <row r="6830" spans="1:12" x14ac:dyDescent="0.25">
      <c r="A6830" t="str">
        <f>"5712146440"</f>
        <v>5712146440</v>
      </c>
      <c r="B6830" t="str">
        <f t="shared" si="325"/>
        <v>89301000</v>
      </c>
      <c r="C6830" s="1">
        <v>44405</v>
      </c>
      <c r="D6830" s="1">
        <v>44406</v>
      </c>
      <c r="E6830">
        <v>1</v>
      </c>
      <c r="F6830" t="s">
        <v>4094</v>
      </c>
      <c r="G6830" t="str">
        <f>"01-I13-00"</f>
        <v>01-I13-00</v>
      </c>
      <c r="H6830">
        <v>0.42880000000000001</v>
      </c>
      <c r="J6830" t="s">
        <v>14</v>
      </c>
      <c r="K6830" t="str">
        <f>"5F6"</f>
        <v>5F6</v>
      </c>
      <c r="L6830" t="s">
        <v>15</v>
      </c>
    </row>
    <row r="6831" spans="1:12" x14ac:dyDescent="0.25">
      <c r="A6831" t="str">
        <f>"5712290089"</f>
        <v>5712290089</v>
      </c>
      <c r="B6831" t="str">
        <f t="shared" si="325"/>
        <v>89301000</v>
      </c>
      <c r="C6831" s="1">
        <v>44354</v>
      </c>
      <c r="D6831" s="1">
        <v>44357</v>
      </c>
      <c r="E6831">
        <v>1</v>
      </c>
      <c r="F6831" t="s">
        <v>39</v>
      </c>
      <c r="G6831" t="str">
        <f>"03-I19-03"</f>
        <v>03-I19-03</v>
      </c>
      <c r="H6831">
        <v>0.60699999999999998</v>
      </c>
      <c r="I6831" t="s">
        <v>320</v>
      </c>
      <c r="J6831" t="s">
        <v>14</v>
      </c>
      <c r="K6831" t="str">
        <f>"6F5"</f>
        <v>6F5</v>
      </c>
      <c r="L6831" t="s">
        <v>15</v>
      </c>
    </row>
    <row r="6832" spans="1:12" x14ac:dyDescent="0.25">
      <c r="A6832" t="str">
        <f>"5712310857"</f>
        <v>5712310857</v>
      </c>
      <c r="B6832" t="str">
        <f t="shared" si="325"/>
        <v>89301000</v>
      </c>
      <c r="C6832" s="1">
        <v>44265</v>
      </c>
      <c r="D6832" s="1">
        <v>44293</v>
      </c>
      <c r="E6832">
        <v>8</v>
      </c>
      <c r="F6832" t="s">
        <v>217</v>
      </c>
      <c r="G6832" t="str">
        <f>"00-M02-04"</f>
        <v>00-M02-04</v>
      </c>
      <c r="H6832">
        <v>12.071199999999999</v>
      </c>
      <c r="I6832" t="s">
        <v>4953</v>
      </c>
      <c r="J6832" t="s">
        <v>14</v>
      </c>
      <c r="K6832" t="str">
        <f>"1T1"</f>
        <v>1T1</v>
      </c>
      <c r="L6832" t="s">
        <v>15</v>
      </c>
    </row>
    <row r="6833" spans="1:12" x14ac:dyDescent="0.25">
      <c r="A6833" t="str">
        <f>"5712310901"</f>
        <v>5712310901</v>
      </c>
      <c r="B6833" t="str">
        <f t="shared" si="325"/>
        <v>89301000</v>
      </c>
      <c r="C6833" s="1">
        <v>44440</v>
      </c>
      <c r="D6833" s="1">
        <v>44441</v>
      </c>
      <c r="E6833">
        <v>1</v>
      </c>
      <c r="F6833" t="s">
        <v>390</v>
      </c>
      <c r="G6833" t="str">
        <f>"12-I13-02"</f>
        <v>12-I13-02</v>
      </c>
      <c r="H6833">
        <v>0.57240000000000002</v>
      </c>
      <c r="I6833" t="s">
        <v>4954</v>
      </c>
      <c r="J6833" t="s">
        <v>24</v>
      </c>
      <c r="K6833" t="str">
        <f>"7F6"</f>
        <v>7F6</v>
      </c>
      <c r="L6833" t="s">
        <v>15</v>
      </c>
    </row>
    <row r="6834" spans="1:12" x14ac:dyDescent="0.25">
      <c r="A6834" t="str">
        <f>"5751081611"</f>
        <v>5751081611</v>
      </c>
      <c r="B6834" t="str">
        <f t="shared" si="325"/>
        <v>89301000</v>
      </c>
      <c r="C6834" s="1">
        <v>44459</v>
      </c>
      <c r="D6834" s="1">
        <v>44463</v>
      </c>
      <c r="E6834">
        <v>1</v>
      </c>
      <c r="F6834" t="s">
        <v>79</v>
      </c>
      <c r="G6834" t="str">
        <f>"10-K06-00"</f>
        <v>10-K06-00</v>
      </c>
      <c r="H6834">
        <v>0.49630000000000002</v>
      </c>
      <c r="I6834" t="s">
        <v>4498</v>
      </c>
      <c r="J6834" t="s">
        <v>14</v>
      </c>
      <c r="K6834" t="str">
        <f>"4F7"</f>
        <v>4F7</v>
      </c>
      <c r="L6834" t="s">
        <v>15</v>
      </c>
    </row>
    <row r="6835" spans="1:12" x14ac:dyDescent="0.25">
      <c r="A6835" t="str">
        <f>"5751116283"</f>
        <v>5751116283</v>
      </c>
      <c r="B6835" t="str">
        <f t="shared" si="325"/>
        <v>89301000</v>
      </c>
      <c r="C6835" s="1">
        <v>44517</v>
      </c>
      <c r="D6835" s="1">
        <v>44530</v>
      </c>
      <c r="E6835">
        <v>1</v>
      </c>
      <c r="F6835" t="s">
        <v>3511</v>
      </c>
      <c r="G6835" t="str">
        <f>"16-K02-03"</f>
        <v>16-K02-03</v>
      </c>
      <c r="H6835">
        <v>0.78669999999999995</v>
      </c>
      <c r="I6835" t="s">
        <v>2361</v>
      </c>
      <c r="J6835" t="s">
        <v>14</v>
      </c>
      <c r="K6835" t="str">
        <f>"2F2"</f>
        <v>2F2</v>
      </c>
      <c r="L6835" t="s">
        <v>15</v>
      </c>
    </row>
    <row r="6836" spans="1:12" x14ac:dyDescent="0.25">
      <c r="A6836" t="str">
        <f>"5751121629"</f>
        <v>5751121629</v>
      </c>
      <c r="B6836" t="str">
        <f t="shared" si="325"/>
        <v>89301000</v>
      </c>
      <c r="C6836" s="1">
        <v>44523</v>
      </c>
      <c r="D6836" s="1">
        <v>44525</v>
      </c>
      <c r="E6836">
        <v>1</v>
      </c>
      <c r="F6836" t="s">
        <v>28</v>
      </c>
      <c r="G6836" t="str">
        <f>"03-I12-02"</f>
        <v>03-I12-02</v>
      </c>
      <c r="H6836">
        <v>1.3232999999999999</v>
      </c>
      <c r="I6836" t="s">
        <v>4955</v>
      </c>
      <c r="J6836" t="s">
        <v>17</v>
      </c>
      <c r="K6836" t="str">
        <f>"7F1"</f>
        <v>7F1</v>
      </c>
      <c r="L6836" t="s">
        <v>15</v>
      </c>
    </row>
    <row r="6837" spans="1:12" x14ac:dyDescent="0.25">
      <c r="A6837" t="str">
        <f>"5751140395"</f>
        <v>5751140395</v>
      </c>
      <c r="B6837" t="str">
        <f t="shared" si="325"/>
        <v>89301000</v>
      </c>
      <c r="C6837" s="1">
        <v>44294</v>
      </c>
      <c r="D6837" s="1">
        <v>44296</v>
      </c>
      <c r="E6837">
        <v>1</v>
      </c>
      <c r="F6837" t="s">
        <v>2360</v>
      </c>
      <c r="G6837" t="str">
        <f>"06-M01-02"</f>
        <v>06-M01-02</v>
      </c>
      <c r="H6837">
        <v>1.2191000000000001</v>
      </c>
      <c r="I6837" t="s">
        <v>489</v>
      </c>
      <c r="J6837" t="s">
        <v>14</v>
      </c>
      <c r="K6837" t="str">
        <f>"1F5"</f>
        <v>1F5</v>
      </c>
      <c r="L6837" t="s">
        <v>15</v>
      </c>
    </row>
    <row r="6838" spans="1:12" x14ac:dyDescent="0.25">
      <c r="A6838" t="str">
        <f>"5751191314"</f>
        <v>5751191314</v>
      </c>
      <c r="B6838" t="str">
        <f t="shared" si="325"/>
        <v>89301000</v>
      </c>
      <c r="C6838" s="1">
        <v>44413</v>
      </c>
      <c r="D6838" s="1">
        <v>44415</v>
      </c>
      <c r="E6838">
        <v>1</v>
      </c>
      <c r="F6838" t="s">
        <v>1567</v>
      </c>
      <c r="G6838" t="str">
        <f>"05-I25-03"</f>
        <v>05-I25-03</v>
      </c>
      <c r="H6838">
        <v>1.5508</v>
      </c>
      <c r="I6838" t="s">
        <v>1992</v>
      </c>
      <c r="J6838" t="s">
        <v>17</v>
      </c>
      <c r="K6838" t="str">
        <f>"1F7"</f>
        <v>1F7</v>
      </c>
      <c r="L6838" t="s">
        <v>15</v>
      </c>
    </row>
    <row r="6839" spans="1:12" x14ac:dyDescent="0.25">
      <c r="A6839" t="str">
        <f>"5751200444"</f>
        <v>5751200444</v>
      </c>
      <c r="B6839" t="str">
        <f t="shared" si="325"/>
        <v>89301000</v>
      </c>
      <c r="C6839" s="1">
        <v>44308</v>
      </c>
      <c r="D6839" s="1">
        <v>44313</v>
      </c>
      <c r="E6839">
        <v>1</v>
      </c>
      <c r="F6839" t="s">
        <v>600</v>
      </c>
      <c r="G6839" t="str">
        <f>"01-I06-04"</f>
        <v>01-I06-04</v>
      </c>
      <c r="H6839">
        <v>3.6231</v>
      </c>
      <c r="J6839" t="s">
        <v>17</v>
      </c>
      <c r="K6839" t="str">
        <f>"5F6"</f>
        <v>5F6</v>
      </c>
      <c r="L6839" t="s">
        <v>15</v>
      </c>
    </row>
    <row r="6840" spans="1:12" x14ac:dyDescent="0.25">
      <c r="A6840" t="str">
        <f>"5751200444"</f>
        <v>5751200444</v>
      </c>
      <c r="B6840" t="str">
        <f t="shared" si="325"/>
        <v>89301000</v>
      </c>
      <c r="C6840" s="1">
        <v>44384</v>
      </c>
      <c r="D6840" s="1">
        <v>44388</v>
      </c>
      <c r="E6840">
        <v>1</v>
      </c>
      <c r="F6840" t="s">
        <v>1565</v>
      </c>
      <c r="G6840" t="str">
        <f>"01-I06-02"</f>
        <v>01-I06-02</v>
      </c>
      <c r="H6840">
        <v>5.1687000000000003</v>
      </c>
      <c r="I6840" t="s">
        <v>4956</v>
      </c>
      <c r="J6840" t="s">
        <v>17</v>
      </c>
      <c r="K6840" t="str">
        <f>"5F6"</f>
        <v>5F6</v>
      </c>
      <c r="L6840" t="s">
        <v>15</v>
      </c>
    </row>
    <row r="6841" spans="1:12" x14ac:dyDescent="0.25">
      <c r="A6841" t="str">
        <f>"5751200444"</f>
        <v>5751200444</v>
      </c>
      <c r="B6841" t="str">
        <f t="shared" si="325"/>
        <v>89301000</v>
      </c>
      <c r="C6841" s="1">
        <v>44474</v>
      </c>
      <c r="D6841" s="1">
        <v>44475</v>
      </c>
      <c r="E6841">
        <v>5</v>
      </c>
      <c r="F6841" t="s">
        <v>1565</v>
      </c>
      <c r="G6841" t="str">
        <f>"01-K13-02"</f>
        <v>01-K13-02</v>
      </c>
      <c r="H6841">
        <v>0.7954</v>
      </c>
      <c r="I6841" t="s">
        <v>4957</v>
      </c>
      <c r="J6841" t="s">
        <v>14</v>
      </c>
      <c r="K6841" t="str">
        <f>"5F6"</f>
        <v>5F6</v>
      </c>
      <c r="L6841" t="s">
        <v>15</v>
      </c>
    </row>
    <row r="6842" spans="1:12" x14ac:dyDescent="0.25">
      <c r="A6842" t="str">
        <f>"5751201412"</f>
        <v>5751201412</v>
      </c>
      <c r="B6842" t="str">
        <f t="shared" si="325"/>
        <v>89301000</v>
      </c>
      <c r="C6842" s="1">
        <v>44202</v>
      </c>
      <c r="D6842" s="1">
        <v>44207</v>
      </c>
      <c r="E6842">
        <v>1</v>
      </c>
      <c r="F6842" t="s">
        <v>1551</v>
      </c>
      <c r="G6842" t="str">
        <f>"09-I06-03"</f>
        <v>09-I06-03</v>
      </c>
      <c r="H6842">
        <v>1.4382999999999999</v>
      </c>
      <c r="J6842" t="s">
        <v>17</v>
      </c>
      <c r="K6842" t="str">
        <f>"5F1"</f>
        <v>5F1</v>
      </c>
      <c r="L6842" t="s">
        <v>15</v>
      </c>
    </row>
    <row r="6843" spans="1:12" x14ac:dyDescent="0.25">
      <c r="A6843" t="str">
        <f>"5751231772"</f>
        <v>5751231772</v>
      </c>
      <c r="B6843" t="str">
        <f t="shared" si="325"/>
        <v>89301000</v>
      </c>
      <c r="C6843" s="1">
        <v>44510</v>
      </c>
      <c r="D6843" s="1">
        <v>44518</v>
      </c>
      <c r="E6843">
        <v>1</v>
      </c>
      <c r="F6843" t="s">
        <v>217</v>
      </c>
      <c r="G6843" t="str">
        <f>"04-K02-04"</f>
        <v>04-K02-04</v>
      </c>
      <c r="H6843">
        <v>0.82469999999999999</v>
      </c>
      <c r="I6843" t="s">
        <v>1542</v>
      </c>
      <c r="J6843" t="s">
        <v>14</v>
      </c>
      <c r="K6843" t="str">
        <f>"1F1"</f>
        <v>1F1</v>
      </c>
      <c r="L6843" t="s">
        <v>15</v>
      </c>
    </row>
    <row r="6844" spans="1:12" x14ac:dyDescent="0.25">
      <c r="A6844" t="str">
        <f>"5751271713"</f>
        <v>5751271713</v>
      </c>
      <c r="B6844" t="str">
        <f t="shared" si="325"/>
        <v>89301000</v>
      </c>
      <c r="C6844" s="1">
        <v>44209</v>
      </c>
      <c r="D6844" s="1">
        <v>44211</v>
      </c>
      <c r="E6844">
        <v>1</v>
      </c>
      <c r="F6844" t="s">
        <v>1551</v>
      </c>
      <c r="G6844" t="str">
        <f>"09-I06-04"</f>
        <v>09-I06-04</v>
      </c>
      <c r="H6844">
        <v>0.98829999999999996</v>
      </c>
      <c r="I6844" t="s">
        <v>3885</v>
      </c>
      <c r="J6844" t="s">
        <v>17</v>
      </c>
      <c r="K6844" t="str">
        <f>"5F1"</f>
        <v>5F1</v>
      </c>
      <c r="L6844" t="s">
        <v>15</v>
      </c>
    </row>
    <row r="6845" spans="1:12" x14ac:dyDescent="0.25">
      <c r="A6845" t="str">
        <f>"5751271713"</f>
        <v>5751271713</v>
      </c>
      <c r="B6845" t="str">
        <f t="shared" si="325"/>
        <v>89301000</v>
      </c>
      <c r="C6845" s="1">
        <v>44223</v>
      </c>
      <c r="D6845" s="1">
        <v>44225</v>
      </c>
      <c r="E6845">
        <v>1</v>
      </c>
      <c r="F6845" t="s">
        <v>1551</v>
      </c>
      <c r="G6845" t="str">
        <f>"09-K08-02"</f>
        <v>09-K08-02</v>
      </c>
      <c r="H6845">
        <v>0.54849999999999999</v>
      </c>
      <c r="I6845" t="s">
        <v>4958</v>
      </c>
      <c r="J6845" t="s">
        <v>14</v>
      </c>
      <c r="K6845" t="str">
        <f>"5F1"</f>
        <v>5F1</v>
      </c>
      <c r="L6845" t="s">
        <v>15</v>
      </c>
    </row>
    <row r="6846" spans="1:12" x14ac:dyDescent="0.25">
      <c r="A6846" t="str">
        <f>"5751291722"</f>
        <v>5751291722</v>
      </c>
      <c r="B6846" t="str">
        <f t="shared" ref="B6846:B6909" si="326">"89301000"</f>
        <v>89301000</v>
      </c>
      <c r="C6846" s="1">
        <v>44353</v>
      </c>
      <c r="D6846" s="1">
        <v>44357</v>
      </c>
      <c r="E6846">
        <v>1</v>
      </c>
      <c r="F6846" t="s">
        <v>81</v>
      </c>
      <c r="G6846" t="str">
        <f>"10-I13-02"</f>
        <v>10-I13-02</v>
      </c>
      <c r="H6846">
        <v>1.1468</v>
      </c>
      <c r="I6846" t="s">
        <v>489</v>
      </c>
      <c r="J6846" t="s">
        <v>24</v>
      </c>
      <c r="K6846" t="str">
        <f>"5F1"</f>
        <v>5F1</v>
      </c>
      <c r="L6846" t="s">
        <v>15</v>
      </c>
    </row>
    <row r="6847" spans="1:12" x14ac:dyDescent="0.25">
      <c r="A6847" t="str">
        <f>"5751310499"</f>
        <v>5751310499</v>
      </c>
      <c r="B6847" t="str">
        <f t="shared" si="326"/>
        <v>89301000</v>
      </c>
      <c r="C6847" s="1">
        <v>44355</v>
      </c>
      <c r="D6847" s="1">
        <v>44361</v>
      </c>
      <c r="E6847">
        <v>1</v>
      </c>
      <c r="F6847" t="s">
        <v>4506</v>
      </c>
      <c r="G6847" t="str">
        <f>"01-K16-02"</f>
        <v>01-K16-02</v>
      </c>
      <c r="H6847">
        <v>1.0797000000000001</v>
      </c>
      <c r="I6847" t="s">
        <v>381</v>
      </c>
      <c r="J6847" t="s">
        <v>14</v>
      </c>
      <c r="K6847" t="str">
        <f>"5F6"</f>
        <v>5F6</v>
      </c>
      <c r="L6847" t="s">
        <v>15</v>
      </c>
    </row>
    <row r="6848" spans="1:12" x14ac:dyDescent="0.25">
      <c r="A6848" t="str">
        <f>"5751311720"</f>
        <v>5751311720</v>
      </c>
      <c r="B6848" t="str">
        <f t="shared" si="326"/>
        <v>89301000</v>
      </c>
      <c r="C6848" s="1">
        <v>44427</v>
      </c>
      <c r="D6848" s="1">
        <v>44431</v>
      </c>
      <c r="E6848">
        <v>1</v>
      </c>
      <c r="F6848" t="s">
        <v>2550</v>
      </c>
      <c r="G6848" t="str">
        <f>"10-K04-04"</f>
        <v>10-K04-04</v>
      </c>
      <c r="H6848">
        <v>0.56330000000000002</v>
      </c>
      <c r="I6848" t="s">
        <v>4959</v>
      </c>
      <c r="J6848" t="s">
        <v>14</v>
      </c>
      <c r="K6848" t="str">
        <f>"1F1"</f>
        <v>1F1</v>
      </c>
      <c r="L6848" t="s">
        <v>15</v>
      </c>
    </row>
    <row r="6849" spans="1:12" x14ac:dyDescent="0.25">
      <c r="A6849" t="str">
        <f>"5752026731"</f>
        <v>5752026731</v>
      </c>
      <c r="B6849" t="str">
        <f t="shared" si="326"/>
        <v>89301000</v>
      </c>
      <c r="C6849" s="1">
        <v>44363</v>
      </c>
      <c r="D6849" s="1">
        <v>44369</v>
      </c>
      <c r="E6849">
        <v>1</v>
      </c>
      <c r="F6849" t="s">
        <v>2350</v>
      </c>
      <c r="G6849" t="str">
        <f>"01-I09-02"</f>
        <v>01-I09-02</v>
      </c>
      <c r="H6849">
        <v>1.5302</v>
      </c>
      <c r="I6849" t="s">
        <v>2769</v>
      </c>
      <c r="J6849" t="s">
        <v>17</v>
      </c>
      <c r="K6849" t="str">
        <f>"5F6"</f>
        <v>5F6</v>
      </c>
      <c r="L6849" t="s">
        <v>15</v>
      </c>
    </row>
    <row r="6850" spans="1:12" x14ac:dyDescent="0.25">
      <c r="A6850" t="str">
        <f>"5752041867"</f>
        <v>5752041867</v>
      </c>
      <c r="B6850" t="str">
        <f t="shared" si="326"/>
        <v>89301000</v>
      </c>
      <c r="C6850" s="1">
        <v>44233</v>
      </c>
      <c r="D6850" s="1">
        <v>44242</v>
      </c>
      <c r="E6850">
        <v>1</v>
      </c>
      <c r="F6850" t="s">
        <v>217</v>
      </c>
      <c r="G6850" t="str">
        <f>"04-K02-04"</f>
        <v>04-K02-04</v>
      </c>
      <c r="H6850">
        <v>0.82469999999999999</v>
      </c>
      <c r="I6850" t="s">
        <v>4960</v>
      </c>
      <c r="J6850" t="s">
        <v>14</v>
      </c>
      <c r="K6850" t="str">
        <f>"1F1"</f>
        <v>1F1</v>
      </c>
      <c r="L6850" t="s">
        <v>15</v>
      </c>
    </row>
    <row r="6851" spans="1:12" x14ac:dyDescent="0.25">
      <c r="A6851" t="str">
        <f>"5752042109"</f>
        <v>5752042109</v>
      </c>
      <c r="B6851" t="str">
        <f t="shared" si="326"/>
        <v>89301000</v>
      </c>
      <c r="C6851" s="1">
        <v>44343</v>
      </c>
      <c r="D6851" s="1">
        <v>44348</v>
      </c>
      <c r="E6851">
        <v>1</v>
      </c>
      <c r="F6851" t="s">
        <v>31</v>
      </c>
      <c r="G6851" t="str">
        <f>"08-I03-06"</f>
        <v>08-I03-06</v>
      </c>
      <c r="H6851">
        <v>3.3014999999999999</v>
      </c>
      <c r="I6851" t="s">
        <v>489</v>
      </c>
      <c r="J6851" t="s">
        <v>17</v>
      </c>
      <c r="K6851" t="str">
        <f>"5F6"</f>
        <v>5F6</v>
      </c>
      <c r="L6851" t="s">
        <v>15</v>
      </c>
    </row>
    <row r="6852" spans="1:12" x14ac:dyDescent="0.25">
      <c r="A6852" t="str">
        <f>"5752051514"</f>
        <v>5752051514</v>
      </c>
      <c r="B6852" t="str">
        <f t="shared" si="326"/>
        <v>89301000</v>
      </c>
      <c r="C6852" s="1">
        <v>44377</v>
      </c>
      <c r="D6852" s="1">
        <v>44379</v>
      </c>
      <c r="E6852">
        <v>1</v>
      </c>
      <c r="F6852" t="s">
        <v>2133</v>
      </c>
      <c r="G6852" t="str">
        <f>"04-K06-03"</f>
        <v>04-K06-03</v>
      </c>
      <c r="H6852">
        <v>0.66259999999999997</v>
      </c>
      <c r="I6852" t="s">
        <v>3452</v>
      </c>
      <c r="J6852" t="s">
        <v>14</v>
      </c>
      <c r="K6852" t="str">
        <f>"2F5"</f>
        <v>2F5</v>
      </c>
      <c r="L6852" t="s">
        <v>15</v>
      </c>
    </row>
    <row r="6853" spans="1:12" x14ac:dyDescent="0.25">
      <c r="A6853" t="str">
        <f>"5752051514"</f>
        <v>5752051514</v>
      </c>
      <c r="B6853" t="str">
        <f t="shared" si="326"/>
        <v>89301000</v>
      </c>
      <c r="C6853" s="1">
        <v>44417</v>
      </c>
      <c r="D6853" s="1">
        <v>44419</v>
      </c>
      <c r="E6853">
        <v>1</v>
      </c>
      <c r="F6853" t="s">
        <v>3452</v>
      </c>
      <c r="G6853" t="str">
        <f>"04-K08-04"</f>
        <v>04-K08-04</v>
      </c>
      <c r="H6853">
        <v>0.92730000000000001</v>
      </c>
      <c r="I6853" t="s">
        <v>4961</v>
      </c>
      <c r="J6853" t="s">
        <v>14</v>
      </c>
      <c r="K6853" t="str">
        <f>"2F5"</f>
        <v>2F5</v>
      </c>
      <c r="L6853" t="s">
        <v>15</v>
      </c>
    </row>
    <row r="6854" spans="1:12" x14ac:dyDescent="0.25">
      <c r="A6854" t="str">
        <f>"5752082292"</f>
        <v>5752082292</v>
      </c>
      <c r="B6854" t="str">
        <f t="shared" si="326"/>
        <v>89301000</v>
      </c>
      <c r="C6854" s="1">
        <v>44475</v>
      </c>
      <c r="D6854" s="1">
        <v>44476</v>
      </c>
      <c r="E6854">
        <v>1</v>
      </c>
      <c r="F6854" t="s">
        <v>445</v>
      </c>
      <c r="G6854" t="str">
        <f>"08-I17-02"</f>
        <v>08-I17-02</v>
      </c>
      <c r="H6854">
        <v>0.98309999999999997</v>
      </c>
      <c r="I6854" t="s">
        <v>244</v>
      </c>
      <c r="J6854" t="s">
        <v>14</v>
      </c>
      <c r="K6854" t="str">
        <f>"5F3"</f>
        <v>5F3</v>
      </c>
      <c r="L6854" t="s">
        <v>15</v>
      </c>
    </row>
    <row r="6855" spans="1:12" x14ac:dyDescent="0.25">
      <c r="A6855" t="str">
        <f>"5752110925"</f>
        <v>5752110925</v>
      </c>
      <c r="B6855" t="str">
        <f t="shared" si="326"/>
        <v>89301000</v>
      </c>
      <c r="C6855" s="1">
        <v>44533</v>
      </c>
      <c r="D6855" s="1">
        <v>44540</v>
      </c>
      <c r="E6855">
        <v>1</v>
      </c>
      <c r="F6855" t="s">
        <v>217</v>
      </c>
      <c r="G6855" t="str">
        <f>"04-K02-03"</f>
        <v>04-K02-03</v>
      </c>
      <c r="H6855">
        <v>1.2859</v>
      </c>
      <c r="I6855" t="s">
        <v>4962</v>
      </c>
      <c r="J6855" t="s">
        <v>14</v>
      </c>
      <c r="K6855" t="str">
        <f>"5F1"</f>
        <v>5F1</v>
      </c>
      <c r="L6855" t="s">
        <v>15</v>
      </c>
    </row>
    <row r="6856" spans="1:12" x14ac:dyDescent="0.25">
      <c r="A6856" t="str">
        <f>"5752110925"</f>
        <v>5752110925</v>
      </c>
      <c r="B6856" t="str">
        <f t="shared" si="326"/>
        <v>89301000</v>
      </c>
      <c r="C6856" s="1">
        <v>44440</v>
      </c>
      <c r="D6856" s="1">
        <v>44443</v>
      </c>
      <c r="E6856">
        <v>1</v>
      </c>
      <c r="F6856" t="s">
        <v>656</v>
      </c>
      <c r="G6856" t="str">
        <f>"23-K06-00"</f>
        <v>23-K06-00</v>
      </c>
      <c r="H6856">
        <v>0.61319999999999997</v>
      </c>
      <c r="I6856" t="s">
        <v>4963</v>
      </c>
      <c r="J6856" t="s">
        <v>14</v>
      </c>
      <c r="K6856" t="str">
        <f>"1F7"</f>
        <v>1F7</v>
      </c>
      <c r="L6856" t="s">
        <v>15</v>
      </c>
    </row>
    <row r="6857" spans="1:12" x14ac:dyDescent="0.25">
      <c r="A6857" t="str">
        <f>"5752161382"</f>
        <v>5752161382</v>
      </c>
      <c r="B6857" t="str">
        <f t="shared" si="326"/>
        <v>89301000</v>
      </c>
      <c r="C6857" s="1">
        <v>44356</v>
      </c>
      <c r="D6857" s="1">
        <v>44379</v>
      </c>
      <c r="E6857">
        <v>1</v>
      </c>
      <c r="F6857" t="s">
        <v>718</v>
      </c>
      <c r="G6857" t="str">
        <f>"06-I12-01"</f>
        <v>06-I12-01</v>
      </c>
      <c r="H6857">
        <v>4.6520000000000001</v>
      </c>
      <c r="I6857" t="s">
        <v>4964</v>
      </c>
      <c r="J6857" t="s">
        <v>14</v>
      </c>
      <c r="K6857" t="str">
        <f>"5F1"</f>
        <v>5F1</v>
      </c>
      <c r="L6857" t="s">
        <v>15</v>
      </c>
    </row>
    <row r="6858" spans="1:12" x14ac:dyDescent="0.25">
      <c r="A6858" t="str">
        <f>"5752176122"</f>
        <v>5752176122</v>
      </c>
      <c r="B6858" t="str">
        <f t="shared" si="326"/>
        <v>89301000</v>
      </c>
      <c r="C6858" s="1">
        <v>44536</v>
      </c>
      <c r="D6858" s="1">
        <v>44539</v>
      </c>
      <c r="E6858">
        <v>1</v>
      </c>
      <c r="F6858" t="s">
        <v>1551</v>
      </c>
      <c r="G6858" t="str">
        <f>"09-I06-04"</f>
        <v>09-I06-04</v>
      </c>
      <c r="H6858">
        <v>0.98829999999999996</v>
      </c>
      <c r="J6858" t="s">
        <v>17</v>
      </c>
      <c r="K6858" t="str">
        <f>"5F1"</f>
        <v>5F1</v>
      </c>
      <c r="L6858" t="s">
        <v>15</v>
      </c>
    </row>
    <row r="6859" spans="1:12" x14ac:dyDescent="0.25">
      <c r="A6859" t="str">
        <f>"5752221365"</f>
        <v>5752221365</v>
      </c>
      <c r="B6859" t="str">
        <f t="shared" si="326"/>
        <v>89301000</v>
      </c>
      <c r="C6859" s="1">
        <v>44452</v>
      </c>
      <c r="D6859" s="1">
        <v>44455</v>
      </c>
      <c r="E6859">
        <v>1</v>
      </c>
      <c r="F6859" t="s">
        <v>4382</v>
      </c>
      <c r="G6859" t="str">
        <f>"05-I30-01"</f>
        <v>05-I30-01</v>
      </c>
      <c r="H6859">
        <v>0.64139999999999997</v>
      </c>
      <c r="I6859" t="s">
        <v>1892</v>
      </c>
      <c r="J6859" t="s">
        <v>14</v>
      </c>
      <c r="K6859" t="str">
        <f>"5F1"</f>
        <v>5F1</v>
      </c>
      <c r="L6859" t="s">
        <v>15</v>
      </c>
    </row>
    <row r="6860" spans="1:12" x14ac:dyDescent="0.25">
      <c r="A6860" t="str">
        <f>"5753031075"</f>
        <v>5753031075</v>
      </c>
      <c r="B6860" t="str">
        <f t="shared" si="326"/>
        <v>89301000</v>
      </c>
      <c r="C6860" s="1">
        <v>44442</v>
      </c>
      <c r="D6860" s="1">
        <v>44448</v>
      </c>
      <c r="E6860">
        <v>5</v>
      </c>
      <c r="F6860" t="s">
        <v>31</v>
      </c>
      <c r="G6860" t="str">
        <f>"08-I04-02"</f>
        <v>08-I04-02</v>
      </c>
      <c r="H6860">
        <v>1.6718999999999999</v>
      </c>
      <c r="I6860" t="s">
        <v>475</v>
      </c>
      <c r="J6860" t="s">
        <v>17</v>
      </c>
      <c r="K6860" t="str">
        <f>"5F6"</f>
        <v>5F6</v>
      </c>
      <c r="L6860" t="s">
        <v>15</v>
      </c>
    </row>
    <row r="6861" spans="1:12" x14ac:dyDescent="0.25">
      <c r="A6861" t="str">
        <f>"5753111265"</f>
        <v>5753111265</v>
      </c>
      <c r="B6861" t="str">
        <f t="shared" si="326"/>
        <v>89301000</v>
      </c>
      <c r="C6861" s="1">
        <v>44209</v>
      </c>
      <c r="D6861" s="1">
        <v>44212</v>
      </c>
      <c r="E6861">
        <v>1</v>
      </c>
      <c r="F6861" t="s">
        <v>1621</v>
      </c>
      <c r="G6861" t="str">
        <f>"07-K06-02"</f>
        <v>07-K06-02</v>
      </c>
      <c r="H6861">
        <v>0.49199999999999999</v>
      </c>
      <c r="I6861" t="s">
        <v>145</v>
      </c>
      <c r="J6861" t="s">
        <v>14</v>
      </c>
      <c r="K6861" t="str">
        <f>"4F2"</f>
        <v>4F2</v>
      </c>
      <c r="L6861" t="s">
        <v>15</v>
      </c>
    </row>
    <row r="6862" spans="1:12" x14ac:dyDescent="0.25">
      <c r="A6862" t="str">
        <f>"5753150975"</f>
        <v>5753150975</v>
      </c>
      <c r="B6862" t="str">
        <f t="shared" si="326"/>
        <v>89301000</v>
      </c>
      <c r="C6862" s="1">
        <v>44262</v>
      </c>
      <c r="D6862" s="1">
        <v>44264</v>
      </c>
      <c r="E6862">
        <v>1</v>
      </c>
      <c r="F6862" t="s">
        <v>2303</v>
      </c>
      <c r="G6862" t="str">
        <f>"13-I19-00"</f>
        <v>13-I19-00</v>
      </c>
      <c r="H6862">
        <v>0.24679999999999999</v>
      </c>
      <c r="I6862" t="s">
        <v>860</v>
      </c>
      <c r="J6862" t="s">
        <v>14</v>
      </c>
      <c r="K6862" t="str">
        <f>"6F3"</f>
        <v>6F3</v>
      </c>
      <c r="L6862" t="s">
        <v>15</v>
      </c>
    </row>
    <row r="6863" spans="1:12" x14ac:dyDescent="0.25">
      <c r="A6863" t="str">
        <f>"5753150975"</f>
        <v>5753150975</v>
      </c>
      <c r="B6863" t="str">
        <f t="shared" si="326"/>
        <v>89301000</v>
      </c>
      <c r="C6863" s="1">
        <v>44397</v>
      </c>
      <c r="D6863" s="1">
        <v>44401</v>
      </c>
      <c r="E6863">
        <v>1</v>
      </c>
      <c r="F6863" t="s">
        <v>2236</v>
      </c>
      <c r="G6863" t="str">
        <f>"10-K04-04"</f>
        <v>10-K04-04</v>
      </c>
      <c r="H6863">
        <v>0.56330000000000002</v>
      </c>
      <c r="I6863" t="s">
        <v>4965</v>
      </c>
      <c r="J6863" t="s">
        <v>14</v>
      </c>
      <c r="K6863" t="str">
        <f>"1F1"</f>
        <v>1F1</v>
      </c>
      <c r="L6863" t="s">
        <v>15</v>
      </c>
    </row>
    <row r="6864" spans="1:12" x14ac:dyDescent="0.25">
      <c r="A6864" t="str">
        <f>"5753150975"</f>
        <v>5753150975</v>
      </c>
      <c r="B6864" t="str">
        <f t="shared" si="326"/>
        <v>89301000</v>
      </c>
      <c r="C6864" s="1">
        <v>44353</v>
      </c>
      <c r="D6864" s="1">
        <v>44358</v>
      </c>
      <c r="E6864">
        <v>1</v>
      </c>
      <c r="F6864" t="s">
        <v>2374</v>
      </c>
      <c r="G6864" t="str">
        <f>"06-I21-03"</f>
        <v>06-I21-03</v>
      </c>
      <c r="H6864">
        <v>0.47820000000000001</v>
      </c>
      <c r="I6864" t="s">
        <v>4966</v>
      </c>
      <c r="J6864" t="s">
        <v>17</v>
      </c>
      <c r="K6864" t="str">
        <f>"5F1"</f>
        <v>5F1</v>
      </c>
      <c r="L6864" t="s">
        <v>15</v>
      </c>
    </row>
    <row r="6865" spans="1:12" x14ac:dyDescent="0.25">
      <c r="A6865" t="str">
        <f>"5753151415"</f>
        <v>5753151415</v>
      </c>
      <c r="B6865" t="str">
        <f t="shared" si="326"/>
        <v>89301000</v>
      </c>
      <c r="C6865" s="1">
        <v>44375</v>
      </c>
      <c r="D6865" s="1">
        <v>44378</v>
      </c>
      <c r="E6865">
        <v>1</v>
      </c>
      <c r="F6865" t="s">
        <v>2896</v>
      </c>
      <c r="G6865" t="str">
        <f>"09-I06-04"</f>
        <v>09-I06-04</v>
      </c>
      <c r="H6865">
        <v>0.98829999999999996</v>
      </c>
      <c r="I6865" t="s">
        <v>348</v>
      </c>
      <c r="J6865" t="s">
        <v>17</v>
      </c>
      <c r="K6865" t="str">
        <f>"5F1"</f>
        <v>5F1</v>
      </c>
      <c r="L6865" t="s">
        <v>15</v>
      </c>
    </row>
    <row r="6866" spans="1:12" x14ac:dyDescent="0.25">
      <c r="A6866" t="str">
        <f>"5753212289"</f>
        <v>5753212289</v>
      </c>
      <c r="B6866" t="str">
        <f t="shared" si="326"/>
        <v>89301000</v>
      </c>
      <c r="C6866" s="1">
        <v>44316</v>
      </c>
      <c r="D6866" s="1">
        <v>44317</v>
      </c>
      <c r="E6866">
        <v>1</v>
      </c>
      <c r="F6866" t="s">
        <v>2303</v>
      </c>
      <c r="G6866" t="str">
        <f>"13-I19-00"</f>
        <v>13-I19-00</v>
      </c>
      <c r="H6866">
        <v>0.24679999999999999</v>
      </c>
      <c r="J6866" t="s">
        <v>14</v>
      </c>
      <c r="K6866" t="str">
        <f>"6F3"</f>
        <v>6F3</v>
      </c>
      <c r="L6866" t="s">
        <v>15</v>
      </c>
    </row>
    <row r="6867" spans="1:12" x14ac:dyDescent="0.25">
      <c r="A6867" t="str">
        <f>"5753212289"</f>
        <v>5753212289</v>
      </c>
      <c r="B6867" t="str">
        <f t="shared" si="326"/>
        <v>89301000</v>
      </c>
      <c r="C6867" s="1">
        <v>44412</v>
      </c>
      <c r="D6867" s="1">
        <v>44415</v>
      </c>
      <c r="E6867">
        <v>1</v>
      </c>
      <c r="F6867" t="s">
        <v>4967</v>
      </c>
      <c r="G6867" t="str">
        <f>"08-M03-05"</f>
        <v>08-M03-05</v>
      </c>
      <c r="H6867">
        <v>0.51759999999999995</v>
      </c>
      <c r="I6867" t="s">
        <v>4968</v>
      </c>
      <c r="J6867" t="s">
        <v>14</v>
      </c>
      <c r="K6867" t="str">
        <f>"6F6"</f>
        <v>6F6</v>
      </c>
      <c r="L6867" t="s">
        <v>15</v>
      </c>
    </row>
    <row r="6868" spans="1:12" x14ac:dyDescent="0.25">
      <c r="A6868" t="str">
        <f>"5753271953"</f>
        <v>5753271953</v>
      </c>
      <c r="B6868" t="str">
        <f t="shared" si="326"/>
        <v>89301000</v>
      </c>
      <c r="C6868" s="1">
        <v>44200</v>
      </c>
      <c r="D6868" s="1">
        <v>44213</v>
      </c>
      <c r="E6868">
        <v>8</v>
      </c>
      <c r="F6868" t="s">
        <v>217</v>
      </c>
      <c r="G6868" t="str">
        <f>"00-M02-04"</f>
        <v>00-M02-04</v>
      </c>
      <c r="H6868">
        <v>12.071199999999999</v>
      </c>
      <c r="I6868" t="s">
        <v>4969</v>
      </c>
      <c r="J6868" t="s">
        <v>14</v>
      </c>
      <c r="K6868" t="str">
        <f>"1T1"</f>
        <v>1T1</v>
      </c>
      <c r="L6868" t="s">
        <v>15</v>
      </c>
    </row>
    <row r="6869" spans="1:12" x14ac:dyDescent="0.25">
      <c r="A6869" t="str">
        <f>"5754120900"</f>
        <v>5754120900</v>
      </c>
      <c r="B6869" t="str">
        <f t="shared" si="326"/>
        <v>89301000</v>
      </c>
      <c r="C6869" s="1">
        <v>44396</v>
      </c>
      <c r="D6869" s="1">
        <v>44404</v>
      </c>
      <c r="E6869">
        <v>1</v>
      </c>
      <c r="F6869" t="s">
        <v>81</v>
      </c>
      <c r="G6869" t="str">
        <f>"10-I13-02"</f>
        <v>10-I13-02</v>
      </c>
      <c r="H6869">
        <v>1.1468</v>
      </c>
      <c r="I6869" t="s">
        <v>4970</v>
      </c>
      <c r="J6869" t="s">
        <v>24</v>
      </c>
      <c r="K6869" t="str">
        <f>"7F1"</f>
        <v>7F1</v>
      </c>
      <c r="L6869" t="s">
        <v>15</v>
      </c>
    </row>
    <row r="6870" spans="1:12" x14ac:dyDescent="0.25">
      <c r="A6870" t="str">
        <f>"5754210979"</f>
        <v>5754210979</v>
      </c>
      <c r="B6870" t="str">
        <f t="shared" si="326"/>
        <v>89301000</v>
      </c>
      <c r="C6870" s="1">
        <v>44320</v>
      </c>
      <c r="D6870" s="1">
        <v>44323</v>
      </c>
      <c r="E6870">
        <v>5</v>
      </c>
      <c r="F6870" t="s">
        <v>1557</v>
      </c>
      <c r="G6870" t="str">
        <f>"05-I14-01"</f>
        <v>05-I14-01</v>
      </c>
      <c r="H6870">
        <v>9.2492000000000001</v>
      </c>
      <c r="I6870" t="s">
        <v>4971</v>
      </c>
      <c r="J6870" t="s">
        <v>14</v>
      </c>
      <c r="K6870" t="str">
        <f>"1F1"</f>
        <v>1F1</v>
      </c>
      <c r="L6870" t="s">
        <v>15</v>
      </c>
    </row>
    <row r="6871" spans="1:12" x14ac:dyDescent="0.25">
      <c r="A6871" t="str">
        <f>"5755021140"</f>
        <v>5755021140</v>
      </c>
      <c r="B6871" t="str">
        <f t="shared" si="326"/>
        <v>89301000</v>
      </c>
      <c r="C6871" s="1">
        <v>44345</v>
      </c>
      <c r="D6871" s="1">
        <v>44369</v>
      </c>
      <c r="E6871">
        <v>4</v>
      </c>
      <c r="F6871" t="s">
        <v>720</v>
      </c>
      <c r="G6871" t="str">
        <f>"06-K02-04"</f>
        <v>06-K02-04</v>
      </c>
      <c r="H6871">
        <v>1.3902000000000001</v>
      </c>
      <c r="I6871" t="s">
        <v>4972</v>
      </c>
      <c r="J6871" t="s">
        <v>14</v>
      </c>
      <c r="K6871" t="str">
        <f>"1F5"</f>
        <v>1F5</v>
      </c>
      <c r="L6871" t="s">
        <v>15</v>
      </c>
    </row>
    <row r="6872" spans="1:12" x14ac:dyDescent="0.25">
      <c r="A6872" t="str">
        <f>"5755021140"</f>
        <v>5755021140</v>
      </c>
      <c r="B6872" t="str">
        <f t="shared" si="326"/>
        <v>89301000</v>
      </c>
      <c r="C6872" s="1">
        <v>44260</v>
      </c>
      <c r="D6872" s="1">
        <v>44262</v>
      </c>
      <c r="E6872">
        <v>1</v>
      </c>
      <c r="F6872" t="s">
        <v>484</v>
      </c>
      <c r="G6872" t="str">
        <f>"21-K05-02"</f>
        <v>21-K05-02</v>
      </c>
      <c r="H6872">
        <v>0.85409999999999997</v>
      </c>
      <c r="I6872" t="s">
        <v>4973</v>
      </c>
      <c r="J6872" t="s">
        <v>14</v>
      </c>
      <c r="K6872" t="str">
        <f>"1F1"</f>
        <v>1F1</v>
      </c>
      <c r="L6872" t="s">
        <v>15</v>
      </c>
    </row>
    <row r="6873" spans="1:12" x14ac:dyDescent="0.25">
      <c r="A6873" t="str">
        <f>"5755021140"</f>
        <v>5755021140</v>
      </c>
      <c r="B6873" t="str">
        <f t="shared" si="326"/>
        <v>89301000</v>
      </c>
      <c r="C6873" s="1">
        <v>44425</v>
      </c>
      <c r="D6873" s="1">
        <v>44438</v>
      </c>
      <c r="E6873">
        <v>4</v>
      </c>
      <c r="F6873" t="s">
        <v>1615</v>
      </c>
      <c r="G6873" t="str">
        <f>"08-I13-06"</f>
        <v>08-I13-06</v>
      </c>
      <c r="H6873">
        <v>2.0099</v>
      </c>
      <c r="I6873" t="s">
        <v>4974</v>
      </c>
      <c r="J6873" t="s">
        <v>17</v>
      </c>
      <c r="K6873" t="str">
        <f>"3F5"</f>
        <v>3F5</v>
      </c>
      <c r="L6873" t="s">
        <v>15</v>
      </c>
    </row>
    <row r="6874" spans="1:12" x14ac:dyDescent="0.25">
      <c r="A6874" t="str">
        <f>"5755021140"</f>
        <v>5755021140</v>
      </c>
      <c r="B6874" t="str">
        <f t="shared" si="326"/>
        <v>89301000</v>
      </c>
      <c r="C6874" s="1">
        <v>44313</v>
      </c>
      <c r="D6874" s="1">
        <v>44321</v>
      </c>
      <c r="E6874">
        <v>1</v>
      </c>
      <c r="F6874" t="s">
        <v>4557</v>
      </c>
      <c r="G6874" t="str">
        <f>"20-K03-03"</f>
        <v>20-K03-03</v>
      </c>
      <c r="H6874">
        <v>1.0109999999999999</v>
      </c>
      <c r="I6874" t="s">
        <v>4975</v>
      </c>
      <c r="J6874" t="s">
        <v>14</v>
      </c>
      <c r="K6874" t="str">
        <f>"3F5"</f>
        <v>3F5</v>
      </c>
      <c r="L6874" t="s">
        <v>15</v>
      </c>
    </row>
    <row r="6875" spans="1:12" x14ac:dyDescent="0.25">
      <c r="A6875" t="str">
        <f>"5755021888"</f>
        <v>5755021888</v>
      </c>
      <c r="B6875" t="str">
        <f t="shared" si="326"/>
        <v>89301000</v>
      </c>
      <c r="C6875" s="1">
        <v>44272</v>
      </c>
      <c r="D6875" s="1">
        <v>44278</v>
      </c>
      <c r="E6875">
        <v>1</v>
      </c>
      <c r="F6875" t="s">
        <v>1802</v>
      </c>
      <c r="G6875" t="str">
        <f>"13-I04-01"</f>
        <v>13-I04-01</v>
      </c>
      <c r="H6875">
        <v>2.6413000000000002</v>
      </c>
      <c r="I6875" t="s">
        <v>489</v>
      </c>
      <c r="J6875" t="s">
        <v>14</v>
      </c>
      <c r="K6875" t="str">
        <f>"6F3"</f>
        <v>6F3</v>
      </c>
      <c r="L6875" t="s">
        <v>15</v>
      </c>
    </row>
    <row r="6876" spans="1:12" x14ac:dyDescent="0.25">
      <c r="A6876" t="str">
        <f>"5755072268"</f>
        <v>5755072268</v>
      </c>
      <c r="B6876" t="str">
        <f t="shared" si="326"/>
        <v>89301000</v>
      </c>
      <c r="C6876" s="1">
        <v>44320</v>
      </c>
      <c r="D6876" s="1">
        <v>44323</v>
      </c>
      <c r="E6876">
        <v>1</v>
      </c>
      <c r="F6876" t="s">
        <v>319</v>
      </c>
      <c r="G6876" t="str">
        <f>"08-I23-02"</f>
        <v>08-I23-02</v>
      </c>
      <c r="H6876">
        <v>1.0860000000000001</v>
      </c>
      <c r="I6876" t="s">
        <v>4976</v>
      </c>
      <c r="J6876" t="s">
        <v>17</v>
      </c>
      <c r="K6876" t="str">
        <f>"6F6"</f>
        <v>6F6</v>
      </c>
      <c r="L6876" t="s">
        <v>15</v>
      </c>
    </row>
    <row r="6877" spans="1:12" x14ac:dyDescent="0.25">
      <c r="A6877" t="str">
        <f>"5755082190"</f>
        <v>5755082190</v>
      </c>
      <c r="B6877" t="str">
        <f t="shared" si="326"/>
        <v>89301000</v>
      </c>
      <c r="C6877" s="1">
        <v>44501</v>
      </c>
      <c r="D6877" s="1">
        <v>44502</v>
      </c>
      <c r="E6877">
        <v>1</v>
      </c>
      <c r="F6877" t="s">
        <v>1557</v>
      </c>
      <c r="G6877" t="str">
        <f>"05-D01-08"</f>
        <v>05-D01-08</v>
      </c>
      <c r="H6877">
        <v>0.4093</v>
      </c>
      <c r="J6877" t="s">
        <v>14</v>
      </c>
      <c r="K6877" t="str">
        <f>"1F7"</f>
        <v>1F7</v>
      </c>
      <c r="L6877" t="s">
        <v>15</v>
      </c>
    </row>
    <row r="6878" spans="1:12" x14ac:dyDescent="0.25">
      <c r="A6878" t="str">
        <f>"5755102430"</f>
        <v>5755102430</v>
      </c>
      <c r="B6878" t="str">
        <f t="shared" si="326"/>
        <v>89301000</v>
      </c>
      <c r="C6878" s="1">
        <v>44469</v>
      </c>
      <c r="D6878" s="1">
        <v>44471</v>
      </c>
      <c r="E6878">
        <v>1</v>
      </c>
      <c r="F6878" t="s">
        <v>173</v>
      </c>
      <c r="G6878" t="str">
        <f>"08-I32-02"</f>
        <v>08-I32-02</v>
      </c>
      <c r="H6878">
        <v>0.4143</v>
      </c>
      <c r="J6878" t="s">
        <v>14</v>
      </c>
      <c r="K6878" t="str">
        <f>"6F6"</f>
        <v>6F6</v>
      </c>
      <c r="L6878" t="s">
        <v>15</v>
      </c>
    </row>
    <row r="6879" spans="1:12" x14ac:dyDescent="0.25">
      <c r="A6879" t="str">
        <f>"5755140556"</f>
        <v>5755140556</v>
      </c>
      <c r="B6879" t="str">
        <f t="shared" si="326"/>
        <v>89301000</v>
      </c>
      <c r="C6879" s="1">
        <v>44413</v>
      </c>
      <c r="D6879" s="1">
        <v>44415</v>
      </c>
      <c r="E6879">
        <v>1</v>
      </c>
      <c r="F6879" t="s">
        <v>142</v>
      </c>
      <c r="G6879" t="str">
        <f>"03-K12-01"</f>
        <v>03-K12-01</v>
      </c>
      <c r="H6879">
        <v>0.376</v>
      </c>
      <c r="I6879" t="s">
        <v>4977</v>
      </c>
      <c r="J6879" t="s">
        <v>14</v>
      </c>
      <c r="K6879" t="str">
        <f>"6F5"</f>
        <v>6F5</v>
      </c>
      <c r="L6879" t="s">
        <v>15</v>
      </c>
    </row>
    <row r="6880" spans="1:12" x14ac:dyDescent="0.25">
      <c r="A6880" t="str">
        <f>"5755142360"</f>
        <v>5755142360</v>
      </c>
      <c r="B6880" t="str">
        <f t="shared" si="326"/>
        <v>89301000</v>
      </c>
      <c r="C6880" s="1">
        <v>44294</v>
      </c>
      <c r="D6880" s="1">
        <v>44299</v>
      </c>
      <c r="E6880">
        <v>1</v>
      </c>
      <c r="F6880" t="s">
        <v>1928</v>
      </c>
      <c r="G6880" t="str">
        <f>"11-M02-06"</f>
        <v>11-M02-06</v>
      </c>
      <c r="H6880">
        <v>0.98209999999999997</v>
      </c>
      <c r="J6880" t="s">
        <v>14</v>
      </c>
      <c r="K6880" t="str">
        <f>"5F5"</f>
        <v>5F5</v>
      </c>
      <c r="L6880" t="s">
        <v>15</v>
      </c>
    </row>
    <row r="6881" spans="1:12" x14ac:dyDescent="0.25">
      <c r="A6881" t="str">
        <f>"5755142360"</f>
        <v>5755142360</v>
      </c>
      <c r="B6881" t="str">
        <f t="shared" si="326"/>
        <v>89301000</v>
      </c>
      <c r="C6881" s="1">
        <v>44494</v>
      </c>
      <c r="D6881" s="1">
        <v>44501</v>
      </c>
      <c r="E6881">
        <v>1</v>
      </c>
      <c r="F6881" t="s">
        <v>3799</v>
      </c>
      <c r="G6881" t="str">
        <f>"11-M02-05"</f>
        <v>11-M02-05</v>
      </c>
      <c r="H6881">
        <v>1.6351</v>
      </c>
      <c r="I6881" t="s">
        <v>4978</v>
      </c>
      <c r="J6881" t="s">
        <v>14</v>
      </c>
      <c r="K6881" t="str">
        <f>"1T1"</f>
        <v>1T1</v>
      </c>
      <c r="L6881" t="s">
        <v>15</v>
      </c>
    </row>
    <row r="6882" spans="1:12" x14ac:dyDescent="0.25">
      <c r="A6882" t="str">
        <f>"5755142360"</f>
        <v>5755142360</v>
      </c>
      <c r="B6882" t="str">
        <f t="shared" si="326"/>
        <v>89301000</v>
      </c>
      <c r="C6882" s="1">
        <v>44464</v>
      </c>
      <c r="D6882" s="1">
        <v>44470</v>
      </c>
      <c r="E6882">
        <v>1</v>
      </c>
      <c r="F6882" t="s">
        <v>1927</v>
      </c>
      <c r="G6882" t="str">
        <f>"05-I24-01"</f>
        <v>05-I24-01</v>
      </c>
      <c r="H6882">
        <v>5.1612999999999998</v>
      </c>
      <c r="I6882" t="s">
        <v>4979</v>
      </c>
      <c r="J6882" t="s">
        <v>14</v>
      </c>
      <c r="K6882" t="str">
        <f>"5F1"</f>
        <v>5F1</v>
      </c>
      <c r="L6882" t="s">
        <v>15</v>
      </c>
    </row>
    <row r="6883" spans="1:12" x14ac:dyDescent="0.25">
      <c r="A6883" t="str">
        <f>"5755142360"</f>
        <v>5755142360</v>
      </c>
      <c r="B6883" t="str">
        <f t="shared" si="326"/>
        <v>89301000</v>
      </c>
      <c r="C6883" s="1">
        <v>44516</v>
      </c>
      <c r="D6883" s="1">
        <v>44532</v>
      </c>
      <c r="E6883">
        <v>7</v>
      </c>
      <c r="F6883" t="s">
        <v>538</v>
      </c>
      <c r="G6883" t="str">
        <f>"18-K01-05"</f>
        <v>18-K01-05</v>
      </c>
      <c r="H6883">
        <v>1.6713</v>
      </c>
      <c r="I6883" t="s">
        <v>4980</v>
      </c>
      <c r="J6883" t="s">
        <v>14</v>
      </c>
      <c r="K6883" t="str">
        <f>"1F1"</f>
        <v>1F1</v>
      </c>
      <c r="L6883" t="s">
        <v>15</v>
      </c>
    </row>
    <row r="6884" spans="1:12" x14ac:dyDescent="0.25">
      <c r="A6884" t="str">
        <f>"5755142360"</f>
        <v>5755142360</v>
      </c>
      <c r="B6884" t="str">
        <f t="shared" si="326"/>
        <v>89301000</v>
      </c>
      <c r="C6884" s="1">
        <v>44430</v>
      </c>
      <c r="D6884" s="1">
        <v>44432</v>
      </c>
      <c r="E6884">
        <v>1</v>
      </c>
      <c r="F6884" t="s">
        <v>2665</v>
      </c>
      <c r="G6884" t="str">
        <f>"05-I26-02"</f>
        <v>05-I26-02</v>
      </c>
      <c r="H6884">
        <v>1.5084</v>
      </c>
      <c r="I6884" t="s">
        <v>4981</v>
      </c>
      <c r="J6884" t="s">
        <v>14</v>
      </c>
      <c r="K6884" t="str">
        <f>"5F1"</f>
        <v>5F1</v>
      </c>
      <c r="L6884" t="s">
        <v>15</v>
      </c>
    </row>
    <row r="6885" spans="1:12" x14ac:dyDescent="0.25">
      <c r="A6885" t="str">
        <f>"5755146958"</f>
        <v>5755146958</v>
      </c>
      <c r="B6885" t="str">
        <f t="shared" si="326"/>
        <v>89301000</v>
      </c>
      <c r="C6885" s="1">
        <v>44430</v>
      </c>
      <c r="D6885" s="1">
        <v>44445</v>
      </c>
      <c r="E6885">
        <v>5</v>
      </c>
      <c r="F6885" t="s">
        <v>994</v>
      </c>
      <c r="G6885" t="str">
        <f>"01-I07-03"</f>
        <v>01-I07-03</v>
      </c>
      <c r="H6885">
        <v>2.1190000000000002</v>
      </c>
      <c r="J6885" t="s">
        <v>17</v>
      </c>
      <c r="K6885" t="str">
        <f>"5F6"</f>
        <v>5F6</v>
      </c>
      <c r="L6885" t="s">
        <v>15</v>
      </c>
    </row>
    <row r="6886" spans="1:12" x14ac:dyDescent="0.25">
      <c r="A6886" t="str">
        <f>"5755146958"</f>
        <v>5755146958</v>
      </c>
      <c r="B6886" t="str">
        <f t="shared" si="326"/>
        <v>89301000</v>
      </c>
      <c r="C6886" s="1">
        <v>44237</v>
      </c>
      <c r="D6886" s="1">
        <v>44242</v>
      </c>
      <c r="E6886">
        <v>5</v>
      </c>
      <c r="F6886" t="s">
        <v>4982</v>
      </c>
      <c r="G6886" t="str">
        <f>"01-K05-02"</f>
        <v>01-K05-02</v>
      </c>
      <c r="H6886">
        <v>0.52649999999999997</v>
      </c>
      <c r="J6886" t="s">
        <v>14</v>
      </c>
      <c r="K6886" t="str">
        <f>"5F6"</f>
        <v>5F6</v>
      </c>
      <c r="L6886" t="s">
        <v>15</v>
      </c>
    </row>
    <row r="6887" spans="1:12" x14ac:dyDescent="0.25">
      <c r="A6887" t="str">
        <f>"5755152172"</f>
        <v>5755152172</v>
      </c>
      <c r="B6887" t="str">
        <f t="shared" si="326"/>
        <v>89301000</v>
      </c>
      <c r="C6887" s="1">
        <v>44216</v>
      </c>
      <c r="D6887" s="1">
        <v>44216</v>
      </c>
      <c r="E6887">
        <v>1</v>
      </c>
      <c r="F6887" t="s">
        <v>1557</v>
      </c>
      <c r="G6887" t="str">
        <f>"05-D01-08"</f>
        <v>05-D01-08</v>
      </c>
      <c r="H6887">
        <v>0.53790000000000004</v>
      </c>
      <c r="J6887" t="s">
        <v>14</v>
      </c>
      <c r="K6887" t="str">
        <f>"1F7"</f>
        <v>1F7</v>
      </c>
      <c r="L6887" t="s">
        <v>15</v>
      </c>
    </row>
    <row r="6888" spans="1:12" x14ac:dyDescent="0.25">
      <c r="A6888" t="str">
        <f>"5755161544"</f>
        <v>5755161544</v>
      </c>
      <c r="B6888" t="str">
        <f t="shared" si="326"/>
        <v>89301000</v>
      </c>
      <c r="C6888" s="1">
        <v>44350</v>
      </c>
      <c r="D6888" s="1">
        <v>44354</v>
      </c>
      <c r="E6888">
        <v>1</v>
      </c>
      <c r="F6888" t="s">
        <v>1927</v>
      </c>
      <c r="G6888" t="str">
        <f>"05-I29-03"</f>
        <v>05-I29-03</v>
      </c>
      <c r="H6888">
        <v>0.94369999999999998</v>
      </c>
      <c r="I6888" t="s">
        <v>1928</v>
      </c>
      <c r="J6888" t="s">
        <v>14</v>
      </c>
      <c r="K6888" t="str">
        <f>"5F1"</f>
        <v>5F1</v>
      </c>
      <c r="L6888" t="s">
        <v>15</v>
      </c>
    </row>
    <row r="6889" spans="1:12" x14ac:dyDescent="0.25">
      <c r="A6889" t="str">
        <f>"5755212078"</f>
        <v>5755212078</v>
      </c>
      <c r="B6889" t="str">
        <f t="shared" si="326"/>
        <v>89301000</v>
      </c>
      <c r="C6889" s="1">
        <v>44490</v>
      </c>
      <c r="D6889" s="1">
        <v>44491</v>
      </c>
      <c r="E6889">
        <v>1</v>
      </c>
      <c r="F6889" t="s">
        <v>1650</v>
      </c>
      <c r="G6889" t="str">
        <f>"05-D01-06"</f>
        <v>05-D01-06</v>
      </c>
      <c r="H6889">
        <v>0.7611</v>
      </c>
      <c r="I6889" t="s">
        <v>4983</v>
      </c>
      <c r="J6889" t="s">
        <v>14</v>
      </c>
      <c r="K6889" t="str">
        <f>"1F7"</f>
        <v>1F7</v>
      </c>
      <c r="L6889" t="s">
        <v>15</v>
      </c>
    </row>
    <row r="6890" spans="1:12" x14ac:dyDescent="0.25">
      <c r="A6890" t="str">
        <f>"5755212078"</f>
        <v>5755212078</v>
      </c>
      <c r="B6890" t="str">
        <f t="shared" si="326"/>
        <v>89301000</v>
      </c>
      <c r="C6890" s="1">
        <v>44523</v>
      </c>
      <c r="D6890" s="1">
        <v>44524</v>
      </c>
      <c r="E6890">
        <v>1</v>
      </c>
      <c r="F6890" t="s">
        <v>2316</v>
      </c>
      <c r="G6890" t="str">
        <f>"17-K05-02"</f>
        <v>17-K05-02</v>
      </c>
      <c r="H6890">
        <v>0.94220000000000004</v>
      </c>
      <c r="I6890" t="s">
        <v>4984</v>
      </c>
      <c r="J6890" t="s">
        <v>14</v>
      </c>
      <c r="K6890" t="str">
        <f>"2F2"</f>
        <v>2F2</v>
      </c>
      <c r="L6890" t="s">
        <v>15</v>
      </c>
    </row>
    <row r="6891" spans="1:12" x14ac:dyDescent="0.25">
      <c r="A6891" t="str">
        <f>"5755212078"</f>
        <v>5755212078</v>
      </c>
      <c r="B6891" t="str">
        <f t="shared" si="326"/>
        <v>89301000</v>
      </c>
      <c r="C6891" s="1">
        <v>44544</v>
      </c>
      <c r="D6891" s="1">
        <v>44547</v>
      </c>
      <c r="E6891">
        <v>1</v>
      </c>
      <c r="F6891" t="s">
        <v>2316</v>
      </c>
      <c r="G6891" t="str">
        <f>"17-C05-04"</f>
        <v>17-C05-04</v>
      </c>
      <c r="H6891">
        <v>0.7712</v>
      </c>
      <c r="I6891" t="s">
        <v>3190</v>
      </c>
      <c r="J6891" t="s">
        <v>14</v>
      </c>
      <c r="K6891" t="str">
        <f>"2F2"</f>
        <v>2F2</v>
      </c>
      <c r="L6891" t="s">
        <v>15</v>
      </c>
    </row>
    <row r="6892" spans="1:12" x14ac:dyDescent="0.25">
      <c r="A6892" t="str">
        <f>"5755242152"</f>
        <v>5755242152</v>
      </c>
      <c r="B6892" t="str">
        <f t="shared" si="326"/>
        <v>89301000</v>
      </c>
      <c r="C6892" s="1">
        <v>44453</v>
      </c>
      <c r="D6892" s="1">
        <v>44474</v>
      </c>
      <c r="E6892">
        <v>1</v>
      </c>
      <c r="F6892" t="s">
        <v>962</v>
      </c>
      <c r="G6892" t="str">
        <f>"04-M01-05"</f>
        <v>04-M01-05</v>
      </c>
      <c r="H6892">
        <v>6.2100999999999997</v>
      </c>
      <c r="I6892" t="s">
        <v>4985</v>
      </c>
      <c r="J6892" t="s">
        <v>14</v>
      </c>
      <c r="K6892" t="str">
        <f>"2F5"</f>
        <v>2F5</v>
      </c>
      <c r="L6892" t="s">
        <v>15</v>
      </c>
    </row>
    <row r="6893" spans="1:12" x14ac:dyDescent="0.25">
      <c r="A6893" t="str">
        <f>"5755242152"</f>
        <v>5755242152</v>
      </c>
      <c r="B6893" t="str">
        <f t="shared" si="326"/>
        <v>89301000</v>
      </c>
      <c r="C6893" s="1">
        <v>44494</v>
      </c>
      <c r="D6893" s="1">
        <v>44504</v>
      </c>
      <c r="E6893">
        <v>2</v>
      </c>
      <c r="F6893" t="s">
        <v>3452</v>
      </c>
      <c r="G6893" t="str">
        <f>"04-K08-03"</f>
        <v>04-K08-03</v>
      </c>
      <c r="H6893">
        <v>1.5965</v>
      </c>
      <c r="I6893" t="s">
        <v>4986</v>
      </c>
      <c r="J6893" t="s">
        <v>14</v>
      </c>
      <c r="K6893" t="str">
        <f>"2F5"</f>
        <v>2F5</v>
      </c>
      <c r="L6893" t="s">
        <v>15</v>
      </c>
    </row>
    <row r="6894" spans="1:12" x14ac:dyDescent="0.25">
      <c r="A6894" t="str">
        <f>"5755280663"</f>
        <v>5755280663</v>
      </c>
      <c r="B6894" t="str">
        <f t="shared" si="326"/>
        <v>89301000</v>
      </c>
      <c r="C6894" s="1">
        <v>44354</v>
      </c>
      <c r="D6894" s="1">
        <v>44356</v>
      </c>
      <c r="E6894">
        <v>1</v>
      </c>
      <c r="F6894" t="s">
        <v>3620</v>
      </c>
      <c r="G6894" t="str">
        <f>"02-I06-02"</f>
        <v>02-I06-02</v>
      </c>
      <c r="H6894">
        <v>0.90300000000000002</v>
      </c>
      <c r="I6894" t="s">
        <v>1688</v>
      </c>
      <c r="J6894" t="s">
        <v>17</v>
      </c>
      <c r="K6894" t="str">
        <f>"7F5"</f>
        <v>7F5</v>
      </c>
      <c r="L6894" t="s">
        <v>15</v>
      </c>
    </row>
    <row r="6895" spans="1:12" x14ac:dyDescent="0.25">
      <c r="A6895" t="str">
        <f>"5756010546"</f>
        <v>5756010546</v>
      </c>
      <c r="B6895" t="str">
        <f t="shared" si="326"/>
        <v>89301000</v>
      </c>
      <c r="C6895" s="1">
        <v>44210</v>
      </c>
      <c r="D6895" s="1">
        <v>44213</v>
      </c>
      <c r="E6895">
        <v>1</v>
      </c>
      <c r="F6895" t="s">
        <v>1581</v>
      </c>
      <c r="G6895" t="str">
        <f>"05-M07-06"</f>
        <v>05-M07-06</v>
      </c>
      <c r="H6895">
        <v>1.2513000000000001</v>
      </c>
      <c r="I6895" t="s">
        <v>489</v>
      </c>
      <c r="J6895" t="s">
        <v>17</v>
      </c>
      <c r="K6895" t="str">
        <f>"5F1"</f>
        <v>5F1</v>
      </c>
      <c r="L6895" t="s">
        <v>15</v>
      </c>
    </row>
    <row r="6896" spans="1:12" x14ac:dyDescent="0.25">
      <c r="A6896" t="str">
        <f>"5756041830"</f>
        <v>5756041830</v>
      </c>
      <c r="B6896" t="str">
        <f t="shared" si="326"/>
        <v>89301000</v>
      </c>
      <c r="C6896" s="1">
        <v>44497</v>
      </c>
      <c r="D6896" s="1">
        <v>44499</v>
      </c>
      <c r="E6896">
        <v>1</v>
      </c>
      <c r="F6896" t="s">
        <v>84</v>
      </c>
      <c r="G6896" t="str">
        <f>"09-I09-05"</f>
        <v>09-I09-05</v>
      </c>
      <c r="H6896">
        <v>0.47210000000000002</v>
      </c>
      <c r="J6896" t="s">
        <v>17</v>
      </c>
      <c r="K6896" t="str">
        <f>"5F1"</f>
        <v>5F1</v>
      </c>
      <c r="L6896" t="s">
        <v>15</v>
      </c>
    </row>
    <row r="6897" spans="1:12" x14ac:dyDescent="0.25">
      <c r="A6897" t="str">
        <f>"5756071387"</f>
        <v>5756071387</v>
      </c>
      <c r="B6897" t="str">
        <f t="shared" si="326"/>
        <v>89301000</v>
      </c>
      <c r="C6897" s="1">
        <v>44309</v>
      </c>
      <c r="D6897" s="1">
        <v>44314</v>
      </c>
      <c r="E6897">
        <v>1</v>
      </c>
      <c r="F6897" t="s">
        <v>332</v>
      </c>
      <c r="G6897" t="str">
        <f>"07-K02-03"</f>
        <v>07-K02-03</v>
      </c>
      <c r="H6897">
        <v>0.7742</v>
      </c>
      <c r="I6897" t="s">
        <v>4987</v>
      </c>
      <c r="J6897" t="s">
        <v>14</v>
      </c>
      <c r="K6897" t="str">
        <f>"1F1"</f>
        <v>1F1</v>
      </c>
      <c r="L6897" t="s">
        <v>15</v>
      </c>
    </row>
    <row r="6898" spans="1:12" x14ac:dyDescent="0.25">
      <c r="A6898" t="str">
        <f>"5756110635"</f>
        <v>5756110635</v>
      </c>
      <c r="B6898" t="str">
        <f t="shared" si="326"/>
        <v>89301000</v>
      </c>
      <c r="C6898" s="1">
        <v>44493</v>
      </c>
      <c r="D6898" s="1">
        <v>44495</v>
      </c>
      <c r="E6898">
        <v>1</v>
      </c>
      <c r="F6898" t="s">
        <v>1553</v>
      </c>
      <c r="G6898" t="str">
        <f>"04-K05-03"</f>
        <v>04-K05-03</v>
      </c>
      <c r="H6898">
        <v>0.74980000000000002</v>
      </c>
      <c r="I6898" t="s">
        <v>4988</v>
      </c>
      <c r="J6898" t="s">
        <v>14</v>
      </c>
      <c r="K6898" t="str">
        <f>"1F1"</f>
        <v>1F1</v>
      </c>
      <c r="L6898" t="s">
        <v>15</v>
      </c>
    </row>
    <row r="6899" spans="1:12" x14ac:dyDescent="0.25">
      <c r="A6899" t="str">
        <f>"5756130391"</f>
        <v>5756130391</v>
      </c>
      <c r="B6899" t="str">
        <f t="shared" si="326"/>
        <v>89301000</v>
      </c>
      <c r="C6899" s="1">
        <v>44488</v>
      </c>
      <c r="D6899" s="1">
        <v>44505</v>
      </c>
      <c r="E6899">
        <v>1</v>
      </c>
      <c r="F6899" t="s">
        <v>109</v>
      </c>
      <c r="G6899" t="str">
        <f>"24-M07-02"</f>
        <v>24-M07-02</v>
      </c>
      <c r="H6899">
        <v>1.5094000000000001</v>
      </c>
      <c r="I6899" t="s">
        <v>3241</v>
      </c>
      <c r="J6899" t="s">
        <v>14</v>
      </c>
      <c r="K6899" t="str">
        <f>"2F1"</f>
        <v>2F1</v>
      </c>
      <c r="L6899" t="s">
        <v>15</v>
      </c>
    </row>
    <row r="6900" spans="1:12" x14ac:dyDescent="0.25">
      <c r="A6900" t="str">
        <f>"5756130391"</f>
        <v>5756130391</v>
      </c>
      <c r="B6900" t="str">
        <f t="shared" si="326"/>
        <v>89301000</v>
      </c>
      <c r="C6900" s="1">
        <v>44482</v>
      </c>
      <c r="D6900" s="1">
        <v>44488</v>
      </c>
      <c r="E6900">
        <v>3</v>
      </c>
      <c r="F6900" t="s">
        <v>2407</v>
      </c>
      <c r="G6900" t="str">
        <f>"08-I06-04"</f>
        <v>08-I06-04</v>
      </c>
      <c r="H6900">
        <v>2.4260000000000002</v>
      </c>
      <c r="I6900" t="s">
        <v>4989</v>
      </c>
      <c r="J6900" t="s">
        <v>24</v>
      </c>
      <c r="K6900" t="str">
        <f>"6F6"</f>
        <v>6F6</v>
      </c>
      <c r="L6900" t="s">
        <v>15</v>
      </c>
    </row>
    <row r="6901" spans="1:12" x14ac:dyDescent="0.25">
      <c r="A6901" t="str">
        <f>"5756161730"</f>
        <v>5756161730</v>
      </c>
      <c r="B6901" t="str">
        <f t="shared" si="326"/>
        <v>89301000</v>
      </c>
      <c r="C6901" s="1">
        <v>44243</v>
      </c>
      <c r="D6901" s="1">
        <v>44251</v>
      </c>
      <c r="E6901">
        <v>1</v>
      </c>
      <c r="F6901" t="s">
        <v>217</v>
      </c>
      <c r="G6901" t="str">
        <f>"04-K02-04"</f>
        <v>04-K02-04</v>
      </c>
      <c r="H6901">
        <v>0.82469999999999999</v>
      </c>
      <c r="I6901" t="s">
        <v>1542</v>
      </c>
      <c r="J6901" t="s">
        <v>14</v>
      </c>
      <c r="K6901" t="str">
        <f>"1F1"</f>
        <v>1F1</v>
      </c>
      <c r="L6901" t="s">
        <v>15</v>
      </c>
    </row>
    <row r="6902" spans="1:12" x14ac:dyDescent="0.25">
      <c r="A6902" t="str">
        <f>"5756232108"</f>
        <v>5756232108</v>
      </c>
      <c r="B6902" t="str">
        <f t="shared" si="326"/>
        <v>89301000</v>
      </c>
      <c r="C6902" s="1">
        <v>44514</v>
      </c>
      <c r="D6902" s="1">
        <v>44522</v>
      </c>
      <c r="E6902">
        <v>4</v>
      </c>
      <c r="F6902" t="s">
        <v>1968</v>
      </c>
      <c r="G6902" t="str">
        <f>"08-I05-05"</f>
        <v>08-I05-05</v>
      </c>
      <c r="H6902">
        <v>2.2932000000000001</v>
      </c>
      <c r="I6902" t="s">
        <v>4990</v>
      </c>
      <c r="J6902" t="s">
        <v>17</v>
      </c>
      <c r="K6902" t="str">
        <f>"6F6"</f>
        <v>6F6</v>
      </c>
      <c r="L6902" t="s">
        <v>15</v>
      </c>
    </row>
    <row r="6903" spans="1:12" x14ac:dyDescent="0.25">
      <c r="A6903" t="str">
        <f>"5757041488"</f>
        <v>5757041488</v>
      </c>
      <c r="B6903" t="str">
        <f t="shared" si="326"/>
        <v>89301000</v>
      </c>
      <c r="C6903" s="1">
        <v>44536</v>
      </c>
      <c r="D6903" s="1">
        <v>44550</v>
      </c>
      <c r="E6903">
        <v>1</v>
      </c>
      <c r="F6903" t="s">
        <v>38</v>
      </c>
      <c r="G6903" t="str">
        <f>"05-I16-02"</f>
        <v>05-I16-02</v>
      </c>
      <c r="H6903">
        <v>9.157</v>
      </c>
      <c r="J6903" t="s">
        <v>17</v>
      </c>
      <c r="K6903" t="str">
        <f>"5F5"</f>
        <v>5F5</v>
      </c>
      <c r="L6903" t="s">
        <v>15</v>
      </c>
    </row>
    <row r="6904" spans="1:12" x14ac:dyDescent="0.25">
      <c r="A6904" t="str">
        <f>"5757070286"</f>
        <v>5757070286</v>
      </c>
      <c r="B6904" t="str">
        <f t="shared" si="326"/>
        <v>89301000</v>
      </c>
      <c r="C6904" s="1">
        <v>44307</v>
      </c>
      <c r="D6904" s="1">
        <v>44312</v>
      </c>
      <c r="E6904">
        <v>1</v>
      </c>
      <c r="F6904" t="s">
        <v>217</v>
      </c>
      <c r="G6904" t="str">
        <f>"04-K02-04"</f>
        <v>04-K02-04</v>
      </c>
      <c r="H6904">
        <v>0.82469999999999999</v>
      </c>
      <c r="I6904" t="s">
        <v>4991</v>
      </c>
      <c r="J6904" t="s">
        <v>14</v>
      </c>
      <c r="K6904" t="str">
        <f>"1F1"</f>
        <v>1F1</v>
      </c>
      <c r="L6904" t="s">
        <v>15</v>
      </c>
    </row>
    <row r="6905" spans="1:12" x14ac:dyDescent="0.25">
      <c r="A6905" t="str">
        <f>"5757076523"</f>
        <v>5757076523</v>
      </c>
      <c r="B6905" t="str">
        <f t="shared" si="326"/>
        <v>89301000</v>
      </c>
      <c r="C6905" s="1">
        <v>44530</v>
      </c>
      <c r="D6905" s="1">
        <v>44533</v>
      </c>
      <c r="E6905">
        <v>1</v>
      </c>
      <c r="F6905" t="s">
        <v>1225</v>
      </c>
      <c r="G6905" t="str">
        <f>"01-K16-02"</f>
        <v>01-K16-02</v>
      </c>
      <c r="H6905">
        <v>1.0797000000000001</v>
      </c>
      <c r="I6905" t="s">
        <v>4992</v>
      </c>
      <c r="J6905" t="s">
        <v>14</v>
      </c>
      <c r="K6905" t="str">
        <f>"5F6"</f>
        <v>5F6</v>
      </c>
      <c r="L6905" t="s">
        <v>15</v>
      </c>
    </row>
    <row r="6906" spans="1:12" x14ac:dyDescent="0.25">
      <c r="A6906" t="str">
        <f>"5757100657"</f>
        <v>5757100657</v>
      </c>
      <c r="B6906" t="str">
        <f t="shared" si="326"/>
        <v>89301000</v>
      </c>
      <c r="C6906" s="1">
        <v>44300</v>
      </c>
      <c r="D6906" s="1">
        <v>44313</v>
      </c>
      <c r="E6906">
        <v>1</v>
      </c>
      <c r="F6906" t="s">
        <v>625</v>
      </c>
      <c r="G6906" t="str">
        <f>"04-M01-05"</f>
        <v>04-M01-05</v>
      </c>
      <c r="H6906">
        <v>6.2100999999999997</v>
      </c>
      <c r="I6906" t="s">
        <v>4993</v>
      </c>
      <c r="J6906" t="s">
        <v>14</v>
      </c>
      <c r="K6906" t="str">
        <f>"1F5"</f>
        <v>1F5</v>
      </c>
      <c r="L6906" t="s">
        <v>15</v>
      </c>
    </row>
    <row r="6907" spans="1:12" x14ac:dyDescent="0.25">
      <c r="A6907" t="str">
        <f>"5757171596"</f>
        <v>5757171596</v>
      </c>
      <c r="B6907" t="str">
        <f t="shared" si="326"/>
        <v>89301000</v>
      </c>
      <c r="C6907" s="1">
        <v>44202</v>
      </c>
      <c r="D6907" s="1">
        <v>44204</v>
      </c>
      <c r="E6907">
        <v>1</v>
      </c>
      <c r="F6907" t="s">
        <v>1551</v>
      </c>
      <c r="G6907" t="str">
        <f>"09-I06-03"</f>
        <v>09-I06-03</v>
      </c>
      <c r="H6907">
        <v>1.4382999999999999</v>
      </c>
      <c r="J6907" t="s">
        <v>17</v>
      </c>
      <c r="K6907" t="str">
        <f>"5F1"</f>
        <v>5F1</v>
      </c>
      <c r="L6907" t="s">
        <v>15</v>
      </c>
    </row>
    <row r="6908" spans="1:12" x14ac:dyDescent="0.25">
      <c r="A6908" t="str">
        <f>"5757171596"</f>
        <v>5757171596</v>
      </c>
      <c r="B6908" t="str">
        <f t="shared" si="326"/>
        <v>89301000</v>
      </c>
      <c r="C6908" s="1">
        <v>44244</v>
      </c>
      <c r="D6908" s="1">
        <v>44247</v>
      </c>
      <c r="E6908">
        <v>1</v>
      </c>
      <c r="F6908" t="s">
        <v>2390</v>
      </c>
      <c r="G6908" t="str">
        <f>"17-I10-02"</f>
        <v>17-I10-02</v>
      </c>
      <c r="H6908">
        <v>0.92959999999999998</v>
      </c>
      <c r="I6908" t="s">
        <v>1551</v>
      </c>
      <c r="J6908" t="s">
        <v>14</v>
      </c>
      <c r="K6908" t="str">
        <f>"5F1"</f>
        <v>5F1</v>
      </c>
      <c r="L6908" t="s">
        <v>15</v>
      </c>
    </row>
    <row r="6909" spans="1:12" x14ac:dyDescent="0.25">
      <c r="A6909" t="str">
        <f>"5757212417"</f>
        <v>5757212417</v>
      </c>
      <c r="B6909" t="str">
        <f t="shared" si="326"/>
        <v>89301000</v>
      </c>
      <c r="C6909" s="1">
        <v>44379</v>
      </c>
      <c r="D6909" s="1">
        <v>44383</v>
      </c>
      <c r="E6909">
        <v>1</v>
      </c>
      <c r="F6909" t="s">
        <v>320</v>
      </c>
      <c r="G6909" t="str">
        <f>"03-I23-00"</f>
        <v>03-I23-00</v>
      </c>
      <c r="H6909">
        <v>0.47639999999999999</v>
      </c>
      <c r="I6909" t="s">
        <v>4994</v>
      </c>
      <c r="J6909" t="s">
        <v>14</v>
      </c>
      <c r="K6909" t="str">
        <f>"6F5"</f>
        <v>6F5</v>
      </c>
      <c r="L6909" t="s">
        <v>15</v>
      </c>
    </row>
    <row r="6910" spans="1:12" x14ac:dyDescent="0.25">
      <c r="A6910" t="str">
        <f>"5757216113"</f>
        <v>5757216113</v>
      </c>
      <c r="B6910" t="str">
        <f t="shared" ref="B6910:B6973" si="327">"89301000"</f>
        <v>89301000</v>
      </c>
      <c r="C6910" s="1">
        <v>44471</v>
      </c>
      <c r="D6910" s="1">
        <v>44488</v>
      </c>
      <c r="E6910">
        <v>1</v>
      </c>
      <c r="F6910" t="s">
        <v>4995</v>
      </c>
      <c r="G6910" t="str">
        <f>"16-K02-03"</f>
        <v>16-K02-03</v>
      </c>
      <c r="H6910">
        <v>1.0431999999999999</v>
      </c>
      <c r="I6910" t="s">
        <v>4996</v>
      </c>
      <c r="J6910" t="s">
        <v>14</v>
      </c>
      <c r="K6910" t="str">
        <f>"1F1"</f>
        <v>1F1</v>
      </c>
      <c r="L6910" t="s">
        <v>15</v>
      </c>
    </row>
    <row r="6911" spans="1:12" x14ac:dyDescent="0.25">
      <c r="A6911" t="str">
        <f>"5758061595"</f>
        <v>5758061595</v>
      </c>
      <c r="B6911" t="str">
        <f t="shared" si="327"/>
        <v>89301000</v>
      </c>
      <c r="C6911" s="1">
        <v>44543</v>
      </c>
      <c r="D6911" s="1">
        <v>44547</v>
      </c>
      <c r="E6911">
        <v>1</v>
      </c>
      <c r="F6911" t="s">
        <v>2068</v>
      </c>
      <c r="G6911" t="str">
        <f>"02-I06-02"</f>
        <v>02-I06-02</v>
      </c>
      <c r="H6911">
        <v>0.90300000000000002</v>
      </c>
      <c r="I6911" t="s">
        <v>4997</v>
      </c>
      <c r="J6911" t="s">
        <v>17</v>
      </c>
      <c r="K6911" t="str">
        <f>"5F3"</f>
        <v>5F3</v>
      </c>
      <c r="L6911" t="s">
        <v>15</v>
      </c>
    </row>
    <row r="6912" spans="1:12" x14ac:dyDescent="0.25">
      <c r="A6912" t="str">
        <f>"5758081329"</f>
        <v>5758081329</v>
      </c>
      <c r="B6912" t="str">
        <f t="shared" si="327"/>
        <v>89301000</v>
      </c>
      <c r="C6912" s="1">
        <v>44442</v>
      </c>
      <c r="D6912" s="1">
        <v>44445</v>
      </c>
      <c r="E6912">
        <v>1</v>
      </c>
      <c r="F6912" t="s">
        <v>2311</v>
      </c>
      <c r="G6912" t="str">
        <f>"08-I03-08"</f>
        <v>08-I03-08</v>
      </c>
      <c r="H6912">
        <v>2.0605000000000002</v>
      </c>
      <c r="I6912" t="s">
        <v>1586</v>
      </c>
      <c r="J6912" t="s">
        <v>17</v>
      </c>
      <c r="K6912" t="str">
        <f>"5F6"</f>
        <v>5F6</v>
      </c>
      <c r="L6912" t="s">
        <v>15</v>
      </c>
    </row>
    <row r="6913" spans="1:12" x14ac:dyDescent="0.25">
      <c r="A6913" t="str">
        <f>"5758101866"</f>
        <v>5758101866</v>
      </c>
      <c r="B6913" t="str">
        <f t="shared" si="327"/>
        <v>89301000</v>
      </c>
      <c r="C6913" s="1">
        <v>44242</v>
      </c>
      <c r="D6913" s="1">
        <v>44243</v>
      </c>
      <c r="E6913">
        <v>1</v>
      </c>
      <c r="F6913" t="s">
        <v>2360</v>
      </c>
      <c r="G6913" t="str">
        <f>"06-M01-05"</f>
        <v>06-M01-05</v>
      </c>
      <c r="H6913">
        <v>0.41710000000000003</v>
      </c>
      <c r="I6913" t="s">
        <v>4998</v>
      </c>
      <c r="J6913" t="s">
        <v>14</v>
      </c>
      <c r="K6913" t="str">
        <f>"1F5"</f>
        <v>1F5</v>
      </c>
      <c r="L6913" t="s">
        <v>15</v>
      </c>
    </row>
    <row r="6914" spans="1:12" x14ac:dyDescent="0.25">
      <c r="A6914" t="str">
        <f>"5758101866"</f>
        <v>5758101866</v>
      </c>
      <c r="B6914" t="str">
        <f t="shared" si="327"/>
        <v>89301000</v>
      </c>
      <c r="C6914" s="1">
        <v>44313</v>
      </c>
      <c r="D6914" s="1">
        <v>44323</v>
      </c>
      <c r="E6914">
        <v>1</v>
      </c>
      <c r="F6914" t="s">
        <v>3989</v>
      </c>
      <c r="G6914" t="str">
        <f>"06-I07-05"</f>
        <v>06-I07-05</v>
      </c>
      <c r="H6914">
        <v>2.8466999999999998</v>
      </c>
      <c r="I6914" t="s">
        <v>4999</v>
      </c>
      <c r="J6914" t="s">
        <v>17</v>
      </c>
      <c r="K6914" t="str">
        <f>"5F1"</f>
        <v>5F1</v>
      </c>
      <c r="L6914" t="s">
        <v>15</v>
      </c>
    </row>
    <row r="6915" spans="1:12" x14ac:dyDescent="0.25">
      <c r="A6915" t="str">
        <f>"5758150530"</f>
        <v>5758150530</v>
      </c>
      <c r="B6915" t="str">
        <f t="shared" si="327"/>
        <v>89301000</v>
      </c>
      <c r="C6915" s="1">
        <v>44279</v>
      </c>
      <c r="D6915" s="1">
        <v>44281</v>
      </c>
      <c r="E6915">
        <v>1</v>
      </c>
      <c r="F6915" t="s">
        <v>2111</v>
      </c>
      <c r="G6915" t="str">
        <f>"10-K15-02"</f>
        <v>10-K15-02</v>
      </c>
      <c r="H6915">
        <v>0.77639999999999998</v>
      </c>
      <c r="I6915" t="s">
        <v>5000</v>
      </c>
      <c r="J6915" t="s">
        <v>14</v>
      </c>
      <c r="K6915" t="str">
        <f>"2F5"</f>
        <v>2F5</v>
      </c>
      <c r="L6915" t="s">
        <v>15</v>
      </c>
    </row>
    <row r="6916" spans="1:12" x14ac:dyDescent="0.25">
      <c r="A6916" t="str">
        <f>"5758220963"</f>
        <v>5758220963</v>
      </c>
      <c r="B6916" t="str">
        <f t="shared" si="327"/>
        <v>89301000</v>
      </c>
      <c r="C6916" s="1">
        <v>44441</v>
      </c>
      <c r="D6916" s="1">
        <v>44445</v>
      </c>
      <c r="E6916">
        <v>1</v>
      </c>
      <c r="F6916" t="s">
        <v>1551</v>
      </c>
      <c r="G6916" t="str">
        <f>"09-I06-04"</f>
        <v>09-I06-04</v>
      </c>
      <c r="H6916">
        <v>0.98829999999999996</v>
      </c>
      <c r="I6916" t="s">
        <v>489</v>
      </c>
      <c r="J6916" t="s">
        <v>17</v>
      </c>
      <c r="K6916" t="str">
        <f>"5F1"</f>
        <v>5F1</v>
      </c>
      <c r="L6916" t="s">
        <v>15</v>
      </c>
    </row>
    <row r="6917" spans="1:12" x14ac:dyDescent="0.25">
      <c r="A6917" t="str">
        <f>"5758251587"</f>
        <v>5758251587</v>
      </c>
      <c r="B6917" t="str">
        <f t="shared" si="327"/>
        <v>89301000</v>
      </c>
      <c r="C6917" s="1">
        <v>44419</v>
      </c>
      <c r="D6917" s="1">
        <v>44421</v>
      </c>
      <c r="E6917">
        <v>1</v>
      </c>
      <c r="F6917" t="s">
        <v>445</v>
      </c>
      <c r="G6917" t="str">
        <f>"08-I17-02"</f>
        <v>08-I17-02</v>
      </c>
      <c r="H6917">
        <v>0.98309999999999997</v>
      </c>
      <c r="I6917" t="s">
        <v>381</v>
      </c>
      <c r="J6917" t="s">
        <v>14</v>
      </c>
      <c r="K6917" t="str">
        <f>"5F3"</f>
        <v>5F3</v>
      </c>
      <c r="L6917" t="s">
        <v>15</v>
      </c>
    </row>
    <row r="6918" spans="1:12" x14ac:dyDescent="0.25">
      <c r="A6918" t="str">
        <f>"5758270518"</f>
        <v>5758270518</v>
      </c>
      <c r="B6918" t="str">
        <f t="shared" si="327"/>
        <v>89301000</v>
      </c>
      <c r="C6918" s="1">
        <v>44510</v>
      </c>
      <c r="D6918" s="1">
        <v>44512</v>
      </c>
      <c r="E6918">
        <v>1</v>
      </c>
      <c r="F6918" t="s">
        <v>380</v>
      </c>
      <c r="G6918" t="str">
        <f>"08-I17-02"</f>
        <v>08-I17-02</v>
      </c>
      <c r="H6918">
        <v>0.98309999999999997</v>
      </c>
      <c r="I6918" t="s">
        <v>244</v>
      </c>
      <c r="J6918" t="s">
        <v>14</v>
      </c>
      <c r="K6918" t="str">
        <f>"5F3"</f>
        <v>5F3</v>
      </c>
      <c r="L6918" t="s">
        <v>15</v>
      </c>
    </row>
    <row r="6919" spans="1:12" x14ac:dyDescent="0.25">
      <c r="A6919" t="str">
        <f>"5758306323"</f>
        <v>5758306323</v>
      </c>
      <c r="B6919" t="str">
        <f t="shared" si="327"/>
        <v>89301000</v>
      </c>
      <c r="C6919" s="1">
        <v>44328</v>
      </c>
      <c r="D6919" s="1">
        <v>44329</v>
      </c>
      <c r="E6919">
        <v>1</v>
      </c>
      <c r="F6919" t="s">
        <v>41</v>
      </c>
      <c r="G6919" t="str">
        <f>"01-D01-03"</f>
        <v>01-D01-03</v>
      </c>
      <c r="H6919">
        <v>0.158</v>
      </c>
      <c r="I6919" t="s">
        <v>5001</v>
      </c>
      <c r="J6919" t="s">
        <v>14</v>
      </c>
      <c r="K6919" t="str">
        <f>"2F5"</f>
        <v>2F5</v>
      </c>
      <c r="L6919" t="s">
        <v>15</v>
      </c>
    </row>
    <row r="6920" spans="1:12" x14ac:dyDescent="0.25">
      <c r="A6920" t="str">
        <f>"5758306323"</f>
        <v>5758306323</v>
      </c>
      <c r="B6920" t="str">
        <f t="shared" si="327"/>
        <v>89301000</v>
      </c>
      <c r="C6920" s="1">
        <v>44400</v>
      </c>
      <c r="D6920" s="1">
        <v>44403</v>
      </c>
      <c r="E6920">
        <v>1</v>
      </c>
      <c r="F6920" t="s">
        <v>41</v>
      </c>
      <c r="G6920" t="str">
        <f>"01-D01-03"</f>
        <v>01-D01-03</v>
      </c>
      <c r="H6920">
        <v>0.2054</v>
      </c>
      <c r="I6920" t="s">
        <v>5002</v>
      </c>
      <c r="J6920" t="s">
        <v>14</v>
      </c>
      <c r="K6920" t="str">
        <f>"2F5"</f>
        <v>2F5</v>
      </c>
      <c r="L6920" t="s">
        <v>15</v>
      </c>
    </row>
    <row r="6921" spans="1:12" x14ac:dyDescent="0.25">
      <c r="A6921" t="str">
        <f>"5758311559"</f>
        <v>5758311559</v>
      </c>
      <c r="B6921" t="str">
        <f t="shared" si="327"/>
        <v>89301000</v>
      </c>
      <c r="C6921" s="1">
        <v>44227</v>
      </c>
      <c r="D6921" s="1">
        <v>44229</v>
      </c>
      <c r="E6921">
        <v>1</v>
      </c>
      <c r="F6921" t="s">
        <v>260</v>
      </c>
      <c r="G6921" t="str">
        <f>"03-K06-01"</f>
        <v>03-K06-01</v>
      </c>
      <c r="H6921">
        <v>0.4718</v>
      </c>
      <c r="J6921" t="s">
        <v>14</v>
      </c>
      <c r="K6921" t="str">
        <f>"7F1"</f>
        <v>7F1</v>
      </c>
      <c r="L6921" t="s">
        <v>15</v>
      </c>
    </row>
    <row r="6922" spans="1:12" x14ac:dyDescent="0.25">
      <c r="A6922" t="str">
        <f>"5759131708"</f>
        <v>5759131708</v>
      </c>
      <c r="B6922" t="str">
        <f t="shared" si="327"/>
        <v>89301000</v>
      </c>
      <c r="C6922" s="1">
        <v>44309</v>
      </c>
      <c r="D6922" s="1">
        <v>44313</v>
      </c>
      <c r="E6922">
        <v>1</v>
      </c>
      <c r="F6922" t="s">
        <v>3568</v>
      </c>
      <c r="G6922" t="str">
        <f>"08-I03-08"</f>
        <v>08-I03-08</v>
      </c>
      <c r="H6922">
        <v>2.0605000000000002</v>
      </c>
      <c r="I6922" t="s">
        <v>5003</v>
      </c>
      <c r="J6922" t="s">
        <v>17</v>
      </c>
      <c r="K6922" t="str">
        <f>"5F6"</f>
        <v>5F6</v>
      </c>
      <c r="L6922" t="s">
        <v>15</v>
      </c>
    </row>
    <row r="6923" spans="1:12" x14ac:dyDescent="0.25">
      <c r="A6923" t="str">
        <f>"5759221875"</f>
        <v>5759221875</v>
      </c>
      <c r="B6923" t="str">
        <f t="shared" si="327"/>
        <v>89301000</v>
      </c>
      <c r="C6923" s="1">
        <v>44501</v>
      </c>
      <c r="D6923" s="1">
        <v>44504</v>
      </c>
      <c r="E6923">
        <v>1</v>
      </c>
      <c r="F6923" t="s">
        <v>2390</v>
      </c>
      <c r="G6923" t="str">
        <f>"17-I10-02"</f>
        <v>17-I10-02</v>
      </c>
      <c r="H6923">
        <v>0.92959999999999998</v>
      </c>
      <c r="I6923" t="s">
        <v>5004</v>
      </c>
      <c r="J6923" t="s">
        <v>14</v>
      </c>
      <c r="K6923" t="str">
        <f>"5F1"</f>
        <v>5F1</v>
      </c>
      <c r="L6923" t="s">
        <v>15</v>
      </c>
    </row>
    <row r="6924" spans="1:12" x14ac:dyDescent="0.25">
      <c r="A6924" t="str">
        <f>"5759221875"</f>
        <v>5759221875</v>
      </c>
      <c r="B6924" t="str">
        <f t="shared" si="327"/>
        <v>89301000</v>
      </c>
      <c r="C6924" s="1">
        <v>44433</v>
      </c>
      <c r="D6924" s="1">
        <v>44435</v>
      </c>
      <c r="E6924">
        <v>1</v>
      </c>
      <c r="F6924" t="s">
        <v>2355</v>
      </c>
      <c r="G6924" t="str">
        <f>"04-K09-03"</f>
        <v>04-K09-03</v>
      </c>
      <c r="H6924">
        <v>0.62749999999999995</v>
      </c>
      <c r="I6924" t="s">
        <v>5005</v>
      </c>
      <c r="J6924" t="s">
        <v>14</v>
      </c>
      <c r="K6924" t="str">
        <f>"2F5"</f>
        <v>2F5</v>
      </c>
      <c r="L6924" t="s">
        <v>15</v>
      </c>
    </row>
    <row r="6925" spans="1:12" x14ac:dyDescent="0.25">
      <c r="A6925" t="str">
        <f>"5759221875"</f>
        <v>5759221875</v>
      </c>
      <c r="B6925" t="str">
        <f t="shared" si="327"/>
        <v>89301000</v>
      </c>
      <c r="C6925" s="1">
        <v>44473</v>
      </c>
      <c r="D6925" s="1">
        <v>44475</v>
      </c>
      <c r="E6925">
        <v>1</v>
      </c>
      <c r="F6925" t="s">
        <v>2355</v>
      </c>
      <c r="G6925" t="str">
        <f>"04-K09-03"</f>
        <v>04-K09-03</v>
      </c>
      <c r="H6925">
        <v>0.62749999999999995</v>
      </c>
      <c r="I6925" t="s">
        <v>5006</v>
      </c>
      <c r="J6925" t="s">
        <v>14</v>
      </c>
      <c r="K6925" t="str">
        <f>"2F5"</f>
        <v>2F5</v>
      </c>
      <c r="L6925" t="s">
        <v>15</v>
      </c>
    </row>
    <row r="6926" spans="1:12" x14ac:dyDescent="0.25">
      <c r="A6926" t="str">
        <f>"5759221875"</f>
        <v>5759221875</v>
      </c>
      <c r="B6926" t="str">
        <f t="shared" si="327"/>
        <v>89301000</v>
      </c>
      <c r="C6926" s="1">
        <v>44480</v>
      </c>
      <c r="D6926" s="1">
        <v>44487</v>
      </c>
      <c r="E6926">
        <v>1</v>
      </c>
      <c r="F6926" t="s">
        <v>2355</v>
      </c>
      <c r="G6926" t="str">
        <f>"04-I02-03"</f>
        <v>04-I02-03</v>
      </c>
      <c r="H6926">
        <v>3.5295999999999998</v>
      </c>
      <c r="I6926" t="s">
        <v>5004</v>
      </c>
      <c r="J6926" t="s">
        <v>106</v>
      </c>
      <c r="K6926" t="str">
        <f>"5F1"</f>
        <v>5F1</v>
      </c>
      <c r="L6926" t="s">
        <v>15</v>
      </c>
    </row>
    <row r="6927" spans="1:12" x14ac:dyDescent="0.25">
      <c r="A6927" t="str">
        <f>"5759261222"</f>
        <v>5759261222</v>
      </c>
      <c r="B6927" t="str">
        <f t="shared" si="327"/>
        <v>89301000</v>
      </c>
      <c r="C6927" s="1">
        <v>44368</v>
      </c>
      <c r="D6927" s="1">
        <v>44371</v>
      </c>
      <c r="E6927">
        <v>1</v>
      </c>
      <c r="F6927" t="s">
        <v>4545</v>
      </c>
      <c r="G6927" t="str">
        <f>"13-I13-02"</f>
        <v>13-I13-02</v>
      </c>
      <c r="H6927">
        <v>0.99780000000000002</v>
      </c>
      <c r="J6927" t="s">
        <v>17</v>
      </c>
      <c r="K6927" t="str">
        <f>"6F3"</f>
        <v>6F3</v>
      </c>
      <c r="L6927" t="s">
        <v>15</v>
      </c>
    </row>
    <row r="6928" spans="1:12" x14ac:dyDescent="0.25">
      <c r="A6928" t="str">
        <f>"5759291967"</f>
        <v>5759291967</v>
      </c>
      <c r="B6928" t="str">
        <f t="shared" si="327"/>
        <v>89301000</v>
      </c>
      <c r="C6928" s="1">
        <v>44420</v>
      </c>
      <c r="D6928" s="1">
        <v>44425</v>
      </c>
      <c r="E6928">
        <v>1</v>
      </c>
      <c r="F6928" t="s">
        <v>1551</v>
      </c>
      <c r="G6928" t="str">
        <f>"09-I06-04"</f>
        <v>09-I06-04</v>
      </c>
      <c r="H6928">
        <v>0.98829999999999996</v>
      </c>
      <c r="I6928" t="s">
        <v>1586</v>
      </c>
      <c r="J6928" t="s">
        <v>17</v>
      </c>
      <c r="K6928" t="str">
        <f>"5F1"</f>
        <v>5F1</v>
      </c>
      <c r="L6928" t="s">
        <v>15</v>
      </c>
    </row>
    <row r="6929" spans="1:12" x14ac:dyDescent="0.25">
      <c r="A6929" t="str">
        <f>"5759291967"</f>
        <v>5759291967</v>
      </c>
      <c r="B6929" t="str">
        <f t="shared" si="327"/>
        <v>89301000</v>
      </c>
      <c r="C6929" s="1">
        <v>44488</v>
      </c>
      <c r="D6929" s="1">
        <v>44490</v>
      </c>
      <c r="E6929">
        <v>1</v>
      </c>
      <c r="F6929" t="s">
        <v>3381</v>
      </c>
      <c r="G6929" t="str">
        <f>"09-K08-02"</f>
        <v>09-K08-02</v>
      </c>
      <c r="H6929">
        <v>0.54849999999999999</v>
      </c>
      <c r="I6929" t="s">
        <v>5007</v>
      </c>
      <c r="J6929" t="s">
        <v>14</v>
      </c>
      <c r="K6929" t="str">
        <f>"4F2"</f>
        <v>4F2</v>
      </c>
      <c r="L6929" t="s">
        <v>15</v>
      </c>
    </row>
    <row r="6930" spans="1:12" x14ac:dyDescent="0.25">
      <c r="A6930" t="str">
        <f>"5759301812"</f>
        <v>5759301812</v>
      </c>
      <c r="B6930" t="str">
        <f t="shared" si="327"/>
        <v>89301000</v>
      </c>
      <c r="C6930" s="1">
        <v>44515</v>
      </c>
      <c r="D6930" s="1">
        <v>44518</v>
      </c>
      <c r="E6930">
        <v>1</v>
      </c>
      <c r="F6930" t="s">
        <v>5008</v>
      </c>
      <c r="G6930" t="str">
        <f>"13-I13-02"</f>
        <v>13-I13-02</v>
      </c>
      <c r="H6930">
        <v>0.98650000000000004</v>
      </c>
      <c r="J6930" t="s">
        <v>17</v>
      </c>
      <c r="K6930" t="str">
        <f>"6F3"</f>
        <v>6F3</v>
      </c>
      <c r="L6930" t="s">
        <v>15</v>
      </c>
    </row>
    <row r="6931" spans="1:12" x14ac:dyDescent="0.25">
      <c r="A6931" t="str">
        <f>"5760160945"</f>
        <v>5760160945</v>
      </c>
      <c r="B6931" t="str">
        <f t="shared" si="327"/>
        <v>89301000</v>
      </c>
      <c r="C6931" s="1">
        <v>44371</v>
      </c>
      <c r="D6931" s="1">
        <v>44372</v>
      </c>
      <c r="E6931">
        <v>1</v>
      </c>
      <c r="F6931" t="s">
        <v>831</v>
      </c>
      <c r="G6931" t="str">
        <f>"02-I06-03"</f>
        <v>02-I06-03</v>
      </c>
      <c r="H6931">
        <v>0.63690000000000002</v>
      </c>
      <c r="J6931" t="s">
        <v>17</v>
      </c>
      <c r="K6931" t="str">
        <f>"7F5"</f>
        <v>7F5</v>
      </c>
      <c r="L6931" t="s">
        <v>15</v>
      </c>
    </row>
    <row r="6932" spans="1:12" x14ac:dyDescent="0.25">
      <c r="A6932" t="str">
        <f>"5760211677"</f>
        <v>5760211677</v>
      </c>
      <c r="B6932" t="str">
        <f t="shared" si="327"/>
        <v>89301000</v>
      </c>
      <c r="C6932" s="1">
        <v>44384</v>
      </c>
      <c r="D6932" s="1">
        <v>44385</v>
      </c>
      <c r="E6932">
        <v>1</v>
      </c>
      <c r="F6932" t="s">
        <v>2573</v>
      </c>
      <c r="G6932" t="str">
        <f>"13-I19-00"</f>
        <v>13-I19-00</v>
      </c>
      <c r="H6932">
        <v>0.24679999999999999</v>
      </c>
      <c r="J6932" t="s">
        <v>14</v>
      </c>
      <c r="K6932" t="str">
        <f>"6F3"</f>
        <v>6F3</v>
      </c>
      <c r="L6932" t="s">
        <v>15</v>
      </c>
    </row>
    <row r="6933" spans="1:12" x14ac:dyDescent="0.25">
      <c r="A6933" t="str">
        <f>"5760230300"</f>
        <v>5760230300</v>
      </c>
      <c r="B6933" t="str">
        <f t="shared" si="327"/>
        <v>89301000</v>
      </c>
      <c r="C6933" s="1">
        <v>44237</v>
      </c>
      <c r="D6933" s="1">
        <v>44237</v>
      </c>
      <c r="E6933">
        <v>1</v>
      </c>
      <c r="F6933" t="s">
        <v>1557</v>
      </c>
      <c r="G6933" t="str">
        <f>"05-M06-07"</f>
        <v>05-M06-07</v>
      </c>
      <c r="H6933">
        <v>1.5166999999999999</v>
      </c>
      <c r="I6933" t="s">
        <v>5009</v>
      </c>
      <c r="J6933" t="s">
        <v>17</v>
      </c>
      <c r="K6933" t="str">
        <f>"1F7"</f>
        <v>1F7</v>
      </c>
      <c r="L6933" t="s">
        <v>15</v>
      </c>
    </row>
    <row r="6934" spans="1:12" x14ac:dyDescent="0.25">
      <c r="A6934" t="str">
        <f>"5760230630"</f>
        <v>5760230630</v>
      </c>
      <c r="B6934" t="str">
        <f t="shared" si="327"/>
        <v>89301000</v>
      </c>
      <c r="C6934" s="1">
        <v>44494</v>
      </c>
      <c r="D6934" s="1">
        <v>44505</v>
      </c>
      <c r="E6934">
        <v>1</v>
      </c>
      <c r="F6934" t="s">
        <v>1847</v>
      </c>
      <c r="G6934" t="str">
        <f>"04-K07-01"</f>
        <v>04-K07-01</v>
      </c>
      <c r="H6934">
        <v>1.7309000000000001</v>
      </c>
      <c r="I6934" t="s">
        <v>5010</v>
      </c>
      <c r="J6934" t="s">
        <v>14</v>
      </c>
      <c r="K6934" t="str">
        <f>"2F5"</f>
        <v>2F5</v>
      </c>
      <c r="L6934" t="s">
        <v>15</v>
      </c>
    </row>
    <row r="6935" spans="1:12" x14ac:dyDescent="0.25">
      <c r="A6935" t="str">
        <f>"5760230630"</f>
        <v>5760230630</v>
      </c>
      <c r="B6935" t="str">
        <f t="shared" si="327"/>
        <v>89301000</v>
      </c>
      <c r="C6935" s="1">
        <v>44440</v>
      </c>
      <c r="D6935" s="1">
        <v>44448</v>
      </c>
      <c r="E6935">
        <v>1</v>
      </c>
      <c r="F6935" t="s">
        <v>1847</v>
      </c>
      <c r="G6935" t="str">
        <f>"04-K07-01"</f>
        <v>04-K07-01</v>
      </c>
      <c r="H6935">
        <v>1.7309000000000001</v>
      </c>
      <c r="I6935" t="s">
        <v>5010</v>
      </c>
      <c r="J6935" t="s">
        <v>14</v>
      </c>
      <c r="K6935" t="str">
        <f>"2F5"</f>
        <v>2F5</v>
      </c>
      <c r="L6935" t="s">
        <v>15</v>
      </c>
    </row>
    <row r="6936" spans="1:12" x14ac:dyDescent="0.25">
      <c r="A6936" t="str">
        <f>"5761101181"</f>
        <v>5761101181</v>
      </c>
      <c r="B6936" t="str">
        <f t="shared" si="327"/>
        <v>89301000</v>
      </c>
      <c r="C6936" s="1">
        <v>44505</v>
      </c>
      <c r="D6936" s="1">
        <v>44509</v>
      </c>
      <c r="E6936">
        <v>4</v>
      </c>
      <c r="F6936" t="s">
        <v>841</v>
      </c>
      <c r="G6936" t="str">
        <f>"04-K03-03"</f>
        <v>04-K03-03</v>
      </c>
      <c r="H6936">
        <v>0.53180000000000005</v>
      </c>
      <c r="I6936" t="s">
        <v>5011</v>
      </c>
      <c r="J6936" t="s">
        <v>14</v>
      </c>
      <c r="K6936" t="str">
        <f>"1F1"</f>
        <v>1F1</v>
      </c>
      <c r="L6936" t="s">
        <v>15</v>
      </c>
    </row>
    <row r="6937" spans="1:12" x14ac:dyDescent="0.25">
      <c r="A6937" t="str">
        <f>"5761270130"</f>
        <v>5761270130</v>
      </c>
      <c r="B6937" t="str">
        <f t="shared" si="327"/>
        <v>89301000</v>
      </c>
      <c r="C6937" s="1">
        <v>44416</v>
      </c>
      <c r="D6937" s="1">
        <v>44421</v>
      </c>
      <c r="E6937">
        <v>1</v>
      </c>
      <c r="F6937" t="s">
        <v>998</v>
      </c>
      <c r="G6937" t="str">
        <f>"18-K01-06"</f>
        <v>18-K01-06</v>
      </c>
      <c r="H6937">
        <v>1.4033</v>
      </c>
      <c r="I6937" t="s">
        <v>5012</v>
      </c>
      <c r="J6937" t="s">
        <v>14</v>
      </c>
      <c r="K6937" t="str">
        <f>"1F1"</f>
        <v>1F1</v>
      </c>
      <c r="L6937" t="s">
        <v>15</v>
      </c>
    </row>
    <row r="6938" spans="1:12" x14ac:dyDescent="0.25">
      <c r="A6938" t="str">
        <f>"5761270130"</f>
        <v>5761270130</v>
      </c>
      <c r="B6938" t="str">
        <f t="shared" si="327"/>
        <v>89301000</v>
      </c>
      <c r="C6938" s="1">
        <v>44475</v>
      </c>
      <c r="D6938" s="1">
        <v>44476</v>
      </c>
      <c r="E6938">
        <v>1</v>
      </c>
      <c r="F6938" t="s">
        <v>1875</v>
      </c>
      <c r="G6938" t="str">
        <f>"05-M10-00"</f>
        <v>05-M10-00</v>
      </c>
      <c r="H6938">
        <v>0.2046</v>
      </c>
      <c r="J6938" t="s">
        <v>14</v>
      </c>
      <c r="K6938" t="str">
        <f>"5F5"</f>
        <v>5F5</v>
      </c>
      <c r="L6938" t="s">
        <v>15</v>
      </c>
    </row>
    <row r="6939" spans="1:12" x14ac:dyDescent="0.25">
      <c r="A6939" t="str">
        <f>"5761281779"</f>
        <v>5761281779</v>
      </c>
      <c r="B6939" t="str">
        <f t="shared" si="327"/>
        <v>89301000</v>
      </c>
      <c r="C6939" s="1">
        <v>44357</v>
      </c>
      <c r="D6939" s="1">
        <v>44359</v>
      </c>
      <c r="E6939">
        <v>1</v>
      </c>
      <c r="F6939" t="s">
        <v>738</v>
      </c>
      <c r="G6939" t="str">
        <f>"08-I17-02"</f>
        <v>08-I17-02</v>
      </c>
      <c r="H6939">
        <v>0.98309999999999997</v>
      </c>
      <c r="I6939" t="s">
        <v>512</v>
      </c>
      <c r="J6939" t="s">
        <v>14</v>
      </c>
      <c r="K6939" t="str">
        <f>"5F3"</f>
        <v>5F3</v>
      </c>
      <c r="L6939" t="s">
        <v>15</v>
      </c>
    </row>
    <row r="6940" spans="1:12" x14ac:dyDescent="0.25">
      <c r="A6940" t="str">
        <f>"5762101598"</f>
        <v>5762101598</v>
      </c>
      <c r="B6940" t="str">
        <f t="shared" si="327"/>
        <v>89301000</v>
      </c>
      <c r="C6940" s="1">
        <v>44445</v>
      </c>
      <c r="D6940" s="1">
        <v>44448</v>
      </c>
      <c r="E6940">
        <v>1</v>
      </c>
      <c r="F6940" t="s">
        <v>5013</v>
      </c>
      <c r="G6940" t="str">
        <f>"01-K04-02"</f>
        <v>01-K04-02</v>
      </c>
      <c r="H6940">
        <v>0.80059999999999998</v>
      </c>
      <c r="I6940" t="s">
        <v>5014</v>
      </c>
      <c r="J6940" t="s">
        <v>14</v>
      </c>
      <c r="K6940" t="str">
        <f>"2F9"</f>
        <v>2F9</v>
      </c>
      <c r="L6940" t="s">
        <v>15</v>
      </c>
    </row>
    <row r="6941" spans="1:12" x14ac:dyDescent="0.25">
      <c r="A6941" t="str">
        <f>"5762221729"</f>
        <v>5762221729</v>
      </c>
      <c r="B6941" t="str">
        <f t="shared" si="327"/>
        <v>89301000</v>
      </c>
      <c r="C6941" s="1">
        <v>44343</v>
      </c>
      <c r="D6941" s="1">
        <v>44349</v>
      </c>
      <c r="E6941">
        <v>1</v>
      </c>
      <c r="F6941" t="s">
        <v>5015</v>
      </c>
      <c r="G6941" t="str">
        <f>"06-M01-02"</f>
        <v>06-M01-02</v>
      </c>
      <c r="H6941">
        <v>1.2191000000000001</v>
      </c>
      <c r="I6941" t="s">
        <v>3113</v>
      </c>
      <c r="J6941" t="s">
        <v>14</v>
      </c>
      <c r="K6941" t="str">
        <f>"1F1"</f>
        <v>1F1</v>
      </c>
      <c r="L6941" t="s">
        <v>15</v>
      </c>
    </row>
    <row r="6942" spans="1:12" x14ac:dyDescent="0.25">
      <c r="A6942" t="str">
        <f>"5801011018"</f>
        <v>5801011018</v>
      </c>
      <c r="B6942" t="str">
        <f t="shared" si="327"/>
        <v>89301000</v>
      </c>
      <c r="C6942" s="1">
        <v>44413</v>
      </c>
      <c r="D6942" s="1">
        <v>44418</v>
      </c>
      <c r="E6942">
        <v>1</v>
      </c>
      <c r="F6942" t="s">
        <v>3018</v>
      </c>
      <c r="G6942" t="str">
        <f>"10-I11-00"</f>
        <v>10-I11-00</v>
      </c>
      <c r="H6942">
        <v>1.8462000000000001</v>
      </c>
      <c r="I6942" t="s">
        <v>1959</v>
      </c>
      <c r="J6942" t="s">
        <v>24</v>
      </c>
      <c r="K6942" t="str">
        <f>"7F6"</f>
        <v>7F6</v>
      </c>
      <c r="L6942" t="s">
        <v>15</v>
      </c>
    </row>
    <row r="6943" spans="1:12" x14ac:dyDescent="0.25">
      <c r="A6943" t="str">
        <f>"5801020247"</f>
        <v>5801020247</v>
      </c>
      <c r="B6943" t="str">
        <f t="shared" si="327"/>
        <v>89301000</v>
      </c>
      <c r="C6943" s="1">
        <v>44397</v>
      </c>
      <c r="D6943" s="1">
        <v>44400</v>
      </c>
      <c r="E6943">
        <v>1</v>
      </c>
      <c r="F6943" t="s">
        <v>3744</v>
      </c>
      <c r="G6943" t="str">
        <f>"08-I23-02"</f>
        <v>08-I23-02</v>
      </c>
      <c r="H6943">
        <v>0.93840000000000001</v>
      </c>
      <c r="J6943" t="s">
        <v>17</v>
      </c>
      <c r="K6943" t="str">
        <f>"6F6"</f>
        <v>6F6</v>
      </c>
      <c r="L6943" t="s">
        <v>15</v>
      </c>
    </row>
    <row r="6944" spans="1:12" x14ac:dyDescent="0.25">
      <c r="A6944" t="str">
        <f>"5801041763"</f>
        <v>5801041763</v>
      </c>
      <c r="B6944" t="str">
        <f t="shared" si="327"/>
        <v>89301000</v>
      </c>
      <c r="C6944" s="1">
        <v>44502</v>
      </c>
      <c r="D6944" s="1">
        <v>44508</v>
      </c>
      <c r="E6944">
        <v>1</v>
      </c>
      <c r="F6944" t="s">
        <v>3416</v>
      </c>
      <c r="G6944" t="str">
        <f>"08-I03-06"</f>
        <v>08-I03-06</v>
      </c>
      <c r="H6944">
        <v>3.3738000000000001</v>
      </c>
      <c r="I6944" t="s">
        <v>4028</v>
      </c>
      <c r="J6944" t="s">
        <v>17</v>
      </c>
      <c r="K6944" t="str">
        <f>"5F6"</f>
        <v>5F6</v>
      </c>
      <c r="L6944" t="s">
        <v>15</v>
      </c>
    </row>
    <row r="6945" spans="1:12" x14ac:dyDescent="0.25">
      <c r="A6945" t="str">
        <f>"5801220260"</f>
        <v>5801220260</v>
      </c>
      <c r="B6945" t="str">
        <f t="shared" si="327"/>
        <v>89301000</v>
      </c>
      <c r="C6945" s="1">
        <v>44418</v>
      </c>
      <c r="D6945" s="1">
        <v>44421</v>
      </c>
      <c r="E6945">
        <v>1</v>
      </c>
      <c r="F6945" t="s">
        <v>1581</v>
      </c>
      <c r="G6945" t="str">
        <f>"05-M07-06"</f>
        <v>05-M07-06</v>
      </c>
      <c r="H6945">
        <v>1.2513000000000001</v>
      </c>
      <c r="I6945" t="s">
        <v>5016</v>
      </c>
      <c r="J6945" t="s">
        <v>17</v>
      </c>
      <c r="K6945" t="str">
        <f>"5F1"</f>
        <v>5F1</v>
      </c>
      <c r="L6945" t="s">
        <v>15</v>
      </c>
    </row>
    <row r="6946" spans="1:12" x14ac:dyDescent="0.25">
      <c r="A6946" t="str">
        <f>"5801240236"</f>
        <v>5801240236</v>
      </c>
      <c r="B6946" t="str">
        <f t="shared" si="327"/>
        <v>89301000</v>
      </c>
      <c r="C6946" s="1">
        <v>44381</v>
      </c>
      <c r="D6946" s="1">
        <v>44389</v>
      </c>
      <c r="E6946">
        <v>4</v>
      </c>
      <c r="F6946" t="s">
        <v>79</v>
      </c>
      <c r="G6946" t="str">
        <f>"10-K06-00"</f>
        <v>10-K06-00</v>
      </c>
      <c r="H6946">
        <v>0.54790000000000005</v>
      </c>
      <c r="I6946" t="s">
        <v>5017</v>
      </c>
      <c r="J6946" t="s">
        <v>14</v>
      </c>
      <c r="K6946" t="str">
        <f>"4F2"</f>
        <v>4F2</v>
      </c>
      <c r="L6946" t="s">
        <v>15</v>
      </c>
    </row>
    <row r="6947" spans="1:12" x14ac:dyDescent="0.25">
      <c r="A6947" t="str">
        <f>"5801240236"</f>
        <v>5801240236</v>
      </c>
      <c r="B6947" t="str">
        <f t="shared" si="327"/>
        <v>89301000</v>
      </c>
      <c r="C6947" s="1">
        <v>44336</v>
      </c>
      <c r="D6947" s="1">
        <v>44343</v>
      </c>
      <c r="E6947">
        <v>1</v>
      </c>
      <c r="F6947" t="s">
        <v>79</v>
      </c>
      <c r="G6947" t="str">
        <f>"10-C01-02"</f>
        <v>10-C01-02</v>
      </c>
      <c r="H6947">
        <v>0.38850000000000001</v>
      </c>
      <c r="I6947" t="s">
        <v>5018</v>
      </c>
      <c r="J6947" t="s">
        <v>14</v>
      </c>
      <c r="K6947" t="str">
        <f>"4F2"</f>
        <v>4F2</v>
      </c>
      <c r="L6947" t="s">
        <v>15</v>
      </c>
    </row>
    <row r="6948" spans="1:12" x14ac:dyDescent="0.25">
      <c r="A6948" t="str">
        <f>"5801240236"</f>
        <v>5801240236</v>
      </c>
      <c r="B6948" t="str">
        <f t="shared" si="327"/>
        <v>89301000</v>
      </c>
      <c r="C6948" s="1">
        <v>44314</v>
      </c>
      <c r="D6948" s="1">
        <v>44318</v>
      </c>
      <c r="E6948">
        <v>1</v>
      </c>
      <c r="F6948" t="s">
        <v>81</v>
      </c>
      <c r="G6948" t="str">
        <f>"10-I15-00"</f>
        <v>10-I15-00</v>
      </c>
      <c r="H6948">
        <v>1.07</v>
      </c>
      <c r="I6948" t="s">
        <v>1959</v>
      </c>
      <c r="J6948" t="s">
        <v>24</v>
      </c>
      <c r="K6948" t="str">
        <f>"5F1"</f>
        <v>5F1</v>
      </c>
      <c r="L6948" t="s">
        <v>15</v>
      </c>
    </row>
    <row r="6949" spans="1:12" x14ac:dyDescent="0.25">
      <c r="A6949" t="str">
        <f>"5801240236"</f>
        <v>5801240236</v>
      </c>
      <c r="B6949" t="str">
        <f t="shared" si="327"/>
        <v>89301000</v>
      </c>
      <c r="C6949" s="1">
        <v>44350</v>
      </c>
      <c r="D6949" s="1">
        <v>44372</v>
      </c>
      <c r="E6949">
        <v>1</v>
      </c>
      <c r="F6949" t="s">
        <v>79</v>
      </c>
      <c r="G6949" t="str">
        <f>"10-K06-00"</f>
        <v>10-K06-00</v>
      </c>
      <c r="H6949">
        <v>1.3207</v>
      </c>
      <c r="I6949" t="s">
        <v>5019</v>
      </c>
      <c r="J6949" t="s">
        <v>14</v>
      </c>
      <c r="K6949" t="str">
        <f>"4F2"</f>
        <v>4F2</v>
      </c>
      <c r="L6949" t="s">
        <v>15</v>
      </c>
    </row>
    <row r="6950" spans="1:12" x14ac:dyDescent="0.25">
      <c r="A6950" t="str">
        <f>"5801251940"</f>
        <v>5801251940</v>
      </c>
      <c r="B6950" t="str">
        <f t="shared" si="327"/>
        <v>89301000</v>
      </c>
      <c r="C6950" s="1">
        <v>44412</v>
      </c>
      <c r="D6950" s="1">
        <v>44413</v>
      </c>
      <c r="E6950">
        <v>1</v>
      </c>
      <c r="F6950" t="s">
        <v>2524</v>
      </c>
      <c r="G6950" t="str">
        <f>"02-I08-02"</f>
        <v>02-I08-02</v>
      </c>
      <c r="H6950">
        <v>0.55269999999999997</v>
      </c>
      <c r="I6950" t="s">
        <v>5020</v>
      </c>
      <c r="J6950" t="s">
        <v>17</v>
      </c>
      <c r="K6950" t="str">
        <f>"7F5"</f>
        <v>7F5</v>
      </c>
      <c r="L6950" t="s">
        <v>15</v>
      </c>
    </row>
    <row r="6951" spans="1:12" x14ac:dyDescent="0.25">
      <c r="A6951" t="str">
        <f>"5801251940"</f>
        <v>5801251940</v>
      </c>
      <c r="B6951" t="str">
        <f t="shared" si="327"/>
        <v>89301000</v>
      </c>
      <c r="C6951" s="1">
        <v>44229</v>
      </c>
      <c r="D6951" s="1">
        <v>44242</v>
      </c>
      <c r="E6951">
        <v>1</v>
      </c>
      <c r="F6951" t="s">
        <v>5021</v>
      </c>
      <c r="G6951" t="str">
        <f>"16-K05-00"</f>
        <v>16-K05-00</v>
      </c>
      <c r="H6951">
        <v>1.5387</v>
      </c>
      <c r="I6951" t="s">
        <v>5022</v>
      </c>
      <c r="J6951" t="s">
        <v>14</v>
      </c>
      <c r="K6951" t="str">
        <f>"1F9"</f>
        <v>1F9</v>
      </c>
      <c r="L6951" t="s">
        <v>15</v>
      </c>
    </row>
    <row r="6952" spans="1:12" x14ac:dyDescent="0.25">
      <c r="A6952" t="str">
        <f>"5801281695"</f>
        <v>5801281695</v>
      </c>
      <c r="B6952" t="str">
        <f t="shared" si="327"/>
        <v>89301000</v>
      </c>
      <c r="C6952" s="1">
        <v>44502</v>
      </c>
      <c r="D6952" s="1">
        <v>44510</v>
      </c>
      <c r="E6952">
        <v>4</v>
      </c>
      <c r="F6952" t="s">
        <v>2407</v>
      </c>
      <c r="G6952" t="str">
        <f>"08-I06-04"</f>
        <v>08-I06-04</v>
      </c>
      <c r="H6952">
        <v>2.4260000000000002</v>
      </c>
      <c r="I6952" t="s">
        <v>5023</v>
      </c>
      <c r="J6952" t="s">
        <v>24</v>
      </c>
      <c r="K6952" t="str">
        <f>"6F6"</f>
        <v>6F6</v>
      </c>
      <c r="L6952" t="s">
        <v>15</v>
      </c>
    </row>
    <row r="6953" spans="1:12" x14ac:dyDescent="0.25">
      <c r="A6953" t="str">
        <f>"5801302705"</f>
        <v>5801302705</v>
      </c>
      <c r="B6953" t="str">
        <f t="shared" si="327"/>
        <v>89301000</v>
      </c>
      <c r="C6953" s="1">
        <v>44340</v>
      </c>
      <c r="D6953" s="1">
        <v>44342</v>
      </c>
      <c r="E6953">
        <v>4</v>
      </c>
      <c r="F6953" t="s">
        <v>328</v>
      </c>
      <c r="G6953" t="str">
        <f>"05-K13-02"</f>
        <v>05-K13-02</v>
      </c>
      <c r="H6953">
        <v>0.60950000000000004</v>
      </c>
      <c r="I6953" t="s">
        <v>5024</v>
      </c>
      <c r="J6953" t="s">
        <v>14</v>
      </c>
      <c r="K6953" t="str">
        <f>"1F1"</f>
        <v>1F1</v>
      </c>
      <c r="L6953" t="s">
        <v>15</v>
      </c>
    </row>
    <row r="6954" spans="1:12" x14ac:dyDescent="0.25">
      <c r="A6954" t="str">
        <f>"5801302705"</f>
        <v>5801302705</v>
      </c>
      <c r="B6954" t="str">
        <f t="shared" si="327"/>
        <v>89301000</v>
      </c>
      <c r="C6954" s="1">
        <v>44482</v>
      </c>
      <c r="D6954" s="1">
        <v>44488</v>
      </c>
      <c r="E6954">
        <v>1</v>
      </c>
      <c r="F6954" t="s">
        <v>4557</v>
      </c>
      <c r="G6954" t="str">
        <f>"20-K03-03"</f>
        <v>20-K03-03</v>
      </c>
      <c r="H6954">
        <v>1.0109999999999999</v>
      </c>
      <c r="I6954" t="s">
        <v>5025</v>
      </c>
      <c r="J6954" t="s">
        <v>14</v>
      </c>
      <c r="K6954" t="str">
        <f>"3F5"</f>
        <v>3F5</v>
      </c>
      <c r="L6954" t="s">
        <v>15</v>
      </c>
    </row>
    <row r="6955" spans="1:12" x14ac:dyDescent="0.25">
      <c r="A6955" t="str">
        <f>"5802031323"</f>
        <v>5802031323</v>
      </c>
      <c r="B6955" t="str">
        <f t="shared" si="327"/>
        <v>89301000</v>
      </c>
      <c r="C6955" s="1">
        <v>44526</v>
      </c>
      <c r="D6955" s="1">
        <v>44530</v>
      </c>
      <c r="E6955">
        <v>1</v>
      </c>
      <c r="F6955" t="s">
        <v>2111</v>
      </c>
      <c r="G6955" t="str">
        <f>"10-K15-02"</f>
        <v>10-K15-02</v>
      </c>
      <c r="H6955">
        <v>1.0346</v>
      </c>
      <c r="I6955" t="s">
        <v>5026</v>
      </c>
      <c r="J6955" t="s">
        <v>14</v>
      </c>
      <c r="K6955" t="str">
        <f>"2F5"</f>
        <v>2F5</v>
      </c>
      <c r="L6955" t="s">
        <v>15</v>
      </c>
    </row>
    <row r="6956" spans="1:12" x14ac:dyDescent="0.25">
      <c r="A6956" t="str">
        <f>"5802101305"</f>
        <v>5802101305</v>
      </c>
      <c r="B6956" t="str">
        <f t="shared" si="327"/>
        <v>89301000</v>
      </c>
      <c r="C6956" s="1">
        <v>44501</v>
      </c>
      <c r="D6956" s="1">
        <v>44509</v>
      </c>
      <c r="E6956">
        <v>4</v>
      </c>
      <c r="F6956" t="s">
        <v>2931</v>
      </c>
      <c r="G6956" t="str">
        <f>"07-K04-03"</f>
        <v>07-K04-03</v>
      </c>
      <c r="H6956">
        <v>1.0898000000000001</v>
      </c>
      <c r="I6956" t="s">
        <v>5027</v>
      </c>
      <c r="J6956" t="s">
        <v>14</v>
      </c>
      <c r="K6956" t="str">
        <f>"1F6"</f>
        <v>1F6</v>
      </c>
      <c r="L6956" t="s">
        <v>15</v>
      </c>
    </row>
    <row r="6957" spans="1:12" x14ac:dyDescent="0.25">
      <c r="A6957" t="str">
        <f>"5802101305"</f>
        <v>5802101305</v>
      </c>
      <c r="B6957" t="str">
        <f t="shared" si="327"/>
        <v>89301000</v>
      </c>
      <c r="C6957" s="1">
        <v>44344</v>
      </c>
      <c r="D6957" s="1">
        <v>44350</v>
      </c>
      <c r="E6957">
        <v>1</v>
      </c>
      <c r="F6957" t="s">
        <v>3901</v>
      </c>
      <c r="G6957" t="str">
        <f>"07-I06-01"</f>
        <v>07-I06-01</v>
      </c>
      <c r="H6957">
        <v>5.3661000000000003</v>
      </c>
      <c r="I6957" t="s">
        <v>5028</v>
      </c>
      <c r="J6957" t="s">
        <v>17</v>
      </c>
      <c r="K6957" t="str">
        <f>"1F1"</f>
        <v>1F1</v>
      </c>
      <c r="L6957" t="s">
        <v>15</v>
      </c>
    </row>
    <row r="6958" spans="1:12" x14ac:dyDescent="0.25">
      <c r="A6958" t="str">
        <f>"5802101305"</f>
        <v>5802101305</v>
      </c>
      <c r="B6958" t="str">
        <f t="shared" si="327"/>
        <v>89301000</v>
      </c>
      <c r="C6958" s="1">
        <v>44309</v>
      </c>
      <c r="D6958" s="1">
        <v>44330</v>
      </c>
      <c r="E6958">
        <v>1</v>
      </c>
      <c r="F6958" t="s">
        <v>3316</v>
      </c>
      <c r="G6958" t="str">
        <f>"04-I08-03"</f>
        <v>04-I08-03</v>
      </c>
      <c r="H6958">
        <v>1.6314</v>
      </c>
      <c r="I6958" t="s">
        <v>5029</v>
      </c>
      <c r="J6958" t="s">
        <v>14</v>
      </c>
      <c r="K6958" t="str">
        <f>"1F1"</f>
        <v>1F1</v>
      </c>
      <c r="L6958" t="s">
        <v>15</v>
      </c>
    </row>
    <row r="6959" spans="1:12" x14ac:dyDescent="0.25">
      <c r="A6959" t="str">
        <f>"5802101305"</f>
        <v>5802101305</v>
      </c>
      <c r="B6959" t="str">
        <f t="shared" si="327"/>
        <v>89301000</v>
      </c>
      <c r="C6959" s="1">
        <v>44392</v>
      </c>
      <c r="D6959" s="1">
        <v>44421</v>
      </c>
      <c r="E6959">
        <v>4</v>
      </c>
      <c r="F6959" t="s">
        <v>5030</v>
      </c>
      <c r="G6959" t="str">
        <f>"06-I12-03"</f>
        <v>06-I12-03</v>
      </c>
      <c r="H6959">
        <v>4.3052000000000001</v>
      </c>
      <c r="I6959" t="s">
        <v>5031</v>
      </c>
      <c r="J6959" t="s">
        <v>14</v>
      </c>
      <c r="K6959" t="str">
        <f>"1F5"</f>
        <v>1F5</v>
      </c>
      <c r="L6959" t="s">
        <v>15</v>
      </c>
    </row>
    <row r="6960" spans="1:12" x14ac:dyDescent="0.25">
      <c r="A6960" t="str">
        <f>"5802101305"</f>
        <v>5802101305</v>
      </c>
      <c r="B6960" t="str">
        <f t="shared" si="327"/>
        <v>89301000</v>
      </c>
      <c r="C6960" s="1">
        <v>44371</v>
      </c>
      <c r="D6960" s="1">
        <v>44377</v>
      </c>
      <c r="E6960">
        <v>1</v>
      </c>
      <c r="F6960" t="s">
        <v>3901</v>
      </c>
      <c r="G6960" t="str">
        <f>"07-K04-02"</f>
        <v>07-K04-02</v>
      </c>
      <c r="H6960">
        <v>1.4743999999999999</v>
      </c>
      <c r="I6960" t="s">
        <v>5032</v>
      </c>
      <c r="J6960" t="s">
        <v>14</v>
      </c>
      <c r="K6960" t="str">
        <f>"1F1"</f>
        <v>1F1</v>
      </c>
      <c r="L6960" t="s">
        <v>15</v>
      </c>
    </row>
    <row r="6961" spans="1:12" x14ac:dyDescent="0.25">
      <c r="A6961" t="str">
        <f>"5802102471"</f>
        <v>5802102471</v>
      </c>
      <c r="B6961" t="str">
        <f t="shared" si="327"/>
        <v>89301000</v>
      </c>
      <c r="C6961" s="1">
        <v>44550</v>
      </c>
      <c r="D6961" s="1">
        <v>44552</v>
      </c>
      <c r="E6961">
        <v>1</v>
      </c>
      <c r="F6961" t="s">
        <v>2049</v>
      </c>
      <c r="G6961" t="str">
        <f>"06-M01-02"</f>
        <v>06-M01-02</v>
      </c>
      <c r="H6961">
        <v>1.2994000000000001</v>
      </c>
      <c r="I6961" t="s">
        <v>5033</v>
      </c>
      <c r="J6961" t="s">
        <v>14</v>
      </c>
      <c r="K6961" t="str">
        <f>"1F5"</f>
        <v>1F5</v>
      </c>
      <c r="L6961" t="s">
        <v>15</v>
      </c>
    </row>
    <row r="6962" spans="1:12" x14ac:dyDescent="0.25">
      <c r="A6962" t="str">
        <f>"5802121281"</f>
        <v>5802121281</v>
      </c>
      <c r="B6962" t="str">
        <f t="shared" si="327"/>
        <v>89301000</v>
      </c>
      <c r="C6962" s="1">
        <v>44191</v>
      </c>
      <c r="D6962" s="1">
        <v>44209</v>
      </c>
      <c r="E6962">
        <v>3</v>
      </c>
      <c r="F6962" t="s">
        <v>67</v>
      </c>
      <c r="G6962" t="str">
        <f>"01-K10-03"</f>
        <v>01-K10-03</v>
      </c>
      <c r="H6962">
        <v>1.3409</v>
      </c>
      <c r="I6962" t="s">
        <v>5034</v>
      </c>
      <c r="J6962" t="s">
        <v>14</v>
      </c>
      <c r="K6962" t="str">
        <f>"2F9"</f>
        <v>2F9</v>
      </c>
      <c r="L6962" t="s">
        <v>15</v>
      </c>
    </row>
    <row r="6963" spans="1:12" x14ac:dyDescent="0.25">
      <c r="A6963" t="str">
        <f>"5802121281"</f>
        <v>5802121281</v>
      </c>
      <c r="B6963" t="str">
        <f t="shared" si="327"/>
        <v>89301000</v>
      </c>
      <c r="C6963" s="1">
        <v>44209</v>
      </c>
      <c r="D6963" s="1">
        <v>44232</v>
      </c>
      <c r="E6963">
        <v>1</v>
      </c>
      <c r="F6963" t="s">
        <v>109</v>
      </c>
      <c r="G6963" t="str">
        <f>"24-M07-01"</f>
        <v>24-M07-01</v>
      </c>
      <c r="H6963">
        <v>1.7399</v>
      </c>
      <c r="I6963" t="s">
        <v>5035</v>
      </c>
      <c r="J6963" t="s">
        <v>14</v>
      </c>
      <c r="K6963" t="str">
        <f>"2F1"</f>
        <v>2F1</v>
      </c>
      <c r="L6963" t="s">
        <v>15</v>
      </c>
    </row>
    <row r="6964" spans="1:12" x14ac:dyDescent="0.25">
      <c r="A6964" t="str">
        <f>"5802131027"</f>
        <v>5802131027</v>
      </c>
      <c r="B6964" t="str">
        <f t="shared" si="327"/>
        <v>89301000</v>
      </c>
      <c r="C6964" s="1">
        <v>44342</v>
      </c>
      <c r="D6964" s="1">
        <v>44343</v>
      </c>
      <c r="E6964">
        <v>1</v>
      </c>
      <c r="F6964" t="s">
        <v>2055</v>
      </c>
      <c r="G6964" t="str">
        <f>"07-M02-04"</f>
        <v>07-M02-04</v>
      </c>
      <c r="H6964">
        <v>0.96889999999999998</v>
      </c>
      <c r="I6964" t="s">
        <v>2585</v>
      </c>
      <c r="J6964" t="s">
        <v>17</v>
      </c>
      <c r="K6964" t="str">
        <f>"1F5"</f>
        <v>1F5</v>
      </c>
      <c r="L6964" t="s">
        <v>15</v>
      </c>
    </row>
    <row r="6965" spans="1:12" x14ac:dyDescent="0.25">
      <c r="A6965" t="str">
        <f>"5802151784"</f>
        <v>5802151784</v>
      </c>
      <c r="B6965" t="str">
        <f t="shared" si="327"/>
        <v>89301000</v>
      </c>
      <c r="C6965" s="1">
        <v>44525</v>
      </c>
      <c r="D6965" s="1">
        <v>44531</v>
      </c>
      <c r="E6965">
        <v>1</v>
      </c>
      <c r="F6965" t="s">
        <v>1690</v>
      </c>
      <c r="G6965" t="str">
        <f>"07-I10-06"</f>
        <v>07-I10-06</v>
      </c>
      <c r="H6965">
        <v>0.9728</v>
      </c>
      <c r="I6965" t="s">
        <v>5036</v>
      </c>
      <c r="J6965" t="s">
        <v>17</v>
      </c>
      <c r="K6965" t="str">
        <f>"5F1"</f>
        <v>5F1</v>
      </c>
      <c r="L6965" t="s">
        <v>15</v>
      </c>
    </row>
    <row r="6966" spans="1:12" x14ac:dyDescent="0.25">
      <c r="A6966" t="str">
        <f>"5802152389"</f>
        <v>5802152389</v>
      </c>
      <c r="B6966" t="str">
        <f t="shared" si="327"/>
        <v>89301000</v>
      </c>
      <c r="C6966" s="1">
        <v>44344</v>
      </c>
      <c r="D6966" s="1">
        <v>44347</v>
      </c>
      <c r="E6966">
        <v>1</v>
      </c>
      <c r="F6966" t="s">
        <v>1704</v>
      </c>
      <c r="G6966" t="str">
        <f>"23-I10-00"</f>
        <v>23-I10-00</v>
      </c>
      <c r="H6966">
        <v>0.59630000000000005</v>
      </c>
      <c r="I6966" t="s">
        <v>5037</v>
      </c>
      <c r="J6966" t="s">
        <v>14</v>
      </c>
      <c r="K6966" t="str">
        <f>"7F5"</f>
        <v>7F5</v>
      </c>
      <c r="L6966" t="s">
        <v>15</v>
      </c>
    </row>
    <row r="6967" spans="1:12" x14ac:dyDescent="0.25">
      <c r="A6967" t="str">
        <f>"5802190977"</f>
        <v>5802190977</v>
      </c>
      <c r="B6967" t="str">
        <f t="shared" si="327"/>
        <v>89301000</v>
      </c>
      <c r="C6967" s="1">
        <v>44500</v>
      </c>
      <c r="D6967" s="1">
        <v>44505</v>
      </c>
      <c r="E6967">
        <v>1</v>
      </c>
      <c r="F6967" t="s">
        <v>2232</v>
      </c>
      <c r="G6967" t="str">
        <f>"11-I08-03"</f>
        <v>11-I08-03</v>
      </c>
      <c r="H6967">
        <v>2.0676999999999999</v>
      </c>
      <c r="J6967" t="s">
        <v>17</v>
      </c>
      <c r="K6967" t="str">
        <f>"7F6"</f>
        <v>7F6</v>
      </c>
      <c r="L6967" t="s">
        <v>15</v>
      </c>
    </row>
    <row r="6968" spans="1:12" x14ac:dyDescent="0.25">
      <c r="A6968" t="str">
        <f>"5802200151"</f>
        <v>5802200151</v>
      </c>
      <c r="B6968" t="str">
        <f t="shared" si="327"/>
        <v>89301000</v>
      </c>
      <c r="C6968" s="1">
        <v>44530</v>
      </c>
      <c r="D6968" s="1">
        <v>44532</v>
      </c>
      <c r="E6968">
        <v>1</v>
      </c>
      <c r="F6968" t="s">
        <v>2082</v>
      </c>
      <c r="G6968" t="str">
        <f>"03-I19-03"</f>
        <v>03-I19-03</v>
      </c>
      <c r="H6968">
        <v>0.60699999999999998</v>
      </c>
      <c r="I6968" t="s">
        <v>5038</v>
      </c>
      <c r="J6968" t="s">
        <v>14</v>
      </c>
      <c r="K6968" t="str">
        <f>"6F5"</f>
        <v>6F5</v>
      </c>
      <c r="L6968" t="s">
        <v>15</v>
      </c>
    </row>
    <row r="6969" spans="1:12" x14ac:dyDescent="0.25">
      <c r="A6969" t="str">
        <f>"5802252324"</f>
        <v>5802252324</v>
      </c>
      <c r="B6969" t="str">
        <f t="shared" si="327"/>
        <v>89301000</v>
      </c>
      <c r="C6969" s="1">
        <v>44449</v>
      </c>
      <c r="D6969" s="1">
        <v>44470</v>
      </c>
      <c r="E6969">
        <v>1</v>
      </c>
      <c r="F6969" t="s">
        <v>1776</v>
      </c>
      <c r="G6969" t="str">
        <f>"25-I02-02"</f>
        <v>25-I02-02</v>
      </c>
      <c r="H6969">
        <v>5.8459000000000003</v>
      </c>
      <c r="I6969" t="s">
        <v>5039</v>
      </c>
      <c r="J6969" t="s">
        <v>17</v>
      </c>
      <c r="K6969" t="str">
        <f>"5F1"</f>
        <v>5F1</v>
      </c>
      <c r="L6969" t="s">
        <v>15</v>
      </c>
    </row>
    <row r="6970" spans="1:12" x14ac:dyDescent="0.25">
      <c r="A6970" t="str">
        <f>"5802270144"</f>
        <v>5802270144</v>
      </c>
      <c r="B6970" t="str">
        <f t="shared" si="327"/>
        <v>89301000</v>
      </c>
      <c r="C6970" s="1">
        <v>44249</v>
      </c>
      <c r="D6970" s="1">
        <v>44252</v>
      </c>
      <c r="E6970">
        <v>1</v>
      </c>
      <c r="F6970" t="s">
        <v>334</v>
      </c>
      <c r="G6970" t="str">
        <f>"06-K03-03"</f>
        <v>06-K03-03</v>
      </c>
      <c r="H6970">
        <v>0.44019999999999998</v>
      </c>
      <c r="I6970" t="s">
        <v>5040</v>
      </c>
      <c r="J6970" t="s">
        <v>14</v>
      </c>
      <c r="K6970" t="str">
        <f>"1F1"</f>
        <v>1F1</v>
      </c>
      <c r="L6970" t="s">
        <v>15</v>
      </c>
    </row>
    <row r="6971" spans="1:12" x14ac:dyDescent="0.25">
      <c r="A6971" t="str">
        <f>"5802270144"</f>
        <v>5802270144</v>
      </c>
      <c r="B6971" t="str">
        <f t="shared" si="327"/>
        <v>89301000</v>
      </c>
      <c r="C6971" s="1">
        <v>44390</v>
      </c>
      <c r="D6971" s="1">
        <v>44391</v>
      </c>
      <c r="E6971">
        <v>1</v>
      </c>
      <c r="F6971" t="s">
        <v>2004</v>
      </c>
      <c r="G6971" t="str">
        <f>"05-D01-06"</f>
        <v>05-D01-06</v>
      </c>
      <c r="H6971">
        <v>0.7611</v>
      </c>
      <c r="I6971" t="s">
        <v>475</v>
      </c>
      <c r="J6971" t="s">
        <v>14</v>
      </c>
      <c r="K6971" t="str">
        <f>"1F7"</f>
        <v>1F7</v>
      </c>
      <c r="L6971" t="s">
        <v>15</v>
      </c>
    </row>
    <row r="6972" spans="1:12" x14ac:dyDescent="0.25">
      <c r="A6972" t="str">
        <f>"5803032444"</f>
        <v>5803032444</v>
      </c>
      <c r="B6972" t="str">
        <f t="shared" si="327"/>
        <v>89301000</v>
      </c>
      <c r="C6972" s="1">
        <v>44522</v>
      </c>
      <c r="D6972" s="1">
        <v>44525</v>
      </c>
      <c r="E6972">
        <v>1</v>
      </c>
      <c r="F6972" t="s">
        <v>841</v>
      </c>
      <c r="G6972" t="str">
        <f>"04-K03-02"</f>
        <v>04-K03-02</v>
      </c>
      <c r="H6972">
        <v>0.82599999999999996</v>
      </c>
      <c r="I6972" t="s">
        <v>5041</v>
      </c>
      <c r="J6972" t="s">
        <v>14</v>
      </c>
      <c r="K6972" t="str">
        <f>"1F1"</f>
        <v>1F1</v>
      </c>
      <c r="L6972" t="s">
        <v>15</v>
      </c>
    </row>
    <row r="6973" spans="1:12" x14ac:dyDescent="0.25">
      <c r="A6973" t="str">
        <f>"5803032444"</f>
        <v>5803032444</v>
      </c>
      <c r="B6973" t="str">
        <f t="shared" si="327"/>
        <v>89301000</v>
      </c>
      <c r="C6973" s="1">
        <v>44536</v>
      </c>
      <c r="D6973" s="1">
        <v>44543</v>
      </c>
      <c r="E6973">
        <v>8</v>
      </c>
      <c r="F6973" t="s">
        <v>217</v>
      </c>
      <c r="G6973" t="str">
        <f>"04-K02-02"</f>
        <v>04-K02-02</v>
      </c>
      <c r="H6973">
        <v>2.5186000000000002</v>
      </c>
      <c r="I6973" t="s">
        <v>5042</v>
      </c>
      <c r="J6973" t="s">
        <v>14</v>
      </c>
      <c r="K6973" t="str">
        <f>"7T8"</f>
        <v>7T8</v>
      </c>
      <c r="L6973" t="s">
        <v>15</v>
      </c>
    </row>
    <row r="6974" spans="1:12" x14ac:dyDescent="0.25">
      <c r="A6974" t="str">
        <f>"5803102800"</f>
        <v>5803102800</v>
      </c>
      <c r="B6974" t="str">
        <f t="shared" ref="B6974:B7036" si="328">"89301000"</f>
        <v>89301000</v>
      </c>
      <c r="C6974" s="1">
        <v>44490</v>
      </c>
      <c r="D6974" s="1">
        <v>44504</v>
      </c>
      <c r="E6974">
        <v>1</v>
      </c>
      <c r="F6974" t="s">
        <v>2693</v>
      </c>
      <c r="G6974" t="str">
        <f>"04-K09-02"</f>
        <v>04-K09-02</v>
      </c>
      <c r="H6974">
        <v>1.2861</v>
      </c>
      <c r="I6974" t="s">
        <v>5043</v>
      </c>
      <c r="J6974" t="s">
        <v>14</v>
      </c>
      <c r="K6974" t="str">
        <f>"4F2"</f>
        <v>4F2</v>
      </c>
      <c r="L6974" t="s">
        <v>15</v>
      </c>
    </row>
    <row r="6975" spans="1:12" x14ac:dyDescent="0.25">
      <c r="A6975" t="str">
        <f>"5803190283"</f>
        <v>5803190283</v>
      </c>
      <c r="B6975" t="str">
        <f t="shared" si="328"/>
        <v>89301000</v>
      </c>
      <c r="C6975" s="1">
        <v>44475</v>
      </c>
      <c r="D6975" s="1">
        <v>44483</v>
      </c>
      <c r="E6975">
        <v>4</v>
      </c>
      <c r="F6975" t="s">
        <v>2407</v>
      </c>
      <c r="G6975" t="str">
        <f>"08-I06-04"</f>
        <v>08-I06-04</v>
      </c>
      <c r="H6975">
        <v>2.4260000000000002</v>
      </c>
      <c r="I6975" t="s">
        <v>40</v>
      </c>
      <c r="J6975" t="s">
        <v>24</v>
      </c>
      <c r="K6975" t="str">
        <f>"6F6"</f>
        <v>6F6</v>
      </c>
      <c r="L6975" t="s">
        <v>15</v>
      </c>
    </row>
    <row r="6976" spans="1:12" x14ac:dyDescent="0.25">
      <c r="A6976" t="str">
        <f>"5803190294"</f>
        <v>5803190294</v>
      </c>
      <c r="B6976" t="str">
        <f t="shared" si="328"/>
        <v>89301000</v>
      </c>
      <c r="C6976" s="1">
        <v>44506</v>
      </c>
      <c r="D6976" s="1">
        <v>44516</v>
      </c>
      <c r="E6976">
        <v>1</v>
      </c>
      <c r="F6976" t="s">
        <v>1572</v>
      </c>
      <c r="G6976" t="str">
        <f>"06-I12-03"</f>
        <v>06-I12-03</v>
      </c>
      <c r="H6976">
        <v>1.8894</v>
      </c>
      <c r="I6976" t="s">
        <v>5044</v>
      </c>
      <c r="J6976" t="s">
        <v>14</v>
      </c>
      <c r="K6976" t="str">
        <f>"5F1"</f>
        <v>5F1</v>
      </c>
      <c r="L6976" t="s">
        <v>286</v>
      </c>
    </row>
    <row r="6977" spans="1:12" x14ac:dyDescent="0.25">
      <c r="A6977" t="str">
        <f>"5804020882"</f>
        <v>5804020882</v>
      </c>
      <c r="B6977" t="str">
        <f t="shared" si="328"/>
        <v>89301000</v>
      </c>
      <c r="C6977" s="1">
        <v>44508</v>
      </c>
      <c r="D6977" s="1">
        <v>44511</v>
      </c>
      <c r="E6977">
        <v>1</v>
      </c>
      <c r="F6977" t="s">
        <v>2232</v>
      </c>
      <c r="G6977" t="str">
        <f>"11-I07-01"</f>
        <v>11-I07-01</v>
      </c>
      <c r="H6977">
        <v>2.5975999999999999</v>
      </c>
      <c r="I6977" t="s">
        <v>5045</v>
      </c>
      <c r="J6977" t="s">
        <v>14</v>
      </c>
      <c r="K6977" t="str">
        <f>"7F6"</f>
        <v>7F6</v>
      </c>
      <c r="L6977" t="s">
        <v>15</v>
      </c>
    </row>
    <row r="6978" spans="1:12" x14ac:dyDescent="0.25">
      <c r="A6978" t="str">
        <f>"5804091744"</f>
        <v>5804091744</v>
      </c>
      <c r="B6978" t="str">
        <f t="shared" si="328"/>
        <v>89301000</v>
      </c>
      <c r="C6978" s="1">
        <v>44472</v>
      </c>
      <c r="D6978" s="1">
        <v>44480</v>
      </c>
      <c r="E6978">
        <v>1</v>
      </c>
      <c r="F6978" t="s">
        <v>1557</v>
      </c>
      <c r="G6978" t="str">
        <f>"05-K04-02"</f>
        <v>05-K04-02</v>
      </c>
      <c r="H6978">
        <v>0.45319999999999999</v>
      </c>
      <c r="I6978" t="s">
        <v>5046</v>
      </c>
      <c r="J6978" t="s">
        <v>14</v>
      </c>
      <c r="K6978" t="str">
        <f>"5F5"</f>
        <v>5F5</v>
      </c>
      <c r="L6978" t="s">
        <v>15</v>
      </c>
    </row>
    <row r="6979" spans="1:12" x14ac:dyDescent="0.25">
      <c r="A6979" t="str">
        <f>"5804091744"</f>
        <v>5804091744</v>
      </c>
      <c r="B6979" t="str">
        <f t="shared" si="328"/>
        <v>89301000</v>
      </c>
      <c r="C6979" s="1">
        <v>44460</v>
      </c>
      <c r="D6979" s="1">
        <v>44469</v>
      </c>
      <c r="E6979">
        <v>4</v>
      </c>
      <c r="F6979" t="s">
        <v>1557</v>
      </c>
      <c r="G6979" t="str">
        <f>"05-I16-06"</f>
        <v>05-I16-06</v>
      </c>
      <c r="H6979">
        <v>5.2988</v>
      </c>
      <c r="I6979" t="s">
        <v>1606</v>
      </c>
      <c r="J6979" t="s">
        <v>17</v>
      </c>
      <c r="K6979" t="str">
        <f>"5F5"</f>
        <v>5F5</v>
      </c>
      <c r="L6979" t="s">
        <v>15</v>
      </c>
    </row>
    <row r="6980" spans="1:12" x14ac:dyDescent="0.25">
      <c r="A6980" t="str">
        <f>"5804091744"</f>
        <v>5804091744</v>
      </c>
      <c r="B6980" t="str">
        <f t="shared" si="328"/>
        <v>89301000</v>
      </c>
      <c r="C6980" s="1">
        <v>44322</v>
      </c>
      <c r="D6980" s="1">
        <v>44326</v>
      </c>
      <c r="E6980">
        <v>1</v>
      </c>
      <c r="F6980" t="s">
        <v>3705</v>
      </c>
      <c r="G6980" t="str">
        <f>"01-K08-02"</f>
        <v>01-K08-02</v>
      </c>
      <c r="H6980">
        <v>0.60519999999999996</v>
      </c>
      <c r="I6980" t="s">
        <v>5047</v>
      </c>
      <c r="J6980" t="s">
        <v>14</v>
      </c>
      <c r="K6980" t="str">
        <f>"1F1"</f>
        <v>1F1</v>
      </c>
      <c r="L6980" t="s">
        <v>15</v>
      </c>
    </row>
    <row r="6981" spans="1:12" x14ac:dyDescent="0.25">
      <c r="A6981" t="str">
        <f>"5804091744"</f>
        <v>5804091744</v>
      </c>
      <c r="B6981" t="str">
        <f t="shared" si="328"/>
        <v>89301000</v>
      </c>
      <c r="C6981" s="1">
        <v>44403</v>
      </c>
      <c r="D6981" s="1">
        <v>44404</v>
      </c>
      <c r="E6981">
        <v>1</v>
      </c>
      <c r="F6981" t="s">
        <v>1557</v>
      </c>
      <c r="G6981" t="str">
        <f>"05-M06-08"</f>
        <v>05-M06-08</v>
      </c>
      <c r="H6981">
        <v>1.4719</v>
      </c>
      <c r="I6981" t="s">
        <v>5048</v>
      </c>
      <c r="J6981" t="s">
        <v>17</v>
      </c>
      <c r="K6981" t="str">
        <f>"1F7"</f>
        <v>1F7</v>
      </c>
      <c r="L6981" t="s">
        <v>15</v>
      </c>
    </row>
    <row r="6982" spans="1:12" x14ac:dyDescent="0.25">
      <c r="A6982" t="str">
        <f>"5804130750"</f>
        <v>5804130750</v>
      </c>
      <c r="B6982" t="str">
        <f t="shared" si="328"/>
        <v>89301000</v>
      </c>
      <c r="C6982" s="1">
        <v>44382</v>
      </c>
      <c r="D6982" s="1">
        <v>44386</v>
      </c>
      <c r="E6982">
        <v>1</v>
      </c>
      <c r="F6982" t="s">
        <v>201</v>
      </c>
      <c r="G6982" t="str">
        <f>"04-K02-03"</f>
        <v>04-K02-03</v>
      </c>
      <c r="H6982">
        <v>1.2859</v>
      </c>
      <c r="I6982" t="s">
        <v>5049</v>
      </c>
      <c r="J6982" t="s">
        <v>14</v>
      </c>
      <c r="K6982" t="str">
        <f>"2F5"</f>
        <v>2F5</v>
      </c>
      <c r="L6982" t="s">
        <v>15</v>
      </c>
    </row>
    <row r="6983" spans="1:12" x14ac:dyDescent="0.25">
      <c r="A6983" t="str">
        <f>"5804150737"</f>
        <v>5804150737</v>
      </c>
      <c r="B6983" t="str">
        <f t="shared" si="328"/>
        <v>89301000</v>
      </c>
      <c r="C6983" s="1">
        <v>44213</v>
      </c>
      <c r="D6983" s="1">
        <v>44218</v>
      </c>
      <c r="E6983">
        <v>1</v>
      </c>
      <c r="F6983" t="s">
        <v>1553</v>
      </c>
      <c r="G6983" t="str">
        <f>"04-K05-03"</f>
        <v>04-K05-03</v>
      </c>
      <c r="H6983">
        <v>0.74980000000000002</v>
      </c>
      <c r="I6983" t="s">
        <v>1240</v>
      </c>
      <c r="J6983" t="s">
        <v>14</v>
      </c>
      <c r="K6983" t="str">
        <f>"1F1"</f>
        <v>1F1</v>
      </c>
      <c r="L6983" t="s">
        <v>15</v>
      </c>
    </row>
    <row r="6984" spans="1:12" x14ac:dyDescent="0.25">
      <c r="A6984" t="str">
        <f>"5804172055"</f>
        <v>5804172055</v>
      </c>
      <c r="B6984" t="str">
        <f t="shared" si="328"/>
        <v>89301000</v>
      </c>
      <c r="C6984" s="1">
        <v>44332</v>
      </c>
      <c r="D6984" s="1">
        <v>44337</v>
      </c>
      <c r="E6984">
        <v>1</v>
      </c>
      <c r="F6984" t="s">
        <v>3861</v>
      </c>
      <c r="G6984" t="str">
        <f>"11-K02-03"</f>
        <v>11-K02-03</v>
      </c>
      <c r="H6984">
        <v>0.79790000000000005</v>
      </c>
      <c r="I6984" t="s">
        <v>5050</v>
      </c>
      <c r="J6984" t="s">
        <v>14</v>
      </c>
      <c r="K6984" t="str">
        <f>"1F1"</f>
        <v>1F1</v>
      </c>
      <c r="L6984" t="s">
        <v>15</v>
      </c>
    </row>
    <row r="6985" spans="1:12" x14ac:dyDescent="0.25">
      <c r="A6985" t="str">
        <f>"5804201722"</f>
        <v>5804201722</v>
      </c>
      <c r="B6985" t="str">
        <f t="shared" si="328"/>
        <v>89301000</v>
      </c>
      <c r="C6985" s="1">
        <v>44431</v>
      </c>
      <c r="D6985" s="1">
        <v>44456</v>
      </c>
      <c r="E6985">
        <v>1</v>
      </c>
      <c r="F6985" t="s">
        <v>109</v>
      </c>
      <c r="G6985" t="str">
        <f>"24-M09-01"</f>
        <v>24-M09-01</v>
      </c>
      <c r="H6985">
        <v>3.4546000000000001</v>
      </c>
      <c r="I6985" t="s">
        <v>5051</v>
      </c>
      <c r="J6985" t="s">
        <v>14</v>
      </c>
      <c r="K6985" t="str">
        <f>"2F1"</f>
        <v>2F1</v>
      </c>
      <c r="L6985" t="s">
        <v>15</v>
      </c>
    </row>
    <row r="6986" spans="1:12" x14ac:dyDescent="0.25">
      <c r="A6986" t="str">
        <f>"5804241806"</f>
        <v>5804241806</v>
      </c>
      <c r="B6986" t="str">
        <f t="shared" si="328"/>
        <v>89301000</v>
      </c>
      <c r="C6986" s="1">
        <v>44505</v>
      </c>
      <c r="D6986" s="1">
        <v>44509</v>
      </c>
      <c r="E6986">
        <v>1</v>
      </c>
      <c r="F6986" t="s">
        <v>2902</v>
      </c>
      <c r="G6986" t="str">
        <f>"07-K04-04"</f>
        <v>07-K04-04</v>
      </c>
      <c r="H6986">
        <v>0.61360000000000003</v>
      </c>
      <c r="I6986" t="s">
        <v>5052</v>
      </c>
      <c r="J6986" t="s">
        <v>14</v>
      </c>
      <c r="K6986" t="str">
        <f>"1F5"</f>
        <v>1F5</v>
      </c>
      <c r="L6986" t="s">
        <v>15</v>
      </c>
    </row>
    <row r="6987" spans="1:12" x14ac:dyDescent="0.25">
      <c r="A6987" t="str">
        <f>"5805011927"</f>
        <v>5805011927</v>
      </c>
      <c r="B6987" t="str">
        <f t="shared" si="328"/>
        <v>89301000</v>
      </c>
      <c r="C6987" s="1">
        <v>44343</v>
      </c>
      <c r="D6987" s="1">
        <v>44347</v>
      </c>
      <c r="E6987">
        <v>1</v>
      </c>
      <c r="F6987" t="s">
        <v>1704</v>
      </c>
      <c r="G6987" t="str">
        <f>"23-I10-00"</f>
        <v>23-I10-00</v>
      </c>
      <c r="H6987">
        <v>0.59630000000000005</v>
      </c>
      <c r="I6987" t="s">
        <v>229</v>
      </c>
      <c r="J6987" t="s">
        <v>14</v>
      </c>
      <c r="K6987" t="str">
        <f>"7F5"</f>
        <v>7F5</v>
      </c>
      <c r="L6987" t="s">
        <v>15</v>
      </c>
    </row>
    <row r="6988" spans="1:12" x14ac:dyDescent="0.25">
      <c r="A6988" t="str">
        <f>"5805011927"</f>
        <v>5805011927</v>
      </c>
      <c r="B6988" t="str">
        <f t="shared" si="328"/>
        <v>89301000</v>
      </c>
      <c r="C6988" s="1">
        <v>44218</v>
      </c>
      <c r="D6988" s="1">
        <v>44221</v>
      </c>
      <c r="E6988">
        <v>1</v>
      </c>
      <c r="F6988" t="s">
        <v>2068</v>
      </c>
      <c r="G6988" t="str">
        <f>"02-I06-02"</f>
        <v>02-I06-02</v>
      </c>
      <c r="H6988">
        <v>0.90300000000000002</v>
      </c>
      <c r="J6988" t="s">
        <v>17</v>
      </c>
      <c r="K6988" t="str">
        <f>"7F5"</f>
        <v>7F5</v>
      </c>
      <c r="L6988" t="s">
        <v>15</v>
      </c>
    </row>
    <row r="6989" spans="1:12" x14ac:dyDescent="0.25">
      <c r="A6989" t="str">
        <f>"5805011938"</f>
        <v>5805011938</v>
      </c>
      <c r="B6989" t="str">
        <f t="shared" si="328"/>
        <v>89301000</v>
      </c>
      <c r="C6989" s="1">
        <v>44348</v>
      </c>
      <c r="D6989" s="1">
        <v>44410</v>
      </c>
      <c r="E6989">
        <v>1</v>
      </c>
      <c r="F6989" t="s">
        <v>2935</v>
      </c>
      <c r="G6989" t="str">
        <f>"05-I20-01"</f>
        <v>05-I20-01</v>
      </c>
      <c r="H6989">
        <v>7.9211999999999998</v>
      </c>
      <c r="I6989" t="s">
        <v>5053</v>
      </c>
      <c r="J6989" t="s">
        <v>14</v>
      </c>
      <c r="K6989" t="str">
        <f>"5F1"</f>
        <v>5F1</v>
      </c>
      <c r="L6989" t="s">
        <v>15</v>
      </c>
    </row>
    <row r="6990" spans="1:12" x14ac:dyDescent="0.25">
      <c r="A6990" t="str">
        <f>"5805022135"</f>
        <v>5805022135</v>
      </c>
      <c r="B6990" t="str">
        <f t="shared" si="328"/>
        <v>89301000</v>
      </c>
      <c r="C6990" s="1">
        <v>44216</v>
      </c>
      <c r="D6990" s="1">
        <v>44216</v>
      </c>
      <c r="E6990">
        <v>1</v>
      </c>
      <c r="F6990" t="s">
        <v>1557</v>
      </c>
      <c r="G6990" t="str">
        <f>"05-M06-08"</f>
        <v>05-M06-08</v>
      </c>
      <c r="H6990">
        <v>1.1200000000000001</v>
      </c>
      <c r="I6990" t="s">
        <v>5054</v>
      </c>
      <c r="J6990" t="s">
        <v>17</v>
      </c>
      <c r="K6990" t="str">
        <f>"1F7"</f>
        <v>1F7</v>
      </c>
      <c r="L6990" t="s">
        <v>15</v>
      </c>
    </row>
    <row r="6991" spans="1:12" x14ac:dyDescent="0.25">
      <c r="A6991" t="str">
        <f>"5805031705"</f>
        <v>5805031705</v>
      </c>
      <c r="B6991" t="str">
        <f t="shared" si="328"/>
        <v>89301000</v>
      </c>
      <c r="C6991" s="1">
        <v>44301</v>
      </c>
      <c r="D6991" s="1">
        <v>44307</v>
      </c>
      <c r="E6991">
        <v>1</v>
      </c>
      <c r="F6991" t="s">
        <v>2585</v>
      </c>
      <c r="G6991" t="str">
        <f>"12-I02-01"</f>
        <v>12-I02-01</v>
      </c>
      <c r="H6991">
        <v>3.1240999999999999</v>
      </c>
      <c r="I6991" t="s">
        <v>5055</v>
      </c>
      <c r="J6991" t="s">
        <v>14</v>
      </c>
      <c r="K6991" t="str">
        <f>"7F6"</f>
        <v>7F6</v>
      </c>
      <c r="L6991" t="s">
        <v>15</v>
      </c>
    </row>
    <row r="6992" spans="1:12" x14ac:dyDescent="0.25">
      <c r="A6992" t="str">
        <f>"5805051604"</f>
        <v>5805051604</v>
      </c>
      <c r="B6992" t="str">
        <f t="shared" si="328"/>
        <v>89301000</v>
      </c>
      <c r="C6992" s="1">
        <v>44253</v>
      </c>
      <c r="D6992" s="1">
        <v>44253</v>
      </c>
      <c r="E6992">
        <v>7</v>
      </c>
      <c r="F6992" t="s">
        <v>962</v>
      </c>
      <c r="G6992" t="str">
        <f>"04-K08-01"</f>
        <v>04-K08-01</v>
      </c>
      <c r="H6992">
        <v>0.52829999999999999</v>
      </c>
      <c r="I6992" t="s">
        <v>5056</v>
      </c>
      <c r="J6992" t="s">
        <v>14</v>
      </c>
      <c r="K6992" t="str">
        <f>"7T8"</f>
        <v>7T8</v>
      </c>
      <c r="L6992" t="s">
        <v>15</v>
      </c>
    </row>
    <row r="6993" spans="1:12" x14ac:dyDescent="0.25">
      <c r="A6993" t="str">
        <f>"5805120376"</f>
        <v>5805120376</v>
      </c>
      <c r="B6993" t="str">
        <f t="shared" si="328"/>
        <v>89301000</v>
      </c>
      <c r="C6993" s="1">
        <v>44460</v>
      </c>
      <c r="D6993" s="1">
        <v>44464</v>
      </c>
      <c r="E6993">
        <v>1</v>
      </c>
      <c r="F6993" t="s">
        <v>28</v>
      </c>
      <c r="G6993" t="str">
        <f>"03-I12-02"</f>
        <v>03-I12-02</v>
      </c>
      <c r="H6993">
        <v>1.3254999999999999</v>
      </c>
      <c r="I6993" t="s">
        <v>1959</v>
      </c>
      <c r="J6993" t="s">
        <v>17</v>
      </c>
      <c r="K6993" t="str">
        <f>"7F1"</f>
        <v>7F1</v>
      </c>
      <c r="L6993" t="s">
        <v>15</v>
      </c>
    </row>
    <row r="6994" spans="1:12" x14ac:dyDescent="0.25">
      <c r="A6994" t="str">
        <f>"5805126228"</f>
        <v>5805126228</v>
      </c>
      <c r="B6994" t="str">
        <f t="shared" si="328"/>
        <v>89301000</v>
      </c>
      <c r="C6994" s="1">
        <v>44249</v>
      </c>
      <c r="D6994" s="1">
        <v>44255</v>
      </c>
      <c r="E6994">
        <v>1</v>
      </c>
      <c r="F6994" t="s">
        <v>2232</v>
      </c>
      <c r="G6994" t="str">
        <f>"11-I07-04"</f>
        <v>11-I07-04</v>
      </c>
      <c r="H6994">
        <v>1.9005000000000001</v>
      </c>
      <c r="I6994" t="s">
        <v>5057</v>
      </c>
      <c r="J6994" t="s">
        <v>24</v>
      </c>
      <c r="K6994" t="str">
        <f>"7F6"</f>
        <v>7F6</v>
      </c>
      <c r="L6994" t="s">
        <v>15</v>
      </c>
    </row>
    <row r="6995" spans="1:12" x14ac:dyDescent="0.25">
      <c r="A6995" t="str">
        <f>"5805132729"</f>
        <v>5805132729</v>
      </c>
      <c r="B6995" t="str">
        <f t="shared" si="328"/>
        <v>89301000</v>
      </c>
      <c r="C6995" s="1">
        <v>44447</v>
      </c>
      <c r="D6995" s="1">
        <v>44456</v>
      </c>
      <c r="E6995">
        <v>1</v>
      </c>
      <c r="F6995" t="s">
        <v>5058</v>
      </c>
      <c r="G6995" t="str">
        <f>"04-I09-01"</f>
        <v>04-I09-01</v>
      </c>
      <c r="H6995">
        <v>2.8443000000000001</v>
      </c>
      <c r="I6995" t="s">
        <v>5059</v>
      </c>
      <c r="J6995" t="s">
        <v>14</v>
      </c>
      <c r="K6995" t="str">
        <f>"5F1"</f>
        <v>5F1</v>
      </c>
      <c r="L6995" t="s">
        <v>15</v>
      </c>
    </row>
    <row r="6996" spans="1:12" x14ac:dyDescent="0.25">
      <c r="A6996" t="str">
        <f>"5805220971"</f>
        <v>5805220971</v>
      </c>
      <c r="B6996" t="str">
        <f t="shared" si="328"/>
        <v>89301000</v>
      </c>
      <c r="C6996" s="1">
        <v>44347</v>
      </c>
      <c r="D6996" s="1">
        <v>44349</v>
      </c>
      <c r="E6996">
        <v>1</v>
      </c>
      <c r="F6996" t="s">
        <v>5060</v>
      </c>
      <c r="G6996" t="str">
        <f>"17-K07-02"</f>
        <v>17-K07-02</v>
      </c>
      <c r="H6996">
        <v>0.93820000000000003</v>
      </c>
      <c r="J6996" t="s">
        <v>14</v>
      </c>
      <c r="K6996" t="str">
        <f>"7F1"</f>
        <v>7F1</v>
      </c>
      <c r="L6996" t="s">
        <v>15</v>
      </c>
    </row>
    <row r="6997" spans="1:12" x14ac:dyDescent="0.25">
      <c r="A6997" t="str">
        <f>"5805242091"</f>
        <v>5805242091</v>
      </c>
      <c r="B6997" t="str">
        <f t="shared" si="328"/>
        <v>89301000</v>
      </c>
      <c r="C6997" s="1">
        <v>44257</v>
      </c>
      <c r="D6997" s="1">
        <v>44270</v>
      </c>
      <c r="E6997">
        <v>1</v>
      </c>
      <c r="F6997" t="s">
        <v>217</v>
      </c>
      <c r="G6997" t="str">
        <f>"04-K02-04"</f>
        <v>04-K02-04</v>
      </c>
      <c r="H6997">
        <v>0.82469999999999999</v>
      </c>
      <c r="I6997" t="s">
        <v>5061</v>
      </c>
      <c r="J6997" t="s">
        <v>14</v>
      </c>
      <c r="K6997" t="str">
        <f>"1F6"</f>
        <v>1F6</v>
      </c>
      <c r="L6997" t="s">
        <v>15</v>
      </c>
    </row>
    <row r="6998" spans="1:12" x14ac:dyDescent="0.25">
      <c r="A6998" t="str">
        <f>"5806010419"</f>
        <v>5806010419</v>
      </c>
      <c r="B6998" t="str">
        <f t="shared" si="328"/>
        <v>89301000</v>
      </c>
      <c r="C6998" s="1">
        <v>44271</v>
      </c>
      <c r="D6998" s="1">
        <v>44274</v>
      </c>
      <c r="E6998">
        <v>1</v>
      </c>
      <c r="F6998" t="s">
        <v>2082</v>
      </c>
      <c r="G6998" t="str">
        <f>"03-I19-03"</f>
        <v>03-I19-03</v>
      </c>
      <c r="H6998">
        <v>0.60699999999999998</v>
      </c>
      <c r="I6998" t="s">
        <v>5062</v>
      </c>
      <c r="J6998" t="s">
        <v>14</v>
      </c>
      <c r="K6998" t="str">
        <f>"6F5"</f>
        <v>6F5</v>
      </c>
      <c r="L6998" t="s">
        <v>15</v>
      </c>
    </row>
    <row r="6999" spans="1:12" x14ac:dyDescent="0.25">
      <c r="A6999" t="str">
        <f>"5806010507"</f>
        <v>5806010507</v>
      </c>
      <c r="B6999" t="str">
        <f t="shared" si="328"/>
        <v>89301000</v>
      </c>
      <c r="C6999" s="1">
        <v>44211</v>
      </c>
      <c r="D6999" s="1">
        <v>44218</v>
      </c>
      <c r="E6999">
        <v>1</v>
      </c>
      <c r="F6999" t="s">
        <v>5063</v>
      </c>
      <c r="G6999" t="str">
        <f>"08-I19-01"</f>
        <v>08-I19-01</v>
      </c>
      <c r="H6999">
        <v>1.0456000000000001</v>
      </c>
      <c r="I6999" t="s">
        <v>21</v>
      </c>
      <c r="J6999" t="s">
        <v>17</v>
      </c>
      <c r="K6999" t="str">
        <f>"5F3"</f>
        <v>5F3</v>
      </c>
      <c r="L6999" t="s">
        <v>15</v>
      </c>
    </row>
    <row r="7000" spans="1:12" x14ac:dyDescent="0.25">
      <c r="A7000" t="str">
        <f>"5806041901"</f>
        <v>5806041901</v>
      </c>
      <c r="B7000" t="str">
        <f t="shared" si="328"/>
        <v>89301000</v>
      </c>
      <c r="C7000" s="1">
        <v>44297</v>
      </c>
      <c r="D7000" s="1">
        <v>44300</v>
      </c>
      <c r="E7000">
        <v>1</v>
      </c>
      <c r="F7000" t="s">
        <v>4297</v>
      </c>
      <c r="G7000" t="str">
        <f>"08-M03-05"</f>
        <v>08-M03-05</v>
      </c>
      <c r="H7000">
        <v>0.51759999999999995</v>
      </c>
      <c r="I7000" t="s">
        <v>5064</v>
      </c>
      <c r="J7000" t="s">
        <v>14</v>
      </c>
      <c r="K7000" t="str">
        <f>"6F6"</f>
        <v>6F6</v>
      </c>
      <c r="L7000" t="s">
        <v>15</v>
      </c>
    </row>
    <row r="7001" spans="1:12" x14ac:dyDescent="0.25">
      <c r="A7001" t="str">
        <f>"5806140681"</f>
        <v>5806140681</v>
      </c>
      <c r="B7001" t="str">
        <f t="shared" si="328"/>
        <v>89301000</v>
      </c>
      <c r="C7001" s="1">
        <v>44441</v>
      </c>
      <c r="D7001" s="1">
        <v>44442</v>
      </c>
      <c r="E7001">
        <v>1</v>
      </c>
      <c r="F7001" t="s">
        <v>215</v>
      </c>
      <c r="G7001" t="str">
        <f>"08-I15-03"</f>
        <v>08-I15-03</v>
      </c>
      <c r="H7001">
        <v>1.1838</v>
      </c>
      <c r="I7001" t="s">
        <v>5065</v>
      </c>
      <c r="J7001" t="s">
        <v>17</v>
      </c>
      <c r="K7001" t="str">
        <f>"5F3"</f>
        <v>5F3</v>
      </c>
      <c r="L7001" t="s">
        <v>15</v>
      </c>
    </row>
    <row r="7002" spans="1:12" x14ac:dyDescent="0.25">
      <c r="A7002" t="str">
        <f>"5806150427"</f>
        <v>5806150427</v>
      </c>
      <c r="B7002" t="str">
        <f t="shared" si="328"/>
        <v>89301000</v>
      </c>
      <c r="C7002" s="1">
        <v>44455</v>
      </c>
      <c r="D7002" s="1">
        <v>44462</v>
      </c>
      <c r="E7002">
        <v>4</v>
      </c>
      <c r="F7002" t="s">
        <v>1914</v>
      </c>
      <c r="G7002" t="str">
        <f>"04-K09-03"</f>
        <v>04-K09-03</v>
      </c>
      <c r="H7002">
        <v>0.62749999999999995</v>
      </c>
      <c r="I7002" t="s">
        <v>5066</v>
      </c>
      <c r="J7002" t="s">
        <v>14</v>
      </c>
      <c r="K7002" t="str">
        <f>"2F5"</f>
        <v>2F5</v>
      </c>
      <c r="L7002" t="s">
        <v>15</v>
      </c>
    </row>
    <row r="7003" spans="1:12" x14ac:dyDescent="0.25">
      <c r="A7003" t="str">
        <f>"5806170744"</f>
        <v>5806170744</v>
      </c>
      <c r="B7003" t="str">
        <f t="shared" si="328"/>
        <v>89301000</v>
      </c>
      <c r="C7003" s="1">
        <v>44245</v>
      </c>
      <c r="D7003" s="1">
        <v>44246</v>
      </c>
      <c r="E7003">
        <v>1</v>
      </c>
      <c r="F7003" t="s">
        <v>2111</v>
      </c>
      <c r="G7003" t="str">
        <f>"10-K15-02"</f>
        <v>10-K15-02</v>
      </c>
      <c r="H7003">
        <v>0.51819999999999999</v>
      </c>
      <c r="I7003" t="s">
        <v>5067</v>
      </c>
      <c r="J7003" t="s">
        <v>14</v>
      </c>
      <c r="K7003" t="str">
        <f>"2F5"</f>
        <v>2F5</v>
      </c>
      <c r="L7003" t="s">
        <v>15</v>
      </c>
    </row>
    <row r="7004" spans="1:12" x14ac:dyDescent="0.25">
      <c r="A7004" t="str">
        <f>"5806170744"</f>
        <v>5806170744</v>
      </c>
      <c r="B7004" t="str">
        <f t="shared" si="328"/>
        <v>89301000</v>
      </c>
      <c r="C7004" s="1">
        <v>44316</v>
      </c>
      <c r="D7004" s="1">
        <v>44319</v>
      </c>
      <c r="E7004">
        <v>1</v>
      </c>
      <c r="F7004" t="s">
        <v>2111</v>
      </c>
      <c r="G7004" t="str">
        <f>"10-K15-02"</f>
        <v>10-K15-02</v>
      </c>
      <c r="H7004">
        <v>1.0346</v>
      </c>
      <c r="I7004" t="s">
        <v>5068</v>
      </c>
      <c r="J7004" t="s">
        <v>14</v>
      </c>
      <c r="K7004" t="str">
        <f>"2F5"</f>
        <v>2F5</v>
      </c>
      <c r="L7004" t="s">
        <v>15</v>
      </c>
    </row>
    <row r="7005" spans="1:12" x14ac:dyDescent="0.25">
      <c r="A7005" t="str">
        <f>"5806300599"</f>
        <v>5806300599</v>
      </c>
      <c r="B7005" t="str">
        <f t="shared" si="328"/>
        <v>89301000</v>
      </c>
      <c r="C7005" s="1">
        <v>44383</v>
      </c>
      <c r="D7005" s="1">
        <v>44385</v>
      </c>
      <c r="E7005">
        <v>1</v>
      </c>
      <c r="F7005" t="s">
        <v>496</v>
      </c>
      <c r="G7005" t="str">
        <f>"08-M03-05"</f>
        <v>08-M03-05</v>
      </c>
      <c r="H7005">
        <v>0.51759999999999995</v>
      </c>
      <c r="I7005" t="s">
        <v>5069</v>
      </c>
      <c r="J7005" t="s">
        <v>14</v>
      </c>
      <c r="K7005" t="str">
        <f>"6F6"</f>
        <v>6F6</v>
      </c>
      <c r="L7005" t="s">
        <v>15</v>
      </c>
    </row>
    <row r="7006" spans="1:12" x14ac:dyDescent="0.25">
      <c r="A7006" t="str">
        <f>"5807021792"</f>
        <v>5807021792</v>
      </c>
      <c r="B7006" t="str">
        <f t="shared" si="328"/>
        <v>89301000</v>
      </c>
      <c r="C7006" s="1">
        <v>44460</v>
      </c>
      <c r="D7006" s="1">
        <v>44466</v>
      </c>
      <c r="E7006">
        <v>1</v>
      </c>
      <c r="F7006" t="s">
        <v>2585</v>
      </c>
      <c r="G7006" t="str">
        <f>"12-I03-01"</f>
        <v>12-I03-01</v>
      </c>
      <c r="H7006">
        <v>2.6785999999999999</v>
      </c>
      <c r="I7006" t="s">
        <v>2321</v>
      </c>
      <c r="J7006" t="s">
        <v>14</v>
      </c>
      <c r="K7006" t="str">
        <f>"7F6"</f>
        <v>7F6</v>
      </c>
      <c r="L7006" t="s">
        <v>15</v>
      </c>
    </row>
    <row r="7007" spans="1:12" x14ac:dyDescent="0.25">
      <c r="A7007" t="str">
        <f>"5807071039"</f>
        <v>5807071039</v>
      </c>
      <c r="B7007" t="str">
        <f t="shared" si="328"/>
        <v>89301000</v>
      </c>
      <c r="C7007" s="1">
        <v>44228</v>
      </c>
      <c r="D7007" s="1">
        <v>44232</v>
      </c>
      <c r="E7007">
        <v>1</v>
      </c>
      <c r="F7007" t="s">
        <v>5070</v>
      </c>
      <c r="G7007" t="str">
        <f>"08-I04-02"</f>
        <v>08-I04-02</v>
      </c>
      <c r="H7007">
        <v>1.6718999999999999</v>
      </c>
      <c r="I7007" t="s">
        <v>5071</v>
      </c>
      <c r="J7007" t="s">
        <v>17</v>
      </c>
      <c r="K7007" t="str">
        <f>"5F1"</f>
        <v>5F1</v>
      </c>
      <c r="L7007" t="s">
        <v>15</v>
      </c>
    </row>
    <row r="7008" spans="1:12" x14ac:dyDescent="0.25">
      <c r="A7008" t="str">
        <f>"5807211410"</f>
        <v>5807211410</v>
      </c>
      <c r="B7008" t="str">
        <f t="shared" si="328"/>
        <v>89301000</v>
      </c>
      <c r="C7008" s="1">
        <v>44530</v>
      </c>
      <c r="D7008" s="1">
        <v>44533</v>
      </c>
      <c r="E7008">
        <v>1</v>
      </c>
      <c r="F7008" t="s">
        <v>1914</v>
      </c>
      <c r="G7008" t="str">
        <f>"04-C02-02"</f>
        <v>04-C02-02</v>
      </c>
      <c r="H7008">
        <v>0.3589</v>
      </c>
      <c r="I7008" t="s">
        <v>5072</v>
      </c>
      <c r="J7008" t="s">
        <v>14</v>
      </c>
      <c r="K7008" t="str">
        <f>"2F5"</f>
        <v>2F5</v>
      </c>
      <c r="L7008" t="s">
        <v>15</v>
      </c>
    </row>
    <row r="7009" spans="1:12" x14ac:dyDescent="0.25">
      <c r="A7009" t="str">
        <f>"5807211410"</f>
        <v>5807211410</v>
      </c>
      <c r="B7009" t="str">
        <f t="shared" si="328"/>
        <v>89301000</v>
      </c>
      <c r="C7009" s="1">
        <v>44508</v>
      </c>
      <c r="D7009" s="1">
        <v>44511</v>
      </c>
      <c r="E7009">
        <v>1</v>
      </c>
      <c r="F7009" t="s">
        <v>1914</v>
      </c>
      <c r="G7009" t="str">
        <f>"04-C02-02"</f>
        <v>04-C02-02</v>
      </c>
      <c r="H7009">
        <v>0.3589</v>
      </c>
      <c r="I7009" t="s">
        <v>5073</v>
      </c>
      <c r="J7009" t="s">
        <v>14</v>
      </c>
      <c r="K7009" t="str">
        <f>"2F5"</f>
        <v>2F5</v>
      </c>
      <c r="L7009" t="s">
        <v>15</v>
      </c>
    </row>
    <row r="7010" spans="1:12" x14ac:dyDescent="0.25">
      <c r="A7010" t="str">
        <f>"5807250130"</f>
        <v>5807250130</v>
      </c>
      <c r="B7010" t="str">
        <f t="shared" si="328"/>
        <v>89301000</v>
      </c>
      <c r="C7010" s="1">
        <v>44512</v>
      </c>
      <c r="D7010" s="1">
        <v>44519</v>
      </c>
      <c r="E7010">
        <v>1</v>
      </c>
      <c r="F7010" t="s">
        <v>979</v>
      </c>
      <c r="G7010" t="str">
        <f>"04-K02-04"</f>
        <v>04-K02-04</v>
      </c>
      <c r="H7010">
        <v>0.82469999999999999</v>
      </c>
      <c r="I7010" t="s">
        <v>5074</v>
      </c>
      <c r="J7010" t="s">
        <v>14</v>
      </c>
      <c r="K7010" t="str">
        <f>"1F1"</f>
        <v>1F1</v>
      </c>
      <c r="L7010" t="s">
        <v>15</v>
      </c>
    </row>
    <row r="7011" spans="1:12" x14ac:dyDescent="0.25">
      <c r="A7011" t="str">
        <f>"5807250130"</f>
        <v>5807250130</v>
      </c>
      <c r="B7011" t="str">
        <f t="shared" si="328"/>
        <v>89301000</v>
      </c>
      <c r="C7011" s="1">
        <v>44334</v>
      </c>
      <c r="D7011" s="1">
        <v>44351</v>
      </c>
      <c r="E7011">
        <v>1</v>
      </c>
      <c r="F7011" t="s">
        <v>1660</v>
      </c>
      <c r="G7011" t="str">
        <f>"01-K12-01"</f>
        <v>01-K12-01</v>
      </c>
      <c r="H7011">
        <v>1.2099</v>
      </c>
      <c r="I7011" t="s">
        <v>5075</v>
      </c>
      <c r="J7011" t="s">
        <v>14</v>
      </c>
      <c r="K7011" t="str">
        <f>"1F1"</f>
        <v>1F1</v>
      </c>
      <c r="L7011" t="s">
        <v>15</v>
      </c>
    </row>
    <row r="7012" spans="1:12" x14ac:dyDescent="0.25">
      <c r="A7012" t="str">
        <f>"5807250130"</f>
        <v>5807250130</v>
      </c>
      <c r="B7012" t="str">
        <f t="shared" si="328"/>
        <v>89301000</v>
      </c>
      <c r="C7012" s="1">
        <v>44356</v>
      </c>
      <c r="D7012" s="1">
        <v>44361</v>
      </c>
      <c r="E7012">
        <v>1</v>
      </c>
      <c r="F7012" t="s">
        <v>2391</v>
      </c>
      <c r="G7012" t="str">
        <f>"05-M10-00"</f>
        <v>05-M10-00</v>
      </c>
      <c r="H7012">
        <v>0.2046</v>
      </c>
      <c r="I7012" t="s">
        <v>5076</v>
      </c>
      <c r="J7012" t="s">
        <v>14</v>
      </c>
      <c r="K7012" t="str">
        <f>"1F1"</f>
        <v>1F1</v>
      </c>
      <c r="L7012" t="s">
        <v>15</v>
      </c>
    </row>
    <row r="7013" spans="1:12" x14ac:dyDescent="0.25">
      <c r="A7013" t="str">
        <f>"5807290489"</f>
        <v>5807290489</v>
      </c>
      <c r="B7013" t="str">
        <f t="shared" si="328"/>
        <v>89301000</v>
      </c>
      <c r="C7013" s="1">
        <v>44262</v>
      </c>
      <c r="D7013" s="1">
        <v>44263</v>
      </c>
      <c r="E7013">
        <v>1</v>
      </c>
      <c r="F7013" t="s">
        <v>1545</v>
      </c>
      <c r="G7013" t="str">
        <f>"05-I14-03"</f>
        <v>05-I14-03</v>
      </c>
      <c r="H7013">
        <v>6.1292</v>
      </c>
      <c r="I7013" t="s">
        <v>3658</v>
      </c>
      <c r="J7013" t="s">
        <v>14</v>
      </c>
      <c r="K7013" t="str">
        <f>"1F1"</f>
        <v>1F1</v>
      </c>
      <c r="L7013" t="s">
        <v>15</v>
      </c>
    </row>
    <row r="7014" spans="1:12" x14ac:dyDescent="0.25">
      <c r="A7014" t="str">
        <f>"5807301885"</f>
        <v>5807301885</v>
      </c>
      <c r="B7014" t="str">
        <f t="shared" si="328"/>
        <v>89301000</v>
      </c>
      <c r="C7014" s="1">
        <v>44228</v>
      </c>
      <c r="D7014" s="1">
        <v>44228</v>
      </c>
      <c r="E7014">
        <v>1</v>
      </c>
      <c r="F7014" t="s">
        <v>1557</v>
      </c>
      <c r="G7014" t="str">
        <f>"05-D01-08"</f>
        <v>05-D01-08</v>
      </c>
      <c r="H7014">
        <v>0.21890000000000001</v>
      </c>
      <c r="I7014" t="s">
        <v>5077</v>
      </c>
      <c r="J7014" t="s">
        <v>14</v>
      </c>
      <c r="K7014" t="str">
        <f>"1F7"</f>
        <v>1F7</v>
      </c>
      <c r="L7014" t="s">
        <v>15</v>
      </c>
    </row>
    <row r="7015" spans="1:12" x14ac:dyDescent="0.25">
      <c r="A7015" t="str">
        <f>"5807301885"</f>
        <v>5807301885</v>
      </c>
      <c r="B7015" t="str">
        <f t="shared" si="328"/>
        <v>89301000</v>
      </c>
      <c r="C7015" s="1">
        <v>44319</v>
      </c>
      <c r="D7015" s="1">
        <v>44327</v>
      </c>
      <c r="E7015">
        <v>4</v>
      </c>
      <c r="F7015" t="s">
        <v>1557</v>
      </c>
      <c r="G7015" t="str">
        <f>"05-I16-06"</f>
        <v>05-I16-06</v>
      </c>
      <c r="H7015">
        <v>5.2988</v>
      </c>
      <c r="J7015" t="s">
        <v>17</v>
      </c>
      <c r="K7015" t="str">
        <f>"5F5"</f>
        <v>5F5</v>
      </c>
      <c r="L7015" t="s">
        <v>15</v>
      </c>
    </row>
    <row r="7016" spans="1:12" x14ac:dyDescent="0.25">
      <c r="A7016" t="str">
        <f>"5808020867"</f>
        <v>5808020867</v>
      </c>
      <c r="B7016" t="str">
        <f t="shared" si="328"/>
        <v>89301000</v>
      </c>
      <c r="C7016" s="1">
        <v>44510</v>
      </c>
      <c r="D7016" s="1">
        <v>44511</v>
      </c>
      <c r="E7016">
        <v>1</v>
      </c>
      <c r="F7016" t="s">
        <v>41</v>
      </c>
      <c r="G7016" t="str">
        <f>"01-D01-03"</f>
        <v>01-D01-03</v>
      </c>
      <c r="H7016">
        <v>0.158</v>
      </c>
      <c r="I7016" t="s">
        <v>5078</v>
      </c>
      <c r="J7016" t="s">
        <v>14</v>
      </c>
      <c r="K7016" t="str">
        <f>"2F5"</f>
        <v>2F5</v>
      </c>
      <c r="L7016" t="s">
        <v>15</v>
      </c>
    </row>
    <row r="7017" spans="1:12" x14ac:dyDescent="0.25">
      <c r="A7017" t="str">
        <f>"5808020867"</f>
        <v>5808020867</v>
      </c>
      <c r="B7017" t="str">
        <f t="shared" si="328"/>
        <v>89301000</v>
      </c>
      <c r="C7017" s="1">
        <v>44431</v>
      </c>
      <c r="D7017" s="1">
        <v>44434</v>
      </c>
      <c r="E7017">
        <v>1</v>
      </c>
      <c r="F7017" t="s">
        <v>1683</v>
      </c>
      <c r="G7017" t="str">
        <f>"05-M06-06"</f>
        <v>05-M06-06</v>
      </c>
      <c r="H7017">
        <v>2.0021</v>
      </c>
      <c r="J7017" t="s">
        <v>17</v>
      </c>
      <c r="K7017" t="str">
        <f>"1F1"</f>
        <v>1F1</v>
      </c>
      <c r="L7017" t="s">
        <v>15</v>
      </c>
    </row>
    <row r="7018" spans="1:12" x14ac:dyDescent="0.25">
      <c r="A7018" t="str">
        <f>"5808021978"</f>
        <v>5808021978</v>
      </c>
      <c r="B7018" t="str">
        <f t="shared" si="328"/>
        <v>89301000</v>
      </c>
      <c r="C7018" s="1">
        <v>44278</v>
      </c>
      <c r="D7018" s="1">
        <v>44278</v>
      </c>
      <c r="E7018">
        <v>1</v>
      </c>
      <c r="F7018" t="s">
        <v>1557</v>
      </c>
      <c r="G7018" t="str">
        <f>"05-M06-08"</f>
        <v>05-M06-08</v>
      </c>
      <c r="H7018">
        <v>1.1200000000000001</v>
      </c>
      <c r="I7018" t="s">
        <v>2183</v>
      </c>
      <c r="J7018" t="s">
        <v>17</v>
      </c>
      <c r="K7018" t="str">
        <f>"1F1"</f>
        <v>1F1</v>
      </c>
      <c r="L7018" t="s">
        <v>15</v>
      </c>
    </row>
    <row r="7019" spans="1:12" x14ac:dyDescent="0.25">
      <c r="A7019" t="str">
        <f>"5808030910"</f>
        <v>5808030910</v>
      </c>
      <c r="B7019" t="str">
        <f t="shared" si="328"/>
        <v>89301000</v>
      </c>
      <c r="C7019" s="1">
        <v>44452</v>
      </c>
      <c r="D7019" s="1">
        <v>44469</v>
      </c>
      <c r="E7019">
        <v>1</v>
      </c>
      <c r="F7019" t="s">
        <v>4630</v>
      </c>
      <c r="G7019" t="str">
        <f>"21-K06-00"</f>
        <v>21-K06-00</v>
      </c>
      <c r="H7019">
        <v>1.1576</v>
      </c>
      <c r="I7019" t="s">
        <v>5079</v>
      </c>
      <c r="J7019" t="s">
        <v>14</v>
      </c>
      <c r="K7019" t="str">
        <f>"6F1"</f>
        <v>6F1</v>
      </c>
      <c r="L7019" t="s">
        <v>15</v>
      </c>
    </row>
    <row r="7020" spans="1:12" x14ac:dyDescent="0.25">
      <c r="A7020" t="str">
        <f>"5808030910"</f>
        <v>5808030910</v>
      </c>
      <c r="B7020" t="str">
        <f t="shared" si="328"/>
        <v>89301000</v>
      </c>
      <c r="C7020" s="1">
        <v>44280</v>
      </c>
      <c r="D7020" s="1">
        <v>44301</v>
      </c>
      <c r="E7020">
        <v>3</v>
      </c>
      <c r="F7020" t="s">
        <v>1581</v>
      </c>
      <c r="G7020" t="str">
        <f>"05-I20-01"</f>
        <v>05-I20-01</v>
      </c>
      <c r="H7020">
        <v>5.8971</v>
      </c>
      <c r="I7020" t="s">
        <v>5080</v>
      </c>
      <c r="J7020" t="s">
        <v>14</v>
      </c>
      <c r="K7020" t="str">
        <f>"5F3"</f>
        <v>5F3</v>
      </c>
      <c r="L7020" t="s">
        <v>15</v>
      </c>
    </row>
    <row r="7021" spans="1:12" x14ac:dyDescent="0.25">
      <c r="A7021" t="str">
        <f>"5808030910"</f>
        <v>5808030910</v>
      </c>
      <c r="B7021" t="str">
        <f t="shared" si="328"/>
        <v>89301000</v>
      </c>
      <c r="C7021" s="1">
        <v>44264</v>
      </c>
      <c r="D7021" s="1">
        <v>44277</v>
      </c>
      <c r="E7021">
        <v>1</v>
      </c>
      <c r="F7021" t="s">
        <v>1555</v>
      </c>
      <c r="G7021" t="str">
        <f>"05-I20-01"</f>
        <v>05-I20-01</v>
      </c>
      <c r="H7021">
        <v>6.1307999999999998</v>
      </c>
      <c r="I7021" t="s">
        <v>5081</v>
      </c>
      <c r="J7021" t="s">
        <v>14</v>
      </c>
      <c r="K7021" t="str">
        <f>"5F3"</f>
        <v>5F3</v>
      </c>
      <c r="L7021" t="s">
        <v>15</v>
      </c>
    </row>
    <row r="7022" spans="1:12" x14ac:dyDescent="0.25">
      <c r="A7022" t="str">
        <f>"5808030910"</f>
        <v>5808030910</v>
      </c>
      <c r="B7022" t="str">
        <f t="shared" si="328"/>
        <v>89301000</v>
      </c>
      <c r="C7022" s="1">
        <v>44301</v>
      </c>
      <c r="D7022" s="1">
        <v>44314</v>
      </c>
      <c r="E7022">
        <v>1</v>
      </c>
      <c r="F7022" t="s">
        <v>109</v>
      </c>
      <c r="G7022" t="str">
        <f>"24-M07-02"</f>
        <v>24-M07-02</v>
      </c>
      <c r="H7022">
        <v>1.5094000000000001</v>
      </c>
      <c r="I7022" t="s">
        <v>5082</v>
      </c>
      <c r="J7022" t="s">
        <v>14</v>
      </c>
      <c r="K7022" t="str">
        <f>"2F1"</f>
        <v>2F1</v>
      </c>
      <c r="L7022" t="s">
        <v>15</v>
      </c>
    </row>
    <row r="7023" spans="1:12" x14ac:dyDescent="0.25">
      <c r="A7023" t="str">
        <f>"5808030910"</f>
        <v>5808030910</v>
      </c>
      <c r="B7023" t="str">
        <f t="shared" si="328"/>
        <v>89301000</v>
      </c>
      <c r="C7023" s="1">
        <v>44243</v>
      </c>
      <c r="D7023" s="1">
        <v>44259</v>
      </c>
      <c r="E7023">
        <v>1</v>
      </c>
      <c r="F7023" t="s">
        <v>575</v>
      </c>
      <c r="G7023" t="str">
        <f>"18-K02-03"</f>
        <v>18-K02-03</v>
      </c>
      <c r="H7023">
        <v>0.87570000000000003</v>
      </c>
      <c r="I7023" t="s">
        <v>5083</v>
      </c>
      <c r="J7023" t="s">
        <v>14</v>
      </c>
      <c r="K7023" t="str">
        <f>"5F3"</f>
        <v>5F3</v>
      </c>
      <c r="L7023" t="s">
        <v>15</v>
      </c>
    </row>
    <row r="7024" spans="1:12" x14ac:dyDescent="0.25">
      <c r="A7024" t="str">
        <f>"5808050721"</f>
        <v>5808050721</v>
      </c>
      <c r="B7024" t="str">
        <f t="shared" si="328"/>
        <v>89301000</v>
      </c>
      <c r="C7024" s="1">
        <v>44216</v>
      </c>
      <c r="D7024" s="1">
        <v>44232</v>
      </c>
      <c r="E7024">
        <v>2</v>
      </c>
      <c r="F7024" t="s">
        <v>1604</v>
      </c>
      <c r="G7024" t="str">
        <f>"00-M01-03"</f>
        <v>00-M01-03</v>
      </c>
      <c r="H7024">
        <v>10.0288</v>
      </c>
      <c r="I7024" t="s">
        <v>5084</v>
      </c>
      <c r="J7024" t="s">
        <v>14</v>
      </c>
      <c r="K7024" t="str">
        <f>"1F7"</f>
        <v>1F7</v>
      </c>
      <c r="L7024" t="s">
        <v>15</v>
      </c>
    </row>
    <row r="7025" spans="1:12" x14ac:dyDescent="0.25">
      <c r="A7025" t="str">
        <f>"5808050721"</f>
        <v>5808050721</v>
      </c>
      <c r="B7025" t="str">
        <f t="shared" si="328"/>
        <v>89301000</v>
      </c>
      <c r="C7025" s="1">
        <v>44206</v>
      </c>
      <c r="D7025" s="1">
        <v>44211</v>
      </c>
      <c r="E7025">
        <v>2</v>
      </c>
      <c r="F7025" t="s">
        <v>962</v>
      </c>
      <c r="G7025" t="str">
        <f>"04-K08-02"</f>
        <v>04-K08-02</v>
      </c>
      <c r="H7025">
        <v>2.6110000000000002</v>
      </c>
      <c r="I7025" t="s">
        <v>5085</v>
      </c>
      <c r="J7025" t="s">
        <v>14</v>
      </c>
      <c r="K7025" t="str">
        <f>"5F1"</f>
        <v>5F1</v>
      </c>
      <c r="L7025" t="s">
        <v>15</v>
      </c>
    </row>
    <row r="7026" spans="1:12" x14ac:dyDescent="0.25">
      <c r="A7026" t="str">
        <f>"5808241560"</f>
        <v>5808241560</v>
      </c>
      <c r="B7026" t="str">
        <f t="shared" si="328"/>
        <v>89301000</v>
      </c>
      <c r="C7026" s="1">
        <v>44504</v>
      </c>
      <c r="D7026" s="1">
        <v>44505</v>
      </c>
      <c r="E7026">
        <v>1</v>
      </c>
      <c r="F7026" t="s">
        <v>174</v>
      </c>
      <c r="G7026" t="str">
        <f>"12-I14-00"</f>
        <v>12-I14-00</v>
      </c>
      <c r="H7026">
        <v>0.44350000000000001</v>
      </c>
      <c r="I7026" t="s">
        <v>5086</v>
      </c>
      <c r="J7026" t="s">
        <v>14</v>
      </c>
      <c r="K7026" t="str">
        <f>"7F6"</f>
        <v>7F6</v>
      </c>
      <c r="L7026" t="s">
        <v>15</v>
      </c>
    </row>
    <row r="7027" spans="1:12" x14ac:dyDescent="0.25">
      <c r="A7027" t="str">
        <f>"5808241978"</f>
        <v>5808241978</v>
      </c>
      <c r="B7027" t="str">
        <f t="shared" si="328"/>
        <v>89301000</v>
      </c>
      <c r="C7027" s="1">
        <v>44418</v>
      </c>
      <c r="D7027" s="1">
        <v>44423</v>
      </c>
      <c r="E7027">
        <v>1</v>
      </c>
      <c r="F7027" t="s">
        <v>2634</v>
      </c>
      <c r="G7027" t="str">
        <f>"01-K18-04"</f>
        <v>01-K18-04</v>
      </c>
      <c r="H7027">
        <v>0.49890000000000001</v>
      </c>
      <c r="I7027" t="s">
        <v>5087</v>
      </c>
      <c r="J7027" t="s">
        <v>14</v>
      </c>
      <c r="K7027" t="str">
        <f>"2F9"</f>
        <v>2F9</v>
      </c>
      <c r="L7027" t="s">
        <v>15</v>
      </c>
    </row>
    <row r="7028" spans="1:12" x14ac:dyDescent="0.25">
      <c r="A7028" t="str">
        <f>"5808251801"</f>
        <v>5808251801</v>
      </c>
      <c r="B7028" t="str">
        <f t="shared" si="328"/>
        <v>89301000</v>
      </c>
      <c r="C7028" s="1">
        <v>44515</v>
      </c>
      <c r="D7028" s="1">
        <v>44524</v>
      </c>
      <c r="E7028">
        <v>1</v>
      </c>
      <c r="F7028" t="s">
        <v>2232</v>
      </c>
      <c r="G7028" t="str">
        <f>"11-K07-01"</f>
        <v>11-K07-01</v>
      </c>
      <c r="H7028">
        <v>1.0079</v>
      </c>
      <c r="I7028" t="s">
        <v>5088</v>
      </c>
      <c r="J7028" t="s">
        <v>14</v>
      </c>
      <c r="K7028" t="str">
        <f>"4F2"</f>
        <v>4F2</v>
      </c>
      <c r="L7028" t="s">
        <v>15</v>
      </c>
    </row>
    <row r="7029" spans="1:12" x14ac:dyDescent="0.25">
      <c r="A7029" t="str">
        <f>"5808251801"</f>
        <v>5808251801</v>
      </c>
      <c r="B7029" t="str">
        <f t="shared" si="328"/>
        <v>89301000</v>
      </c>
      <c r="C7029" s="1">
        <v>44493</v>
      </c>
      <c r="D7029" s="1">
        <v>44510</v>
      </c>
      <c r="E7029">
        <v>1</v>
      </c>
      <c r="F7029" t="s">
        <v>3042</v>
      </c>
      <c r="G7029" t="str">
        <f>"01-K13-02"</f>
        <v>01-K13-02</v>
      </c>
      <c r="H7029">
        <v>1.1838</v>
      </c>
      <c r="I7029" t="s">
        <v>5089</v>
      </c>
      <c r="J7029" t="s">
        <v>14</v>
      </c>
      <c r="K7029" t="str">
        <f>"4F2"</f>
        <v>4F2</v>
      </c>
      <c r="L7029" t="s">
        <v>15</v>
      </c>
    </row>
    <row r="7030" spans="1:12" x14ac:dyDescent="0.25">
      <c r="A7030" t="str">
        <f>"5808251801"</f>
        <v>5808251801</v>
      </c>
      <c r="B7030" t="str">
        <f t="shared" si="328"/>
        <v>89301000</v>
      </c>
      <c r="C7030" s="1">
        <v>44442</v>
      </c>
      <c r="D7030" s="1">
        <v>44447</v>
      </c>
      <c r="E7030">
        <v>1</v>
      </c>
      <c r="F7030" t="s">
        <v>2232</v>
      </c>
      <c r="G7030" t="str">
        <f>"11-K07-02"</f>
        <v>11-K07-02</v>
      </c>
      <c r="H7030">
        <v>0.4869</v>
      </c>
      <c r="I7030" t="s">
        <v>5090</v>
      </c>
      <c r="J7030" t="s">
        <v>14</v>
      </c>
      <c r="K7030" t="str">
        <f>"4F2"</f>
        <v>4F2</v>
      </c>
      <c r="L7030" t="s">
        <v>15</v>
      </c>
    </row>
    <row r="7031" spans="1:12" x14ac:dyDescent="0.25">
      <c r="A7031" t="str">
        <f>"5808261382"</f>
        <v>5808261382</v>
      </c>
      <c r="B7031" t="str">
        <f t="shared" si="328"/>
        <v>89301000</v>
      </c>
      <c r="C7031" s="1">
        <v>44278</v>
      </c>
      <c r="D7031" s="1">
        <v>44295</v>
      </c>
      <c r="E7031">
        <v>1</v>
      </c>
      <c r="F7031" t="s">
        <v>2232</v>
      </c>
      <c r="G7031" t="str">
        <f>"11-K07-02"</f>
        <v>11-K07-02</v>
      </c>
      <c r="H7031">
        <v>0.87909999999999999</v>
      </c>
      <c r="I7031" t="s">
        <v>5091</v>
      </c>
      <c r="J7031" t="s">
        <v>14</v>
      </c>
      <c r="K7031" t="str">
        <f>"4F2"</f>
        <v>4F2</v>
      </c>
      <c r="L7031" t="s">
        <v>15</v>
      </c>
    </row>
    <row r="7032" spans="1:12" x14ac:dyDescent="0.25">
      <c r="A7032" t="str">
        <f>"5808276903"</f>
        <v>5808276903</v>
      </c>
      <c r="B7032" t="str">
        <f t="shared" si="328"/>
        <v>89301000</v>
      </c>
      <c r="C7032" s="1">
        <v>44389</v>
      </c>
      <c r="D7032" s="1">
        <v>44393</v>
      </c>
      <c r="E7032">
        <v>1</v>
      </c>
      <c r="F7032" t="s">
        <v>5092</v>
      </c>
      <c r="G7032" t="str">
        <f>"08-K02-03"</f>
        <v>08-K02-03</v>
      </c>
      <c r="H7032">
        <v>0.73560000000000003</v>
      </c>
      <c r="I7032" t="s">
        <v>5093</v>
      </c>
      <c r="J7032" t="s">
        <v>14</v>
      </c>
      <c r="K7032" t="str">
        <f>"1F9"</f>
        <v>1F9</v>
      </c>
      <c r="L7032" t="s">
        <v>15</v>
      </c>
    </row>
    <row r="7033" spans="1:12" x14ac:dyDescent="0.25">
      <c r="A7033" t="str">
        <f>"5809101386"</f>
        <v>5809101386</v>
      </c>
      <c r="B7033" t="str">
        <f t="shared" si="328"/>
        <v>89301000</v>
      </c>
      <c r="C7033" s="1">
        <v>44375</v>
      </c>
      <c r="D7033" s="1">
        <v>44384</v>
      </c>
      <c r="E7033">
        <v>4</v>
      </c>
      <c r="F7033" t="s">
        <v>1968</v>
      </c>
      <c r="G7033" t="str">
        <f>"08-I05-04"</f>
        <v>08-I05-04</v>
      </c>
      <c r="H7033">
        <v>2.4581</v>
      </c>
      <c r="I7033" t="s">
        <v>4260</v>
      </c>
      <c r="J7033" t="s">
        <v>17</v>
      </c>
      <c r="K7033" t="str">
        <f>"6F6"</f>
        <v>6F6</v>
      </c>
      <c r="L7033" t="s">
        <v>15</v>
      </c>
    </row>
    <row r="7034" spans="1:12" x14ac:dyDescent="0.25">
      <c r="A7034" t="str">
        <f>"5809101397"</f>
        <v>5809101397</v>
      </c>
      <c r="B7034" t="str">
        <f t="shared" si="328"/>
        <v>89301000</v>
      </c>
      <c r="C7034" s="1">
        <v>44466</v>
      </c>
      <c r="D7034" s="1">
        <v>44468</v>
      </c>
      <c r="E7034">
        <v>1</v>
      </c>
      <c r="F7034" t="s">
        <v>4541</v>
      </c>
      <c r="G7034" t="str">
        <f>"03-K04-01"</f>
        <v>03-K04-01</v>
      </c>
      <c r="H7034">
        <v>0.46660000000000001</v>
      </c>
      <c r="I7034" t="s">
        <v>489</v>
      </c>
      <c r="J7034" t="s">
        <v>14</v>
      </c>
      <c r="K7034" t="str">
        <f>"7F1"</f>
        <v>7F1</v>
      </c>
      <c r="L7034" t="s">
        <v>15</v>
      </c>
    </row>
    <row r="7035" spans="1:12" x14ac:dyDescent="0.25">
      <c r="A7035" t="str">
        <f>"5809161501"</f>
        <v>5809161501</v>
      </c>
      <c r="B7035" t="str">
        <f t="shared" si="328"/>
        <v>89301000</v>
      </c>
      <c r="C7035" s="1">
        <v>44284</v>
      </c>
      <c r="D7035" s="1">
        <v>44285</v>
      </c>
      <c r="E7035">
        <v>1</v>
      </c>
      <c r="F7035" t="s">
        <v>173</v>
      </c>
      <c r="G7035" t="str">
        <f>"08-I32-02"</f>
        <v>08-I32-02</v>
      </c>
      <c r="H7035">
        <v>0.4143</v>
      </c>
      <c r="I7035" t="s">
        <v>168</v>
      </c>
      <c r="J7035" t="s">
        <v>14</v>
      </c>
      <c r="K7035" t="str">
        <f>"5F3"</f>
        <v>5F3</v>
      </c>
      <c r="L7035" t="s">
        <v>15</v>
      </c>
    </row>
    <row r="7036" spans="1:12" x14ac:dyDescent="0.25">
      <c r="A7036" t="str">
        <f>"5809171599"</f>
        <v>5809171599</v>
      </c>
      <c r="B7036" t="str">
        <f t="shared" si="328"/>
        <v>89301000</v>
      </c>
      <c r="C7036" s="1">
        <v>44410</v>
      </c>
      <c r="D7036" s="1">
        <v>44438</v>
      </c>
      <c r="E7036">
        <v>1</v>
      </c>
      <c r="F7036" t="s">
        <v>2623</v>
      </c>
      <c r="G7036" t="str">
        <f>"00-M08-00"</f>
        <v>00-M08-00</v>
      </c>
      <c r="H7036">
        <v>5.8414999999999999</v>
      </c>
      <c r="I7036" t="s">
        <v>5094</v>
      </c>
      <c r="J7036" t="s">
        <v>17</v>
      </c>
      <c r="K7036" t="str">
        <f>"2T2"</f>
        <v>2T2</v>
      </c>
      <c r="L7036" t="s">
        <v>15</v>
      </c>
    </row>
    <row r="7037" spans="1:12" x14ac:dyDescent="0.25">
      <c r="A7037" t="str">
        <f>"5810091441"</f>
        <v>5810091441</v>
      </c>
      <c r="B7037" t="str">
        <f t="shared" ref="B7037:B7100" si="329">"89301000"</f>
        <v>89301000</v>
      </c>
      <c r="C7037" s="1">
        <v>44495</v>
      </c>
      <c r="D7037" s="1">
        <v>44503</v>
      </c>
      <c r="E7037">
        <v>1</v>
      </c>
      <c r="F7037" t="s">
        <v>699</v>
      </c>
      <c r="G7037" t="str">
        <f>"16-K02-01"</f>
        <v>16-K02-01</v>
      </c>
      <c r="H7037">
        <v>1.2647999999999999</v>
      </c>
      <c r="I7037" t="s">
        <v>5095</v>
      </c>
      <c r="J7037" t="s">
        <v>14</v>
      </c>
      <c r="K7037" t="str">
        <f>"1F5"</f>
        <v>1F5</v>
      </c>
      <c r="L7037" t="s">
        <v>15</v>
      </c>
    </row>
    <row r="7038" spans="1:12" x14ac:dyDescent="0.25">
      <c r="A7038" t="str">
        <f>"5810091441"</f>
        <v>5810091441</v>
      </c>
      <c r="B7038" t="str">
        <f t="shared" si="329"/>
        <v>89301000</v>
      </c>
      <c r="C7038" s="1">
        <v>44390</v>
      </c>
      <c r="D7038" s="1">
        <v>44400</v>
      </c>
      <c r="E7038">
        <v>1</v>
      </c>
      <c r="F7038" t="s">
        <v>2185</v>
      </c>
      <c r="G7038" t="str">
        <f>"07-K07-02"</f>
        <v>07-K07-02</v>
      </c>
      <c r="H7038">
        <v>0.53259999999999996</v>
      </c>
      <c r="I7038" t="s">
        <v>5096</v>
      </c>
      <c r="J7038" t="s">
        <v>14</v>
      </c>
      <c r="K7038" t="str">
        <f>"4F2"</f>
        <v>4F2</v>
      </c>
      <c r="L7038" t="s">
        <v>15</v>
      </c>
    </row>
    <row r="7039" spans="1:12" x14ac:dyDescent="0.25">
      <c r="A7039" t="str">
        <f>"5810091441"</f>
        <v>5810091441</v>
      </c>
      <c r="B7039" t="str">
        <f t="shared" si="329"/>
        <v>89301000</v>
      </c>
      <c r="C7039" s="1">
        <v>44365</v>
      </c>
      <c r="D7039" s="1">
        <v>44371</v>
      </c>
      <c r="E7039">
        <v>1</v>
      </c>
      <c r="F7039" t="s">
        <v>5097</v>
      </c>
      <c r="G7039" t="str">
        <f>"17-I08-02"</f>
        <v>17-I08-02</v>
      </c>
      <c r="H7039">
        <v>1.1428</v>
      </c>
      <c r="I7039" t="s">
        <v>2119</v>
      </c>
      <c r="J7039" t="s">
        <v>14</v>
      </c>
      <c r="K7039" t="str">
        <f>"1F1"</f>
        <v>1F1</v>
      </c>
      <c r="L7039" t="s">
        <v>15</v>
      </c>
    </row>
    <row r="7040" spans="1:12" x14ac:dyDescent="0.25">
      <c r="A7040" t="str">
        <f>"5810161379"</f>
        <v>5810161379</v>
      </c>
      <c r="B7040" t="str">
        <f t="shared" si="329"/>
        <v>89301000</v>
      </c>
      <c r="C7040" s="1">
        <v>44236</v>
      </c>
      <c r="D7040" s="1">
        <v>44256</v>
      </c>
      <c r="E7040">
        <v>1</v>
      </c>
      <c r="F7040" t="s">
        <v>217</v>
      </c>
      <c r="G7040" t="str">
        <f>"00-M01-04"</f>
        <v>00-M01-04</v>
      </c>
      <c r="H7040">
        <v>6.85</v>
      </c>
      <c r="I7040" t="s">
        <v>5098</v>
      </c>
      <c r="J7040" t="s">
        <v>14</v>
      </c>
      <c r="K7040" t="str">
        <f>"2F5"</f>
        <v>2F5</v>
      </c>
      <c r="L7040" t="s">
        <v>15</v>
      </c>
    </row>
    <row r="7041" spans="1:12" x14ac:dyDescent="0.25">
      <c r="A7041" t="str">
        <f>"5810181168"</f>
        <v>5810181168</v>
      </c>
      <c r="B7041" t="str">
        <f t="shared" si="329"/>
        <v>89301000</v>
      </c>
      <c r="C7041" s="1">
        <v>44214</v>
      </c>
      <c r="D7041" s="1">
        <v>44216</v>
      </c>
      <c r="E7041">
        <v>1</v>
      </c>
      <c r="F7041" t="s">
        <v>41</v>
      </c>
      <c r="G7041" t="str">
        <f>"01-D01-03"</f>
        <v>01-D01-03</v>
      </c>
      <c r="H7041">
        <v>0.158</v>
      </c>
      <c r="I7041" t="s">
        <v>5099</v>
      </c>
      <c r="J7041" t="s">
        <v>14</v>
      </c>
      <c r="K7041" t="str">
        <f>"2F5"</f>
        <v>2F5</v>
      </c>
      <c r="L7041" t="s">
        <v>15</v>
      </c>
    </row>
    <row r="7042" spans="1:12" x14ac:dyDescent="0.25">
      <c r="A7042" t="str">
        <f>"5810181751"</f>
        <v>5810181751</v>
      </c>
      <c r="B7042" t="str">
        <f t="shared" si="329"/>
        <v>89301000</v>
      </c>
      <c r="C7042" s="1">
        <v>44195</v>
      </c>
      <c r="D7042" s="1">
        <v>44197</v>
      </c>
      <c r="E7042">
        <v>1</v>
      </c>
      <c r="F7042" t="s">
        <v>38</v>
      </c>
      <c r="G7042" t="str">
        <f>"05-M06-06"</f>
        <v>05-M06-06</v>
      </c>
      <c r="H7042">
        <v>1.7652000000000001</v>
      </c>
      <c r="J7042" t="s">
        <v>17</v>
      </c>
      <c r="K7042" t="str">
        <f>"1F1"</f>
        <v>1F1</v>
      </c>
      <c r="L7042" t="s">
        <v>15</v>
      </c>
    </row>
    <row r="7043" spans="1:12" x14ac:dyDescent="0.25">
      <c r="A7043" t="str">
        <f>"5810201034"</f>
        <v>5810201034</v>
      </c>
      <c r="B7043" t="str">
        <f t="shared" si="329"/>
        <v>89301000</v>
      </c>
      <c r="C7043" s="1">
        <v>44480</v>
      </c>
      <c r="D7043" s="1">
        <v>44482</v>
      </c>
      <c r="E7043">
        <v>1</v>
      </c>
      <c r="F7043" t="s">
        <v>3371</v>
      </c>
      <c r="G7043" t="str">
        <f>"08-M03-05"</f>
        <v>08-M03-05</v>
      </c>
      <c r="H7043">
        <v>0.51759999999999995</v>
      </c>
      <c r="I7043" t="s">
        <v>244</v>
      </c>
      <c r="J7043" t="s">
        <v>14</v>
      </c>
      <c r="K7043" t="str">
        <f>"5F3"</f>
        <v>5F3</v>
      </c>
      <c r="L7043" t="s">
        <v>15</v>
      </c>
    </row>
    <row r="7044" spans="1:12" x14ac:dyDescent="0.25">
      <c r="A7044" t="str">
        <f>"5810201254"</f>
        <v>5810201254</v>
      </c>
      <c r="B7044" t="str">
        <f t="shared" si="329"/>
        <v>89301000</v>
      </c>
      <c r="C7044" s="1">
        <v>44368</v>
      </c>
      <c r="D7044" s="1">
        <v>44381</v>
      </c>
      <c r="E7044">
        <v>1</v>
      </c>
      <c r="F7044" t="s">
        <v>5100</v>
      </c>
      <c r="G7044" t="str">
        <f>"09-K04-02"</f>
        <v>09-K04-02</v>
      </c>
      <c r="H7044">
        <v>0.68279999999999996</v>
      </c>
      <c r="I7044" t="s">
        <v>1959</v>
      </c>
      <c r="J7044" t="s">
        <v>14</v>
      </c>
      <c r="K7044" t="str">
        <f>"4F4"</f>
        <v>4F4</v>
      </c>
      <c r="L7044" t="s">
        <v>15</v>
      </c>
    </row>
    <row r="7045" spans="1:12" x14ac:dyDescent="0.25">
      <c r="A7045" t="str">
        <f>"5810280872"</f>
        <v>5810280872</v>
      </c>
      <c r="B7045" t="str">
        <f t="shared" si="329"/>
        <v>89301000</v>
      </c>
      <c r="C7045" s="1">
        <v>44501</v>
      </c>
      <c r="D7045" s="1">
        <v>44509</v>
      </c>
      <c r="E7045">
        <v>5</v>
      </c>
      <c r="F7045" t="s">
        <v>5101</v>
      </c>
      <c r="G7045" t="str">
        <f>"00-M01-03"</f>
        <v>00-M01-03</v>
      </c>
      <c r="H7045">
        <v>10.0288</v>
      </c>
      <c r="I7045" t="s">
        <v>5102</v>
      </c>
      <c r="J7045" t="s">
        <v>14</v>
      </c>
      <c r="K7045" t="str">
        <f>"5T6"</f>
        <v>5T6</v>
      </c>
      <c r="L7045" t="s">
        <v>15</v>
      </c>
    </row>
    <row r="7046" spans="1:12" x14ac:dyDescent="0.25">
      <c r="A7046" t="str">
        <f>"5810311144"</f>
        <v>5810311144</v>
      </c>
      <c r="B7046" t="str">
        <f t="shared" si="329"/>
        <v>89301000</v>
      </c>
      <c r="C7046" s="1">
        <v>44281</v>
      </c>
      <c r="D7046" s="1">
        <v>44291</v>
      </c>
      <c r="E7046">
        <v>1</v>
      </c>
      <c r="F7046" t="s">
        <v>217</v>
      </c>
      <c r="G7046" t="str">
        <f>"04-K02-04"</f>
        <v>04-K02-04</v>
      </c>
      <c r="H7046">
        <v>0.82469999999999999</v>
      </c>
      <c r="I7046" t="s">
        <v>5103</v>
      </c>
      <c r="J7046" t="s">
        <v>14</v>
      </c>
      <c r="K7046" t="str">
        <f>"5F1"</f>
        <v>5F1</v>
      </c>
      <c r="L7046" t="s">
        <v>15</v>
      </c>
    </row>
    <row r="7047" spans="1:12" x14ac:dyDescent="0.25">
      <c r="A7047" t="str">
        <f>"5811091836"</f>
        <v>5811091836</v>
      </c>
      <c r="B7047" t="str">
        <f t="shared" si="329"/>
        <v>89301000</v>
      </c>
      <c r="C7047" s="1">
        <v>44486</v>
      </c>
      <c r="D7047" s="1">
        <v>44488</v>
      </c>
      <c r="E7047">
        <v>1</v>
      </c>
      <c r="F7047" t="s">
        <v>1716</v>
      </c>
      <c r="G7047" t="str">
        <f>"11-M05-02"</f>
        <v>11-M05-02</v>
      </c>
      <c r="H7047">
        <v>0.65690000000000004</v>
      </c>
      <c r="I7047" t="s">
        <v>5104</v>
      </c>
      <c r="J7047" t="s">
        <v>17</v>
      </c>
      <c r="K7047" t="str">
        <f>"7F6"</f>
        <v>7F6</v>
      </c>
      <c r="L7047" t="s">
        <v>15</v>
      </c>
    </row>
    <row r="7048" spans="1:12" x14ac:dyDescent="0.25">
      <c r="A7048" t="str">
        <f>"5811091836"</f>
        <v>5811091836</v>
      </c>
      <c r="B7048" t="str">
        <f t="shared" si="329"/>
        <v>89301000</v>
      </c>
      <c r="C7048" s="1">
        <v>44446</v>
      </c>
      <c r="D7048" s="1">
        <v>44448</v>
      </c>
      <c r="E7048">
        <v>1</v>
      </c>
      <c r="F7048" t="s">
        <v>1716</v>
      </c>
      <c r="G7048" t="str">
        <f>"11-M05-02"</f>
        <v>11-M05-02</v>
      </c>
      <c r="H7048">
        <v>0.65690000000000004</v>
      </c>
      <c r="I7048" t="s">
        <v>3099</v>
      </c>
      <c r="J7048" t="s">
        <v>17</v>
      </c>
      <c r="K7048" t="str">
        <f>"7F6"</f>
        <v>7F6</v>
      </c>
      <c r="L7048" t="s">
        <v>15</v>
      </c>
    </row>
    <row r="7049" spans="1:12" x14ac:dyDescent="0.25">
      <c r="A7049" t="str">
        <f>"5811121899"</f>
        <v>5811121899</v>
      </c>
      <c r="B7049" t="str">
        <f t="shared" si="329"/>
        <v>89301000</v>
      </c>
      <c r="C7049" s="1">
        <v>44523</v>
      </c>
      <c r="D7049" s="1">
        <v>44526</v>
      </c>
      <c r="E7049">
        <v>1</v>
      </c>
      <c r="F7049" t="s">
        <v>41</v>
      </c>
      <c r="G7049" t="str">
        <f>"01-D01-03"</f>
        <v>01-D01-03</v>
      </c>
      <c r="H7049">
        <v>0.2054</v>
      </c>
      <c r="I7049" t="s">
        <v>5105</v>
      </c>
      <c r="J7049" t="s">
        <v>14</v>
      </c>
      <c r="K7049" t="str">
        <f>"2F5"</f>
        <v>2F5</v>
      </c>
      <c r="L7049" t="s">
        <v>15</v>
      </c>
    </row>
    <row r="7050" spans="1:12" x14ac:dyDescent="0.25">
      <c r="A7050" t="str">
        <f>"5811261775"</f>
        <v>5811261775</v>
      </c>
      <c r="B7050" t="str">
        <f t="shared" si="329"/>
        <v>89301000</v>
      </c>
      <c r="C7050" s="1">
        <v>44417</v>
      </c>
      <c r="D7050" s="1">
        <v>44428</v>
      </c>
      <c r="E7050">
        <v>1</v>
      </c>
      <c r="F7050" t="s">
        <v>1188</v>
      </c>
      <c r="G7050" t="str">
        <f>"09-I11-02"</f>
        <v>09-I11-02</v>
      </c>
      <c r="H7050">
        <v>0.98229999999999995</v>
      </c>
      <c r="I7050" t="s">
        <v>5106</v>
      </c>
      <c r="J7050" t="s">
        <v>14</v>
      </c>
      <c r="K7050" t="str">
        <f>"1F1"</f>
        <v>1F1</v>
      </c>
      <c r="L7050" t="s">
        <v>15</v>
      </c>
    </row>
    <row r="7051" spans="1:12" x14ac:dyDescent="0.25">
      <c r="A7051" t="str">
        <f>"5811261775"</f>
        <v>5811261775</v>
      </c>
      <c r="B7051" t="str">
        <f t="shared" si="329"/>
        <v>89301000</v>
      </c>
      <c r="C7051" s="1">
        <v>44355</v>
      </c>
      <c r="D7051" s="1">
        <v>44384</v>
      </c>
      <c r="E7051">
        <v>4</v>
      </c>
      <c r="F7051" t="s">
        <v>2270</v>
      </c>
      <c r="G7051" t="str">
        <f>"09-I05-02"</f>
        <v>09-I05-02</v>
      </c>
      <c r="H7051">
        <v>2.3502000000000001</v>
      </c>
      <c r="I7051" t="s">
        <v>5107</v>
      </c>
      <c r="J7051" t="s">
        <v>14</v>
      </c>
      <c r="K7051" t="str">
        <f>"1F1"</f>
        <v>1F1</v>
      </c>
      <c r="L7051" t="s">
        <v>15</v>
      </c>
    </row>
    <row r="7052" spans="1:12" x14ac:dyDescent="0.25">
      <c r="A7052" t="str">
        <f>"5811280090"</f>
        <v>5811280090</v>
      </c>
      <c r="B7052" t="str">
        <f t="shared" si="329"/>
        <v>89301000</v>
      </c>
      <c r="C7052" s="1">
        <v>44194</v>
      </c>
      <c r="D7052" s="1">
        <v>44197</v>
      </c>
      <c r="E7052">
        <v>1</v>
      </c>
      <c r="F7052" t="s">
        <v>3568</v>
      </c>
      <c r="G7052" t="str">
        <f>"08-I03-08"</f>
        <v>08-I03-08</v>
      </c>
      <c r="H7052">
        <v>2.0605000000000002</v>
      </c>
      <c r="I7052" t="s">
        <v>5108</v>
      </c>
      <c r="J7052" t="s">
        <v>17</v>
      </c>
      <c r="K7052" t="str">
        <f>"5F6"</f>
        <v>5F6</v>
      </c>
      <c r="L7052" t="s">
        <v>15</v>
      </c>
    </row>
    <row r="7053" spans="1:12" x14ac:dyDescent="0.25">
      <c r="A7053" t="str">
        <f>"5812071089"</f>
        <v>5812071089</v>
      </c>
      <c r="B7053" t="str">
        <f t="shared" si="329"/>
        <v>89301000</v>
      </c>
      <c r="C7053" s="1">
        <v>44403</v>
      </c>
      <c r="D7053" s="1">
        <v>44404</v>
      </c>
      <c r="E7053">
        <v>1</v>
      </c>
      <c r="F7053" t="s">
        <v>2805</v>
      </c>
      <c r="G7053" t="str">
        <f>"02-K11-02"</f>
        <v>02-K11-02</v>
      </c>
      <c r="H7053">
        <v>0.52180000000000004</v>
      </c>
      <c r="I7053" t="s">
        <v>5109</v>
      </c>
      <c r="J7053" t="s">
        <v>14</v>
      </c>
      <c r="K7053" t="str">
        <f>"1F1"</f>
        <v>1F1</v>
      </c>
      <c r="L7053" t="s">
        <v>15</v>
      </c>
    </row>
    <row r="7054" spans="1:12" x14ac:dyDescent="0.25">
      <c r="A7054" t="str">
        <f>"5812071089"</f>
        <v>5812071089</v>
      </c>
      <c r="B7054" t="str">
        <f t="shared" si="329"/>
        <v>89301000</v>
      </c>
      <c r="C7054" s="1">
        <v>44369</v>
      </c>
      <c r="D7054" s="1">
        <v>44370</v>
      </c>
      <c r="E7054">
        <v>1</v>
      </c>
      <c r="F7054" t="s">
        <v>2805</v>
      </c>
      <c r="G7054" t="str">
        <f>"02-K11-02"</f>
        <v>02-K11-02</v>
      </c>
      <c r="H7054">
        <v>0.52180000000000004</v>
      </c>
      <c r="I7054" t="s">
        <v>489</v>
      </c>
      <c r="J7054" t="s">
        <v>14</v>
      </c>
      <c r="K7054" t="str">
        <f>"1F1"</f>
        <v>1F1</v>
      </c>
      <c r="L7054" t="s">
        <v>15</v>
      </c>
    </row>
    <row r="7055" spans="1:12" x14ac:dyDescent="0.25">
      <c r="A7055" t="str">
        <f>"5812071089"</f>
        <v>5812071089</v>
      </c>
      <c r="B7055" t="str">
        <f t="shared" si="329"/>
        <v>89301000</v>
      </c>
      <c r="C7055" s="1">
        <v>44389</v>
      </c>
      <c r="D7055" s="1">
        <v>44390</v>
      </c>
      <c r="E7055">
        <v>1</v>
      </c>
      <c r="F7055" t="s">
        <v>2805</v>
      </c>
      <c r="G7055" t="str">
        <f>"02-K11-02"</f>
        <v>02-K11-02</v>
      </c>
      <c r="H7055">
        <v>0.52180000000000004</v>
      </c>
      <c r="I7055" t="s">
        <v>5110</v>
      </c>
      <c r="J7055" t="s">
        <v>14</v>
      </c>
      <c r="K7055" t="str">
        <f>"1F1"</f>
        <v>1F1</v>
      </c>
      <c r="L7055" t="s">
        <v>15</v>
      </c>
    </row>
    <row r="7056" spans="1:12" x14ac:dyDescent="0.25">
      <c r="A7056" t="str">
        <f>"5812160970"</f>
        <v>5812160970</v>
      </c>
      <c r="B7056" t="str">
        <f t="shared" si="329"/>
        <v>89301000</v>
      </c>
      <c r="C7056" s="1">
        <v>44413</v>
      </c>
      <c r="D7056" s="1">
        <v>44414</v>
      </c>
      <c r="E7056">
        <v>1</v>
      </c>
      <c r="F7056" t="s">
        <v>41</v>
      </c>
      <c r="G7056" t="str">
        <f>"01-D01-03"</f>
        <v>01-D01-03</v>
      </c>
      <c r="H7056">
        <v>0.158</v>
      </c>
      <c r="I7056" t="s">
        <v>489</v>
      </c>
      <c r="J7056" t="s">
        <v>14</v>
      </c>
      <c r="K7056" t="str">
        <f>"2F5"</f>
        <v>2F5</v>
      </c>
      <c r="L7056" t="s">
        <v>15</v>
      </c>
    </row>
    <row r="7057" spans="1:12" x14ac:dyDescent="0.25">
      <c r="A7057" t="str">
        <f>"5812160970"</f>
        <v>5812160970</v>
      </c>
      <c r="B7057" t="str">
        <f t="shared" si="329"/>
        <v>89301000</v>
      </c>
      <c r="C7057" s="1">
        <v>44348</v>
      </c>
      <c r="D7057" s="1">
        <v>44349</v>
      </c>
      <c r="E7057">
        <v>1</v>
      </c>
      <c r="F7057" t="s">
        <v>41</v>
      </c>
      <c r="G7057" t="str">
        <f>"01-D01-03"</f>
        <v>01-D01-03</v>
      </c>
      <c r="H7057">
        <v>0.158</v>
      </c>
      <c r="I7057" t="s">
        <v>489</v>
      </c>
      <c r="J7057" t="s">
        <v>14</v>
      </c>
      <c r="K7057" t="str">
        <f>"2F5"</f>
        <v>2F5</v>
      </c>
      <c r="L7057" t="s">
        <v>15</v>
      </c>
    </row>
    <row r="7058" spans="1:12" x14ac:dyDescent="0.25">
      <c r="A7058" t="str">
        <f>"5812210129"</f>
        <v>5812210129</v>
      </c>
      <c r="B7058" t="str">
        <f t="shared" si="329"/>
        <v>89301000</v>
      </c>
      <c r="C7058" s="1">
        <v>44384</v>
      </c>
      <c r="D7058" s="1">
        <v>44392</v>
      </c>
      <c r="E7058">
        <v>1</v>
      </c>
      <c r="F7058" t="s">
        <v>998</v>
      </c>
      <c r="G7058" t="str">
        <f>"18-K01-07"</f>
        <v>18-K01-07</v>
      </c>
      <c r="H7058">
        <v>1.0324</v>
      </c>
      <c r="I7058" t="s">
        <v>5111</v>
      </c>
      <c r="J7058" t="s">
        <v>14</v>
      </c>
      <c r="K7058" t="str">
        <f>"1F1"</f>
        <v>1F1</v>
      </c>
      <c r="L7058" t="s">
        <v>15</v>
      </c>
    </row>
    <row r="7059" spans="1:12" x14ac:dyDescent="0.25">
      <c r="A7059" t="str">
        <f>"5812230116"</f>
        <v>5812230116</v>
      </c>
      <c r="B7059" t="str">
        <f t="shared" si="329"/>
        <v>89301000</v>
      </c>
      <c r="C7059" s="1">
        <v>44293</v>
      </c>
      <c r="D7059" s="1">
        <v>44307</v>
      </c>
      <c r="E7059">
        <v>1</v>
      </c>
      <c r="F7059" t="s">
        <v>2146</v>
      </c>
      <c r="G7059" t="str">
        <f>"06-I07-05"</f>
        <v>06-I07-05</v>
      </c>
      <c r="H7059">
        <v>2.8466999999999998</v>
      </c>
      <c r="I7059" t="s">
        <v>5112</v>
      </c>
      <c r="J7059" t="s">
        <v>17</v>
      </c>
      <c r="K7059" t="str">
        <f>"5F1"</f>
        <v>5F1</v>
      </c>
      <c r="L7059" t="s">
        <v>15</v>
      </c>
    </row>
    <row r="7060" spans="1:12" x14ac:dyDescent="0.25">
      <c r="A7060" t="str">
        <f>"5851040745"</f>
        <v>5851040745</v>
      </c>
      <c r="B7060" t="str">
        <f t="shared" si="329"/>
        <v>89301000</v>
      </c>
      <c r="C7060" s="1">
        <v>44203</v>
      </c>
      <c r="D7060" s="1">
        <v>44218</v>
      </c>
      <c r="E7060">
        <v>1</v>
      </c>
      <c r="F7060" t="s">
        <v>5113</v>
      </c>
      <c r="G7060" t="str">
        <f>"17-I01-00"</f>
        <v>17-I01-00</v>
      </c>
      <c r="H7060">
        <v>5.8457999999999997</v>
      </c>
      <c r="I7060" t="s">
        <v>5114</v>
      </c>
      <c r="J7060" t="s">
        <v>17</v>
      </c>
      <c r="K7060" t="str">
        <f>"5F1"</f>
        <v>5F1</v>
      </c>
      <c r="L7060" t="s">
        <v>15</v>
      </c>
    </row>
    <row r="7061" spans="1:12" x14ac:dyDescent="0.25">
      <c r="A7061" t="str">
        <f>"5851040778"</f>
        <v>5851040778</v>
      </c>
      <c r="B7061" t="str">
        <f t="shared" si="329"/>
        <v>89301000</v>
      </c>
      <c r="C7061" s="1">
        <v>44480</v>
      </c>
      <c r="D7061" s="1">
        <v>44483</v>
      </c>
      <c r="E7061">
        <v>1</v>
      </c>
      <c r="F7061" t="s">
        <v>1805</v>
      </c>
      <c r="G7061" t="str">
        <f>"13-I19-00"</f>
        <v>13-I19-00</v>
      </c>
      <c r="H7061">
        <v>0.32079999999999997</v>
      </c>
      <c r="I7061" t="s">
        <v>5115</v>
      </c>
      <c r="J7061" t="s">
        <v>14</v>
      </c>
      <c r="K7061" t="str">
        <f>"6F3"</f>
        <v>6F3</v>
      </c>
      <c r="L7061" t="s">
        <v>15</v>
      </c>
    </row>
    <row r="7062" spans="1:12" x14ac:dyDescent="0.25">
      <c r="A7062" t="str">
        <f>"5851040778"</f>
        <v>5851040778</v>
      </c>
      <c r="B7062" t="str">
        <f t="shared" si="329"/>
        <v>89301000</v>
      </c>
      <c r="C7062" s="1">
        <v>44407</v>
      </c>
      <c r="D7062" s="1">
        <v>44411</v>
      </c>
      <c r="E7062">
        <v>1</v>
      </c>
      <c r="F7062" t="s">
        <v>2004</v>
      </c>
      <c r="G7062" t="str">
        <f>"05-M06-06"</f>
        <v>05-M06-06</v>
      </c>
      <c r="H7062">
        <v>1.7652000000000001</v>
      </c>
      <c r="J7062" t="s">
        <v>17</v>
      </c>
      <c r="K7062" t="str">
        <f>"1F1"</f>
        <v>1F1</v>
      </c>
      <c r="L7062" t="s">
        <v>15</v>
      </c>
    </row>
    <row r="7063" spans="1:12" x14ac:dyDescent="0.25">
      <c r="A7063" t="str">
        <f>"5851040778"</f>
        <v>5851040778</v>
      </c>
      <c r="B7063" t="str">
        <f t="shared" si="329"/>
        <v>89301000</v>
      </c>
      <c r="C7063" s="1">
        <v>44530</v>
      </c>
      <c r="D7063" s="1">
        <v>44530</v>
      </c>
      <c r="E7063">
        <v>1</v>
      </c>
      <c r="F7063" t="s">
        <v>1557</v>
      </c>
      <c r="G7063" t="str">
        <f>"05-M06-07"</f>
        <v>05-M06-07</v>
      </c>
      <c r="H7063">
        <v>1.5166999999999999</v>
      </c>
      <c r="J7063" t="s">
        <v>17</v>
      </c>
      <c r="K7063" t="str">
        <f>"1F1"</f>
        <v>1F1</v>
      </c>
      <c r="L7063" t="s">
        <v>15</v>
      </c>
    </row>
    <row r="7064" spans="1:12" x14ac:dyDescent="0.25">
      <c r="A7064" t="str">
        <f>"5851051393"</f>
        <v>5851051393</v>
      </c>
      <c r="B7064" t="str">
        <f t="shared" si="329"/>
        <v>89301000</v>
      </c>
      <c r="C7064" s="1">
        <v>44236</v>
      </c>
      <c r="D7064" s="1">
        <v>44242</v>
      </c>
      <c r="E7064">
        <v>1</v>
      </c>
      <c r="F7064" t="s">
        <v>67</v>
      </c>
      <c r="G7064" t="str">
        <f>"01-C02-02"</f>
        <v>01-C02-02</v>
      </c>
      <c r="H7064">
        <v>1.4877</v>
      </c>
      <c r="I7064" t="s">
        <v>5116</v>
      </c>
      <c r="J7064" t="s">
        <v>14</v>
      </c>
      <c r="K7064" t="str">
        <f>"2F9"</f>
        <v>2F9</v>
      </c>
      <c r="L7064" t="s">
        <v>15</v>
      </c>
    </row>
    <row r="7065" spans="1:12" x14ac:dyDescent="0.25">
      <c r="A7065" t="str">
        <f>"5851101982"</f>
        <v>5851101982</v>
      </c>
      <c r="B7065" t="str">
        <f t="shared" si="329"/>
        <v>89301000</v>
      </c>
      <c r="C7065" s="1">
        <v>44316</v>
      </c>
      <c r="D7065" s="1">
        <v>44320</v>
      </c>
      <c r="E7065">
        <v>1</v>
      </c>
      <c r="F7065" t="s">
        <v>2026</v>
      </c>
      <c r="G7065" t="str">
        <f>"08-K08-00"</f>
        <v>08-K08-00</v>
      </c>
      <c r="H7065">
        <v>0.51670000000000005</v>
      </c>
      <c r="I7065" t="s">
        <v>5117</v>
      </c>
      <c r="J7065" t="s">
        <v>14</v>
      </c>
      <c r="K7065" t="str">
        <f>"2F9"</f>
        <v>2F9</v>
      </c>
      <c r="L7065" t="s">
        <v>15</v>
      </c>
    </row>
    <row r="7066" spans="1:12" x14ac:dyDescent="0.25">
      <c r="A7066" t="str">
        <f>"5851140372"</f>
        <v>5851140372</v>
      </c>
      <c r="B7066" t="str">
        <f t="shared" si="329"/>
        <v>89301000</v>
      </c>
      <c r="C7066" s="1">
        <v>44203</v>
      </c>
      <c r="D7066" s="1">
        <v>44209</v>
      </c>
      <c r="E7066">
        <v>1</v>
      </c>
      <c r="F7066" t="s">
        <v>16</v>
      </c>
      <c r="G7066" t="str">
        <f>"08-I04-02"</f>
        <v>08-I04-02</v>
      </c>
      <c r="H7066">
        <v>1.6718999999999999</v>
      </c>
      <c r="I7066" t="s">
        <v>5118</v>
      </c>
      <c r="J7066" t="s">
        <v>17</v>
      </c>
      <c r="K7066" t="str">
        <f>"5F6"</f>
        <v>5F6</v>
      </c>
      <c r="L7066" t="s">
        <v>15</v>
      </c>
    </row>
    <row r="7067" spans="1:12" x14ac:dyDescent="0.25">
      <c r="A7067" t="str">
        <f>"5851140372"</f>
        <v>5851140372</v>
      </c>
      <c r="B7067" t="str">
        <f t="shared" si="329"/>
        <v>89301000</v>
      </c>
      <c r="C7067" s="1">
        <v>44522</v>
      </c>
      <c r="D7067" s="1">
        <v>44522</v>
      </c>
      <c r="E7067">
        <v>1</v>
      </c>
      <c r="F7067" t="s">
        <v>1814</v>
      </c>
      <c r="G7067" t="str">
        <f>"05-D01-08"</f>
        <v>05-D01-08</v>
      </c>
      <c r="H7067">
        <v>0.52090000000000003</v>
      </c>
      <c r="J7067" t="s">
        <v>14</v>
      </c>
      <c r="K7067" t="str">
        <f>"1F1"</f>
        <v>1F1</v>
      </c>
      <c r="L7067" t="s">
        <v>15</v>
      </c>
    </row>
    <row r="7068" spans="1:12" x14ac:dyDescent="0.25">
      <c r="A7068" t="str">
        <f>"5852020207"</f>
        <v>5852020207</v>
      </c>
      <c r="B7068" t="str">
        <f t="shared" si="329"/>
        <v>89301000</v>
      </c>
      <c r="C7068" s="1">
        <v>44300</v>
      </c>
      <c r="D7068" s="1">
        <v>44302</v>
      </c>
      <c r="E7068">
        <v>1</v>
      </c>
      <c r="F7068" t="s">
        <v>870</v>
      </c>
      <c r="G7068" t="str">
        <f>"01-K03-08"</f>
        <v>01-K03-08</v>
      </c>
      <c r="H7068">
        <v>0.34789999999999999</v>
      </c>
      <c r="J7068" t="s">
        <v>14</v>
      </c>
      <c r="K7068" t="str">
        <f>"2F9"</f>
        <v>2F9</v>
      </c>
      <c r="L7068" t="s">
        <v>15</v>
      </c>
    </row>
    <row r="7069" spans="1:12" x14ac:dyDescent="0.25">
      <c r="A7069" t="str">
        <f>"5852050952"</f>
        <v>5852050952</v>
      </c>
      <c r="B7069" t="str">
        <f t="shared" si="329"/>
        <v>89301000</v>
      </c>
      <c r="C7069" s="1">
        <v>44340</v>
      </c>
      <c r="D7069" s="1">
        <v>44342</v>
      </c>
      <c r="E7069">
        <v>1</v>
      </c>
      <c r="F7069" t="s">
        <v>1631</v>
      </c>
      <c r="G7069" t="str">
        <f>"17-K02-02"</f>
        <v>17-K02-02</v>
      </c>
      <c r="H7069">
        <v>0.71860000000000002</v>
      </c>
      <c r="I7069" t="s">
        <v>2945</v>
      </c>
      <c r="J7069" t="s">
        <v>14</v>
      </c>
      <c r="K7069" t="str">
        <f>"2F2"</f>
        <v>2F2</v>
      </c>
      <c r="L7069" t="s">
        <v>15</v>
      </c>
    </row>
    <row r="7070" spans="1:12" x14ac:dyDescent="0.25">
      <c r="A7070" t="str">
        <f>"5852130548"</f>
        <v>5852130548</v>
      </c>
      <c r="B7070" t="str">
        <f t="shared" si="329"/>
        <v>89301000</v>
      </c>
      <c r="C7070" s="1">
        <v>44535</v>
      </c>
      <c r="D7070" s="1">
        <v>44540</v>
      </c>
      <c r="E7070">
        <v>7</v>
      </c>
      <c r="F7070" t="s">
        <v>217</v>
      </c>
      <c r="G7070" t="str">
        <f>"04-K02-03"</f>
        <v>04-K02-03</v>
      </c>
      <c r="H7070">
        <v>1.2859</v>
      </c>
      <c r="I7070" t="s">
        <v>5119</v>
      </c>
      <c r="J7070" t="s">
        <v>14</v>
      </c>
      <c r="K7070" t="str">
        <f>"5F1"</f>
        <v>5F1</v>
      </c>
      <c r="L7070" t="s">
        <v>15</v>
      </c>
    </row>
    <row r="7071" spans="1:12" x14ac:dyDescent="0.25">
      <c r="A7071" t="str">
        <f>"5852130548"</f>
        <v>5852130548</v>
      </c>
      <c r="B7071" t="str">
        <f t="shared" si="329"/>
        <v>89301000</v>
      </c>
      <c r="C7071" s="1">
        <v>44417</v>
      </c>
      <c r="D7071" s="1">
        <v>44431</v>
      </c>
      <c r="E7071">
        <v>5</v>
      </c>
      <c r="F7071" t="s">
        <v>1096</v>
      </c>
      <c r="G7071" t="str">
        <f>"04-K02-04"</f>
        <v>04-K02-04</v>
      </c>
      <c r="H7071">
        <v>0.82469999999999999</v>
      </c>
      <c r="I7071" t="s">
        <v>2623</v>
      </c>
      <c r="J7071" t="s">
        <v>14</v>
      </c>
      <c r="K7071" t="str">
        <f>"1F1"</f>
        <v>1F1</v>
      </c>
      <c r="L7071" t="s">
        <v>15</v>
      </c>
    </row>
    <row r="7072" spans="1:12" x14ac:dyDescent="0.25">
      <c r="A7072" t="str">
        <f>"5852130548"</f>
        <v>5852130548</v>
      </c>
      <c r="B7072" t="str">
        <f t="shared" si="329"/>
        <v>89301000</v>
      </c>
      <c r="C7072" s="1">
        <v>44177</v>
      </c>
      <c r="D7072" s="1">
        <v>44201</v>
      </c>
      <c r="E7072">
        <v>5</v>
      </c>
      <c r="F7072" t="s">
        <v>107</v>
      </c>
      <c r="G7072" t="str">
        <f>"00-M02-04"</f>
        <v>00-M02-04</v>
      </c>
      <c r="H7072">
        <v>12.071199999999999</v>
      </c>
      <c r="I7072" t="s">
        <v>5120</v>
      </c>
      <c r="J7072" t="s">
        <v>14</v>
      </c>
      <c r="K7072" t="str">
        <f>"5T1"</f>
        <v>5T1</v>
      </c>
      <c r="L7072" t="s">
        <v>15</v>
      </c>
    </row>
    <row r="7073" spans="1:12" x14ac:dyDescent="0.25">
      <c r="A7073" t="str">
        <f>"5852141196"</f>
        <v>5852141196</v>
      </c>
      <c r="B7073" t="str">
        <f t="shared" si="329"/>
        <v>89301000</v>
      </c>
      <c r="C7073" s="1">
        <v>44515</v>
      </c>
      <c r="D7073" s="1">
        <v>44519</v>
      </c>
      <c r="E7073">
        <v>1</v>
      </c>
      <c r="F7073" t="s">
        <v>1980</v>
      </c>
      <c r="G7073" t="str">
        <f>"06-K22-03"</f>
        <v>06-K22-03</v>
      </c>
      <c r="H7073">
        <v>0.3165</v>
      </c>
      <c r="J7073" t="s">
        <v>14</v>
      </c>
      <c r="K7073" t="str">
        <f>"5F1"</f>
        <v>5F1</v>
      </c>
      <c r="L7073" t="s">
        <v>15</v>
      </c>
    </row>
    <row r="7074" spans="1:12" x14ac:dyDescent="0.25">
      <c r="A7074" t="str">
        <f>"5852141196"</f>
        <v>5852141196</v>
      </c>
      <c r="B7074" t="str">
        <f t="shared" si="329"/>
        <v>89301000</v>
      </c>
      <c r="C7074" s="1">
        <v>44490</v>
      </c>
      <c r="D7074" s="1">
        <v>44494</v>
      </c>
      <c r="E7074">
        <v>1</v>
      </c>
      <c r="F7074" t="s">
        <v>1980</v>
      </c>
      <c r="G7074" t="str">
        <f>"06-K22-03"</f>
        <v>06-K22-03</v>
      </c>
      <c r="H7074">
        <v>0.3165</v>
      </c>
      <c r="J7074" t="s">
        <v>14</v>
      </c>
      <c r="K7074" t="str">
        <f>"5F1"</f>
        <v>5F1</v>
      </c>
      <c r="L7074" t="s">
        <v>15</v>
      </c>
    </row>
    <row r="7075" spans="1:12" x14ac:dyDescent="0.25">
      <c r="A7075" t="str">
        <f>"5852141229"</f>
        <v>5852141229</v>
      </c>
      <c r="B7075" t="str">
        <f t="shared" si="329"/>
        <v>89301000</v>
      </c>
      <c r="C7075" s="1">
        <v>44510</v>
      </c>
      <c r="D7075" s="1">
        <v>44520</v>
      </c>
      <c r="E7075">
        <v>1</v>
      </c>
      <c r="F7075" t="s">
        <v>217</v>
      </c>
      <c r="G7075" t="str">
        <f>"04-K02-03"</f>
        <v>04-K02-03</v>
      </c>
      <c r="H7075">
        <v>1.2859</v>
      </c>
      <c r="I7075" t="s">
        <v>5121</v>
      </c>
      <c r="J7075" t="s">
        <v>14</v>
      </c>
      <c r="K7075" t="str">
        <f>"1F6"</f>
        <v>1F6</v>
      </c>
      <c r="L7075" t="s">
        <v>15</v>
      </c>
    </row>
    <row r="7076" spans="1:12" x14ac:dyDescent="0.25">
      <c r="A7076" t="str">
        <f>"5852150964"</f>
        <v>5852150964</v>
      </c>
      <c r="B7076" t="str">
        <f t="shared" si="329"/>
        <v>89301000</v>
      </c>
      <c r="C7076" s="1">
        <v>44549</v>
      </c>
      <c r="D7076" s="1">
        <v>44553</v>
      </c>
      <c r="E7076">
        <v>1</v>
      </c>
      <c r="F7076" t="s">
        <v>2550</v>
      </c>
      <c r="G7076" t="str">
        <f>"10-K04-02"</f>
        <v>10-K04-02</v>
      </c>
      <c r="H7076">
        <v>1.0504</v>
      </c>
      <c r="I7076" t="s">
        <v>5122</v>
      </c>
      <c r="J7076" t="s">
        <v>14</v>
      </c>
      <c r="K7076" t="str">
        <f>"1F1"</f>
        <v>1F1</v>
      </c>
      <c r="L7076" t="s">
        <v>15</v>
      </c>
    </row>
    <row r="7077" spans="1:12" x14ac:dyDescent="0.25">
      <c r="A7077" t="str">
        <f>"5852150964"</f>
        <v>5852150964</v>
      </c>
      <c r="B7077" t="str">
        <f t="shared" si="329"/>
        <v>89301000</v>
      </c>
      <c r="C7077" s="1">
        <v>44427</v>
      </c>
      <c r="D7077" s="1">
        <v>44431</v>
      </c>
      <c r="E7077">
        <v>1</v>
      </c>
      <c r="F7077" t="s">
        <v>2550</v>
      </c>
      <c r="G7077" t="str">
        <f>"10-K04-04"</f>
        <v>10-K04-04</v>
      </c>
      <c r="H7077">
        <v>0.56330000000000002</v>
      </c>
      <c r="I7077" t="s">
        <v>5123</v>
      </c>
      <c r="J7077" t="s">
        <v>14</v>
      </c>
      <c r="K7077" t="str">
        <f>"1F1"</f>
        <v>1F1</v>
      </c>
      <c r="L7077" t="s">
        <v>15</v>
      </c>
    </row>
    <row r="7078" spans="1:12" x14ac:dyDescent="0.25">
      <c r="A7078" t="str">
        <f>"5852160424"</f>
        <v>5852160424</v>
      </c>
      <c r="B7078" t="str">
        <f t="shared" si="329"/>
        <v>89301000</v>
      </c>
      <c r="C7078" s="1">
        <v>44256</v>
      </c>
      <c r="D7078" s="1">
        <v>44267</v>
      </c>
      <c r="E7078">
        <v>1</v>
      </c>
      <c r="F7078" t="s">
        <v>109</v>
      </c>
      <c r="G7078" t="str">
        <f>"24-M06-02"</f>
        <v>24-M06-02</v>
      </c>
      <c r="H7078">
        <v>1.0233000000000001</v>
      </c>
      <c r="I7078" t="s">
        <v>5124</v>
      </c>
      <c r="J7078" t="s">
        <v>14</v>
      </c>
      <c r="K7078" t="str">
        <f>"2F1"</f>
        <v>2F1</v>
      </c>
      <c r="L7078" t="s">
        <v>15</v>
      </c>
    </row>
    <row r="7079" spans="1:12" x14ac:dyDescent="0.25">
      <c r="A7079" t="str">
        <f>"5852160424"</f>
        <v>5852160424</v>
      </c>
      <c r="B7079" t="str">
        <f t="shared" si="329"/>
        <v>89301000</v>
      </c>
      <c r="C7079" s="1">
        <v>44250</v>
      </c>
      <c r="D7079" s="1">
        <v>44256</v>
      </c>
      <c r="E7079">
        <v>3</v>
      </c>
      <c r="F7079" t="s">
        <v>2407</v>
      </c>
      <c r="G7079" t="str">
        <f>"08-I06-04"</f>
        <v>08-I06-04</v>
      </c>
      <c r="H7079">
        <v>2.4260000000000002</v>
      </c>
      <c r="I7079" t="s">
        <v>1969</v>
      </c>
      <c r="J7079" t="s">
        <v>24</v>
      </c>
      <c r="K7079" t="str">
        <f>"6F6"</f>
        <v>6F6</v>
      </c>
      <c r="L7079" t="s">
        <v>15</v>
      </c>
    </row>
    <row r="7080" spans="1:12" x14ac:dyDescent="0.25">
      <c r="A7080" t="str">
        <f>"5852180169"</f>
        <v>5852180169</v>
      </c>
      <c r="B7080" t="str">
        <f t="shared" si="329"/>
        <v>89301000</v>
      </c>
      <c r="C7080" s="1">
        <v>44244</v>
      </c>
      <c r="D7080" s="1">
        <v>44249</v>
      </c>
      <c r="E7080">
        <v>4</v>
      </c>
      <c r="F7080" t="s">
        <v>3330</v>
      </c>
      <c r="G7080" t="str">
        <f>"08-I23-02"</f>
        <v>08-I23-02</v>
      </c>
      <c r="H7080">
        <v>1.2346999999999999</v>
      </c>
      <c r="I7080" t="s">
        <v>318</v>
      </c>
      <c r="J7080" t="s">
        <v>17</v>
      </c>
      <c r="K7080" t="str">
        <f>"6F6"</f>
        <v>6F6</v>
      </c>
      <c r="L7080" t="s">
        <v>15</v>
      </c>
    </row>
    <row r="7081" spans="1:12" x14ac:dyDescent="0.25">
      <c r="A7081" t="str">
        <f>"5852180169"</f>
        <v>5852180169</v>
      </c>
      <c r="B7081" t="str">
        <f t="shared" si="329"/>
        <v>89301000</v>
      </c>
      <c r="C7081" s="1">
        <v>44500</v>
      </c>
      <c r="D7081" s="1">
        <v>44504</v>
      </c>
      <c r="E7081">
        <v>1</v>
      </c>
      <c r="F7081" t="s">
        <v>3462</v>
      </c>
      <c r="G7081" t="str">
        <f>"06-I17-02"</f>
        <v>06-I17-02</v>
      </c>
      <c r="H7081">
        <v>0.97919999999999996</v>
      </c>
      <c r="I7081" t="s">
        <v>5125</v>
      </c>
      <c r="J7081" t="s">
        <v>17</v>
      </c>
      <c r="K7081" t="str">
        <f>"5F1"</f>
        <v>5F1</v>
      </c>
      <c r="L7081" t="s">
        <v>15</v>
      </c>
    </row>
    <row r="7082" spans="1:12" x14ac:dyDescent="0.25">
      <c r="A7082" t="str">
        <f>"5852221254"</f>
        <v>5852221254</v>
      </c>
      <c r="B7082" t="str">
        <f t="shared" si="329"/>
        <v>89301000</v>
      </c>
      <c r="C7082" s="1">
        <v>44267</v>
      </c>
      <c r="D7082" s="1">
        <v>44268</v>
      </c>
      <c r="E7082">
        <v>1</v>
      </c>
      <c r="F7082" t="s">
        <v>5126</v>
      </c>
      <c r="G7082" t="str">
        <f>"13-I19-00"</f>
        <v>13-I19-00</v>
      </c>
      <c r="H7082">
        <v>0.24679999999999999</v>
      </c>
      <c r="J7082" t="s">
        <v>14</v>
      </c>
      <c r="K7082" t="str">
        <f>"6F3"</f>
        <v>6F3</v>
      </c>
      <c r="L7082" t="s">
        <v>15</v>
      </c>
    </row>
    <row r="7083" spans="1:12" x14ac:dyDescent="0.25">
      <c r="A7083" t="str">
        <f>"5852271359"</f>
        <v>5852271359</v>
      </c>
      <c r="B7083" t="str">
        <f t="shared" si="329"/>
        <v>89301000</v>
      </c>
      <c r="C7083" s="1">
        <v>44507</v>
      </c>
      <c r="D7083" s="1">
        <v>44518</v>
      </c>
      <c r="E7083">
        <v>1</v>
      </c>
      <c r="F7083" t="s">
        <v>4682</v>
      </c>
      <c r="G7083" t="str">
        <f>"07-I03-01"</f>
        <v>07-I03-01</v>
      </c>
      <c r="H7083">
        <v>4.6047000000000002</v>
      </c>
      <c r="I7083" t="s">
        <v>5127</v>
      </c>
      <c r="J7083" t="s">
        <v>17</v>
      </c>
      <c r="K7083" t="str">
        <f>"5F1"</f>
        <v>5F1</v>
      </c>
      <c r="L7083" t="s">
        <v>15</v>
      </c>
    </row>
    <row r="7084" spans="1:12" x14ac:dyDescent="0.25">
      <c r="A7084" t="str">
        <f>"5853061401"</f>
        <v>5853061401</v>
      </c>
      <c r="B7084" t="str">
        <f t="shared" si="329"/>
        <v>89301000</v>
      </c>
      <c r="C7084" s="1">
        <v>44424</v>
      </c>
      <c r="D7084" s="1">
        <v>44428</v>
      </c>
      <c r="E7084">
        <v>1</v>
      </c>
      <c r="F7084" t="s">
        <v>1802</v>
      </c>
      <c r="G7084" t="str">
        <f>"13-K08-02"</f>
        <v>13-K08-02</v>
      </c>
      <c r="H7084">
        <v>0.49430000000000002</v>
      </c>
      <c r="I7084" t="s">
        <v>5128</v>
      </c>
      <c r="J7084" t="s">
        <v>14</v>
      </c>
      <c r="K7084" t="str">
        <f>"4F2"</f>
        <v>4F2</v>
      </c>
      <c r="L7084" t="s">
        <v>15</v>
      </c>
    </row>
    <row r="7085" spans="1:12" x14ac:dyDescent="0.25">
      <c r="A7085" t="str">
        <f>"5853061401"</f>
        <v>5853061401</v>
      </c>
      <c r="B7085" t="str">
        <f t="shared" si="329"/>
        <v>89301000</v>
      </c>
      <c r="C7085" s="1">
        <v>44431</v>
      </c>
      <c r="D7085" s="1">
        <v>44435</v>
      </c>
      <c r="E7085">
        <v>1</v>
      </c>
      <c r="F7085" t="s">
        <v>1802</v>
      </c>
      <c r="G7085" t="str">
        <f>"13-K08-02"</f>
        <v>13-K08-02</v>
      </c>
      <c r="H7085">
        <v>0.61509999999999998</v>
      </c>
      <c r="I7085" t="s">
        <v>145</v>
      </c>
      <c r="J7085" t="s">
        <v>14</v>
      </c>
      <c r="K7085" t="str">
        <f>"4F2"</f>
        <v>4F2</v>
      </c>
      <c r="L7085" t="s">
        <v>15</v>
      </c>
    </row>
    <row r="7086" spans="1:12" x14ac:dyDescent="0.25">
      <c r="A7086" t="str">
        <f>"5853081674"</f>
        <v>5853081674</v>
      </c>
      <c r="B7086" t="str">
        <f t="shared" si="329"/>
        <v>89301000</v>
      </c>
      <c r="C7086" s="1">
        <v>44284</v>
      </c>
      <c r="D7086" s="1">
        <v>44285</v>
      </c>
      <c r="E7086">
        <v>1</v>
      </c>
      <c r="F7086" t="s">
        <v>2623</v>
      </c>
      <c r="G7086" t="str">
        <f>"17-C05-06"</f>
        <v>17-C05-06</v>
      </c>
      <c r="H7086">
        <v>0.50260000000000005</v>
      </c>
      <c r="I7086" t="s">
        <v>541</v>
      </c>
      <c r="J7086" t="s">
        <v>14</v>
      </c>
      <c r="K7086" t="str">
        <f>"2F2"</f>
        <v>2F2</v>
      </c>
      <c r="L7086" t="s">
        <v>15</v>
      </c>
    </row>
    <row r="7087" spans="1:12" x14ac:dyDescent="0.25">
      <c r="A7087" t="str">
        <f>"5853081674"</f>
        <v>5853081674</v>
      </c>
      <c r="B7087" t="str">
        <f t="shared" si="329"/>
        <v>89301000</v>
      </c>
      <c r="C7087" s="1">
        <v>44291</v>
      </c>
      <c r="D7087" s="1">
        <v>44300</v>
      </c>
      <c r="E7087">
        <v>1</v>
      </c>
      <c r="F7087" t="s">
        <v>2623</v>
      </c>
      <c r="G7087" t="str">
        <f>"00-M10-01"</f>
        <v>00-M10-01</v>
      </c>
      <c r="H7087">
        <v>4.3211000000000004</v>
      </c>
      <c r="I7087" t="s">
        <v>5129</v>
      </c>
      <c r="J7087" t="s">
        <v>24</v>
      </c>
      <c r="K7087" t="str">
        <f>"2F2"</f>
        <v>2F2</v>
      </c>
      <c r="L7087" t="s">
        <v>15</v>
      </c>
    </row>
    <row r="7088" spans="1:12" x14ac:dyDescent="0.25">
      <c r="A7088" t="str">
        <f>"5853081674"</f>
        <v>5853081674</v>
      </c>
      <c r="B7088" t="str">
        <f t="shared" si="329"/>
        <v>89301000</v>
      </c>
      <c r="C7088" s="1">
        <v>44447</v>
      </c>
      <c r="D7088" s="1">
        <v>44463</v>
      </c>
      <c r="E7088">
        <v>1</v>
      </c>
      <c r="F7088" t="s">
        <v>2623</v>
      </c>
      <c r="G7088" t="str">
        <f>"00-M08-00"</f>
        <v>00-M08-00</v>
      </c>
      <c r="H7088">
        <v>4.3116000000000003</v>
      </c>
      <c r="I7088" t="s">
        <v>5130</v>
      </c>
      <c r="J7088" t="s">
        <v>17</v>
      </c>
      <c r="K7088" t="str">
        <f>"2T2"</f>
        <v>2T2</v>
      </c>
      <c r="L7088" t="s">
        <v>15</v>
      </c>
    </row>
    <row r="7089" spans="1:12" x14ac:dyDescent="0.25">
      <c r="A7089" t="str">
        <f>"5853110824"</f>
        <v>5853110824</v>
      </c>
      <c r="B7089" t="str">
        <f t="shared" si="329"/>
        <v>89301000</v>
      </c>
      <c r="C7089" s="1">
        <v>44197</v>
      </c>
      <c r="D7089" s="1">
        <v>44200</v>
      </c>
      <c r="E7089">
        <v>8</v>
      </c>
      <c r="F7089" t="s">
        <v>625</v>
      </c>
      <c r="G7089" t="str">
        <f>"04-K08-02"</f>
        <v>04-K08-02</v>
      </c>
      <c r="H7089">
        <v>2.6110000000000002</v>
      </c>
      <c r="I7089" t="s">
        <v>5131</v>
      </c>
      <c r="J7089" t="s">
        <v>14</v>
      </c>
      <c r="K7089" t="str">
        <f>"1F1"</f>
        <v>1F1</v>
      </c>
      <c r="L7089" t="s">
        <v>15</v>
      </c>
    </row>
    <row r="7090" spans="1:12" x14ac:dyDescent="0.25">
      <c r="A7090" t="str">
        <f>"5853132604"</f>
        <v>5853132604</v>
      </c>
      <c r="B7090" t="str">
        <f t="shared" si="329"/>
        <v>89301000</v>
      </c>
      <c r="C7090" s="1">
        <v>44460</v>
      </c>
      <c r="D7090" s="1">
        <v>44461</v>
      </c>
      <c r="E7090">
        <v>1</v>
      </c>
      <c r="F7090" t="s">
        <v>1863</v>
      </c>
      <c r="G7090" t="str">
        <f>"07-K07-02"</f>
        <v>07-K07-02</v>
      </c>
      <c r="H7090">
        <v>0.53259999999999996</v>
      </c>
      <c r="I7090" t="s">
        <v>3979</v>
      </c>
      <c r="J7090" t="s">
        <v>14</v>
      </c>
      <c r="K7090" t="str">
        <f>"4F2"</f>
        <v>4F2</v>
      </c>
      <c r="L7090" t="s">
        <v>15</v>
      </c>
    </row>
    <row r="7091" spans="1:12" x14ac:dyDescent="0.25">
      <c r="A7091" t="str">
        <f>"5853132604"</f>
        <v>5853132604</v>
      </c>
      <c r="B7091" t="str">
        <f t="shared" si="329"/>
        <v>89301000</v>
      </c>
      <c r="C7091" s="1">
        <v>44203</v>
      </c>
      <c r="D7091" s="1">
        <v>44207</v>
      </c>
      <c r="E7091">
        <v>1</v>
      </c>
      <c r="F7091" t="s">
        <v>1863</v>
      </c>
      <c r="G7091" t="str">
        <f>"07-C01-02"</f>
        <v>07-C01-02</v>
      </c>
      <c r="H7091">
        <v>0.41739999999999999</v>
      </c>
      <c r="I7091" t="s">
        <v>541</v>
      </c>
      <c r="J7091" t="s">
        <v>14</v>
      </c>
      <c r="K7091" t="str">
        <f>"4F2"</f>
        <v>4F2</v>
      </c>
      <c r="L7091" t="s">
        <v>15</v>
      </c>
    </row>
    <row r="7092" spans="1:12" x14ac:dyDescent="0.25">
      <c r="A7092" t="str">
        <f>"5853132604"</f>
        <v>5853132604</v>
      </c>
      <c r="B7092" t="str">
        <f t="shared" si="329"/>
        <v>89301000</v>
      </c>
      <c r="C7092" s="1">
        <v>44211</v>
      </c>
      <c r="D7092" s="1">
        <v>44212</v>
      </c>
      <c r="E7092">
        <v>1</v>
      </c>
      <c r="F7092" t="s">
        <v>1863</v>
      </c>
      <c r="G7092" t="str">
        <f>"07-C01-02"</f>
        <v>07-C01-02</v>
      </c>
      <c r="H7092">
        <v>0.42930000000000001</v>
      </c>
      <c r="I7092" t="s">
        <v>541</v>
      </c>
      <c r="J7092" t="s">
        <v>14</v>
      </c>
      <c r="K7092" t="str">
        <f>"4F2"</f>
        <v>4F2</v>
      </c>
      <c r="L7092" t="s">
        <v>15</v>
      </c>
    </row>
    <row r="7093" spans="1:12" x14ac:dyDescent="0.25">
      <c r="A7093" t="str">
        <f>"5853132604"</f>
        <v>5853132604</v>
      </c>
      <c r="B7093" t="str">
        <f t="shared" si="329"/>
        <v>89301000</v>
      </c>
      <c r="C7093" s="1">
        <v>44217</v>
      </c>
      <c r="D7093" s="1">
        <v>44218</v>
      </c>
      <c r="E7093">
        <v>1</v>
      </c>
      <c r="F7093" t="s">
        <v>1863</v>
      </c>
      <c r="G7093" t="str">
        <f>"07-C01-02"</f>
        <v>07-C01-02</v>
      </c>
      <c r="H7093">
        <v>0.40670000000000001</v>
      </c>
      <c r="I7093" t="s">
        <v>541</v>
      </c>
      <c r="J7093" t="s">
        <v>14</v>
      </c>
      <c r="K7093" t="str">
        <f>"4F2"</f>
        <v>4F2</v>
      </c>
      <c r="L7093" t="s">
        <v>15</v>
      </c>
    </row>
    <row r="7094" spans="1:12" x14ac:dyDescent="0.25">
      <c r="A7094" t="str">
        <f>"5853132604"</f>
        <v>5853132604</v>
      </c>
      <c r="B7094" t="str">
        <f t="shared" si="329"/>
        <v>89301000</v>
      </c>
      <c r="C7094" s="1">
        <v>44223</v>
      </c>
      <c r="D7094" s="1">
        <v>44224</v>
      </c>
      <c r="E7094">
        <v>1</v>
      </c>
      <c r="F7094" t="s">
        <v>1863</v>
      </c>
      <c r="G7094" t="str">
        <f>"07-K07-02"</f>
        <v>07-K07-02</v>
      </c>
      <c r="H7094">
        <v>0.53259999999999996</v>
      </c>
      <c r="I7094" t="s">
        <v>145</v>
      </c>
      <c r="J7094" t="s">
        <v>14</v>
      </c>
      <c r="K7094" t="str">
        <f>"4F2"</f>
        <v>4F2</v>
      </c>
      <c r="L7094" t="s">
        <v>15</v>
      </c>
    </row>
    <row r="7095" spans="1:12" x14ac:dyDescent="0.25">
      <c r="A7095" t="str">
        <f t="shared" ref="A7095:A7102" si="330">"5853140381"</f>
        <v>5853140381</v>
      </c>
      <c r="B7095" t="str">
        <f t="shared" si="329"/>
        <v>89301000</v>
      </c>
      <c r="C7095" s="1">
        <v>44428</v>
      </c>
      <c r="D7095" s="1">
        <v>44431</v>
      </c>
      <c r="E7095">
        <v>1</v>
      </c>
      <c r="F7095" t="s">
        <v>1928</v>
      </c>
      <c r="G7095" t="str">
        <f>"11-K03-02"</f>
        <v>11-K03-02</v>
      </c>
      <c r="H7095">
        <v>0.6008</v>
      </c>
      <c r="I7095" t="s">
        <v>5132</v>
      </c>
      <c r="J7095" t="s">
        <v>14</v>
      </c>
      <c r="K7095" t="str">
        <f>"1F1"</f>
        <v>1F1</v>
      </c>
      <c r="L7095" t="s">
        <v>15</v>
      </c>
    </row>
    <row r="7096" spans="1:12" x14ac:dyDescent="0.25">
      <c r="A7096" t="str">
        <f t="shared" si="330"/>
        <v>5853140381</v>
      </c>
      <c r="B7096" t="str">
        <f t="shared" si="329"/>
        <v>89301000</v>
      </c>
      <c r="C7096" s="1">
        <v>44375</v>
      </c>
      <c r="D7096" s="1">
        <v>44378</v>
      </c>
      <c r="E7096">
        <v>1</v>
      </c>
      <c r="F7096" t="s">
        <v>1716</v>
      </c>
      <c r="G7096" t="str">
        <f>"11-M05-02"</f>
        <v>11-M05-02</v>
      </c>
      <c r="H7096">
        <v>0.65690000000000004</v>
      </c>
      <c r="I7096" t="s">
        <v>5133</v>
      </c>
      <c r="J7096" t="s">
        <v>17</v>
      </c>
      <c r="K7096" t="str">
        <f>"7F6"</f>
        <v>7F6</v>
      </c>
      <c r="L7096" t="s">
        <v>15</v>
      </c>
    </row>
    <row r="7097" spans="1:12" x14ac:dyDescent="0.25">
      <c r="A7097" t="str">
        <f t="shared" si="330"/>
        <v>5853140381</v>
      </c>
      <c r="B7097" t="str">
        <f t="shared" si="329"/>
        <v>89301000</v>
      </c>
      <c r="C7097" s="1">
        <v>44435</v>
      </c>
      <c r="D7097" s="1">
        <v>44440</v>
      </c>
      <c r="E7097">
        <v>1</v>
      </c>
      <c r="F7097" t="s">
        <v>2935</v>
      </c>
      <c r="G7097" t="str">
        <f>"05-K13-01"</f>
        <v>05-K13-01</v>
      </c>
      <c r="H7097">
        <v>1.2979000000000001</v>
      </c>
      <c r="I7097" t="s">
        <v>5134</v>
      </c>
      <c r="J7097" t="s">
        <v>14</v>
      </c>
      <c r="K7097" t="str">
        <f>"1F5"</f>
        <v>1F5</v>
      </c>
      <c r="L7097" t="s">
        <v>15</v>
      </c>
    </row>
    <row r="7098" spans="1:12" x14ac:dyDescent="0.25">
      <c r="A7098" t="str">
        <f t="shared" si="330"/>
        <v>5853140381</v>
      </c>
      <c r="B7098" t="str">
        <f t="shared" si="329"/>
        <v>89301000</v>
      </c>
      <c r="C7098" s="1">
        <v>44199</v>
      </c>
      <c r="D7098" s="1">
        <v>44205</v>
      </c>
      <c r="E7098">
        <v>1</v>
      </c>
      <c r="F7098" t="s">
        <v>217</v>
      </c>
      <c r="G7098" t="str">
        <f>"04-K02-03"</f>
        <v>04-K02-03</v>
      </c>
      <c r="H7098">
        <v>1.2859</v>
      </c>
      <c r="I7098" t="s">
        <v>5135</v>
      </c>
      <c r="J7098" t="s">
        <v>14</v>
      </c>
      <c r="K7098" t="str">
        <f>"5F1"</f>
        <v>5F1</v>
      </c>
      <c r="L7098" t="s">
        <v>15</v>
      </c>
    </row>
    <row r="7099" spans="1:12" x14ac:dyDescent="0.25">
      <c r="A7099" t="str">
        <f t="shared" si="330"/>
        <v>5853140381</v>
      </c>
      <c r="B7099" t="str">
        <f t="shared" si="329"/>
        <v>89301000</v>
      </c>
      <c r="C7099" s="1">
        <v>44287</v>
      </c>
      <c r="D7099" s="1">
        <v>44295</v>
      </c>
      <c r="E7099">
        <v>1</v>
      </c>
      <c r="F7099" t="s">
        <v>1721</v>
      </c>
      <c r="G7099" t="str">
        <f>"11-K02-02"</f>
        <v>11-K02-02</v>
      </c>
      <c r="H7099">
        <v>1.2910999999999999</v>
      </c>
      <c r="I7099" t="s">
        <v>5136</v>
      </c>
      <c r="J7099" t="s">
        <v>14</v>
      </c>
      <c r="K7099" t="str">
        <f>"1F1"</f>
        <v>1F1</v>
      </c>
      <c r="L7099" t="s">
        <v>15</v>
      </c>
    </row>
    <row r="7100" spans="1:12" x14ac:dyDescent="0.25">
      <c r="A7100" t="str">
        <f t="shared" si="330"/>
        <v>5853140381</v>
      </c>
      <c r="B7100" t="str">
        <f t="shared" si="329"/>
        <v>89301000</v>
      </c>
      <c r="C7100" s="1">
        <v>44307</v>
      </c>
      <c r="D7100" s="1">
        <v>44316</v>
      </c>
      <c r="E7100">
        <v>1</v>
      </c>
      <c r="F7100" t="s">
        <v>448</v>
      </c>
      <c r="G7100" t="str">
        <f>"11-K01-01"</f>
        <v>11-K01-01</v>
      </c>
      <c r="H7100">
        <v>1.2689999999999999</v>
      </c>
      <c r="I7100" t="s">
        <v>5137</v>
      </c>
      <c r="J7100" t="s">
        <v>14</v>
      </c>
      <c r="K7100" t="str">
        <f>"1F1"</f>
        <v>1F1</v>
      </c>
      <c r="L7100" t="s">
        <v>15</v>
      </c>
    </row>
    <row r="7101" spans="1:12" x14ac:dyDescent="0.25">
      <c r="A7101" t="str">
        <f t="shared" si="330"/>
        <v>5853140381</v>
      </c>
      <c r="B7101" t="str">
        <f t="shared" ref="B7101:B7164" si="331">"89301000"</f>
        <v>89301000</v>
      </c>
      <c r="C7101" s="1">
        <v>44344</v>
      </c>
      <c r="D7101" s="1">
        <v>44354</v>
      </c>
      <c r="E7101">
        <v>1</v>
      </c>
      <c r="F7101" t="s">
        <v>500</v>
      </c>
      <c r="G7101" t="str">
        <f>"06-K06-01"</f>
        <v>06-K06-01</v>
      </c>
      <c r="H7101">
        <v>1.3448</v>
      </c>
      <c r="I7101" t="s">
        <v>5138</v>
      </c>
      <c r="J7101" t="s">
        <v>14</v>
      </c>
      <c r="K7101" t="str">
        <f>"1F5"</f>
        <v>1F5</v>
      </c>
      <c r="L7101" t="s">
        <v>15</v>
      </c>
    </row>
    <row r="7102" spans="1:12" x14ac:dyDescent="0.25">
      <c r="A7102" t="str">
        <f t="shared" si="330"/>
        <v>5853140381</v>
      </c>
      <c r="B7102" t="str">
        <f t="shared" si="331"/>
        <v>89301000</v>
      </c>
      <c r="C7102" s="1">
        <v>44360</v>
      </c>
      <c r="D7102" s="1">
        <v>44369</v>
      </c>
      <c r="E7102">
        <v>1</v>
      </c>
      <c r="F7102" t="s">
        <v>448</v>
      </c>
      <c r="G7102" t="str">
        <f>"11-K01-02"</f>
        <v>11-K01-02</v>
      </c>
      <c r="H7102">
        <v>0.82289999999999996</v>
      </c>
      <c r="I7102" t="s">
        <v>5139</v>
      </c>
      <c r="J7102" t="s">
        <v>14</v>
      </c>
      <c r="K7102" t="str">
        <f>"1F1"</f>
        <v>1F1</v>
      </c>
      <c r="L7102" t="s">
        <v>15</v>
      </c>
    </row>
    <row r="7103" spans="1:12" x14ac:dyDescent="0.25">
      <c r="A7103" t="str">
        <f t="shared" ref="A7103:A7119" si="332">"5853181972"</f>
        <v>5853181972</v>
      </c>
      <c r="B7103" t="str">
        <f t="shared" si="331"/>
        <v>89301000</v>
      </c>
      <c r="C7103" s="1">
        <v>44242</v>
      </c>
      <c r="D7103" s="1">
        <v>44259</v>
      </c>
      <c r="E7103">
        <v>1</v>
      </c>
      <c r="F7103" t="s">
        <v>3042</v>
      </c>
      <c r="G7103" t="str">
        <f>"01-R02-08"</f>
        <v>01-R02-08</v>
      </c>
      <c r="H7103">
        <v>1.6293</v>
      </c>
      <c r="I7103" t="s">
        <v>5140</v>
      </c>
      <c r="J7103" t="s">
        <v>14</v>
      </c>
      <c r="K7103" t="str">
        <f>"4F2"</f>
        <v>4F2</v>
      </c>
      <c r="L7103" t="s">
        <v>15</v>
      </c>
    </row>
    <row r="7104" spans="1:12" x14ac:dyDescent="0.25">
      <c r="A7104" t="str">
        <f t="shared" si="332"/>
        <v>5853181972</v>
      </c>
      <c r="B7104" t="str">
        <f t="shared" si="331"/>
        <v>89301000</v>
      </c>
      <c r="C7104" s="1">
        <v>44390</v>
      </c>
      <c r="D7104" s="1">
        <v>44391</v>
      </c>
      <c r="E7104">
        <v>1</v>
      </c>
      <c r="F7104" t="s">
        <v>3042</v>
      </c>
      <c r="G7104" t="str">
        <f>"01-C03-02"</f>
        <v>01-C03-02</v>
      </c>
      <c r="H7104">
        <v>1.0617000000000001</v>
      </c>
      <c r="I7104" t="s">
        <v>5141</v>
      </c>
      <c r="J7104" t="s">
        <v>14</v>
      </c>
      <c r="K7104" t="str">
        <f>"4F2"</f>
        <v>4F2</v>
      </c>
      <c r="L7104" t="s">
        <v>15</v>
      </c>
    </row>
    <row r="7105" spans="1:12" x14ac:dyDescent="0.25">
      <c r="A7105" t="str">
        <f t="shared" si="332"/>
        <v>5853181972</v>
      </c>
      <c r="B7105" t="str">
        <f t="shared" si="331"/>
        <v>89301000</v>
      </c>
      <c r="C7105" s="1">
        <v>44208</v>
      </c>
      <c r="D7105" s="1">
        <v>44217</v>
      </c>
      <c r="E7105">
        <v>1</v>
      </c>
      <c r="F7105" t="s">
        <v>2497</v>
      </c>
      <c r="G7105" t="str">
        <f>"13-I02-03"</f>
        <v>13-I02-03</v>
      </c>
      <c r="H7105">
        <v>4.0804</v>
      </c>
      <c r="I7105" t="s">
        <v>5142</v>
      </c>
      <c r="J7105" t="s">
        <v>106</v>
      </c>
      <c r="K7105" t="str">
        <f>"6F3"</f>
        <v>6F3</v>
      </c>
      <c r="L7105" t="s">
        <v>15</v>
      </c>
    </row>
    <row r="7106" spans="1:12" x14ac:dyDescent="0.25">
      <c r="A7106" t="str">
        <f t="shared" si="332"/>
        <v>5853181972</v>
      </c>
      <c r="B7106" t="str">
        <f t="shared" si="331"/>
        <v>89301000</v>
      </c>
      <c r="C7106" s="1">
        <v>44397</v>
      </c>
      <c r="D7106" s="1">
        <v>44398</v>
      </c>
      <c r="E7106">
        <v>1</v>
      </c>
      <c r="F7106" t="s">
        <v>3042</v>
      </c>
      <c r="G7106" t="str">
        <f>"01-C03-02"</f>
        <v>01-C03-02</v>
      </c>
      <c r="H7106">
        <v>1.0617000000000001</v>
      </c>
      <c r="I7106" t="s">
        <v>5141</v>
      </c>
      <c r="J7106" t="s">
        <v>14</v>
      </c>
      <c r="K7106" t="str">
        <f t="shared" ref="K7106:K7119" si="333">"4F2"</f>
        <v>4F2</v>
      </c>
      <c r="L7106" t="s">
        <v>15</v>
      </c>
    </row>
    <row r="7107" spans="1:12" x14ac:dyDescent="0.25">
      <c r="A7107" t="str">
        <f t="shared" si="332"/>
        <v>5853181972</v>
      </c>
      <c r="B7107" t="str">
        <f t="shared" si="331"/>
        <v>89301000</v>
      </c>
      <c r="C7107" s="1">
        <v>44378</v>
      </c>
      <c r="D7107" s="1">
        <v>44379</v>
      </c>
      <c r="E7107">
        <v>1</v>
      </c>
      <c r="F7107" t="s">
        <v>2368</v>
      </c>
      <c r="G7107" t="str">
        <f>"08-C03-02"</f>
        <v>08-C03-02</v>
      </c>
      <c r="H7107">
        <v>1.0651999999999999</v>
      </c>
      <c r="I7107" t="s">
        <v>5143</v>
      </c>
      <c r="J7107" t="s">
        <v>14</v>
      </c>
      <c r="K7107" t="str">
        <f t="shared" si="333"/>
        <v>4F2</v>
      </c>
      <c r="L7107" t="s">
        <v>15</v>
      </c>
    </row>
    <row r="7108" spans="1:12" x14ac:dyDescent="0.25">
      <c r="A7108" t="str">
        <f t="shared" si="332"/>
        <v>5853181972</v>
      </c>
      <c r="B7108" t="str">
        <f t="shared" si="331"/>
        <v>89301000</v>
      </c>
      <c r="C7108" s="1">
        <v>44371</v>
      </c>
      <c r="D7108" s="1">
        <v>44372</v>
      </c>
      <c r="E7108">
        <v>1</v>
      </c>
      <c r="F7108" t="s">
        <v>2497</v>
      </c>
      <c r="G7108" t="str">
        <f>"13-C01-02"</f>
        <v>13-C01-02</v>
      </c>
      <c r="H7108">
        <v>0.2349</v>
      </c>
      <c r="I7108" t="s">
        <v>5144</v>
      </c>
      <c r="J7108" t="s">
        <v>14</v>
      </c>
      <c r="K7108" t="str">
        <f t="shared" si="333"/>
        <v>4F2</v>
      </c>
      <c r="L7108" t="s">
        <v>15</v>
      </c>
    </row>
    <row r="7109" spans="1:12" x14ac:dyDescent="0.25">
      <c r="A7109" t="str">
        <f t="shared" si="332"/>
        <v>5853181972</v>
      </c>
      <c r="B7109" t="str">
        <f t="shared" si="331"/>
        <v>89301000</v>
      </c>
      <c r="C7109" s="1">
        <v>44265</v>
      </c>
      <c r="D7109" s="1">
        <v>44267</v>
      </c>
      <c r="E7109">
        <v>1</v>
      </c>
      <c r="F7109" t="s">
        <v>2497</v>
      </c>
      <c r="G7109" t="str">
        <f>"13-C01-02"</f>
        <v>13-C01-02</v>
      </c>
      <c r="H7109">
        <v>0.2349</v>
      </c>
      <c r="J7109" t="s">
        <v>14</v>
      </c>
      <c r="K7109" t="str">
        <f t="shared" si="333"/>
        <v>4F2</v>
      </c>
      <c r="L7109" t="s">
        <v>15</v>
      </c>
    </row>
    <row r="7110" spans="1:12" x14ac:dyDescent="0.25">
      <c r="A7110" t="str">
        <f t="shared" si="332"/>
        <v>5853181972</v>
      </c>
      <c r="B7110" t="str">
        <f t="shared" si="331"/>
        <v>89301000</v>
      </c>
      <c r="C7110" s="1">
        <v>44273</v>
      </c>
      <c r="D7110" s="1">
        <v>44280</v>
      </c>
      <c r="E7110">
        <v>1</v>
      </c>
      <c r="F7110" t="s">
        <v>2497</v>
      </c>
      <c r="G7110" t="str">
        <f>"13-K07-02"</f>
        <v>13-K07-02</v>
      </c>
      <c r="H7110">
        <v>0.3805</v>
      </c>
      <c r="I7110" t="s">
        <v>5145</v>
      </c>
      <c r="J7110" t="s">
        <v>14</v>
      </c>
      <c r="K7110" t="str">
        <f t="shared" si="333"/>
        <v>4F2</v>
      </c>
      <c r="L7110" t="s">
        <v>15</v>
      </c>
    </row>
    <row r="7111" spans="1:12" x14ac:dyDescent="0.25">
      <c r="A7111" t="str">
        <f t="shared" si="332"/>
        <v>5853181972</v>
      </c>
      <c r="B7111" t="str">
        <f t="shared" si="331"/>
        <v>89301000</v>
      </c>
      <c r="C7111" s="1">
        <v>44285</v>
      </c>
      <c r="D7111" s="1">
        <v>44286</v>
      </c>
      <c r="E7111">
        <v>1</v>
      </c>
      <c r="F7111" t="s">
        <v>2497</v>
      </c>
      <c r="G7111" t="str">
        <f>"13-C01-02"</f>
        <v>13-C01-02</v>
      </c>
      <c r="H7111">
        <v>0.2349</v>
      </c>
      <c r="I7111" t="s">
        <v>541</v>
      </c>
      <c r="J7111" t="s">
        <v>14</v>
      </c>
      <c r="K7111" t="str">
        <f t="shared" si="333"/>
        <v>4F2</v>
      </c>
      <c r="L7111" t="s">
        <v>15</v>
      </c>
    </row>
    <row r="7112" spans="1:12" x14ac:dyDescent="0.25">
      <c r="A7112" t="str">
        <f t="shared" si="332"/>
        <v>5853181972</v>
      </c>
      <c r="B7112" t="str">
        <f t="shared" si="331"/>
        <v>89301000</v>
      </c>
      <c r="C7112" s="1">
        <v>44298</v>
      </c>
      <c r="D7112" s="1">
        <v>44299</v>
      </c>
      <c r="E7112">
        <v>1</v>
      </c>
      <c r="F7112" t="s">
        <v>3042</v>
      </c>
      <c r="G7112" t="str">
        <f>"01-C03-02"</f>
        <v>01-C03-02</v>
      </c>
      <c r="H7112">
        <v>1.0617000000000001</v>
      </c>
      <c r="I7112" t="s">
        <v>5146</v>
      </c>
      <c r="J7112" t="s">
        <v>14</v>
      </c>
      <c r="K7112" t="str">
        <f t="shared" si="333"/>
        <v>4F2</v>
      </c>
      <c r="L7112" t="s">
        <v>15</v>
      </c>
    </row>
    <row r="7113" spans="1:12" x14ac:dyDescent="0.25">
      <c r="A7113" t="str">
        <f t="shared" si="332"/>
        <v>5853181972</v>
      </c>
      <c r="B7113" t="str">
        <f t="shared" si="331"/>
        <v>89301000</v>
      </c>
      <c r="C7113" s="1">
        <v>44305</v>
      </c>
      <c r="D7113" s="1">
        <v>44306</v>
      </c>
      <c r="E7113">
        <v>1</v>
      </c>
      <c r="F7113" t="s">
        <v>2560</v>
      </c>
      <c r="G7113" t="str">
        <f>"17-C06-02"</f>
        <v>17-C06-02</v>
      </c>
      <c r="H7113">
        <v>0.3826</v>
      </c>
      <c r="I7113" t="s">
        <v>5147</v>
      </c>
      <c r="J7113" t="s">
        <v>14</v>
      </c>
      <c r="K7113" t="str">
        <f t="shared" si="333"/>
        <v>4F2</v>
      </c>
      <c r="L7113" t="s">
        <v>15</v>
      </c>
    </row>
    <row r="7114" spans="1:12" x14ac:dyDescent="0.25">
      <c r="A7114" t="str">
        <f t="shared" si="332"/>
        <v>5853181972</v>
      </c>
      <c r="B7114" t="str">
        <f t="shared" si="331"/>
        <v>89301000</v>
      </c>
      <c r="C7114" s="1">
        <v>44312</v>
      </c>
      <c r="D7114" s="1">
        <v>44319</v>
      </c>
      <c r="E7114">
        <v>1</v>
      </c>
      <c r="F7114" t="s">
        <v>3042</v>
      </c>
      <c r="G7114" t="str">
        <f>"01-C03-02"</f>
        <v>01-C03-02</v>
      </c>
      <c r="H7114">
        <v>1.0617000000000001</v>
      </c>
      <c r="I7114" t="s">
        <v>5148</v>
      </c>
      <c r="J7114" t="s">
        <v>14</v>
      </c>
      <c r="K7114" t="str">
        <f t="shared" si="333"/>
        <v>4F2</v>
      </c>
      <c r="L7114" t="s">
        <v>15</v>
      </c>
    </row>
    <row r="7115" spans="1:12" x14ac:dyDescent="0.25">
      <c r="A7115" t="str">
        <f t="shared" si="332"/>
        <v>5853181972</v>
      </c>
      <c r="B7115" t="str">
        <f t="shared" si="331"/>
        <v>89301000</v>
      </c>
      <c r="C7115" s="1">
        <v>44326</v>
      </c>
      <c r="D7115" s="1">
        <v>44327</v>
      </c>
      <c r="E7115">
        <v>1</v>
      </c>
      <c r="F7115" t="s">
        <v>144</v>
      </c>
      <c r="G7115" t="str">
        <f>"04-K10-01"</f>
        <v>04-K10-01</v>
      </c>
      <c r="H7115">
        <v>0.59279999999999999</v>
      </c>
      <c r="I7115" t="s">
        <v>5149</v>
      </c>
      <c r="J7115" t="s">
        <v>14</v>
      </c>
      <c r="K7115" t="str">
        <f t="shared" si="333"/>
        <v>4F2</v>
      </c>
      <c r="L7115" t="s">
        <v>15</v>
      </c>
    </row>
    <row r="7116" spans="1:12" x14ac:dyDescent="0.25">
      <c r="A7116" t="str">
        <f t="shared" si="332"/>
        <v>5853181972</v>
      </c>
      <c r="B7116" t="str">
        <f t="shared" si="331"/>
        <v>89301000</v>
      </c>
      <c r="C7116" s="1">
        <v>44333</v>
      </c>
      <c r="D7116" s="1">
        <v>44334</v>
      </c>
      <c r="E7116">
        <v>1</v>
      </c>
      <c r="F7116" t="s">
        <v>3042</v>
      </c>
      <c r="G7116" t="str">
        <f>"01-K13-02"</f>
        <v>01-K13-02</v>
      </c>
      <c r="H7116">
        <v>0.7954</v>
      </c>
      <c r="I7116" t="s">
        <v>5150</v>
      </c>
      <c r="J7116" t="s">
        <v>14</v>
      </c>
      <c r="K7116" t="str">
        <f t="shared" si="333"/>
        <v>4F2</v>
      </c>
      <c r="L7116" t="s">
        <v>15</v>
      </c>
    </row>
    <row r="7117" spans="1:12" x14ac:dyDescent="0.25">
      <c r="A7117" t="str">
        <f t="shared" si="332"/>
        <v>5853181972</v>
      </c>
      <c r="B7117" t="str">
        <f t="shared" si="331"/>
        <v>89301000</v>
      </c>
      <c r="C7117" s="1">
        <v>44340</v>
      </c>
      <c r="D7117" s="1">
        <v>44341</v>
      </c>
      <c r="E7117">
        <v>1</v>
      </c>
      <c r="F7117" t="s">
        <v>2368</v>
      </c>
      <c r="G7117" t="str">
        <f>"08-C03-02"</f>
        <v>08-C03-02</v>
      </c>
      <c r="H7117">
        <v>1.0651999999999999</v>
      </c>
      <c r="I7117" t="s">
        <v>5151</v>
      </c>
      <c r="J7117" t="s">
        <v>14</v>
      </c>
      <c r="K7117" t="str">
        <f t="shared" si="333"/>
        <v>4F2</v>
      </c>
      <c r="L7117" t="s">
        <v>15</v>
      </c>
    </row>
    <row r="7118" spans="1:12" x14ac:dyDescent="0.25">
      <c r="A7118" t="str">
        <f t="shared" si="332"/>
        <v>5853181972</v>
      </c>
      <c r="B7118" t="str">
        <f t="shared" si="331"/>
        <v>89301000</v>
      </c>
      <c r="C7118" s="1">
        <v>44356</v>
      </c>
      <c r="D7118" s="1">
        <v>44357</v>
      </c>
      <c r="E7118">
        <v>1</v>
      </c>
      <c r="F7118" t="s">
        <v>2497</v>
      </c>
      <c r="G7118" t="str">
        <f>"13-C01-02"</f>
        <v>13-C01-02</v>
      </c>
      <c r="H7118">
        <v>0.2349</v>
      </c>
      <c r="I7118" t="s">
        <v>5152</v>
      </c>
      <c r="J7118" t="s">
        <v>14</v>
      </c>
      <c r="K7118" t="str">
        <f t="shared" si="333"/>
        <v>4F2</v>
      </c>
      <c r="L7118" t="s">
        <v>15</v>
      </c>
    </row>
    <row r="7119" spans="1:12" x14ac:dyDescent="0.25">
      <c r="A7119" t="str">
        <f t="shared" si="332"/>
        <v>5853181972</v>
      </c>
      <c r="B7119" t="str">
        <f t="shared" si="331"/>
        <v>89301000</v>
      </c>
      <c r="C7119" s="1">
        <v>44364</v>
      </c>
      <c r="D7119" s="1">
        <v>44365</v>
      </c>
      <c r="E7119">
        <v>1</v>
      </c>
      <c r="F7119" t="s">
        <v>2497</v>
      </c>
      <c r="G7119" t="str">
        <f>"13-C01-02"</f>
        <v>13-C01-02</v>
      </c>
      <c r="H7119">
        <v>0.2349</v>
      </c>
      <c r="I7119" t="s">
        <v>5153</v>
      </c>
      <c r="J7119" t="s">
        <v>14</v>
      </c>
      <c r="K7119" t="str">
        <f t="shared" si="333"/>
        <v>4F2</v>
      </c>
      <c r="L7119" t="s">
        <v>15</v>
      </c>
    </row>
    <row r="7120" spans="1:12" x14ac:dyDescent="0.25">
      <c r="A7120" t="str">
        <f>"5853220351"</f>
        <v>5853220351</v>
      </c>
      <c r="B7120" t="str">
        <f t="shared" si="331"/>
        <v>89301000</v>
      </c>
      <c r="C7120" s="1">
        <v>44512</v>
      </c>
      <c r="D7120" s="1">
        <v>44519</v>
      </c>
      <c r="E7120">
        <v>4</v>
      </c>
      <c r="F7120" t="s">
        <v>1968</v>
      </c>
      <c r="G7120" t="str">
        <f>"08-I05-04"</f>
        <v>08-I05-04</v>
      </c>
      <c r="H7120">
        <v>2.4581</v>
      </c>
      <c r="I7120" t="s">
        <v>4260</v>
      </c>
      <c r="J7120" t="s">
        <v>17</v>
      </c>
      <c r="K7120" t="str">
        <f>"6F6"</f>
        <v>6F6</v>
      </c>
      <c r="L7120" t="s">
        <v>15</v>
      </c>
    </row>
    <row r="7121" spans="1:12" x14ac:dyDescent="0.25">
      <c r="A7121" t="str">
        <f>"5853220351"</f>
        <v>5853220351</v>
      </c>
      <c r="B7121" t="str">
        <f t="shared" si="331"/>
        <v>89301000</v>
      </c>
      <c r="C7121" s="1">
        <v>44487</v>
      </c>
      <c r="D7121" s="1">
        <v>44491</v>
      </c>
      <c r="E7121">
        <v>1</v>
      </c>
      <c r="F7121" t="s">
        <v>354</v>
      </c>
      <c r="G7121" t="str">
        <f>"10-K14-05"</f>
        <v>10-K14-05</v>
      </c>
      <c r="H7121">
        <v>0.34639999999999999</v>
      </c>
      <c r="I7121" t="s">
        <v>5154</v>
      </c>
      <c r="J7121" t="s">
        <v>14</v>
      </c>
      <c r="K7121" t="str">
        <f>"1F1"</f>
        <v>1F1</v>
      </c>
      <c r="L7121" t="s">
        <v>15</v>
      </c>
    </row>
    <row r="7122" spans="1:12" x14ac:dyDescent="0.25">
      <c r="A7122" t="str">
        <f>"5853240283"</f>
        <v>5853240283</v>
      </c>
      <c r="B7122" t="str">
        <f t="shared" si="331"/>
        <v>89301000</v>
      </c>
      <c r="C7122" s="1">
        <v>44200</v>
      </c>
      <c r="D7122" s="1">
        <v>44204</v>
      </c>
      <c r="E7122">
        <v>1</v>
      </c>
      <c r="F7122" t="s">
        <v>1690</v>
      </c>
      <c r="G7122" t="str">
        <f>"07-M02-04"</f>
        <v>07-M02-04</v>
      </c>
      <c r="H7122">
        <v>0.96509999999999996</v>
      </c>
      <c r="I7122" t="s">
        <v>5155</v>
      </c>
      <c r="J7122" t="s">
        <v>17</v>
      </c>
      <c r="K7122" t="str">
        <f>"1F1"</f>
        <v>1F1</v>
      </c>
      <c r="L7122" t="s">
        <v>15</v>
      </c>
    </row>
    <row r="7123" spans="1:12" x14ac:dyDescent="0.25">
      <c r="A7123" t="str">
        <f>"5853260391"</f>
        <v>5853260391</v>
      </c>
      <c r="B7123" t="str">
        <f t="shared" si="331"/>
        <v>89301000</v>
      </c>
      <c r="C7123" s="1">
        <v>44210</v>
      </c>
      <c r="D7123" s="1">
        <v>44212</v>
      </c>
      <c r="E7123">
        <v>1</v>
      </c>
      <c r="F7123" t="s">
        <v>215</v>
      </c>
      <c r="G7123" t="str">
        <f>"08-I15-03"</f>
        <v>08-I15-03</v>
      </c>
      <c r="H7123">
        <v>1.1838</v>
      </c>
      <c r="I7123" t="s">
        <v>5156</v>
      </c>
      <c r="J7123" t="s">
        <v>17</v>
      </c>
      <c r="K7123" t="str">
        <f>"5F3"</f>
        <v>5F3</v>
      </c>
      <c r="L7123" t="s">
        <v>15</v>
      </c>
    </row>
    <row r="7124" spans="1:12" x14ac:dyDescent="0.25">
      <c r="A7124" t="str">
        <f>"5854061279"</f>
        <v>5854061279</v>
      </c>
      <c r="B7124" t="str">
        <f t="shared" si="331"/>
        <v>89301000</v>
      </c>
      <c r="C7124" s="1">
        <v>44216</v>
      </c>
      <c r="D7124" s="1">
        <v>44217</v>
      </c>
      <c r="E7124">
        <v>1</v>
      </c>
      <c r="F7124" t="s">
        <v>1830</v>
      </c>
      <c r="G7124" t="str">
        <f>"16-K02-02"</f>
        <v>16-K02-02</v>
      </c>
      <c r="H7124">
        <v>0.77459999999999996</v>
      </c>
      <c r="I7124" t="s">
        <v>5157</v>
      </c>
      <c r="J7124" t="s">
        <v>14</v>
      </c>
      <c r="K7124" t="str">
        <f>"1F1"</f>
        <v>1F1</v>
      </c>
      <c r="L7124" t="s">
        <v>15</v>
      </c>
    </row>
    <row r="7125" spans="1:12" x14ac:dyDescent="0.25">
      <c r="A7125" t="str">
        <f>"5854061279"</f>
        <v>5854061279</v>
      </c>
      <c r="B7125" t="str">
        <f t="shared" si="331"/>
        <v>89301000</v>
      </c>
      <c r="C7125" s="1">
        <v>44388</v>
      </c>
      <c r="D7125" s="1">
        <v>44391</v>
      </c>
      <c r="E7125">
        <v>1</v>
      </c>
      <c r="F7125" t="s">
        <v>566</v>
      </c>
      <c r="G7125" t="str">
        <f>"06-K06-02"</f>
        <v>06-K06-02</v>
      </c>
      <c r="H7125">
        <v>0.69359999999999999</v>
      </c>
      <c r="I7125" t="s">
        <v>283</v>
      </c>
      <c r="J7125" t="s">
        <v>14</v>
      </c>
      <c r="K7125" t="str">
        <f>"1F1"</f>
        <v>1F1</v>
      </c>
      <c r="L7125" t="s">
        <v>15</v>
      </c>
    </row>
    <row r="7126" spans="1:12" x14ac:dyDescent="0.25">
      <c r="A7126" t="str">
        <f>"5854061279"</f>
        <v>5854061279</v>
      </c>
      <c r="B7126" t="str">
        <f t="shared" si="331"/>
        <v>89301000</v>
      </c>
      <c r="C7126" s="1">
        <v>44328</v>
      </c>
      <c r="D7126" s="1">
        <v>44330</v>
      </c>
      <c r="E7126">
        <v>1</v>
      </c>
      <c r="F7126" t="s">
        <v>566</v>
      </c>
      <c r="G7126" t="str">
        <f>"06-K06-01"</f>
        <v>06-K06-01</v>
      </c>
      <c r="H7126">
        <v>1.0198</v>
      </c>
      <c r="I7126" t="s">
        <v>5158</v>
      </c>
      <c r="J7126" t="s">
        <v>14</v>
      </c>
      <c r="K7126" t="str">
        <f>"1F1"</f>
        <v>1F1</v>
      </c>
      <c r="L7126" t="s">
        <v>15</v>
      </c>
    </row>
    <row r="7127" spans="1:12" x14ac:dyDescent="0.25">
      <c r="A7127" t="str">
        <f>"5854061279"</f>
        <v>5854061279</v>
      </c>
      <c r="B7127" t="str">
        <f t="shared" si="331"/>
        <v>89301000</v>
      </c>
      <c r="C7127" s="1">
        <v>44489</v>
      </c>
      <c r="D7127" s="1">
        <v>44490</v>
      </c>
      <c r="E7127">
        <v>1</v>
      </c>
      <c r="F7127" t="s">
        <v>283</v>
      </c>
      <c r="G7127" t="str">
        <f>"16-K02-03"</f>
        <v>16-K02-03</v>
      </c>
      <c r="H7127">
        <v>0.5302</v>
      </c>
      <c r="I7127" t="s">
        <v>500</v>
      </c>
      <c r="J7127" t="s">
        <v>14</v>
      </c>
      <c r="K7127" t="str">
        <f>"1F1"</f>
        <v>1F1</v>
      </c>
      <c r="L7127" t="s">
        <v>15</v>
      </c>
    </row>
    <row r="7128" spans="1:12" x14ac:dyDescent="0.25">
      <c r="A7128" t="str">
        <f>"5854061279"</f>
        <v>5854061279</v>
      </c>
      <c r="B7128" t="str">
        <f t="shared" si="331"/>
        <v>89301000</v>
      </c>
      <c r="C7128" s="1">
        <v>44258</v>
      </c>
      <c r="D7128" s="1">
        <v>44259</v>
      </c>
      <c r="E7128">
        <v>1</v>
      </c>
      <c r="F7128" t="s">
        <v>1830</v>
      </c>
      <c r="G7128" t="str">
        <f>"16-K02-02"</f>
        <v>16-K02-02</v>
      </c>
      <c r="H7128">
        <v>0.77459999999999996</v>
      </c>
      <c r="I7128" t="s">
        <v>5157</v>
      </c>
      <c r="J7128" t="s">
        <v>14</v>
      </c>
      <c r="K7128" t="str">
        <f>"1F1"</f>
        <v>1F1</v>
      </c>
      <c r="L7128" t="s">
        <v>15</v>
      </c>
    </row>
    <row r="7129" spans="1:12" x14ac:dyDescent="0.25">
      <c r="A7129" t="str">
        <f>"5854130227"</f>
        <v>5854130227</v>
      </c>
      <c r="B7129" t="str">
        <f t="shared" si="331"/>
        <v>89301000</v>
      </c>
      <c r="C7129" s="1">
        <v>44479</v>
      </c>
      <c r="D7129" s="1">
        <v>44485</v>
      </c>
      <c r="E7129">
        <v>1</v>
      </c>
      <c r="F7129" t="s">
        <v>43</v>
      </c>
      <c r="G7129" t="str">
        <f>"06-I18-03"</f>
        <v>06-I18-03</v>
      </c>
      <c r="H7129">
        <v>1.4075</v>
      </c>
      <c r="I7129" t="s">
        <v>630</v>
      </c>
      <c r="J7129" t="s">
        <v>24</v>
      </c>
      <c r="K7129" t="str">
        <f>"5F1"</f>
        <v>5F1</v>
      </c>
      <c r="L7129" t="s">
        <v>15</v>
      </c>
    </row>
    <row r="7130" spans="1:12" x14ac:dyDescent="0.25">
      <c r="A7130" t="str">
        <f>"5854242592"</f>
        <v>5854242592</v>
      </c>
      <c r="B7130" t="str">
        <f t="shared" si="331"/>
        <v>89301000</v>
      </c>
      <c r="C7130" s="1">
        <v>44528</v>
      </c>
      <c r="D7130" s="1">
        <v>44531</v>
      </c>
      <c r="E7130">
        <v>1</v>
      </c>
      <c r="F7130" t="s">
        <v>1555</v>
      </c>
      <c r="G7130" t="str">
        <f>"05-M07-04"</f>
        <v>05-M07-04</v>
      </c>
      <c r="H7130">
        <v>1.7799</v>
      </c>
      <c r="I7130" t="s">
        <v>2321</v>
      </c>
      <c r="J7130" t="s">
        <v>17</v>
      </c>
      <c r="K7130" t="str">
        <f>"5F1"</f>
        <v>5F1</v>
      </c>
      <c r="L7130" t="s">
        <v>15</v>
      </c>
    </row>
    <row r="7131" spans="1:12" x14ac:dyDescent="0.25">
      <c r="A7131" t="str">
        <f>"5854281466"</f>
        <v>5854281466</v>
      </c>
      <c r="B7131" t="str">
        <f t="shared" si="331"/>
        <v>89301000</v>
      </c>
      <c r="C7131" s="1">
        <v>44250</v>
      </c>
      <c r="D7131" s="1">
        <v>44253</v>
      </c>
      <c r="E7131">
        <v>1</v>
      </c>
      <c r="F7131" t="s">
        <v>318</v>
      </c>
      <c r="G7131" t="str">
        <f>"08-I23-02"</f>
        <v>08-I23-02</v>
      </c>
      <c r="H7131">
        <v>0.97709999999999997</v>
      </c>
      <c r="I7131" t="s">
        <v>319</v>
      </c>
      <c r="J7131" t="s">
        <v>17</v>
      </c>
      <c r="K7131" t="str">
        <f>"6F6"</f>
        <v>6F6</v>
      </c>
      <c r="L7131" t="s">
        <v>15</v>
      </c>
    </row>
    <row r="7132" spans="1:12" x14ac:dyDescent="0.25">
      <c r="A7132" t="str">
        <f>"5855021117"</f>
        <v>5855021117</v>
      </c>
      <c r="B7132" t="str">
        <f t="shared" si="331"/>
        <v>89301000</v>
      </c>
      <c r="C7132" s="1">
        <v>44385</v>
      </c>
      <c r="D7132" s="1">
        <v>44389</v>
      </c>
      <c r="E7132">
        <v>1</v>
      </c>
      <c r="F7132" t="s">
        <v>1551</v>
      </c>
      <c r="G7132" t="str">
        <f>"09-I10-02"</f>
        <v>09-I10-02</v>
      </c>
      <c r="H7132">
        <v>0.98380000000000001</v>
      </c>
      <c r="I7132" t="s">
        <v>348</v>
      </c>
      <c r="J7132" t="s">
        <v>17</v>
      </c>
      <c r="K7132" t="str">
        <f>"5F1"</f>
        <v>5F1</v>
      </c>
      <c r="L7132" t="s">
        <v>15</v>
      </c>
    </row>
    <row r="7133" spans="1:12" x14ac:dyDescent="0.25">
      <c r="A7133" t="str">
        <f>"5855040873"</f>
        <v>5855040873</v>
      </c>
      <c r="B7133" t="str">
        <f t="shared" si="331"/>
        <v>89301000</v>
      </c>
      <c r="C7133" s="1">
        <v>44314</v>
      </c>
      <c r="D7133" s="1">
        <v>44322</v>
      </c>
      <c r="E7133">
        <v>4</v>
      </c>
      <c r="F7133" t="s">
        <v>1968</v>
      </c>
      <c r="G7133" t="str">
        <f>"08-I05-04"</f>
        <v>08-I05-04</v>
      </c>
      <c r="H7133">
        <v>2.4581</v>
      </c>
      <c r="I7133" t="s">
        <v>4260</v>
      </c>
      <c r="J7133" t="s">
        <v>17</v>
      </c>
      <c r="K7133" t="str">
        <f>"6F6"</f>
        <v>6F6</v>
      </c>
      <c r="L7133" t="s">
        <v>15</v>
      </c>
    </row>
    <row r="7134" spans="1:12" x14ac:dyDescent="0.25">
      <c r="A7134" t="str">
        <f>"5855062015"</f>
        <v>5855062015</v>
      </c>
      <c r="B7134" t="str">
        <f t="shared" si="331"/>
        <v>89301000</v>
      </c>
      <c r="C7134" s="1">
        <v>44361</v>
      </c>
      <c r="D7134" s="1">
        <v>44370</v>
      </c>
      <c r="E7134">
        <v>2</v>
      </c>
      <c r="F7134" t="s">
        <v>2931</v>
      </c>
      <c r="G7134" t="str">
        <f>"07-K04-02"</f>
        <v>07-K04-02</v>
      </c>
      <c r="H7134">
        <v>1.4743999999999999</v>
      </c>
      <c r="I7134" t="s">
        <v>5159</v>
      </c>
      <c r="J7134" t="s">
        <v>14</v>
      </c>
      <c r="K7134" t="str">
        <f>"1F1"</f>
        <v>1F1</v>
      </c>
      <c r="L7134" t="s">
        <v>15</v>
      </c>
    </row>
    <row r="7135" spans="1:12" x14ac:dyDescent="0.25">
      <c r="A7135" t="str">
        <f>"5855062015"</f>
        <v>5855062015</v>
      </c>
      <c r="B7135" t="str">
        <f t="shared" si="331"/>
        <v>89301000</v>
      </c>
      <c r="C7135" s="1">
        <v>44437</v>
      </c>
      <c r="D7135" s="1">
        <v>44452</v>
      </c>
      <c r="E7135">
        <v>1</v>
      </c>
      <c r="F7135" t="s">
        <v>5160</v>
      </c>
      <c r="G7135" t="str">
        <f>"08-I26-03"</f>
        <v>08-I26-03</v>
      </c>
      <c r="H7135">
        <v>1.4166000000000001</v>
      </c>
      <c r="I7135" t="s">
        <v>5161</v>
      </c>
      <c r="J7135" t="s">
        <v>14</v>
      </c>
      <c r="K7135" t="str">
        <f>"5F3"</f>
        <v>5F3</v>
      </c>
      <c r="L7135" t="s">
        <v>15</v>
      </c>
    </row>
    <row r="7136" spans="1:12" x14ac:dyDescent="0.25">
      <c r="A7136" t="str">
        <f>"5855062015"</f>
        <v>5855062015</v>
      </c>
      <c r="B7136" t="str">
        <f t="shared" si="331"/>
        <v>89301000</v>
      </c>
      <c r="C7136" s="1">
        <v>44531</v>
      </c>
      <c r="D7136" s="1">
        <v>44537</v>
      </c>
      <c r="E7136">
        <v>1</v>
      </c>
      <c r="F7136" t="s">
        <v>217</v>
      </c>
      <c r="G7136" t="str">
        <f>"04-K02-03"</f>
        <v>04-K02-03</v>
      </c>
      <c r="H7136">
        <v>1.2859</v>
      </c>
      <c r="I7136" t="s">
        <v>5162</v>
      </c>
      <c r="J7136" t="s">
        <v>14</v>
      </c>
      <c r="K7136" t="str">
        <f>"1F1"</f>
        <v>1F1</v>
      </c>
      <c r="L7136" t="s">
        <v>15</v>
      </c>
    </row>
    <row r="7137" spans="1:12" x14ac:dyDescent="0.25">
      <c r="A7137" t="str">
        <f>"5855090813"</f>
        <v>5855090813</v>
      </c>
      <c r="B7137" t="str">
        <f t="shared" si="331"/>
        <v>89301000</v>
      </c>
      <c r="C7137" s="1">
        <v>44536</v>
      </c>
      <c r="D7137" s="1">
        <v>44539</v>
      </c>
      <c r="E7137">
        <v>1</v>
      </c>
      <c r="F7137" t="s">
        <v>2623</v>
      </c>
      <c r="G7137" t="str">
        <f>"17-K03-02"</f>
        <v>17-K03-02</v>
      </c>
      <c r="H7137">
        <v>0.89429999999999998</v>
      </c>
      <c r="I7137" t="s">
        <v>5163</v>
      </c>
      <c r="J7137" t="s">
        <v>14</v>
      </c>
      <c r="K7137" t="str">
        <f>"2F2"</f>
        <v>2F2</v>
      </c>
      <c r="L7137" t="s">
        <v>15</v>
      </c>
    </row>
    <row r="7138" spans="1:12" x14ac:dyDescent="0.25">
      <c r="A7138" t="str">
        <f>"5855142315"</f>
        <v>5855142315</v>
      </c>
      <c r="B7138" t="str">
        <f t="shared" si="331"/>
        <v>89301000</v>
      </c>
      <c r="C7138" s="1">
        <v>44405</v>
      </c>
      <c r="D7138" s="1">
        <v>44410</v>
      </c>
      <c r="E7138">
        <v>1</v>
      </c>
      <c r="F7138" t="s">
        <v>4070</v>
      </c>
      <c r="G7138" t="str">
        <f>"09-I13-05"</f>
        <v>09-I13-05</v>
      </c>
      <c r="H7138">
        <v>0.43659999999999999</v>
      </c>
      <c r="J7138" t="s">
        <v>14</v>
      </c>
      <c r="K7138" t="str">
        <f>"6F6"</f>
        <v>6F6</v>
      </c>
      <c r="L7138" t="s">
        <v>15</v>
      </c>
    </row>
    <row r="7139" spans="1:12" x14ac:dyDescent="0.25">
      <c r="A7139" t="str">
        <f t="shared" ref="A7139:A7144" si="334">"5855201055"</f>
        <v>5855201055</v>
      </c>
      <c r="B7139" t="str">
        <f t="shared" si="331"/>
        <v>89301000</v>
      </c>
      <c r="C7139" s="1">
        <v>44424</v>
      </c>
      <c r="D7139" s="1">
        <v>44435</v>
      </c>
      <c r="E7139">
        <v>1</v>
      </c>
      <c r="F7139" t="s">
        <v>2221</v>
      </c>
      <c r="G7139" t="str">
        <f>"06-C02-03"</f>
        <v>06-C02-03</v>
      </c>
      <c r="H7139">
        <v>0.54969999999999997</v>
      </c>
      <c r="I7139" t="s">
        <v>5164</v>
      </c>
      <c r="J7139" t="s">
        <v>14</v>
      </c>
      <c r="K7139" t="str">
        <f t="shared" ref="K7139:K7144" si="335">"4F2"</f>
        <v>4F2</v>
      </c>
      <c r="L7139" t="s">
        <v>15</v>
      </c>
    </row>
    <row r="7140" spans="1:12" x14ac:dyDescent="0.25">
      <c r="A7140" t="str">
        <f t="shared" si="334"/>
        <v>5855201055</v>
      </c>
      <c r="B7140" t="str">
        <f t="shared" si="331"/>
        <v>89301000</v>
      </c>
      <c r="C7140" s="1">
        <v>44447</v>
      </c>
      <c r="D7140" s="1">
        <v>44449</v>
      </c>
      <c r="E7140">
        <v>1</v>
      </c>
      <c r="F7140" t="s">
        <v>2553</v>
      </c>
      <c r="G7140" t="str">
        <f>"17-K08-00"</f>
        <v>17-K08-00</v>
      </c>
      <c r="H7140">
        <v>0.61829999999999996</v>
      </c>
      <c r="I7140" t="s">
        <v>5165</v>
      </c>
      <c r="J7140" t="s">
        <v>14</v>
      </c>
      <c r="K7140" t="str">
        <f t="shared" si="335"/>
        <v>4F2</v>
      </c>
      <c r="L7140" t="s">
        <v>15</v>
      </c>
    </row>
    <row r="7141" spans="1:12" x14ac:dyDescent="0.25">
      <c r="A7141" t="str">
        <f t="shared" si="334"/>
        <v>5855201055</v>
      </c>
      <c r="B7141" t="str">
        <f t="shared" si="331"/>
        <v>89301000</v>
      </c>
      <c r="C7141" s="1">
        <v>44456</v>
      </c>
      <c r="D7141" s="1">
        <v>44459</v>
      </c>
      <c r="E7141">
        <v>1</v>
      </c>
      <c r="F7141" t="s">
        <v>2221</v>
      </c>
      <c r="G7141" t="str">
        <f>"06-C02-03"</f>
        <v>06-C02-03</v>
      </c>
      <c r="H7141">
        <v>0.25769999999999998</v>
      </c>
      <c r="I7141" t="s">
        <v>5166</v>
      </c>
      <c r="J7141" t="s">
        <v>14</v>
      </c>
      <c r="K7141" t="str">
        <f t="shared" si="335"/>
        <v>4F2</v>
      </c>
      <c r="L7141" t="s">
        <v>15</v>
      </c>
    </row>
    <row r="7142" spans="1:12" x14ac:dyDescent="0.25">
      <c r="A7142" t="str">
        <f t="shared" si="334"/>
        <v>5855201055</v>
      </c>
      <c r="B7142" t="str">
        <f t="shared" si="331"/>
        <v>89301000</v>
      </c>
      <c r="C7142" s="1">
        <v>44473</v>
      </c>
      <c r="D7142" s="1">
        <v>44475</v>
      </c>
      <c r="E7142">
        <v>1</v>
      </c>
      <c r="F7142" t="s">
        <v>2221</v>
      </c>
      <c r="G7142" t="str">
        <f>"06-C02-03"</f>
        <v>06-C02-03</v>
      </c>
      <c r="H7142">
        <v>0.25769999999999998</v>
      </c>
      <c r="I7142" t="s">
        <v>5166</v>
      </c>
      <c r="J7142" t="s">
        <v>14</v>
      </c>
      <c r="K7142" t="str">
        <f t="shared" si="335"/>
        <v>4F2</v>
      </c>
      <c r="L7142" t="s">
        <v>15</v>
      </c>
    </row>
    <row r="7143" spans="1:12" x14ac:dyDescent="0.25">
      <c r="A7143" t="str">
        <f t="shared" si="334"/>
        <v>5855201055</v>
      </c>
      <c r="B7143" t="str">
        <f t="shared" si="331"/>
        <v>89301000</v>
      </c>
      <c r="C7143" s="1">
        <v>44487</v>
      </c>
      <c r="D7143" s="1">
        <v>44489</v>
      </c>
      <c r="E7143">
        <v>1</v>
      </c>
      <c r="F7143" t="s">
        <v>1762</v>
      </c>
      <c r="G7143" t="str">
        <f>"04-C02-02"</f>
        <v>04-C02-02</v>
      </c>
      <c r="H7143">
        <v>0.3589</v>
      </c>
      <c r="I7143" t="s">
        <v>5167</v>
      </c>
      <c r="J7143" t="s">
        <v>14</v>
      </c>
      <c r="K7143" t="str">
        <f t="shared" si="335"/>
        <v>4F2</v>
      </c>
      <c r="L7143" t="s">
        <v>15</v>
      </c>
    </row>
    <row r="7144" spans="1:12" x14ac:dyDescent="0.25">
      <c r="A7144" t="str">
        <f t="shared" si="334"/>
        <v>5855201055</v>
      </c>
      <c r="B7144" t="str">
        <f t="shared" si="331"/>
        <v>89301000</v>
      </c>
      <c r="C7144" s="1">
        <v>44501</v>
      </c>
      <c r="D7144" s="1">
        <v>44503</v>
      </c>
      <c r="E7144">
        <v>1</v>
      </c>
      <c r="F7144" t="s">
        <v>2221</v>
      </c>
      <c r="G7144" t="str">
        <f>"06-C02-03"</f>
        <v>06-C02-03</v>
      </c>
      <c r="H7144">
        <v>0.25769999999999998</v>
      </c>
      <c r="I7144" t="s">
        <v>5166</v>
      </c>
      <c r="J7144" t="s">
        <v>14</v>
      </c>
      <c r="K7144" t="str">
        <f t="shared" si="335"/>
        <v>4F2</v>
      </c>
      <c r="L7144" t="s">
        <v>15</v>
      </c>
    </row>
    <row r="7145" spans="1:12" x14ac:dyDescent="0.25">
      <c r="A7145" t="str">
        <f>"5855280090"</f>
        <v>5855280090</v>
      </c>
      <c r="B7145" t="str">
        <f t="shared" si="331"/>
        <v>89301000</v>
      </c>
      <c r="C7145" s="1">
        <v>44314</v>
      </c>
      <c r="D7145" s="1">
        <v>44316</v>
      </c>
      <c r="E7145">
        <v>1</v>
      </c>
      <c r="F7145" t="s">
        <v>32</v>
      </c>
      <c r="G7145" t="str">
        <f>"08-I03-05"</f>
        <v>08-I03-05</v>
      </c>
      <c r="H7145">
        <v>1.9240999999999999</v>
      </c>
      <c r="I7145" t="s">
        <v>5168</v>
      </c>
      <c r="J7145" t="s">
        <v>17</v>
      </c>
      <c r="K7145" t="str">
        <f>"5F6"</f>
        <v>5F6</v>
      </c>
      <c r="L7145" t="s">
        <v>15</v>
      </c>
    </row>
    <row r="7146" spans="1:12" x14ac:dyDescent="0.25">
      <c r="A7146" t="str">
        <f>"5855280607"</f>
        <v>5855280607</v>
      </c>
      <c r="B7146" t="str">
        <f t="shared" si="331"/>
        <v>89301000</v>
      </c>
      <c r="C7146" s="1">
        <v>44323</v>
      </c>
      <c r="D7146" s="1">
        <v>44327</v>
      </c>
      <c r="E7146">
        <v>1</v>
      </c>
      <c r="F7146" t="s">
        <v>588</v>
      </c>
      <c r="G7146" t="str">
        <f>"07-K02-03"</f>
        <v>07-K02-03</v>
      </c>
      <c r="H7146">
        <v>0.7742</v>
      </c>
      <c r="I7146" t="s">
        <v>5169</v>
      </c>
      <c r="J7146" t="s">
        <v>14</v>
      </c>
      <c r="K7146" t="str">
        <f>"1F1"</f>
        <v>1F1</v>
      </c>
      <c r="L7146" t="s">
        <v>15</v>
      </c>
    </row>
    <row r="7147" spans="1:12" x14ac:dyDescent="0.25">
      <c r="A7147" t="str">
        <f>"5855290936"</f>
        <v>5855290936</v>
      </c>
      <c r="B7147" t="str">
        <f t="shared" si="331"/>
        <v>89301000</v>
      </c>
      <c r="C7147" s="1">
        <v>44232</v>
      </c>
      <c r="D7147" s="1">
        <v>44237</v>
      </c>
      <c r="E7147">
        <v>1</v>
      </c>
      <c r="F7147" t="s">
        <v>1340</v>
      </c>
      <c r="G7147" t="str">
        <f>"16-K02-03"</f>
        <v>16-K02-03</v>
      </c>
      <c r="H7147">
        <v>0.5302</v>
      </c>
      <c r="I7147" t="s">
        <v>489</v>
      </c>
      <c r="J7147" t="s">
        <v>14</v>
      </c>
      <c r="K7147" t="str">
        <f>"1F1"</f>
        <v>1F1</v>
      </c>
      <c r="L7147" t="s">
        <v>15</v>
      </c>
    </row>
    <row r="7148" spans="1:12" x14ac:dyDescent="0.25">
      <c r="A7148" t="str">
        <f>"5856010215"</f>
        <v>5856010215</v>
      </c>
      <c r="B7148" t="str">
        <f t="shared" si="331"/>
        <v>89301000</v>
      </c>
      <c r="C7148" s="1">
        <v>44298</v>
      </c>
      <c r="D7148" s="1">
        <v>44300</v>
      </c>
      <c r="E7148">
        <v>1</v>
      </c>
      <c r="F7148" t="s">
        <v>804</v>
      </c>
      <c r="G7148" t="str">
        <f>"08-I17-02"</f>
        <v>08-I17-02</v>
      </c>
      <c r="H7148">
        <v>0.98309999999999997</v>
      </c>
      <c r="I7148" t="s">
        <v>5170</v>
      </c>
      <c r="J7148" t="s">
        <v>14</v>
      </c>
      <c r="K7148" t="str">
        <f>"5F3"</f>
        <v>5F3</v>
      </c>
      <c r="L7148" t="s">
        <v>15</v>
      </c>
    </row>
    <row r="7149" spans="1:12" x14ac:dyDescent="0.25">
      <c r="A7149" t="str">
        <f>"5856010765"</f>
        <v>5856010765</v>
      </c>
      <c r="B7149" t="str">
        <f t="shared" si="331"/>
        <v>89301000</v>
      </c>
      <c r="C7149" s="1">
        <v>44335</v>
      </c>
      <c r="D7149" s="1">
        <v>44337</v>
      </c>
      <c r="E7149">
        <v>1</v>
      </c>
      <c r="F7149" t="s">
        <v>4491</v>
      </c>
      <c r="G7149" t="str">
        <f>"01-K01-02"</f>
        <v>01-K01-02</v>
      </c>
      <c r="H7149">
        <v>0.50700000000000001</v>
      </c>
      <c r="I7149" t="s">
        <v>5171</v>
      </c>
      <c r="J7149" t="s">
        <v>14</v>
      </c>
      <c r="K7149" t="str">
        <f>"2F9"</f>
        <v>2F9</v>
      </c>
      <c r="L7149" t="s">
        <v>15</v>
      </c>
    </row>
    <row r="7150" spans="1:12" x14ac:dyDescent="0.25">
      <c r="A7150" t="str">
        <f>"5856010765"</f>
        <v>5856010765</v>
      </c>
      <c r="B7150" t="str">
        <f t="shared" si="331"/>
        <v>89301000</v>
      </c>
      <c r="C7150" s="1">
        <v>44244</v>
      </c>
      <c r="D7150" s="1">
        <v>44246</v>
      </c>
      <c r="E7150">
        <v>1</v>
      </c>
      <c r="F7150" t="s">
        <v>4491</v>
      </c>
      <c r="G7150" t="str">
        <f>"01-K01-02"</f>
        <v>01-K01-02</v>
      </c>
      <c r="H7150">
        <v>0.50700000000000001</v>
      </c>
      <c r="I7150" t="s">
        <v>5172</v>
      </c>
      <c r="J7150" t="s">
        <v>14</v>
      </c>
      <c r="K7150" t="str">
        <f>"2F9"</f>
        <v>2F9</v>
      </c>
      <c r="L7150" t="s">
        <v>15</v>
      </c>
    </row>
    <row r="7151" spans="1:12" x14ac:dyDescent="0.25">
      <c r="A7151" t="str">
        <f>"5856020456"</f>
        <v>5856020456</v>
      </c>
      <c r="B7151" t="str">
        <f t="shared" si="331"/>
        <v>89301000</v>
      </c>
      <c r="C7151" s="1">
        <v>44333</v>
      </c>
      <c r="D7151" s="1">
        <v>44334</v>
      </c>
      <c r="E7151">
        <v>1</v>
      </c>
      <c r="F7151" t="s">
        <v>3799</v>
      </c>
      <c r="G7151" t="str">
        <f>"11-K03-02"</f>
        <v>11-K03-02</v>
      </c>
      <c r="H7151">
        <v>0.6008</v>
      </c>
      <c r="I7151" t="s">
        <v>5173</v>
      </c>
      <c r="J7151" t="s">
        <v>14</v>
      </c>
      <c r="K7151" t="str">
        <f>"1F1"</f>
        <v>1F1</v>
      </c>
      <c r="L7151" t="s">
        <v>15</v>
      </c>
    </row>
    <row r="7152" spans="1:12" x14ac:dyDescent="0.25">
      <c r="A7152" t="str">
        <f>"5856080120"</f>
        <v>5856080120</v>
      </c>
      <c r="B7152" t="str">
        <f t="shared" si="331"/>
        <v>89301000</v>
      </c>
      <c r="C7152" s="1">
        <v>44312</v>
      </c>
      <c r="D7152" s="1">
        <v>44313</v>
      </c>
      <c r="E7152">
        <v>1</v>
      </c>
      <c r="F7152" t="s">
        <v>5174</v>
      </c>
      <c r="G7152" t="str">
        <f>"09-K13-01"</f>
        <v>09-K13-01</v>
      </c>
      <c r="H7152">
        <v>0.58899999999999997</v>
      </c>
      <c r="I7152" t="s">
        <v>5175</v>
      </c>
      <c r="J7152" t="s">
        <v>14</v>
      </c>
      <c r="K7152" t="str">
        <f>"6F1"</f>
        <v>6F1</v>
      </c>
      <c r="L7152" t="s">
        <v>15</v>
      </c>
    </row>
    <row r="7153" spans="1:12" x14ac:dyDescent="0.25">
      <c r="A7153" t="str">
        <f>"5856120402"</f>
        <v>5856120402</v>
      </c>
      <c r="B7153" t="str">
        <f t="shared" si="331"/>
        <v>89301000</v>
      </c>
      <c r="C7153" s="1">
        <v>44273</v>
      </c>
      <c r="D7153" s="1">
        <v>44287</v>
      </c>
      <c r="E7153">
        <v>1</v>
      </c>
      <c r="F7153" t="s">
        <v>5176</v>
      </c>
      <c r="G7153" t="str">
        <f>"19-K04-02"</f>
        <v>19-K04-02</v>
      </c>
      <c r="H7153">
        <v>1.4597</v>
      </c>
      <c r="I7153" t="s">
        <v>5177</v>
      </c>
      <c r="J7153" t="s">
        <v>27</v>
      </c>
      <c r="K7153" t="str">
        <f>"3F5"</f>
        <v>3F5</v>
      </c>
      <c r="L7153" t="s">
        <v>15</v>
      </c>
    </row>
    <row r="7154" spans="1:12" x14ac:dyDescent="0.25">
      <c r="A7154" t="str">
        <f>"5856200196"</f>
        <v>5856200196</v>
      </c>
      <c r="B7154" t="str">
        <f t="shared" si="331"/>
        <v>89301000</v>
      </c>
      <c r="C7154" s="1">
        <v>44490</v>
      </c>
      <c r="D7154" s="1">
        <v>44493</v>
      </c>
      <c r="E7154">
        <v>1</v>
      </c>
      <c r="F7154" t="s">
        <v>593</v>
      </c>
      <c r="G7154" t="str">
        <f>"07-I10-06"</f>
        <v>07-I10-06</v>
      </c>
      <c r="H7154">
        <v>0.9728</v>
      </c>
      <c r="I7154" t="s">
        <v>5178</v>
      </c>
      <c r="J7154" t="s">
        <v>17</v>
      </c>
      <c r="K7154" t="str">
        <f>"5F1"</f>
        <v>5F1</v>
      </c>
      <c r="L7154" t="s">
        <v>15</v>
      </c>
    </row>
    <row r="7155" spans="1:12" x14ac:dyDescent="0.25">
      <c r="A7155" t="str">
        <f>"5856221833"</f>
        <v>5856221833</v>
      </c>
      <c r="B7155" t="str">
        <f t="shared" si="331"/>
        <v>89301000</v>
      </c>
      <c r="C7155" s="1">
        <v>44503</v>
      </c>
      <c r="D7155" s="1">
        <v>44505</v>
      </c>
      <c r="E7155">
        <v>1</v>
      </c>
      <c r="F7155" t="s">
        <v>1928</v>
      </c>
      <c r="G7155" t="str">
        <f>"11-M02-07"</f>
        <v>11-M02-07</v>
      </c>
      <c r="H7155">
        <v>0.53769999999999996</v>
      </c>
      <c r="I7155" t="s">
        <v>1959</v>
      </c>
      <c r="J7155" t="s">
        <v>14</v>
      </c>
      <c r="K7155" t="str">
        <f>"5F1"</f>
        <v>5F1</v>
      </c>
      <c r="L7155" t="s">
        <v>15</v>
      </c>
    </row>
    <row r="7156" spans="1:12" x14ac:dyDescent="0.25">
      <c r="A7156" t="str">
        <f>"5856260157"</f>
        <v>5856260157</v>
      </c>
      <c r="B7156" t="str">
        <f t="shared" si="331"/>
        <v>89301000</v>
      </c>
      <c r="C7156" s="1">
        <v>44353</v>
      </c>
      <c r="D7156" s="1">
        <v>44358</v>
      </c>
      <c r="E7156">
        <v>5</v>
      </c>
      <c r="F7156" t="s">
        <v>314</v>
      </c>
      <c r="G7156" t="str">
        <f>"03-I11-03"</f>
        <v>03-I11-03</v>
      </c>
      <c r="H7156">
        <v>1.0253000000000001</v>
      </c>
      <c r="I7156" t="s">
        <v>5179</v>
      </c>
      <c r="J7156" t="s">
        <v>17</v>
      </c>
      <c r="K7156" t="str">
        <f>"6F5"</f>
        <v>6F5</v>
      </c>
      <c r="L7156" t="s">
        <v>15</v>
      </c>
    </row>
    <row r="7157" spans="1:12" x14ac:dyDescent="0.25">
      <c r="A7157" t="str">
        <f>"5857050232"</f>
        <v>5857050232</v>
      </c>
      <c r="B7157" t="str">
        <f t="shared" si="331"/>
        <v>89301000</v>
      </c>
      <c r="C7157" s="1">
        <v>44551</v>
      </c>
      <c r="D7157" s="1">
        <v>44554</v>
      </c>
      <c r="E7157">
        <v>1</v>
      </c>
      <c r="F7157" t="s">
        <v>1563</v>
      </c>
      <c r="G7157" t="str">
        <f>"05-I14-04"</f>
        <v>05-I14-04</v>
      </c>
      <c r="H7157">
        <v>5.4002999999999997</v>
      </c>
      <c r="I7157" t="s">
        <v>5180</v>
      </c>
      <c r="J7157" t="s">
        <v>14</v>
      </c>
      <c r="K7157" t="str">
        <f>"1F1"</f>
        <v>1F1</v>
      </c>
      <c r="L7157" t="s">
        <v>15</v>
      </c>
    </row>
    <row r="7158" spans="1:12" x14ac:dyDescent="0.25">
      <c r="A7158" t="str">
        <f>"5857061397"</f>
        <v>5857061397</v>
      </c>
      <c r="B7158" t="str">
        <f t="shared" si="331"/>
        <v>89301000</v>
      </c>
      <c r="C7158" s="1">
        <v>44419</v>
      </c>
      <c r="D7158" s="1">
        <v>44429</v>
      </c>
      <c r="E7158">
        <v>1</v>
      </c>
      <c r="F7158" t="s">
        <v>3625</v>
      </c>
      <c r="G7158" t="str">
        <f>"06-I05-04"</f>
        <v>06-I05-04</v>
      </c>
      <c r="H7158">
        <v>3.3546</v>
      </c>
      <c r="I7158" t="s">
        <v>348</v>
      </c>
      <c r="J7158" t="s">
        <v>17</v>
      </c>
      <c r="K7158" t="str">
        <f>"5F1"</f>
        <v>5F1</v>
      </c>
      <c r="L7158" t="s">
        <v>15</v>
      </c>
    </row>
    <row r="7159" spans="1:12" x14ac:dyDescent="0.25">
      <c r="A7159" t="str">
        <f>"5857120126"</f>
        <v>5857120126</v>
      </c>
      <c r="B7159" t="str">
        <f t="shared" si="331"/>
        <v>89301000</v>
      </c>
      <c r="C7159" s="1">
        <v>44314</v>
      </c>
      <c r="D7159" s="1">
        <v>44316</v>
      </c>
      <c r="E7159">
        <v>1</v>
      </c>
      <c r="F7159" t="s">
        <v>451</v>
      </c>
      <c r="G7159" t="str">
        <f>"01-K07-03"</f>
        <v>01-K07-03</v>
      </c>
      <c r="H7159">
        <v>0.4642</v>
      </c>
      <c r="I7159" t="s">
        <v>2183</v>
      </c>
      <c r="J7159" t="s">
        <v>14</v>
      </c>
      <c r="K7159" t="str">
        <f>"2F9"</f>
        <v>2F9</v>
      </c>
      <c r="L7159" t="s">
        <v>15</v>
      </c>
    </row>
    <row r="7160" spans="1:12" x14ac:dyDescent="0.25">
      <c r="A7160" t="str">
        <f>"5857122260"</f>
        <v>5857122260</v>
      </c>
      <c r="B7160" t="str">
        <f t="shared" si="331"/>
        <v>89301000</v>
      </c>
      <c r="C7160" s="1">
        <v>44479</v>
      </c>
      <c r="D7160" s="1">
        <v>44483</v>
      </c>
      <c r="E7160">
        <v>1</v>
      </c>
      <c r="F7160" t="s">
        <v>2407</v>
      </c>
      <c r="G7160" t="str">
        <f>"08-M03-05"</f>
        <v>08-M03-05</v>
      </c>
      <c r="H7160">
        <v>0.51759999999999995</v>
      </c>
      <c r="I7160" t="s">
        <v>5181</v>
      </c>
      <c r="J7160" t="s">
        <v>14</v>
      </c>
      <c r="K7160" t="str">
        <f>"6F6"</f>
        <v>6F6</v>
      </c>
      <c r="L7160" t="s">
        <v>15</v>
      </c>
    </row>
    <row r="7161" spans="1:12" x14ac:dyDescent="0.25">
      <c r="A7161" t="str">
        <f>"5858101040"</f>
        <v>5858101040</v>
      </c>
      <c r="B7161" t="str">
        <f t="shared" si="331"/>
        <v>89301000</v>
      </c>
      <c r="C7161" s="1">
        <v>44424</v>
      </c>
      <c r="D7161" s="1">
        <v>44428</v>
      </c>
      <c r="E7161">
        <v>1</v>
      </c>
      <c r="F7161" t="s">
        <v>3381</v>
      </c>
      <c r="G7161" t="str">
        <f>"09-K08-02"</f>
        <v>09-K08-02</v>
      </c>
      <c r="H7161">
        <v>0.7248</v>
      </c>
      <c r="I7161" t="s">
        <v>5182</v>
      </c>
      <c r="J7161" t="s">
        <v>14</v>
      </c>
      <c r="K7161" t="str">
        <f>"4F2"</f>
        <v>4F2</v>
      </c>
      <c r="L7161" t="s">
        <v>15</v>
      </c>
    </row>
    <row r="7162" spans="1:12" x14ac:dyDescent="0.25">
      <c r="A7162" t="str">
        <f>"5858101777"</f>
        <v>5858101777</v>
      </c>
      <c r="B7162" t="str">
        <f t="shared" si="331"/>
        <v>89301000</v>
      </c>
      <c r="C7162" s="1">
        <v>44543</v>
      </c>
      <c r="D7162" s="1">
        <v>44552</v>
      </c>
      <c r="E7162">
        <v>1</v>
      </c>
      <c r="F7162" t="s">
        <v>109</v>
      </c>
      <c r="G7162" t="str">
        <f>"24-M06-02"</f>
        <v>24-M06-02</v>
      </c>
      <c r="H7162">
        <v>1.0233000000000001</v>
      </c>
      <c r="I7162" t="s">
        <v>5183</v>
      </c>
      <c r="J7162" t="s">
        <v>14</v>
      </c>
      <c r="K7162" t="str">
        <f>"2F1"</f>
        <v>2F1</v>
      </c>
      <c r="L7162" t="s">
        <v>15</v>
      </c>
    </row>
    <row r="7163" spans="1:12" x14ac:dyDescent="0.25">
      <c r="A7163" t="str">
        <f>"5858101777"</f>
        <v>5858101777</v>
      </c>
      <c r="B7163" t="str">
        <f t="shared" si="331"/>
        <v>89301000</v>
      </c>
      <c r="C7163" s="1">
        <v>44243</v>
      </c>
      <c r="D7163" s="1">
        <v>44245</v>
      </c>
      <c r="E7163">
        <v>1</v>
      </c>
      <c r="F7163" t="s">
        <v>589</v>
      </c>
      <c r="G7163" t="str">
        <f>"07-M02-04"</f>
        <v>07-M02-04</v>
      </c>
      <c r="H7163">
        <v>0.82389999999999997</v>
      </c>
      <c r="I7163" t="s">
        <v>5184</v>
      </c>
      <c r="J7163" t="s">
        <v>17</v>
      </c>
      <c r="K7163" t="str">
        <f>"1F1"</f>
        <v>1F1</v>
      </c>
      <c r="L7163" t="s">
        <v>15</v>
      </c>
    </row>
    <row r="7164" spans="1:12" x14ac:dyDescent="0.25">
      <c r="A7164" t="str">
        <f>"5858101777"</f>
        <v>5858101777</v>
      </c>
      <c r="B7164" t="str">
        <f t="shared" si="331"/>
        <v>89301000</v>
      </c>
      <c r="C7164" s="1">
        <v>44523</v>
      </c>
      <c r="D7164" s="1">
        <v>44543</v>
      </c>
      <c r="E7164">
        <v>3</v>
      </c>
      <c r="F7164" t="s">
        <v>1225</v>
      </c>
      <c r="G7164" t="str">
        <f>"01-K16-02"</f>
        <v>01-K16-02</v>
      </c>
      <c r="H7164">
        <v>1.6016999999999999</v>
      </c>
      <c r="I7164" t="s">
        <v>5185</v>
      </c>
      <c r="J7164" t="s">
        <v>14</v>
      </c>
      <c r="K7164" t="str">
        <f>"5F6"</f>
        <v>5F6</v>
      </c>
      <c r="L7164" t="s">
        <v>15</v>
      </c>
    </row>
    <row r="7165" spans="1:12" x14ac:dyDescent="0.25">
      <c r="A7165" t="str">
        <f>"5858231841"</f>
        <v>5858231841</v>
      </c>
      <c r="B7165" t="str">
        <f t="shared" ref="B7165:B7227" si="336">"89301000"</f>
        <v>89301000</v>
      </c>
      <c r="C7165" s="1">
        <v>44419</v>
      </c>
      <c r="D7165" s="1">
        <v>44420</v>
      </c>
      <c r="E7165">
        <v>1</v>
      </c>
      <c r="F7165" t="s">
        <v>1962</v>
      </c>
      <c r="G7165" t="str">
        <f>"04-K15-03"</f>
        <v>04-K15-03</v>
      </c>
      <c r="H7165">
        <v>0.49009999999999998</v>
      </c>
      <c r="I7165" t="s">
        <v>1892</v>
      </c>
      <c r="J7165" t="s">
        <v>14</v>
      </c>
      <c r="K7165" t="str">
        <f>"1F7"</f>
        <v>1F7</v>
      </c>
      <c r="L7165" t="s">
        <v>15</v>
      </c>
    </row>
    <row r="7166" spans="1:12" x14ac:dyDescent="0.25">
      <c r="A7166" t="str">
        <f>"5858270297"</f>
        <v>5858270297</v>
      </c>
      <c r="B7166" t="str">
        <f t="shared" si="336"/>
        <v>89301000</v>
      </c>
      <c r="C7166" s="1">
        <v>44301</v>
      </c>
      <c r="D7166" s="1">
        <v>44304</v>
      </c>
      <c r="E7166">
        <v>1</v>
      </c>
      <c r="F7166" t="s">
        <v>1551</v>
      </c>
      <c r="G7166" t="str">
        <f>"09-I06-04"</f>
        <v>09-I06-04</v>
      </c>
      <c r="H7166">
        <v>0.98829999999999996</v>
      </c>
      <c r="J7166" t="s">
        <v>17</v>
      </c>
      <c r="K7166" t="str">
        <f>"5F1"</f>
        <v>5F1</v>
      </c>
      <c r="L7166" t="s">
        <v>15</v>
      </c>
    </row>
    <row r="7167" spans="1:12" x14ac:dyDescent="0.25">
      <c r="A7167" t="str">
        <f>"5859071680"</f>
        <v>5859071680</v>
      </c>
      <c r="B7167" t="str">
        <f t="shared" si="336"/>
        <v>89301000</v>
      </c>
      <c r="C7167" s="1">
        <v>44351</v>
      </c>
      <c r="D7167" s="1">
        <v>44354</v>
      </c>
      <c r="E7167">
        <v>1</v>
      </c>
      <c r="F7167" t="s">
        <v>1683</v>
      </c>
      <c r="G7167" t="str">
        <f>"05-M06-06"</f>
        <v>05-M06-06</v>
      </c>
      <c r="H7167">
        <v>1.7652000000000001</v>
      </c>
      <c r="I7167" t="s">
        <v>5186</v>
      </c>
      <c r="J7167" t="s">
        <v>17</v>
      </c>
      <c r="K7167" t="str">
        <f>"1F1"</f>
        <v>1F1</v>
      </c>
      <c r="L7167" t="s">
        <v>15</v>
      </c>
    </row>
    <row r="7168" spans="1:12" x14ac:dyDescent="0.25">
      <c r="A7168" t="str">
        <f>"5859090820"</f>
        <v>5859090820</v>
      </c>
      <c r="B7168" t="str">
        <f t="shared" si="336"/>
        <v>89301000</v>
      </c>
      <c r="C7168" s="1">
        <v>44533</v>
      </c>
      <c r="D7168" s="1">
        <v>44534</v>
      </c>
      <c r="E7168">
        <v>1</v>
      </c>
      <c r="F7168" t="s">
        <v>1557</v>
      </c>
      <c r="G7168" t="str">
        <f>"05-D01-08"</f>
        <v>05-D01-08</v>
      </c>
      <c r="H7168">
        <v>0.4093</v>
      </c>
      <c r="J7168" t="s">
        <v>14</v>
      </c>
      <c r="K7168" t="str">
        <f>"1F7"</f>
        <v>1F7</v>
      </c>
      <c r="L7168" t="s">
        <v>15</v>
      </c>
    </row>
    <row r="7169" spans="1:12" x14ac:dyDescent="0.25">
      <c r="A7169" t="str">
        <f>"5859101116"</f>
        <v>5859101116</v>
      </c>
      <c r="B7169" t="str">
        <f t="shared" si="336"/>
        <v>89301000</v>
      </c>
      <c r="C7169" s="1">
        <v>44348</v>
      </c>
      <c r="D7169" s="1">
        <v>44349</v>
      </c>
      <c r="E7169">
        <v>1</v>
      </c>
      <c r="F7169" t="s">
        <v>2576</v>
      </c>
      <c r="G7169" t="str">
        <f>"11-I14-02"</f>
        <v>11-I14-02</v>
      </c>
      <c r="H7169">
        <v>0.63060000000000005</v>
      </c>
      <c r="J7169" t="s">
        <v>24</v>
      </c>
      <c r="K7169" t="str">
        <f>"6F3"</f>
        <v>6F3</v>
      </c>
      <c r="L7169" t="s">
        <v>15</v>
      </c>
    </row>
    <row r="7170" spans="1:12" x14ac:dyDescent="0.25">
      <c r="A7170" t="str">
        <f>"5859111654"</f>
        <v>5859111654</v>
      </c>
      <c r="B7170" t="str">
        <f t="shared" si="336"/>
        <v>89301000</v>
      </c>
      <c r="C7170" s="1">
        <v>44518</v>
      </c>
      <c r="D7170" s="1">
        <v>44527</v>
      </c>
      <c r="E7170">
        <v>8</v>
      </c>
      <c r="F7170" t="s">
        <v>217</v>
      </c>
      <c r="G7170" t="str">
        <f>"00-M01-04"</f>
        <v>00-M01-04</v>
      </c>
      <c r="H7170">
        <v>6.85</v>
      </c>
      <c r="I7170" t="s">
        <v>5187</v>
      </c>
      <c r="J7170" t="s">
        <v>14</v>
      </c>
      <c r="K7170" t="str">
        <f>"7T8"</f>
        <v>7T8</v>
      </c>
      <c r="L7170" t="s">
        <v>15</v>
      </c>
    </row>
    <row r="7171" spans="1:12" x14ac:dyDescent="0.25">
      <c r="A7171" t="str">
        <f>"5859161385"</f>
        <v>5859161385</v>
      </c>
      <c r="B7171" t="str">
        <f t="shared" si="336"/>
        <v>89301000</v>
      </c>
      <c r="C7171" s="1">
        <v>44326</v>
      </c>
      <c r="D7171" s="1">
        <v>44329</v>
      </c>
      <c r="E7171">
        <v>1</v>
      </c>
      <c r="F7171" t="s">
        <v>1551</v>
      </c>
      <c r="G7171" t="str">
        <f>"09-I06-04"</f>
        <v>09-I06-04</v>
      </c>
      <c r="H7171">
        <v>0.98829999999999996</v>
      </c>
      <c r="J7171" t="s">
        <v>17</v>
      </c>
      <c r="K7171" t="str">
        <f>"5F1"</f>
        <v>5F1</v>
      </c>
      <c r="L7171" t="s">
        <v>15</v>
      </c>
    </row>
    <row r="7172" spans="1:12" x14ac:dyDescent="0.25">
      <c r="A7172" t="str">
        <f>"5859161462"</f>
        <v>5859161462</v>
      </c>
      <c r="B7172" t="str">
        <f t="shared" si="336"/>
        <v>89301000</v>
      </c>
      <c r="C7172" s="1">
        <v>44306</v>
      </c>
      <c r="D7172" s="1">
        <v>44308</v>
      </c>
      <c r="E7172">
        <v>1</v>
      </c>
      <c r="F7172" t="s">
        <v>1551</v>
      </c>
      <c r="G7172" t="str">
        <f>"09-I06-04"</f>
        <v>09-I06-04</v>
      </c>
      <c r="H7172">
        <v>0.98829999999999996</v>
      </c>
      <c r="J7172" t="s">
        <v>17</v>
      </c>
      <c r="K7172" t="str">
        <f>"5F1"</f>
        <v>5F1</v>
      </c>
      <c r="L7172" t="s">
        <v>15</v>
      </c>
    </row>
    <row r="7173" spans="1:12" x14ac:dyDescent="0.25">
      <c r="A7173" t="str">
        <f>"5859181449"</f>
        <v>5859181449</v>
      </c>
      <c r="B7173" t="str">
        <f t="shared" si="336"/>
        <v>89301000</v>
      </c>
      <c r="C7173" s="1">
        <v>44396</v>
      </c>
      <c r="D7173" s="1">
        <v>44398</v>
      </c>
      <c r="E7173">
        <v>1</v>
      </c>
      <c r="F7173" t="s">
        <v>5188</v>
      </c>
      <c r="G7173" t="str">
        <f>"08-I18-02"</f>
        <v>08-I18-02</v>
      </c>
      <c r="H7173">
        <v>0.65769999999999995</v>
      </c>
      <c r="I7173" t="s">
        <v>244</v>
      </c>
      <c r="J7173" t="s">
        <v>17</v>
      </c>
      <c r="K7173" t="str">
        <f>"5F3"</f>
        <v>5F3</v>
      </c>
      <c r="L7173" t="s">
        <v>15</v>
      </c>
    </row>
    <row r="7174" spans="1:12" x14ac:dyDescent="0.25">
      <c r="A7174" t="str">
        <f>"5859242004"</f>
        <v>5859242004</v>
      </c>
      <c r="B7174" t="str">
        <f t="shared" si="336"/>
        <v>89301000</v>
      </c>
      <c r="C7174" s="1">
        <v>44232</v>
      </c>
      <c r="D7174" s="1">
        <v>44235</v>
      </c>
      <c r="E7174">
        <v>5</v>
      </c>
      <c r="F7174" t="s">
        <v>217</v>
      </c>
      <c r="G7174" t="str">
        <f>"04-K02-04"</f>
        <v>04-K02-04</v>
      </c>
      <c r="H7174">
        <v>0.82469999999999999</v>
      </c>
      <c r="I7174" t="s">
        <v>2025</v>
      </c>
      <c r="J7174" t="s">
        <v>14</v>
      </c>
      <c r="K7174" t="str">
        <f>"1F6"</f>
        <v>1F6</v>
      </c>
      <c r="L7174" t="s">
        <v>15</v>
      </c>
    </row>
    <row r="7175" spans="1:12" x14ac:dyDescent="0.25">
      <c r="A7175" t="str">
        <f>"5859250166"</f>
        <v>5859250166</v>
      </c>
      <c r="B7175" t="str">
        <f t="shared" si="336"/>
        <v>89301000</v>
      </c>
      <c r="C7175" s="1">
        <v>44389</v>
      </c>
      <c r="D7175" s="1">
        <v>44396</v>
      </c>
      <c r="E7175">
        <v>4</v>
      </c>
      <c r="F7175" t="s">
        <v>2407</v>
      </c>
      <c r="G7175" t="str">
        <f>"08-I06-04"</f>
        <v>08-I06-04</v>
      </c>
      <c r="H7175">
        <v>2.4260000000000002</v>
      </c>
      <c r="I7175" t="s">
        <v>5189</v>
      </c>
      <c r="J7175" t="s">
        <v>24</v>
      </c>
      <c r="K7175" t="str">
        <f>"6F6"</f>
        <v>6F6</v>
      </c>
      <c r="L7175" t="s">
        <v>15</v>
      </c>
    </row>
    <row r="7176" spans="1:12" x14ac:dyDescent="0.25">
      <c r="A7176" t="str">
        <f>"5859260088"</f>
        <v>5859260088</v>
      </c>
      <c r="B7176" t="str">
        <f t="shared" si="336"/>
        <v>89301000</v>
      </c>
      <c r="C7176" s="1">
        <v>44353</v>
      </c>
      <c r="D7176" s="1">
        <v>44359</v>
      </c>
      <c r="E7176">
        <v>1</v>
      </c>
      <c r="F7176" t="s">
        <v>2914</v>
      </c>
      <c r="G7176" t="str">
        <f>"08-I14-02"</f>
        <v>08-I14-02</v>
      </c>
      <c r="H7176">
        <v>1.7324999999999999</v>
      </c>
      <c r="I7176" t="s">
        <v>5190</v>
      </c>
      <c r="J7176" t="s">
        <v>17</v>
      </c>
      <c r="K7176" t="str">
        <f>"5F3"</f>
        <v>5F3</v>
      </c>
      <c r="L7176" t="s">
        <v>15</v>
      </c>
    </row>
    <row r="7177" spans="1:12" x14ac:dyDescent="0.25">
      <c r="A7177" t="str">
        <f>"5859292142"</f>
        <v>5859292142</v>
      </c>
      <c r="B7177" t="str">
        <f t="shared" si="336"/>
        <v>89301000</v>
      </c>
      <c r="C7177" s="1">
        <v>44311</v>
      </c>
      <c r="D7177" s="1">
        <v>44315</v>
      </c>
      <c r="E7177">
        <v>1</v>
      </c>
      <c r="F7177" t="s">
        <v>593</v>
      </c>
      <c r="G7177" t="str">
        <f>"07-I10-06"</f>
        <v>07-I10-06</v>
      </c>
      <c r="H7177">
        <v>0.9728</v>
      </c>
      <c r="J7177" t="s">
        <v>17</v>
      </c>
      <c r="K7177" t="str">
        <f>"5F1"</f>
        <v>5F1</v>
      </c>
      <c r="L7177" t="s">
        <v>15</v>
      </c>
    </row>
    <row r="7178" spans="1:12" x14ac:dyDescent="0.25">
      <c r="A7178" t="str">
        <f>"5859301745"</f>
        <v>5859301745</v>
      </c>
      <c r="B7178" t="str">
        <f t="shared" si="336"/>
        <v>89301000</v>
      </c>
      <c r="C7178" s="1">
        <v>44440</v>
      </c>
      <c r="D7178" s="1">
        <v>44460</v>
      </c>
      <c r="E7178">
        <v>5</v>
      </c>
      <c r="F7178" t="s">
        <v>109</v>
      </c>
      <c r="G7178" t="str">
        <f>"24-M08-02"</f>
        <v>24-M08-02</v>
      </c>
      <c r="H7178">
        <v>2.3557000000000001</v>
      </c>
      <c r="I7178" t="s">
        <v>4114</v>
      </c>
      <c r="J7178" t="s">
        <v>14</v>
      </c>
      <c r="K7178" t="str">
        <f>"2F1"</f>
        <v>2F1</v>
      </c>
      <c r="L7178" t="s">
        <v>15</v>
      </c>
    </row>
    <row r="7179" spans="1:12" x14ac:dyDescent="0.25">
      <c r="A7179" t="str">
        <f>"5859301745"</f>
        <v>5859301745</v>
      </c>
      <c r="B7179" t="str">
        <f t="shared" si="336"/>
        <v>89301000</v>
      </c>
      <c r="C7179" s="1">
        <v>44434</v>
      </c>
      <c r="D7179" s="1">
        <v>44440</v>
      </c>
      <c r="E7179">
        <v>3</v>
      </c>
      <c r="F7179" t="s">
        <v>2407</v>
      </c>
      <c r="G7179" t="str">
        <f>"08-I06-04"</f>
        <v>08-I06-04</v>
      </c>
      <c r="H7179">
        <v>2.4260000000000002</v>
      </c>
      <c r="I7179" t="s">
        <v>5191</v>
      </c>
      <c r="J7179" t="s">
        <v>24</v>
      </c>
      <c r="K7179" t="str">
        <f>"6F6"</f>
        <v>6F6</v>
      </c>
      <c r="L7179" t="s">
        <v>15</v>
      </c>
    </row>
    <row r="7180" spans="1:12" x14ac:dyDescent="0.25">
      <c r="A7180" t="str">
        <f>"5860010354"</f>
        <v>5860010354</v>
      </c>
      <c r="B7180" t="str">
        <f t="shared" si="336"/>
        <v>89301000</v>
      </c>
      <c r="C7180" s="1">
        <v>44251</v>
      </c>
      <c r="D7180" s="1">
        <v>44254</v>
      </c>
      <c r="E7180">
        <v>1</v>
      </c>
      <c r="F7180" t="s">
        <v>1551</v>
      </c>
      <c r="G7180" t="str">
        <f>"09-I06-04"</f>
        <v>09-I06-04</v>
      </c>
      <c r="H7180">
        <v>0.98829999999999996</v>
      </c>
      <c r="J7180" t="s">
        <v>17</v>
      </c>
      <c r="K7180" t="str">
        <f>"5F1"</f>
        <v>5F1</v>
      </c>
      <c r="L7180" t="s">
        <v>15</v>
      </c>
    </row>
    <row r="7181" spans="1:12" x14ac:dyDescent="0.25">
      <c r="A7181" t="str">
        <f>"5860051791"</f>
        <v>5860051791</v>
      </c>
      <c r="B7181" t="str">
        <f t="shared" si="336"/>
        <v>89301000</v>
      </c>
      <c r="C7181" s="1">
        <v>44390</v>
      </c>
      <c r="D7181" s="1">
        <v>44393</v>
      </c>
      <c r="E7181">
        <v>1</v>
      </c>
      <c r="F7181" t="s">
        <v>5192</v>
      </c>
      <c r="G7181" t="str">
        <f>"03-I14-02"</f>
        <v>03-I14-02</v>
      </c>
      <c r="H7181">
        <v>1.1086</v>
      </c>
      <c r="I7181" t="s">
        <v>5193</v>
      </c>
      <c r="J7181" t="s">
        <v>14</v>
      </c>
      <c r="K7181" t="str">
        <f>"7F1"</f>
        <v>7F1</v>
      </c>
      <c r="L7181" t="s">
        <v>15</v>
      </c>
    </row>
    <row r="7182" spans="1:12" x14ac:dyDescent="0.25">
      <c r="A7182" t="str">
        <f>"5860120387"</f>
        <v>5860120387</v>
      </c>
      <c r="B7182" t="str">
        <f t="shared" si="336"/>
        <v>89301000</v>
      </c>
      <c r="C7182" s="1">
        <v>44453</v>
      </c>
      <c r="D7182" s="1">
        <v>44455</v>
      </c>
      <c r="E7182">
        <v>1</v>
      </c>
      <c r="F7182" t="s">
        <v>4080</v>
      </c>
      <c r="G7182" t="str">
        <f>"04-K07-03"</f>
        <v>04-K07-03</v>
      </c>
      <c r="H7182">
        <v>0.66259999999999997</v>
      </c>
      <c r="I7182" t="s">
        <v>3885</v>
      </c>
      <c r="J7182" t="s">
        <v>14</v>
      </c>
      <c r="K7182" t="str">
        <f>"2F5"</f>
        <v>2F5</v>
      </c>
      <c r="L7182" t="s">
        <v>15</v>
      </c>
    </row>
    <row r="7183" spans="1:12" x14ac:dyDescent="0.25">
      <c r="A7183" t="str">
        <f t="shared" ref="A7183:A7192" si="337">"5860131475"</f>
        <v>5860131475</v>
      </c>
      <c r="B7183" t="str">
        <f t="shared" si="336"/>
        <v>89301000</v>
      </c>
      <c r="C7183" s="1">
        <v>44539</v>
      </c>
      <c r="D7183" s="1">
        <v>44542</v>
      </c>
      <c r="E7183">
        <v>1</v>
      </c>
      <c r="F7183" t="s">
        <v>1953</v>
      </c>
      <c r="G7183" t="str">
        <f>"07-C01-02"</f>
        <v>07-C01-02</v>
      </c>
      <c r="H7183">
        <v>0.30530000000000002</v>
      </c>
      <c r="I7183" t="s">
        <v>541</v>
      </c>
      <c r="J7183" t="s">
        <v>14</v>
      </c>
      <c r="K7183" t="str">
        <f>"4F2"</f>
        <v>4F2</v>
      </c>
      <c r="L7183" t="s">
        <v>15</v>
      </c>
    </row>
    <row r="7184" spans="1:12" x14ac:dyDescent="0.25">
      <c r="A7184" t="str">
        <f t="shared" si="337"/>
        <v>5860131475</v>
      </c>
      <c r="B7184" t="str">
        <f t="shared" si="336"/>
        <v>89301000</v>
      </c>
      <c r="C7184" s="1">
        <v>44558</v>
      </c>
      <c r="D7184" s="1">
        <v>44561</v>
      </c>
      <c r="E7184">
        <v>1</v>
      </c>
      <c r="F7184" t="s">
        <v>1953</v>
      </c>
      <c r="G7184" t="str">
        <f>"07-C01-02"</f>
        <v>07-C01-02</v>
      </c>
      <c r="H7184">
        <v>0.30530000000000002</v>
      </c>
      <c r="I7184" t="s">
        <v>541</v>
      </c>
      <c r="J7184" t="s">
        <v>14</v>
      </c>
      <c r="K7184" t="str">
        <f>"4F2"</f>
        <v>4F2</v>
      </c>
      <c r="L7184" t="s">
        <v>15</v>
      </c>
    </row>
    <row r="7185" spans="1:12" x14ac:dyDescent="0.25">
      <c r="A7185" t="str">
        <f t="shared" si="337"/>
        <v>5860131475</v>
      </c>
      <c r="B7185" t="str">
        <f t="shared" si="336"/>
        <v>89301000</v>
      </c>
      <c r="C7185" s="1">
        <v>44525</v>
      </c>
      <c r="D7185" s="1">
        <v>44528</v>
      </c>
      <c r="E7185">
        <v>1</v>
      </c>
      <c r="F7185" t="s">
        <v>1953</v>
      </c>
      <c r="G7185" t="str">
        <f>"07-C01-02"</f>
        <v>07-C01-02</v>
      </c>
      <c r="H7185">
        <v>0.30530000000000002</v>
      </c>
      <c r="I7185" t="s">
        <v>541</v>
      </c>
      <c r="J7185" t="s">
        <v>14</v>
      </c>
      <c r="K7185" t="str">
        <f>"4F2"</f>
        <v>4F2</v>
      </c>
      <c r="L7185" t="s">
        <v>15</v>
      </c>
    </row>
    <row r="7186" spans="1:12" x14ac:dyDescent="0.25">
      <c r="A7186" t="str">
        <f t="shared" si="337"/>
        <v>5860131475</v>
      </c>
      <c r="B7186" t="str">
        <f t="shared" si="336"/>
        <v>89301000</v>
      </c>
      <c r="C7186" s="1">
        <v>44488</v>
      </c>
      <c r="D7186" s="1">
        <v>44504</v>
      </c>
      <c r="E7186">
        <v>1</v>
      </c>
      <c r="F7186" t="s">
        <v>1953</v>
      </c>
      <c r="G7186" t="str">
        <f>"07-I01-02"</f>
        <v>07-I01-02</v>
      </c>
      <c r="H7186">
        <v>5.4947999999999997</v>
      </c>
      <c r="I7186" t="s">
        <v>5194</v>
      </c>
      <c r="J7186" t="s">
        <v>17</v>
      </c>
      <c r="K7186" t="str">
        <f>"5F1"</f>
        <v>5F1</v>
      </c>
      <c r="L7186" t="s">
        <v>15</v>
      </c>
    </row>
    <row r="7187" spans="1:12" x14ac:dyDescent="0.25">
      <c r="A7187" t="str">
        <f t="shared" si="337"/>
        <v>5860131475</v>
      </c>
      <c r="B7187" t="str">
        <f t="shared" si="336"/>
        <v>89301000</v>
      </c>
      <c r="C7187" s="1">
        <v>44441</v>
      </c>
      <c r="D7187" s="1">
        <v>44444</v>
      </c>
      <c r="E7187">
        <v>1</v>
      </c>
      <c r="F7187" t="s">
        <v>1953</v>
      </c>
      <c r="G7187" t="str">
        <f t="shared" ref="G7187:G7192" si="338">"07-C01-02"</f>
        <v>07-C01-02</v>
      </c>
      <c r="H7187">
        <v>0.30530000000000002</v>
      </c>
      <c r="I7187" t="s">
        <v>541</v>
      </c>
      <c r="J7187" t="s">
        <v>14</v>
      </c>
      <c r="K7187" t="str">
        <f t="shared" ref="K7187:K7192" si="339">"4F2"</f>
        <v>4F2</v>
      </c>
      <c r="L7187" t="s">
        <v>15</v>
      </c>
    </row>
    <row r="7188" spans="1:12" x14ac:dyDescent="0.25">
      <c r="A7188" t="str">
        <f t="shared" si="337"/>
        <v>5860131475</v>
      </c>
      <c r="B7188" t="str">
        <f t="shared" si="336"/>
        <v>89301000</v>
      </c>
      <c r="C7188" s="1">
        <v>44427</v>
      </c>
      <c r="D7188" s="1">
        <v>44430</v>
      </c>
      <c r="E7188">
        <v>1</v>
      </c>
      <c r="F7188" t="s">
        <v>1953</v>
      </c>
      <c r="G7188" t="str">
        <f t="shared" si="338"/>
        <v>07-C01-02</v>
      </c>
      <c r="H7188">
        <v>0.30530000000000002</v>
      </c>
      <c r="I7188" t="s">
        <v>541</v>
      </c>
      <c r="J7188" t="s">
        <v>14</v>
      </c>
      <c r="K7188" t="str">
        <f t="shared" si="339"/>
        <v>4F2</v>
      </c>
      <c r="L7188" t="s">
        <v>15</v>
      </c>
    </row>
    <row r="7189" spans="1:12" x14ac:dyDescent="0.25">
      <c r="A7189" t="str">
        <f t="shared" si="337"/>
        <v>5860131475</v>
      </c>
      <c r="B7189" t="str">
        <f t="shared" si="336"/>
        <v>89301000</v>
      </c>
      <c r="C7189" s="1">
        <v>44413</v>
      </c>
      <c r="D7189" s="1">
        <v>44415</v>
      </c>
      <c r="E7189">
        <v>1</v>
      </c>
      <c r="F7189" t="s">
        <v>1953</v>
      </c>
      <c r="G7189" t="str">
        <f t="shared" si="338"/>
        <v>07-C01-02</v>
      </c>
      <c r="H7189">
        <v>0.30530000000000002</v>
      </c>
      <c r="I7189" t="s">
        <v>541</v>
      </c>
      <c r="J7189" t="s">
        <v>14</v>
      </c>
      <c r="K7189" t="str">
        <f t="shared" si="339"/>
        <v>4F2</v>
      </c>
      <c r="L7189" t="s">
        <v>15</v>
      </c>
    </row>
    <row r="7190" spans="1:12" x14ac:dyDescent="0.25">
      <c r="A7190" t="str">
        <f t="shared" si="337"/>
        <v>5860131475</v>
      </c>
      <c r="B7190" t="str">
        <f t="shared" si="336"/>
        <v>89301000</v>
      </c>
      <c r="C7190" s="1">
        <v>44399</v>
      </c>
      <c r="D7190" s="1">
        <v>44401</v>
      </c>
      <c r="E7190">
        <v>1</v>
      </c>
      <c r="F7190" t="s">
        <v>1953</v>
      </c>
      <c r="G7190" t="str">
        <f t="shared" si="338"/>
        <v>07-C01-02</v>
      </c>
      <c r="H7190">
        <v>0.30530000000000002</v>
      </c>
      <c r="I7190" t="s">
        <v>541</v>
      </c>
      <c r="J7190" t="s">
        <v>14</v>
      </c>
      <c r="K7190" t="str">
        <f t="shared" si="339"/>
        <v>4F2</v>
      </c>
      <c r="L7190" t="s">
        <v>15</v>
      </c>
    </row>
    <row r="7191" spans="1:12" x14ac:dyDescent="0.25">
      <c r="A7191" t="str">
        <f t="shared" si="337"/>
        <v>5860131475</v>
      </c>
      <c r="B7191" t="str">
        <f t="shared" si="336"/>
        <v>89301000</v>
      </c>
      <c r="C7191" s="1">
        <v>44385</v>
      </c>
      <c r="D7191" s="1">
        <v>44388</v>
      </c>
      <c r="E7191">
        <v>1</v>
      </c>
      <c r="F7191" t="s">
        <v>1953</v>
      </c>
      <c r="G7191" t="str">
        <f t="shared" si="338"/>
        <v>07-C01-02</v>
      </c>
      <c r="H7191">
        <v>0.30530000000000002</v>
      </c>
      <c r="I7191" t="s">
        <v>541</v>
      </c>
      <c r="J7191" t="s">
        <v>14</v>
      </c>
      <c r="K7191" t="str">
        <f t="shared" si="339"/>
        <v>4F2</v>
      </c>
      <c r="L7191" t="s">
        <v>15</v>
      </c>
    </row>
    <row r="7192" spans="1:12" x14ac:dyDescent="0.25">
      <c r="A7192" t="str">
        <f t="shared" si="337"/>
        <v>5860131475</v>
      </c>
      <c r="B7192" t="str">
        <f t="shared" si="336"/>
        <v>89301000</v>
      </c>
      <c r="C7192" s="1">
        <v>44370</v>
      </c>
      <c r="D7192" s="1">
        <v>44373</v>
      </c>
      <c r="E7192">
        <v>1</v>
      </c>
      <c r="F7192" t="s">
        <v>1953</v>
      </c>
      <c r="G7192" t="str">
        <f t="shared" si="338"/>
        <v>07-C01-02</v>
      </c>
      <c r="H7192">
        <v>0.30530000000000002</v>
      </c>
      <c r="I7192" t="s">
        <v>541</v>
      </c>
      <c r="J7192" t="s">
        <v>14</v>
      </c>
      <c r="K7192" t="str">
        <f t="shared" si="339"/>
        <v>4F2</v>
      </c>
      <c r="L7192" t="s">
        <v>15</v>
      </c>
    </row>
    <row r="7193" spans="1:12" x14ac:dyDescent="0.25">
      <c r="A7193" t="str">
        <f>"5860171361"</f>
        <v>5860171361</v>
      </c>
      <c r="B7193" t="str">
        <f t="shared" si="336"/>
        <v>89301000</v>
      </c>
      <c r="C7193" s="1">
        <v>44339</v>
      </c>
      <c r="D7193" s="1">
        <v>44348</v>
      </c>
      <c r="E7193">
        <v>1</v>
      </c>
      <c r="F7193" t="s">
        <v>4506</v>
      </c>
      <c r="G7193" t="str">
        <f>"25-K01-02"</f>
        <v>25-K01-02</v>
      </c>
      <c r="H7193">
        <v>2.6412</v>
      </c>
      <c r="I7193" t="s">
        <v>381</v>
      </c>
      <c r="J7193" t="s">
        <v>17</v>
      </c>
      <c r="K7193" t="str">
        <f>"5F6"</f>
        <v>5F6</v>
      </c>
      <c r="L7193" t="s">
        <v>15</v>
      </c>
    </row>
    <row r="7194" spans="1:12" x14ac:dyDescent="0.25">
      <c r="A7194" t="str">
        <f>"5860171383"</f>
        <v>5860171383</v>
      </c>
      <c r="B7194" t="str">
        <f t="shared" si="336"/>
        <v>89301000</v>
      </c>
      <c r="C7194" s="1">
        <v>44464</v>
      </c>
      <c r="D7194" s="1">
        <v>44470</v>
      </c>
      <c r="E7194">
        <v>4</v>
      </c>
      <c r="F7194" t="s">
        <v>215</v>
      </c>
      <c r="G7194" t="str">
        <f>"08-I15-03"</f>
        <v>08-I15-03</v>
      </c>
      <c r="H7194">
        <v>1.1838</v>
      </c>
      <c r="I7194" t="s">
        <v>5195</v>
      </c>
      <c r="J7194" t="s">
        <v>17</v>
      </c>
      <c r="K7194" t="str">
        <f>"5F3"</f>
        <v>5F3</v>
      </c>
      <c r="L7194" t="s">
        <v>15</v>
      </c>
    </row>
    <row r="7195" spans="1:12" x14ac:dyDescent="0.25">
      <c r="A7195" t="str">
        <f>"5860260846"</f>
        <v>5860260846</v>
      </c>
      <c r="B7195" t="str">
        <f t="shared" si="336"/>
        <v>89301000</v>
      </c>
      <c r="C7195" s="1">
        <v>44377</v>
      </c>
      <c r="D7195" s="1">
        <v>44382</v>
      </c>
      <c r="E7195">
        <v>1</v>
      </c>
      <c r="F7195" t="s">
        <v>197</v>
      </c>
      <c r="G7195" t="str">
        <f>"03-I18-02"</f>
        <v>03-I18-02</v>
      </c>
      <c r="H7195">
        <v>0.84370000000000001</v>
      </c>
      <c r="I7195" t="s">
        <v>5196</v>
      </c>
      <c r="J7195" t="s">
        <v>24</v>
      </c>
      <c r="K7195" t="str">
        <f>"7F1"</f>
        <v>7F1</v>
      </c>
      <c r="L7195" t="s">
        <v>15</v>
      </c>
    </row>
    <row r="7196" spans="1:12" x14ac:dyDescent="0.25">
      <c r="A7196" t="str">
        <f>"5861081314"</f>
        <v>5861081314</v>
      </c>
      <c r="B7196" t="str">
        <f t="shared" si="336"/>
        <v>89301000</v>
      </c>
      <c r="C7196" s="1">
        <v>44274</v>
      </c>
      <c r="D7196" s="1">
        <v>44300</v>
      </c>
      <c r="E7196">
        <v>1</v>
      </c>
      <c r="F7196" t="s">
        <v>260</v>
      </c>
      <c r="G7196" t="str">
        <f>"03-I16-01"</f>
        <v>03-I16-01</v>
      </c>
      <c r="H7196">
        <v>2.6587999999999998</v>
      </c>
      <c r="I7196" t="s">
        <v>5197</v>
      </c>
      <c r="J7196" t="s">
        <v>24</v>
      </c>
      <c r="K7196" t="str">
        <f>"7F1"</f>
        <v>7F1</v>
      </c>
      <c r="L7196" t="s">
        <v>15</v>
      </c>
    </row>
    <row r="7197" spans="1:12" x14ac:dyDescent="0.25">
      <c r="A7197" t="str">
        <f>"5861081380"</f>
        <v>5861081380</v>
      </c>
      <c r="B7197" t="str">
        <f t="shared" si="336"/>
        <v>89301000</v>
      </c>
      <c r="C7197" s="1">
        <v>44209</v>
      </c>
      <c r="D7197" s="1">
        <v>44213</v>
      </c>
      <c r="E7197">
        <v>1</v>
      </c>
      <c r="F7197" t="s">
        <v>79</v>
      </c>
      <c r="G7197" t="str">
        <f>"10-I13-02"</f>
        <v>10-I13-02</v>
      </c>
      <c r="H7197">
        <v>1.1468</v>
      </c>
      <c r="J7197" t="s">
        <v>24</v>
      </c>
      <c r="K7197" t="str">
        <f>"7F1"</f>
        <v>7F1</v>
      </c>
      <c r="L7197" t="s">
        <v>15</v>
      </c>
    </row>
    <row r="7198" spans="1:12" x14ac:dyDescent="0.25">
      <c r="A7198" t="str">
        <f>"5861090873"</f>
        <v>5861090873</v>
      </c>
      <c r="B7198" t="str">
        <f t="shared" si="336"/>
        <v>89301000</v>
      </c>
      <c r="C7198" s="1">
        <v>44453</v>
      </c>
      <c r="D7198" s="1">
        <v>44460</v>
      </c>
      <c r="E7198">
        <v>3</v>
      </c>
      <c r="F7198" t="s">
        <v>1968</v>
      </c>
      <c r="G7198" t="str">
        <f>"08-I05-04"</f>
        <v>08-I05-04</v>
      </c>
      <c r="H7198">
        <v>2.4581</v>
      </c>
      <c r="I7198" t="s">
        <v>699</v>
      </c>
      <c r="J7198" t="s">
        <v>17</v>
      </c>
      <c r="K7198" t="str">
        <f>"6F6"</f>
        <v>6F6</v>
      </c>
      <c r="L7198" t="s">
        <v>15</v>
      </c>
    </row>
    <row r="7199" spans="1:12" x14ac:dyDescent="0.25">
      <c r="A7199" t="str">
        <f>"5861090873"</f>
        <v>5861090873</v>
      </c>
      <c r="B7199" t="str">
        <f t="shared" si="336"/>
        <v>89301000</v>
      </c>
      <c r="C7199" s="1">
        <v>44460</v>
      </c>
      <c r="D7199" s="1">
        <v>44466</v>
      </c>
      <c r="E7199">
        <v>4</v>
      </c>
      <c r="F7199" t="s">
        <v>109</v>
      </c>
      <c r="G7199" t="str">
        <f>"24-M06-02"</f>
        <v>24-M06-02</v>
      </c>
      <c r="H7199">
        <v>1.0233000000000001</v>
      </c>
      <c r="I7199" t="s">
        <v>2447</v>
      </c>
      <c r="J7199" t="s">
        <v>14</v>
      </c>
      <c r="K7199" t="str">
        <f>"2F1"</f>
        <v>2F1</v>
      </c>
      <c r="L7199" t="s">
        <v>15</v>
      </c>
    </row>
    <row r="7200" spans="1:12" x14ac:dyDescent="0.25">
      <c r="A7200" t="str">
        <f>"5861131188"</f>
        <v>5861131188</v>
      </c>
      <c r="B7200" t="str">
        <f t="shared" si="336"/>
        <v>89301000</v>
      </c>
      <c r="C7200" s="1">
        <v>44265</v>
      </c>
      <c r="D7200" s="1">
        <v>44271</v>
      </c>
      <c r="E7200">
        <v>1</v>
      </c>
      <c r="F7200" t="s">
        <v>1553</v>
      </c>
      <c r="G7200" t="str">
        <f>"04-K05-02"</f>
        <v>04-K05-02</v>
      </c>
      <c r="H7200">
        <v>1.2657</v>
      </c>
      <c r="I7200" t="s">
        <v>5198</v>
      </c>
      <c r="J7200" t="s">
        <v>14</v>
      </c>
      <c r="K7200" t="str">
        <f>"1F1"</f>
        <v>1F1</v>
      </c>
      <c r="L7200" t="s">
        <v>15</v>
      </c>
    </row>
    <row r="7201" spans="1:12" x14ac:dyDescent="0.25">
      <c r="A7201" t="str">
        <f>"5861260372"</f>
        <v>5861260372</v>
      </c>
      <c r="B7201" t="str">
        <f t="shared" si="336"/>
        <v>89301000</v>
      </c>
      <c r="C7201" s="1">
        <v>44474</v>
      </c>
      <c r="D7201" s="1">
        <v>44479</v>
      </c>
      <c r="E7201">
        <v>1</v>
      </c>
      <c r="F7201" t="s">
        <v>31</v>
      </c>
      <c r="G7201" t="str">
        <f>"08-I03-04"</f>
        <v>08-I03-04</v>
      </c>
      <c r="H7201">
        <v>4.8169000000000004</v>
      </c>
      <c r="J7201" t="s">
        <v>17</v>
      </c>
      <c r="K7201" t="str">
        <f>"5F6"</f>
        <v>5F6</v>
      </c>
      <c r="L7201" t="s">
        <v>15</v>
      </c>
    </row>
    <row r="7202" spans="1:12" x14ac:dyDescent="0.25">
      <c r="A7202" t="str">
        <f>"5861260372"</f>
        <v>5861260372</v>
      </c>
      <c r="B7202" t="str">
        <f t="shared" si="336"/>
        <v>89301000</v>
      </c>
      <c r="C7202" s="1">
        <v>44497</v>
      </c>
      <c r="D7202" s="1">
        <v>44506</v>
      </c>
      <c r="E7202">
        <v>1</v>
      </c>
      <c r="F7202" t="s">
        <v>2195</v>
      </c>
      <c r="G7202" t="str">
        <f>"08-I30-01"</f>
        <v>08-I30-01</v>
      </c>
      <c r="H7202">
        <v>2.1389</v>
      </c>
      <c r="I7202" t="s">
        <v>5199</v>
      </c>
      <c r="J7202" t="s">
        <v>14</v>
      </c>
      <c r="K7202" t="str">
        <f>"5F6"</f>
        <v>5F6</v>
      </c>
      <c r="L7202" t="s">
        <v>15</v>
      </c>
    </row>
    <row r="7203" spans="1:12" x14ac:dyDescent="0.25">
      <c r="A7203" t="str">
        <f>"5862021495"</f>
        <v>5862021495</v>
      </c>
      <c r="B7203" t="str">
        <f t="shared" si="336"/>
        <v>89301000</v>
      </c>
      <c r="C7203" s="1">
        <v>44423</v>
      </c>
      <c r="D7203" s="1">
        <v>44424</v>
      </c>
      <c r="E7203">
        <v>5</v>
      </c>
      <c r="F7203" t="s">
        <v>5200</v>
      </c>
      <c r="G7203" t="str">
        <f>"21-K05-03"</f>
        <v>21-K05-03</v>
      </c>
      <c r="H7203">
        <v>0.46750000000000003</v>
      </c>
      <c r="I7203" t="s">
        <v>5201</v>
      </c>
      <c r="J7203" t="s">
        <v>14</v>
      </c>
      <c r="K7203" t="str">
        <f>"1T1"</f>
        <v>1T1</v>
      </c>
      <c r="L7203" t="s">
        <v>15</v>
      </c>
    </row>
    <row r="7204" spans="1:12" x14ac:dyDescent="0.25">
      <c r="A7204" t="str">
        <f>"5862091455"</f>
        <v>5862091455</v>
      </c>
      <c r="B7204" t="str">
        <f t="shared" si="336"/>
        <v>89301000</v>
      </c>
      <c r="C7204" s="1">
        <v>44450</v>
      </c>
      <c r="D7204" s="1">
        <v>44455</v>
      </c>
      <c r="E7204">
        <v>1</v>
      </c>
      <c r="F7204" t="s">
        <v>3462</v>
      </c>
      <c r="G7204" t="str">
        <f>"06-I17-04"</f>
        <v>06-I17-04</v>
      </c>
      <c r="H7204">
        <v>0.49940000000000001</v>
      </c>
      <c r="I7204" t="s">
        <v>5202</v>
      </c>
      <c r="J7204" t="s">
        <v>17</v>
      </c>
      <c r="K7204" t="str">
        <f>"5F1"</f>
        <v>5F1</v>
      </c>
      <c r="L7204" t="s">
        <v>15</v>
      </c>
    </row>
    <row r="7205" spans="1:12" x14ac:dyDescent="0.25">
      <c r="A7205" t="str">
        <f>"5862091455"</f>
        <v>5862091455</v>
      </c>
      <c r="B7205" t="str">
        <f t="shared" si="336"/>
        <v>89301000</v>
      </c>
      <c r="C7205" s="1">
        <v>44336</v>
      </c>
      <c r="D7205" s="1">
        <v>44337</v>
      </c>
      <c r="E7205">
        <v>1</v>
      </c>
      <c r="F7205" t="s">
        <v>2303</v>
      </c>
      <c r="G7205" t="str">
        <f>"13-I19-00"</f>
        <v>13-I19-00</v>
      </c>
      <c r="H7205">
        <v>0.24679999999999999</v>
      </c>
      <c r="J7205" t="s">
        <v>14</v>
      </c>
      <c r="K7205" t="str">
        <f>"6F3"</f>
        <v>6F3</v>
      </c>
      <c r="L7205" t="s">
        <v>15</v>
      </c>
    </row>
    <row r="7206" spans="1:12" x14ac:dyDescent="0.25">
      <c r="A7206" t="str">
        <f>"5862281876"</f>
        <v>5862281876</v>
      </c>
      <c r="B7206" t="str">
        <f t="shared" si="336"/>
        <v>89301000</v>
      </c>
      <c r="C7206" s="1">
        <v>44368</v>
      </c>
      <c r="D7206" s="1">
        <v>44376</v>
      </c>
      <c r="E7206">
        <v>1</v>
      </c>
      <c r="F7206" t="s">
        <v>3462</v>
      </c>
      <c r="G7206" t="str">
        <f>"06-I17-01"</f>
        <v>06-I17-01</v>
      </c>
      <c r="H7206">
        <v>2.4733999999999998</v>
      </c>
      <c r="I7206" t="s">
        <v>5203</v>
      </c>
      <c r="J7206" t="s">
        <v>17</v>
      </c>
      <c r="K7206" t="str">
        <f>"5F1"</f>
        <v>5F1</v>
      </c>
      <c r="L7206" t="s">
        <v>15</v>
      </c>
    </row>
    <row r="7207" spans="1:12" x14ac:dyDescent="0.25">
      <c r="A7207" t="str">
        <f>"5901011391"</f>
        <v>5901011391</v>
      </c>
      <c r="B7207" t="str">
        <f t="shared" si="336"/>
        <v>89301000</v>
      </c>
      <c r="C7207" s="1">
        <v>44418</v>
      </c>
      <c r="D7207" s="1">
        <v>44420</v>
      </c>
      <c r="E7207">
        <v>1</v>
      </c>
      <c r="F7207" t="s">
        <v>390</v>
      </c>
      <c r="G7207" t="str">
        <f>"12-I13-02"</f>
        <v>12-I13-02</v>
      </c>
      <c r="H7207">
        <v>0.57240000000000002</v>
      </c>
      <c r="I7207" t="s">
        <v>5204</v>
      </c>
      <c r="J7207" t="s">
        <v>24</v>
      </c>
      <c r="K7207" t="str">
        <f>"7F6"</f>
        <v>7F6</v>
      </c>
      <c r="L7207" t="s">
        <v>15</v>
      </c>
    </row>
    <row r="7208" spans="1:12" x14ac:dyDescent="0.25">
      <c r="A7208" t="str">
        <f>"5901041212"</f>
        <v>5901041212</v>
      </c>
      <c r="B7208" t="str">
        <f t="shared" si="336"/>
        <v>89301000</v>
      </c>
      <c r="C7208" s="1">
        <v>44514</v>
      </c>
      <c r="D7208" s="1">
        <v>44516</v>
      </c>
      <c r="E7208">
        <v>1</v>
      </c>
      <c r="F7208" t="s">
        <v>3143</v>
      </c>
      <c r="G7208" t="str">
        <f>"01-K12-01"</f>
        <v>01-K12-01</v>
      </c>
      <c r="H7208">
        <v>0.71289999999999998</v>
      </c>
      <c r="J7208" t="s">
        <v>14</v>
      </c>
      <c r="K7208" t="str">
        <f>"5F6"</f>
        <v>5F6</v>
      </c>
      <c r="L7208" t="s">
        <v>15</v>
      </c>
    </row>
    <row r="7209" spans="1:12" x14ac:dyDescent="0.25">
      <c r="A7209" t="str">
        <f>"5901080889"</f>
        <v>5901080889</v>
      </c>
      <c r="B7209" t="str">
        <f t="shared" si="336"/>
        <v>89301000</v>
      </c>
      <c r="C7209" s="1">
        <v>44346</v>
      </c>
      <c r="D7209" s="1">
        <v>44351</v>
      </c>
      <c r="E7209">
        <v>1</v>
      </c>
      <c r="F7209" t="s">
        <v>1878</v>
      </c>
      <c r="G7209" t="str">
        <f>"10-K12-03"</f>
        <v>10-K12-03</v>
      </c>
      <c r="H7209">
        <v>0.50629999999999997</v>
      </c>
      <c r="I7209" t="s">
        <v>5205</v>
      </c>
      <c r="J7209" t="s">
        <v>14</v>
      </c>
      <c r="K7209" t="str">
        <f>"1F5"</f>
        <v>1F5</v>
      </c>
      <c r="L7209" t="s">
        <v>15</v>
      </c>
    </row>
    <row r="7210" spans="1:12" x14ac:dyDescent="0.25">
      <c r="A7210" t="str">
        <f>"5901080889"</f>
        <v>5901080889</v>
      </c>
      <c r="B7210" t="str">
        <f t="shared" si="336"/>
        <v>89301000</v>
      </c>
      <c r="C7210" s="1">
        <v>44453</v>
      </c>
      <c r="D7210" s="1">
        <v>44461</v>
      </c>
      <c r="E7210">
        <v>1</v>
      </c>
      <c r="F7210" t="s">
        <v>1555</v>
      </c>
      <c r="G7210" t="str">
        <f>"05-I24-02"</f>
        <v>05-I24-02</v>
      </c>
      <c r="H7210">
        <v>4.3616999999999999</v>
      </c>
      <c r="I7210" t="s">
        <v>5206</v>
      </c>
      <c r="J7210" t="s">
        <v>14</v>
      </c>
      <c r="K7210" t="str">
        <f>"5F1"</f>
        <v>5F1</v>
      </c>
      <c r="L7210" t="s">
        <v>15</v>
      </c>
    </row>
    <row r="7211" spans="1:12" x14ac:dyDescent="0.25">
      <c r="A7211" t="str">
        <f>"5901111667"</f>
        <v>5901111667</v>
      </c>
      <c r="B7211" t="str">
        <f t="shared" si="336"/>
        <v>89301000</v>
      </c>
      <c r="C7211" s="1">
        <v>44294</v>
      </c>
      <c r="D7211" s="1">
        <v>44299</v>
      </c>
      <c r="E7211">
        <v>1</v>
      </c>
      <c r="F7211" t="s">
        <v>16</v>
      </c>
      <c r="G7211" t="str">
        <f>"08-I04-02"</f>
        <v>08-I04-02</v>
      </c>
      <c r="H7211">
        <v>1.6718999999999999</v>
      </c>
      <c r="I7211" t="s">
        <v>489</v>
      </c>
      <c r="J7211" t="s">
        <v>17</v>
      </c>
      <c r="K7211" t="str">
        <f>"5F6"</f>
        <v>5F6</v>
      </c>
      <c r="L7211" t="s">
        <v>15</v>
      </c>
    </row>
    <row r="7212" spans="1:12" x14ac:dyDescent="0.25">
      <c r="A7212" t="str">
        <f>"5901111667"</f>
        <v>5901111667</v>
      </c>
      <c r="B7212" t="str">
        <f t="shared" si="336"/>
        <v>89301000</v>
      </c>
      <c r="C7212" s="1">
        <v>44307</v>
      </c>
      <c r="D7212" s="1">
        <v>44330</v>
      </c>
      <c r="E7212">
        <v>4</v>
      </c>
      <c r="F7212" t="s">
        <v>109</v>
      </c>
      <c r="G7212" t="str">
        <f>"24-M08-02"</f>
        <v>24-M08-02</v>
      </c>
      <c r="H7212">
        <v>2.3557000000000001</v>
      </c>
      <c r="I7212" t="s">
        <v>5207</v>
      </c>
      <c r="J7212" t="s">
        <v>14</v>
      </c>
      <c r="K7212" t="str">
        <f>"2F1"</f>
        <v>2F1</v>
      </c>
      <c r="L7212" t="s">
        <v>15</v>
      </c>
    </row>
    <row r="7213" spans="1:12" x14ac:dyDescent="0.25">
      <c r="A7213" t="str">
        <f>"5901161156"</f>
        <v>5901161156</v>
      </c>
      <c r="B7213" t="str">
        <f t="shared" si="336"/>
        <v>89301000</v>
      </c>
      <c r="C7213" s="1">
        <v>44256</v>
      </c>
      <c r="D7213" s="1">
        <v>44258</v>
      </c>
      <c r="E7213">
        <v>1</v>
      </c>
      <c r="F7213" t="s">
        <v>41</v>
      </c>
      <c r="G7213" t="str">
        <f>"01-D01-03"</f>
        <v>01-D01-03</v>
      </c>
      <c r="H7213">
        <v>0.158</v>
      </c>
      <c r="I7213" t="s">
        <v>5208</v>
      </c>
      <c r="J7213" t="s">
        <v>14</v>
      </c>
      <c r="K7213" t="str">
        <f>"2F5"</f>
        <v>2F5</v>
      </c>
      <c r="L7213" t="s">
        <v>15</v>
      </c>
    </row>
    <row r="7214" spans="1:12" x14ac:dyDescent="0.25">
      <c r="A7214" t="str">
        <f>"5901170836"</f>
        <v>5901170836</v>
      </c>
      <c r="B7214" t="str">
        <f t="shared" si="336"/>
        <v>89301000</v>
      </c>
      <c r="C7214" s="1">
        <v>44403</v>
      </c>
      <c r="D7214" s="1">
        <v>44404</v>
      </c>
      <c r="E7214">
        <v>1</v>
      </c>
      <c r="F7214" t="s">
        <v>41</v>
      </c>
      <c r="G7214" t="str">
        <f>"01-D01-03"</f>
        <v>01-D01-03</v>
      </c>
      <c r="H7214">
        <v>0.158</v>
      </c>
      <c r="I7214" t="s">
        <v>489</v>
      </c>
      <c r="J7214" t="s">
        <v>14</v>
      </c>
      <c r="K7214" t="str">
        <f>"2F5"</f>
        <v>2F5</v>
      </c>
      <c r="L7214" t="s">
        <v>15</v>
      </c>
    </row>
    <row r="7215" spans="1:12" x14ac:dyDescent="0.25">
      <c r="A7215" t="str">
        <f>"5901291484"</f>
        <v>5901291484</v>
      </c>
      <c r="B7215" t="str">
        <f t="shared" si="336"/>
        <v>89301000</v>
      </c>
      <c r="C7215" s="1">
        <v>44509</v>
      </c>
      <c r="D7215" s="1">
        <v>44515</v>
      </c>
      <c r="E7215">
        <v>1</v>
      </c>
      <c r="F7215" t="s">
        <v>5209</v>
      </c>
      <c r="G7215" t="str">
        <f>"06-I17-02"</f>
        <v>06-I17-02</v>
      </c>
      <c r="H7215">
        <v>0.97919999999999996</v>
      </c>
      <c r="I7215" t="s">
        <v>4553</v>
      </c>
      <c r="J7215" t="s">
        <v>17</v>
      </c>
      <c r="K7215" t="str">
        <f>"5F1"</f>
        <v>5F1</v>
      </c>
      <c r="L7215" t="s">
        <v>15</v>
      </c>
    </row>
    <row r="7216" spans="1:12" x14ac:dyDescent="0.25">
      <c r="A7216" t="str">
        <f>"5901312032"</f>
        <v>5901312032</v>
      </c>
      <c r="B7216" t="str">
        <f t="shared" si="336"/>
        <v>89301000</v>
      </c>
      <c r="C7216" s="1">
        <v>44501</v>
      </c>
      <c r="D7216" s="1">
        <v>44507</v>
      </c>
      <c r="E7216">
        <v>1</v>
      </c>
      <c r="F7216" t="s">
        <v>2355</v>
      </c>
      <c r="G7216" t="str">
        <f>"04-K09-03"</f>
        <v>04-K09-03</v>
      </c>
      <c r="H7216">
        <v>0.62749999999999995</v>
      </c>
      <c r="I7216" t="s">
        <v>5210</v>
      </c>
      <c r="J7216" t="s">
        <v>14</v>
      </c>
      <c r="K7216" t="str">
        <f>"2F5"</f>
        <v>2F5</v>
      </c>
      <c r="L7216" t="s">
        <v>15</v>
      </c>
    </row>
    <row r="7217" spans="1:12" x14ac:dyDescent="0.25">
      <c r="A7217" t="str">
        <f>"5901312032"</f>
        <v>5901312032</v>
      </c>
      <c r="B7217" t="str">
        <f t="shared" si="336"/>
        <v>89301000</v>
      </c>
      <c r="C7217" s="1">
        <v>44322</v>
      </c>
      <c r="D7217" s="1">
        <v>44334</v>
      </c>
      <c r="E7217">
        <v>1</v>
      </c>
      <c r="F7217" t="s">
        <v>2355</v>
      </c>
      <c r="G7217" t="str">
        <f>"04-I02-04"</f>
        <v>04-I02-04</v>
      </c>
      <c r="H7217">
        <v>3.1617999999999999</v>
      </c>
      <c r="I7217" t="s">
        <v>5211</v>
      </c>
      <c r="J7217" t="s">
        <v>106</v>
      </c>
      <c r="K7217" t="str">
        <f>"5F1"</f>
        <v>5F1</v>
      </c>
      <c r="L7217" t="s">
        <v>15</v>
      </c>
    </row>
    <row r="7218" spans="1:12" x14ac:dyDescent="0.25">
      <c r="A7218" t="str">
        <f>"5901312032"</f>
        <v>5901312032</v>
      </c>
      <c r="B7218" t="str">
        <f t="shared" si="336"/>
        <v>89301000</v>
      </c>
      <c r="C7218" s="1">
        <v>44467</v>
      </c>
      <c r="D7218" s="1">
        <v>44475</v>
      </c>
      <c r="E7218">
        <v>5</v>
      </c>
      <c r="F7218" t="s">
        <v>1683</v>
      </c>
      <c r="G7218" t="str">
        <f>"05-M06-06"</f>
        <v>05-M06-06</v>
      </c>
      <c r="H7218">
        <v>1.7652000000000001</v>
      </c>
      <c r="I7218" t="s">
        <v>5212</v>
      </c>
      <c r="J7218" t="s">
        <v>17</v>
      </c>
      <c r="K7218" t="str">
        <f>"1F7"</f>
        <v>1F7</v>
      </c>
      <c r="L7218" t="s">
        <v>15</v>
      </c>
    </row>
    <row r="7219" spans="1:12" x14ac:dyDescent="0.25">
      <c r="A7219" t="str">
        <f>"5901312032"</f>
        <v>5901312032</v>
      </c>
      <c r="B7219" t="str">
        <f t="shared" si="336"/>
        <v>89301000</v>
      </c>
      <c r="C7219" s="1">
        <v>44442</v>
      </c>
      <c r="D7219" s="1">
        <v>44449</v>
      </c>
      <c r="E7219">
        <v>1</v>
      </c>
      <c r="F7219" t="s">
        <v>2355</v>
      </c>
      <c r="G7219" t="str">
        <f>"04-K09-03"</f>
        <v>04-K09-03</v>
      </c>
      <c r="H7219">
        <v>0.62749999999999995</v>
      </c>
      <c r="I7219" t="s">
        <v>5213</v>
      </c>
      <c r="J7219" t="s">
        <v>14</v>
      </c>
      <c r="K7219" t="str">
        <f>"2F5"</f>
        <v>2F5</v>
      </c>
      <c r="L7219" t="s">
        <v>15</v>
      </c>
    </row>
    <row r="7220" spans="1:12" x14ac:dyDescent="0.25">
      <c r="A7220" t="str">
        <f>"5902011357"</f>
        <v>5902011357</v>
      </c>
      <c r="B7220" t="str">
        <f t="shared" si="336"/>
        <v>89301000</v>
      </c>
      <c r="C7220" s="1">
        <v>44454</v>
      </c>
      <c r="D7220" s="1">
        <v>44459</v>
      </c>
      <c r="E7220">
        <v>1</v>
      </c>
      <c r="F7220" t="s">
        <v>81</v>
      </c>
      <c r="G7220" t="str">
        <f>"10-I13-02"</f>
        <v>10-I13-02</v>
      </c>
      <c r="H7220">
        <v>1.1751</v>
      </c>
      <c r="I7220" t="s">
        <v>5214</v>
      </c>
      <c r="J7220" t="s">
        <v>24</v>
      </c>
      <c r="K7220" t="str">
        <f>"7F1"</f>
        <v>7F1</v>
      </c>
      <c r="L7220" t="s">
        <v>15</v>
      </c>
    </row>
    <row r="7221" spans="1:12" x14ac:dyDescent="0.25">
      <c r="A7221" t="str">
        <f>"5902100127"</f>
        <v>5902100127</v>
      </c>
      <c r="B7221" t="str">
        <f t="shared" si="336"/>
        <v>89301000</v>
      </c>
      <c r="C7221" s="1">
        <v>44280</v>
      </c>
      <c r="D7221" s="1">
        <v>44281</v>
      </c>
      <c r="E7221">
        <v>1</v>
      </c>
      <c r="F7221" t="s">
        <v>1567</v>
      </c>
      <c r="G7221" t="str">
        <f>"05-I25-03"</f>
        <v>05-I25-03</v>
      </c>
      <c r="H7221">
        <v>1.5508</v>
      </c>
      <c r="J7221" t="s">
        <v>17</v>
      </c>
      <c r="K7221" t="str">
        <f>"1F1"</f>
        <v>1F1</v>
      </c>
      <c r="L7221" t="s">
        <v>15</v>
      </c>
    </row>
    <row r="7222" spans="1:12" x14ac:dyDescent="0.25">
      <c r="A7222" t="str">
        <f>"5902101139"</f>
        <v>5902101139</v>
      </c>
      <c r="B7222" t="str">
        <f t="shared" si="336"/>
        <v>89301000</v>
      </c>
      <c r="C7222" s="1">
        <v>44528</v>
      </c>
      <c r="D7222" s="1">
        <v>44530</v>
      </c>
      <c r="E7222">
        <v>1</v>
      </c>
      <c r="F7222" t="s">
        <v>3371</v>
      </c>
      <c r="G7222" t="str">
        <f>"08-M03-03"</f>
        <v>08-M03-03</v>
      </c>
      <c r="H7222">
        <v>0.69450000000000001</v>
      </c>
      <c r="I7222" t="s">
        <v>5215</v>
      </c>
      <c r="J7222" t="s">
        <v>14</v>
      </c>
      <c r="K7222" t="str">
        <f>"6F6"</f>
        <v>6F6</v>
      </c>
      <c r="L7222" t="s">
        <v>15</v>
      </c>
    </row>
    <row r="7223" spans="1:12" x14ac:dyDescent="0.25">
      <c r="A7223" t="str">
        <f>"5902120972"</f>
        <v>5902120972</v>
      </c>
      <c r="B7223" t="str">
        <f t="shared" si="336"/>
        <v>89301000</v>
      </c>
      <c r="C7223" s="1">
        <v>44181</v>
      </c>
      <c r="D7223" s="1">
        <v>44203</v>
      </c>
      <c r="E7223">
        <v>1</v>
      </c>
      <c r="F7223" t="s">
        <v>1561</v>
      </c>
      <c r="G7223" t="str">
        <f>"07-M02-01"</f>
        <v>07-M02-01</v>
      </c>
      <c r="H7223">
        <v>2.5634999999999999</v>
      </c>
      <c r="I7223" t="s">
        <v>5216</v>
      </c>
      <c r="J7223" t="s">
        <v>17</v>
      </c>
      <c r="K7223" t="str">
        <f>"5F1"</f>
        <v>5F1</v>
      </c>
      <c r="L7223" t="s">
        <v>15</v>
      </c>
    </row>
    <row r="7224" spans="1:12" x14ac:dyDescent="0.25">
      <c r="A7224" t="str">
        <f>"5902171187"</f>
        <v>5902171187</v>
      </c>
      <c r="B7224" t="str">
        <f t="shared" si="336"/>
        <v>89301000</v>
      </c>
      <c r="C7224" s="1">
        <v>44260</v>
      </c>
      <c r="D7224" s="1">
        <v>44312</v>
      </c>
      <c r="E7224">
        <v>8</v>
      </c>
      <c r="F7224" t="s">
        <v>217</v>
      </c>
      <c r="G7224" t="str">
        <f>"00-M04-04"</f>
        <v>00-M04-04</v>
      </c>
      <c r="H7224">
        <v>42.353700000000003</v>
      </c>
      <c r="I7224" t="s">
        <v>5217</v>
      </c>
      <c r="J7224" t="s">
        <v>14</v>
      </c>
      <c r="K7224" t="str">
        <f>"1T1"</f>
        <v>1T1</v>
      </c>
      <c r="L7224" t="s">
        <v>15</v>
      </c>
    </row>
    <row r="7225" spans="1:12" x14ac:dyDescent="0.25">
      <c r="A7225" t="str">
        <f>"5902271276"</f>
        <v>5902271276</v>
      </c>
      <c r="B7225" t="str">
        <f t="shared" si="336"/>
        <v>89301000</v>
      </c>
      <c r="C7225" s="1">
        <v>44454</v>
      </c>
      <c r="D7225" s="1">
        <v>44456</v>
      </c>
      <c r="E7225">
        <v>1</v>
      </c>
      <c r="F7225" t="s">
        <v>1739</v>
      </c>
      <c r="G7225" t="str">
        <f>"10-K04-04"</f>
        <v>10-K04-04</v>
      </c>
      <c r="H7225">
        <v>0.56330000000000002</v>
      </c>
      <c r="I7225" t="s">
        <v>5218</v>
      </c>
      <c r="J7225" t="s">
        <v>14</v>
      </c>
      <c r="K7225" t="str">
        <f>"1F1"</f>
        <v>1F1</v>
      </c>
      <c r="L7225" t="s">
        <v>15</v>
      </c>
    </row>
    <row r="7226" spans="1:12" x14ac:dyDescent="0.25">
      <c r="A7226" t="str">
        <f>"5903150286"</f>
        <v>5903150286</v>
      </c>
      <c r="B7226" t="str">
        <f t="shared" si="336"/>
        <v>89301000</v>
      </c>
      <c r="C7226" s="1">
        <v>44475</v>
      </c>
      <c r="D7226" s="1">
        <v>44481</v>
      </c>
      <c r="E7226">
        <v>1</v>
      </c>
      <c r="F7226" t="s">
        <v>3462</v>
      </c>
      <c r="G7226" t="str">
        <f>"06-I17-02"</f>
        <v>06-I17-02</v>
      </c>
      <c r="H7226">
        <v>0.97919999999999996</v>
      </c>
      <c r="I7226" t="s">
        <v>4553</v>
      </c>
      <c r="J7226" t="s">
        <v>17</v>
      </c>
      <c r="K7226" t="str">
        <f>"5F1"</f>
        <v>5F1</v>
      </c>
      <c r="L7226" t="s">
        <v>15</v>
      </c>
    </row>
    <row r="7227" spans="1:12" x14ac:dyDescent="0.25">
      <c r="A7227" t="str">
        <f>"5903232434"</f>
        <v>5903232434</v>
      </c>
      <c r="B7227" t="str">
        <f t="shared" si="336"/>
        <v>89301000</v>
      </c>
      <c r="C7227" s="1">
        <v>44396</v>
      </c>
      <c r="D7227" s="1">
        <v>44405</v>
      </c>
      <c r="E7227">
        <v>1</v>
      </c>
      <c r="F7227" t="s">
        <v>1555</v>
      </c>
      <c r="G7227" t="str">
        <f>"05-M07-01"</f>
        <v>05-M07-01</v>
      </c>
      <c r="H7227">
        <v>3.3132000000000001</v>
      </c>
      <c r="J7227" t="s">
        <v>17</v>
      </c>
      <c r="K7227" t="str">
        <f>"5F1"</f>
        <v>5F1</v>
      </c>
      <c r="L7227" t="s">
        <v>15</v>
      </c>
    </row>
    <row r="7228" spans="1:12" x14ac:dyDescent="0.25">
      <c r="A7228" t="str">
        <f>"5903260671"</f>
        <v>5903260671</v>
      </c>
      <c r="B7228" t="str">
        <f t="shared" ref="B7228:B7291" si="340">"89301000"</f>
        <v>89301000</v>
      </c>
      <c r="C7228" s="1">
        <v>44397</v>
      </c>
      <c r="D7228" s="1">
        <v>44414</v>
      </c>
      <c r="E7228">
        <v>1</v>
      </c>
      <c r="F7228" t="s">
        <v>109</v>
      </c>
      <c r="G7228" t="str">
        <f>"24-M07-02"</f>
        <v>24-M07-02</v>
      </c>
      <c r="H7228">
        <v>1.5094000000000001</v>
      </c>
      <c r="I7228" t="s">
        <v>5219</v>
      </c>
      <c r="J7228" t="s">
        <v>14</v>
      </c>
      <c r="K7228" t="str">
        <f>"2F1"</f>
        <v>2F1</v>
      </c>
      <c r="L7228" t="s">
        <v>15</v>
      </c>
    </row>
    <row r="7229" spans="1:12" x14ac:dyDescent="0.25">
      <c r="A7229" t="str">
        <f>"5903270417"</f>
        <v>5903270417</v>
      </c>
      <c r="B7229" t="str">
        <f t="shared" si="340"/>
        <v>89301000</v>
      </c>
      <c r="C7229" s="1">
        <v>44305</v>
      </c>
      <c r="D7229" s="1">
        <v>44307</v>
      </c>
      <c r="E7229">
        <v>1</v>
      </c>
      <c r="F7229" t="s">
        <v>1683</v>
      </c>
      <c r="G7229" t="str">
        <f>"05-M06-06"</f>
        <v>05-M06-06</v>
      </c>
      <c r="H7229">
        <v>1.7652000000000001</v>
      </c>
      <c r="J7229" t="s">
        <v>17</v>
      </c>
      <c r="K7229" t="str">
        <f>"1F1"</f>
        <v>1F1</v>
      </c>
      <c r="L7229" t="s">
        <v>15</v>
      </c>
    </row>
    <row r="7230" spans="1:12" x14ac:dyDescent="0.25">
      <c r="A7230" t="str">
        <f>"5903271979"</f>
        <v>5903271979</v>
      </c>
      <c r="B7230" t="str">
        <f t="shared" si="340"/>
        <v>89301000</v>
      </c>
      <c r="C7230" s="1">
        <v>44390</v>
      </c>
      <c r="D7230" s="1">
        <v>44392</v>
      </c>
      <c r="E7230">
        <v>1</v>
      </c>
      <c r="F7230" t="s">
        <v>1764</v>
      </c>
      <c r="G7230" t="str">
        <f>"01-K08-01"</f>
        <v>01-K08-01</v>
      </c>
      <c r="H7230">
        <v>1.1733</v>
      </c>
      <c r="I7230" t="s">
        <v>5220</v>
      </c>
      <c r="J7230" t="s">
        <v>14</v>
      </c>
      <c r="K7230" t="str">
        <f>"2F9"</f>
        <v>2F9</v>
      </c>
      <c r="L7230" t="s">
        <v>15</v>
      </c>
    </row>
    <row r="7231" spans="1:12" x14ac:dyDescent="0.25">
      <c r="A7231" t="str">
        <f>"5903307223"</f>
        <v>5903307223</v>
      </c>
      <c r="B7231" t="str">
        <f t="shared" si="340"/>
        <v>89301000</v>
      </c>
      <c r="C7231" s="1">
        <v>44371</v>
      </c>
      <c r="D7231" s="1">
        <v>44373</v>
      </c>
      <c r="E7231">
        <v>1</v>
      </c>
      <c r="F7231" t="s">
        <v>5113</v>
      </c>
      <c r="G7231" t="str">
        <f>"17-I08-02"</f>
        <v>17-I08-02</v>
      </c>
      <c r="H7231">
        <v>1.1428</v>
      </c>
      <c r="I7231" t="s">
        <v>489</v>
      </c>
      <c r="J7231" t="s">
        <v>14</v>
      </c>
      <c r="K7231" t="str">
        <f>"1F5"</f>
        <v>1F5</v>
      </c>
      <c r="L7231" t="s">
        <v>15</v>
      </c>
    </row>
    <row r="7232" spans="1:12" x14ac:dyDescent="0.25">
      <c r="A7232" t="str">
        <f>"5903307223"</f>
        <v>5903307223</v>
      </c>
      <c r="B7232" t="str">
        <f t="shared" si="340"/>
        <v>89301000</v>
      </c>
      <c r="C7232" s="1">
        <v>44418</v>
      </c>
      <c r="D7232" s="1">
        <v>44428</v>
      </c>
      <c r="E7232">
        <v>1</v>
      </c>
      <c r="F7232" t="s">
        <v>5221</v>
      </c>
      <c r="G7232" t="str">
        <f>"06-I12-02"</f>
        <v>06-I12-02</v>
      </c>
      <c r="H7232">
        <v>2.5861999999999998</v>
      </c>
      <c r="I7232" t="s">
        <v>5222</v>
      </c>
      <c r="J7232" t="s">
        <v>14</v>
      </c>
      <c r="K7232" t="str">
        <f>"5F1"</f>
        <v>5F1</v>
      </c>
      <c r="L7232" t="s">
        <v>15</v>
      </c>
    </row>
    <row r="7233" spans="1:12" x14ac:dyDescent="0.25">
      <c r="A7233" t="str">
        <f>"5904052253"</f>
        <v>5904052253</v>
      </c>
      <c r="B7233" t="str">
        <f t="shared" si="340"/>
        <v>89301000</v>
      </c>
      <c r="C7233" s="1">
        <v>44306</v>
      </c>
      <c r="D7233" s="1">
        <v>44308</v>
      </c>
      <c r="E7233">
        <v>1</v>
      </c>
      <c r="F7233" t="s">
        <v>1553</v>
      </c>
      <c r="G7233" t="str">
        <f>"04-K05-02"</f>
        <v>04-K05-02</v>
      </c>
      <c r="H7233">
        <v>1.2657</v>
      </c>
      <c r="I7233" t="s">
        <v>4855</v>
      </c>
      <c r="J7233" t="s">
        <v>14</v>
      </c>
      <c r="K7233" t="str">
        <f>"1F1"</f>
        <v>1F1</v>
      </c>
      <c r="L7233" t="s">
        <v>15</v>
      </c>
    </row>
    <row r="7234" spans="1:12" x14ac:dyDescent="0.25">
      <c r="A7234" t="str">
        <f>"5904060327"</f>
        <v>5904060327</v>
      </c>
      <c r="B7234" t="str">
        <f t="shared" si="340"/>
        <v>89301000</v>
      </c>
      <c r="C7234" s="1">
        <v>44368</v>
      </c>
      <c r="D7234" s="1">
        <v>44370</v>
      </c>
      <c r="E7234">
        <v>1</v>
      </c>
      <c r="F7234" t="s">
        <v>2150</v>
      </c>
      <c r="G7234" t="str">
        <f>"11-K03-02"</f>
        <v>11-K03-02</v>
      </c>
      <c r="H7234">
        <v>0.6008</v>
      </c>
      <c r="I7234" t="s">
        <v>5223</v>
      </c>
      <c r="J7234" t="s">
        <v>14</v>
      </c>
      <c r="K7234" t="str">
        <f>"1F1"</f>
        <v>1F1</v>
      </c>
      <c r="L7234" t="s">
        <v>15</v>
      </c>
    </row>
    <row r="7235" spans="1:12" x14ac:dyDescent="0.25">
      <c r="A7235" t="str">
        <f>"5904060327"</f>
        <v>5904060327</v>
      </c>
      <c r="B7235" t="str">
        <f t="shared" si="340"/>
        <v>89301000</v>
      </c>
      <c r="C7235" s="1">
        <v>44396</v>
      </c>
      <c r="D7235" s="1">
        <v>44399</v>
      </c>
      <c r="E7235">
        <v>1</v>
      </c>
      <c r="F7235" t="s">
        <v>2150</v>
      </c>
      <c r="G7235" t="str">
        <f>"11-K03-02"</f>
        <v>11-K03-02</v>
      </c>
      <c r="H7235">
        <v>0.6008</v>
      </c>
      <c r="I7235" t="s">
        <v>5223</v>
      </c>
      <c r="J7235" t="s">
        <v>14</v>
      </c>
      <c r="K7235" t="str">
        <f>"1F1"</f>
        <v>1F1</v>
      </c>
      <c r="L7235" t="s">
        <v>15</v>
      </c>
    </row>
    <row r="7236" spans="1:12" x14ac:dyDescent="0.25">
      <c r="A7236" t="str">
        <f>"5904091259"</f>
        <v>5904091259</v>
      </c>
      <c r="B7236" t="str">
        <f t="shared" si="340"/>
        <v>89301000</v>
      </c>
      <c r="C7236" s="1">
        <v>44221</v>
      </c>
      <c r="D7236" s="1">
        <v>44228</v>
      </c>
      <c r="E7236">
        <v>1</v>
      </c>
      <c r="F7236" t="s">
        <v>1555</v>
      </c>
      <c r="G7236" t="str">
        <f>"05-I24-04"</f>
        <v>05-I24-04</v>
      </c>
      <c r="H7236">
        <v>2.7227000000000001</v>
      </c>
      <c r="I7236" t="s">
        <v>5224</v>
      </c>
      <c r="J7236" t="s">
        <v>14</v>
      </c>
      <c r="K7236" t="str">
        <f>"5F1"</f>
        <v>5F1</v>
      </c>
      <c r="L7236" t="s">
        <v>15</v>
      </c>
    </row>
    <row r="7237" spans="1:12" x14ac:dyDescent="0.25">
      <c r="A7237" t="str">
        <f>"5904091259"</f>
        <v>5904091259</v>
      </c>
      <c r="B7237" t="str">
        <f t="shared" si="340"/>
        <v>89301000</v>
      </c>
      <c r="C7237" s="1">
        <v>44204</v>
      </c>
      <c r="D7237" s="1">
        <v>44217</v>
      </c>
      <c r="E7237">
        <v>1</v>
      </c>
      <c r="F7237" t="s">
        <v>2270</v>
      </c>
      <c r="G7237" t="str">
        <f>"09-I13-02"</f>
        <v>09-I13-02</v>
      </c>
      <c r="H7237">
        <v>1.3832</v>
      </c>
      <c r="I7237" t="s">
        <v>5225</v>
      </c>
      <c r="J7237" t="s">
        <v>14</v>
      </c>
      <c r="K7237" t="str">
        <f>"1F1"</f>
        <v>1F1</v>
      </c>
      <c r="L7237" t="s">
        <v>15</v>
      </c>
    </row>
    <row r="7238" spans="1:12" x14ac:dyDescent="0.25">
      <c r="A7238" t="str">
        <f>"5904180348"</f>
        <v>5904180348</v>
      </c>
      <c r="B7238" t="str">
        <f t="shared" si="340"/>
        <v>89301000</v>
      </c>
      <c r="C7238" s="1">
        <v>44227</v>
      </c>
      <c r="D7238" s="1">
        <v>44229</v>
      </c>
      <c r="E7238">
        <v>5</v>
      </c>
      <c r="F7238" t="s">
        <v>217</v>
      </c>
      <c r="G7238" t="str">
        <f>"04-K02-04"</f>
        <v>04-K02-04</v>
      </c>
      <c r="H7238">
        <v>0.82469999999999999</v>
      </c>
      <c r="I7238" t="s">
        <v>248</v>
      </c>
      <c r="J7238" t="s">
        <v>14</v>
      </c>
      <c r="K7238" t="str">
        <f>"5F1"</f>
        <v>5F1</v>
      </c>
      <c r="L7238" t="s">
        <v>15</v>
      </c>
    </row>
    <row r="7239" spans="1:12" x14ac:dyDescent="0.25">
      <c r="A7239" t="str">
        <f>"5904191403"</f>
        <v>5904191403</v>
      </c>
      <c r="B7239" t="str">
        <f t="shared" si="340"/>
        <v>89301000</v>
      </c>
      <c r="C7239" s="1">
        <v>44255</v>
      </c>
      <c r="D7239" s="1">
        <v>44258</v>
      </c>
      <c r="E7239">
        <v>1</v>
      </c>
      <c r="F7239" t="s">
        <v>4196</v>
      </c>
      <c r="G7239" t="str">
        <f>"08-M03-05"</f>
        <v>08-M03-05</v>
      </c>
      <c r="H7239">
        <v>0.51759999999999995</v>
      </c>
      <c r="J7239" t="s">
        <v>14</v>
      </c>
      <c r="K7239" t="str">
        <f>"6F6"</f>
        <v>6F6</v>
      </c>
      <c r="L7239" t="s">
        <v>15</v>
      </c>
    </row>
    <row r="7240" spans="1:12" x14ac:dyDescent="0.25">
      <c r="A7240" t="str">
        <f>"5904220003"</f>
        <v>5904220003</v>
      </c>
      <c r="B7240" t="str">
        <f t="shared" si="340"/>
        <v>89301000</v>
      </c>
      <c r="C7240" s="1">
        <v>44501</v>
      </c>
      <c r="D7240" s="1">
        <v>44505</v>
      </c>
      <c r="E7240">
        <v>1</v>
      </c>
      <c r="F7240" t="s">
        <v>109</v>
      </c>
      <c r="G7240" t="str">
        <f>"24-M05-02"</f>
        <v>24-M05-02</v>
      </c>
      <c r="H7240">
        <v>0.58960000000000001</v>
      </c>
      <c r="I7240" t="s">
        <v>3983</v>
      </c>
      <c r="J7240" t="s">
        <v>14</v>
      </c>
      <c r="K7240" t="str">
        <f>"2F1"</f>
        <v>2F1</v>
      </c>
      <c r="L7240" t="s">
        <v>15</v>
      </c>
    </row>
    <row r="7241" spans="1:12" x14ac:dyDescent="0.25">
      <c r="A7241" t="str">
        <f>"5904220003"</f>
        <v>5904220003</v>
      </c>
      <c r="B7241" t="str">
        <f t="shared" si="340"/>
        <v>89301000</v>
      </c>
      <c r="C7241" s="1">
        <v>44300</v>
      </c>
      <c r="D7241" s="1">
        <v>44303</v>
      </c>
      <c r="E7241">
        <v>1</v>
      </c>
      <c r="F7241" t="s">
        <v>151</v>
      </c>
      <c r="G7241" t="str">
        <f>"06-I16-04"</f>
        <v>06-I16-04</v>
      </c>
      <c r="H7241">
        <v>0.67620000000000002</v>
      </c>
      <c r="J7241" t="s">
        <v>24</v>
      </c>
      <c r="K7241" t="str">
        <f>"5F1"</f>
        <v>5F1</v>
      </c>
      <c r="L7241" t="s">
        <v>15</v>
      </c>
    </row>
    <row r="7242" spans="1:12" x14ac:dyDescent="0.25">
      <c r="A7242" t="str">
        <f>"5904256413"</f>
        <v>5904256413</v>
      </c>
      <c r="B7242" t="str">
        <f t="shared" si="340"/>
        <v>89301000</v>
      </c>
      <c r="C7242" s="1">
        <v>44242</v>
      </c>
      <c r="D7242" s="1">
        <v>44243</v>
      </c>
      <c r="E7242">
        <v>1</v>
      </c>
      <c r="F7242" t="s">
        <v>1650</v>
      </c>
      <c r="G7242" t="str">
        <f>"05-K01-03"</f>
        <v>05-K01-03</v>
      </c>
      <c r="H7242">
        <v>0.66049999999999998</v>
      </c>
      <c r="I7242" t="s">
        <v>1959</v>
      </c>
      <c r="J7242" t="s">
        <v>14</v>
      </c>
      <c r="K7242" t="str">
        <f>"1F1"</f>
        <v>1F1</v>
      </c>
      <c r="L7242" t="s">
        <v>15</v>
      </c>
    </row>
    <row r="7243" spans="1:12" x14ac:dyDescent="0.25">
      <c r="A7243" t="str">
        <f>"5905011222"</f>
        <v>5905011222</v>
      </c>
      <c r="B7243" t="str">
        <f t="shared" si="340"/>
        <v>89301000</v>
      </c>
      <c r="C7243" s="1">
        <v>44518</v>
      </c>
      <c r="D7243" s="1">
        <v>44521</v>
      </c>
      <c r="E7243">
        <v>1</v>
      </c>
      <c r="F7243" t="s">
        <v>2701</v>
      </c>
      <c r="G7243" t="str">
        <f>"08-I04-01"</f>
        <v>08-I04-01</v>
      </c>
      <c r="H7243">
        <v>2.8736999999999999</v>
      </c>
      <c r="I7243" t="s">
        <v>489</v>
      </c>
      <c r="J7243" t="s">
        <v>17</v>
      </c>
      <c r="K7243" t="str">
        <f>"5F6"</f>
        <v>5F6</v>
      </c>
      <c r="L7243" t="s">
        <v>15</v>
      </c>
    </row>
    <row r="7244" spans="1:12" x14ac:dyDescent="0.25">
      <c r="A7244" t="str">
        <f>"5905020022"</f>
        <v>5905020022</v>
      </c>
      <c r="B7244" t="str">
        <f t="shared" si="340"/>
        <v>89301000</v>
      </c>
      <c r="C7244" s="1">
        <v>44504</v>
      </c>
      <c r="D7244" s="1">
        <v>44515</v>
      </c>
      <c r="E7244">
        <v>1</v>
      </c>
      <c r="F7244" t="s">
        <v>1991</v>
      </c>
      <c r="G7244" t="str">
        <f>"12-I03-04"</f>
        <v>12-I03-04</v>
      </c>
      <c r="H7244">
        <v>1.8419000000000001</v>
      </c>
      <c r="I7244" t="s">
        <v>489</v>
      </c>
      <c r="J7244" t="s">
        <v>24</v>
      </c>
      <c r="K7244" t="str">
        <f>"7F6"</f>
        <v>7F6</v>
      </c>
      <c r="L7244" t="s">
        <v>15</v>
      </c>
    </row>
    <row r="7245" spans="1:12" x14ac:dyDescent="0.25">
      <c r="A7245" t="str">
        <f>"5905080808"</f>
        <v>5905080808</v>
      </c>
      <c r="B7245" t="str">
        <f t="shared" si="340"/>
        <v>89301000</v>
      </c>
      <c r="C7245" s="1">
        <v>44289</v>
      </c>
      <c r="D7245" s="1">
        <v>44301</v>
      </c>
      <c r="E7245">
        <v>1</v>
      </c>
      <c r="F7245" t="s">
        <v>5226</v>
      </c>
      <c r="G7245" t="str">
        <f>"20-K04-02"</f>
        <v>20-K04-02</v>
      </c>
      <c r="H7245">
        <v>1.4984</v>
      </c>
      <c r="I7245" t="s">
        <v>5227</v>
      </c>
      <c r="J7245" t="s">
        <v>14</v>
      </c>
      <c r="K7245" t="str">
        <f>"3F5"</f>
        <v>3F5</v>
      </c>
      <c r="L7245" t="s">
        <v>15</v>
      </c>
    </row>
    <row r="7246" spans="1:12" x14ac:dyDescent="0.25">
      <c r="A7246" t="str">
        <f>"5905181579"</f>
        <v>5905181579</v>
      </c>
      <c r="B7246" t="str">
        <f t="shared" si="340"/>
        <v>89301000</v>
      </c>
      <c r="C7246" s="1">
        <v>44294</v>
      </c>
      <c r="D7246" s="1">
        <v>44297</v>
      </c>
      <c r="E7246">
        <v>1</v>
      </c>
      <c r="F7246" t="s">
        <v>1581</v>
      </c>
      <c r="G7246" t="str">
        <f>"05-M07-06"</f>
        <v>05-M07-06</v>
      </c>
      <c r="H7246">
        <v>1.2513000000000001</v>
      </c>
      <c r="J7246" t="s">
        <v>17</v>
      </c>
      <c r="K7246" t="str">
        <f>"5F1"</f>
        <v>5F1</v>
      </c>
      <c r="L7246" t="s">
        <v>15</v>
      </c>
    </row>
    <row r="7247" spans="1:12" x14ac:dyDescent="0.25">
      <c r="A7247" t="str">
        <f>"5905200466"</f>
        <v>5905200466</v>
      </c>
      <c r="B7247" t="str">
        <f t="shared" si="340"/>
        <v>89301000</v>
      </c>
      <c r="C7247" s="1">
        <v>44351</v>
      </c>
      <c r="D7247" s="1">
        <v>44352</v>
      </c>
      <c r="E7247">
        <v>1</v>
      </c>
      <c r="F7247" t="s">
        <v>1557</v>
      </c>
      <c r="G7247" t="str">
        <f>"05-D01-08"</f>
        <v>05-D01-08</v>
      </c>
      <c r="H7247">
        <v>0.4093</v>
      </c>
      <c r="J7247" t="s">
        <v>14</v>
      </c>
      <c r="K7247" t="str">
        <f>"1F7"</f>
        <v>1F7</v>
      </c>
      <c r="L7247" t="s">
        <v>15</v>
      </c>
    </row>
    <row r="7248" spans="1:12" x14ac:dyDescent="0.25">
      <c r="A7248" t="str">
        <f>"5905201346"</f>
        <v>5905201346</v>
      </c>
      <c r="B7248" t="str">
        <f t="shared" si="340"/>
        <v>89301000</v>
      </c>
      <c r="C7248" s="1">
        <v>44525</v>
      </c>
      <c r="D7248" s="1">
        <v>44526</v>
      </c>
      <c r="E7248">
        <v>1</v>
      </c>
      <c r="F7248" t="s">
        <v>174</v>
      </c>
      <c r="G7248" t="str">
        <f>"12-I14-00"</f>
        <v>12-I14-00</v>
      </c>
      <c r="H7248">
        <v>0.44350000000000001</v>
      </c>
      <c r="I7248" t="s">
        <v>5228</v>
      </c>
      <c r="J7248" t="s">
        <v>14</v>
      </c>
      <c r="K7248" t="str">
        <f>"7F6"</f>
        <v>7F6</v>
      </c>
      <c r="L7248" t="s">
        <v>15</v>
      </c>
    </row>
    <row r="7249" spans="1:12" x14ac:dyDescent="0.25">
      <c r="A7249" t="str">
        <f>"5905250901"</f>
        <v>5905250901</v>
      </c>
      <c r="B7249" t="str">
        <f t="shared" si="340"/>
        <v>89301000</v>
      </c>
      <c r="C7249" s="1">
        <v>44231</v>
      </c>
      <c r="D7249" s="1">
        <v>44233</v>
      </c>
      <c r="E7249">
        <v>1</v>
      </c>
      <c r="F7249" t="s">
        <v>4771</v>
      </c>
      <c r="G7249" t="str">
        <f>"03-I22-02"</f>
        <v>03-I22-02</v>
      </c>
      <c r="H7249">
        <v>0.75970000000000004</v>
      </c>
      <c r="I7249" t="s">
        <v>168</v>
      </c>
      <c r="J7249" t="s">
        <v>14</v>
      </c>
      <c r="K7249" t="str">
        <f>"7F1"</f>
        <v>7F1</v>
      </c>
      <c r="L7249" t="s">
        <v>15</v>
      </c>
    </row>
    <row r="7250" spans="1:12" x14ac:dyDescent="0.25">
      <c r="A7250" t="str">
        <f>"5905281470"</f>
        <v>5905281470</v>
      </c>
      <c r="B7250" t="str">
        <f t="shared" si="340"/>
        <v>89301000</v>
      </c>
      <c r="C7250" s="1">
        <v>44432</v>
      </c>
      <c r="D7250" s="1">
        <v>44446</v>
      </c>
      <c r="E7250">
        <v>5</v>
      </c>
      <c r="F7250" t="s">
        <v>1842</v>
      </c>
      <c r="G7250" t="str">
        <f>"05-I14-01"</f>
        <v>05-I14-01</v>
      </c>
      <c r="H7250">
        <v>10.0059</v>
      </c>
      <c r="I7250" t="s">
        <v>5229</v>
      </c>
      <c r="J7250" t="s">
        <v>14</v>
      </c>
      <c r="K7250" t="str">
        <f>"1F1"</f>
        <v>1F1</v>
      </c>
      <c r="L7250" t="s">
        <v>15</v>
      </c>
    </row>
    <row r="7251" spans="1:12" x14ac:dyDescent="0.25">
      <c r="A7251" t="str">
        <f>"5905281470"</f>
        <v>5905281470</v>
      </c>
      <c r="B7251" t="str">
        <f t="shared" si="340"/>
        <v>89301000</v>
      </c>
      <c r="C7251" s="1">
        <v>44423</v>
      </c>
      <c r="D7251" s="1">
        <v>44425</v>
      </c>
      <c r="E7251">
        <v>1</v>
      </c>
      <c r="F7251" t="s">
        <v>1563</v>
      </c>
      <c r="G7251" t="str">
        <f>"05-K05-05"</f>
        <v>05-K05-05</v>
      </c>
      <c r="H7251">
        <v>0.37819999999999998</v>
      </c>
      <c r="I7251" t="s">
        <v>5230</v>
      </c>
      <c r="J7251" t="s">
        <v>14</v>
      </c>
      <c r="K7251" t="str">
        <f>"1F7"</f>
        <v>1F7</v>
      </c>
      <c r="L7251" t="s">
        <v>15</v>
      </c>
    </row>
    <row r="7252" spans="1:12" x14ac:dyDescent="0.25">
      <c r="A7252" t="str">
        <f>"5905291579"</f>
        <v>5905291579</v>
      </c>
      <c r="B7252" t="str">
        <f t="shared" si="340"/>
        <v>89301000</v>
      </c>
      <c r="C7252" s="1">
        <v>44467</v>
      </c>
      <c r="D7252" s="1">
        <v>44468</v>
      </c>
      <c r="E7252">
        <v>5</v>
      </c>
      <c r="F7252" t="s">
        <v>2004</v>
      </c>
      <c r="G7252" t="str">
        <f>"05-M06-06"</f>
        <v>05-M06-06</v>
      </c>
      <c r="H7252">
        <v>1.7652000000000001</v>
      </c>
      <c r="I7252" t="s">
        <v>1963</v>
      </c>
      <c r="J7252" t="s">
        <v>17</v>
      </c>
      <c r="K7252" t="str">
        <f>"1F1"</f>
        <v>1F1</v>
      </c>
      <c r="L7252" t="s">
        <v>15</v>
      </c>
    </row>
    <row r="7253" spans="1:12" x14ac:dyDescent="0.25">
      <c r="A7253" t="str">
        <f>"5905301479"</f>
        <v>5905301479</v>
      </c>
      <c r="B7253" t="str">
        <f t="shared" si="340"/>
        <v>89301000</v>
      </c>
      <c r="C7253" s="1">
        <v>44459</v>
      </c>
      <c r="D7253" s="1">
        <v>44466</v>
      </c>
      <c r="E7253">
        <v>1</v>
      </c>
      <c r="F7253" t="s">
        <v>2133</v>
      </c>
      <c r="G7253" t="str">
        <f>"04-K06-01"</f>
        <v>04-K06-01</v>
      </c>
      <c r="H7253">
        <v>1.9838</v>
      </c>
      <c r="I7253" t="s">
        <v>5231</v>
      </c>
      <c r="J7253" t="s">
        <v>14</v>
      </c>
      <c r="K7253" t="str">
        <f>"2F5"</f>
        <v>2F5</v>
      </c>
      <c r="L7253" t="s">
        <v>15</v>
      </c>
    </row>
    <row r="7254" spans="1:12" x14ac:dyDescent="0.25">
      <c r="A7254" t="str">
        <f>"5906031824"</f>
        <v>5906031824</v>
      </c>
      <c r="B7254" t="str">
        <f t="shared" si="340"/>
        <v>89301000</v>
      </c>
      <c r="C7254" s="1">
        <v>44201</v>
      </c>
      <c r="D7254" s="1">
        <v>44208</v>
      </c>
      <c r="E7254">
        <v>1</v>
      </c>
      <c r="F7254" t="s">
        <v>2006</v>
      </c>
      <c r="G7254" t="str">
        <f>"06-C02-02"</f>
        <v>06-C02-02</v>
      </c>
      <c r="H7254">
        <v>0.39</v>
      </c>
      <c r="I7254" t="s">
        <v>2946</v>
      </c>
      <c r="J7254" t="s">
        <v>14</v>
      </c>
      <c r="K7254" t="str">
        <f>"4F2"</f>
        <v>4F2</v>
      </c>
      <c r="L7254" t="s">
        <v>15</v>
      </c>
    </row>
    <row r="7255" spans="1:12" x14ac:dyDescent="0.25">
      <c r="A7255" t="str">
        <f>"5906031824"</f>
        <v>5906031824</v>
      </c>
      <c r="B7255" t="str">
        <f t="shared" si="340"/>
        <v>89301000</v>
      </c>
      <c r="C7255" s="1">
        <v>44475</v>
      </c>
      <c r="D7255" s="1">
        <v>44477</v>
      </c>
      <c r="E7255">
        <v>1</v>
      </c>
      <c r="F7255" t="s">
        <v>2006</v>
      </c>
      <c r="G7255" t="str">
        <f>"06-M01-03"</f>
        <v>06-M01-03</v>
      </c>
      <c r="H7255">
        <v>0.82450000000000001</v>
      </c>
      <c r="I7255" t="s">
        <v>145</v>
      </c>
      <c r="J7255" t="s">
        <v>14</v>
      </c>
      <c r="K7255" t="str">
        <f>"4F2"</f>
        <v>4F2</v>
      </c>
      <c r="L7255" t="s">
        <v>15</v>
      </c>
    </row>
    <row r="7256" spans="1:12" x14ac:dyDescent="0.25">
      <c r="A7256" t="str">
        <f>"5906031824"</f>
        <v>5906031824</v>
      </c>
      <c r="B7256" t="str">
        <f t="shared" si="340"/>
        <v>89301000</v>
      </c>
      <c r="C7256" s="1">
        <v>44494</v>
      </c>
      <c r="D7256" s="1">
        <v>44505</v>
      </c>
      <c r="E7256">
        <v>1</v>
      </c>
      <c r="F7256" t="s">
        <v>2243</v>
      </c>
      <c r="G7256" t="str">
        <f>"06-I13-03"</f>
        <v>06-I13-03</v>
      </c>
      <c r="H7256">
        <v>1.6753</v>
      </c>
      <c r="I7256" t="s">
        <v>3850</v>
      </c>
      <c r="J7256" t="s">
        <v>14</v>
      </c>
      <c r="K7256" t="str">
        <f>"5F1"</f>
        <v>5F1</v>
      </c>
      <c r="L7256" t="s">
        <v>15</v>
      </c>
    </row>
    <row r="7257" spans="1:12" x14ac:dyDescent="0.25">
      <c r="A7257" t="str">
        <f>"5906082446"</f>
        <v>5906082446</v>
      </c>
      <c r="B7257" t="str">
        <f t="shared" si="340"/>
        <v>89301000</v>
      </c>
      <c r="C7257" s="1">
        <v>44454</v>
      </c>
      <c r="D7257" s="1">
        <v>44468</v>
      </c>
      <c r="E7257">
        <v>1</v>
      </c>
      <c r="F7257" t="s">
        <v>3813</v>
      </c>
      <c r="G7257" t="str">
        <f>"07-I03-02"</f>
        <v>07-I03-02</v>
      </c>
      <c r="H7257">
        <v>3.3117000000000001</v>
      </c>
      <c r="I7257" t="s">
        <v>5232</v>
      </c>
      <c r="J7257" t="s">
        <v>17</v>
      </c>
      <c r="K7257" t="str">
        <f>"5F1"</f>
        <v>5F1</v>
      </c>
      <c r="L7257" t="s">
        <v>15</v>
      </c>
    </row>
    <row r="7258" spans="1:12" x14ac:dyDescent="0.25">
      <c r="A7258" t="str">
        <f>"5906131275"</f>
        <v>5906131275</v>
      </c>
      <c r="B7258" t="str">
        <f t="shared" si="340"/>
        <v>89301000</v>
      </c>
      <c r="C7258" s="1">
        <v>44545</v>
      </c>
      <c r="D7258" s="1">
        <v>44549</v>
      </c>
      <c r="E7258">
        <v>1</v>
      </c>
      <c r="F7258" t="s">
        <v>1679</v>
      </c>
      <c r="G7258" t="str">
        <f>"11-M06-03"</f>
        <v>11-M06-03</v>
      </c>
      <c r="H7258">
        <v>0.61519999999999997</v>
      </c>
      <c r="I7258" t="s">
        <v>351</v>
      </c>
      <c r="J7258" t="s">
        <v>17</v>
      </c>
      <c r="K7258" t="str">
        <f>"7F6"</f>
        <v>7F6</v>
      </c>
      <c r="L7258" t="s">
        <v>15</v>
      </c>
    </row>
    <row r="7259" spans="1:12" x14ac:dyDescent="0.25">
      <c r="A7259" t="str">
        <f>"5906131275"</f>
        <v>5906131275</v>
      </c>
      <c r="B7259" t="str">
        <f t="shared" si="340"/>
        <v>89301000</v>
      </c>
      <c r="C7259" s="1">
        <v>44510</v>
      </c>
      <c r="D7259" s="1">
        <v>44517</v>
      </c>
      <c r="E7259">
        <v>1</v>
      </c>
      <c r="F7259" t="s">
        <v>1679</v>
      </c>
      <c r="G7259" t="str">
        <f>"11-M06-02"</f>
        <v>11-M06-02</v>
      </c>
      <c r="H7259">
        <v>0.90400000000000003</v>
      </c>
      <c r="I7259" t="s">
        <v>5233</v>
      </c>
      <c r="J7259" t="s">
        <v>17</v>
      </c>
      <c r="K7259" t="str">
        <f>"7F6"</f>
        <v>7F6</v>
      </c>
      <c r="L7259" t="s">
        <v>15</v>
      </c>
    </row>
    <row r="7260" spans="1:12" x14ac:dyDescent="0.25">
      <c r="A7260" t="str">
        <f>"5906280688"</f>
        <v>5906280688</v>
      </c>
      <c r="B7260" t="str">
        <f t="shared" si="340"/>
        <v>89301000</v>
      </c>
      <c r="C7260" s="1">
        <v>44465</v>
      </c>
      <c r="D7260" s="1">
        <v>44474</v>
      </c>
      <c r="E7260">
        <v>5</v>
      </c>
      <c r="F7260" t="s">
        <v>1608</v>
      </c>
      <c r="G7260" t="str">
        <f>"01-K10-03"</f>
        <v>01-K10-03</v>
      </c>
      <c r="H7260">
        <v>1.0016</v>
      </c>
      <c r="I7260" t="s">
        <v>5234</v>
      </c>
      <c r="J7260" t="s">
        <v>14</v>
      </c>
      <c r="K7260" t="str">
        <f>"2T9"</f>
        <v>2T9</v>
      </c>
      <c r="L7260" t="s">
        <v>15</v>
      </c>
    </row>
    <row r="7261" spans="1:12" x14ac:dyDescent="0.25">
      <c r="A7261" t="str">
        <f>"5906290621"</f>
        <v>5906290621</v>
      </c>
      <c r="B7261" t="str">
        <f t="shared" si="340"/>
        <v>89301000</v>
      </c>
      <c r="C7261" s="1">
        <v>44245</v>
      </c>
      <c r="D7261" s="1">
        <v>44247</v>
      </c>
      <c r="E7261">
        <v>1</v>
      </c>
      <c r="F7261" t="s">
        <v>1679</v>
      </c>
      <c r="G7261" t="str">
        <f>"11-K08-02"</f>
        <v>11-K08-02</v>
      </c>
      <c r="H7261">
        <v>0.47389999999999999</v>
      </c>
      <c r="I7261" t="s">
        <v>5235</v>
      </c>
      <c r="J7261" t="s">
        <v>14</v>
      </c>
      <c r="K7261" t="str">
        <f>"7F6"</f>
        <v>7F6</v>
      </c>
      <c r="L7261" t="s">
        <v>15</v>
      </c>
    </row>
    <row r="7262" spans="1:12" x14ac:dyDescent="0.25">
      <c r="A7262" t="str">
        <f>"5907032076"</f>
        <v>5907032076</v>
      </c>
      <c r="B7262" t="str">
        <f t="shared" si="340"/>
        <v>89301000</v>
      </c>
      <c r="C7262" s="1">
        <v>44414</v>
      </c>
      <c r="D7262" s="1">
        <v>44417</v>
      </c>
      <c r="E7262">
        <v>1</v>
      </c>
      <c r="F7262" t="s">
        <v>3889</v>
      </c>
      <c r="G7262" t="str">
        <f>"05-M06-06"</f>
        <v>05-M06-06</v>
      </c>
      <c r="H7262">
        <v>1.7652000000000001</v>
      </c>
      <c r="I7262" t="s">
        <v>489</v>
      </c>
      <c r="J7262" t="s">
        <v>17</v>
      </c>
      <c r="K7262" t="str">
        <f>"1F1"</f>
        <v>1F1</v>
      </c>
      <c r="L7262" t="s">
        <v>15</v>
      </c>
    </row>
    <row r="7263" spans="1:12" x14ac:dyDescent="0.25">
      <c r="A7263" t="str">
        <f>"5907051359"</f>
        <v>5907051359</v>
      </c>
      <c r="B7263" t="str">
        <f t="shared" si="340"/>
        <v>89301000</v>
      </c>
      <c r="C7263" s="1">
        <v>44244</v>
      </c>
      <c r="D7263" s="1">
        <v>44245</v>
      </c>
      <c r="E7263">
        <v>1</v>
      </c>
      <c r="F7263" t="s">
        <v>5236</v>
      </c>
      <c r="G7263" t="str">
        <f>"08-I19-03"</f>
        <v>08-I19-03</v>
      </c>
      <c r="H7263">
        <v>0.66279999999999994</v>
      </c>
      <c r="I7263" t="s">
        <v>21</v>
      </c>
      <c r="J7263" t="s">
        <v>17</v>
      </c>
      <c r="K7263" t="str">
        <f>"5F3"</f>
        <v>5F3</v>
      </c>
      <c r="L7263" t="s">
        <v>15</v>
      </c>
    </row>
    <row r="7264" spans="1:12" x14ac:dyDescent="0.25">
      <c r="A7264" t="str">
        <f>"5907051403"</f>
        <v>5907051403</v>
      </c>
      <c r="B7264" t="str">
        <f t="shared" si="340"/>
        <v>89301000</v>
      </c>
      <c r="C7264" s="1">
        <v>44292</v>
      </c>
      <c r="D7264" s="1">
        <v>44295</v>
      </c>
      <c r="E7264">
        <v>8</v>
      </c>
      <c r="F7264" t="s">
        <v>926</v>
      </c>
      <c r="G7264" t="str">
        <f>"04-K08-02"</f>
        <v>04-K08-02</v>
      </c>
      <c r="H7264">
        <v>2.6110000000000002</v>
      </c>
      <c r="I7264" t="s">
        <v>5237</v>
      </c>
      <c r="J7264" t="s">
        <v>14</v>
      </c>
      <c r="K7264" t="str">
        <f>"7T8"</f>
        <v>7T8</v>
      </c>
      <c r="L7264" t="s">
        <v>15</v>
      </c>
    </row>
    <row r="7265" spans="1:12" x14ac:dyDescent="0.25">
      <c r="A7265" t="str">
        <f>"5907092180"</f>
        <v>5907092180</v>
      </c>
      <c r="B7265" t="str">
        <f t="shared" si="340"/>
        <v>89301000</v>
      </c>
      <c r="C7265" s="1">
        <v>44463</v>
      </c>
      <c r="D7265" s="1">
        <v>44464</v>
      </c>
      <c r="E7265">
        <v>1</v>
      </c>
      <c r="F7265" t="s">
        <v>390</v>
      </c>
      <c r="G7265" t="str">
        <f>"12-I13-02"</f>
        <v>12-I13-02</v>
      </c>
      <c r="H7265">
        <v>0.57240000000000002</v>
      </c>
      <c r="I7265" t="s">
        <v>2428</v>
      </c>
      <c r="J7265" t="s">
        <v>24</v>
      </c>
      <c r="K7265" t="str">
        <f>"7F6"</f>
        <v>7F6</v>
      </c>
      <c r="L7265" t="s">
        <v>15</v>
      </c>
    </row>
    <row r="7266" spans="1:12" x14ac:dyDescent="0.25">
      <c r="A7266" t="str">
        <f>"5907151371"</f>
        <v>5907151371</v>
      </c>
      <c r="B7266" t="str">
        <f t="shared" si="340"/>
        <v>89301000</v>
      </c>
      <c r="C7266" s="1">
        <v>44447</v>
      </c>
      <c r="D7266" s="1">
        <v>44450</v>
      </c>
      <c r="E7266">
        <v>1</v>
      </c>
      <c r="F7266" t="s">
        <v>1683</v>
      </c>
      <c r="G7266" t="str">
        <f>"05-M06-05"</f>
        <v>05-M06-05</v>
      </c>
      <c r="H7266">
        <v>2.3010000000000002</v>
      </c>
      <c r="I7266" t="s">
        <v>1959</v>
      </c>
      <c r="J7266" t="s">
        <v>17</v>
      </c>
      <c r="K7266" t="str">
        <f>"1F1"</f>
        <v>1F1</v>
      </c>
      <c r="L7266" t="s">
        <v>15</v>
      </c>
    </row>
    <row r="7267" spans="1:12" x14ac:dyDescent="0.25">
      <c r="A7267" t="str">
        <f>"5907161392"</f>
        <v>5907161392</v>
      </c>
      <c r="B7267" t="str">
        <f t="shared" si="340"/>
        <v>89301000</v>
      </c>
      <c r="C7267" s="1">
        <v>44484</v>
      </c>
      <c r="D7267" s="1">
        <v>44487</v>
      </c>
      <c r="E7267">
        <v>1</v>
      </c>
      <c r="F7267" t="s">
        <v>2986</v>
      </c>
      <c r="G7267" t="str">
        <f>"06-M01-03"</f>
        <v>06-M01-03</v>
      </c>
      <c r="H7267">
        <v>0.82450000000000001</v>
      </c>
      <c r="I7267" t="s">
        <v>5238</v>
      </c>
      <c r="J7267" t="s">
        <v>14</v>
      </c>
      <c r="K7267" t="str">
        <f>"1F1"</f>
        <v>1F1</v>
      </c>
      <c r="L7267" t="s">
        <v>15</v>
      </c>
    </row>
    <row r="7268" spans="1:12" x14ac:dyDescent="0.25">
      <c r="A7268" t="str">
        <f>"5907190179"</f>
        <v>5907190179</v>
      </c>
      <c r="B7268" t="str">
        <f t="shared" si="340"/>
        <v>89301000</v>
      </c>
      <c r="C7268" s="1">
        <v>44258</v>
      </c>
      <c r="D7268" s="1">
        <v>44264</v>
      </c>
      <c r="E7268">
        <v>1</v>
      </c>
      <c r="F7268" t="s">
        <v>1914</v>
      </c>
      <c r="G7268" t="str">
        <f>"04-M02-04"</f>
        <v>04-M02-04</v>
      </c>
      <c r="H7268">
        <v>0.7238</v>
      </c>
      <c r="I7268" t="s">
        <v>5239</v>
      </c>
      <c r="J7268" t="s">
        <v>14</v>
      </c>
      <c r="K7268" t="str">
        <f>"2F5"</f>
        <v>2F5</v>
      </c>
      <c r="L7268" t="s">
        <v>15</v>
      </c>
    </row>
    <row r="7269" spans="1:12" x14ac:dyDescent="0.25">
      <c r="A7269" t="str">
        <f>"5907300861"</f>
        <v>5907300861</v>
      </c>
      <c r="B7269" t="str">
        <f t="shared" si="340"/>
        <v>89301000</v>
      </c>
      <c r="C7269" s="1">
        <v>44256</v>
      </c>
      <c r="D7269" s="1">
        <v>44258</v>
      </c>
      <c r="E7269">
        <v>1</v>
      </c>
      <c r="F7269" t="s">
        <v>5240</v>
      </c>
      <c r="G7269" t="str">
        <f>"05-K13-02"</f>
        <v>05-K13-02</v>
      </c>
      <c r="H7269">
        <v>0.60950000000000004</v>
      </c>
      <c r="I7269" t="s">
        <v>5241</v>
      </c>
      <c r="J7269" t="s">
        <v>14</v>
      </c>
      <c r="K7269" t="str">
        <f>"1F9"</f>
        <v>1F9</v>
      </c>
      <c r="L7269" t="s">
        <v>15</v>
      </c>
    </row>
    <row r="7270" spans="1:12" x14ac:dyDescent="0.25">
      <c r="A7270" t="str">
        <f>"5908152041"</f>
        <v>5908152041</v>
      </c>
      <c r="B7270" t="str">
        <f t="shared" si="340"/>
        <v>89301000</v>
      </c>
      <c r="C7270" s="1">
        <v>44326</v>
      </c>
      <c r="D7270" s="1">
        <v>44333</v>
      </c>
      <c r="E7270">
        <v>1</v>
      </c>
      <c r="F7270" t="s">
        <v>4491</v>
      </c>
      <c r="G7270" t="str">
        <f>"01-K01-01"</f>
        <v>01-K01-01</v>
      </c>
      <c r="H7270">
        <v>0.84930000000000005</v>
      </c>
      <c r="I7270" t="s">
        <v>5242</v>
      </c>
      <c r="J7270" t="s">
        <v>14</v>
      </c>
      <c r="K7270" t="str">
        <f>"2F9"</f>
        <v>2F9</v>
      </c>
      <c r="L7270" t="s">
        <v>15</v>
      </c>
    </row>
    <row r="7271" spans="1:12" x14ac:dyDescent="0.25">
      <c r="A7271" t="str">
        <f>"5908152041"</f>
        <v>5908152041</v>
      </c>
      <c r="B7271" t="str">
        <f t="shared" si="340"/>
        <v>89301000</v>
      </c>
      <c r="C7271" s="1">
        <v>44400</v>
      </c>
      <c r="D7271" s="1">
        <v>44405</v>
      </c>
      <c r="E7271">
        <v>1</v>
      </c>
      <c r="F7271" t="s">
        <v>3087</v>
      </c>
      <c r="G7271" t="str">
        <f>"01-K07-02"</f>
        <v>01-K07-02</v>
      </c>
      <c r="H7271">
        <v>0.59279999999999999</v>
      </c>
      <c r="I7271" t="s">
        <v>5243</v>
      </c>
      <c r="J7271" t="s">
        <v>14</v>
      </c>
      <c r="K7271" t="str">
        <f>"2F9"</f>
        <v>2F9</v>
      </c>
      <c r="L7271" t="s">
        <v>15</v>
      </c>
    </row>
    <row r="7272" spans="1:12" x14ac:dyDescent="0.25">
      <c r="A7272" t="str">
        <f>"5908251558"</f>
        <v>5908251558</v>
      </c>
      <c r="B7272" t="str">
        <f t="shared" si="340"/>
        <v>89301000</v>
      </c>
      <c r="C7272" s="1">
        <v>44305</v>
      </c>
      <c r="D7272" s="1">
        <v>44312</v>
      </c>
      <c r="E7272">
        <v>1</v>
      </c>
      <c r="F7272" t="s">
        <v>3536</v>
      </c>
      <c r="G7272" t="str">
        <f>"03-I16-01"</f>
        <v>03-I16-01</v>
      </c>
      <c r="H7272">
        <v>1.4655</v>
      </c>
      <c r="I7272" t="s">
        <v>5244</v>
      </c>
      <c r="J7272" t="s">
        <v>24</v>
      </c>
      <c r="K7272" t="str">
        <f>"7F1"</f>
        <v>7F1</v>
      </c>
      <c r="L7272" t="s">
        <v>15</v>
      </c>
    </row>
    <row r="7273" spans="1:12" x14ac:dyDescent="0.25">
      <c r="A7273" t="str">
        <f>"5908251558"</f>
        <v>5908251558</v>
      </c>
      <c r="B7273" t="str">
        <f t="shared" si="340"/>
        <v>89301000</v>
      </c>
      <c r="C7273" s="1">
        <v>44292</v>
      </c>
      <c r="D7273" s="1">
        <v>44298</v>
      </c>
      <c r="E7273">
        <v>1</v>
      </c>
      <c r="F7273" t="s">
        <v>3536</v>
      </c>
      <c r="G7273" t="str">
        <f>"03-I08-01"</f>
        <v>03-I08-01</v>
      </c>
      <c r="H7273">
        <v>1.948</v>
      </c>
      <c r="I7273" t="s">
        <v>168</v>
      </c>
      <c r="J7273" t="s">
        <v>17</v>
      </c>
      <c r="K7273" t="str">
        <f>"7F1"</f>
        <v>7F1</v>
      </c>
      <c r="L7273" t="s">
        <v>15</v>
      </c>
    </row>
    <row r="7274" spans="1:12" x14ac:dyDescent="0.25">
      <c r="A7274" t="str">
        <f>"5908251558"</f>
        <v>5908251558</v>
      </c>
      <c r="B7274" t="str">
        <f t="shared" si="340"/>
        <v>89301000</v>
      </c>
      <c r="C7274" s="1">
        <v>44276</v>
      </c>
      <c r="D7274" s="1">
        <v>44278</v>
      </c>
      <c r="E7274">
        <v>1</v>
      </c>
      <c r="F7274" t="s">
        <v>3536</v>
      </c>
      <c r="G7274" t="str">
        <f>"03-K09-01"</f>
        <v>03-K09-01</v>
      </c>
      <c r="H7274">
        <v>0.59919999999999995</v>
      </c>
      <c r="I7274" t="s">
        <v>5245</v>
      </c>
      <c r="J7274" t="s">
        <v>14</v>
      </c>
      <c r="K7274" t="str">
        <f>"7F1"</f>
        <v>7F1</v>
      </c>
      <c r="L7274" t="s">
        <v>15</v>
      </c>
    </row>
    <row r="7275" spans="1:12" x14ac:dyDescent="0.25">
      <c r="A7275" t="str">
        <f>"5908301674"</f>
        <v>5908301674</v>
      </c>
      <c r="B7275" t="str">
        <f t="shared" si="340"/>
        <v>89301000</v>
      </c>
      <c r="C7275" s="1">
        <v>44381</v>
      </c>
      <c r="D7275" s="1">
        <v>44381</v>
      </c>
      <c r="E7275">
        <v>5</v>
      </c>
      <c r="F7275" t="s">
        <v>1643</v>
      </c>
      <c r="G7275" t="str">
        <f>"08-K12-02"</f>
        <v>08-K12-02</v>
      </c>
      <c r="H7275">
        <v>0.23980000000000001</v>
      </c>
      <c r="I7275" t="s">
        <v>818</v>
      </c>
      <c r="J7275" t="s">
        <v>14</v>
      </c>
      <c r="K7275" t="str">
        <f>"6T6"</f>
        <v>6T6</v>
      </c>
      <c r="L7275" t="s">
        <v>15</v>
      </c>
    </row>
    <row r="7276" spans="1:12" x14ac:dyDescent="0.25">
      <c r="A7276" t="str">
        <f>"5909070563"</f>
        <v>5909070563</v>
      </c>
      <c r="B7276" t="str">
        <f t="shared" si="340"/>
        <v>89301000</v>
      </c>
      <c r="C7276" s="1">
        <v>44202</v>
      </c>
      <c r="D7276" s="1">
        <v>44209</v>
      </c>
      <c r="E7276">
        <v>5</v>
      </c>
      <c r="F7276" t="s">
        <v>5246</v>
      </c>
      <c r="G7276" t="str">
        <f>"04-K02-03"</f>
        <v>04-K02-03</v>
      </c>
      <c r="H7276">
        <v>1.2859</v>
      </c>
      <c r="I7276" t="s">
        <v>5247</v>
      </c>
      <c r="J7276" t="s">
        <v>14</v>
      </c>
      <c r="K7276" t="str">
        <f>"2F5"</f>
        <v>2F5</v>
      </c>
      <c r="L7276" t="s">
        <v>15</v>
      </c>
    </row>
    <row r="7277" spans="1:12" x14ac:dyDescent="0.25">
      <c r="A7277" t="str">
        <f>"5909070563"</f>
        <v>5909070563</v>
      </c>
      <c r="B7277" t="str">
        <f t="shared" si="340"/>
        <v>89301000</v>
      </c>
      <c r="C7277" s="1">
        <v>44452</v>
      </c>
      <c r="D7277" s="1">
        <v>44454</v>
      </c>
      <c r="E7277">
        <v>1</v>
      </c>
      <c r="F7277" t="s">
        <v>5248</v>
      </c>
      <c r="G7277" t="str">
        <f>"04-K06-03"</f>
        <v>04-K06-03</v>
      </c>
      <c r="H7277">
        <v>0.66259999999999997</v>
      </c>
      <c r="I7277" t="s">
        <v>489</v>
      </c>
      <c r="J7277" t="s">
        <v>14</v>
      </c>
      <c r="K7277" t="str">
        <f>"2F5"</f>
        <v>2F5</v>
      </c>
      <c r="L7277" t="s">
        <v>15</v>
      </c>
    </row>
    <row r="7278" spans="1:12" x14ac:dyDescent="0.25">
      <c r="A7278" t="str">
        <f>"5909100439"</f>
        <v>5909100439</v>
      </c>
      <c r="B7278" t="str">
        <f t="shared" si="340"/>
        <v>89301000</v>
      </c>
      <c r="C7278" s="1">
        <v>44423</v>
      </c>
      <c r="D7278" s="1">
        <v>44431</v>
      </c>
      <c r="E7278">
        <v>2</v>
      </c>
      <c r="F7278" t="s">
        <v>5249</v>
      </c>
      <c r="G7278" t="str">
        <f>"08-I03-06"</f>
        <v>08-I03-06</v>
      </c>
      <c r="H7278">
        <v>3.3738000000000001</v>
      </c>
      <c r="J7278" t="s">
        <v>17</v>
      </c>
      <c r="K7278" t="str">
        <f>"5F6"</f>
        <v>5F6</v>
      </c>
      <c r="L7278" t="s">
        <v>15</v>
      </c>
    </row>
    <row r="7279" spans="1:12" x14ac:dyDescent="0.25">
      <c r="A7279" t="str">
        <f>"5909110955"</f>
        <v>5909110955</v>
      </c>
      <c r="B7279" t="str">
        <f t="shared" si="340"/>
        <v>89301000</v>
      </c>
      <c r="C7279" s="1">
        <v>44291</v>
      </c>
      <c r="D7279" s="1">
        <v>44293</v>
      </c>
      <c r="E7279">
        <v>1</v>
      </c>
      <c r="F7279" t="s">
        <v>1557</v>
      </c>
      <c r="G7279" t="str">
        <f>"05-I14-04"</f>
        <v>05-I14-04</v>
      </c>
      <c r="H7279">
        <v>5.4002999999999997</v>
      </c>
      <c r="J7279" t="s">
        <v>14</v>
      </c>
      <c r="K7279" t="str">
        <f>"1F7"</f>
        <v>1F7</v>
      </c>
      <c r="L7279" t="s">
        <v>15</v>
      </c>
    </row>
    <row r="7280" spans="1:12" x14ac:dyDescent="0.25">
      <c r="A7280" t="str">
        <f>"5909110955"</f>
        <v>5909110955</v>
      </c>
      <c r="B7280" t="str">
        <f t="shared" si="340"/>
        <v>89301000</v>
      </c>
      <c r="C7280" s="1">
        <v>44261</v>
      </c>
      <c r="D7280" s="1">
        <v>44264</v>
      </c>
      <c r="E7280">
        <v>1</v>
      </c>
      <c r="F7280" t="s">
        <v>1619</v>
      </c>
      <c r="G7280" t="str">
        <f>"05-M06-06"</f>
        <v>05-M06-06</v>
      </c>
      <c r="H7280">
        <v>1.7652000000000001</v>
      </c>
      <c r="J7280" t="s">
        <v>17</v>
      </c>
      <c r="K7280" t="str">
        <f>"1F1"</f>
        <v>1F1</v>
      </c>
      <c r="L7280" t="s">
        <v>15</v>
      </c>
    </row>
    <row r="7281" spans="1:12" x14ac:dyDescent="0.25">
      <c r="A7281" t="str">
        <f>"5909130502"</f>
        <v>5909130502</v>
      </c>
      <c r="B7281" t="str">
        <f t="shared" si="340"/>
        <v>89301000</v>
      </c>
      <c r="C7281" s="1">
        <v>44225</v>
      </c>
      <c r="D7281" s="1">
        <v>44230</v>
      </c>
      <c r="E7281">
        <v>1</v>
      </c>
      <c r="F7281" t="s">
        <v>5250</v>
      </c>
      <c r="G7281" t="str">
        <f>"07-K02-03"</f>
        <v>07-K02-03</v>
      </c>
      <c r="H7281">
        <v>0.7742</v>
      </c>
      <c r="I7281" t="s">
        <v>5251</v>
      </c>
      <c r="J7281" t="s">
        <v>14</v>
      </c>
      <c r="K7281" t="str">
        <f>"1F5"</f>
        <v>1F5</v>
      </c>
      <c r="L7281" t="s">
        <v>15</v>
      </c>
    </row>
    <row r="7282" spans="1:12" x14ac:dyDescent="0.25">
      <c r="A7282" t="str">
        <f>"5909170091"</f>
        <v>5909170091</v>
      </c>
      <c r="B7282" t="str">
        <f t="shared" si="340"/>
        <v>89301000</v>
      </c>
      <c r="C7282" s="1">
        <v>44215</v>
      </c>
      <c r="D7282" s="1">
        <v>44218</v>
      </c>
      <c r="E7282">
        <v>1</v>
      </c>
      <c r="F7282" t="s">
        <v>2004</v>
      </c>
      <c r="G7282" t="str">
        <f>"05-M06-06"</f>
        <v>05-M06-06</v>
      </c>
      <c r="H7282">
        <v>1.7652000000000001</v>
      </c>
      <c r="I7282" t="s">
        <v>2798</v>
      </c>
      <c r="J7282" t="s">
        <v>17</v>
      </c>
      <c r="K7282" t="str">
        <f>"1F1"</f>
        <v>1F1</v>
      </c>
      <c r="L7282" t="s">
        <v>15</v>
      </c>
    </row>
    <row r="7283" spans="1:12" x14ac:dyDescent="0.25">
      <c r="A7283" t="str">
        <f>"5909170091"</f>
        <v>5909170091</v>
      </c>
      <c r="B7283" t="str">
        <f t="shared" si="340"/>
        <v>89301000</v>
      </c>
      <c r="C7283" s="1">
        <v>44259</v>
      </c>
      <c r="D7283" s="1">
        <v>44259</v>
      </c>
      <c r="E7283">
        <v>1</v>
      </c>
      <c r="F7283" t="s">
        <v>1557</v>
      </c>
      <c r="G7283" t="str">
        <f>"05-D01-08"</f>
        <v>05-D01-08</v>
      </c>
      <c r="H7283">
        <v>1.0764</v>
      </c>
      <c r="I7283" t="s">
        <v>5252</v>
      </c>
      <c r="J7283" t="s">
        <v>14</v>
      </c>
      <c r="K7283" t="str">
        <f>"1F1"</f>
        <v>1F1</v>
      </c>
      <c r="L7283" t="s">
        <v>15</v>
      </c>
    </row>
    <row r="7284" spans="1:12" x14ac:dyDescent="0.25">
      <c r="A7284" t="str">
        <f>"5909180442"</f>
        <v>5909180442</v>
      </c>
      <c r="B7284" t="str">
        <f t="shared" si="340"/>
        <v>89301000</v>
      </c>
      <c r="C7284" s="1">
        <v>44508</v>
      </c>
      <c r="D7284" s="1">
        <v>44515</v>
      </c>
      <c r="E7284">
        <v>1</v>
      </c>
      <c r="F7284" t="s">
        <v>1555</v>
      </c>
      <c r="G7284" t="str">
        <f>"05-I24-04"</f>
        <v>05-I24-04</v>
      </c>
      <c r="H7284">
        <v>2.5350999999999999</v>
      </c>
      <c r="I7284" t="s">
        <v>3158</v>
      </c>
      <c r="J7284" t="s">
        <v>14</v>
      </c>
      <c r="K7284" t="str">
        <f>"5F1"</f>
        <v>5F1</v>
      </c>
      <c r="L7284" t="s">
        <v>15</v>
      </c>
    </row>
    <row r="7285" spans="1:12" x14ac:dyDescent="0.25">
      <c r="A7285" t="str">
        <f>"5909240216"</f>
        <v>5909240216</v>
      </c>
      <c r="B7285" t="str">
        <f t="shared" si="340"/>
        <v>89301000</v>
      </c>
      <c r="C7285" s="1">
        <v>44365</v>
      </c>
      <c r="D7285" s="1">
        <v>44375</v>
      </c>
      <c r="E7285">
        <v>5</v>
      </c>
      <c r="F7285" t="s">
        <v>4506</v>
      </c>
      <c r="G7285" t="str">
        <f>"25-K01-01"</f>
        <v>25-K01-01</v>
      </c>
      <c r="H7285">
        <v>3.6665000000000001</v>
      </c>
      <c r="I7285" t="s">
        <v>5253</v>
      </c>
      <c r="J7285" t="s">
        <v>17</v>
      </c>
      <c r="K7285" t="str">
        <f>"5T6"</f>
        <v>5T6</v>
      </c>
      <c r="L7285" t="s">
        <v>15</v>
      </c>
    </row>
    <row r="7286" spans="1:12" x14ac:dyDescent="0.25">
      <c r="A7286" t="str">
        <f>"5909240216"</f>
        <v>5909240216</v>
      </c>
      <c r="B7286" t="str">
        <f t="shared" si="340"/>
        <v>89301000</v>
      </c>
      <c r="C7286" s="1">
        <v>44382</v>
      </c>
      <c r="D7286" s="1">
        <v>44403</v>
      </c>
      <c r="E7286">
        <v>5</v>
      </c>
      <c r="F7286" t="s">
        <v>1894</v>
      </c>
      <c r="G7286" t="str">
        <f>"00-M01-03"</f>
        <v>00-M01-03</v>
      </c>
      <c r="H7286">
        <v>10.0288</v>
      </c>
      <c r="I7286" t="s">
        <v>5254</v>
      </c>
      <c r="J7286" t="s">
        <v>14</v>
      </c>
      <c r="K7286" t="str">
        <f>"5T6"</f>
        <v>5T6</v>
      </c>
      <c r="L7286" t="s">
        <v>15</v>
      </c>
    </row>
    <row r="7287" spans="1:12" x14ac:dyDescent="0.25">
      <c r="A7287" t="str">
        <f>"5909291663"</f>
        <v>5909291663</v>
      </c>
      <c r="B7287" t="str">
        <f t="shared" si="340"/>
        <v>89301000</v>
      </c>
      <c r="C7287" s="1">
        <v>44214</v>
      </c>
      <c r="D7287" s="1">
        <v>44217</v>
      </c>
      <c r="E7287">
        <v>1</v>
      </c>
      <c r="F7287" t="s">
        <v>3371</v>
      </c>
      <c r="G7287" t="str">
        <f>"08-M03-02"</f>
        <v>08-M03-02</v>
      </c>
      <c r="H7287">
        <v>0.86970000000000003</v>
      </c>
      <c r="I7287" t="s">
        <v>30</v>
      </c>
      <c r="J7287" t="s">
        <v>14</v>
      </c>
      <c r="K7287" t="str">
        <f>"6F6"</f>
        <v>6F6</v>
      </c>
      <c r="L7287" t="s">
        <v>15</v>
      </c>
    </row>
    <row r="7288" spans="1:12" x14ac:dyDescent="0.25">
      <c r="A7288" t="str">
        <f>"5909291674"</f>
        <v>5909291674</v>
      </c>
      <c r="B7288" t="str">
        <f t="shared" si="340"/>
        <v>89301000</v>
      </c>
      <c r="C7288" s="1">
        <v>44425</v>
      </c>
      <c r="D7288" s="1">
        <v>44427</v>
      </c>
      <c r="E7288">
        <v>1</v>
      </c>
      <c r="F7288" t="s">
        <v>1606</v>
      </c>
      <c r="G7288" t="str">
        <f>"05-M05-02"</f>
        <v>05-M05-02</v>
      </c>
      <c r="H7288">
        <v>3.516</v>
      </c>
      <c r="J7288" t="s">
        <v>24</v>
      </c>
      <c r="K7288" t="str">
        <f>"1F1"</f>
        <v>1F1</v>
      </c>
      <c r="L7288" t="s">
        <v>15</v>
      </c>
    </row>
    <row r="7289" spans="1:12" x14ac:dyDescent="0.25">
      <c r="A7289" t="str">
        <f>"5910031457"</f>
        <v>5910031457</v>
      </c>
      <c r="B7289" t="str">
        <f t="shared" si="340"/>
        <v>89301000</v>
      </c>
      <c r="C7289" s="1">
        <v>44481</v>
      </c>
      <c r="D7289" s="1">
        <v>44487</v>
      </c>
      <c r="E7289">
        <v>5</v>
      </c>
      <c r="F7289" t="s">
        <v>5255</v>
      </c>
      <c r="G7289" t="str">
        <f>"08-I03-04"</f>
        <v>08-I03-04</v>
      </c>
      <c r="H7289">
        <v>4.4263000000000003</v>
      </c>
      <c r="I7289" t="s">
        <v>5256</v>
      </c>
      <c r="J7289" t="s">
        <v>17</v>
      </c>
      <c r="K7289" t="str">
        <f>"5F6"</f>
        <v>5F6</v>
      </c>
      <c r="L7289" t="s">
        <v>15</v>
      </c>
    </row>
    <row r="7290" spans="1:12" x14ac:dyDescent="0.25">
      <c r="A7290" t="str">
        <f>"5910031534"</f>
        <v>5910031534</v>
      </c>
      <c r="B7290" t="str">
        <f t="shared" si="340"/>
        <v>89301000</v>
      </c>
      <c r="C7290" s="1">
        <v>44347</v>
      </c>
      <c r="D7290" s="1">
        <v>44348</v>
      </c>
      <c r="E7290">
        <v>1</v>
      </c>
      <c r="F7290" t="s">
        <v>41</v>
      </c>
      <c r="G7290" t="str">
        <f>"01-D01-03"</f>
        <v>01-D01-03</v>
      </c>
      <c r="H7290">
        <v>0.158</v>
      </c>
      <c r="I7290" t="s">
        <v>489</v>
      </c>
      <c r="J7290" t="s">
        <v>14</v>
      </c>
      <c r="K7290" t="str">
        <f>"2F5"</f>
        <v>2F5</v>
      </c>
      <c r="L7290" t="s">
        <v>15</v>
      </c>
    </row>
    <row r="7291" spans="1:12" x14ac:dyDescent="0.25">
      <c r="A7291" t="str">
        <f>"5910051301"</f>
        <v>5910051301</v>
      </c>
      <c r="B7291" t="str">
        <f t="shared" si="340"/>
        <v>89301000</v>
      </c>
      <c r="C7291" s="1">
        <v>44341</v>
      </c>
      <c r="D7291" s="1">
        <v>44343</v>
      </c>
      <c r="E7291">
        <v>8</v>
      </c>
      <c r="F7291" t="s">
        <v>290</v>
      </c>
      <c r="G7291" t="str">
        <f>"05-K06-01"</f>
        <v>05-K06-01</v>
      </c>
      <c r="H7291">
        <v>2.5053000000000001</v>
      </c>
      <c r="I7291" t="s">
        <v>5257</v>
      </c>
      <c r="J7291" t="s">
        <v>14</v>
      </c>
      <c r="K7291" t="str">
        <f>"7T8"</f>
        <v>7T8</v>
      </c>
      <c r="L7291" t="s">
        <v>15</v>
      </c>
    </row>
    <row r="7292" spans="1:12" x14ac:dyDescent="0.25">
      <c r="A7292" t="str">
        <f>"5910051301"</f>
        <v>5910051301</v>
      </c>
      <c r="B7292" t="str">
        <f t="shared" ref="B7292:B7355" si="341">"89301000"</f>
        <v>89301000</v>
      </c>
      <c r="C7292" s="1">
        <v>44285</v>
      </c>
      <c r="D7292" s="1">
        <v>44287</v>
      </c>
      <c r="E7292">
        <v>1</v>
      </c>
      <c r="F7292" t="s">
        <v>4640</v>
      </c>
      <c r="G7292" t="str">
        <f>"03-K13-02"</f>
        <v>03-K13-02</v>
      </c>
      <c r="H7292">
        <v>0.2555</v>
      </c>
      <c r="I7292" t="s">
        <v>5258</v>
      </c>
      <c r="J7292" t="s">
        <v>14</v>
      </c>
      <c r="K7292" t="str">
        <f>"2F9"</f>
        <v>2F9</v>
      </c>
      <c r="L7292" t="s">
        <v>15</v>
      </c>
    </row>
    <row r="7293" spans="1:12" x14ac:dyDescent="0.25">
      <c r="A7293" t="str">
        <f>"5910051301"</f>
        <v>5910051301</v>
      </c>
      <c r="B7293" t="str">
        <f t="shared" si="341"/>
        <v>89301000</v>
      </c>
      <c r="C7293" s="1">
        <v>44319</v>
      </c>
      <c r="D7293" s="1">
        <v>44328</v>
      </c>
      <c r="E7293">
        <v>1</v>
      </c>
      <c r="F7293" t="s">
        <v>5259</v>
      </c>
      <c r="G7293" t="str">
        <f>"01-K04-01"</f>
        <v>01-K04-01</v>
      </c>
      <c r="H7293">
        <v>1.4659</v>
      </c>
      <c r="I7293" t="s">
        <v>5260</v>
      </c>
      <c r="J7293" t="s">
        <v>14</v>
      </c>
      <c r="K7293" t="str">
        <f>"2F9"</f>
        <v>2F9</v>
      </c>
      <c r="L7293" t="s">
        <v>15</v>
      </c>
    </row>
    <row r="7294" spans="1:12" x14ac:dyDescent="0.25">
      <c r="A7294" t="str">
        <f>"5910100592"</f>
        <v>5910100592</v>
      </c>
      <c r="B7294" t="str">
        <f t="shared" si="341"/>
        <v>89301000</v>
      </c>
      <c r="C7294" s="1">
        <v>44432</v>
      </c>
      <c r="D7294" s="1">
        <v>44435</v>
      </c>
      <c r="E7294">
        <v>1</v>
      </c>
      <c r="F7294" t="s">
        <v>2360</v>
      </c>
      <c r="G7294" t="str">
        <f>"06-M01-02"</f>
        <v>06-M01-02</v>
      </c>
      <c r="H7294">
        <v>1.2191000000000001</v>
      </c>
      <c r="I7294" t="s">
        <v>2049</v>
      </c>
      <c r="J7294" t="s">
        <v>14</v>
      </c>
      <c r="K7294" t="str">
        <f>"1F1"</f>
        <v>1F1</v>
      </c>
      <c r="L7294" t="s">
        <v>15</v>
      </c>
    </row>
    <row r="7295" spans="1:12" x14ac:dyDescent="0.25">
      <c r="A7295" t="str">
        <f>"5910100592"</f>
        <v>5910100592</v>
      </c>
      <c r="B7295" t="str">
        <f t="shared" si="341"/>
        <v>89301000</v>
      </c>
      <c r="C7295" s="1">
        <v>44525</v>
      </c>
      <c r="D7295" s="1">
        <v>44527</v>
      </c>
      <c r="E7295">
        <v>1</v>
      </c>
      <c r="F7295" t="s">
        <v>2049</v>
      </c>
      <c r="G7295" t="str">
        <f>"06-M01-02"</f>
        <v>06-M01-02</v>
      </c>
      <c r="H7295">
        <v>1.2191000000000001</v>
      </c>
      <c r="I7295" t="s">
        <v>2360</v>
      </c>
      <c r="J7295" t="s">
        <v>14</v>
      </c>
      <c r="K7295" t="str">
        <f>"1F1"</f>
        <v>1F1</v>
      </c>
      <c r="L7295" t="s">
        <v>15</v>
      </c>
    </row>
    <row r="7296" spans="1:12" x14ac:dyDescent="0.25">
      <c r="A7296" t="str">
        <f>"5910241381"</f>
        <v>5910241381</v>
      </c>
      <c r="B7296" t="str">
        <f t="shared" si="341"/>
        <v>89301000</v>
      </c>
      <c r="C7296" s="1">
        <v>44315</v>
      </c>
      <c r="D7296" s="1">
        <v>44320</v>
      </c>
      <c r="E7296">
        <v>1</v>
      </c>
      <c r="F7296" t="s">
        <v>2232</v>
      </c>
      <c r="G7296" t="str">
        <f>"11-I07-01"</f>
        <v>11-I07-01</v>
      </c>
      <c r="H7296">
        <v>2.5975999999999999</v>
      </c>
      <c r="I7296" t="s">
        <v>5261</v>
      </c>
      <c r="J7296" t="s">
        <v>14</v>
      </c>
      <c r="K7296" t="str">
        <f>"7F6"</f>
        <v>7F6</v>
      </c>
      <c r="L7296" t="s">
        <v>15</v>
      </c>
    </row>
    <row r="7297" spans="1:12" x14ac:dyDescent="0.25">
      <c r="A7297" t="str">
        <f>"5910241381"</f>
        <v>5910241381</v>
      </c>
      <c r="B7297" t="str">
        <f t="shared" si="341"/>
        <v>89301000</v>
      </c>
      <c r="C7297" s="1">
        <v>44209</v>
      </c>
      <c r="D7297" s="1">
        <v>44211</v>
      </c>
      <c r="E7297">
        <v>1</v>
      </c>
      <c r="F7297" t="s">
        <v>1716</v>
      </c>
      <c r="G7297" t="str">
        <f>"11-M05-02"</f>
        <v>11-M05-02</v>
      </c>
      <c r="H7297">
        <v>0.65690000000000004</v>
      </c>
      <c r="I7297" t="s">
        <v>5262</v>
      </c>
      <c r="J7297" t="s">
        <v>17</v>
      </c>
      <c r="K7297" t="str">
        <f>"7F6"</f>
        <v>7F6</v>
      </c>
      <c r="L7297" t="s">
        <v>15</v>
      </c>
    </row>
    <row r="7298" spans="1:12" x14ac:dyDescent="0.25">
      <c r="A7298" t="str">
        <f>"5910241381"</f>
        <v>5910241381</v>
      </c>
      <c r="B7298" t="str">
        <f t="shared" si="341"/>
        <v>89301000</v>
      </c>
      <c r="C7298" s="1">
        <v>44255</v>
      </c>
      <c r="D7298" s="1">
        <v>44257</v>
      </c>
      <c r="E7298">
        <v>1</v>
      </c>
      <c r="F7298" t="s">
        <v>1716</v>
      </c>
      <c r="G7298" t="str">
        <f>"11-M05-02"</f>
        <v>11-M05-02</v>
      </c>
      <c r="H7298">
        <v>0.65690000000000004</v>
      </c>
      <c r="I7298" t="s">
        <v>5263</v>
      </c>
      <c r="J7298" t="s">
        <v>17</v>
      </c>
      <c r="K7298" t="str">
        <f>"7F6"</f>
        <v>7F6</v>
      </c>
      <c r="L7298" t="s">
        <v>15</v>
      </c>
    </row>
    <row r="7299" spans="1:12" x14ac:dyDescent="0.25">
      <c r="A7299" t="str">
        <f>"5910291420"</f>
        <v>5910291420</v>
      </c>
      <c r="B7299" t="str">
        <f t="shared" si="341"/>
        <v>89301000</v>
      </c>
      <c r="C7299" s="1">
        <v>44263</v>
      </c>
      <c r="D7299" s="1">
        <v>44264</v>
      </c>
      <c r="E7299">
        <v>5</v>
      </c>
      <c r="F7299" t="s">
        <v>217</v>
      </c>
      <c r="G7299" t="str">
        <f>"04-K02-03"</f>
        <v>04-K02-03</v>
      </c>
      <c r="H7299">
        <v>0.6724</v>
      </c>
      <c r="I7299" t="s">
        <v>5264</v>
      </c>
      <c r="J7299" t="s">
        <v>14</v>
      </c>
      <c r="K7299" t="str">
        <f>"1F6"</f>
        <v>1F6</v>
      </c>
      <c r="L7299" t="s">
        <v>15</v>
      </c>
    </row>
    <row r="7300" spans="1:12" x14ac:dyDescent="0.25">
      <c r="A7300" t="str">
        <f>"5910301177"</f>
        <v>5910301177</v>
      </c>
      <c r="B7300" t="str">
        <f t="shared" si="341"/>
        <v>89301000</v>
      </c>
      <c r="C7300" s="1">
        <v>44200</v>
      </c>
      <c r="D7300" s="1">
        <v>44210</v>
      </c>
      <c r="E7300">
        <v>1</v>
      </c>
      <c r="F7300" t="s">
        <v>109</v>
      </c>
      <c r="G7300" t="str">
        <f>"24-M06-02"</f>
        <v>24-M06-02</v>
      </c>
      <c r="H7300">
        <v>1.0233000000000001</v>
      </c>
      <c r="I7300" t="s">
        <v>5265</v>
      </c>
      <c r="J7300" t="s">
        <v>14</v>
      </c>
      <c r="K7300" t="str">
        <f>"2F1"</f>
        <v>2F1</v>
      </c>
      <c r="L7300" t="s">
        <v>15</v>
      </c>
    </row>
    <row r="7301" spans="1:12" x14ac:dyDescent="0.25">
      <c r="A7301" t="str">
        <f>"5911011601"</f>
        <v>5911011601</v>
      </c>
      <c r="B7301" t="str">
        <f t="shared" si="341"/>
        <v>89301000</v>
      </c>
      <c r="C7301" s="1">
        <v>44213</v>
      </c>
      <c r="D7301" s="1">
        <v>44215</v>
      </c>
      <c r="E7301">
        <v>1</v>
      </c>
      <c r="F7301" t="s">
        <v>562</v>
      </c>
      <c r="G7301" t="str">
        <f>"01-K03-08"</f>
        <v>01-K03-08</v>
      </c>
      <c r="H7301">
        <v>0.34789999999999999</v>
      </c>
      <c r="I7301" t="s">
        <v>5266</v>
      </c>
      <c r="J7301" t="s">
        <v>14</v>
      </c>
      <c r="K7301" t="str">
        <f>"2F9"</f>
        <v>2F9</v>
      </c>
      <c r="L7301" t="s">
        <v>15</v>
      </c>
    </row>
    <row r="7302" spans="1:12" x14ac:dyDescent="0.25">
      <c r="A7302" t="str">
        <f>"5911011601"</f>
        <v>5911011601</v>
      </c>
      <c r="B7302" t="str">
        <f t="shared" si="341"/>
        <v>89301000</v>
      </c>
      <c r="C7302" s="1">
        <v>44289</v>
      </c>
      <c r="D7302" s="1">
        <v>44291</v>
      </c>
      <c r="E7302">
        <v>1</v>
      </c>
      <c r="F7302" t="s">
        <v>97</v>
      </c>
      <c r="G7302" t="str">
        <f>"01-K03-08"</f>
        <v>01-K03-08</v>
      </c>
      <c r="H7302">
        <v>0.34789999999999999</v>
      </c>
      <c r="I7302" t="s">
        <v>5267</v>
      </c>
      <c r="J7302" t="s">
        <v>14</v>
      </c>
      <c r="K7302" t="str">
        <f>"2F9"</f>
        <v>2F9</v>
      </c>
      <c r="L7302" t="s">
        <v>15</v>
      </c>
    </row>
    <row r="7303" spans="1:12" x14ac:dyDescent="0.25">
      <c r="A7303" t="str">
        <f>"5911071452"</f>
        <v>5911071452</v>
      </c>
      <c r="B7303" t="str">
        <f t="shared" si="341"/>
        <v>89301000</v>
      </c>
      <c r="C7303" s="1">
        <v>44486</v>
      </c>
      <c r="D7303" s="1">
        <v>44488</v>
      </c>
      <c r="E7303">
        <v>1</v>
      </c>
      <c r="F7303" t="s">
        <v>1991</v>
      </c>
      <c r="G7303" t="str">
        <f>"12-M02-02"</f>
        <v>12-M02-02</v>
      </c>
      <c r="H7303">
        <v>0.995</v>
      </c>
      <c r="I7303" t="s">
        <v>5268</v>
      </c>
      <c r="J7303" t="s">
        <v>24</v>
      </c>
      <c r="K7303" t="str">
        <f>"7F6"</f>
        <v>7F6</v>
      </c>
      <c r="L7303" t="s">
        <v>15</v>
      </c>
    </row>
    <row r="7304" spans="1:12" x14ac:dyDescent="0.25">
      <c r="A7304" t="str">
        <f>"5911220986"</f>
        <v>5911220986</v>
      </c>
      <c r="B7304" t="str">
        <f t="shared" si="341"/>
        <v>89301000</v>
      </c>
      <c r="C7304" s="1">
        <v>44266</v>
      </c>
      <c r="D7304" s="1">
        <v>44267</v>
      </c>
      <c r="E7304">
        <v>1</v>
      </c>
      <c r="F7304" t="s">
        <v>496</v>
      </c>
      <c r="G7304" t="str">
        <f>"08-M03-05"</f>
        <v>08-M03-05</v>
      </c>
      <c r="H7304">
        <v>0.51759999999999995</v>
      </c>
      <c r="I7304" t="s">
        <v>2407</v>
      </c>
      <c r="J7304" t="s">
        <v>14</v>
      </c>
      <c r="K7304" t="str">
        <f>"6F6"</f>
        <v>6F6</v>
      </c>
      <c r="L7304" t="s">
        <v>15</v>
      </c>
    </row>
    <row r="7305" spans="1:12" x14ac:dyDescent="0.25">
      <c r="A7305" t="str">
        <f>"5912010533"</f>
        <v>5912010533</v>
      </c>
      <c r="B7305" t="str">
        <f t="shared" si="341"/>
        <v>89301000</v>
      </c>
      <c r="C7305" s="1">
        <v>44306</v>
      </c>
      <c r="D7305" s="1">
        <v>44319</v>
      </c>
      <c r="E7305">
        <v>2</v>
      </c>
      <c r="F7305" t="s">
        <v>324</v>
      </c>
      <c r="G7305" t="str">
        <f>"06-K01-02"</f>
        <v>06-K01-02</v>
      </c>
      <c r="H7305">
        <v>1.2551000000000001</v>
      </c>
      <c r="I7305" t="s">
        <v>5269</v>
      </c>
      <c r="J7305" t="s">
        <v>14</v>
      </c>
      <c r="K7305" t="str">
        <f>"1F1"</f>
        <v>1F1</v>
      </c>
      <c r="L7305" t="s">
        <v>15</v>
      </c>
    </row>
    <row r="7306" spans="1:12" x14ac:dyDescent="0.25">
      <c r="A7306" t="str">
        <f t="shared" ref="A7306:A7311" si="342">"5912050309"</f>
        <v>5912050309</v>
      </c>
      <c r="B7306" t="str">
        <f t="shared" si="341"/>
        <v>89301000</v>
      </c>
      <c r="C7306" s="1">
        <v>44391</v>
      </c>
      <c r="D7306" s="1">
        <v>44394</v>
      </c>
      <c r="E7306">
        <v>1</v>
      </c>
      <c r="F7306" t="s">
        <v>5270</v>
      </c>
      <c r="G7306" t="str">
        <f>"17-K05-02"</f>
        <v>17-K05-02</v>
      </c>
      <c r="H7306">
        <v>0.94220000000000004</v>
      </c>
      <c r="I7306" t="s">
        <v>5271</v>
      </c>
      <c r="J7306" t="s">
        <v>14</v>
      </c>
      <c r="K7306" t="str">
        <f t="shared" ref="K7306:K7311" si="343">"2F2"</f>
        <v>2F2</v>
      </c>
      <c r="L7306" t="s">
        <v>15</v>
      </c>
    </row>
    <row r="7307" spans="1:12" x14ac:dyDescent="0.25">
      <c r="A7307" t="str">
        <f t="shared" si="342"/>
        <v>5912050309</v>
      </c>
      <c r="B7307" t="str">
        <f t="shared" si="341"/>
        <v>89301000</v>
      </c>
      <c r="C7307" s="1">
        <v>44364</v>
      </c>
      <c r="D7307" s="1">
        <v>44368</v>
      </c>
      <c r="E7307">
        <v>1</v>
      </c>
      <c r="F7307" t="s">
        <v>5270</v>
      </c>
      <c r="G7307" t="str">
        <f>"17-C05-08"</f>
        <v>17-C05-08</v>
      </c>
      <c r="H7307">
        <v>0.83779999999999999</v>
      </c>
      <c r="I7307" t="s">
        <v>5272</v>
      </c>
      <c r="J7307" t="s">
        <v>14</v>
      </c>
      <c r="K7307" t="str">
        <f t="shared" si="343"/>
        <v>2F2</v>
      </c>
      <c r="L7307" t="s">
        <v>15</v>
      </c>
    </row>
    <row r="7308" spans="1:12" x14ac:dyDescent="0.25">
      <c r="A7308" t="str">
        <f t="shared" si="342"/>
        <v>5912050309</v>
      </c>
      <c r="B7308" t="str">
        <f t="shared" si="341"/>
        <v>89301000</v>
      </c>
      <c r="C7308" s="1">
        <v>44342</v>
      </c>
      <c r="D7308" s="1">
        <v>44346</v>
      </c>
      <c r="E7308">
        <v>1</v>
      </c>
      <c r="F7308" t="s">
        <v>5270</v>
      </c>
      <c r="G7308" t="str">
        <f>"17-C05-08"</f>
        <v>17-C05-08</v>
      </c>
      <c r="H7308">
        <v>0.83779999999999999</v>
      </c>
      <c r="I7308" t="s">
        <v>4919</v>
      </c>
      <c r="J7308" t="s">
        <v>14</v>
      </c>
      <c r="K7308" t="str">
        <f t="shared" si="343"/>
        <v>2F2</v>
      </c>
      <c r="L7308" t="s">
        <v>15</v>
      </c>
    </row>
    <row r="7309" spans="1:12" x14ac:dyDescent="0.25">
      <c r="A7309" t="str">
        <f t="shared" si="342"/>
        <v>5912050309</v>
      </c>
      <c r="B7309" t="str">
        <f t="shared" si="341"/>
        <v>89301000</v>
      </c>
      <c r="C7309" s="1">
        <v>44461</v>
      </c>
      <c r="D7309" s="1">
        <v>44465</v>
      </c>
      <c r="E7309">
        <v>1</v>
      </c>
      <c r="F7309" t="s">
        <v>5270</v>
      </c>
      <c r="G7309" t="str">
        <f>"17-C05-08"</f>
        <v>17-C05-08</v>
      </c>
      <c r="H7309">
        <v>0.83779999999999999</v>
      </c>
      <c r="I7309" t="s">
        <v>5273</v>
      </c>
      <c r="J7309" t="s">
        <v>14</v>
      </c>
      <c r="K7309" t="str">
        <f t="shared" si="343"/>
        <v>2F2</v>
      </c>
      <c r="L7309" t="s">
        <v>15</v>
      </c>
    </row>
    <row r="7310" spans="1:12" x14ac:dyDescent="0.25">
      <c r="A7310" t="str">
        <f t="shared" si="342"/>
        <v>5912050309</v>
      </c>
      <c r="B7310" t="str">
        <f t="shared" si="341"/>
        <v>89301000</v>
      </c>
      <c r="C7310" s="1">
        <v>44419</v>
      </c>
      <c r="D7310" s="1">
        <v>44422</v>
      </c>
      <c r="E7310">
        <v>1</v>
      </c>
      <c r="F7310" t="s">
        <v>5270</v>
      </c>
      <c r="G7310" t="str">
        <f>"17-C05-08"</f>
        <v>17-C05-08</v>
      </c>
      <c r="H7310">
        <v>0.83779999999999999</v>
      </c>
      <c r="I7310" t="s">
        <v>3190</v>
      </c>
      <c r="J7310" t="s">
        <v>14</v>
      </c>
      <c r="K7310" t="str">
        <f t="shared" si="343"/>
        <v>2F2</v>
      </c>
      <c r="L7310" t="s">
        <v>15</v>
      </c>
    </row>
    <row r="7311" spans="1:12" x14ac:dyDescent="0.25">
      <c r="A7311" t="str">
        <f t="shared" si="342"/>
        <v>5912050309</v>
      </c>
      <c r="B7311" t="str">
        <f t="shared" si="341"/>
        <v>89301000</v>
      </c>
      <c r="C7311" s="1">
        <v>44440</v>
      </c>
      <c r="D7311" s="1">
        <v>44443</v>
      </c>
      <c r="E7311">
        <v>1</v>
      </c>
      <c r="F7311" t="s">
        <v>5270</v>
      </c>
      <c r="G7311" t="str">
        <f>"17-C05-08"</f>
        <v>17-C05-08</v>
      </c>
      <c r="H7311">
        <v>0.83779999999999999</v>
      </c>
      <c r="I7311" t="s">
        <v>5274</v>
      </c>
      <c r="J7311" t="s">
        <v>14</v>
      </c>
      <c r="K7311" t="str">
        <f t="shared" si="343"/>
        <v>2F2</v>
      </c>
      <c r="L7311" t="s">
        <v>15</v>
      </c>
    </row>
    <row r="7312" spans="1:12" x14ac:dyDescent="0.25">
      <c r="A7312" t="str">
        <f>"5912121237"</f>
        <v>5912121237</v>
      </c>
      <c r="B7312" t="str">
        <f t="shared" si="341"/>
        <v>89301000</v>
      </c>
      <c r="C7312" s="1">
        <v>44198</v>
      </c>
      <c r="D7312" s="1">
        <v>44201</v>
      </c>
      <c r="E7312">
        <v>1</v>
      </c>
      <c r="F7312" t="s">
        <v>1567</v>
      </c>
      <c r="G7312" t="str">
        <f>"05-M09-00"</f>
        <v>05-M09-00</v>
      </c>
      <c r="H7312">
        <v>1.2437</v>
      </c>
      <c r="I7312" t="s">
        <v>5275</v>
      </c>
      <c r="J7312" t="s">
        <v>14</v>
      </c>
      <c r="K7312" t="str">
        <f>"1F1"</f>
        <v>1F1</v>
      </c>
      <c r="L7312" t="s">
        <v>15</v>
      </c>
    </row>
    <row r="7313" spans="1:12" x14ac:dyDescent="0.25">
      <c r="A7313" t="str">
        <f>"5912121237"</f>
        <v>5912121237</v>
      </c>
      <c r="B7313" t="str">
        <f t="shared" si="341"/>
        <v>89301000</v>
      </c>
      <c r="C7313" s="1">
        <v>44207</v>
      </c>
      <c r="D7313" s="1">
        <v>44207</v>
      </c>
      <c r="E7313">
        <v>1</v>
      </c>
      <c r="F7313" t="s">
        <v>5276</v>
      </c>
      <c r="G7313" t="str">
        <f>"05-M09-00"</f>
        <v>05-M09-00</v>
      </c>
      <c r="H7313">
        <v>0.89319999999999999</v>
      </c>
      <c r="I7313" t="s">
        <v>5277</v>
      </c>
      <c r="J7313" t="s">
        <v>14</v>
      </c>
      <c r="K7313" t="str">
        <f>"1F7"</f>
        <v>1F7</v>
      </c>
      <c r="L7313" t="s">
        <v>15</v>
      </c>
    </row>
    <row r="7314" spans="1:12" x14ac:dyDescent="0.25">
      <c r="A7314" t="str">
        <f>"5912151003"</f>
        <v>5912151003</v>
      </c>
      <c r="B7314" t="str">
        <f t="shared" si="341"/>
        <v>89301000</v>
      </c>
      <c r="C7314" s="1">
        <v>44354</v>
      </c>
      <c r="D7314" s="1">
        <v>44359</v>
      </c>
      <c r="E7314">
        <v>1</v>
      </c>
      <c r="F7314" t="s">
        <v>41</v>
      </c>
      <c r="G7314" t="str">
        <f>"01-I11-01"</f>
        <v>01-I11-01</v>
      </c>
      <c r="H7314">
        <v>0.99990000000000001</v>
      </c>
      <c r="I7314" t="s">
        <v>5278</v>
      </c>
      <c r="J7314" t="s">
        <v>17</v>
      </c>
      <c r="K7314" t="str">
        <f>"7F1"</f>
        <v>7F1</v>
      </c>
      <c r="L7314" t="s">
        <v>15</v>
      </c>
    </row>
    <row r="7315" spans="1:12" x14ac:dyDescent="0.25">
      <c r="A7315" t="str">
        <f>"5912161387"</f>
        <v>5912161387</v>
      </c>
      <c r="B7315" t="str">
        <f t="shared" si="341"/>
        <v>89301000</v>
      </c>
      <c r="C7315" s="1">
        <v>44207</v>
      </c>
      <c r="D7315" s="1">
        <v>44211</v>
      </c>
      <c r="E7315">
        <v>5</v>
      </c>
      <c r="F7315" t="s">
        <v>3143</v>
      </c>
      <c r="G7315" t="str">
        <f>"01-M01-03"</f>
        <v>01-M01-03</v>
      </c>
      <c r="H7315">
        <v>3.9502000000000002</v>
      </c>
      <c r="I7315" t="s">
        <v>5279</v>
      </c>
      <c r="J7315" t="s">
        <v>17</v>
      </c>
      <c r="K7315" t="str">
        <f>"5T6"</f>
        <v>5T6</v>
      </c>
      <c r="L7315" t="s">
        <v>15</v>
      </c>
    </row>
    <row r="7316" spans="1:12" x14ac:dyDescent="0.25">
      <c r="A7316" t="str">
        <f>"5912161387"</f>
        <v>5912161387</v>
      </c>
      <c r="B7316" t="str">
        <f t="shared" si="341"/>
        <v>89301000</v>
      </c>
      <c r="C7316" s="1">
        <v>44300</v>
      </c>
      <c r="D7316" s="1">
        <v>44302</v>
      </c>
      <c r="E7316">
        <v>1</v>
      </c>
      <c r="F7316" t="s">
        <v>2350</v>
      </c>
      <c r="G7316" t="str">
        <f>"01-K12-01"</f>
        <v>01-K12-01</v>
      </c>
      <c r="H7316">
        <v>0.71289999999999998</v>
      </c>
      <c r="I7316" t="s">
        <v>5280</v>
      </c>
      <c r="J7316" t="s">
        <v>14</v>
      </c>
      <c r="K7316" t="str">
        <f>"5F6"</f>
        <v>5F6</v>
      </c>
      <c r="L7316" t="s">
        <v>15</v>
      </c>
    </row>
    <row r="7317" spans="1:12" x14ac:dyDescent="0.25">
      <c r="A7317" t="str">
        <f>"5912200613"</f>
        <v>5912200613</v>
      </c>
      <c r="B7317" t="str">
        <f t="shared" si="341"/>
        <v>89301000</v>
      </c>
      <c r="C7317" s="1">
        <v>44489</v>
      </c>
      <c r="D7317" s="1">
        <v>44490</v>
      </c>
      <c r="E7317">
        <v>1</v>
      </c>
      <c r="F7317" t="s">
        <v>1814</v>
      </c>
      <c r="G7317" t="str">
        <f>"05-D01-08"</f>
        <v>05-D01-08</v>
      </c>
      <c r="H7317">
        <v>0.71009999999999995</v>
      </c>
      <c r="J7317" t="s">
        <v>14</v>
      </c>
      <c r="K7317" t="str">
        <f>"1F7"</f>
        <v>1F7</v>
      </c>
      <c r="L7317" t="s">
        <v>15</v>
      </c>
    </row>
    <row r="7318" spans="1:12" x14ac:dyDescent="0.25">
      <c r="A7318" t="str">
        <f>"5912217245"</f>
        <v>5912217245</v>
      </c>
      <c r="B7318" t="str">
        <f t="shared" si="341"/>
        <v>89301000</v>
      </c>
      <c r="C7318" s="1">
        <v>44480</v>
      </c>
      <c r="D7318" s="1">
        <v>44483</v>
      </c>
      <c r="E7318">
        <v>1</v>
      </c>
      <c r="F7318" t="s">
        <v>41</v>
      </c>
      <c r="G7318" t="str">
        <f>"01-D01-03"</f>
        <v>01-D01-03</v>
      </c>
      <c r="H7318">
        <v>0.2054</v>
      </c>
      <c r="J7318" t="s">
        <v>14</v>
      </c>
      <c r="K7318" t="str">
        <f>"2F5"</f>
        <v>2F5</v>
      </c>
      <c r="L7318" t="s">
        <v>15</v>
      </c>
    </row>
    <row r="7319" spans="1:12" x14ac:dyDescent="0.25">
      <c r="A7319" t="str">
        <f>"5912280044"</f>
        <v>5912280044</v>
      </c>
      <c r="B7319" t="str">
        <f t="shared" si="341"/>
        <v>89301000</v>
      </c>
      <c r="C7319" s="1">
        <v>44364</v>
      </c>
      <c r="D7319" s="1">
        <v>44372</v>
      </c>
      <c r="E7319">
        <v>1</v>
      </c>
      <c r="F7319" t="s">
        <v>1557</v>
      </c>
      <c r="G7319" t="str">
        <f>"05-K04-02"</f>
        <v>05-K04-02</v>
      </c>
      <c r="H7319">
        <v>0.77700000000000002</v>
      </c>
      <c r="J7319" t="s">
        <v>14</v>
      </c>
      <c r="K7319" t="str">
        <f>"5F5"</f>
        <v>5F5</v>
      </c>
      <c r="L7319" t="s">
        <v>15</v>
      </c>
    </row>
    <row r="7320" spans="1:12" x14ac:dyDescent="0.25">
      <c r="A7320" t="str">
        <f>"5912280044"</f>
        <v>5912280044</v>
      </c>
      <c r="B7320" t="str">
        <f t="shared" si="341"/>
        <v>89301000</v>
      </c>
      <c r="C7320" s="1">
        <v>44285</v>
      </c>
      <c r="D7320" s="1">
        <v>44285</v>
      </c>
      <c r="E7320">
        <v>1</v>
      </c>
      <c r="F7320" t="s">
        <v>1557</v>
      </c>
      <c r="G7320" t="str">
        <f>"05-D01-08"</f>
        <v>05-D01-08</v>
      </c>
      <c r="H7320">
        <v>0.21890000000000001</v>
      </c>
      <c r="I7320" t="s">
        <v>2183</v>
      </c>
      <c r="J7320" t="s">
        <v>14</v>
      </c>
      <c r="K7320" t="str">
        <f>"1F1"</f>
        <v>1F1</v>
      </c>
      <c r="L7320" t="s">
        <v>15</v>
      </c>
    </row>
    <row r="7321" spans="1:12" x14ac:dyDescent="0.25">
      <c r="A7321" t="str">
        <f>"5912281309"</f>
        <v>5912281309</v>
      </c>
      <c r="B7321" t="str">
        <f t="shared" si="341"/>
        <v>89301000</v>
      </c>
      <c r="C7321" s="1">
        <v>44453</v>
      </c>
      <c r="D7321" s="1">
        <v>44456</v>
      </c>
      <c r="E7321">
        <v>1</v>
      </c>
      <c r="F7321" t="s">
        <v>251</v>
      </c>
      <c r="G7321" t="str">
        <f>"08-M03-05"</f>
        <v>08-M03-05</v>
      </c>
      <c r="H7321">
        <v>0.51759999999999995</v>
      </c>
      <c r="I7321" t="s">
        <v>5281</v>
      </c>
      <c r="J7321" t="s">
        <v>14</v>
      </c>
      <c r="K7321" t="str">
        <f>"6F6"</f>
        <v>6F6</v>
      </c>
      <c r="L7321" t="s">
        <v>15</v>
      </c>
    </row>
    <row r="7322" spans="1:12" x14ac:dyDescent="0.25">
      <c r="A7322" t="str">
        <f>"5951231627"</f>
        <v>5951231627</v>
      </c>
      <c r="B7322" t="str">
        <f t="shared" si="341"/>
        <v>89301000</v>
      </c>
      <c r="C7322" s="1">
        <v>44366</v>
      </c>
      <c r="D7322" s="1">
        <v>44386</v>
      </c>
      <c r="E7322">
        <v>1</v>
      </c>
      <c r="F7322" t="s">
        <v>5282</v>
      </c>
      <c r="G7322" t="str">
        <f>"01-M01-02"</f>
        <v>01-M01-02</v>
      </c>
      <c r="H7322">
        <v>7.7656999999999998</v>
      </c>
      <c r="J7322" t="s">
        <v>17</v>
      </c>
      <c r="K7322" t="str">
        <f>"5F6"</f>
        <v>5F6</v>
      </c>
      <c r="L7322" t="s">
        <v>15</v>
      </c>
    </row>
    <row r="7323" spans="1:12" x14ac:dyDescent="0.25">
      <c r="A7323" t="str">
        <f>"5951240944"</f>
        <v>5951240944</v>
      </c>
      <c r="B7323" t="str">
        <f t="shared" si="341"/>
        <v>89301000</v>
      </c>
      <c r="C7323" s="1">
        <v>44502</v>
      </c>
      <c r="D7323" s="1">
        <v>44507</v>
      </c>
      <c r="E7323">
        <v>1</v>
      </c>
      <c r="F7323" t="s">
        <v>5283</v>
      </c>
      <c r="G7323" t="str">
        <f>"13-I13-02"</f>
        <v>13-I13-02</v>
      </c>
      <c r="H7323">
        <v>0.98650000000000004</v>
      </c>
      <c r="J7323" t="s">
        <v>17</v>
      </c>
      <c r="K7323" t="str">
        <f>"6F3"</f>
        <v>6F3</v>
      </c>
      <c r="L7323" t="s">
        <v>15</v>
      </c>
    </row>
    <row r="7324" spans="1:12" x14ac:dyDescent="0.25">
      <c r="A7324" t="str">
        <f>"5951261371"</f>
        <v>5951261371</v>
      </c>
      <c r="B7324" t="str">
        <f t="shared" si="341"/>
        <v>89301000</v>
      </c>
      <c r="C7324" s="1">
        <v>44491</v>
      </c>
      <c r="D7324" s="1">
        <v>44496</v>
      </c>
      <c r="E7324">
        <v>1</v>
      </c>
      <c r="F7324" t="s">
        <v>588</v>
      </c>
      <c r="G7324" t="str">
        <f>"07-K02-03"</f>
        <v>07-K02-03</v>
      </c>
      <c r="H7324">
        <v>0.7742</v>
      </c>
      <c r="I7324" t="s">
        <v>5284</v>
      </c>
      <c r="J7324" t="s">
        <v>14</v>
      </c>
      <c r="K7324" t="str">
        <f>"1F1"</f>
        <v>1F1</v>
      </c>
      <c r="L7324" t="s">
        <v>15</v>
      </c>
    </row>
    <row r="7325" spans="1:12" x14ac:dyDescent="0.25">
      <c r="A7325" t="str">
        <f>"5951281193"</f>
        <v>5951281193</v>
      </c>
      <c r="B7325" t="str">
        <f t="shared" si="341"/>
        <v>89301000</v>
      </c>
      <c r="C7325" s="1">
        <v>44367</v>
      </c>
      <c r="D7325" s="1">
        <v>44383</v>
      </c>
      <c r="E7325">
        <v>1</v>
      </c>
      <c r="F7325" t="s">
        <v>2185</v>
      </c>
      <c r="G7325" t="str">
        <f>"07-I03-02"</f>
        <v>07-I03-02</v>
      </c>
      <c r="H7325">
        <v>3.3117000000000001</v>
      </c>
      <c r="I7325" t="s">
        <v>5114</v>
      </c>
      <c r="J7325" t="s">
        <v>17</v>
      </c>
      <c r="K7325" t="str">
        <f>"5F1"</f>
        <v>5F1</v>
      </c>
      <c r="L7325" t="s">
        <v>15</v>
      </c>
    </row>
    <row r="7326" spans="1:12" x14ac:dyDescent="0.25">
      <c r="A7326" t="str">
        <f>"5951281193"</f>
        <v>5951281193</v>
      </c>
      <c r="B7326" t="str">
        <f t="shared" si="341"/>
        <v>89301000</v>
      </c>
      <c r="C7326" s="1">
        <v>44396</v>
      </c>
      <c r="D7326" s="1">
        <v>44403</v>
      </c>
      <c r="E7326">
        <v>1</v>
      </c>
      <c r="F7326" t="s">
        <v>888</v>
      </c>
      <c r="G7326" t="str">
        <f>"07-M02-04"</f>
        <v>07-M02-04</v>
      </c>
      <c r="H7326">
        <v>0.9778</v>
      </c>
      <c r="I7326" t="s">
        <v>489</v>
      </c>
      <c r="J7326" t="s">
        <v>17</v>
      </c>
      <c r="K7326" t="str">
        <f>"5F1"</f>
        <v>5F1</v>
      </c>
      <c r="L7326" t="s">
        <v>15</v>
      </c>
    </row>
    <row r="7327" spans="1:12" x14ac:dyDescent="0.25">
      <c r="A7327" t="str">
        <f>"5951290774"</f>
        <v>5951290774</v>
      </c>
      <c r="B7327" t="str">
        <f t="shared" si="341"/>
        <v>89301000</v>
      </c>
      <c r="C7327" s="1">
        <v>44235</v>
      </c>
      <c r="D7327" s="1">
        <v>44238</v>
      </c>
      <c r="E7327">
        <v>1</v>
      </c>
      <c r="F7327" t="s">
        <v>496</v>
      </c>
      <c r="G7327" t="str">
        <f>"08-M03-05"</f>
        <v>08-M03-05</v>
      </c>
      <c r="H7327">
        <v>0.51759999999999995</v>
      </c>
      <c r="I7327" t="s">
        <v>2407</v>
      </c>
      <c r="J7327" t="s">
        <v>14</v>
      </c>
      <c r="K7327" t="str">
        <f>"6F6"</f>
        <v>6F6</v>
      </c>
      <c r="L7327" t="s">
        <v>15</v>
      </c>
    </row>
    <row r="7328" spans="1:12" x14ac:dyDescent="0.25">
      <c r="A7328" t="str">
        <f>"5952021218"</f>
        <v>5952021218</v>
      </c>
      <c r="B7328" t="str">
        <f t="shared" si="341"/>
        <v>89301000</v>
      </c>
      <c r="C7328" s="1">
        <v>44336</v>
      </c>
      <c r="D7328" s="1">
        <v>44340</v>
      </c>
      <c r="E7328">
        <v>1</v>
      </c>
      <c r="F7328" t="s">
        <v>5285</v>
      </c>
      <c r="G7328" t="str">
        <f>"08-K04-01"</f>
        <v>08-K04-01</v>
      </c>
      <c r="H7328">
        <v>1.0062</v>
      </c>
      <c r="I7328" t="s">
        <v>5286</v>
      </c>
      <c r="J7328" t="s">
        <v>14</v>
      </c>
      <c r="K7328" t="str">
        <f>"1F9"</f>
        <v>1F9</v>
      </c>
      <c r="L7328" t="s">
        <v>15</v>
      </c>
    </row>
    <row r="7329" spans="1:12" x14ac:dyDescent="0.25">
      <c r="A7329" t="str">
        <f>"5952081344"</f>
        <v>5952081344</v>
      </c>
      <c r="B7329" t="str">
        <f t="shared" si="341"/>
        <v>89301000</v>
      </c>
      <c r="C7329" s="1">
        <v>44326</v>
      </c>
      <c r="D7329" s="1">
        <v>44330</v>
      </c>
      <c r="E7329">
        <v>1</v>
      </c>
      <c r="F7329" t="s">
        <v>2900</v>
      </c>
      <c r="G7329" t="str">
        <f>"10-I13-04"</f>
        <v>10-I13-04</v>
      </c>
      <c r="H7329">
        <v>0.66120000000000001</v>
      </c>
      <c r="I7329" t="s">
        <v>5287</v>
      </c>
      <c r="J7329" t="s">
        <v>24</v>
      </c>
      <c r="K7329" t="str">
        <f>"7F1"</f>
        <v>7F1</v>
      </c>
      <c r="L7329" t="s">
        <v>15</v>
      </c>
    </row>
    <row r="7330" spans="1:12" x14ac:dyDescent="0.25">
      <c r="A7330" t="str">
        <f>"5952090958"</f>
        <v>5952090958</v>
      </c>
      <c r="B7330" t="str">
        <f t="shared" si="341"/>
        <v>89301000</v>
      </c>
      <c r="C7330" s="1">
        <v>44259</v>
      </c>
      <c r="D7330" s="1">
        <v>44260</v>
      </c>
      <c r="E7330">
        <v>1</v>
      </c>
      <c r="F7330" t="s">
        <v>2303</v>
      </c>
      <c r="G7330" t="str">
        <f>"13-I19-00"</f>
        <v>13-I19-00</v>
      </c>
      <c r="H7330">
        <v>0.24679999999999999</v>
      </c>
      <c r="J7330" t="s">
        <v>14</v>
      </c>
      <c r="K7330" t="str">
        <f>"6F3"</f>
        <v>6F3</v>
      </c>
      <c r="L7330" t="s">
        <v>15</v>
      </c>
    </row>
    <row r="7331" spans="1:12" x14ac:dyDescent="0.25">
      <c r="A7331" t="str">
        <f>"5952111737"</f>
        <v>5952111737</v>
      </c>
      <c r="B7331" t="str">
        <f t="shared" si="341"/>
        <v>89301000</v>
      </c>
      <c r="C7331" s="1">
        <v>44419</v>
      </c>
      <c r="D7331" s="1">
        <v>44425</v>
      </c>
      <c r="E7331">
        <v>1</v>
      </c>
      <c r="F7331" t="s">
        <v>67</v>
      </c>
      <c r="G7331" t="str">
        <f>"01-K10-03"</f>
        <v>01-K10-03</v>
      </c>
      <c r="H7331">
        <v>1.0016</v>
      </c>
      <c r="I7331" t="s">
        <v>5288</v>
      </c>
      <c r="J7331" t="s">
        <v>14</v>
      </c>
      <c r="K7331" t="str">
        <f>"2F9"</f>
        <v>2F9</v>
      </c>
      <c r="L7331" t="s">
        <v>15</v>
      </c>
    </row>
    <row r="7332" spans="1:12" x14ac:dyDescent="0.25">
      <c r="A7332" t="str">
        <f>"5952131042"</f>
        <v>5952131042</v>
      </c>
      <c r="B7332" t="str">
        <f t="shared" si="341"/>
        <v>89301000</v>
      </c>
      <c r="C7332" s="1">
        <v>44389</v>
      </c>
      <c r="D7332" s="1">
        <v>44391</v>
      </c>
      <c r="E7332">
        <v>1</v>
      </c>
      <c r="F7332" t="s">
        <v>1878</v>
      </c>
      <c r="G7332" t="str">
        <f>"10-K12-03"</f>
        <v>10-K12-03</v>
      </c>
      <c r="H7332">
        <v>0.50629999999999997</v>
      </c>
      <c r="I7332" t="s">
        <v>5289</v>
      </c>
      <c r="J7332" t="s">
        <v>14</v>
      </c>
      <c r="K7332" t="str">
        <f>"1F1"</f>
        <v>1F1</v>
      </c>
      <c r="L7332" t="s">
        <v>15</v>
      </c>
    </row>
    <row r="7333" spans="1:12" x14ac:dyDescent="0.25">
      <c r="A7333" t="str">
        <f>"5952131042"</f>
        <v>5952131042</v>
      </c>
      <c r="B7333" t="str">
        <f t="shared" si="341"/>
        <v>89301000</v>
      </c>
      <c r="C7333" s="1">
        <v>44225</v>
      </c>
      <c r="D7333" s="1">
        <v>44230</v>
      </c>
      <c r="E7333">
        <v>1</v>
      </c>
      <c r="F7333" t="s">
        <v>2931</v>
      </c>
      <c r="G7333" t="str">
        <f>"07-K04-04"</f>
        <v>07-K04-04</v>
      </c>
      <c r="H7333">
        <v>0.61360000000000003</v>
      </c>
      <c r="I7333" t="s">
        <v>5290</v>
      </c>
      <c r="J7333" t="s">
        <v>14</v>
      </c>
      <c r="K7333" t="str">
        <f>"1F1"</f>
        <v>1F1</v>
      </c>
      <c r="L7333" t="s">
        <v>15</v>
      </c>
    </row>
    <row r="7334" spans="1:12" x14ac:dyDescent="0.25">
      <c r="A7334" t="str">
        <f>"5952170730"</f>
        <v>5952170730</v>
      </c>
      <c r="B7334" t="str">
        <f t="shared" si="341"/>
        <v>89301000</v>
      </c>
      <c r="C7334" s="1">
        <v>44235</v>
      </c>
      <c r="D7334" s="1">
        <v>44251</v>
      </c>
      <c r="E7334">
        <v>1</v>
      </c>
      <c r="F7334" t="s">
        <v>109</v>
      </c>
      <c r="G7334" t="str">
        <f>"24-M07-02"</f>
        <v>24-M07-02</v>
      </c>
      <c r="H7334">
        <v>1.5094000000000001</v>
      </c>
      <c r="I7334" t="s">
        <v>5291</v>
      </c>
      <c r="J7334" t="s">
        <v>14</v>
      </c>
      <c r="K7334" t="str">
        <f>"2F1"</f>
        <v>2F1</v>
      </c>
      <c r="L7334" t="s">
        <v>15</v>
      </c>
    </row>
    <row r="7335" spans="1:12" x14ac:dyDescent="0.25">
      <c r="A7335" t="str">
        <f>"5952170730"</f>
        <v>5952170730</v>
      </c>
      <c r="B7335" t="str">
        <f t="shared" si="341"/>
        <v>89301000</v>
      </c>
      <c r="C7335" s="1">
        <v>44330</v>
      </c>
      <c r="D7335" s="1">
        <v>44333</v>
      </c>
      <c r="E7335">
        <v>1</v>
      </c>
      <c r="F7335" t="s">
        <v>2026</v>
      </c>
      <c r="G7335" t="str">
        <f>"08-K08-00"</f>
        <v>08-K08-00</v>
      </c>
      <c r="H7335">
        <v>0.51670000000000005</v>
      </c>
      <c r="I7335" t="s">
        <v>5292</v>
      </c>
      <c r="J7335" t="s">
        <v>14</v>
      </c>
      <c r="K7335" t="str">
        <f>"1F9"</f>
        <v>1F9</v>
      </c>
      <c r="L7335" t="s">
        <v>15</v>
      </c>
    </row>
    <row r="7336" spans="1:12" x14ac:dyDescent="0.25">
      <c r="A7336" t="str">
        <f>"5952260633"</f>
        <v>5952260633</v>
      </c>
      <c r="B7336" t="str">
        <f t="shared" si="341"/>
        <v>89301000</v>
      </c>
      <c r="C7336" s="1">
        <v>44223</v>
      </c>
      <c r="D7336" s="1">
        <v>44232</v>
      </c>
      <c r="E7336">
        <v>3</v>
      </c>
      <c r="F7336" t="s">
        <v>1614</v>
      </c>
      <c r="G7336" t="str">
        <f>"08-K04-03"</f>
        <v>08-K04-03</v>
      </c>
      <c r="H7336">
        <v>0.45050000000000001</v>
      </c>
      <c r="I7336" t="s">
        <v>2272</v>
      </c>
      <c r="J7336" t="s">
        <v>14</v>
      </c>
      <c r="K7336" t="str">
        <f>"6F6"</f>
        <v>6F6</v>
      </c>
      <c r="L7336" t="s">
        <v>15</v>
      </c>
    </row>
    <row r="7337" spans="1:12" x14ac:dyDescent="0.25">
      <c r="A7337" t="str">
        <f>"5952260633"</f>
        <v>5952260633</v>
      </c>
      <c r="B7337" t="str">
        <f t="shared" si="341"/>
        <v>89301000</v>
      </c>
      <c r="C7337" s="1">
        <v>44201</v>
      </c>
      <c r="D7337" s="1">
        <v>44208</v>
      </c>
      <c r="E7337">
        <v>4</v>
      </c>
      <c r="F7337" t="s">
        <v>1614</v>
      </c>
      <c r="G7337" t="str">
        <f>"08-I05-03"</f>
        <v>08-I05-03</v>
      </c>
      <c r="H7337">
        <v>2.8530000000000002</v>
      </c>
      <c r="I7337" t="s">
        <v>5293</v>
      </c>
      <c r="J7337" t="s">
        <v>17</v>
      </c>
      <c r="K7337" t="str">
        <f>"6F6"</f>
        <v>6F6</v>
      </c>
      <c r="L7337" t="s">
        <v>15</v>
      </c>
    </row>
    <row r="7338" spans="1:12" x14ac:dyDescent="0.25">
      <c r="A7338" t="str">
        <f>"5952260633"</f>
        <v>5952260633</v>
      </c>
      <c r="B7338" t="str">
        <f t="shared" si="341"/>
        <v>89301000</v>
      </c>
      <c r="C7338" s="1">
        <v>44232</v>
      </c>
      <c r="D7338" s="1">
        <v>44246</v>
      </c>
      <c r="E7338">
        <v>1</v>
      </c>
      <c r="F7338" t="s">
        <v>109</v>
      </c>
      <c r="G7338" t="str">
        <f>"24-M07-02"</f>
        <v>24-M07-02</v>
      </c>
      <c r="H7338">
        <v>1.5094000000000001</v>
      </c>
      <c r="I7338" t="s">
        <v>5294</v>
      </c>
      <c r="J7338" t="s">
        <v>14</v>
      </c>
      <c r="K7338" t="str">
        <f>"2F1"</f>
        <v>2F1</v>
      </c>
      <c r="L7338" t="s">
        <v>15</v>
      </c>
    </row>
    <row r="7339" spans="1:12" x14ac:dyDescent="0.25">
      <c r="A7339" t="str">
        <f>"5952270071"</f>
        <v>5952270071</v>
      </c>
      <c r="B7339" t="str">
        <f t="shared" si="341"/>
        <v>89301000</v>
      </c>
      <c r="C7339" s="1">
        <v>44315</v>
      </c>
      <c r="D7339" s="1">
        <v>44327</v>
      </c>
      <c r="E7339">
        <v>1</v>
      </c>
      <c r="F7339" t="s">
        <v>2445</v>
      </c>
      <c r="G7339" t="str">
        <f>"04-M01-05"</f>
        <v>04-M01-05</v>
      </c>
      <c r="H7339">
        <v>6.2100999999999997</v>
      </c>
      <c r="I7339" t="s">
        <v>5295</v>
      </c>
      <c r="J7339" t="s">
        <v>14</v>
      </c>
      <c r="K7339" t="str">
        <f>"1F1"</f>
        <v>1F1</v>
      </c>
      <c r="L7339" t="s">
        <v>15</v>
      </c>
    </row>
    <row r="7340" spans="1:12" x14ac:dyDescent="0.25">
      <c r="A7340" t="str">
        <f>"5953040170"</f>
        <v>5953040170</v>
      </c>
      <c r="B7340" t="str">
        <f t="shared" si="341"/>
        <v>89301000</v>
      </c>
      <c r="C7340" s="1">
        <v>44252</v>
      </c>
      <c r="D7340" s="1">
        <v>44255</v>
      </c>
      <c r="E7340">
        <v>1</v>
      </c>
      <c r="F7340" t="s">
        <v>1555</v>
      </c>
      <c r="G7340" t="str">
        <f>"05-M07-06"</f>
        <v>05-M07-06</v>
      </c>
      <c r="H7340">
        <v>1.2513000000000001</v>
      </c>
      <c r="J7340" t="s">
        <v>17</v>
      </c>
      <c r="K7340" t="str">
        <f>"5F1"</f>
        <v>5F1</v>
      </c>
      <c r="L7340" t="s">
        <v>15</v>
      </c>
    </row>
    <row r="7341" spans="1:12" x14ac:dyDescent="0.25">
      <c r="A7341" t="str">
        <f>"5953040203"</f>
        <v>5953040203</v>
      </c>
      <c r="B7341" t="str">
        <f t="shared" si="341"/>
        <v>89301000</v>
      </c>
      <c r="C7341" s="1">
        <v>44208</v>
      </c>
      <c r="D7341" s="1">
        <v>44221</v>
      </c>
      <c r="E7341">
        <v>1</v>
      </c>
      <c r="F7341" t="s">
        <v>217</v>
      </c>
      <c r="G7341" t="str">
        <f>"04-K02-02"</f>
        <v>04-K02-02</v>
      </c>
      <c r="H7341">
        <v>2.5186000000000002</v>
      </c>
      <c r="I7341" t="s">
        <v>5296</v>
      </c>
      <c r="J7341" t="s">
        <v>14</v>
      </c>
      <c r="K7341" t="str">
        <f>"2F5"</f>
        <v>2F5</v>
      </c>
      <c r="L7341" t="s">
        <v>15</v>
      </c>
    </row>
    <row r="7342" spans="1:12" x14ac:dyDescent="0.25">
      <c r="A7342" t="str">
        <f>"5953040203"</f>
        <v>5953040203</v>
      </c>
      <c r="B7342" t="str">
        <f t="shared" si="341"/>
        <v>89301000</v>
      </c>
      <c r="C7342" s="1">
        <v>44251</v>
      </c>
      <c r="D7342" s="1">
        <v>44253</v>
      </c>
      <c r="E7342">
        <v>1</v>
      </c>
      <c r="F7342" t="s">
        <v>41</v>
      </c>
      <c r="G7342" t="str">
        <f>"01-D01-03"</f>
        <v>01-D01-03</v>
      </c>
      <c r="H7342">
        <v>0.158</v>
      </c>
      <c r="I7342" t="s">
        <v>5297</v>
      </c>
      <c r="J7342" t="s">
        <v>14</v>
      </c>
      <c r="K7342" t="str">
        <f>"2F5"</f>
        <v>2F5</v>
      </c>
      <c r="L7342" t="s">
        <v>15</v>
      </c>
    </row>
    <row r="7343" spans="1:12" x14ac:dyDescent="0.25">
      <c r="A7343" t="str">
        <f>"5953102012"</f>
        <v>5953102012</v>
      </c>
      <c r="B7343" t="str">
        <f t="shared" si="341"/>
        <v>89301000</v>
      </c>
      <c r="C7343" s="1">
        <v>44245</v>
      </c>
      <c r="D7343" s="1">
        <v>44252</v>
      </c>
      <c r="E7343">
        <v>1</v>
      </c>
      <c r="F7343" t="s">
        <v>217</v>
      </c>
      <c r="G7343" t="str">
        <f>"04-K02-04"</f>
        <v>04-K02-04</v>
      </c>
      <c r="H7343">
        <v>0.82469999999999999</v>
      </c>
      <c r="I7343" t="s">
        <v>274</v>
      </c>
      <c r="J7343" t="s">
        <v>14</v>
      </c>
      <c r="K7343" t="str">
        <f>"1F1"</f>
        <v>1F1</v>
      </c>
      <c r="L7343" t="s">
        <v>15</v>
      </c>
    </row>
    <row r="7344" spans="1:12" x14ac:dyDescent="0.25">
      <c r="A7344" t="str">
        <f>"5953121526"</f>
        <v>5953121526</v>
      </c>
      <c r="B7344" t="str">
        <f t="shared" si="341"/>
        <v>89301000</v>
      </c>
      <c r="C7344" s="1">
        <v>44494</v>
      </c>
      <c r="D7344" s="1">
        <v>44499</v>
      </c>
      <c r="E7344">
        <v>1</v>
      </c>
      <c r="F7344" t="s">
        <v>1551</v>
      </c>
      <c r="G7344" t="str">
        <f>"09-I06-03"</f>
        <v>09-I06-03</v>
      </c>
      <c r="H7344">
        <v>1.4382999999999999</v>
      </c>
      <c r="I7344" t="s">
        <v>1868</v>
      </c>
      <c r="J7344" t="s">
        <v>17</v>
      </c>
      <c r="K7344" t="str">
        <f>"5F1"</f>
        <v>5F1</v>
      </c>
      <c r="L7344" t="s">
        <v>15</v>
      </c>
    </row>
    <row r="7345" spans="1:12" x14ac:dyDescent="0.25">
      <c r="A7345" t="str">
        <f>"5953140094"</f>
        <v>5953140094</v>
      </c>
      <c r="B7345" t="str">
        <f t="shared" si="341"/>
        <v>89301000</v>
      </c>
      <c r="C7345" s="1">
        <v>44528</v>
      </c>
      <c r="D7345" s="1">
        <v>44530</v>
      </c>
      <c r="E7345">
        <v>1</v>
      </c>
      <c r="F7345" t="s">
        <v>311</v>
      </c>
      <c r="G7345" t="str">
        <f>"03-I14-02"</f>
        <v>03-I14-02</v>
      </c>
      <c r="H7345">
        <v>1.1086</v>
      </c>
      <c r="I7345" t="s">
        <v>1983</v>
      </c>
      <c r="J7345" t="s">
        <v>14</v>
      </c>
      <c r="K7345" t="str">
        <f>"7F1"</f>
        <v>7F1</v>
      </c>
      <c r="L7345" t="s">
        <v>15</v>
      </c>
    </row>
    <row r="7346" spans="1:12" x14ac:dyDescent="0.25">
      <c r="A7346" t="str">
        <f>"5953170795"</f>
        <v>5953170795</v>
      </c>
      <c r="B7346" t="str">
        <f t="shared" si="341"/>
        <v>89301000</v>
      </c>
      <c r="C7346" s="1">
        <v>44202</v>
      </c>
      <c r="D7346" s="1">
        <v>44246</v>
      </c>
      <c r="E7346">
        <v>2</v>
      </c>
      <c r="F7346" t="s">
        <v>962</v>
      </c>
      <c r="G7346" t="str">
        <f>"04-M01-03"</f>
        <v>04-M01-03</v>
      </c>
      <c r="H7346">
        <v>17.538900000000002</v>
      </c>
      <c r="I7346" t="s">
        <v>5298</v>
      </c>
      <c r="J7346" t="s">
        <v>14</v>
      </c>
      <c r="K7346" t="str">
        <f>"1F5"</f>
        <v>1F5</v>
      </c>
      <c r="L7346" t="s">
        <v>15</v>
      </c>
    </row>
    <row r="7347" spans="1:12" x14ac:dyDescent="0.25">
      <c r="A7347" t="str">
        <f>"5953201793"</f>
        <v>5953201793</v>
      </c>
      <c r="B7347" t="str">
        <f t="shared" si="341"/>
        <v>89301000</v>
      </c>
      <c r="C7347" s="1">
        <v>44295</v>
      </c>
      <c r="D7347" s="1">
        <v>44298</v>
      </c>
      <c r="E7347">
        <v>1</v>
      </c>
      <c r="F7347" t="s">
        <v>41</v>
      </c>
      <c r="G7347" t="str">
        <f>"01-D01-03"</f>
        <v>01-D01-03</v>
      </c>
      <c r="H7347">
        <v>0.2054</v>
      </c>
      <c r="I7347" t="s">
        <v>5299</v>
      </c>
      <c r="J7347" t="s">
        <v>14</v>
      </c>
      <c r="K7347" t="str">
        <f>"2F5"</f>
        <v>2F5</v>
      </c>
      <c r="L7347" t="s">
        <v>15</v>
      </c>
    </row>
    <row r="7348" spans="1:12" x14ac:dyDescent="0.25">
      <c r="A7348" t="str">
        <f>"5953241008"</f>
        <v>5953241008</v>
      </c>
      <c r="B7348" t="str">
        <f t="shared" si="341"/>
        <v>89301000</v>
      </c>
      <c r="C7348" s="1">
        <v>44468</v>
      </c>
      <c r="D7348" s="1">
        <v>44478</v>
      </c>
      <c r="E7348">
        <v>1</v>
      </c>
      <c r="F7348" t="s">
        <v>1953</v>
      </c>
      <c r="G7348" t="str">
        <f>"07-I01-02"</f>
        <v>07-I01-02</v>
      </c>
      <c r="H7348">
        <v>5.4947999999999997</v>
      </c>
      <c r="I7348" t="s">
        <v>5300</v>
      </c>
      <c r="J7348" t="s">
        <v>17</v>
      </c>
      <c r="K7348" t="str">
        <f>"5F1"</f>
        <v>5F1</v>
      </c>
      <c r="L7348" t="s">
        <v>15</v>
      </c>
    </row>
    <row r="7349" spans="1:12" x14ac:dyDescent="0.25">
      <c r="A7349" t="str">
        <f>"5953282104"</f>
        <v>5953282104</v>
      </c>
      <c r="B7349" t="str">
        <f t="shared" si="341"/>
        <v>89301000</v>
      </c>
      <c r="C7349" s="1">
        <v>44313</v>
      </c>
      <c r="D7349" s="1">
        <v>44315</v>
      </c>
      <c r="E7349">
        <v>1</v>
      </c>
      <c r="F7349" t="s">
        <v>4491</v>
      </c>
      <c r="G7349" t="str">
        <f>"01-K01-02"</f>
        <v>01-K01-02</v>
      </c>
      <c r="H7349">
        <v>0.50700000000000001</v>
      </c>
      <c r="I7349" t="s">
        <v>2679</v>
      </c>
      <c r="J7349" t="s">
        <v>14</v>
      </c>
      <c r="K7349" t="str">
        <f>"2F9"</f>
        <v>2F9</v>
      </c>
      <c r="L7349" t="s">
        <v>15</v>
      </c>
    </row>
    <row r="7350" spans="1:12" x14ac:dyDescent="0.25">
      <c r="A7350" t="str">
        <f>"5953282104"</f>
        <v>5953282104</v>
      </c>
      <c r="B7350" t="str">
        <f t="shared" si="341"/>
        <v>89301000</v>
      </c>
      <c r="C7350" s="1">
        <v>44456</v>
      </c>
      <c r="D7350" s="1">
        <v>44458</v>
      </c>
      <c r="E7350">
        <v>1</v>
      </c>
      <c r="F7350" t="s">
        <v>4491</v>
      </c>
      <c r="G7350" t="str">
        <f>"01-K01-02"</f>
        <v>01-K01-02</v>
      </c>
      <c r="H7350">
        <v>0.50700000000000001</v>
      </c>
      <c r="I7350" t="s">
        <v>265</v>
      </c>
      <c r="J7350" t="s">
        <v>14</v>
      </c>
      <c r="K7350" t="str">
        <f>"2F9"</f>
        <v>2F9</v>
      </c>
      <c r="L7350" t="s">
        <v>15</v>
      </c>
    </row>
    <row r="7351" spans="1:12" x14ac:dyDescent="0.25">
      <c r="A7351" t="str">
        <f>"5953282104"</f>
        <v>5953282104</v>
      </c>
      <c r="B7351" t="str">
        <f t="shared" si="341"/>
        <v>89301000</v>
      </c>
      <c r="C7351" s="1">
        <v>44538</v>
      </c>
      <c r="D7351" s="1">
        <v>44540</v>
      </c>
      <c r="E7351">
        <v>1</v>
      </c>
      <c r="F7351" t="s">
        <v>4491</v>
      </c>
      <c r="G7351" t="str">
        <f>"01-K01-02"</f>
        <v>01-K01-02</v>
      </c>
      <c r="H7351">
        <v>0.50700000000000001</v>
      </c>
      <c r="I7351" t="s">
        <v>265</v>
      </c>
      <c r="J7351" t="s">
        <v>14</v>
      </c>
      <c r="K7351" t="str">
        <f>"2F9"</f>
        <v>2F9</v>
      </c>
      <c r="L7351" t="s">
        <v>15</v>
      </c>
    </row>
    <row r="7352" spans="1:12" x14ac:dyDescent="0.25">
      <c r="A7352" t="str">
        <f>"5953282104"</f>
        <v>5953282104</v>
      </c>
      <c r="B7352" t="str">
        <f t="shared" si="341"/>
        <v>89301000</v>
      </c>
      <c r="C7352" s="1">
        <v>44225</v>
      </c>
      <c r="D7352" s="1">
        <v>44227</v>
      </c>
      <c r="E7352">
        <v>1</v>
      </c>
      <c r="F7352" t="s">
        <v>4491</v>
      </c>
      <c r="G7352" t="str">
        <f>"01-K01-02"</f>
        <v>01-K01-02</v>
      </c>
      <c r="H7352">
        <v>0.50700000000000001</v>
      </c>
      <c r="I7352" t="s">
        <v>265</v>
      </c>
      <c r="J7352" t="s">
        <v>14</v>
      </c>
      <c r="K7352" t="str">
        <f>"2F9"</f>
        <v>2F9</v>
      </c>
      <c r="L7352" t="s">
        <v>15</v>
      </c>
    </row>
    <row r="7353" spans="1:12" x14ac:dyDescent="0.25">
      <c r="A7353" t="str">
        <f>"5953290761"</f>
        <v>5953290761</v>
      </c>
      <c r="B7353" t="str">
        <f t="shared" si="341"/>
        <v>89301000</v>
      </c>
      <c r="C7353" s="1">
        <v>44391</v>
      </c>
      <c r="D7353" s="1">
        <v>44397</v>
      </c>
      <c r="E7353">
        <v>1</v>
      </c>
      <c r="F7353" t="s">
        <v>31</v>
      </c>
      <c r="G7353" t="str">
        <f>"08-I03-06"</f>
        <v>08-I03-06</v>
      </c>
      <c r="H7353">
        <v>3.3738000000000001</v>
      </c>
      <c r="I7353" t="s">
        <v>5301</v>
      </c>
      <c r="J7353" t="s">
        <v>17</v>
      </c>
      <c r="K7353" t="str">
        <f>"5F6"</f>
        <v>5F6</v>
      </c>
      <c r="L7353" t="s">
        <v>15</v>
      </c>
    </row>
    <row r="7354" spans="1:12" x14ac:dyDescent="0.25">
      <c r="A7354" t="str">
        <f>"5953297449"</f>
        <v>5953297449</v>
      </c>
      <c r="B7354" t="str">
        <f t="shared" si="341"/>
        <v>89301000</v>
      </c>
      <c r="C7354" s="1">
        <v>44508</v>
      </c>
      <c r="D7354" s="1">
        <v>44522</v>
      </c>
      <c r="E7354">
        <v>1</v>
      </c>
      <c r="F7354" t="s">
        <v>324</v>
      </c>
      <c r="G7354" t="str">
        <f>"06-K01-02"</f>
        <v>06-K01-02</v>
      </c>
      <c r="H7354">
        <v>1.2551000000000001</v>
      </c>
      <c r="I7354" t="s">
        <v>5302</v>
      </c>
      <c r="J7354" t="s">
        <v>14</v>
      </c>
      <c r="K7354" t="str">
        <f>"1F1"</f>
        <v>1F1</v>
      </c>
      <c r="L7354" t="s">
        <v>15</v>
      </c>
    </row>
    <row r="7355" spans="1:12" x14ac:dyDescent="0.25">
      <c r="A7355" t="str">
        <f>"5954131469"</f>
        <v>5954131469</v>
      </c>
      <c r="B7355" t="str">
        <f t="shared" si="341"/>
        <v>89301000</v>
      </c>
      <c r="C7355" s="1">
        <v>44344</v>
      </c>
      <c r="D7355" s="1">
        <v>44345</v>
      </c>
      <c r="E7355">
        <v>1</v>
      </c>
      <c r="F7355" t="s">
        <v>1557</v>
      </c>
      <c r="G7355" t="str">
        <f>"05-D01-08"</f>
        <v>05-D01-08</v>
      </c>
      <c r="H7355">
        <v>0.4093</v>
      </c>
      <c r="I7355" t="s">
        <v>5252</v>
      </c>
      <c r="J7355" t="s">
        <v>14</v>
      </c>
      <c r="K7355" t="str">
        <f>"1F7"</f>
        <v>1F7</v>
      </c>
      <c r="L7355" t="s">
        <v>15</v>
      </c>
    </row>
    <row r="7356" spans="1:12" x14ac:dyDescent="0.25">
      <c r="A7356" t="str">
        <f>"5954281421"</f>
        <v>5954281421</v>
      </c>
      <c r="B7356" t="str">
        <f t="shared" ref="B7356:B7418" si="344">"89301000"</f>
        <v>89301000</v>
      </c>
      <c r="C7356" s="1">
        <v>44327</v>
      </c>
      <c r="D7356" s="1">
        <v>44330</v>
      </c>
      <c r="E7356">
        <v>1</v>
      </c>
      <c r="F7356" t="s">
        <v>71</v>
      </c>
      <c r="G7356" t="str">
        <f>"08-M03-05"</f>
        <v>08-M03-05</v>
      </c>
      <c r="H7356">
        <v>0.51759999999999995</v>
      </c>
      <c r="I7356" t="s">
        <v>5303</v>
      </c>
      <c r="J7356" t="s">
        <v>14</v>
      </c>
      <c r="K7356" t="str">
        <f>"6F6"</f>
        <v>6F6</v>
      </c>
      <c r="L7356" t="s">
        <v>15</v>
      </c>
    </row>
    <row r="7357" spans="1:12" x14ac:dyDescent="0.25">
      <c r="A7357" t="str">
        <f>"5955010127"</f>
        <v>5955010127</v>
      </c>
      <c r="B7357" t="str">
        <f t="shared" si="344"/>
        <v>89301000</v>
      </c>
      <c r="C7357" s="1">
        <v>44305</v>
      </c>
      <c r="D7357" s="1">
        <v>44307</v>
      </c>
      <c r="E7357">
        <v>1</v>
      </c>
      <c r="F7357" t="s">
        <v>831</v>
      </c>
      <c r="G7357" t="str">
        <f>"02-I06-03"</f>
        <v>02-I06-03</v>
      </c>
      <c r="H7357">
        <v>0.63690000000000002</v>
      </c>
      <c r="I7357" t="s">
        <v>5304</v>
      </c>
      <c r="J7357" t="s">
        <v>17</v>
      </c>
      <c r="K7357" t="str">
        <f>"7F5"</f>
        <v>7F5</v>
      </c>
      <c r="L7357" t="s">
        <v>15</v>
      </c>
    </row>
    <row r="7358" spans="1:12" x14ac:dyDescent="0.25">
      <c r="A7358" t="str">
        <f>"5955071969"</f>
        <v>5955071969</v>
      </c>
      <c r="B7358" t="str">
        <f t="shared" si="344"/>
        <v>89301000</v>
      </c>
      <c r="C7358" s="1">
        <v>44501</v>
      </c>
      <c r="D7358" s="1">
        <v>44503</v>
      </c>
      <c r="E7358">
        <v>1</v>
      </c>
      <c r="F7358" t="s">
        <v>173</v>
      </c>
      <c r="G7358" t="str">
        <f>"08-I32-02"</f>
        <v>08-I32-02</v>
      </c>
      <c r="H7358">
        <v>0.4143</v>
      </c>
      <c r="J7358" t="s">
        <v>14</v>
      </c>
      <c r="K7358" t="str">
        <f>"5F3"</f>
        <v>5F3</v>
      </c>
      <c r="L7358" t="s">
        <v>15</v>
      </c>
    </row>
    <row r="7359" spans="1:12" x14ac:dyDescent="0.25">
      <c r="A7359" t="str">
        <f>"5955071969"</f>
        <v>5955071969</v>
      </c>
      <c r="B7359" t="str">
        <f t="shared" si="344"/>
        <v>89301000</v>
      </c>
      <c r="C7359" s="1">
        <v>44326</v>
      </c>
      <c r="D7359" s="1">
        <v>44326</v>
      </c>
      <c r="E7359">
        <v>1</v>
      </c>
      <c r="F7359" t="s">
        <v>173</v>
      </c>
      <c r="G7359" t="str">
        <f>"08-K15-00"</f>
        <v>08-K15-00</v>
      </c>
      <c r="H7359">
        <v>0.22239999999999999</v>
      </c>
      <c r="I7359" t="s">
        <v>248</v>
      </c>
      <c r="J7359" t="s">
        <v>14</v>
      </c>
      <c r="K7359" t="str">
        <f>"5F3"</f>
        <v>5F3</v>
      </c>
      <c r="L7359" t="s">
        <v>15</v>
      </c>
    </row>
    <row r="7360" spans="1:12" x14ac:dyDescent="0.25">
      <c r="A7360" t="str">
        <f>"5955151356"</f>
        <v>5955151356</v>
      </c>
      <c r="B7360" t="str">
        <f t="shared" si="344"/>
        <v>89301000</v>
      </c>
      <c r="C7360" s="1">
        <v>44305</v>
      </c>
      <c r="D7360" s="1">
        <v>44320</v>
      </c>
      <c r="E7360">
        <v>1</v>
      </c>
      <c r="F7360" t="s">
        <v>3929</v>
      </c>
      <c r="G7360" t="str">
        <f>"19-K04-02"</f>
        <v>19-K04-02</v>
      </c>
      <c r="H7360">
        <v>1.4597</v>
      </c>
      <c r="I7360" t="s">
        <v>5305</v>
      </c>
      <c r="J7360" t="s">
        <v>27</v>
      </c>
      <c r="K7360" t="str">
        <f>"3F5"</f>
        <v>3F5</v>
      </c>
      <c r="L7360" t="s">
        <v>15</v>
      </c>
    </row>
    <row r="7361" spans="1:12" x14ac:dyDescent="0.25">
      <c r="A7361" t="str">
        <f>"5955221690"</f>
        <v>5955221690</v>
      </c>
      <c r="B7361" t="str">
        <f t="shared" si="344"/>
        <v>89301000</v>
      </c>
      <c r="C7361" s="1">
        <v>44301</v>
      </c>
      <c r="D7361" s="1">
        <v>44304</v>
      </c>
      <c r="E7361">
        <v>5</v>
      </c>
      <c r="F7361" t="s">
        <v>1581</v>
      </c>
      <c r="G7361" t="str">
        <f>"05-I24-02"</f>
        <v>05-I24-02</v>
      </c>
      <c r="H7361">
        <v>4.3616999999999999</v>
      </c>
      <c r="I7361" t="s">
        <v>2216</v>
      </c>
      <c r="J7361" t="s">
        <v>14</v>
      </c>
      <c r="K7361" t="str">
        <f>"5F1"</f>
        <v>5F1</v>
      </c>
      <c r="L7361" t="s">
        <v>15</v>
      </c>
    </row>
    <row r="7362" spans="1:12" x14ac:dyDescent="0.25">
      <c r="A7362" t="str">
        <f>"5956052113"</f>
        <v>5956052113</v>
      </c>
      <c r="B7362" t="str">
        <f t="shared" si="344"/>
        <v>89301000</v>
      </c>
      <c r="C7362" s="1">
        <v>44427</v>
      </c>
      <c r="D7362" s="1">
        <v>44438</v>
      </c>
      <c r="E7362">
        <v>5</v>
      </c>
      <c r="F7362" t="s">
        <v>4871</v>
      </c>
      <c r="G7362" t="str">
        <f>"01-I06-02"</f>
        <v>01-I06-02</v>
      </c>
      <c r="H7362">
        <v>5.1687000000000003</v>
      </c>
      <c r="I7362" t="s">
        <v>5306</v>
      </c>
      <c r="J7362" t="s">
        <v>17</v>
      </c>
      <c r="K7362" t="str">
        <f>"5T6"</f>
        <v>5T6</v>
      </c>
      <c r="L7362" t="s">
        <v>15</v>
      </c>
    </row>
    <row r="7363" spans="1:12" x14ac:dyDescent="0.25">
      <c r="A7363" t="str">
        <f>"5956110336"</f>
        <v>5956110336</v>
      </c>
      <c r="B7363" t="str">
        <f t="shared" si="344"/>
        <v>89301000</v>
      </c>
      <c r="C7363" s="1">
        <v>44207</v>
      </c>
      <c r="D7363" s="1">
        <v>44209</v>
      </c>
      <c r="E7363">
        <v>1</v>
      </c>
      <c r="F7363" t="s">
        <v>5307</v>
      </c>
      <c r="G7363" t="str">
        <f>"17-K07-01"</f>
        <v>17-K07-01</v>
      </c>
      <c r="H7363">
        <v>2.5747</v>
      </c>
      <c r="I7363" t="s">
        <v>5308</v>
      </c>
      <c r="J7363" t="s">
        <v>14</v>
      </c>
      <c r="K7363" t="str">
        <f>"2F2"</f>
        <v>2F2</v>
      </c>
      <c r="L7363" t="s">
        <v>15</v>
      </c>
    </row>
    <row r="7364" spans="1:12" x14ac:dyDescent="0.25">
      <c r="A7364" t="str">
        <f>"5956161739"</f>
        <v>5956161739</v>
      </c>
      <c r="B7364" t="str">
        <f t="shared" si="344"/>
        <v>89301000</v>
      </c>
      <c r="C7364" s="1">
        <v>44530</v>
      </c>
      <c r="D7364" s="1">
        <v>44531</v>
      </c>
      <c r="E7364">
        <v>1</v>
      </c>
      <c r="F7364" t="s">
        <v>2303</v>
      </c>
      <c r="G7364" t="str">
        <f>"13-I19-00"</f>
        <v>13-I19-00</v>
      </c>
      <c r="H7364">
        <v>0.24679999999999999</v>
      </c>
      <c r="J7364" t="s">
        <v>14</v>
      </c>
      <c r="K7364" t="str">
        <f>"6F3"</f>
        <v>6F3</v>
      </c>
      <c r="L7364" t="s">
        <v>15</v>
      </c>
    </row>
    <row r="7365" spans="1:12" x14ac:dyDescent="0.25">
      <c r="A7365" t="str">
        <f>"5956191087"</f>
        <v>5956191087</v>
      </c>
      <c r="B7365" t="str">
        <f t="shared" si="344"/>
        <v>89301000</v>
      </c>
      <c r="C7365" s="1">
        <v>44441</v>
      </c>
      <c r="D7365" s="1">
        <v>44443</v>
      </c>
      <c r="E7365">
        <v>1</v>
      </c>
      <c r="F7365" t="s">
        <v>1683</v>
      </c>
      <c r="G7365" t="str">
        <f>"05-M06-06"</f>
        <v>05-M06-06</v>
      </c>
      <c r="H7365">
        <v>1.7652000000000001</v>
      </c>
      <c r="I7365" t="s">
        <v>1892</v>
      </c>
      <c r="J7365" t="s">
        <v>17</v>
      </c>
      <c r="K7365" t="str">
        <f>"1F7"</f>
        <v>1F7</v>
      </c>
      <c r="L7365" t="s">
        <v>15</v>
      </c>
    </row>
    <row r="7366" spans="1:12" x14ac:dyDescent="0.25">
      <c r="A7366" t="str">
        <f>"5956201141"</f>
        <v>5956201141</v>
      </c>
      <c r="B7366" t="str">
        <f t="shared" si="344"/>
        <v>89301000</v>
      </c>
      <c r="C7366" s="1">
        <v>44232</v>
      </c>
      <c r="D7366" s="1">
        <v>44238</v>
      </c>
      <c r="E7366">
        <v>1</v>
      </c>
      <c r="F7366" t="s">
        <v>31</v>
      </c>
      <c r="G7366" t="str">
        <f>"08-I03-04"</f>
        <v>08-I03-04</v>
      </c>
      <c r="H7366">
        <v>4.8169000000000004</v>
      </c>
      <c r="I7366" t="s">
        <v>5309</v>
      </c>
      <c r="J7366" t="s">
        <v>17</v>
      </c>
      <c r="K7366" t="str">
        <f>"5F6"</f>
        <v>5F6</v>
      </c>
      <c r="L7366" t="s">
        <v>15</v>
      </c>
    </row>
    <row r="7367" spans="1:12" x14ac:dyDescent="0.25">
      <c r="A7367" t="str">
        <f>"5956211338"</f>
        <v>5956211338</v>
      </c>
      <c r="B7367" t="str">
        <f t="shared" si="344"/>
        <v>89301000</v>
      </c>
      <c r="C7367" s="1">
        <v>44384</v>
      </c>
      <c r="D7367" s="1">
        <v>44385</v>
      </c>
      <c r="E7367">
        <v>1</v>
      </c>
      <c r="F7367" t="s">
        <v>2819</v>
      </c>
      <c r="G7367" t="str">
        <f>"09-I10-02"</f>
        <v>09-I10-02</v>
      </c>
      <c r="H7367">
        <v>0.98380000000000001</v>
      </c>
      <c r="J7367" t="s">
        <v>17</v>
      </c>
      <c r="K7367" t="str">
        <f>"6F1"</f>
        <v>6F1</v>
      </c>
      <c r="L7367" t="s">
        <v>15</v>
      </c>
    </row>
    <row r="7368" spans="1:12" x14ac:dyDescent="0.25">
      <c r="A7368" t="str">
        <f>"5956251928"</f>
        <v>5956251928</v>
      </c>
      <c r="B7368" t="str">
        <f t="shared" si="344"/>
        <v>89301000</v>
      </c>
      <c r="C7368" s="1">
        <v>44378</v>
      </c>
      <c r="D7368" s="1">
        <v>44384</v>
      </c>
      <c r="E7368">
        <v>1</v>
      </c>
      <c r="F7368" t="s">
        <v>4488</v>
      </c>
      <c r="G7368" t="str">
        <f>"09-K08-02"</f>
        <v>09-K08-02</v>
      </c>
      <c r="H7368">
        <v>0.54849999999999999</v>
      </c>
      <c r="I7368" t="s">
        <v>5310</v>
      </c>
      <c r="J7368" t="s">
        <v>14</v>
      </c>
      <c r="K7368" t="str">
        <f>"4F2"</f>
        <v>4F2</v>
      </c>
      <c r="L7368" t="s">
        <v>15</v>
      </c>
    </row>
    <row r="7369" spans="1:12" x14ac:dyDescent="0.25">
      <c r="A7369" t="str">
        <f>"5956266536"</f>
        <v>5956266536</v>
      </c>
      <c r="B7369" t="str">
        <f t="shared" si="344"/>
        <v>89301000</v>
      </c>
      <c r="C7369" s="1">
        <v>44312</v>
      </c>
      <c r="D7369" s="1">
        <v>44317</v>
      </c>
      <c r="E7369">
        <v>1</v>
      </c>
      <c r="F7369" t="s">
        <v>1156</v>
      </c>
      <c r="G7369" t="str">
        <f>"03-I15-00"</f>
        <v>03-I15-00</v>
      </c>
      <c r="H7369">
        <v>0.97689999999999999</v>
      </c>
      <c r="I7369" t="s">
        <v>5311</v>
      </c>
      <c r="J7369" t="s">
        <v>24</v>
      </c>
      <c r="K7369" t="str">
        <f>"7F1"</f>
        <v>7F1</v>
      </c>
      <c r="L7369" t="s">
        <v>15</v>
      </c>
    </row>
    <row r="7370" spans="1:12" x14ac:dyDescent="0.25">
      <c r="A7370" t="str">
        <f>"5956271134"</f>
        <v>5956271134</v>
      </c>
      <c r="B7370" t="str">
        <f t="shared" si="344"/>
        <v>89301000</v>
      </c>
      <c r="C7370" s="1">
        <v>44271</v>
      </c>
      <c r="D7370" s="1">
        <v>44277</v>
      </c>
      <c r="E7370">
        <v>1</v>
      </c>
      <c r="F7370" t="s">
        <v>3609</v>
      </c>
      <c r="G7370" t="str">
        <f>"17-K09-02"</f>
        <v>17-K09-02</v>
      </c>
      <c r="H7370">
        <v>0.71240000000000003</v>
      </c>
      <c r="J7370" t="s">
        <v>14</v>
      </c>
      <c r="K7370" t="str">
        <f>"5F1"</f>
        <v>5F1</v>
      </c>
      <c r="L7370" t="s">
        <v>15</v>
      </c>
    </row>
    <row r="7371" spans="1:12" x14ac:dyDescent="0.25">
      <c r="A7371" t="str">
        <f>"5957030376"</f>
        <v>5957030376</v>
      </c>
      <c r="B7371" t="str">
        <f t="shared" si="344"/>
        <v>89301000</v>
      </c>
      <c r="C7371" s="1">
        <v>44467</v>
      </c>
      <c r="D7371" s="1">
        <v>44471</v>
      </c>
      <c r="E7371">
        <v>1</v>
      </c>
      <c r="F7371" t="s">
        <v>134</v>
      </c>
      <c r="G7371" t="str">
        <f>"16-I04-01"</f>
        <v>16-I04-01</v>
      </c>
      <c r="H7371">
        <v>1.0085999999999999</v>
      </c>
      <c r="I7371" t="s">
        <v>5312</v>
      </c>
      <c r="J7371" t="s">
        <v>17</v>
      </c>
      <c r="K7371" t="str">
        <f>"7F1"</f>
        <v>7F1</v>
      </c>
      <c r="L7371" t="s">
        <v>15</v>
      </c>
    </row>
    <row r="7372" spans="1:12" x14ac:dyDescent="0.25">
      <c r="A7372" t="str">
        <f>"5957111270"</f>
        <v>5957111270</v>
      </c>
      <c r="B7372" t="str">
        <f t="shared" si="344"/>
        <v>89301000</v>
      </c>
      <c r="C7372" s="1">
        <v>44230</v>
      </c>
      <c r="D7372" s="1">
        <v>44234</v>
      </c>
      <c r="E7372">
        <v>1</v>
      </c>
      <c r="F7372" t="s">
        <v>5313</v>
      </c>
      <c r="G7372" t="str">
        <f>"09-I06-04"</f>
        <v>09-I06-04</v>
      </c>
      <c r="H7372">
        <v>0.98829999999999996</v>
      </c>
      <c r="I7372" t="s">
        <v>489</v>
      </c>
      <c r="J7372" t="s">
        <v>17</v>
      </c>
      <c r="K7372" t="str">
        <f>"5F1"</f>
        <v>5F1</v>
      </c>
      <c r="L7372" t="s">
        <v>15</v>
      </c>
    </row>
    <row r="7373" spans="1:12" x14ac:dyDescent="0.25">
      <c r="A7373" t="str">
        <f>"5957140662"</f>
        <v>5957140662</v>
      </c>
      <c r="B7373" t="str">
        <f t="shared" si="344"/>
        <v>89301000</v>
      </c>
      <c r="C7373" s="1">
        <v>44448</v>
      </c>
      <c r="D7373" s="1">
        <v>44456</v>
      </c>
      <c r="E7373">
        <v>1</v>
      </c>
      <c r="F7373" t="s">
        <v>67</v>
      </c>
      <c r="G7373" t="str">
        <f>"01-C02-02"</f>
        <v>01-C02-02</v>
      </c>
      <c r="H7373">
        <v>1.4877</v>
      </c>
      <c r="I7373" t="s">
        <v>489</v>
      </c>
      <c r="J7373" t="s">
        <v>14</v>
      </c>
      <c r="K7373" t="str">
        <f>"2F9"</f>
        <v>2F9</v>
      </c>
      <c r="L7373" t="s">
        <v>15</v>
      </c>
    </row>
    <row r="7374" spans="1:12" x14ac:dyDescent="0.25">
      <c r="A7374" t="str">
        <f>"5957150320"</f>
        <v>5957150320</v>
      </c>
      <c r="B7374" t="str">
        <f t="shared" si="344"/>
        <v>89301000</v>
      </c>
      <c r="C7374" s="1">
        <v>44487</v>
      </c>
      <c r="D7374" s="1">
        <v>44494</v>
      </c>
      <c r="E7374">
        <v>1</v>
      </c>
      <c r="F7374" t="s">
        <v>4550</v>
      </c>
      <c r="G7374" t="str">
        <f>"08-K01-03"</f>
        <v>08-K01-03</v>
      </c>
      <c r="H7374">
        <v>0.65310000000000001</v>
      </c>
      <c r="I7374" t="s">
        <v>5314</v>
      </c>
      <c r="J7374" t="s">
        <v>14</v>
      </c>
      <c r="K7374" t="str">
        <f>"1F9"</f>
        <v>1F9</v>
      </c>
      <c r="L7374" t="s">
        <v>15</v>
      </c>
    </row>
    <row r="7375" spans="1:12" x14ac:dyDescent="0.25">
      <c r="A7375" t="str">
        <f>"5957170505"</f>
        <v>5957170505</v>
      </c>
      <c r="B7375" t="str">
        <f t="shared" si="344"/>
        <v>89301000</v>
      </c>
      <c r="C7375" s="1">
        <v>44461</v>
      </c>
      <c r="D7375" s="1">
        <v>44462</v>
      </c>
      <c r="E7375">
        <v>1</v>
      </c>
      <c r="F7375" t="s">
        <v>2136</v>
      </c>
      <c r="G7375" t="str">
        <f>"08-K04-01"</f>
        <v>08-K04-01</v>
      </c>
      <c r="H7375">
        <v>0.68169999999999997</v>
      </c>
      <c r="I7375" t="s">
        <v>5315</v>
      </c>
      <c r="J7375" t="s">
        <v>14</v>
      </c>
      <c r="K7375" t="str">
        <f>"1F1"</f>
        <v>1F1</v>
      </c>
      <c r="L7375" t="s">
        <v>15</v>
      </c>
    </row>
    <row r="7376" spans="1:12" x14ac:dyDescent="0.25">
      <c r="A7376" t="str">
        <f>"5957170505"</f>
        <v>5957170505</v>
      </c>
      <c r="B7376" t="str">
        <f t="shared" si="344"/>
        <v>89301000</v>
      </c>
      <c r="C7376" s="1">
        <v>44362</v>
      </c>
      <c r="D7376" s="1">
        <v>44367</v>
      </c>
      <c r="E7376">
        <v>1</v>
      </c>
      <c r="F7376" t="s">
        <v>3018</v>
      </c>
      <c r="G7376" t="str">
        <f>"10-I11-00"</f>
        <v>10-I11-00</v>
      </c>
      <c r="H7376">
        <v>1.8462000000000001</v>
      </c>
      <c r="I7376" t="s">
        <v>5316</v>
      </c>
      <c r="J7376" t="s">
        <v>24</v>
      </c>
      <c r="K7376" t="str">
        <f>"7F6"</f>
        <v>7F6</v>
      </c>
      <c r="L7376" t="s">
        <v>15</v>
      </c>
    </row>
    <row r="7377" spans="1:12" x14ac:dyDescent="0.25">
      <c r="A7377" t="str">
        <f>"5957170505"</f>
        <v>5957170505</v>
      </c>
      <c r="B7377" t="str">
        <f t="shared" si="344"/>
        <v>89301000</v>
      </c>
      <c r="C7377" s="1">
        <v>44328</v>
      </c>
      <c r="D7377" s="1">
        <v>44330</v>
      </c>
      <c r="E7377">
        <v>1</v>
      </c>
      <c r="F7377" t="s">
        <v>5317</v>
      </c>
      <c r="G7377" t="str">
        <f>"10-K05-02"</f>
        <v>10-K05-02</v>
      </c>
      <c r="H7377">
        <v>0.43459999999999999</v>
      </c>
      <c r="I7377" t="s">
        <v>5318</v>
      </c>
      <c r="J7377" t="s">
        <v>14</v>
      </c>
      <c r="K7377" t="str">
        <f>"1F1"</f>
        <v>1F1</v>
      </c>
      <c r="L7377" t="s">
        <v>15</v>
      </c>
    </row>
    <row r="7378" spans="1:12" x14ac:dyDescent="0.25">
      <c r="A7378" t="str">
        <f>"5957201679"</f>
        <v>5957201679</v>
      </c>
      <c r="B7378" t="str">
        <f t="shared" si="344"/>
        <v>89301000</v>
      </c>
      <c r="C7378" s="1">
        <v>44294</v>
      </c>
      <c r="D7378" s="1">
        <v>44308</v>
      </c>
      <c r="E7378">
        <v>1</v>
      </c>
      <c r="F7378" t="s">
        <v>4721</v>
      </c>
      <c r="G7378" t="str">
        <f>"04-I08-01"</f>
        <v>04-I08-01</v>
      </c>
      <c r="H7378">
        <v>2.9020999999999999</v>
      </c>
      <c r="I7378" t="s">
        <v>5319</v>
      </c>
      <c r="J7378" t="s">
        <v>14</v>
      </c>
      <c r="K7378" t="str">
        <f>"1F1"</f>
        <v>1F1</v>
      </c>
      <c r="L7378" t="s">
        <v>15</v>
      </c>
    </row>
    <row r="7379" spans="1:12" x14ac:dyDescent="0.25">
      <c r="A7379" t="str">
        <f>"5957250343"</f>
        <v>5957250343</v>
      </c>
      <c r="B7379" t="str">
        <f t="shared" si="344"/>
        <v>89301000</v>
      </c>
      <c r="C7379" s="1">
        <v>44361</v>
      </c>
      <c r="D7379" s="1">
        <v>44363</v>
      </c>
      <c r="E7379">
        <v>1</v>
      </c>
      <c r="F7379" t="s">
        <v>496</v>
      </c>
      <c r="G7379" t="str">
        <f>"08-M03-05"</f>
        <v>08-M03-05</v>
      </c>
      <c r="H7379">
        <v>0.51759999999999995</v>
      </c>
      <c r="I7379" t="s">
        <v>5320</v>
      </c>
      <c r="J7379" t="s">
        <v>14</v>
      </c>
      <c r="K7379" t="str">
        <f>"6F6"</f>
        <v>6F6</v>
      </c>
      <c r="L7379" t="s">
        <v>15</v>
      </c>
    </row>
    <row r="7380" spans="1:12" x14ac:dyDescent="0.25">
      <c r="A7380" t="str">
        <f>"5957261860"</f>
        <v>5957261860</v>
      </c>
      <c r="B7380" t="str">
        <f t="shared" si="344"/>
        <v>89301000</v>
      </c>
      <c r="C7380" s="1">
        <v>44262</v>
      </c>
      <c r="D7380" s="1">
        <v>44266</v>
      </c>
      <c r="E7380">
        <v>1</v>
      </c>
      <c r="F7380" t="s">
        <v>5321</v>
      </c>
      <c r="G7380" t="str">
        <f>"01-K03-08"</f>
        <v>01-K03-08</v>
      </c>
      <c r="H7380">
        <v>0.34789999999999999</v>
      </c>
      <c r="I7380" t="s">
        <v>2036</v>
      </c>
      <c r="J7380" t="s">
        <v>14</v>
      </c>
      <c r="K7380" t="str">
        <f>"2F9"</f>
        <v>2F9</v>
      </c>
      <c r="L7380" t="s">
        <v>15</v>
      </c>
    </row>
    <row r="7381" spans="1:12" x14ac:dyDescent="0.25">
      <c r="A7381" t="str">
        <f>"5957271034"</f>
        <v>5957271034</v>
      </c>
      <c r="B7381" t="str">
        <f t="shared" si="344"/>
        <v>89301000</v>
      </c>
      <c r="C7381" s="1">
        <v>44510</v>
      </c>
      <c r="D7381" s="1">
        <v>44514</v>
      </c>
      <c r="E7381">
        <v>1</v>
      </c>
      <c r="F7381" t="s">
        <v>43</v>
      </c>
      <c r="G7381" t="str">
        <f>"06-I18-05"</f>
        <v>06-I18-05</v>
      </c>
      <c r="H7381">
        <v>0.85550000000000004</v>
      </c>
      <c r="I7381" t="s">
        <v>5322</v>
      </c>
      <c r="J7381" t="s">
        <v>24</v>
      </c>
      <c r="K7381" t="str">
        <f>"5F1"</f>
        <v>5F1</v>
      </c>
      <c r="L7381" t="s">
        <v>15</v>
      </c>
    </row>
    <row r="7382" spans="1:12" x14ac:dyDescent="0.25">
      <c r="A7382" t="str">
        <f>"5958040517"</f>
        <v>5958040517</v>
      </c>
      <c r="B7382" t="str">
        <f t="shared" si="344"/>
        <v>89301000</v>
      </c>
      <c r="C7382" s="1">
        <v>44498</v>
      </c>
      <c r="D7382" s="1">
        <v>44504</v>
      </c>
      <c r="E7382">
        <v>4</v>
      </c>
      <c r="F7382" t="s">
        <v>1968</v>
      </c>
      <c r="G7382" t="str">
        <f>"08-I05-04"</f>
        <v>08-I05-04</v>
      </c>
      <c r="H7382">
        <v>2.4581</v>
      </c>
      <c r="I7382" t="s">
        <v>5323</v>
      </c>
      <c r="J7382" t="s">
        <v>17</v>
      </c>
      <c r="K7382" t="str">
        <f>"6F6"</f>
        <v>6F6</v>
      </c>
      <c r="L7382" t="s">
        <v>15</v>
      </c>
    </row>
    <row r="7383" spans="1:12" x14ac:dyDescent="0.25">
      <c r="A7383" t="str">
        <f>"5958161099"</f>
        <v>5958161099</v>
      </c>
      <c r="B7383" t="str">
        <f t="shared" si="344"/>
        <v>89301000</v>
      </c>
      <c r="C7383" s="1">
        <v>44263</v>
      </c>
      <c r="D7383" s="1">
        <v>44277</v>
      </c>
      <c r="E7383">
        <v>1</v>
      </c>
      <c r="F7383" t="s">
        <v>217</v>
      </c>
      <c r="G7383" t="str">
        <f>"00-M01-04"</f>
        <v>00-M01-04</v>
      </c>
      <c r="H7383">
        <v>6.85</v>
      </c>
      <c r="I7383" t="s">
        <v>5324</v>
      </c>
      <c r="J7383" t="s">
        <v>14</v>
      </c>
      <c r="K7383" t="str">
        <f>"2F5"</f>
        <v>2F5</v>
      </c>
      <c r="L7383" t="s">
        <v>15</v>
      </c>
    </row>
    <row r="7384" spans="1:12" x14ac:dyDescent="0.25">
      <c r="A7384" t="str">
        <f>"5959031573"</f>
        <v>5959031573</v>
      </c>
      <c r="B7384" t="str">
        <f t="shared" si="344"/>
        <v>89301000</v>
      </c>
      <c r="C7384" s="1">
        <v>44439</v>
      </c>
      <c r="D7384" s="1">
        <v>44454</v>
      </c>
      <c r="E7384">
        <v>1</v>
      </c>
      <c r="F7384" t="s">
        <v>4658</v>
      </c>
      <c r="G7384" t="str">
        <f>"09-K08-02"</f>
        <v>09-K08-02</v>
      </c>
      <c r="H7384">
        <v>0.79930000000000001</v>
      </c>
      <c r="I7384" t="s">
        <v>5325</v>
      </c>
      <c r="J7384" t="s">
        <v>14</v>
      </c>
      <c r="K7384" t="str">
        <f>"4F2"</f>
        <v>4F2</v>
      </c>
      <c r="L7384" t="s">
        <v>15</v>
      </c>
    </row>
    <row r="7385" spans="1:12" x14ac:dyDescent="0.25">
      <c r="A7385" t="str">
        <f>"5959031573"</f>
        <v>5959031573</v>
      </c>
      <c r="B7385" t="str">
        <f t="shared" si="344"/>
        <v>89301000</v>
      </c>
      <c r="C7385" s="1">
        <v>44513</v>
      </c>
      <c r="D7385" s="1">
        <v>44516</v>
      </c>
      <c r="E7385">
        <v>1</v>
      </c>
      <c r="F7385" t="s">
        <v>217</v>
      </c>
      <c r="G7385" t="str">
        <f>"04-K02-03"</f>
        <v>04-K02-03</v>
      </c>
      <c r="H7385">
        <v>1.2859</v>
      </c>
      <c r="I7385" t="s">
        <v>4508</v>
      </c>
      <c r="J7385" t="s">
        <v>14</v>
      </c>
      <c r="K7385" t="str">
        <f>"1F1"</f>
        <v>1F1</v>
      </c>
      <c r="L7385" t="s">
        <v>15</v>
      </c>
    </row>
    <row r="7386" spans="1:12" x14ac:dyDescent="0.25">
      <c r="A7386" t="str">
        <f>"5959041473"</f>
        <v>5959041473</v>
      </c>
      <c r="B7386" t="str">
        <f t="shared" si="344"/>
        <v>89301000</v>
      </c>
      <c r="C7386" s="1">
        <v>44503</v>
      </c>
      <c r="D7386" s="1">
        <v>44508</v>
      </c>
      <c r="E7386">
        <v>1</v>
      </c>
      <c r="F7386" t="s">
        <v>5326</v>
      </c>
      <c r="G7386" t="str">
        <f>"08-K02-03"</f>
        <v>08-K02-03</v>
      </c>
      <c r="H7386">
        <v>0.73560000000000003</v>
      </c>
      <c r="J7386" t="s">
        <v>14</v>
      </c>
      <c r="K7386" t="str">
        <f>"1F1"</f>
        <v>1F1</v>
      </c>
      <c r="L7386" t="s">
        <v>15</v>
      </c>
    </row>
    <row r="7387" spans="1:12" x14ac:dyDescent="0.25">
      <c r="A7387" t="str">
        <f>"5959070788"</f>
        <v>5959070788</v>
      </c>
      <c r="B7387" t="str">
        <f t="shared" si="344"/>
        <v>89301000</v>
      </c>
      <c r="C7387" s="1">
        <v>44375</v>
      </c>
      <c r="D7387" s="1">
        <v>44386</v>
      </c>
      <c r="E7387">
        <v>1</v>
      </c>
      <c r="F7387" t="s">
        <v>109</v>
      </c>
      <c r="G7387" t="str">
        <f>"24-M06-02"</f>
        <v>24-M06-02</v>
      </c>
      <c r="H7387">
        <v>1.0233000000000001</v>
      </c>
      <c r="I7387" t="s">
        <v>5327</v>
      </c>
      <c r="J7387" t="s">
        <v>14</v>
      </c>
      <c r="K7387" t="str">
        <f>"2F1"</f>
        <v>2F1</v>
      </c>
      <c r="L7387" t="s">
        <v>15</v>
      </c>
    </row>
    <row r="7388" spans="1:12" x14ac:dyDescent="0.25">
      <c r="A7388" t="str">
        <f>"5959070788"</f>
        <v>5959070788</v>
      </c>
      <c r="B7388" t="str">
        <f t="shared" si="344"/>
        <v>89301000</v>
      </c>
      <c r="C7388" s="1">
        <v>44368</v>
      </c>
      <c r="D7388" s="1">
        <v>44375</v>
      </c>
      <c r="E7388">
        <v>3</v>
      </c>
      <c r="F7388" t="s">
        <v>173</v>
      </c>
      <c r="G7388" t="str">
        <f>"08-I32-02"</f>
        <v>08-I32-02</v>
      </c>
      <c r="H7388">
        <v>0.6623</v>
      </c>
      <c r="J7388" t="s">
        <v>14</v>
      </c>
      <c r="K7388" t="str">
        <f>"6F6"</f>
        <v>6F6</v>
      </c>
      <c r="L7388" t="s">
        <v>15</v>
      </c>
    </row>
    <row r="7389" spans="1:12" x14ac:dyDescent="0.25">
      <c r="A7389" t="str">
        <f>"5959091468"</f>
        <v>5959091468</v>
      </c>
      <c r="B7389" t="str">
        <f t="shared" si="344"/>
        <v>89301000</v>
      </c>
      <c r="C7389" s="1">
        <v>44208</v>
      </c>
      <c r="D7389" s="1">
        <v>44211</v>
      </c>
      <c r="E7389">
        <v>1</v>
      </c>
      <c r="F7389" t="s">
        <v>2433</v>
      </c>
      <c r="G7389" t="str">
        <f>"09-K04-01"</f>
        <v>09-K04-01</v>
      </c>
      <c r="H7389">
        <v>0.78059999999999996</v>
      </c>
      <c r="I7389" t="s">
        <v>5328</v>
      </c>
      <c r="J7389" t="s">
        <v>14</v>
      </c>
      <c r="K7389" t="str">
        <f>"4F4"</f>
        <v>4F4</v>
      </c>
      <c r="L7389" t="s">
        <v>15</v>
      </c>
    </row>
    <row r="7390" spans="1:12" x14ac:dyDescent="0.25">
      <c r="A7390" t="str">
        <f>"5959091468"</f>
        <v>5959091468</v>
      </c>
      <c r="B7390" t="str">
        <f t="shared" si="344"/>
        <v>89301000</v>
      </c>
      <c r="C7390" s="1">
        <v>44421</v>
      </c>
      <c r="D7390" s="1">
        <v>44441</v>
      </c>
      <c r="E7390">
        <v>1</v>
      </c>
      <c r="F7390" t="s">
        <v>5329</v>
      </c>
      <c r="G7390" t="str">
        <f>"08-K01-01"</f>
        <v>08-K01-01</v>
      </c>
      <c r="H7390">
        <v>1.7137</v>
      </c>
      <c r="I7390" t="s">
        <v>5330</v>
      </c>
      <c r="J7390" t="s">
        <v>14</v>
      </c>
      <c r="K7390" t="str">
        <f>"1F9"</f>
        <v>1F9</v>
      </c>
      <c r="L7390" t="s">
        <v>15</v>
      </c>
    </row>
    <row r="7391" spans="1:12" x14ac:dyDescent="0.25">
      <c r="A7391" t="str">
        <f>"5959091468"</f>
        <v>5959091468</v>
      </c>
      <c r="B7391" t="str">
        <f t="shared" si="344"/>
        <v>89301000</v>
      </c>
      <c r="C7391" s="1">
        <v>44236</v>
      </c>
      <c r="D7391" s="1">
        <v>44239</v>
      </c>
      <c r="E7391">
        <v>1</v>
      </c>
      <c r="F7391" t="s">
        <v>5329</v>
      </c>
      <c r="G7391" t="str">
        <f>"08-K01-02"</f>
        <v>08-K01-02</v>
      </c>
      <c r="H7391">
        <v>1.1327</v>
      </c>
      <c r="I7391" t="s">
        <v>5331</v>
      </c>
      <c r="J7391" t="s">
        <v>14</v>
      </c>
      <c r="K7391" t="str">
        <f>"1F9"</f>
        <v>1F9</v>
      </c>
      <c r="L7391" t="s">
        <v>15</v>
      </c>
    </row>
    <row r="7392" spans="1:12" x14ac:dyDescent="0.25">
      <c r="A7392" t="str">
        <f>"5959091468"</f>
        <v>5959091468</v>
      </c>
      <c r="B7392" t="str">
        <f t="shared" si="344"/>
        <v>89301000</v>
      </c>
      <c r="C7392" s="1">
        <v>44518</v>
      </c>
      <c r="D7392" s="1">
        <v>44519</v>
      </c>
      <c r="E7392">
        <v>1</v>
      </c>
      <c r="F7392" t="s">
        <v>208</v>
      </c>
      <c r="G7392" t="str">
        <f>"08-I03-05"</f>
        <v>08-I03-05</v>
      </c>
      <c r="H7392">
        <v>1.3940999999999999</v>
      </c>
      <c r="I7392" t="s">
        <v>381</v>
      </c>
      <c r="J7392" t="s">
        <v>17</v>
      </c>
      <c r="K7392" t="str">
        <f>"5F6"</f>
        <v>5F6</v>
      </c>
      <c r="L7392" t="s">
        <v>15</v>
      </c>
    </row>
    <row r="7393" spans="1:12" x14ac:dyDescent="0.25">
      <c r="A7393" t="str">
        <f>"5959101401"</f>
        <v>5959101401</v>
      </c>
      <c r="B7393" t="str">
        <f t="shared" si="344"/>
        <v>89301000</v>
      </c>
      <c r="C7393" s="1">
        <v>44490</v>
      </c>
      <c r="D7393" s="1">
        <v>44491</v>
      </c>
      <c r="E7393">
        <v>1</v>
      </c>
      <c r="F7393" t="s">
        <v>266</v>
      </c>
      <c r="G7393" t="str">
        <f>"13-K02-00"</f>
        <v>13-K02-00</v>
      </c>
      <c r="H7393">
        <v>0.24079999999999999</v>
      </c>
      <c r="J7393" t="s">
        <v>14</v>
      </c>
      <c r="K7393" t="str">
        <f>"6F3"</f>
        <v>6F3</v>
      </c>
      <c r="L7393" t="s">
        <v>15</v>
      </c>
    </row>
    <row r="7394" spans="1:12" x14ac:dyDescent="0.25">
      <c r="A7394" t="str">
        <f>"5959101401"</f>
        <v>5959101401</v>
      </c>
      <c r="B7394" t="str">
        <f t="shared" si="344"/>
        <v>89301000</v>
      </c>
      <c r="C7394" s="1">
        <v>44495</v>
      </c>
      <c r="D7394" s="1">
        <v>44498</v>
      </c>
      <c r="E7394">
        <v>1</v>
      </c>
      <c r="F7394" t="s">
        <v>266</v>
      </c>
      <c r="G7394" t="str">
        <f>"13-I14-03"</f>
        <v>13-I14-03</v>
      </c>
      <c r="H7394">
        <v>0.83199999999999996</v>
      </c>
      <c r="J7394" t="s">
        <v>24</v>
      </c>
      <c r="K7394" t="str">
        <f>"6F3"</f>
        <v>6F3</v>
      </c>
      <c r="L7394" t="s">
        <v>15</v>
      </c>
    </row>
    <row r="7395" spans="1:12" x14ac:dyDescent="0.25">
      <c r="A7395" t="str">
        <f>"5959110949"</f>
        <v>5959110949</v>
      </c>
      <c r="B7395" t="str">
        <f t="shared" si="344"/>
        <v>89301000</v>
      </c>
      <c r="C7395" s="1">
        <v>44335</v>
      </c>
      <c r="D7395" s="1">
        <v>44341</v>
      </c>
      <c r="E7395">
        <v>1</v>
      </c>
      <c r="F7395" t="s">
        <v>132</v>
      </c>
      <c r="G7395" t="str">
        <f>"03-K03-02"</f>
        <v>03-K03-02</v>
      </c>
      <c r="H7395">
        <v>0.49249999999999999</v>
      </c>
      <c r="I7395" t="s">
        <v>1299</v>
      </c>
      <c r="J7395" t="s">
        <v>14</v>
      </c>
      <c r="K7395" t="str">
        <f>"6F5"</f>
        <v>6F5</v>
      </c>
      <c r="L7395" t="s">
        <v>15</v>
      </c>
    </row>
    <row r="7396" spans="1:12" x14ac:dyDescent="0.25">
      <c r="A7396" t="str">
        <f>"5959111136"</f>
        <v>5959111136</v>
      </c>
      <c r="B7396" t="str">
        <f t="shared" si="344"/>
        <v>89301000</v>
      </c>
      <c r="C7396" s="1">
        <v>44479</v>
      </c>
      <c r="D7396" s="1">
        <v>44482</v>
      </c>
      <c r="E7396">
        <v>1</v>
      </c>
      <c r="F7396" t="s">
        <v>92</v>
      </c>
      <c r="G7396" t="str">
        <f>"05-K15-02"</f>
        <v>05-K15-02</v>
      </c>
      <c r="H7396">
        <v>0.47510000000000002</v>
      </c>
      <c r="J7396" t="s">
        <v>14</v>
      </c>
      <c r="K7396" t="str">
        <f>"1F7"</f>
        <v>1F7</v>
      </c>
      <c r="L7396" t="s">
        <v>15</v>
      </c>
    </row>
    <row r="7397" spans="1:12" x14ac:dyDescent="0.25">
      <c r="A7397" t="str">
        <f>"5959141397"</f>
        <v>5959141397</v>
      </c>
      <c r="B7397" t="str">
        <f t="shared" si="344"/>
        <v>89301000</v>
      </c>
      <c r="C7397" s="1">
        <v>44272</v>
      </c>
      <c r="D7397" s="1">
        <v>44277</v>
      </c>
      <c r="E7397">
        <v>1</v>
      </c>
      <c r="F7397" t="s">
        <v>217</v>
      </c>
      <c r="G7397" t="str">
        <f>"04-K02-03"</f>
        <v>04-K02-03</v>
      </c>
      <c r="H7397">
        <v>1.2859</v>
      </c>
      <c r="I7397" t="s">
        <v>5332</v>
      </c>
      <c r="J7397" t="s">
        <v>14</v>
      </c>
      <c r="K7397" t="str">
        <f>"1F1"</f>
        <v>1F1</v>
      </c>
      <c r="L7397" t="s">
        <v>15</v>
      </c>
    </row>
    <row r="7398" spans="1:12" x14ac:dyDescent="0.25">
      <c r="A7398" t="str">
        <f>"5959141397"</f>
        <v>5959141397</v>
      </c>
      <c r="B7398" t="str">
        <f t="shared" si="344"/>
        <v>89301000</v>
      </c>
      <c r="C7398" s="1">
        <v>44237</v>
      </c>
      <c r="D7398" s="1">
        <v>44258</v>
      </c>
      <c r="E7398">
        <v>1</v>
      </c>
      <c r="F7398" t="s">
        <v>3799</v>
      </c>
      <c r="G7398" t="str">
        <f>"11-M02-04"</f>
        <v>11-M02-04</v>
      </c>
      <c r="H7398">
        <v>3.6067999999999998</v>
      </c>
      <c r="I7398" t="s">
        <v>5333</v>
      </c>
      <c r="J7398" t="s">
        <v>14</v>
      </c>
      <c r="K7398" t="str">
        <f>"1F1"</f>
        <v>1F1</v>
      </c>
      <c r="L7398" t="s">
        <v>15</v>
      </c>
    </row>
    <row r="7399" spans="1:12" x14ac:dyDescent="0.25">
      <c r="A7399" t="str">
        <f>"5959211819"</f>
        <v>5959211819</v>
      </c>
      <c r="B7399" t="str">
        <f t="shared" si="344"/>
        <v>89301000</v>
      </c>
      <c r="C7399" s="1">
        <v>44220</v>
      </c>
      <c r="D7399" s="1">
        <v>44227</v>
      </c>
      <c r="E7399">
        <v>1</v>
      </c>
      <c r="F7399" t="s">
        <v>2623</v>
      </c>
      <c r="G7399" t="str">
        <f>"00-M10-01"</f>
        <v>00-M10-01</v>
      </c>
      <c r="H7399">
        <v>3.6143999999999998</v>
      </c>
      <c r="I7399" t="s">
        <v>5334</v>
      </c>
      <c r="J7399" t="s">
        <v>24</v>
      </c>
      <c r="K7399" t="str">
        <f>"2F2"</f>
        <v>2F2</v>
      </c>
      <c r="L7399" t="s">
        <v>15</v>
      </c>
    </row>
    <row r="7400" spans="1:12" x14ac:dyDescent="0.25">
      <c r="A7400" t="str">
        <f>"5959211819"</f>
        <v>5959211819</v>
      </c>
      <c r="B7400" t="str">
        <f t="shared" si="344"/>
        <v>89301000</v>
      </c>
      <c r="C7400" s="1">
        <v>44214</v>
      </c>
      <c r="D7400" s="1">
        <v>44216</v>
      </c>
      <c r="E7400">
        <v>1</v>
      </c>
      <c r="F7400" t="s">
        <v>2623</v>
      </c>
      <c r="G7400" t="str">
        <f>"17-C05-06"</f>
        <v>17-C05-06</v>
      </c>
      <c r="H7400">
        <v>0.50260000000000005</v>
      </c>
      <c r="I7400" t="s">
        <v>5335</v>
      </c>
      <c r="J7400" t="s">
        <v>14</v>
      </c>
      <c r="K7400" t="str">
        <f>"2F2"</f>
        <v>2F2</v>
      </c>
      <c r="L7400" t="s">
        <v>15</v>
      </c>
    </row>
    <row r="7401" spans="1:12" x14ac:dyDescent="0.25">
      <c r="A7401" t="str">
        <f>"5959220949"</f>
        <v>5959220949</v>
      </c>
      <c r="B7401" t="str">
        <f t="shared" si="344"/>
        <v>89301000</v>
      </c>
      <c r="C7401" s="1">
        <v>44405</v>
      </c>
      <c r="D7401" s="1">
        <v>44406</v>
      </c>
      <c r="E7401">
        <v>1</v>
      </c>
      <c r="F7401" t="s">
        <v>39</v>
      </c>
      <c r="G7401" t="str">
        <f>"03-I19-03"</f>
        <v>03-I19-03</v>
      </c>
      <c r="H7401">
        <v>0.60699999999999998</v>
      </c>
      <c r="I7401" t="s">
        <v>5336</v>
      </c>
      <c r="J7401" t="s">
        <v>14</v>
      </c>
      <c r="K7401" t="str">
        <f>"6F5"</f>
        <v>6F5</v>
      </c>
      <c r="L7401" t="s">
        <v>15</v>
      </c>
    </row>
    <row r="7402" spans="1:12" x14ac:dyDescent="0.25">
      <c r="A7402" t="str">
        <f>"5960061932"</f>
        <v>5960061932</v>
      </c>
      <c r="B7402" t="str">
        <f t="shared" si="344"/>
        <v>89301000</v>
      </c>
      <c r="C7402" s="1">
        <v>44305</v>
      </c>
      <c r="D7402" s="1">
        <v>44312</v>
      </c>
      <c r="E7402">
        <v>1</v>
      </c>
      <c r="F7402" t="s">
        <v>335</v>
      </c>
      <c r="G7402" t="str">
        <f>"07-I10-06"</f>
        <v>07-I10-06</v>
      </c>
      <c r="H7402">
        <v>1.0628</v>
      </c>
      <c r="J7402" t="s">
        <v>17</v>
      </c>
      <c r="K7402" t="str">
        <f>"5F1"</f>
        <v>5F1</v>
      </c>
      <c r="L7402" t="s">
        <v>15</v>
      </c>
    </row>
    <row r="7403" spans="1:12" x14ac:dyDescent="0.25">
      <c r="A7403" t="str">
        <f>"5960070930"</f>
        <v>5960070930</v>
      </c>
      <c r="B7403" t="str">
        <f t="shared" si="344"/>
        <v>89301000</v>
      </c>
      <c r="C7403" s="1">
        <v>44358</v>
      </c>
      <c r="D7403" s="1">
        <v>44360</v>
      </c>
      <c r="E7403">
        <v>1</v>
      </c>
      <c r="F7403" t="s">
        <v>2049</v>
      </c>
      <c r="G7403" t="str">
        <f>"06-M01-02"</f>
        <v>06-M01-02</v>
      </c>
      <c r="H7403">
        <v>1.2191000000000001</v>
      </c>
      <c r="J7403" t="s">
        <v>14</v>
      </c>
      <c r="K7403" t="str">
        <f>"1F1"</f>
        <v>1F1</v>
      </c>
      <c r="L7403" t="s">
        <v>15</v>
      </c>
    </row>
    <row r="7404" spans="1:12" x14ac:dyDescent="0.25">
      <c r="A7404" t="str">
        <f>"5960091038"</f>
        <v>5960091038</v>
      </c>
      <c r="B7404" t="str">
        <f t="shared" si="344"/>
        <v>89301000</v>
      </c>
      <c r="C7404" s="1">
        <v>44264</v>
      </c>
      <c r="D7404" s="1">
        <v>44277</v>
      </c>
      <c r="E7404">
        <v>1</v>
      </c>
      <c r="F7404" t="s">
        <v>217</v>
      </c>
      <c r="G7404" t="str">
        <f>"04-K02-03"</f>
        <v>04-K02-03</v>
      </c>
      <c r="H7404">
        <v>1.2859</v>
      </c>
      <c r="I7404" t="s">
        <v>5337</v>
      </c>
      <c r="J7404" t="s">
        <v>14</v>
      </c>
      <c r="K7404" t="str">
        <f>"5F1"</f>
        <v>5F1</v>
      </c>
      <c r="L7404" t="s">
        <v>15</v>
      </c>
    </row>
    <row r="7405" spans="1:12" x14ac:dyDescent="0.25">
      <c r="A7405" t="str">
        <f>"5960186188"</f>
        <v>5960186188</v>
      </c>
      <c r="B7405" t="str">
        <f t="shared" si="344"/>
        <v>89301000</v>
      </c>
      <c r="C7405" s="1">
        <v>44530</v>
      </c>
      <c r="D7405" s="1">
        <v>44532</v>
      </c>
      <c r="E7405">
        <v>1</v>
      </c>
      <c r="F7405" t="s">
        <v>2303</v>
      </c>
      <c r="G7405" t="str">
        <f>"13-I19-00"</f>
        <v>13-I19-00</v>
      </c>
      <c r="H7405">
        <v>0.24679999999999999</v>
      </c>
      <c r="J7405" t="s">
        <v>14</v>
      </c>
      <c r="K7405" t="str">
        <f>"6F3"</f>
        <v>6F3</v>
      </c>
      <c r="L7405" t="s">
        <v>15</v>
      </c>
    </row>
    <row r="7406" spans="1:12" x14ac:dyDescent="0.25">
      <c r="A7406" t="str">
        <f>"5960300984"</f>
        <v>5960300984</v>
      </c>
      <c r="B7406" t="str">
        <f t="shared" si="344"/>
        <v>89301000</v>
      </c>
      <c r="C7406" s="1">
        <v>44279</v>
      </c>
      <c r="D7406" s="1">
        <v>44284</v>
      </c>
      <c r="E7406">
        <v>1</v>
      </c>
      <c r="F7406" t="s">
        <v>2366</v>
      </c>
      <c r="G7406" t="str">
        <f>"02-I09-03"</f>
        <v>02-I09-03</v>
      </c>
      <c r="H7406">
        <v>0.92979999999999996</v>
      </c>
      <c r="I7406" t="s">
        <v>5338</v>
      </c>
      <c r="J7406" t="s">
        <v>14</v>
      </c>
      <c r="K7406" t="str">
        <f>"7F5"</f>
        <v>7F5</v>
      </c>
      <c r="L7406" t="s">
        <v>15</v>
      </c>
    </row>
    <row r="7407" spans="1:12" x14ac:dyDescent="0.25">
      <c r="A7407" t="str">
        <f>"5961041284"</f>
        <v>5961041284</v>
      </c>
      <c r="B7407" t="str">
        <f t="shared" si="344"/>
        <v>89301000</v>
      </c>
      <c r="C7407" s="1">
        <v>44377</v>
      </c>
      <c r="D7407" s="1">
        <v>44382</v>
      </c>
      <c r="E7407">
        <v>1</v>
      </c>
      <c r="F7407" t="s">
        <v>16</v>
      </c>
      <c r="G7407" t="str">
        <f>"08-I04-02"</f>
        <v>08-I04-02</v>
      </c>
      <c r="H7407">
        <v>1.6718999999999999</v>
      </c>
      <c r="I7407" t="s">
        <v>1586</v>
      </c>
      <c r="J7407" t="s">
        <v>17</v>
      </c>
      <c r="K7407" t="str">
        <f>"5F6"</f>
        <v>5F6</v>
      </c>
      <c r="L7407" t="s">
        <v>15</v>
      </c>
    </row>
    <row r="7408" spans="1:12" x14ac:dyDescent="0.25">
      <c r="A7408" t="str">
        <f>"5961180896"</f>
        <v>5961180896</v>
      </c>
      <c r="B7408" t="str">
        <f t="shared" si="344"/>
        <v>89301000</v>
      </c>
      <c r="C7408" s="1">
        <v>44215</v>
      </c>
      <c r="D7408" s="1">
        <v>44217</v>
      </c>
      <c r="E7408">
        <v>1</v>
      </c>
      <c r="F7408" t="s">
        <v>2111</v>
      </c>
      <c r="G7408" t="str">
        <f>"10-K15-02"</f>
        <v>10-K15-02</v>
      </c>
      <c r="H7408">
        <v>0.77639999999999998</v>
      </c>
      <c r="I7408" t="s">
        <v>5339</v>
      </c>
      <c r="J7408" t="s">
        <v>14</v>
      </c>
      <c r="K7408" t="str">
        <f>"2F5"</f>
        <v>2F5</v>
      </c>
      <c r="L7408" t="s">
        <v>15</v>
      </c>
    </row>
    <row r="7409" spans="1:12" x14ac:dyDescent="0.25">
      <c r="A7409" t="str">
        <f>"5961190939"</f>
        <v>5961190939</v>
      </c>
      <c r="B7409" t="str">
        <f t="shared" si="344"/>
        <v>89301000</v>
      </c>
      <c r="C7409" s="1">
        <v>44495</v>
      </c>
      <c r="D7409" s="1">
        <v>44501</v>
      </c>
      <c r="E7409">
        <v>1</v>
      </c>
      <c r="F7409" t="s">
        <v>5340</v>
      </c>
      <c r="G7409" t="str">
        <f>"09-K04-02"</f>
        <v>09-K04-02</v>
      </c>
      <c r="H7409">
        <v>0.68279999999999996</v>
      </c>
      <c r="J7409" t="s">
        <v>14</v>
      </c>
      <c r="K7409" t="str">
        <f>"4F4"</f>
        <v>4F4</v>
      </c>
      <c r="L7409" t="s">
        <v>15</v>
      </c>
    </row>
    <row r="7410" spans="1:12" x14ac:dyDescent="0.25">
      <c r="A7410" t="str">
        <f>"5961271404"</f>
        <v>5961271404</v>
      </c>
      <c r="B7410" t="str">
        <f t="shared" si="344"/>
        <v>89301000</v>
      </c>
      <c r="C7410" s="1">
        <v>44551</v>
      </c>
      <c r="D7410" s="1">
        <v>44557</v>
      </c>
      <c r="E7410">
        <v>1</v>
      </c>
      <c r="F7410" t="s">
        <v>2118</v>
      </c>
      <c r="G7410" t="str">
        <f>"08-I03-06"</f>
        <v>08-I03-06</v>
      </c>
      <c r="H7410">
        <v>3.3039999999999998</v>
      </c>
      <c r="I7410" t="s">
        <v>2479</v>
      </c>
      <c r="J7410" t="s">
        <v>17</v>
      </c>
      <c r="K7410" t="str">
        <f>"5F6"</f>
        <v>5F6</v>
      </c>
      <c r="L7410" t="s">
        <v>15</v>
      </c>
    </row>
    <row r="7411" spans="1:12" x14ac:dyDescent="0.25">
      <c r="A7411" t="str">
        <f>"5961271404"</f>
        <v>5961271404</v>
      </c>
      <c r="B7411" t="str">
        <f t="shared" si="344"/>
        <v>89301000</v>
      </c>
      <c r="C7411" s="1">
        <v>44257</v>
      </c>
      <c r="D7411" s="1">
        <v>44263</v>
      </c>
      <c r="E7411">
        <v>1</v>
      </c>
      <c r="F7411" t="s">
        <v>3940</v>
      </c>
      <c r="G7411" t="str">
        <f>"08-I03-06"</f>
        <v>08-I03-06</v>
      </c>
      <c r="H7411">
        <v>3.3738000000000001</v>
      </c>
      <c r="I7411" t="s">
        <v>5341</v>
      </c>
      <c r="J7411" t="s">
        <v>17</v>
      </c>
      <c r="K7411" t="str">
        <f>"5F6"</f>
        <v>5F6</v>
      </c>
      <c r="L7411" t="s">
        <v>15</v>
      </c>
    </row>
    <row r="7412" spans="1:12" x14ac:dyDescent="0.25">
      <c r="A7412" t="str">
        <f>"5961291358"</f>
        <v>5961291358</v>
      </c>
      <c r="B7412" t="str">
        <f t="shared" si="344"/>
        <v>89301000</v>
      </c>
      <c r="C7412" s="1">
        <v>44339</v>
      </c>
      <c r="D7412" s="1">
        <v>44340</v>
      </c>
      <c r="E7412">
        <v>5</v>
      </c>
      <c r="F7412" t="s">
        <v>316</v>
      </c>
      <c r="G7412" t="str">
        <f>"01-K16-01"</f>
        <v>01-K16-01</v>
      </c>
      <c r="H7412">
        <v>1.4231</v>
      </c>
      <c r="I7412" t="s">
        <v>5342</v>
      </c>
      <c r="J7412" t="s">
        <v>14</v>
      </c>
      <c r="K7412" t="str">
        <f>"5T6"</f>
        <v>5T6</v>
      </c>
      <c r="L7412" t="s">
        <v>15</v>
      </c>
    </row>
    <row r="7413" spans="1:12" x14ac:dyDescent="0.25">
      <c r="A7413" t="str">
        <f>"5962021593"</f>
        <v>5962021593</v>
      </c>
      <c r="B7413" t="str">
        <f t="shared" si="344"/>
        <v>89301000</v>
      </c>
      <c r="C7413" s="1">
        <v>44462</v>
      </c>
      <c r="D7413" s="1">
        <v>44466</v>
      </c>
      <c r="E7413">
        <v>1</v>
      </c>
      <c r="F7413" t="s">
        <v>2390</v>
      </c>
      <c r="G7413" t="str">
        <f>"17-I10-02"</f>
        <v>17-I10-02</v>
      </c>
      <c r="H7413">
        <v>0.92959999999999998</v>
      </c>
      <c r="I7413" t="s">
        <v>1551</v>
      </c>
      <c r="J7413" t="s">
        <v>14</v>
      </c>
      <c r="K7413" t="str">
        <f>"5F1"</f>
        <v>5F1</v>
      </c>
      <c r="L7413" t="s">
        <v>15</v>
      </c>
    </row>
    <row r="7414" spans="1:12" x14ac:dyDescent="0.25">
      <c r="A7414" t="str">
        <f>"5962021593"</f>
        <v>5962021593</v>
      </c>
      <c r="B7414" t="str">
        <f t="shared" si="344"/>
        <v>89301000</v>
      </c>
      <c r="C7414" s="1">
        <v>44447</v>
      </c>
      <c r="D7414" s="1">
        <v>44452</v>
      </c>
      <c r="E7414">
        <v>1</v>
      </c>
      <c r="F7414" t="s">
        <v>1551</v>
      </c>
      <c r="G7414" t="str">
        <f>"09-I06-04"</f>
        <v>09-I06-04</v>
      </c>
      <c r="H7414">
        <v>0.98829999999999996</v>
      </c>
      <c r="J7414" t="s">
        <v>17</v>
      </c>
      <c r="K7414" t="str">
        <f>"5F1"</f>
        <v>5F1</v>
      </c>
      <c r="L7414" t="s">
        <v>15</v>
      </c>
    </row>
    <row r="7415" spans="1:12" x14ac:dyDescent="0.25">
      <c r="A7415" t="str">
        <f>"5962191543"</f>
        <v>5962191543</v>
      </c>
      <c r="B7415" t="str">
        <f t="shared" si="344"/>
        <v>89301000</v>
      </c>
      <c r="C7415" s="1">
        <v>44522</v>
      </c>
      <c r="D7415" s="1">
        <v>44527</v>
      </c>
      <c r="E7415">
        <v>1</v>
      </c>
      <c r="F7415" t="s">
        <v>566</v>
      </c>
      <c r="G7415" t="str">
        <f>"06-I07-05"</f>
        <v>06-I07-05</v>
      </c>
      <c r="H7415">
        <v>2.8466999999999998</v>
      </c>
      <c r="I7415" t="s">
        <v>5343</v>
      </c>
      <c r="J7415" t="s">
        <v>17</v>
      </c>
      <c r="K7415" t="str">
        <f>"5F1"</f>
        <v>5F1</v>
      </c>
      <c r="L7415" t="s">
        <v>15</v>
      </c>
    </row>
    <row r="7416" spans="1:12" x14ac:dyDescent="0.25">
      <c r="A7416" t="str">
        <f>"5962191565"</f>
        <v>5962191565</v>
      </c>
      <c r="B7416" t="str">
        <f t="shared" si="344"/>
        <v>89301000</v>
      </c>
      <c r="C7416" s="1">
        <v>44384</v>
      </c>
      <c r="D7416" s="1">
        <v>44386</v>
      </c>
      <c r="E7416">
        <v>1</v>
      </c>
      <c r="F7416" t="s">
        <v>97</v>
      </c>
      <c r="G7416" t="str">
        <f>"01-K03-08"</f>
        <v>01-K03-08</v>
      </c>
      <c r="H7416">
        <v>0.34789999999999999</v>
      </c>
      <c r="I7416" t="s">
        <v>2183</v>
      </c>
      <c r="J7416" t="s">
        <v>14</v>
      </c>
      <c r="K7416" t="str">
        <f>"2F9"</f>
        <v>2F9</v>
      </c>
      <c r="L7416" t="s">
        <v>15</v>
      </c>
    </row>
    <row r="7417" spans="1:12" x14ac:dyDescent="0.25">
      <c r="A7417" t="str">
        <f>"5962220792"</f>
        <v>5962220792</v>
      </c>
      <c r="B7417" t="str">
        <f t="shared" si="344"/>
        <v>89301000</v>
      </c>
      <c r="C7417" s="1">
        <v>44244</v>
      </c>
      <c r="D7417" s="1">
        <v>44249</v>
      </c>
      <c r="E7417">
        <v>1</v>
      </c>
      <c r="F7417" t="s">
        <v>407</v>
      </c>
      <c r="G7417" t="str">
        <f>"03-I19-02"</f>
        <v>03-I19-02</v>
      </c>
      <c r="H7417">
        <v>0.88829999999999998</v>
      </c>
      <c r="I7417" t="s">
        <v>4238</v>
      </c>
      <c r="J7417" t="s">
        <v>14</v>
      </c>
      <c r="K7417" t="str">
        <f>"6F5"</f>
        <v>6F5</v>
      </c>
      <c r="L7417" t="s">
        <v>15</v>
      </c>
    </row>
    <row r="7418" spans="1:12" x14ac:dyDescent="0.25">
      <c r="A7418" t="str">
        <f>"5962220792"</f>
        <v>5962220792</v>
      </c>
      <c r="B7418" t="str">
        <f t="shared" si="344"/>
        <v>89301000</v>
      </c>
      <c r="C7418" s="1">
        <v>44229</v>
      </c>
      <c r="D7418" s="1">
        <v>44232</v>
      </c>
      <c r="E7418">
        <v>1</v>
      </c>
      <c r="F7418" t="s">
        <v>132</v>
      </c>
      <c r="G7418" t="str">
        <f>"03-I19-02"</f>
        <v>03-I19-02</v>
      </c>
      <c r="H7418">
        <v>0.88829999999999998</v>
      </c>
      <c r="I7418" t="s">
        <v>5344</v>
      </c>
      <c r="J7418" t="s">
        <v>14</v>
      </c>
      <c r="K7418" t="str">
        <f>"6F5"</f>
        <v>6F5</v>
      </c>
      <c r="L7418" t="s">
        <v>15</v>
      </c>
    </row>
    <row r="7419" spans="1:12" x14ac:dyDescent="0.25">
      <c r="A7419" t="str">
        <f>"5962220792"</f>
        <v>5962220792</v>
      </c>
      <c r="B7419" t="str">
        <f t="shared" ref="B7419:B7482" si="345">"89301000"</f>
        <v>89301000</v>
      </c>
      <c r="C7419" s="1">
        <v>44496</v>
      </c>
      <c r="D7419" s="1">
        <v>44497</v>
      </c>
      <c r="E7419">
        <v>1</v>
      </c>
      <c r="F7419" t="s">
        <v>2303</v>
      </c>
      <c r="G7419" t="str">
        <f>"13-I19-00"</f>
        <v>13-I19-00</v>
      </c>
      <c r="H7419">
        <v>0.24679999999999999</v>
      </c>
      <c r="J7419" t="s">
        <v>14</v>
      </c>
      <c r="K7419" t="str">
        <f>"6F3"</f>
        <v>6F3</v>
      </c>
      <c r="L7419" t="s">
        <v>15</v>
      </c>
    </row>
    <row r="7420" spans="1:12" x14ac:dyDescent="0.25">
      <c r="A7420" t="str">
        <f>"5962220792"</f>
        <v>5962220792</v>
      </c>
      <c r="B7420" t="str">
        <f t="shared" si="345"/>
        <v>89301000</v>
      </c>
      <c r="C7420" s="1">
        <v>44538</v>
      </c>
      <c r="D7420" s="1">
        <v>44547</v>
      </c>
      <c r="E7420">
        <v>1</v>
      </c>
      <c r="F7420" t="s">
        <v>1802</v>
      </c>
      <c r="G7420" t="str">
        <f>"13-I04-01"</f>
        <v>13-I04-01</v>
      </c>
      <c r="H7420">
        <v>2.6413000000000002</v>
      </c>
      <c r="J7420" t="s">
        <v>14</v>
      </c>
      <c r="K7420" t="str">
        <f>"6F3"</f>
        <v>6F3</v>
      </c>
      <c r="L7420" t="s">
        <v>15</v>
      </c>
    </row>
    <row r="7421" spans="1:12" x14ac:dyDescent="0.25">
      <c r="A7421" t="str">
        <f>"6001070229"</f>
        <v>6001070229</v>
      </c>
      <c r="B7421" t="str">
        <f t="shared" si="345"/>
        <v>89301000</v>
      </c>
      <c r="C7421" s="1">
        <v>44272</v>
      </c>
      <c r="D7421" s="1">
        <v>44277</v>
      </c>
      <c r="E7421">
        <v>1</v>
      </c>
      <c r="F7421" t="s">
        <v>217</v>
      </c>
      <c r="G7421" t="str">
        <f>"04-K02-04"</f>
        <v>04-K02-04</v>
      </c>
      <c r="H7421">
        <v>0.82469999999999999</v>
      </c>
      <c r="I7421" t="s">
        <v>274</v>
      </c>
      <c r="J7421" t="s">
        <v>14</v>
      </c>
      <c r="K7421" t="str">
        <f>"7F6"</f>
        <v>7F6</v>
      </c>
      <c r="L7421" t="s">
        <v>15</v>
      </c>
    </row>
    <row r="7422" spans="1:12" x14ac:dyDescent="0.25">
      <c r="A7422" t="str">
        <f>"6001101106"</f>
        <v>6001101106</v>
      </c>
      <c r="B7422" t="str">
        <f t="shared" si="345"/>
        <v>89301000</v>
      </c>
      <c r="C7422" s="1">
        <v>44501</v>
      </c>
      <c r="D7422" s="1">
        <v>44509</v>
      </c>
      <c r="E7422">
        <v>1</v>
      </c>
      <c r="F7422" t="s">
        <v>1557</v>
      </c>
      <c r="G7422" t="str">
        <f>"05-I16-06"</f>
        <v>05-I16-06</v>
      </c>
      <c r="H7422">
        <v>5.2988</v>
      </c>
      <c r="J7422" t="s">
        <v>17</v>
      </c>
      <c r="K7422" t="str">
        <f>"5F5"</f>
        <v>5F5</v>
      </c>
      <c r="L7422" t="s">
        <v>15</v>
      </c>
    </row>
    <row r="7423" spans="1:12" x14ac:dyDescent="0.25">
      <c r="A7423" t="str">
        <f>"6001101106"</f>
        <v>6001101106</v>
      </c>
      <c r="B7423" t="str">
        <f t="shared" si="345"/>
        <v>89301000</v>
      </c>
      <c r="C7423" s="1">
        <v>44473</v>
      </c>
      <c r="D7423" s="1">
        <v>44474</v>
      </c>
      <c r="E7423">
        <v>1</v>
      </c>
      <c r="F7423" t="s">
        <v>1557</v>
      </c>
      <c r="G7423" t="str">
        <f>"05-D01-08"</f>
        <v>05-D01-08</v>
      </c>
      <c r="H7423">
        <v>0.4093</v>
      </c>
      <c r="I7423" t="s">
        <v>2250</v>
      </c>
      <c r="J7423" t="s">
        <v>14</v>
      </c>
      <c r="K7423" t="str">
        <f>"1F7"</f>
        <v>1F7</v>
      </c>
      <c r="L7423" t="s">
        <v>15</v>
      </c>
    </row>
    <row r="7424" spans="1:12" x14ac:dyDescent="0.25">
      <c r="A7424" t="str">
        <f>"6001151398"</f>
        <v>6001151398</v>
      </c>
      <c r="B7424" t="str">
        <f t="shared" si="345"/>
        <v>89301000</v>
      </c>
      <c r="C7424" s="1">
        <v>44374</v>
      </c>
      <c r="D7424" s="1">
        <v>44377</v>
      </c>
      <c r="E7424">
        <v>1</v>
      </c>
      <c r="F7424" t="s">
        <v>311</v>
      </c>
      <c r="G7424" t="str">
        <f>"03-I14-02"</f>
        <v>03-I14-02</v>
      </c>
      <c r="H7424">
        <v>1.1086</v>
      </c>
      <c r="I7424" t="s">
        <v>5345</v>
      </c>
      <c r="J7424" t="s">
        <v>14</v>
      </c>
      <c r="K7424" t="str">
        <f>"7F1"</f>
        <v>7F1</v>
      </c>
      <c r="L7424" t="s">
        <v>15</v>
      </c>
    </row>
    <row r="7425" spans="1:12" x14ac:dyDescent="0.25">
      <c r="A7425" t="str">
        <f>"6001151398"</f>
        <v>6001151398</v>
      </c>
      <c r="B7425" t="str">
        <f t="shared" si="345"/>
        <v>89301000</v>
      </c>
      <c r="C7425" s="1">
        <v>44493</v>
      </c>
      <c r="D7425" s="1">
        <v>44495</v>
      </c>
      <c r="E7425">
        <v>1</v>
      </c>
      <c r="F7425" t="s">
        <v>689</v>
      </c>
      <c r="G7425" t="str">
        <f>"03-I14-02"</f>
        <v>03-I14-02</v>
      </c>
      <c r="H7425">
        <v>1.1086</v>
      </c>
      <c r="I7425" t="s">
        <v>5346</v>
      </c>
      <c r="J7425" t="s">
        <v>14</v>
      </c>
      <c r="K7425" t="str">
        <f>"7F1"</f>
        <v>7F1</v>
      </c>
      <c r="L7425" t="s">
        <v>15</v>
      </c>
    </row>
    <row r="7426" spans="1:12" x14ac:dyDescent="0.25">
      <c r="A7426" t="str">
        <f>"6001191856"</f>
        <v>6001191856</v>
      </c>
      <c r="B7426" t="str">
        <f t="shared" si="345"/>
        <v>89301000</v>
      </c>
      <c r="C7426" s="1">
        <v>44265</v>
      </c>
      <c r="D7426" s="1">
        <v>44270</v>
      </c>
      <c r="E7426">
        <v>1</v>
      </c>
      <c r="F7426" t="s">
        <v>2232</v>
      </c>
      <c r="G7426" t="str">
        <f>"11-I08-03"</f>
        <v>11-I08-03</v>
      </c>
      <c r="H7426">
        <v>2.0676999999999999</v>
      </c>
      <c r="I7426" t="s">
        <v>168</v>
      </c>
      <c r="J7426" t="s">
        <v>17</v>
      </c>
      <c r="K7426" t="str">
        <f>"7F6"</f>
        <v>7F6</v>
      </c>
      <c r="L7426" t="s">
        <v>15</v>
      </c>
    </row>
    <row r="7427" spans="1:12" x14ac:dyDescent="0.25">
      <c r="A7427" t="str">
        <f>"6002130255"</f>
        <v>6002130255</v>
      </c>
      <c r="B7427" t="str">
        <f t="shared" si="345"/>
        <v>89301000</v>
      </c>
      <c r="C7427" s="1">
        <v>44250</v>
      </c>
      <c r="D7427" s="1">
        <v>44258</v>
      </c>
      <c r="E7427">
        <v>4</v>
      </c>
      <c r="F7427" t="s">
        <v>2270</v>
      </c>
      <c r="G7427" t="str">
        <f>"09-K03-01"</f>
        <v>09-K03-01</v>
      </c>
      <c r="H7427">
        <v>1.4508000000000001</v>
      </c>
      <c r="I7427" t="s">
        <v>5347</v>
      </c>
      <c r="J7427" t="s">
        <v>14</v>
      </c>
      <c r="K7427" t="str">
        <f>"4F4"</f>
        <v>4F4</v>
      </c>
      <c r="L7427" t="s">
        <v>15</v>
      </c>
    </row>
    <row r="7428" spans="1:12" x14ac:dyDescent="0.25">
      <c r="A7428" t="str">
        <f>"6002150264"</f>
        <v>6002150264</v>
      </c>
      <c r="B7428" t="str">
        <f t="shared" si="345"/>
        <v>89301000</v>
      </c>
      <c r="C7428" s="1">
        <v>44440</v>
      </c>
      <c r="D7428" s="1">
        <v>44442</v>
      </c>
      <c r="E7428">
        <v>1</v>
      </c>
      <c r="F7428" t="s">
        <v>1842</v>
      </c>
      <c r="G7428" t="str">
        <f>"05-I14-04"</f>
        <v>05-I14-04</v>
      </c>
      <c r="H7428">
        <v>5.4002999999999997</v>
      </c>
      <c r="I7428" t="s">
        <v>5348</v>
      </c>
      <c r="J7428" t="s">
        <v>14</v>
      </c>
      <c r="K7428" t="str">
        <f>"1F1"</f>
        <v>1F1</v>
      </c>
      <c r="L7428" t="s">
        <v>15</v>
      </c>
    </row>
    <row r="7429" spans="1:12" x14ac:dyDescent="0.25">
      <c r="A7429" t="str">
        <f>"6002150264"</f>
        <v>6002150264</v>
      </c>
      <c r="B7429" t="str">
        <f t="shared" si="345"/>
        <v>89301000</v>
      </c>
      <c r="C7429" s="1">
        <v>44397</v>
      </c>
      <c r="D7429" s="1">
        <v>44398</v>
      </c>
      <c r="E7429">
        <v>1</v>
      </c>
      <c r="F7429" t="s">
        <v>1557</v>
      </c>
      <c r="G7429" t="str">
        <f>"05-D01-08"</f>
        <v>05-D01-08</v>
      </c>
      <c r="H7429">
        <v>0.4093</v>
      </c>
      <c r="I7429" t="s">
        <v>2257</v>
      </c>
      <c r="J7429" t="s">
        <v>14</v>
      </c>
      <c r="K7429" t="str">
        <f>"1F7"</f>
        <v>1F7</v>
      </c>
      <c r="L7429" t="s">
        <v>15</v>
      </c>
    </row>
    <row r="7430" spans="1:12" x14ac:dyDescent="0.25">
      <c r="A7430" t="str">
        <f>"6002231873"</f>
        <v>6002231873</v>
      </c>
      <c r="B7430" t="str">
        <f t="shared" si="345"/>
        <v>89301000</v>
      </c>
      <c r="C7430" s="1">
        <v>44484</v>
      </c>
      <c r="D7430" s="1">
        <v>44509</v>
      </c>
      <c r="E7430">
        <v>1</v>
      </c>
      <c r="F7430" t="s">
        <v>1572</v>
      </c>
      <c r="G7430" t="str">
        <f>"06-I07-05"</f>
        <v>06-I07-05</v>
      </c>
      <c r="H7430">
        <v>3.6320000000000001</v>
      </c>
      <c r="I7430" t="s">
        <v>5349</v>
      </c>
      <c r="J7430" t="s">
        <v>17</v>
      </c>
      <c r="K7430" t="str">
        <f>"5F1"</f>
        <v>5F1</v>
      </c>
      <c r="L7430" t="s">
        <v>15</v>
      </c>
    </row>
    <row r="7431" spans="1:12" x14ac:dyDescent="0.25">
      <c r="A7431" t="str">
        <f>"6002231873"</f>
        <v>6002231873</v>
      </c>
      <c r="B7431" t="str">
        <f t="shared" si="345"/>
        <v>89301000</v>
      </c>
      <c r="C7431" s="1">
        <v>44248</v>
      </c>
      <c r="D7431" s="1">
        <v>44262</v>
      </c>
      <c r="E7431">
        <v>1</v>
      </c>
      <c r="F7431" t="s">
        <v>2910</v>
      </c>
      <c r="G7431" t="str">
        <f>"06-I05-04"</f>
        <v>06-I05-04</v>
      </c>
      <c r="H7431">
        <v>3.3546</v>
      </c>
      <c r="J7431" t="s">
        <v>17</v>
      </c>
      <c r="K7431" t="str">
        <f>"5F1"</f>
        <v>5F1</v>
      </c>
      <c r="L7431" t="s">
        <v>15</v>
      </c>
    </row>
    <row r="7432" spans="1:12" x14ac:dyDescent="0.25">
      <c r="A7432" t="str">
        <f>"6002231873"</f>
        <v>6002231873</v>
      </c>
      <c r="B7432" t="str">
        <f t="shared" si="345"/>
        <v>89301000</v>
      </c>
      <c r="C7432" s="1">
        <v>44459</v>
      </c>
      <c r="D7432" s="1">
        <v>44466</v>
      </c>
      <c r="E7432">
        <v>1</v>
      </c>
      <c r="F7432" t="s">
        <v>479</v>
      </c>
      <c r="G7432" t="str">
        <f>"18-K01-06"</f>
        <v>18-K01-06</v>
      </c>
      <c r="H7432">
        <v>1.4367000000000001</v>
      </c>
      <c r="I7432" t="s">
        <v>5350</v>
      </c>
      <c r="J7432" t="s">
        <v>14</v>
      </c>
      <c r="K7432" t="str">
        <f>"1F1"</f>
        <v>1F1</v>
      </c>
      <c r="L7432" t="s">
        <v>15</v>
      </c>
    </row>
    <row r="7433" spans="1:12" x14ac:dyDescent="0.25">
      <c r="A7433" t="str">
        <f>"6002251277"</f>
        <v>6002251277</v>
      </c>
      <c r="B7433" t="str">
        <f t="shared" si="345"/>
        <v>89301000</v>
      </c>
      <c r="C7433" s="1">
        <v>44202</v>
      </c>
      <c r="D7433" s="1">
        <v>44202</v>
      </c>
      <c r="E7433">
        <v>1</v>
      </c>
      <c r="F7433" t="s">
        <v>1814</v>
      </c>
      <c r="G7433" t="str">
        <f>"05-D01-08"</f>
        <v>05-D01-08</v>
      </c>
      <c r="H7433">
        <v>0.51449999999999996</v>
      </c>
      <c r="I7433" t="s">
        <v>5351</v>
      </c>
      <c r="J7433" t="s">
        <v>14</v>
      </c>
      <c r="K7433" t="str">
        <f>"1F7"</f>
        <v>1F7</v>
      </c>
      <c r="L7433" t="s">
        <v>15</v>
      </c>
    </row>
    <row r="7434" spans="1:12" x14ac:dyDescent="0.25">
      <c r="A7434" t="str">
        <f>"6002291020"</f>
        <v>6002291020</v>
      </c>
      <c r="B7434" t="str">
        <f t="shared" si="345"/>
        <v>89301000</v>
      </c>
      <c r="C7434" s="1">
        <v>44324</v>
      </c>
      <c r="D7434" s="1">
        <v>44324</v>
      </c>
      <c r="E7434">
        <v>1</v>
      </c>
      <c r="F7434" t="s">
        <v>1557</v>
      </c>
      <c r="G7434" t="str">
        <f>"05-M06-07"</f>
        <v>05-M06-07</v>
      </c>
      <c r="H7434">
        <v>1.5166999999999999</v>
      </c>
      <c r="I7434" t="s">
        <v>2183</v>
      </c>
      <c r="J7434" t="s">
        <v>17</v>
      </c>
      <c r="K7434" t="str">
        <f>"1F1"</f>
        <v>1F1</v>
      </c>
      <c r="L7434" t="s">
        <v>15</v>
      </c>
    </row>
    <row r="7435" spans="1:12" x14ac:dyDescent="0.25">
      <c r="A7435" t="str">
        <f>"6003061328"</f>
        <v>6003061328</v>
      </c>
      <c r="B7435" t="str">
        <f t="shared" si="345"/>
        <v>89301000</v>
      </c>
      <c r="C7435" s="1">
        <v>44348</v>
      </c>
      <c r="D7435" s="1">
        <v>44358</v>
      </c>
      <c r="E7435">
        <v>1</v>
      </c>
      <c r="F7435" t="s">
        <v>109</v>
      </c>
      <c r="G7435" t="str">
        <f>"24-M06-02"</f>
        <v>24-M06-02</v>
      </c>
      <c r="H7435">
        <v>1.0233000000000001</v>
      </c>
      <c r="I7435" t="s">
        <v>5352</v>
      </c>
      <c r="J7435" t="s">
        <v>14</v>
      </c>
      <c r="K7435" t="str">
        <f>"2F1"</f>
        <v>2F1</v>
      </c>
      <c r="L7435" t="s">
        <v>15</v>
      </c>
    </row>
    <row r="7436" spans="1:12" x14ac:dyDescent="0.25">
      <c r="A7436" t="str">
        <f>"6003062175"</f>
        <v>6003062175</v>
      </c>
      <c r="B7436" t="str">
        <f t="shared" si="345"/>
        <v>89301000</v>
      </c>
      <c r="C7436" s="1">
        <v>44217</v>
      </c>
      <c r="D7436" s="1">
        <v>44219</v>
      </c>
      <c r="E7436">
        <v>1</v>
      </c>
      <c r="F7436" t="s">
        <v>3536</v>
      </c>
      <c r="G7436" t="str">
        <f>"03-K09-01"</f>
        <v>03-K09-01</v>
      </c>
      <c r="H7436">
        <v>0.59919999999999995</v>
      </c>
      <c r="I7436" t="s">
        <v>489</v>
      </c>
      <c r="J7436" t="s">
        <v>14</v>
      </c>
      <c r="K7436" t="str">
        <f>"7F1"</f>
        <v>7F1</v>
      </c>
      <c r="L7436" t="s">
        <v>15</v>
      </c>
    </row>
    <row r="7437" spans="1:12" x14ac:dyDescent="0.25">
      <c r="A7437" t="str">
        <f>"6003091325"</f>
        <v>6003091325</v>
      </c>
      <c r="B7437" t="str">
        <f t="shared" si="345"/>
        <v>89301000</v>
      </c>
      <c r="C7437" s="1">
        <v>44407</v>
      </c>
      <c r="D7437" s="1">
        <v>44431</v>
      </c>
      <c r="E7437">
        <v>8</v>
      </c>
      <c r="F7437" t="s">
        <v>2355</v>
      </c>
      <c r="G7437" t="str">
        <f>"04-R02-03"</f>
        <v>04-R02-03</v>
      </c>
      <c r="H7437">
        <v>3.585</v>
      </c>
      <c r="I7437" t="s">
        <v>5353</v>
      </c>
      <c r="J7437" t="s">
        <v>14</v>
      </c>
      <c r="K7437" t="str">
        <f>"2F5"</f>
        <v>2F5</v>
      </c>
      <c r="L7437" t="s">
        <v>15</v>
      </c>
    </row>
    <row r="7438" spans="1:12" x14ac:dyDescent="0.25">
      <c r="A7438" t="str">
        <f>"6003091325"</f>
        <v>6003091325</v>
      </c>
      <c r="B7438" t="str">
        <f t="shared" si="345"/>
        <v>89301000</v>
      </c>
      <c r="C7438" s="1">
        <v>44379</v>
      </c>
      <c r="D7438" s="1">
        <v>44386</v>
      </c>
      <c r="E7438">
        <v>1</v>
      </c>
      <c r="F7438" t="s">
        <v>2355</v>
      </c>
      <c r="G7438" t="str">
        <f>"04-K09-02"</f>
        <v>04-K09-02</v>
      </c>
      <c r="H7438">
        <v>1.2861</v>
      </c>
      <c r="I7438" t="s">
        <v>5354</v>
      </c>
      <c r="J7438" t="s">
        <v>14</v>
      </c>
      <c r="K7438" t="str">
        <f>"2F5"</f>
        <v>2F5</v>
      </c>
      <c r="L7438" t="s">
        <v>15</v>
      </c>
    </row>
    <row r="7439" spans="1:12" x14ac:dyDescent="0.25">
      <c r="A7439" t="str">
        <f>"6003221246"</f>
        <v>6003221246</v>
      </c>
      <c r="B7439" t="str">
        <f t="shared" si="345"/>
        <v>89301000</v>
      </c>
      <c r="C7439" s="1">
        <v>44364</v>
      </c>
      <c r="D7439" s="1">
        <v>44368</v>
      </c>
      <c r="E7439">
        <v>1</v>
      </c>
      <c r="F7439" t="s">
        <v>151</v>
      </c>
      <c r="G7439" t="str">
        <f>"06-I16-04"</f>
        <v>06-I16-04</v>
      </c>
      <c r="H7439">
        <v>0.67620000000000002</v>
      </c>
      <c r="J7439" t="s">
        <v>24</v>
      </c>
      <c r="K7439" t="str">
        <f>"5F1"</f>
        <v>5F1</v>
      </c>
      <c r="L7439" t="s">
        <v>15</v>
      </c>
    </row>
    <row r="7440" spans="1:12" x14ac:dyDescent="0.25">
      <c r="A7440" t="str">
        <f>"6003221246"</f>
        <v>6003221246</v>
      </c>
      <c r="B7440" t="str">
        <f t="shared" si="345"/>
        <v>89301000</v>
      </c>
      <c r="C7440" s="1">
        <v>44283</v>
      </c>
      <c r="D7440" s="1">
        <v>44298</v>
      </c>
      <c r="E7440">
        <v>1</v>
      </c>
      <c r="F7440" t="s">
        <v>217</v>
      </c>
      <c r="G7440" t="str">
        <f>"04-K02-02"</f>
        <v>04-K02-02</v>
      </c>
      <c r="H7440">
        <v>2.5186000000000002</v>
      </c>
      <c r="I7440" t="s">
        <v>5355</v>
      </c>
      <c r="J7440" t="s">
        <v>14</v>
      </c>
      <c r="K7440" t="str">
        <f>"2F5"</f>
        <v>2F5</v>
      </c>
      <c r="L7440" t="s">
        <v>15</v>
      </c>
    </row>
    <row r="7441" spans="1:12" x14ac:dyDescent="0.25">
      <c r="A7441" t="str">
        <f>"6003240375"</f>
        <v>6003240375</v>
      </c>
      <c r="B7441" t="str">
        <f t="shared" si="345"/>
        <v>89301000</v>
      </c>
      <c r="C7441" s="1">
        <v>44221</v>
      </c>
      <c r="D7441" s="1">
        <v>44222</v>
      </c>
      <c r="E7441">
        <v>1</v>
      </c>
      <c r="F7441" t="s">
        <v>1553</v>
      </c>
      <c r="G7441" t="str">
        <f>"04-K05-03"</f>
        <v>04-K05-03</v>
      </c>
      <c r="H7441">
        <v>0.74980000000000002</v>
      </c>
      <c r="I7441" t="s">
        <v>241</v>
      </c>
      <c r="J7441" t="s">
        <v>14</v>
      </c>
      <c r="K7441" t="str">
        <f>"1F1"</f>
        <v>1F1</v>
      </c>
      <c r="L7441" t="s">
        <v>15</v>
      </c>
    </row>
    <row r="7442" spans="1:12" x14ac:dyDescent="0.25">
      <c r="A7442" t="str">
        <f t="shared" ref="A7442:A7449" si="346">"6003250055"</f>
        <v>6003250055</v>
      </c>
      <c r="B7442" t="str">
        <f t="shared" si="345"/>
        <v>89301000</v>
      </c>
      <c r="C7442" s="1">
        <v>44403</v>
      </c>
      <c r="D7442" s="1">
        <v>44405</v>
      </c>
      <c r="E7442">
        <v>1</v>
      </c>
      <c r="F7442" t="s">
        <v>2910</v>
      </c>
      <c r="G7442" t="str">
        <f t="shared" ref="G7442:G7449" si="347">"06-C02-03"</f>
        <v>06-C02-03</v>
      </c>
      <c r="H7442">
        <v>0.25769999999999998</v>
      </c>
      <c r="I7442" t="s">
        <v>541</v>
      </c>
      <c r="J7442" t="s">
        <v>14</v>
      </c>
      <c r="K7442" t="str">
        <f t="shared" ref="K7442:K7449" si="348">"4F2"</f>
        <v>4F2</v>
      </c>
      <c r="L7442" t="s">
        <v>15</v>
      </c>
    </row>
    <row r="7443" spans="1:12" x14ac:dyDescent="0.25">
      <c r="A7443" t="str">
        <f t="shared" si="346"/>
        <v>6003250055</v>
      </c>
      <c r="B7443" t="str">
        <f t="shared" si="345"/>
        <v>89301000</v>
      </c>
      <c r="C7443" s="1">
        <v>44417</v>
      </c>
      <c r="D7443" s="1">
        <v>44419</v>
      </c>
      <c r="E7443">
        <v>1</v>
      </c>
      <c r="F7443" t="s">
        <v>2910</v>
      </c>
      <c r="G7443" t="str">
        <f t="shared" si="347"/>
        <v>06-C02-03</v>
      </c>
      <c r="H7443">
        <v>0.25769999999999998</v>
      </c>
      <c r="I7443" t="s">
        <v>541</v>
      </c>
      <c r="J7443" t="s">
        <v>14</v>
      </c>
      <c r="K7443" t="str">
        <f t="shared" si="348"/>
        <v>4F2</v>
      </c>
      <c r="L7443" t="s">
        <v>15</v>
      </c>
    </row>
    <row r="7444" spans="1:12" x14ac:dyDescent="0.25">
      <c r="A7444" t="str">
        <f t="shared" si="346"/>
        <v>6003250055</v>
      </c>
      <c r="B7444" t="str">
        <f t="shared" si="345"/>
        <v>89301000</v>
      </c>
      <c r="C7444" s="1">
        <v>44431</v>
      </c>
      <c r="D7444" s="1">
        <v>44433</v>
      </c>
      <c r="E7444">
        <v>1</v>
      </c>
      <c r="F7444" t="s">
        <v>2910</v>
      </c>
      <c r="G7444" t="str">
        <f t="shared" si="347"/>
        <v>06-C02-03</v>
      </c>
      <c r="H7444">
        <v>0.25769999999999998</v>
      </c>
      <c r="I7444" t="s">
        <v>541</v>
      </c>
      <c r="J7444" t="s">
        <v>14</v>
      </c>
      <c r="K7444" t="str">
        <f t="shared" si="348"/>
        <v>4F2</v>
      </c>
      <c r="L7444" t="s">
        <v>15</v>
      </c>
    </row>
    <row r="7445" spans="1:12" x14ac:dyDescent="0.25">
      <c r="A7445" t="str">
        <f t="shared" si="346"/>
        <v>6003250055</v>
      </c>
      <c r="B7445" t="str">
        <f t="shared" si="345"/>
        <v>89301000</v>
      </c>
      <c r="C7445" s="1">
        <v>44459</v>
      </c>
      <c r="D7445" s="1">
        <v>44461</v>
      </c>
      <c r="E7445">
        <v>1</v>
      </c>
      <c r="F7445" t="s">
        <v>2910</v>
      </c>
      <c r="G7445" t="str">
        <f t="shared" si="347"/>
        <v>06-C02-03</v>
      </c>
      <c r="H7445">
        <v>0.25769999999999998</v>
      </c>
      <c r="I7445" t="s">
        <v>541</v>
      </c>
      <c r="J7445" t="s">
        <v>14</v>
      </c>
      <c r="K7445" t="str">
        <f t="shared" si="348"/>
        <v>4F2</v>
      </c>
      <c r="L7445" t="s">
        <v>15</v>
      </c>
    </row>
    <row r="7446" spans="1:12" x14ac:dyDescent="0.25">
      <c r="A7446" t="str">
        <f t="shared" si="346"/>
        <v>6003250055</v>
      </c>
      <c r="B7446" t="str">
        <f t="shared" si="345"/>
        <v>89301000</v>
      </c>
      <c r="C7446" s="1">
        <v>44473</v>
      </c>
      <c r="D7446" s="1">
        <v>44475</v>
      </c>
      <c r="E7446">
        <v>1</v>
      </c>
      <c r="F7446" t="s">
        <v>2910</v>
      </c>
      <c r="G7446" t="str">
        <f t="shared" si="347"/>
        <v>06-C02-03</v>
      </c>
      <c r="H7446">
        <v>0.25769999999999998</v>
      </c>
      <c r="I7446" t="s">
        <v>541</v>
      </c>
      <c r="J7446" t="s">
        <v>14</v>
      </c>
      <c r="K7446" t="str">
        <f t="shared" si="348"/>
        <v>4F2</v>
      </c>
      <c r="L7446" t="s">
        <v>15</v>
      </c>
    </row>
    <row r="7447" spans="1:12" x14ac:dyDescent="0.25">
      <c r="A7447" t="str">
        <f t="shared" si="346"/>
        <v>6003250055</v>
      </c>
      <c r="B7447" t="str">
        <f t="shared" si="345"/>
        <v>89301000</v>
      </c>
      <c r="C7447" s="1">
        <v>44487</v>
      </c>
      <c r="D7447" s="1">
        <v>44489</v>
      </c>
      <c r="E7447">
        <v>1</v>
      </c>
      <c r="F7447" t="s">
        <v>2910</v>
      </c>
      <c r="G7447" t="str">
        <f t="shared" si="347"/>
        <v>06-C02-03</v>
      </c>
      <c r="H7447">
        <v>0.25769999999999998</v>
      </c>
      <c r="I7447" t="s">
        <v>541</v>
      </c>
      <c r="J7447" t="s">
        <v>14</v>
      </c>
      <c r="K7447" t="str">
        <f t="shared" si="348"/>
        <v>4F2</v>
      </c>
      <c r="L7447" t="s">
        <v>15</v>
      </c>
    </row>
    <row r="7448" spans="1:12" x14ac:dyDescent="0.25">
      <c r="A7448" t="str">
        <f t="shared" si="346"/>
        <v>6003250055</v>
      </c>
      <c r="B7448" t="str">
        <f t="shared" si="345"/>
        <v>89301000</v>
      </c>
      <c r="C7448" s="1">
        <v>44389</v>
      </c>
      <c r="D7448" s="1">
        <v>44391</v>
      </c>
      <c r="E7448">
        <v>1</v>
      </c>
      <c r="F7448" t="s">
        <v>2910</v>
      </c>
      <c r="G7448" t="str">
        <f t="shared" si="347"/>
        <v>06-C02-03</v>
      </c>
      <c r="H7448">
        <v>0.25769999999999998</v>
      </c>
      <c r="I7448" t="s">
        <v>541</v>
      </c>
      <c r="J7448" t="s">
        <v>14</v>
      </c>
      <c r="K7448" t="str">
        <f t="shared" si="348"/>
        <v>4F2</v>
      </c>
      <c r="L7448" t="s">
        <v>15</v>
      </c>
    </row>
    <row r="7449" spans="1:12" x14ac:dyDescent="0.25">
      <c r="A7449" t="str">
        <f t="shared" si="346"/>
        <v>6003250055</v>
      </c>
      <c r="B7449" t="str">
        <f t="shared" si="345"/>
        <v>89301000</v>
      </c>
      <c r="C7449" s="1">
        <v>44445</v>
      </c>
      <c r="D7449" s="1">
        <v>44447</v>
      </c>
      <c r="E7449">
        <v>1</v>
      </c>
      <c r="F7449" t="s">
        <v>2910</v>
      </c>
      <c r="G7449" t="str">
        <f t="shared" si="347"/>
        <v>06-C02-03</v>
      </c>
      <c r="H7449">
        <v>0.25769999999999998</v>
      </c>
      <c r="I7449" t="s">
        <v>541</v>
      </c>
      <c r="J7449" t="s">
        <v>14</v>
      </c>
      <c r="K7449" t="str">
        <f t="shared" si="348"/>
        <v>4F2</v>
      </c>
      <c r="L7449" t="s">
        <v>15</v>
      </c>
    </row>
    <row r="7450" spans="1:12" x14ac:dyDescent="0.25">
      <c r="A7450" t="str">
        <f>"6003281977"</f>
        <v>6003281977</v>
      </c>
      <c r="B7450" t="str">
        <f t="shared" si="345"/>
        <v>89301000</v>
      </c>
      <c r="C7450" s="1">
        <v>44279</v>
      </c>
      <c r="D7450" s="1">
        <v>44279</v>
      </c>
      <c r="E7450">
        <v>1</v>
      </c>
      <c r="F7450" t="s">
        <v>1557</v>
      </c>
      <c r="G7450" t="str">
        <f>"05-D01-08"</f>
        <v>05-D01-08</v>
      </c>
      <c r="H7450">
        <v>0.21890000000000001</v>
      </c>
      <c r="I7450" t="s">
        <v>4788</v>
      </c>
      <c r="J7450" t="s">
        <v>14</v>
      </c>
      <c r="K7450" t="str">
        <f>"1F1"</f>
        <v>1F1</v>
      </c>
      <c r="L7450" t="s">
        <v>15</v>
      </c>
    </row>
    <row r="7451" spans="1:12" x14ac:dyDescent="0.25">
      <c r="A7451" t="str">
        <f>"6004040526"</f>
        <v>6004040526</v>
      </c>
      <c r="B7451" t="str">
        <f t="shared" si="345"/>
        <v>89301000</v>
      </c>
      <c r="C7451" s="1">
        <v>44432</v>
      </c>
      <c r="D7451" s="1">
        <v>44440</v>
      </c>
      <c r="E7451">
        <v>1</v>
      </c>
      <c r="F7451" t="s">
        <v>2052</v>
      </c>
      <c r="G7451" t="str">
        <f>"05-I18-03"</f>
        <v>05-I18-03</v>
      </c>
      <c r="H7451">
        <v>4.9307999999999996</v>
      </c>
      <c r="I7451" t="s">
        <v>5356</v>
      </c>
      <c r="J7451" t="s">
        <v>14</v>
      </c>
      <c r="K7451" t="str">
        <f>"5F1"</f>
        <v>5F1</v>
      </c>
      <c r="L7451" t="s">
        <v>15</v>
      </c>
    </row>
    <row r="7452" spans="1:12" x14ac:dyDescent="0.25">
      <c r="A7452" t="str">
        <f>"6004052186"</f>
        <v>6004052186</v>
      </c>
      <c r="B7452" t="str">
        <f t="shared" si="345"/>
        <v>89301000</v>
      </c>
      <c r="C7452" s="1">
        <v>44374</v>
      </c>
      <c r="D7452" s="1">
        <v>44375</v>
      </c>
      <c r="E7452">
        <v>1</v>
      </c>
      <c r="F7452" t="s">
        <v>609</v>
      </c>
      <c r="G7452" t="str">
        <f>"08-K13-02"</f>
        <v>08-K13-02</v>
      </c>
      <c r="H7452">
        <v>0.47210000000000002</v>
      </c>
      <c r="I7452" t="s">
        <v>5357</v>
      </c>
      <c r="J7452" t="s">
        <v>14</v>
      </c>
      <c r="K7452" t="str">
        <f>"5F3"</f>
        <v>5F3</v>
      </c>
      <c r="L7452" t="s">
        <v>15</v>
      </c>
    </row>
    <row r="7453" spans="1:12" x14ac:dyDescent="0.25">
      <c r="A7453" t="str">
        <f>"6004107362"</f>
        <v>6004107362</v>
      </c>
      <c r="B7453" t="str">
        <f t="shared" si="345"/>
        <v>89301000</v>
      </c>
      <c r="C7453" s="1">
        <v>44249</v>
      </c>
      <c r="D7453" s="1">
        <v>44271</v>
      </c>
      <c r="E7453">
        <v>4</v>
      </c>
      <c r="F7453" t="s">
        <v>1543</v>
      </c>
      <c r="G7453" t="str">
        <f>"01-M02-00"</f>
        <v>01-M02-00</v>
      </c>
      <c r="H7453">
        <v>8.532</v>
      </c>
      <c r="I7453" t="s">
        <v>5358</v>
      </c>
      <c r="J7453" t="s">
        <v>17</v>
      </c>
      <c r="K7453" t="str">
        <f>"2T9"</f>
        <v>2T9</v>
      </c>
      <c r="L7453" t="s">
        <v>15</v>
      </c>
    </row>
    <row r="7454" spans="1:12" x14ac:dyDescent="0.25">
      <c r="A7454" t="str">
        <f>"6004120309"</f>
        <v>6004120309</v>
      </c>
      <c r="B7454" t="str">
        <f t="shared" si="345"/>
        <v>89301000</v>
      </c>
      <c r="C7454" s="1">
        <v>44235</v>
      </c>
      <c r="D7454" s="1">
        <v>44238</v>
      </c>
      <c r="E7454">
        <v>1</v>
      </c>
      <c r="F7454" t="s">
        <v>593</v>
      </c>
      <c r="G7454" t="str">
        <f>"07-I10-05"</f>
        <v>07-I10-05</v>
      </c>
      <c r="H7454">
        <v>1.2605999999999999</v>
      </c>
      <c r="I7454" t="s">
        <v>5359</v>
      </c>
      <c r="J7454" t="s">
        <v>17</v>
      </c>
      <c r="K7454" t="str">
        <f>"5F1"</f>
        <v>5F1</v>
      </c>
      <c r="L7454" t="s">
        <v>15</v>
      </c>
    </row>
    <row r="7455" spans="1:12" x14ac:dyDescent="0.25">
      <c r="A7455" t="str">
        <f t="shared" ref="A7455:A7466" si="349">"6004120606"</f>
        <v>6004120606</v>
      </c>
      <c r="B7455" t="str">
        <f t="shared" si="345"/>
        <v>89301000</v>
      </c>
      <c r="C7455" s="1">
        <v>44442</v>
      </c>
      <c r="D7455" s="1">
        <v>44444</v>
      </c>
      <c r="E7455">
        <v>1</v>
      </c>
      <c r="F7455" t="s">
        <v>3625</v>
      </c>
      <c r="G7455" t="str">
        <f t="shared" ref="G7455:G7466" si="350">"06-C02-01"</f>
        <v>06-C02-01</v>
      </c>
      <c r="H7455">
        <v>0.27229999999999999</v>
      </c>
      <c r="I7455" t="s">
        <v>2558</v>
      </c>
      <c r="J7455" t="s">
        <v>14</v>
      </c>
      <c r="K7455" t="str">
        <f t="shared" ref="K7455:K7466" si="351">"4F2"</f>
        <v>4F2</v>
      </c>
      <c r="L7455" t="s">
        <v>15</v>
      </c>
    </row>
    <row r="7456" spans="1:12" x14ac:dyDescent="0.25">
      <c r="A7456" t="str">
        <f t="shared" si="349"/>
        <v>6004120606</v>
      </c>
      <c r="B7456" t="str">
        <f t="shared" si="345"/>
        <v>89301000</v>
      </c>
      <c r="C7456" s="1">
        <v>44456</v>
      </c>
      <c r="D7456" s="1">
        <v>44458</v>
      </c>
      <c r="E7456">
        <v>1</v>
      </c>
      <c r="F7456" t="s">
        <v>3625</v>
      </c>
      <c r="G7456" t="str">
        <f t="shared" si="350"/>
        <v>06-C02-01</v>
      </c>
      <c r="H7456">
        <v>0.27229999999999999</v>
      </c>
      <c r="I7456" t="s">
        <v>2558</v>
      </c>
      <c r="J7456" t="s">
        <v>14</v>
      </c>
      <c r="K7456" t="str">
        <f t="shared" si="351"/>
        <v>4F2</v>
      </c>
      <c r="L7456" t="s">
        <v>15</v>
      </c>
    </row>
    <row r="7457" spans="1:12" x14ac:dyDescent="0.25">
      <c r="A7457" t="str">
        <f t="shared" si="349"/>
        <v>6004120606</v>
      </c>
      <c r="B7457" t="str">
        <f t="shared" si="345"/>
        <v>89301000</v>
      </c>
      <c r="C7457" s="1">
        <v>44470</v>
      </c>
      <c r="D7457" s="1">
        <v>44472</v>
      </c>
      <c r="E7457">
        <v>1</v>
      </c>
      <c r="F7457" t="s">
        <v>3625</v>
      </c>
      <c r="G7457" t="str">
        <f t="shared" si="350"/>
        <v>06-C02-01</v>
      </c>
      <c r="H7457">
        <v>0.27229999999999999</v>
      </c>
      <c r="I7457" t="s">
        <v>2558</v>
      </c>
      <c r="J7457" t="s">
        <v>14</v>
      </c>
      <c r="K7457" t="str">
        <f t="shared" si="351"/>
        <v>4F2</v>
      </c>
      <c r="L7457" t="s">
        <v>15</v>
      </c>
    </row>
    <row r="7458" spans="1:12" x14ac:dyDescent="0.25">
      <c r="A7458" t="str">
        <f t="shared" si="349"/>
        <v>6004120606</v>
      </c>
      <c r="B7458" t="str">
        <f t="shared" si="345"/>
        <v>89301000</v>
      </c>
      <c r="C7458" s="1">
        <v>44484</v>
      </c>
      <c r="D7458" s="1">
        <v>44486</v>
      </c>
      <c r="E7458">
        <v>1</v>
      </c>
      <c r="F7458" t="s">
        <v>3625</v>
      </c>
      <c r="G7458" t="str">
        <f t="shared" si="350"/>
        <v>06-C02-01</v>
      </c>
      <c r="H7458">
        <v>0.27229999999999999</v>
      </c>
      <c r="I7458" t="s">
        <v>2558</v>
      </c>
      <c r="J7458" t="s">
        <v>14</v>
      </c>
      <c r="K7458" t="str">
        <f t="shared" si="351"/>
        <v>4F2</v>
      </c>
      <c r="L7458" t="s">
        <v>15</v>
      </c>
    </row>
    <row r="7459" spans="1:12" x14ac:dyDescent="0.25">
      <c r="A7459" t="str">
        <f t="shared" si="349"/>
        <v>6004120606</v>
      </c>
      <c r="B7459" t="str">
        <f t="shared" si="345"/>
        <v>89301000</v>
      </c>
      <c r="C7459" s="1">
        <v>44498</v>
      </c>
      <c r="D7459" s="1">
        <v>44500</v>
      </c>
      <c r="E7459">
        <v>1</v>
      </c>
      <c r="F7459" t="s">
        <v>3625</v>
      </c>
      <c r="G7459" t="str">
        <f t="shared" si="350"/>
        <v>06-C02-01</v>
      </c>
      <c r="H7459">
        <v>0.27229999999999999</v>
      </c>
      <c r="I7459" t="s">
        <v>2558</v>
      </c>
      <c r="J7459" t="s">
        <v>14</v>
      </c>
      <c r="K7459" t="str">
        <f t="shared" si="351"/>
        <v>4F2</v>
      </c>
      <c r="L7459" t="s">
        <v>15</v>
      </c>
    </row>
    <row r="7460" spans="1:12" x14ac:dyDescent="0.25">
      <c r="A7460" t="str">
        <f t="shared" si="349"/>
        <v>6004120606</v>
      </c>
      <c r="B7460" t="str">
        <f t="shared" si="345"/>
        <v>89301000</v>
      </c>
      <c r="C7460" s="1">
        <v>44512</v>
      </c>
      <c r="D7460" s="1">
        <v>44514</v>
      </c>
      <c r="E7460">
        <v>1</v>
      </c>
      <c r="F7460" t="s">
        <v>3625</v>
      </c>
      <c r="G7460" t="str">
        <f t="shared" si="350"/>
        <v>06-C02-01</v>
      </c>
      <c r="H7460">
        <v>0.27229999999999999</v>
      </c>
      <c r="I7460" t="s">
        <v>2558</v>
      </c>
      <c r="J7460" t="s">
        <v>14</v>
      </c>
      <c r="K7460" t="str">
        <f t="shared" si="351"/>
        <v>4F2</v>
      </c>
      <c r="L7460" t="s">
        <v>15</v>
      </c>
    </row>
    <row r="7461" spans="1:12" x14ac:dyDescent="0.25">
      <c r="A7461" t="str">
        <f t="shared" si="349"/>
        <v>6004120606</v>
      </c>
      <c r="B7461" t="str">
        <f t="shared" si="345"/>
        <v>89301000</v>
      </c>
      <c r="C7461" s="1">
        <v>44526</v>
      </c>
      <c r="D7461" s="1">
        <v>44528</v>
      </c>
      <c r="E7461">
        <v>1</v>
      </c>
      <c r="F7461" t="s">
        <v>3625</v>
      </c>
      <c r="G7461" t="str">
        <f t="shared" si="350"/>
        <v>06-C02-01</v>
      </c>
      <c r="H7461">
        <v>0.27229999999999999</v>
      </c>
      <c r="I7461" t="s">
        <v>2558</v>
      </c>
      <c r="J7461" t="s">
        <v>14</v>
      </c>
      <c r="K7461" t="str">
        <f t="shared" si="351"/>
        <v>4F2</v>
      </c>
      <c r="L7461" t="s">
        <v>15</v>
      </c>
    </row>
    <row r="7462" spans="1:12" x14ac:dyDescent="0.25">
      <c r="A7462" t="str">
        <f t="shared" si="349"/>
        <v>6004120606</v>
      </c>
      <c r="B7462" t="str">
        <f t="shared" si="345"/>
        <v>89301000</v>
      </c>
      <c r="C7462" s="1">
        <v>44428</v>
      </c>
      <c r="D7462" s="1">
        <v>44430</v>
      </c>
      <c r="E7462">
        <v>1</v>
      </c>
      <c r="F7462" t="s">
        <v>3625</v>
      </c>
      <c r="G7462" t="str">
        <f t="shared" si="350"/>
        <v>06-C02-01</v>
      </c>
      <c r="H7462">
        <v>0.27229999999999999</v>
      </c>
      <c r="I7462" t="s">
        <v>2558</v>
      </c>
      <c r="J7462" t="s">
        <v>14</v>
      </c>
      <c r="K7462" t="str">
        <f t="shared" si="351"/>
        <v>4F2</v>
      </c>
      <c r="L7462" t="s">
        <v>15</v>
      </c>
    </row>
    <row r="7463" spans="1:12" x14ac:dyDescent="0.25">
      <c r="A7463" t="str">
        <f t="shared" si="349"/>
        <v>6004120606</v>
      </c>
      <c r="B7463" t="str">
        <f t="shared" si="345"/>
        <v>89301000</v>
      </c>
      <c r="C7463" s="1">
        <v>44414</v>
      </c>
      <c r="D7463" s="1">
        <v>44416</v>
      </c>
      <c r="E7463">
        <v>1</v>
      </c>
      <c r="F7463" t="s">
        <v>3625</v>
      </c>
      <c r="G7463" t="str">
        <f t="shared" si="350"/>
        <v>06-C02-01</v>
      </c>
      <c r="H7463">
        <v>0.27229999999999999</v>
      </c>
      <c r="I7463" t="s">
        <v>2558</v>
      </c>
      <c r="J7463" t="s">
        <v>14</v>
      </c>
      <c r="K7463" t="str">
        <f t="shared" si="351"/>
        <v>4F2</v>
      </c>
      <c r="L7463" t="s">
        <v>15</v>
      </c>
    </row>
    <row r="7464" spans="1:12" x14ac:dyDescent="0.25">
      <c r="A7464" t="str">
        <f t="shared" si="349"/>
        <v>6004120606</v>
      </c>
      <c r="B7464" t="str">
        <f t="shared" si="345"/>
        <v>89301000</v>
      </c>
      <c r="C7464" s="1">
        <v>44400</v>
      </c>
      <c r="D7464" s="1">
        <v>44402</v>
      </c>
      <c r="E7464">
        <v>1</v>
      </c>
      <c r="F7464" t="s">
        <v>3625</v>
      </c>
      <c r="G7464" t="str">
        <f t="shared" si="350"/>
        <v>06-C02-01</v>
      </c>
      <c r="H7464">
        <v>0.27229999999999999</v>
      </c>
      <c r="I7464" t="s">
        <v>2558</v>
      </c>
      <c r="J7464" t="s">
        <v>14</v>
      </c>
      <c r="K7464" t="str">
        <f t="shared" si="351"/>
        <v>4F2</v>
      </c>
      <c r="L7464" t="s">
        <v>15</v>
      </c>
    </row>
    <row r="7465" spans="1:12" x14ac:dyDescent="0.25">
      <c r="A7465" t="str">
        <f t="shared" si="349"/>
        <v>6004120606</v>
      </c>
      <c r="B7465" t="str">
        <f t="shared" si="345"/>
        <v>89301000</v>
      </c>
      <c r="C7465" s="1">
        <v>44369</v>
      </c>
      <c r="D7465" s="1">
        <v>44371</v>
      </c>
      <c r="E7465">
        <v>1</v>
      </c>
      <c r="F7465" t="s">
        <v>3625</v>
      </c>
      <c r="G7465" t="str">
        <f t="shared" si="350"/>
        <v>06-C02-01</v>
      </c>
      <c r="H7465">
        <v>0.27229999999999999</v>
      </c>
      <c r="I7465" t="s">
        <v>2558</v>
      </c>
      <c r="J7465" t="s">
        <v>14</v>
      </c>
      <c r="K7465" t="str">
        <f t="shared" si="351"/>
        <v>4F2</v>
      </c>
      <c r="L7465" t="s">
        <v>15</v>
      </c>
    </row>
    <row r="7466" spans="1:12" x14ac:dyDescent="0.25">
      <c r="A7466" t="str">
        <f t="shared" si="349"/>
        <v>6004120606</v>
      </c>
      <c r="B7466" t="str">
        <f t="shared" si="345"/>
        <v>89301000</v>
      </c>
      <c r="C7466" s="1">
        <v>44386</v>
      </c>
      <c r="D7466" s="1">
        <v>44388</v>
      </c>
      <c r="E7466">
        <v>1</v>
      </c>
      <c r="F7466" t="s">
        <v>3625</v>
      </c>
      <c r="G7466" t="str">
        <f t="shared" si="350"/>
        <v>06-C02-01</v>
      </c>
      <c r="H7466">
        <v>0.27229999999999999</v>
      </c>
      <c r="I7466" t="s">
        <v>2558</v>
      </c>
      <c r="J7466" t="s">
        <v>14</v>
      </c>
      <c r="K7466" t="str">
        <f t="shared" si="351"/>
        <v>4F2</v>
      </c>
      <c r="L7466" t="s">
        <v>15</v>
      </c>
    </row>
    <row r="7467" spans="1:12" x14ac:dyDescent="0.25">
      <c r="A7467" t="str">
        <f>"6004230452"</f>
        <v>6004230452</v>
      </c>
      <c r="B7467" t="str">
        <f t="shared" si="345"/>
        <v>89301000</v>
      </c>
      <c r="C7467" s="1">
        <v>44537</v>
      </c>
      <c r="D7467" s="1">
        <v>44541</v>
      </c>
      <c r="E7467">
        <v>1</v>
      </c>
      <c r="F7467" t="s">
        <v>1619</v>
      </c>
      <c r="G7467" t="str">
        <f>"05-M06-06"</f>
        <v>05-M06-06</v>
      </c>
      <c r="H7467">
        <v>1.7652000000000001</v>
      </c>
      <c r="I7467" t="s">
        <v>5360</v>
      </c>
      <c r="J7467" t="s">
        <v>17</v>
      </c>
      <c r="K7467" t="str">
        <f>"1F1"</f>
        <v>1F1</v>
      </c>
      <c r="L7467" t="s">
        <v>15</v>
      </c>
    </row>
    <row r="7468" spans="1:12" x14ac:dyDescent="0.25">
      <c r="A7468" t="str">
        <f>"6004230452"</f>
        <v>6004230452</v>
      </c>
      <c r="B7468" t="str">
        <f t="shared" si="345"/>
        <v>89301000</v>
      </c>
      <c r="C7468" s="1">
        <v>44547</v>
      </c>
      <c r="D7468" s="1">
        <v>44550</v>
      </c>
      <c r="E7468">
        <v>1</v>
      </c>
      <c r="F7468" t="s">
        <v>1842</v>
      </c>
      <c r="G7468" t="str">
        <f>"05-I14-04"</f>
        <v>05-I14-04</v>
      </c>
      <c r="H7468">
        <v>5.4002999999999997</v>
      </c>
      <c r="I7468" t="s">
        <v>2428</v>
      </c>
      <c r="J7468" t="s">
        <v>14</v>
      </c>
      <c r="K7468" t="str">
        <f>"1F1"</f>
        <v>1F1</v>
      </c>
      <c r="L7468" t="s">
        <v>15</v>
      </c>
    </row>
    <row r="7469" spans="1:12" x14ac:dyDescent="0.25">
      <c r="A7469" t="str">
        <f>"6004232190"</f>
        <v>6004232190</v>
      </c>
      <c r="B7469" t="str">
        <f t="shared" si="345"/>
        <v>89301000</v>
      </c>
      <c r="C7469" s="1">
        <v>44412</v>
      </c>
      <c r="D7469" s="1">
        <v>44417</v>
      </c>
      <c r="E7469">
        <v>1</v>
      </c>
      <c r="F7469" t="s">
        <v>67</v>
      </c>
      <c r="G7469" t="str">
        <f>"01-K10-03"</f>
        <v>01-K10-03</v>
      </c>
      <c r="H7469">
        <v>1.0016</v>
      </c>
      <c r="I7469" t="s">
        <v>2216</v>
      </c>
      <c r="J7469" t="s">
        <v>14</v>
      </c>
      <c r="K7469" t="str">
        <f>"2F9"</f>
        <v>2F9</v>
      </c>
      <c r="L7469" t="s">
        <v>15</v>
      </c>
    </row>
    <row r="7470" spans="1:12" x14ac:dyDescent="0.25">
      <c r="A7470" t="str">
        <f>"6005092203"</f>
        <v>6005092203</v>
      </c>
      <c r="B7470" t="str">
        <f t="shared" si="345"/>
        <v>89301000</v>
      </c>
      <c r="C7470" s="1">
        <v>44378</v>
      </c>
      <c r="D7470" s="1">
        <v>44381</v>
      </c>
      <c r="E7470">
        <v>1</v>
      </c>
      <c r="F7470" t="s">
        <v>3517</v>
      </c>
      <c r="G7470" t="str">
        <f>"08-M03-05"</f>
        <v>08-M03-05</v>
      </c>
      <c r="H7470">
        <v>0.51759999999999995</v>
      </c>
      <c r="I7470" t="s">
        <v>5361</v>
      </c>
      <c r="J7470" t="s">
        <v>14</v>
      </c>
      <c r="K7470" t="str">
        <f>"6F6"</f>
        <v>6F6</v>
      </c>
      <c r="L7470" t="s">
        <v>15</v>
      </c>
    </row>
    <row r="7471" spans="1:12" x14ac:dyDescent="0.25">
      <c r="A7471" t="str">
        <f>"6005101773"</f>
        <v>6005101773</v>
      </c>
      <c r="B7471" t="str">
        <f t="shared" si="345"/>
        <v>89301000</v>
      </c>
      <c r="C7471" s="1">
        <v>44468</v>
      </c>
      <c r="D7471" s="1">
        <v>44469</v>
      </c>
      <c r="E7471">
        <v>1</v>
      </c>
      <c r="F7471" t="s">
        <v>173</v>
      </c>
      <c r="G7471" t="str">
        <f>"08-I32-02"</f>
        <v>08-I32-02</v>
      </c>
      <c r="H7471">
        <v>0.4143</v>
      </c>
      <c r="J7471" t="s">
        <v>14</v>
      </c>
      <c r="K7471" t="str">
        <f>"5F3"</f>
        <v>5F3</v>
      </c>
      <c r="L7471" t="s">
        <v>15</v>
      </c>
    </row>
    <row r="7472" spans="1:12" x14ac:dyDescent="0.25">
      <c r="A7472" t="str">
        <f>"6005150250"</f>
        <v>6005150250</v>
      </c>
      <c r="B7472" t="str">
        <f t="shared" si="345"/>
        <v>89301000</v>
      </c>
      <c r="C7472" s="1">
        <v>44550</v>
      </c>
      <c r="D7472" s="1">
        <v>44551</v>
      </c>
      <c r="E7472">
        <v>1</v>
      </c>
      <c r="F7472" t="s">
        <v>41</v>
      </c>
      <c r="G7472" t="str">
        <f>"01-D01-03"</f>
        <v>01-D01-03</v>
      </c>
      <c r="H7472">
        <v>0.158</v>
      </c>
      <c r="I7472" t="s">
        <v>5362</v>
      </c>
      <c r="J7472" t="s">
        <v>14</v>
      </c>
      <c r="K7472" t="str">
        <f>"2F5"</f>
        <v>2F5</v>
      </c>
      <c r="L7472" t="s">
        <v>15</v>
      </c>
    </row>
    <row r="7473" spans="1:12" x14ac:dyDescent="0.25">
      <c r="A7473" t="str">
        <f>"6005210783"</f>
        <v>6005210783</v>
      </c>
      <c r="B7473" t="str">
        <f t="shared" si="345"/>
        <v>89301000</v>
      </c>
      <c r="C7473" s="1">
        <v>44194</v>
      </c>
      <c r="D7473" s="1">
        <v>44222</v>
      </c>
      <c r="E7473">
        <v>5</v>
      </c>
      <c r="F7473" t="s">
        <v>217</v>
      </c>
      <c r="G7473" t="str">
        <f>"00-M03-04"</f>
        <v>00-M03-04</v>
      </c>
      <c r="H7473">
        <v>25.3432</v>
      </c>
      <c r="I7473" t="s">
        <v>5363</v>
      </c>
      <c r="J7473" t="s">
        <v>14</v>
      </c>
      <c r="K7473" t="str">
        <f>"5T1"</f>
        <v>5T1</v>
      </c>
      <c r="L7473" t="s">
        <v>15</v>
      </c>
    </row>
    <row r="7474" spans="1:12" x14ac:dyDescent="0.25">
      <c r="A7474" t="str">
        <f>"6005210783"</f>
        <v>6005210783</v>
      </c>
      <c r="B7474" t="str">
        <f t="shared" si="345"/>
        <v>89301000</v>
      </c>
      <c r="C7474" s="1">
        <v>44523</v>
      </c>
      <c r="D7474" s="1">
        <v>44526</v>
      </c>
      <c r="E7474">
        <v>1</v>
      </c>
      <c r="F7474" t="s">
        <v>2729</v>
      </c>
      <c r="G7474" t="str">
        <f>"04-M02-04"</f>
        <v>04-M02-04</v>
      </c>
      <c r="H7474">
        <v>0.7238</v>
      </c>
      <c r="I7474" t="s">
        <v>5364</v>
      </c>
      <c r="J7474" t="s">
        <v>14</v>
      </c>
      <c r="K7474" t="str">
        <f>"2F5"</f>
        <v>2F5</v>
      </c>
      <c r="L7474" t="s">
        <v>15</v>
      </c>
    </row>
    <row r="7475" spans="1:12" x14ac:dyDescent="0.25">
      <c r="A7475" t="str">
        <f>"6005226590"</f>
        <v>6005226590</v>
      </c>
      <c r="B7475" t="str">
        <f t="shared" si="345"/>
        <v>89301000</v>
      </c>
      <c r="C7475" s="1">
        <v>44307</v>
      </c>
      <c r="D7475" s="1">
        <v>44312</v>
      </c>
      <c r="E7475">
        <v>1</v>
      </c>
      <c r="F7475" t="s">
        <v>2637</v>
      </c>
      <c r="G7475" t="str">
        <f>"23-K05-01"</f>
        <v>23-K05-01</v>
      </c>
      <c r="H7475">
        <v>0.56999999999999995</v>
      </c>
      <c r="I7475" t="s">
        <v>2638</v>
      </c>
      <c r="J7475" t="s">
        <v>14</v>
      </c>
      <c r="K7475" t="str">
        <f>"4F7"</f>
        <v>4F7</v>
      </c>
      <c r="L7475" t="s">
        <v>15</v>
      </c>
    </row>
    <row r="7476" spans="1:12" x14ac:dyDescent="0.25">
      <c r="A7476" t="str">
        <f>"6005250966"</f>
        <v>6005250966</v>
      </c>
      <c r="B7476" t="str">
        <f t="shared" si="345"/>
        <v>89301000</v>
      </c>
      <c r="C7476" s="1">
        <v>44483</v>
      </c>
      <c r="D7476" s="1">
        <v>44494</v>
      </c>
      <c r="E7476">
        <v>1</v>
      </c>
      <c r="F7476" t="s">
        <v>1558</v>
      </c>
      <c r="G7476" t="str">
        <f>"05-I12-03"</f>
        <v>05-I12-03</v>
      </c>
      <c r="H7476">
        <v>6.4964000000000004</v>
      </c>
      <c r="I7476" t="s">
        <v>5365</v>
      </c>
      <c r="J7476" t="s">
        <v>17</v>
      </c>
      <c r="K7476" t="str">
        <f>"5F5"</f>
        <v>5F5</v>
      </c>
      <c r="L7476" t="s">
        <v>15</v>
      </c>
    </row>
    <row r="7477" spans="1:12" x14ac:dyDescent="0.25">
      <c r="A7477" t="str">
        <f>"6005250966"</f>
        <v>6005250966</v>
      </c>
      <c r="B7477" t="str">
        <f t="shared" si="345"/>
        <v>89301000</v>
      </c>
      <c r="C7477" s="1">
        <v>44439</v>
      </c>
      <c r="D7477" s="1">
        <v>44440</v>
      </c>
      <c r="E7477">
        <v>1</v>
      </c>
      <c r="F7477" t="s">
        <v>1558</v>
      </c>
      <c r="G7477" t="str">
        <f>"05-D01-06"</f>
        <v>05-D01-06</v>
      </c>
      <c r="H7477">
        <v>0.7611</v>
      </c>
      <c r="J7477" t="s">
        <v>14</v>
      </c>
      <c r="K7477" t="str">
        <f>"1F1"</f>
        <v>1F1</v>
      </c>
      <c r="L7477" t="s">
        <v>15</v>
      </c>
    </row>
    <row r="7478" spans="1:12" x14ac:dyDescent="0.25">
      <c r="A7478" t="str">
        <f>"6005310839"</f>
        <v>6005310839</v>
      </c>
      <c r="B7478" t="str">
        <f t="shared" si="345"/>
        <v>89301000</v>
      </c>
      <c r="C7478" s="1">
        <v>44516</v>
      </c>
      <c r="D7478" s="1">
        <v>44533</v>
      </c>
      <c r="E7478">
        <v>1</v>
      </c>
      <c r="F7478" t="s">
        <v>109</v>
      </c>
      <c r="G7478" t="str">
        <f>"24-M07-02"</f>
        <v>24-M07-02</v>
      </c>
      <c r="H7478">
        <v>1.5094000000000001</v>
      </c>
      <c r="I7478" t="s">
        <v>5366</v>
      </c>
      <c r="J7478" t="s">
        <v>14</v>
      </c>
      <c r="K7478" t="str">
        <f>"2F1"</f>
        <v>2F1</v>
      </c>
      <c r="L7478" t="s">
        <v>15</v>
      </c>
    </row>
    <row r="7479" spans="1:12" x14ac:dyDescent="0.25">
      <c r="A7479" t="str">
        <f>"6005310839"</f>
        <v>6005310839</v>
      </c>
      <c r="B7479" t="str">
        <f t="shared" si="345"/>
        <v>89301000</v>
      </c>
      <c r="C7479" s="1">
        <v>44510</v>
      </c>
      <c r="D7479" s="1">
        <v>44516</v>
      </c>
      <c r="E7479">
        <v>3</v>
      </c>
      <c r="F7479" t="s">
        <v>3071</v>
      </c>
      <c r="G7479" t="str">
        <f>"08-I05-04"</f>
        <v>08-I05-04</v>
      </c>
      <c r="H7479">
        <v>2.4581</v>
      </c>
      <c r="I7479" t="s">
        <v>168</v>
      </c>
      <c r="J7479" t="s">
        <v>17</v>
      </c>
      <c r="K7479" t="str">
        <f>"6F6"</f>
        <v>6F6</v>
      </c>
      <c r="L7479" t="s">
        <v>15</v>
      </c>
    </row>
    <row r="7480" spans="1:12" x14ac:dyDescent="0.25">
      <c r="A7480" t="str">
        <f>"6006021703"</f>
        <v>6006021703</v>
      </c>
      <c r="B7480" t="str">
        <f t="shared" si="345"/>
        <v>89301000</v>
      </c>
      <c r="C7480" s="1">
        <v>44389</v>
      </c>
      <c r="D7480" s="1">
        <v>44396</v>
      </c>
      <c r="E7480">
        <v>1</v>
      </c>
      <c r="F7480" t="s">
        <v>3083</v>
      </c>
      <c r="G7480" t="str">
        <f>"04-I09-02"</f>
        <v>04-I09-02</v>
      </c>
      <c r="H7480">
        <v>0.93210000000000004</v>
      </c>
      <c r="I7480" t="s">
        <v>5367</v>
      </c>
      <c r="J7480" t="s">
        <v>14</v>
      </c>
      <c r="K7480" t="str">
        <f>"5F1"</f>
        <v>5F1</v>
      </c>
      <c r="L7480" t="s">
        <v>15</v>
      </c>
    </row>
    <row r="7481" spans="1:12" x14ac:dyDescent="0.25">
      <c r="A7481" t="str">
        <f>"6006050765"</f>
        <v>6006050765</v>
      </c>
      <c r="B7481" t="str">
        <f t="shared" si="345"/>
        <v>89301000</v>
      </c>
      <c r="C7481" s="1">
        <v>44318</v>
      </c>
      <c r="D7481" s="1">
        <v>44324</v>
      </c>
      <c r="E7481">
        <v>1</v>
      </c>
      <c r="F7481" t="s">
        <v>2648</v>
      </c>
      <c r="G7481" t="str">
        <f>"06-I12-03"</f>
        <v>06-I12-03</v>
      </c>
      <c r="H7481">
        <v>1.8894</v>
      </c>
      <c r="I7481" t="s">
        <v>5368</v>
      </c>
      <c r="J7481" t="s">
        <v>14</v>
      </c>
      <c r="K7481" t="str">
        <f>"5F1"</f>
        <v>5F1</v>
      </c>
      <c r="L7481" t="s">
        <v>15</v>
      </c>
    </row>
    <row r="7482" spans="1:12" x14ac:dyDescent="0.25">
      <c r="A7482" t="str">
        <f>"6006050787"</f>
        <v>6006050787</v>
      </c>
      <c r="B7482" t="str">
        <f t="shared" si="345"/>
        <v>89301000</v>
      </c>
      <c r="C7482" s="1">
        <v>44195</v>
      </c>
      <c r="D7482" s="1">
        <v>44197</v>
      </c>
      <c r="E7482">
        <v>1</v>
      </c>
      <c r="F7482" t="s">
        <v>2004</v>
      </c>
      <c r="G7482" t="str">
        <f>"05-M06-06"</f>
        <v>05-M06-06</v>
      </c>
      <c r="H7482">
        <v>1.7652000000000001</v>
      </c>
      <c r="I7482" t="s">
        <v>1892</v>
      </c>
      <c r="J7482" t="s">
        <v>17</v>
      </c>
      <c r="K7482" t="str">
        <f>"1F1"</f>
        <v>1F1</v>
      </c>
      <c r="L7482" t="s">
        <v>15</v>
      </c>
    </row>
    <row r="7483" spans="1:12" x14ac:dyDescent="0.25">
      <c r="A7483" t="str">
        <f>"6006050787"</f>
        <v>6006050787</v>
      </c>
      <c r="B7483" t="str">
        <f t="shared" ref="B7483:B7546" si="352">"89301000"</f>
        <v>89301000</v>
      </c>
      <c r="C7483" s="1">
        <v>44286</v>
      </c>
      <c r="D7483" s="1">
        <v>44286</v>
      </c>
      <c r="E7483">
        <v>1</v>
      </c>
      <c r="F7483" t="s">
        <v>2004</v>
      </c>
      <c r="G7483" t="str">
        <f>"05-M06-06"</f>
        <v>05-M06-06</v>
      </c>
      <c r="H7483">
        <v>1.2576000000000001</v>
      </c>
      <c r="J7483" t="s">
        <v>17</v>
      </c>
      <c r="K7483" t="str">
        <f>"1F1"</f>
        <v>1F1</v>
      </c>
      <c r="L7483" t="s">
        <v>15</v>
      </c>
    </row>
    <row r="7484" spans="1:12" x14ac:dyDescent="0.25">
      <c r="A7484" t="str">
        <f>"6006060522"</f>
        <v>6006060522</v>
      </c>
      <c r="B7484" t="str">
        <f t="shared" si="352"/>
        <v>89301000</v>
      </c>
      <c r="C7484" s="1">
        <v>44552</v>
      </c>
      <c r="D7484" s="1">
        <v>44553</v>
      </c>
      <c r="E7484">
        <v>1</v>
      </c>
      <c r="F7484" t="s">
        <v>2360</v>
      </c>
      <c r="G7484" t="str">
        <f>"06-M01-05"</f>
        <v>06-M01-05</v>
      </c>
      <c r="H7484">
        <v>0.41710000000000003</v>
      </c>
      <c r="I7484" t="s">
        <v>5369</v>
      </c>
      <c r="J7484" t="s">
        <v>14</v>
      </c>
      <c r="K7484" t="str">
        <f>"1F5"</f>
        <v>1F5</v>
      </c>
      <c r="L7484" t="s">
        <v>15</v>
      </c>
    </row>
    <row r="7485" spans="1:12" x14ac:dyDescent="0.25">
      <c r="A7485" t="str">
        <f>"6006101673"</f>
        <v>6006101673</v>
      </c>
      <c r="B7485" t="str">
        <f t="shared" si="352"/>
        <v>89301000</v>
      </c>
      <c r="C7485" s="1">
        <v>44308</v>
      </c>
      <c r="D7485" s="1">
        <v>44320</v>
      </c>
      <c r="E7485">
        <v>1</v>
      </c>
      <c r="F7485" t="s">
        <v>888</v>
      </c>
      <c r="G7485" t="str">
        <f>"07-M02-04"</f>
        <v>07-M02-04</v>
      </c>
      <c r="H7485">
        <v>0.93259999999999998</v>
      </c>
      <c r="I7485" t="s">
        <v>5370</v>
      </c>
      <c r="J7485" t="s">
        <v>17</v>
      </c>
      <c r="K7485" t="str">
        <f>"1F5"</f>
        <v>1F5</v>
      </c>
      <c r="L7485" t="s">
        <v>15</v>
      </c>
    </row>
    <row r="7486" spans="1:12" x14ac:dyDescent="0.25">
      <c r="A7486" t="str">
        <f>"6006101673"</f>
        <v>6006101673</v>
      </c>
      <c r="B7486" t="str">
        <f t="shared" si="352"/>
        <v>89301000</v>
      </c>
      <c r="C7486" s="1">
        <v>44347</v>
      </c>
      <c r="D7486" s="1">
        <v>44362</v>
      </c>
      <c r="E7486">
        <v>1</v>
      </c>
      <c r="F7486" t="s">
        <v>1953</v>
      </c>
      <c r="G7486" t="str">
        <f>"07-M02-03"</f>
        <v>07-M02-03</v>
      </c>
      <c r="H7486">
        <v>1.2850999999999999</v>
      </c>
      <c r="I7486" t="s">
        <v>1561</v>
      </c>
      <c r="J7486" t="s">
        <v>17</v>
      </c>
      <c r="K7486" t="str">
        <f>"5F1"</f>
        <v>5F1</v>
      </c>
      <c r="L7486" t="s">
        <v>15</v>
      </c>
    </row>
    <row r="7487" spans="1:12" x14ac:dyDescent="0.25">
      <c r="A7487" t="str">
        <f>"6006111353"</f>
        <v>6006111353</v>
      </c>
      <c r="B7487" t="str">
        <f t="shared" si="352"/>
        <v>89301000</v>
      </c>
      <c r="C7487" s="1">
        <v>44201</v>
      </c>
      <c r="D7487" s="1">
        <v>44202</v>
      </c>
      <c r="E7487">
        <v>1</v>
      </c>
      <c r="F7487" t="s">
        <v>41</v>
      </c>
      <c r="G7487" t="str">
        <f>"01-D01-03"</f>
        <v>01-D01-03</v>
      </c>
      <c r="H7487">
        <v>0.158</v>
      </c>
      <c r="I7487" t="s">
        <v>5371</v>
      </c>
      <c r="J7487" t="s">
        <v>14</v>
      </c>
      <c r="K7487" t="str">
        <f>"2F5"</f>
        <v>2F5</v>
      </c>
      <c r="L7487" t="s">
        <v>15</v>
      </c>
    </row>
    <row r="7488" spans="1:12" x14ac:dyDescent="0.25">
      <c r="A7488" t="str">
        <f>"6006220572"</f>
        <v>6006220572</v>
      </c>
      <c r="B7488" t="str">
        <f t="shared" si="352"/>
        <v>89301000</v>
      </c>
      <c r="C7488" s="1">
        <v>44425</v>
      </c>
      <c r="D7488" s="1">
        <v>44432</v>
      </c>
      <c r="E7488">
        <v>1</v>
      </c>
      <c r="F7488" t="s">
        <v>1553</v>
      </c>
      <c r="G7488" t="str">
        <f>"04-K05-02"</f>
        <v>04-K05-02</v>
      </c>
      <c r="H7488">
        <v>1.2657</v>
      </c>
      <c r="I7488" t="s">
        <v>5372</v>
      </c>
      <c r="J7488" t="s">
        <v>14</v>
      </c>
      <c r="K7488" t="str">
        <f>"1F1"</f>
        <v>1F1</v>
      </c>
      <c r="L7488" t="s">
        <v>15</v>
      </c>
    </row>
    <row r="7489" spans="1:12" x14ac:dyDescent="0.25">
      <c r="A7489" t="str">
        <f>"6006280830"</f>
        <v>6006280830</v>
      </c>
      <c r="B7489" t="str">
        <f t="shared" si="352"/>
        <v>89301000</v>
      </c>
      <c r="C7489" s="1">
        <v>44335</v>
      </c>
      <c r="D7489" s="1">
        <v>44341</v>
      </c>
      <c r="E7489">
        <v>1</v>
      </c>
      <c r="F7489" t="s">
        <v>2931</v>
      </c>
      <c r="G7489" t="str">
        <f>"07-K04-03"</f>
        <v>07-K04-03</v>
      </c>
      <c r="H7489">
        <v>1.0898000000000001</v>
      </c>
      <c r="I7489" t="s">
        <v>5373</v>
      </c>
      <c r="J7489" t="s">
        <v>14</v>
      </c>
      <c r="K7489" t="str">
        <f>"1F5"</f>
        <v>1F5</v>
      </c>
      <c r="L7489" t="s">
        <v>15</v>
      </c>
    </row>
    <row r="7490" spans="1:12" x14ac:dyDescent="0.25">
      <c r="A7490" t="str">
        <f>"6006280830"</f>
        <v>6006280830</v>
      </c>
      <c r="B7490" t="str">
        <f t="shared" si="352"/>
        <v>89301000</v>
      </c>
      <c r="C7490" s="1">
        <v>44517</v>
      </c>
      <c r="D7490" s="1">
        <v>44526</v>
      </c>
      <c r="E7490">
        <v>1</v>
      </c>
      <c r="F7490" t="s">
        <v>479</v>
      </c>
      <c r="G7490" t="str">
        <f>"18-K01-06"</f>
        <v>18-K01-06</v>
      </c>
      <c r="H7490">
        <v>1.4033</v>
      </c>
      <c r="I7490" t="s">
        <v>5374</v>
      </c>
      <c r="J7490" t="s">
        <v>14</v>
      </c>
      <c r="K7490" t="str">
        <f>"1F5"</f>
        <v>1F5</v>
      </c>
      <c r="L7490" t="s">
        <v>15</v>
      </c>
    </row>
    <row r="7491" spans="1:12" x14ac:dyDescent="0.25">
      <c r="A7491" t="str">
        <f>"6006280830"</f>
        <v>6006280830</v>
      </c>
      <c r="B7491" t="str">
        <f t="shared" si="352"/>
        <v>89301000</v>
      </c>
      <c r="C7491" s="1">
        <v>44421</v>
      </c>
      <c r="D7491" s="1">
        <v>44428</v>
      </c>
      <c r="E7491">
        <v>1</v>
      </c>
      <c r="F7491" t="s">
        <v>2931</v>
      </c>
      <c r="G7491" t="str">
        <f>"07-K04-03"</f>
        <v>07-K04-03</v>
      </c>
      <c r="H7491">
        <v>1.0898000000000001</v>
      </c>
      <c r="I7491" t="s">
        <v>5375</v>
      </c>
      <c r="J7491" t="s">
        <v>14</v>
      </c>
      <c r="K7491" t="str">
        <f>"1F1"</f>
        <v>1F1</v>
      </c>
      <c r="L7491" t="s">
        <v>15</v>
      </c>
    </row>
    <row r="7492" spans="1:12" x14ac:dyDescent="0.25">
      <c r="A7492" t="str">
        <f>"6006280830"</f>
        <v>6006280830</v>
      </c>
      <c r="B7492" t="str">
        <f t="shared" si="352"/>
        <v>89301000</v>
      </c>
      <c r="C7492" s="1">
        <v>44397</v>
      </c>
      <c r="D7492" s="1">
        <v>44400</v>
      </c>
      <c r="E7492">
        <v>1</v>
      </c>
      <c r="F7492" t="s">
        <v>2931</v>
      </c>
      <c r="G7492" t="str">
        <f>"07-I06-01"</f>
        <v>07-I06-01</v>
      </c>
      <c r="H7492">
        <v>5.3661000000000003</v>
      </c>
      <c r="I7492" t="s">
        <v>5376</v>
      </c>
      <c r="J7492" t="s">
        <v>17</v>
      </c>
      <c r="K7492" t="str">
        <f>"1F5"</f>
        <v>1F5</v>
      </c>
      <c r="L7492" t="s">
        <v>15</v>
      </c>
    </row>
    <row r="7493" spans="1:12" x14ac:dyDescent="0.25">
      <c r="A7493" t="str">
        <f>"6006280830"</f>
        <v>6006280830</v>
      </c>
      <c r="B7493" t="str">
        <f t="shared" si="352"/>
        <v>89301000</v>
      </c>
      <c r="C7493" s="1">
        <v>44256</v>
      </c>
      <c r="D7493" s="1">
        <v>44264</v>
      </c>
      <c r="E7493">
        <v>1</v>
      </c>
      <c r="F7493" t="s">
        <v>2931</v>
      </c>
      <c r="G7493" t="str">
        <f>"07-K04-03"</f>
        <v>07-K04-03</v>
      </c>
      <c r="H7493">
        <v>1.0898000000000001</v>
      </c>
      <c r="I7493" t="s">
        <v>5377</v>
      </c>
      <c r="J7493" t="s">
        <v>14</v>
      </c>
      <c r="K7493" t="str">
        <f>"1F5"</f>
        <v>1F5</v>
      </c>
      <c r="L7493" t="s">
        <v>15</v>
      </c>
    </row>
    <row r="7494" spans="1:12" x14ac:dyDescent="0.25">
      <c r="A7494" t="str">
        <f>"6006290840"</f>
        <v>6006290840</v>
      </c>
      <c r="B7494" t="str">
        <f t="shared" si="352"/>
        <v>89301000</v>
      </c>
      <c r="C7494" s="1">
        <v>44342</v>
      </c>
      <c r="D7494" s="1">
        <v>44344</v>
      </c>
      <c r="E7494">
        <v>1</v>
      </c>
      <c r="F7494" t="s">
        <v>2221</v>
      </c>
      <c r="G7494" t="str">
        <f>"06-C02-03"</f>
        <v>06-C02-03</v>
      </c>
      <c r="H7494">
        <v>0.25769999999999998</v>
      </c>
      <c r="I7494" t="s">
        <v>541</v>
      </c>
      <c r="J7494" t="s">
        <v>14</v>
      </c>
      <c r="K7494" t="str">
        <f>"4F2"</f>
        <v>4F2</v>
      </c>
      <c r="L7494" t="s">
        <v>15</v>
      </c>
    </row>
    <row r="7495" spans="1:12" x14ac:dyDescent="0.25">
      <c r="A7495" t="str">
        <f>"6006290840"</f>
        <v>6006290840</v>
      </c>
      <c r="B7495" t="str">
        <f t="shared" si="352"/>
        <v>89301000</v>
      </c>
      <c r="C7495" s="1">
        <v>44328</v>
      </c>
      <c r="D7495" s="1">
        <v>44331</v>
      </c>
      <c r="E7495">
        <v>1</v>
      </c>
      <c r="F7495" t="s">
        <v>2221</v>
      </c>
      <c r="G7495" t="str">
        <f>"06-C02-03"</f>
        <v>06-C02-03</v>
      </c>
      <c r="H7495">
        <v>0.25769999999999998</v>
      </c>
      <c r="I7495" t="s">
        <v>5378</v>
      </c>
      <c r="J7495" t="s">
        <v>14</v>
      </c>
      <c r="K7495" t="str">
        <f>"4F2"</f>
        <v>4F2</v>
      </c>
      <c r="L7495" t="s">
        <v>15</v>
      </c>
    </row>
    <row r="7496" spans="1:12" x14ac:dyDescent="0.25">
      <c r="A7496" t="str">
        <f>"6006290840"</f>
        <v>6006290840</v>
      </c>
      <c r="B7496" t="str">
        <f t="shared" si="352"/>
        <v>89301000</v>
      </c>
      <c r="C7496" s="1">
        <v>44449</v>
      </c>
      <c r="D7496" s="1">
        <v>44456</v>
      </c>
      <c r="E7496">
        <v>1</v>
      </c>
      <c r="F7496" t="s">
        <v>2221</v>
      </c>
      <c r="G7496" t="str">
        <f>"06-C02-03"</f>
        <v>06-C02-03</v>
      </c>
      <c r="H7496">
        <v>0.38290000000000002</v>
      </c>
      <c r="I7496" t="s">
        <v>541</v>
      </c>
      <c r="J7496" t="s">
        <v>14</v>
      </c>
      <c r="K7496" t="str">
        <f>"4F2"</f>
        <v>4F2</v>
      </c>
      <c r="L7496" t="s">
        <v>15</v>
      </c>
    </row>
    <row r="7497" spans="1:12" x14ac:dyDescent="0.25">
      <c r="A7497" t="str">
        <f>"6006290840"</f>
        <v>6006290840</v>
      </c>
      <c r="B7497" t="str">
        <f t="shared" si="352"/>
        <v>89301000</v>
      </c>
      <c r="C7497" s="1">
        <v>44370</v>
      </c>
      <c r="D7497" s="1">
        <v>44372</v>
      </c>
      <c r="E7497">
        <v>1</v>
      </c>
      <c r="F7497" t="s">
        <v>2221</v>
      </c>
      <c r="G7497" t="str">
        <f>"06-C02-03"</f>
        <v>06-C02-03</v>
      </c>
      <c r="H7497">
        <v>0.25769999999999998</v>
      </c>
      <c r="I7497" t="s">
        <v>541</v>
      </c>
      <c r="J7497" t="s">
        <v>14</v>
      </c>
      <c r="K7497" t="str">
        <f>"4F2"</f>
        <v>4F2</v>
      </c>
      <c r="L7497" t="s">
        <v>15</v>
      </c>
    </row>
    <row r="7498" spans="1:12" x14ac:dyDescent="0.25">
      <c r="A7498" t="str">
        <f>"6006290840"</f>
        <v>6006290840</v>
      </c>
      <c r="B7498" t="str">
        <f t="shared" si="352"/>
        <v>89301000</v>
      </c>
      <c r="C7498" s="1">
        <v>44356</v>
      </c>
      <c r="D7498" s="1">
        <v>44359</v>
      </c>
      <c r="E7498">
        <v>1</v>
      </c>
      <c r="F7498" t="s">
        <v>2221</v>
      </c>
      <c r="G7498" t="str">
        <f>"06-C02-03"</f>
        <v>06-C02-03</v>
      </c>
      <c r="H7498">
        <v>0.25769999999999998</v>
      </c>
      <c r="I7498" t="s">
        <v>5379</v>
      </c>
      <c r="J7498" t="s">
        <v>14</v>
      </c>
      <c r="K7498" t="str">
        <f>"4F2"</f>
        <v>4F2</v>
      </c>
      <c r="L7498" t="s">
        <v>15</v>
      </c>
    </row>
    <row r="7499" spans="1:12" x14ac:dyDescent="0.25">
      <c r="A7499" t="str">
        <f>"6007011912"</f>
        <v>6007011912</v>
      </c>
      <c r="B7499" t="str">
        <f t="shared" si="352"/>
        <v>89301000</v>
      </c>
      <c r="C7499" s="1">
        <v>44504</v>
      </c>
      <c r="D7499" s="1">
        <v>44505</v>
      </c>
      <c r="E7499">
        <v>1</v>
      </c>
      <c r="F7499" t="s">
        <v>174</v>
      </c>
      <c r="G7499" t="str">
        <f>"12-I14-00"</f>
        <v>12-I14-00</v>
      </c>
      <c r="H7499">
        <v>0.44350000000000001</v>
      </c>
      <c r="I7499" t="s">
        <v>489</v>
      </c>
      <c r="J7499" t="s">
        <v>14</v>
      </c>
      <c r="K7499" t="str">
        <f>"7F6"</f>
        <v>7F6</v>
      </c>
      <c r="L7499" t="s">
        <v>15</v>
      </c>
    </row>
    <row r="7500" spans="1:12" x14ac:dyDescent="0.25">
      <c r="A7500" t="str">
        <f>"6007030271"</f>
        <v>6007030271</v>
      </c>
      <c r="B7500" t="str">
        <f t="shared" si="352"/>
        <v>89301000</v>
      </c>
      <c r="C7500" s="1">
        <v>44249</v>
      </c>
      <c r="D7500" s="1">
        <v>44260</v>
      </c>
      <c r="E7500">
        <v>1</v>
      </c>
      <c r="F7500" t="s">
        <v>979</v>
      </c>
      <c r="G7500" t="str">
        <f>"04-K02-04"</f>
        <v>04-K02-04</v>
      </c>
      <c r="H7500">
        <v>0.82469999999999999</v>
      </c>
      <c r="I7500" t="s">
        <v>5380</v>
      </c>
      <c r="J7500" t="s">
        <v>14</v>
      </c>
      <c r="K7500" t="str">
        <f>"2F5"</f>
        <v>2F5</v>
      </c>
      <c r="L7500" t="s">
        <v>15</v>
      </c>
    </row>
    <row r="7501" spans="1:12" x14ac:dyDescent="0.25">
      <c r="A7501" t="str">
        <f>"6007151953"</f>
        <v>6007151953</v>
      </c>
      <c r="B7501" t="str">
        <f t="shared" si="352"/>
        <v>89301000</v>
      </c>
      <c r="C7501" s="1">
        <v>44304</v>
      </c>
      <c r="D7501" s="1">
        <v>44306</v>
      </c>
      <c r="E7501">
        <v>1</v>
      </c>
      <c r="F7501" t="s">
        <v>4196</v>
      </c>
      <c r="G7501" t="str">
        <f>"08-M03-02"</f>
        <v>08-M03-02</v>
      </c>
      <c r="H7501">
        <v>0.86970000000000003</v>
      </c>
      <c r="J7501" t="s">
        <v>14</v>
      </c>
      <c r="K7501" t="str">
        <f>"6F6"</f>
        <v>6F6</v>
      </c>
      <c r="L7501" t="s">
        <v>15</v>
      </c>
    </row>
    <row r="7502" spans="1:12" x14ac:dyDescent="0.25">
      <c r="A7502" t="str">
        <f>"6007171874"</f>
        <v>6007171874</v>
      </c>
      <c r="B7502" t="str">
        <f t="shared" si="352"/>
        <v>89301000</v>
      </c>
      <c r="C7502" s="1">
        <v>44417</v>
      </c>
      <c r="D7502" s="1">
        <v>44418</v>
      </c>
      <c r="E7502">
        <v>1</v>
      </c>
      <c r="F7502" t="s">
        <v>1650</v>
      </c>
      <c r="G7502" t="str">
        <f>"05-D01-06"</f>
        <v>05-D01-06</v>
      </c>
      <c r="H7502">
        <v>0.7611</v>
      </c>
      <c r="I7502" t="s">
        <v>3692</v>
      </c>
      <c r="J7502" t="s">
        <v>14</v>
      </c>
      <c r="K7502" t="str">
        <f>"1F1"</f>
        <v>1F1</v>
      </c>
      <c r="L7502" t="s">
        <v>15</v>
      </c>
    </row>
    <row r="7503" spans="1:12" x14ac:dyDescent="0.25">
      <c r="A7503" t="str">
        <f>"6007211782"</f>
        <v>6007211782</v>
      </c>
      <c r="B7503" t="str">
        <f t="shared" si="352"/>
        <v>89301000</v>
      </c>
      <c r="C7503" s="1">
        <v>44201</v>
      </c>
      <c r="D7503" s="1">
        <v>44218</v>
      </c>
      <c r="E7503">
        <v>1</v>
      </c>
      <c r="F7503" t="s">
        <v>109</v>
      </c>
      <c r="G7503" t="str">
        <f>"24-M07-02"</f>
        <v>24-M07-02</v>
      </c>
      <c r="H7503">
        <v>1.5094000000000001</v>
      </c>
      <c r="I7503" t="s">
        <v>5381</v>
      </c>
      <c r="J7503" t="s">
        <v>14</v>
      </c>
      <c r="K7503" t="str">
        <f>"2F1"</f>
        <v>2F1</v>
      </c>
      <c r="L7503" t="s">
        <v>15</v>
      </c>
    </row>
    <row r="7504" spans="1:12" x14ac:dyDescent="0.25">
      <c r="A7504" t="str">
        <f>"6007211782"</f>
        <v>6007211782</v>
      </c>
      <c r="B7504" t="str">
        <f t="shared" si="352"/>
        <v>89301000</v>
      </c>
      <c r="C7504" s="1">
        <v>44245</v>
      </c>
      <c r="D7504" s="1">
        <v>44247</v>
      </c>
      <c r="E7504">
        <v>1</v>
      </c>
      <c r="F7504" t="s">
        <v>5382</v>
      </c>
      <c r="G7504" t="str">
        <f>"88-I08-00"</f>
        <v>88-I08-00</v>
      </c>
      <c r="H7504">
        <v>0.11459999999999999</v>
      </c>
      <c r="I7504" t="s">
        <v>5383</v>
      </c>
      <c r="J7504" t="s">
        <v>14</v>
      </c>
      <c r="K7504" t="str">
        <f>"5F3"</f>
        <v>5F3</v>
      </c>
      <c r="L7504" t="s">
        <v>15</v>
      </c>
    </row>
    <row r="7505" spans="1:12" x14ac:dyDescent="0.25">
      <c r="A7505" t="str">
        <f>"6007271061"</f>
        <v>6007271061</v>
      </c>
      <c r="B7505" t="str">
        <f t="shared" si="352"/>
        <v>89301000</v>
      </c>
      <c r="C7505" s="1">
        <v>44208</v>
      </c>
      <c r="D7505" s="1">
        <v>44208</v>
      </c>
      <c r="E7505">
        <v>1</v>
      </c>
      <c r="F7505" t="s">
        <v>2457</v>
      </c>
      <c r="G7505" t="str">
        <f>"05-D01-08"</f>
        <v>05-D01-08</v>
      </c>
      <c r="H7505">
        <v>0.21890000000000001</v>
      </c>
      <c r="J7505" t="s">
        <v>14</v>
      </c>
      <c r="K7505" t="str">
        <f>"1F1"</f>
        <v>1F1</v>
      </c>
      <c r="L7505" t="s">
        <v>15</v>
      </c>
    </row>
    <row r="7506" spans="1:12" x14ac:dyDescent="0.25">
      <c r="A7506" t="str">
        <f>"6008030325"</f>
        <v>6008030325</v>
      </c>
      <c r="B7506" t="str">
        <f t="shared" si="352"/>
        <v>89301000</v>
      </c>
      <c r="C7506" s="1">
        <v>44340</v>
      </c>
      <c r="D7506" s="1">
        <v>44341</v>
      </c>
      <c r="E7506">
        <v>1</v>
      </c>
      <c r="F7506" t="s">
        <v>41</v>
      </c>
      <c r="G7506" t="str">
        <f>"01-D01-03"</f>
        <v>01-D01-03</v>
      </c>
      <c r="H7506">
        <v>0.158</v>
      </c>
      <c r="I7506" t="s">
        <v>5384</v>
      </c>
      <c r="J7506" t="s">
        <v>14</v>
      </c>
      <c r="K7506" t="str">
        <f>"2F5"</f>
        <v>2F5</v>
      </c>
      <c r="L7506" t="s">
        <v>15</v>
      </c>
    </row>
    <row r="7507" spans="1:12" x14ac:dyDescent="0.25">
      <c r="A7507" t="str">
        <f>"6008031513"</f>
        <v>6008031513</v>
      </c>
      <c r="B7507" t="str">
        <f t="shared" si="352"/>
        <v>89301000</v>
      </c>
      <c r="C7507" s="1">
        <v>44300</v>
      </c>
      <c r="D7507" s="1">
        <v>44302</v>
      </c>
      <c r="E7507">
        <v>1</v>
      </c>
      <c r="F7507" t="s">
        <v>1927</v>
      </c>
      <c r="G7507" t="str">
        <f>"05-I29-03"</f>
        <v>05-I29-03</v>
      </c>
      <c r="H7507">
        <v>0.94369999999999998</v>
      </c>
      <c r="I7507" t="s">
        <v>1588</v>
      </c>
      <c r="J7507" t="s">
        <v>14</v>
      </c>
      <c r="K7507" t="str">
        <f>"5F1"</f>
        <v>5F1</v>
      </c>
      <c r="L7507" t="s">
        <v>15</v>
      </c>
    </row>
    <row r="7508" spans="1:12" x14ac:dyDescent="0.25">
      <c r="A7508" t="str">
        <f>"6008141458"</f>
        <v>6008141458</v>
      </c>
      <c r="B7508" t="str">
        <f t="shared" si="352"/>
        <v>89301000</v>
      </c>
      <c r="C7508" s="1">
        <v>44255</v>
      </c>
      <c r="D7508" s="1">
        <v>44264</v>
      </c>
      <c r="E7508">
        <v>1</v>
      </c>
      <c r="F7508" t="s">
        <v>217</v>
      </c>
      <c r="G7508" t="str">
        <f>"00-M01-04"</f>
        <v>00-M01-04</v>
      </c>
      <c r="H7508">
        <v>6.85</v>
      </c>
      <c r="I7508" t="s">
        <v>5385</v>
      </c>
      <c r="J7508" t="s">
        <v>14</v>
      </c>
      <c r="K7508" t="str">
        <f>"5F1"</f>
        <v>5F1</v>
      </c>
      <c r="L7508" t="s">
        <v>15</v>
      </c>
    </row>
    <row r="7509" spans="1:12" x14ac:dyDescent="0.25">
      <c r="A7509" t="str">
        <f>"6008191937"</f>
        <v>6008191937</v>
      </c>
      <c r="B7509" t="str">
        <f t="shared" si="352"/>
        <v>89301000</v>
      </c>
      <c r="C7509" s="1">
        <v>44214</v>
      </c>
      <c r="D7509" s="1">
        <v>44214</v>
      </c>
      <c r="E7509">
        <v>1</v>
      </c>
      <c r="F7509" t="s">
        <v>2457</v>
      </c>
      <c r="G7509" t="str">
        <f>"05-D01-08"</f>
        <v>05-D01-08</v>
      </c>
      <c r="H7509">
        <v>0.21890000000000001</v>
      </c>
      <c r="I7509" t="s">
        <v>1620</v>
      </c>
      <c r="J7509" t="s">
        <v>14</v>
      </c>
      <c r="K7509" t="str">
        <f>"1F7"</f>
        <v>1F7</v>
      </c>
      <c r="L7509" t="s">
        <v>15</v>
      </c>
    </row>
    <row r="7510" spans="1:12" x14ac:dyDescent="0.25">
      <c r="A7510" t="str">
        <f>"6008211627"</f>
        <v>6008211627</v>
      </c>
      <c r="B7510" t="str">
        <f t="shared" si="352"/>
        <v>89301000</v>
      </c>
      <c r="C7510" s="1">
        <v>44423</v>
      </c>
      <c r="D7510" s="1">
        <v>44425</v>
      </c>
      <c r="E7510">
        <v>1</v>
      </c>
      <c r="F7510" t="s">
        <v>5386</v>
      </c>
      <c r="G7510" t="str">
        <f>"08-I17-02"</f>
        <v>08-I17-02</v>
      </c>
      <c r="H7510">
        <v>0.98309999999999997</v>
      </c>
      <c r="I7510" t="s">
        <v>5387</v>
      </c>
      <c r="J7510" t="s">
        <v>14</v>
      </c>
      <c r="K7510" t="str">
        <f>"5F3"</f>
        <v>5F3</v>
      </c>
      <c r="L7510" t="s">
        <v>15</v>
      </c>
    </row>
    <row r="7511" spans="1:12" x14ac:dyDescent="0.25">
      <c r="A7511" t="str">
        <f>"6008211627"</f>
        <v>6008211627</v>
      </c>
      <c r="B7511" t="str">
        <f t="shared" si="352"/>
        <v>89301000</v>
      </c>
      <c r="C7511" s="1">
        <v>44438</v>
      </c>
      <c r="D7511" s="1">
        <v>44440</v>
      </c>
      <c r="E7511">
        <v>1</v>
      </c>
      <c r="F7511" t="s">
        <v>5386</v>
      </c>
      <c r="G7511" t="str">
        <f>"08-I17-02"</f>
        <v>08-I17-02</v>
      </c>
      <c r="H7511">
        <v>1.0744</v>
      </c>
      <c r="I7511" t="s">
        <v>5388</v>
      </c>
      <c r="J7511" t="s">
        <v>14</v>
      </c>
      <c r="K7511" t="str">
        <f>"5F3"</f>
        <v>5F3</v>
      </c>
      <c r="L7511" t="s">
        <v>15</v>
      </c>
    </row>
    <row r="7512" spans="1:12" x14ac:dyDescent="0.25">
      <c r="A7512" t="str">
        <f>"6009041489"</f>
        <v>6009041489</v>
      </c>
      <c r="B7512" t="str">
        <f t="shared" si="352"/>
        <v>89301000</v>
      </c>
      <c r="C7512" s="1">
        <v>44211</v>
      </c>
      <c r="D7512" s="1">
        <v>44213</v>
      </c>
      <c r="E7512">
        <v>1</v>
      </c>
      <c r="F7512" t="s">
        <v>2111</v>
      </c>
      <c r="G7512" t="str">
        <f>"10-K15-02"</f>
        <v>10-K15-02</v>
      </c>
      <c r="H7512">
        <v>0.77639999999999998</v>
      </c>
      <c r="I7512" t="s">
        <v>5389</v>
      </c>
      <c r="J7512" t="s">
        <v>14</v>
      </c>
      <c r="K7512" t="str">
        <f>"2F5"</f>
        <v>2F5</v>
      </c>
      <c r="L7512" t="s">
        <v>15</v>
      </c>
    </row>
    <row r="7513" spans="1:12" x14ac:dyDescent="0.25">
      <c r="A7513" t="str">
        <f>"6009100713"</f>
        <v>6009100713</v>
      </c>
      <c r="B7513" t="str">
        <f t="shared" si="352"/>
        <v>89301000</v>
      </c>
      <c r="C7513" s="1">
        <v>44500</v>
      </c>
      <c r="D7513" s="1">
        <v>44502</v>
      </c>
      <c r="E7513">
        <v>1</v>
      </c>
      <c r="F7513" t="s">
        <v>1557</v>
      </c>
      <c r="G7513" t="str">
        <f>"05-I14-04"</f>
        <v>05-I14-04</v>
      </c>
      <c r="H7513">
        <v>5.4002999999999997</v>
      </c>
      <c r="I7513" t="s">
        <v>5390</v>
      </c>
      <c r="J7513" t="s">
        <v>14</v>
      </c>
      <c r="K7513" t="str">
        <f>"1F1"</f>
        <v>1F1</v>
      </c>
      <c r="L7513" t="s">
        <v>15</v>
      </c>
    </row>
    <row r="7514" spans="1:12" x14ac:dyDescent="0.25">
      <c r="A7514" t="str">
        <f>"6009161532"</f>
        <v>6009161532</v>
      </c>
      <c r="B7514" t="str">
        <f t="shared" si="352"/>
        <v>89301000</v>
      </c>
      <c r="C7514" s="1">
        <v>44452</v>
      </c>
      <c r="D7514" s="1">
        <v>44456</v>
      </c>
      <c r="E7514">
        <v>1</v>
      </c>
      <c r="F7514" t="s">
        <v>31</v>
      </c>
      <c r="G7514" t="str">
        <f>"08-I03-06"</f>
        <v>08-I03-06</v>
      </c>
      <c r="H7514">
        <v>3.3012000000000001</v>
      </c>
      <c r="I7514" t="s">
        <v>489</v>
      </c>
      <c r="J7514" t="s">
        <v>17</v>
      </c>
      <c r="K7514" t="str">
        <f>"5F6"</f>
        <v>5F6</v>
      </c>
      <c r="L7514" t="s">
        <v>15</v>
      </c>
    </row>
    <row r="7515" spans="1:12" x14ac:dyDescent="0.25">
      <c r="A7515" t="str">
        <f>"6009181035"</f>
        <v>6009181035</v>
      </c>
      <c r="B7515" t="str">
        <f t="shared" si="352"/>
        <v>89301000</v>
      </c>
      <c r="C7515" s="1">
        <v>44447</v>
      </c>
      <c r="D7515" s="1">
        <v>44454</v>
      </c>
      <c r="E7515">
        <v>1</v>
      </c>
      <c r="F7515" t="s">
        <v>1699</v>
      </c>
      <c r="G7515" t="str">
        <f>"01-K10-03"</f>
        <v>01-K10-03</v>
      </c>
      <c r="H7515">
        <v>1.0016</v>
      </c>
      <c r="I7515" t="s">
        <v>2391</v>
      </c>
      <c r="J7515" t="s">
        <v>14</v>
      </c>
      <c r="K7515" t="str">
        <f>"2F9"</f>
        <v>2F9</v>
      </c>
      <c r="L7515" t="s">
        <v>15</v>
      </c>
    </row>
    <row r="7516" spans="1:12" x14ac:dyDescent="0.25">
      <c r="A7516" t="str">
        <f>"6009250907"</f>
        <v>6009250907</v>
      </c>
      <c r="B7516" t="str">
        <f t="shared" si="352"/>
        <v>89301000</v>
      </c>
      <c r="C7516" s="1">
        <v>44229</v>
      </c>
      <c r="D7516" s="1">
        <v>44232</v>
      </c>
      <c r="E7516">
        <v>1</v>
      </c>
      <c r="F7516" t="s">
        <v>1545</v>
      </c>
      <c r="G7516" t="str">
        <f>"05-I14-01"</f>
        <v>05-I14-01</v>
      </c>
      <c r="H7516">
        <v>9.2492000000000001</v>
      </c>
      <c r="I7516" t="s">
        <v>5391</v>
      </c>
      <c r="J7516" t="s">
        <v>14</v>
      </c>
      <c r="K7516" t="str">
        <f>"1F1"</f>
        <v>1F1</v>
      </c>
      <c r="L7516" t="s">
        <v>15</v>
      </c>
    </row>
    <row r="7517" spans="1:12" x14ac:dyDescent="0.25">
      <c r="A7517" t="str">
        <f>"6009270751"</f>
        <v>6009270751</v>
      </c>
      <c r="B7517" t="str">
        <f t="shared" si="352"/>
        <v>89301000</v>
      </c>
      <c r="C7517" s="1">
        <v>44325</v>
      </c>
      <c r="D7517" s="1">
        <v>44328</v>
      </c>
      <c r="E7517">
        <v>1</v>
      </c>
      <c r="F7517" t="s">
        <v>496</v>
      </c>
      <c r="G7517" t="str">
        <f>"08-M03-05"</f>
        <v>08-M03-05</v>
      </c>
      <c r="H7517">
        <v>0.51759999999999995</v>
      </c>
      <c r="I7517" t="s">
        <v>5392</v>
      </c>
      <c r="J7517" t="s">
        <v>14</v>
      </c>
      <c r="K7517" t="str">
        <f>"6F6"</f>
        <v>6F6</v>
      </c>
      <c r="L7517" t="s">
        <v>15</v>
      </c>
    </row>
    <row r="7518" spans="1:12" x14ac:dyDescent="0.25">
      <c r="A7518" t="str">
        <f>"6009271730"</f>
        <v>6009271730</v>
      </c>
      <c r="B7518" t="str">
        <f t="shared" si="352"/>
        <v>89301000</v>
      </c>
      <c r="C7518" s="1">
        <v>44250</v>
      </c>
      <c r="D7518" s="1">
        <v>44250</v>
      </c>
      <c r="E7518">
        <v>1</v>
      </c>
      <c r="F7518" t="s">
        <v>1604</v>
      </c>
      <c r="G7518" t="str">
        <f>"05-I25-03"</f>
        <v>05-I25-03</v>
      </c>
      <c r="H7518">
        <v>1.2622</v>
      </c>
      <c r="J7518" t="s">
        <v>17</v>
      </c>
      <c r="K7518" t="str">
        <f>"1F1"</f>
        <v>1F1</v>
      </c>
      <c r="L7518" t="s">
        <v>15</v>
      </c>
    </row>
    <row r="7519" spans="1:12" x14ac:dyDescent="0.25">
      <c r="A7519" t="str">
        <f>"6009271730"</f>
        <v>6009271730</v>
      </c>
      <c r="B7519" t="str">
        <f t="shared" si="352"/>
        <v>89301000</v>
      </c>
      <c r="C7519" s="1">
        <v>44224</v>
      </c>
      <c r="D7519" s="1">
        <v>44228</v>
      </c>
      <c r="E7519">
        <v>1</v>
      </c>
      <c r="F7519" t="s">
        <v>2311</v>
      </c>
      <c r="G7519" t="str">
        <f>"08-K08-00"</f>
        <v>08-K08-00</v>
      </c>
      <c r="H7519">
        <v>0.51670000000000005</v>
      </c>
      <c r="I7519" t="s">
        <v>5393</v>
      </c>
      <c r="J7519" t="s">
        <v>14</v>
      </c>
      <c r="K7519" t="str">
        <f>"5F6"</f>
        <v>5F6</v>
      </c>
      <c r="L7519" t="s">
        <v>15</v>
      </c>
    </row>
    <row r="7520" spans="1:12" x14ac:dyDescent="0.25">
      <c r="A7520" t="str">
        <f>"6009302123"</f>
        <v>6009302123</v>
      </c>
      <c r="B7520" t="str">
        <f t="shared" si="352"/>
        <v>89301000</v>
      </c>
      <c r="C7520" s="1">
        <v>44301</v>
      </c>
      <c r="D7520" s="1">
        <v>44306</v>
      </c>
      <c r="E7520">
        <v>1</v>
      </c>
      <c r="F7520" t="s">
        <v>132</v>
      </c>
      <c r="G7520" t="str">
        <f>"03-K03-02"</f>
        <v>03-K03-02</v>
      </c>
      <c r="H7520">
        <v>0.49249999999999999</v>
      </c>
      <c r="I7520" t="s">
        <v>5394</v>
      </c>
      <c r="J7520" t="s">
        <v>14</v>
      </c>
      <c r="K7520" t="str">
        <f>"6F5"</f>
        <v>6F5</v>
      </c>
      <c r="L7520" t="s">
        <v>15</v>
      </c>
    </row>
    <row r="7521" spans="1:12" x14ac:dyDescent="0.25">
      <c r="A7521" t="str">
        <f>"6010051927"</f>
        <v>6010051927</v>
      </c>
      <c r="B7521" t="str">
        <f t="shared" si="352"/>
        <v>89301000</v>
      </c>
      <c r="C7521" s="1">
        <v>44377</v>
      </c>
      <c r="D7521" s="1">
        <v>44380</v>
      </c>
      <c r="E7521">
        <v>1</v>
      </c>
      <c r="F7521" t="s">
        <v>1340</v>
      </c>
      <c r="G7521" t="str">
        <f>"16-K02-03"</f>
        <v>16-K02-03</v>
      </c>
      <c r="H7521">
        <v>0.5302</v>
      </c>
      <c r="I7521" t="s">
        <v>5395</v>
      </c>
      <c r="J7521" t="s">
        <v>14</v>
      </c>
      <c r="K7521" t="str">
        <f>"1F7"</f>
        <v>1F7</v>
      </c>
      <c r="L7521" t="s">
        <v>15</v>
      </c>
    </row>
    <row r="7522" spans="1:12" x14ac:dyDescent="0.25">
      <c r="A7522" t="str">
        <f>"6010071485"</f>
        <v>6010071485</v>
      </c>
      <c r="B7522" t="str">
        <f t="shared" si="352"/>
        <v>89301000</v>
      </c>
      <c r="C7522" s="1">
        <v>44531</v>
      </c>
      <c r="D7522" s="1">
        <v>44533</v>
      </c>
      <c r="E7522">
        <v>1</v>
      </c>
      <c r="F7522" t="s">
        <v>1991</v>
      </c>
      <c r="G7522" t="str">
        <f>"88-I12-00"</f>
        <v>88-I12-00</v>
      </c>
      <c r="H7522">
        <v>0.11459999999999999</v>
      </c>
      <c r="I7522" t="s">
        <v>5396</v>
      </c>
      <c r="J7522" t="s">
        <v>14</v>
      </c>
      <c r="K7522" t="str">
        <f>"7F6"</f>
        <v>7F6</v>
      </c>
      <c r="L7522" t="s">
        <v>15</v>
      </c>
    </row>
    <row r="7523" spans="1:12" x14ac:dyDescent="0.25">
      <c r="A7523" t="str">
        <f>"6010151180"</f>
        <v>6010151180</v>
      </c>
      <c r="B7523" t="str">
        <f t="shared" si="352"/>
        <v>89301000</v>
      </c>
      <c r="C7523" s="1">
        <v>44320</v>
      </c>
      <c r="D7523" s="1">
        <v>44326</v>
      </c>
      <c r="E7523">
        <v>1</v>
      </c>
      <c r="F7523" t="s">
        <v>5397</v>
      </c>
      <c r="G7523" t="str">
        <f>"08-K01-01"</f>
        <v>08-K01-01</v>
      </c>
      <c r="H7523">
        <v>1.4826999999999999</v>
      </c>
      <c r="I7523" t="s">
        <v>5398</v>
      </c>
      <c r="J7523" t="s">
        <v>14</v>
      </c>
      <c r="K7523" t="str">
        <f>"1F9"</f>
        <v>1F9</v>
      </c>
      <c r="L7523" t="s">
        <v>15</v>
      </c>
    </row>
    <row r="7524" spans="1:12" x14ac:dyDescent="0.25">
      <c r="A7524" t="str">
        <f>"6010151180"</f>
        <v>6010151180</v>
      </c>
      <c r="B7524" t="str">
        <f t="shared" si="352"/>
        <v>89301000</v>
      </c>
      <c r="C7524" s="1">
        <v>44376</v>
      </c>
      <c r="D7524" s="1">
        <v>44380</v>
      </c>
      <c r="E7524">
        <v>1</v>
      </c>
      <c r="F7524" t="s">
        <v>5397</v>
      </c>
      <c r="G7524" t="str">
        <f>"08-K01-01"</f>
        <v>08-K01-01</v>
      </c>
      <c r="H7524">
        <v>1.4826999999999999</v>
      </c>
      <c r="I7524" t="s">
        <v>5398</v>
      </c>
      <c r="J7524" t="s">
        <v>14</v>
      </c>
      <c r="K7524" t="str">
        <f>"1F9"</f>
        <v>1F9</v>
      </c>
      <c r="L7524" t="s">
        <v>15</v>
      </c>
    </row>
    <row r="7525" spans="1:12" x14ac:dyDescent="0.25">
      <c r="A7525" t="str">
        <f>"6010151180"</f>
        <v>6010151180</v>
      </c>
      <c r="B7525" t="str">
        <f t="shared" si="352"/>
        <v>89301000</v>
      </c>
      <c r="C7525" s="1">
        <v>44420</v>
      </c>
      <c r="D7525" s="1">
        <v>44423</v>
      </c>
      <c r="E7525">
        <v>1</v>
      </c>
      <c r="F7525" t="s">
        <v>1555</v>
      </c>
      <c r="G7525" t="str">
        <f>"05-M07-04"</f>
        <v>05-M07-04</v>
      </c>
      <c r="H7525">
        <v>1.7799</v>
      </c>
      <c r="I7525" t="s">
        <v>5399</v>
      </c>
      <c r="J7525" t="s">
        <v>17</v>
      </c>
      <c r="K7525" t="str">
        <f>"5F1"</f>
        <v>5F1</v>
      </c>
      <c r="L7525" t="s">
        <v>15</v>
      </c>
    </row>
    <row r="7526" spans="1:12" x14ac:dyDescent="0.25">
      <c r="A7526" t="str">
        <f>"6010170309"</f>
        <v>6010170309</v>
      </c>
      <c r="B7526" t="str">
        <f t="shared" si="352"/>
        <v>89301000</v>
      </c>
      <c r="C7526" s="1">
        <v>44536</v>
      </c>
      <c r="D7526" s="1">
        <v>44538</v>
      </c>
      <c r="E7526">
        <v>1</v>
      </c>
      <c r="F7526" t="s">
        <v>5400</v>
      </c>
      <c r="G7526" t="str">
        <f>"03-K09-01"</f>
        <v>03-K09-01</v>
      </c>
      <c r="H7526">
        <v>0.59919999999999995</v>
      </c>
      <c r="I7526" t="s">
        <v>5401</v>
      </c>
      <c r="J7526" t="s">
        <v>14</v>
      </c>
      <c r="K7526" t="str">
        <f>"7F1"</f>
        <v>7F1</v>
      </c>
      <c r="L7526" t="s">
        <v>15</v>
      </c>
    </row>
    <row r="7527" spans="1:12" x14ac:dyDescent="0.25">
      <c r="A7527" t="str">
        <f>"6010170309"</f>
        <v>6010170309</v>
      </c>
      <c r="B7527" t="str">
        <f t="shared" si="352"/>
        <v>89301000</v>
      </c>
      <c r="C7527" s="1">
        <v>44550</v>
      </c>
      <c r="D7527" s="1">
        <v>44553</v>
      </c>
      <c r="E7527">
        <v>1</v>
      </c>
      <c r="F7527" t="s">
        <v>5402</v>
      </c>
      <c r="G7527" t="str">
        <f>"03-K09-01"</f>
        <v>03-K09-01</v>
      </c>
      <c r="H7527">
        <v>0.59919999999999995</v>
      </c>
      <c r="I7527" t="s">
        <v>5403</v>
      </c>
      <c r="J7527" t="s">
        <v>14</v>
      </c>
      <c r="K7527" t="str">
        <f>"7F1"</f>
        <v>7F1</v>
      </c>
      <c r="L7527" t="s">
        <v>15</v>
      </c>
    </row>
    <row r="7528" spans="1:12" x14ac:dyDescent="0.25">
      <c r="A7528" t="str">
        <f>"6010170309"</f>
        <v>6010170309</v>
      </c>
      <c r="B7528" t="str">
        <f t="shared" si="352"/>
        <v>89301000</v>
      </c>
      <c r="C7528" s="1">
        <v>44515</v>
      </c>
      <c r="D7528" s="1">
        <v>44517</v>
      </c>
      <c r="E7528">
        <v>1</v>
      </c>
      <c r="F7528" t="s">
        <v>5402</v>
      </c>
      <c r="G7528" t="str">
        <f>"03-K09-01"</f>
        <v>03-K09-01</v>
      </c>
      <c r="H7528">
        <v>0.59919999999999995</v>
      </c>
      <c r="I7528" t="s">
        <v>489</v>
      </c>
      <c r="J7528" t="s">
        <v>14</v>
      </c>
      <c r="K7528" t="str">
        <f>"7F1"</f>
        <v>7F1</v>
      </c>
      <c r="L7528" t="s">
        <v>15</v>
      </c>
    </row>
    <row r="7529" spans="1:12" x14ac:dyDescent="0.25">
      <c r="A7529" t="str">
        <f>"6010181606"</f>
        <v>6010181606</v>
      </c>
      <c r="B7529" t="str">
        <f t="shared" si="352"/>
        <v>89301000</v>
      </c>
      <c r="C7529" s="1">
        <v>44313</v>
      </c>
      <c r="D7529" s="1">
        <v>44315</v>
      </c>
      <c r="E7529">
        <v>1</v>
      </c>
      <c r="F7529" t="s">
        <v>1716</v>
      </c>
      <c r="G7529" t="str">
        <f>"11-M05-02"</f>
        <v>11-M05-02</v>
      </c>
      <c r="H7529">
        <v>0.65690000000000004</v>
      </c>
      <c r="I7529" t="s">
        <v>5404</v>
      </c>
      <c r="J7529" t="s">
        <v>17</v>
      </c>
      <c r="K7529" t="str">
        <f>"7F6"</f>
        <v>7F6</v>
      </c>
      <c r="L7529" t="s">
        <v>15</v>
      </c>
    </row>
    <row r="7530" spans="1:12" x14ac:dyDescent="0.25">
      <c r="A7530" t="str">
        <f>"6010200284"</f>
        <v>6010200284</v>
      </c>
      <c r="B7530" t="str">
        <f t="shared" si="352"/>
        <v>89301000</v>
      </c>
      <c r="C7530" s="1">
        <v>44454</v>
      </c>
      <c r="D7530" s="1">
        <v>44459</v>
      </c>
      <c r="E7530">
        <v>1</v>
      </c>
      <c r="F7530" t="s">
        <v>2270</v>
      </c>
      <c r="G7530" t="str">
        <f>"09-K03-01"</f>
        <v>09-K03-01</v>
      </c>
      <c r="H7530">
        <v>1.4508000000000001</v>
      </c>
      <c r="I7530" t="s">
        <v>5405</v>
      </c>
      <c r="J7530" t="s">
        <v>14</v>
      </c>
      <c r="K7530" t="str">
        <f>"1F1"</f>
        <v>1F1</v>
      </c>
      <c r="L7530" t="s">
        <v>15</v>
      </c>
    </row>
    <row r="7531" spans="1:12" x14ac:dyDescent="0.25">
      <c r="A7531" t="str">
        <f>"6010200284"</f>
        <v>6010200284</v>
      </c>
      <c r="B7531" t="str">
        <f t="shared" si="352"/>
        <v>89301000</v>
      </c>
      <c r="C7531" s="1">
        <v>44527</v>
      </c>
      <c r="D7531" s="1">
        <v>44535</v>
      </c>
      <c r="E7531">
        <v>7</v>
      </c>
      <c r="F7531" t="s">
        <v>217</v>
      </c>
      <c r="G7531" t="str">
        <f>"00-M01-04"</f>
        <v>00-M01-04</v>
      </c>
      <c r="H7531">
        <v>6.85</v>
      </c>
      <c r="I7531" t="s">
        <v>5406</v>
      </c>
      <c r="J7531" t="s">
        <v>14</v>
      </c>
      <c r="K7531" t="str">
        <f>"7T8"</f>
        <v>7T8</v>
      </c>
      <c r="L7531" t="s">
        <v>15</v>
      </c>
    </row>
    <row r="7532" spans="1:12" x14ac:dyDescent="0.25">
      <c r="A7532" t="str">
        <f>"6010230325"</f>
        <v>6010230325</v>
      </c>
      <c r="B7532" t="str">
        <f t="shared" si="352"/>
        <v>89301000</v>
      </c>
      <c r="C7532" s="1">
        <v>44419</v>
      </c>
      <c r="D7532" s="1">
        <v>44421</v>
      </c>
      <c r="E7532">
        <v>1</v>
      </c>
      <c r="F7532" t="s">
        <v>390</v>
      </c>
      <c r="G7532" t="str">
        <f>"12-I13-02"</f>
        <v>12-I13-02</v>
      </c>
      <c r="H7532">
        <v>0.57240000000000002</v>
      </c>
      <c r="J7532" t="s">
        <v>24</v>
      </c>
      <c r="K7532" t="str">
        <f>"7F6"</f>
        <v>7F6</v>
      </c>
      <c r="L7532" t="s">
        <v>15</v>
      </c>
    </row>
    <row r="7533" spans="1:12" x14ac:dyDescent="0.25">
      <c r="A7533" t="str">
        <f>"6010750515"</f>
        <v>6010750515</v>
      </c>
      <c r="B7533" t="str">
        <f t="shared" si="352"/>
        <v>89301000</v>
      </c>
      <c r="C7533" s="1">
        <v>44283</v>
      </c>
      <c r="D7533" s="1">
        <v>44287</v>
      </c>
      <c r="E7533">
        <v>1</v>
      </c>
      <c r="F7533" t="s">
        <v>2549</v>
      </c>
      <c r="G7533" t="str">
        <f>"10-I03-01"</f>
        <v>10-I03-01</v>
      </c>
      <c r="H7533">
        <v>2.8974000000000002</v>
      </c>
      <c r="I7533" t="s">
        <v>5407</v>
      </c>
      <c r="J7533" t="s">
        <v>14</v>
      </c>
      <c r="K7533" t="str">
        <f>"1F1"</f>
        <v>1F1</v>
      </c>
      <c r="L7533" t="s">
        <v>15</v>
      </c>
    </row>
    <row r="7534" spans="1:12" x14ac:dyDescent="0.25">
      <c r="A7534" t="str">
        <f>"6011011325"</f>
        <v>6011011325</v>
      </c>
      <c r="B7534" t="str">
        <f t="shared" si="352"/>
        <v>89301000</v>
      </c>
      <c r="C7534" s="1">
        <v>44474</v>
      </c>
      <c r="D7534" s="1">
        <v>44476</v>
      </c>
      <c r="E7534">
        <v>1</v>
      </c>
      <c r="F7534" t="s">
        <v>5408</v>
      </c>
      <c r="G7534" t="str">
        <f>"08-K07-00"</f>
        <v>08-K07-00</v>
      </c>
      <c r="H7534">
        <v>0.9516</v>
      </c>
      <c r="I7534" t="s">
        <v>489</v>
      </c>
      <c r="J7534" t="s">
        <v>14</v>
      </c>
      <c r="K7534" t="str">
        <f>"2F9"</f>
        <v>2F9</v>
      </c>
      <c r="L7534" t="s">
        <v>15</v>
      </c>
    </row>
    <row r="7535" spans="1:12" x14ac:dyDescent="0.25">
      <c r="A7535" t="str">
        <f>"6011080449"</f>
        <v>6011080449</v>
      </c>
      <c r="B7535" t="str">
        <f t="shared" si="352"/>
        <v>89301000</v>
      </c>
      <c r="C7535" s="1">
        <v>44482</v>
      </c>
      <c r="D7535" s="1">
        <v>44483</v>
      </c>
      <c r="E7535">
        <v>1</v>
      </c>
      <c r="F7535" t="s">
        <v>2457</v>
      </c>
      <c r="G7535" t="str">
        <f>"05-D01-08"</f>
        <v>05-D01-08</v>
      </c>
      <c r="H7535">
        <v>0.4093</v>
      </c>
      <c r="I7535" t="s">
        <v>2202</v>
      </c>
      <c r="J7535" t="s">
        <v>14</v>
      </c>
      <c r="K7535" t="str">
        <f>"1F1"</f>
        <v>1F1</v>
      </c>
      <c r="L7535" t="s">
        <v>15</v>
      </c>
    </row>
    <row r="7536" spans="1:12" x14ac:dyDescent="0.25">
      <c r="A7536" t="str">
        <f>"6011106651"</f>
        <v>6011106651</v>
      </c>
      <c r="B7536" t="str">
        <f t="shared" si="352"/>
        <v>89301000</v>
      </c>
      <c r="C7536" s="1">
        <v>44511</v>
      </c>
      <c r="D7536" s="1">
        <v>44515</v>
      </c>
      <c r="E7536">
        <v>1</v>
      </c>
      <c r="F7536" t="s">
        <v>475</v>
      </c>
      <c r="G7536" t="str">
        <f>"10-K04-04"</f>
        <v>10-K04-04</v>
      </c>
      <c r="H7536">
        <v>0.56330000000000002</v>
      </c>
      <c r="I7536" t="s">
        <v>5409</v>
      </c>
      <c r="J7536" t="s">
        <v>14</v>
      </c>
      <c r="K7536" t="str">
        <f>"1F1"</f>
        <v>1F1</v>
      </c>
      <c r="L7536" t="s">
        <v>15</v>
      </c>
    </row>
    <row r="7537" spans="1:12" x14ac:dyDescent="0.25">
      <c r="A7537" t="str">
        <f>"6011111711"</f>
        <v>6011111711</v>
      </c>
      <c r="B7537" t="str">
        <f t="shared" si="352"/>
        <v>89301000</v>
      </c>
      <c r="C7537" s="1">
        <v>44530</v>
      </c>
      <c r="D7537" s="1">
        <v>44534</v>
      </c>
      <c r="E7537">
        <v>1</v>
      </c>
      <c r="F7537" t="s">
        <v>142</v>
      </c>
      <c r="G7537" t="str">
        <f>"03-I11-03"</f>
        <v>03-I11-03</v>
      </c>
      <c r="H7537">
        <v>1.0253000000000001</v>
      </c>
      <c r="I7537" t="s">
        <v>5410</v>
      </c>
      <c r="J7537" t="s">
        <v>17</v>
      </c>
      <c r="K7537" t="str">
        <f>"6F5"</f>
        <v>6F5</v>
      </c>
      <c r="L7537" t="s">
        <v>15</v>
      </c>
    </row>
    <row r="7538" spans="1:12" x14ac:dyDescent="0.25">
      <c r="A7538" t="str">
        <f>"6011200591"</f>
        <v>6011200591</v>
      </c>
      <c r="B7538" t="str">
        <f t="shared" si="352"/>
        <v>89301000</v>
      </c>
      <c r="C7538" s="1">
        <v>44285</v>
      </c>
      <c r="D7538" s="1">
        <v>44293</v>
      </c>
      <c r="E7538">
        <v>1</v>
      </c>
      <c r="F7538" t="s">
        <v>4000</v>
      </c>
      <c r="G7538" t="str">
        <f>"08-I04-01"</f>
        <v>08-I04-01</v>
      </c>
      <c r="H7538">
        <v>2.8736999999999999</v>
      </c>
      <c r="I7538" t="s">
        <v>41</v>
      </c>
      <c r="J7538" t="s">
        <v>17</v>
      </c>
      <c r="K7538" t="str">
        <f>"5F6"</f>
        <v>5F6</v>
      </c>
      <c r="L7538" t="s">
        <v>15</v>
      </c>
    </row>
    <row r="7539" spans="1:12" x14ac:dyDescent="0.25">
      <c r="A7539" t="str">
        <f>"6011271464"</f>
        <v>6011271464</v>
      </c>
      <c r="B7539" t="str">
        <f t="shared" si="352"/>
        <v>89301000</v>
      </c>
      <c r="C7539" s="1">
        <v>44410</v>
      </c>
      <c r="D7539" s="1">
        <v>44414</v>
      </c>
      <c r="E7539">
        <v>1</v>
      </c>
      <c r="F7539" t="s">
        <v>1553</v>
      </c>
      <c r="G7539" t="str">
        <f>"04-K05-03"</f>
        <v>04-K05-03</v>
      </c>
      <c r="H7539">
        <v>0.74980000000000002</v>
      </c>
      <c r="I7539" t="s">
        <v>5411</v>
      </c>
      <c r="J7539" t="s">
        <v>14</v>
      </c>
      <c r="K7539" t="str">
        <f>"1F5"</f>
        <v>1F5</v>
      </c>
      <c r="L7539" t="s">
        <v>15</v>
      </c>
    </row>
    <row r="7540" spans="1:12" x14ac:dyDescent="0.25">
      <c r="A7540" t="str">
        <f>"6011301274"</f>
        <v>6011301274</v>
      </c>
      <c r="B7540" t="str">
        <f t="shared" si="352"/>
        <v>89301000</v>
      </c>
      <c r="C7540" s="1">
        <v>44304</v>
      </c>
      <c r="D7540" s="1">
        <v>44311</v>
      </c>
      <c r="E7540">
        <v>1</v>
      </c>
      <c r="F7540" t="s">
        <v>2407</v>
      </c>
      <c r="G7540" t="str">
        <f>"08-I06-05"</f>
        <v>08-I06-05</v>
      </c>
      <c r="H7540">
        <v>2.1981999999999999</v>
      </c>
      <c r="I7540" t="s">
        <v>4260</v>
      </c>
      <c r="J7540" t="s">
        <v>24</v>
      </c>
      <c r="K7540" t="str">
        <f>"6F6"</f>
        <v>6F6</v>
      </c>
      <c r="L7540" t="s">
        <v>15</v>
      </c>
    </row>
    <row r="7541" spans="1:12" x14ac:dyDescent="0.25">
      <c r="A7541" t="str">
        <f>"6011301593"</f>
        <v>6011301593</v>
      </c>
      <c r="B7541" t="str">
        <f t="shared" si="352"/>
        <v>89301000</v>
      </c>
      <c r="C7541" s="1">
        <v>44402</v>
      </c>
      <c r="D7541" s="1">
        <v>44407</v>
      </c>
      <c r="E7541">
        <v>1</v>
      </c>
      <c r="F7541" t="s">
        <v>2232</v>
      </c>
      <c r="G7541" t="str">
        <f>"11-I07-01"</f>
        <v>11-I07-01</v>
      </c>
      <c r="H7541">
        <v>2.5975999999999999</v>
      </c>
      <c r="I7541" t="s">
        <v>1959</v>
      </c>
      <c r="J7541" t="s">
        <v>14</v>
      </c>
      <c r="K7541" t="str">
        <f>"7F6"</f>
        <v>7F6</v>
      </c>
      <c r="L7541" t="s">
        <v>15</v>
      </c>
    </row>
    <row r="7542" spans="1:12" x14ac:dyDescent="0.25">
      <c r="A7542" t="str">
        <f>"6012011291"</f>
        <v>6012011291</v>
      </c>
      <c r="B7542" t="str">
        <f t="shared" si="352"/>
        <v>89301000</v>
      </c>
      <c r="C7542" s="1">
        <v>44358</v>
      </c>
      <c r="D7542" s="1">
        <v>44359</v>
      </c>
      <c r="E7542">
        <v>1</v>
      </c>
      <c r="F7542" t="s">
        <v>1962</v>
      </c>
      <c r="G7542" t="str">
        <f>"04-K15-03"</f>
        <v>04-K15-03</v>
      </c>
      <c r="H7542">
        <v>0.49009999999999998</v>
      </c>
      <c r="I7542" t="s">
        <v>241</v>
      </c>
      <c r="J7542" t="s">
        <v>14</v>
      </c>
      <c r="K7542" t="str">
        <f>"1F7"</f>
        <v>1F7</v>
      </c>
      <c r="L7542" t="s">
        <v>15</v>
      </c>
    </row>
    <row r="7543" spans="1:12" x14ac:dyDescent="0.25">
      <c r="A7543" t="str">
        <f>"6012051166"</f>
        <v>6012051166</v>
      </c>
      <c r="B7543" t="str">
        <f t="shared" si="352"/>
        <v>89301000</v>
      </c>
      <c r="C7543" s="1">
        <v>44377</v>
      </c>
      <c r="D7543" s="1">
        <v>44378</v>
      </c>
      <c r="E7543">
        <v>1</v>
      </c>
      <c r="F7543" t="s">
        <v>186</v>
      </c>
      <c r="G7543" t="str">
        <f>"05-M05-03"</f>
        <v>05-M05-03</v>
      </c>
      <c r="H7543">
        <v>1.9991000000000001</v>
      </c>
      <c r="J7543" t="s">
        <v>24</v>
      </c>
      <c r="K7543" t="str">
        <f>"1F7"</f>
        <v>1F7</v>
      </c>
      <c r="L7543" t="s">
        <v>15</v>
      </c>
    </row>
    <row r="7544" spans="1:12" x14ac:dyDescent="0.25">
      <c r="A7544" t="str">
        <f>"6012091085"</f>
        <v>6012091085</v>
      </c>
      <c r="B7544" t="str">
        <f t="shared" si="352"/>
        <v>89301000</v>
      </c>
      <c r="C7544" s="1">
        <v>44493</v>
      </c>
      <c r="D7544" s="1">
        <v>44495</v>
      </c>
      <c r="E7544">
        <v>1</v>
      </c>
      <c r="F7544" t="s">
        <v>1776</v>
      </c>
      <c r="G7544" t="str">
        <f>"04-K13-01"</f>
        <v>04-K13-01</v>
      </c>
      <c r="H7544">
        <v>0.64270000000000005</v>
      </c>
      <c r="I7544" t="s">
        <v>5412</v>
      </c>
      <c r="J7544" t="s">
        <v>14</v>
      </c>
      <c r="K7544" t="str">
        <f>"5F3"</f>
        <v>5F3</v>
      </c>
      <c r="L7544" t="s">
        <v>15</v>
      </c>
    </row>
    <row r="7545" spans="1:12" x14ac:dyDescent="0.25">
      <c r="A7545" t="str">
        <f>"6012221732"</f>
        <v>6012221732</v>
      </c>
      <c r="B7545" t="str">
        <f t="shared" si="352"/>
        <v>89301000</v>
      </c>
      <c r="C7545" s="1">
        <v>44246</v>
      </c>
      <c r="D7545" s="1">
        <v>44248</v>
      </c>
      <c r="E7545">
        <v>1</v>
      </c>
      <c r="F7545" t="s">
        <v>1299</v>
      </c>
      <c r="G7545" t="str">
        <f>"03-I12-02"</f>
        <v>03-I12-02</v>
      </c>
      <c r="H7545">
        <v>1.2911999999999999</v>
      </c>
      <c r="I7545" t="s">
        <v>5413</v>
      </c>
      <c r="J7545" t="s">
        <v>17</v>
      </c>
      <c r="K7545" t="str">
        <f>"7F1"</f>
        <v>7F1</v>
      </c>
      <c r="L7545" t="s">
        <v>15</v>
      </c>
    </row>
    <row r="7546" spans="1:12" x14ac:dyDescent="0.25">
      <c r="A7546" t="str">
        <f>"6012231115"</f>
        <v>6012231115</v>
      </c>
      <c r="B7546" t="str">
        <f t="shared" si="352"/>
        <v>89301000</v>
      </c>
      <c r="C7546" s="1">
        <v>44229</v>
      </c>
      <c r="D7546" s="1">
        <v>44234</v>
      </c>
      <c r="E7546">
        <v>1</v>
      </c>
      <c r="F7546" t="s">
        <v>1240</v>
      </c>
      <c r="G7546" t="str">
        <f>"11-K01-03"</f>
        <v>11-K01-03</v>
      </c>
      <c r="H7546">
        <v>0.59489999999999998</v>
      </c>
      <c r="I7546" t="s">
        <v>5414</v>
      </c>
      <c r="J7546" t="s">
        <v>14</v>
      </c>
      <c r="K7546" t="str">
        <f>"7F6"</f>
        <v>7F6</v>
      </c>
      <c r="L7546" t="s">
        <v>15</v>
      </c>
    </row>
    <row r="7547" spans="1:12" x14ac:dyDescent="0.25">
      <c r="A7547" t="str">
        <f>"6012261541"</f>
        <v>6012261541</v>
      </c>
      <c r="B7547" t="str">
        <f t="shared" ref="B7547:B7610" si="353">"89301000"</f>
        <v>89301000</v>
      </c>
      <c r="C7547" s="1">
        <v>44454</v>
      </c>
      <c r="D7547" s="1">
        <v>44455</v>
      </c>
      <c r="E7547">
        <v>1</v>
      </c>
      <c r="F7547" t="s">
        <v>1557</v>
      </c>
      <c r="G7547" t="str">
        <f>"05-M06-04"</f>
        <v>05-M06-04</v>
      </c>
      <c r="H7547">
        <v>2.1958000000000002</v>
      </c>
      <c r="I7547" t="s">
        <v>1959</v>
      </c>
      <c r="J7547" t="s">
        <v>17</v>
      </c>
      <c r="K7547" t="str">
        <f>"1F1"</f>
        <v>1F1</v>
      </c>
      <c r="L7547" t="s">
        <v>15</v>
      </c>
    </row>
    <row r="7548" spans="1:12" x14ac:dyDescent="0.25">
      <c r="A7548" t="str">
        <f>"6012261541"</f>
        <v>6012261541</v>
      </c>
      <c r="B7548" t="str">
        <f t="shared" si="353"/>
        <v>89301000</v>
      </c>
      <c r="C7548" s="1">
        <v>44411</v>
      </c>
      <c r="D7548" s="1">
        <v>44413</v>
      </c>
      <c r="E7548">
        <v>1</v>
      </c>
      <c r="F7548" t="s">
        <v>38</v>
      </c>
      <c r="G7548" t="str">
        <f>"05-M06-06"</f>
        <v>05-M06-06</v>
      </c>
      <c r="H7548">
        <v>1.7652000000000001</v>
      </c>
      <c r="I7548" t="s">
        <v>489</v>
      </c>
      <c r="J7548" t="s">
        <v>17</v>
      </c>
      <c r="K7548" t="str">
        <f>"1F1"</f>
        <v>1F1</v>
      </c>
      <c r="L7548" t="s">
        <v>15</v>
      </c>
    </row>
    <row r="7549" spans="1:12" x14ac:dyDescent="0.25">
      <c r="A7549" t="str">
        <f>"6012271078"</f>
        <v>6012271078</v>
      </c>
      <c r="B7549" t="str">
        <f t="shared" si="353"/>
        <v>89301000</v>
      </c>
      <c r="C7549" s="1">
        <v>44547</v>
      </c>
      <c r="D7549" s="1">
        <v>44549</v>
      </c>
      <c r="E7549">
        <v>1</v>
      </c>
      <c r="F7549" t="s">
        <v>2910</v>
      </c>
      <c r="G7549" t="str">
        <f>"06-K14-02"</f>
        <v>06-K14-02</v>
      </c>
      <c r="H7549">
        <v>0.57279999999999998</v>
      </c>
      <c r="I7549" t="s">
        <v>5415</v>
      </c>
      <c r="J7549" t="s">
        <v>14</v>
      </c>
      <c r="K7549" t="str">
        <f>"4F2"</f>
        <v>4F2</v>
      </c>
      <c r="L7549" t="s">
        <v>15</v>
      </c>
    </row>
    <row r="7550" spans="1:12" x14ac:dyDescent="0.25">
      <c r="A7550" t="str">
        <f>"6051171236"</f>
        <v>6051171236</v>
      </c>
      <c r="B7550" t="str">
        <f t="shared" si="353"/>
        <v>89301000</v>
      </c>
      <c r="C7550" s="1">
        <v>44213</v>
      </c>
      <c r="D7550" s="1">
        <v>44214</v>
      </c>
      <c r="E7550">
        <v>1</v>
      </c>
      <c r="F7550" t="s">
        <v>804</v>
      </c>
      <c r="G7550" t="str">
        <f>"08-I17-02"</f>
        <v>08-I17-02</v>
      </c>
      <c r="H7550">
        <v>0.98309999999999997</v>
      </c>
      <c r="I7550" t="s">
        <v>211</v>
      </c>
      <c r="J7550" t="s">
        <v>14</v>
      </c>
      <c r="K7550" t="str">
        <f>"5F3"</f>
        <v>5F3</v>
      </c>
      <c r="L7550" t="s">
        <v>15</v>
      </c>
    </row>
    <row r="7551" spans="1:12" x14ac:dyDescent="0.25">
      <c r="A7551" t="str">
        <f>"6051171236"</f>
        <v>6051171236</v>
      </c>
      <c r="B7551" t="str">
        <f t="shared" si="353"/>
        <v>89301000</v>
      </c>
      <c r="C7551" s="1">
        <v>44480</v>
      </c>
      <c r="D7551" s="1">
        <v>44482</v>
      </c>
      <c r="E7551">
        <v>1</v>
      </c>
      <c r="F7551" t="s">
        <v>173</v>
      </c>
      <c r="G7551" t="str">
        <f>"08-I32-02"</f>
        <v>08-I32-02</v>
      </c>
      <c r="H7551">
        <v>0.4143</v>
      </c>
      <c r="J7551" t="s">
        <v>14</v>
      </c>
      <c r="K7551" t="str">
        <f>"5F3"</f>
        <v>5F3</v>
      </c>
      <c r="L7551" t="s">
        <v>15</v>
      </c>
    </row>
    <row r="7552" spans="1:12" x14ac:dyDescent="0.25">
      <c r="A7552" t="str">
        <f>"6051200793"</f>
        <v>6051200793</v>
      </c>
      <c r="B7552" t="str">
        <f t="shared" si="353"/>
        <v>89301000</v>
      </c>
      <c r="C7552" s="1">
        <v>44420</v>
      </c>
      <c r="D7552" s="1">
        <v>44421</v>
      </c>
      <c r="E7552">
        <v>1</v>
      </c>
      <c r="F7552" t="s">
        <v>2111</v>
      </c>
      <c r="G7552" t="str">
        <f>"10-K15-02"</f>
        <v>10-K15-02</v>
      </c>
      <c r="H7552">
        <v>0.51819999999999999</v>
      </c>
      <c r="I7552" t="s">
        <v>5416</v>
      </c>
      <c r="J7552" t="s">
        <v>14</v>
      </c>
      <c r="K7552" t="str">
        <f>"2F5"</f>
        <v>2F5</v>
      </c>
      <c r="L7552" t="s">
        <v>15</v>
      </c>
    </row>
    <row r="7553" spans="1:12" x14ac:dyDescent="0.25">
      <c r="A7553" t="str">
        <f>"6051200793"</f>
        <v>6051200793</v>
      </c>
      <c r="B7553" t="str">
        <f t="shared" si="353"/>
        <v>89301000</v>
      </c>
      <c r="C7553" s="1">
        <v>44508</v>
      </c>
      <c r="D7553" s="1">
        <v>44509</v>
      </c>
      <c r="E7553">
        <v>1</v>
      </c>
      <c r="F7553" t="s">
        <v>2111</v>
      </c>
      <c r="G7553" t="str">
        <f>"10-K15-02"</f>
        <v>10-K15-02</v>
      </c>
      <c r="H7553">
        <v>0.51819999999999999</v>
      </c>
      <c r="I7553" t="s">
        <v>5417</v>
      </c>
      <c r="J7553" t="s">
        <v>14</v>
      </c>
      <c r="K7553" t="str">
        <f>"2F5"</f>
        <v>2F5</v>
      </c>
      <c r="L7553" t="s">
        <v>15</v>
      </c>
    </row>
    <row r="7554" spans="1:12" x14ac:dyDescent="0.25">
      <c r="A7554" t="str">
        <f>"6051261403"</f>
        <v>6051261403</v>
      </c>
      <c r="B7554" t="str">
        <f t="shared" si="353"/>
        <v>89301000</v>
      </c>
      <c r="C7554" s="1">
        <v>44477</v>
      </c>
      <c r="D7554" s="1">
        <v>44480</v>
      </c>
      <c r="E7554">
        <v>1</v>
      </c>
      <c r="F7554" t="s">
        <v>2099</v>
      </c>
      <c r="G7554" t="str">
        <f>"08-I14-04"</f>
        <v>08-I14-04</v>
      </c>
      <c r="H7554">
        <v>1.0787</v>
      </c>
      <c r="I7554" t="s">
        <v>512</v>
      </c>
      <c r="J7554" t="s">
        <v>17</v>
      </c>
      <c r="K7554" t="str">
        <f>"5F3"</f>
        <v>5F3</v>
      </c>
      <c r="L7554" t="s">
        <v>15</v>
      </c>
    </row>
    <row r="7555" spans="1:12" x14ac:dyDescent="0.25">
      <c r="A7555" t="str">
        <f>"6052140765"</f>
        <v>6052140765</v>
      </c>
      <c r="B7555" t="str">
        <f t="shared" si="353"/>
        <v>89301000</v>
      </c>
      <c r="C7555" s="1">
        <v>44203</v>
      </c>
      <c r="D7555" s="1">
        <v>44209</v>
      </c>
      <c r="E7555">
        <v>1</v>
      </c>
      <c r="F7555" t="s">
        <v>1026</v>
      </c>
      <c r="G7555" t="str">
        <f>"04-K02-04"</f>
        <v>04-K02-04</v>
      </c>
      <c r="H7555">
        <v>0.82469999999999999</v>
      </c>
      <c r="I7555" t="s">
        <v>274</v>
      </c>
      <c r="J7555" t="s">
        <v>14</v>
      </c>
      <c r="K7555" t="str">
        <f>"1F1"</f>
        <v>1F1</v>
      </c>
      <c r="L7555" t="s">
        <v>15</v>
      </c>
    </row>
    <row r="7556" spans="1:12" x14ac:dyDescent="0.25">
      <c r="A7556" t="str">
        <f>"6052191024"</f>
        <v>6052191024</v>
      </c>
      <c r="B7556" t="str">
        <f t="shared" si="353"/>
        <v>89301000</v>
      </c>
      <c r="C7556" s="1">
        <v>44238</v>
      </c>
      <c r="D7556" s="1">
        <v>44242</v>
      </c>
      <c r="E7556">
        <v>1</v>
      </c>
      <c r="F7556" t="s">
        <v>5418</v>
      </c>
      <c r="G7556" t="str">
        <f>"10-K04-04"</f>
        <v>10-K04-04</v>
      </c>
      <c r="H7556">
        <v>0.56330000000000002</v>
      </c>
      <c r="I7556" t="s">
        <v>5419</v>
      </c>
      <c r="J7556" t="s">
        <v>14</v>
      </c>
      <c r="K7556" t="str">
        <f>"1F1"</f>
        <v>1F1</v>
      </c>
      <c r="L7556" t="s">
        <v>15</v>
      </c>
    </row>
    <row r="7557" spans="1:12" x14ac:dyDescent="0.25">
      <c r="A7557" t="str">
        <f>"6052200198"</f>
        <v>6052200198</v>
      </c>
      <c r="B7557" t="str">
        <f t="shared" si="353"/>
        <v>89301000</v>
      </c>
      <c r="C7557" s="1">
        <v>44285</v>
      </c>
      <c r="D7557" s="1">
        <v>44341</v>
      </c>
      <c r="E7557">
        <v>1</v>
      </c>
      <c r="F7557" t="s">
        <v>962</v>
      </c>
      <c r="G7557" t="str">
        <f>"04-M01-03"</f>
        <v>04-M01-03</v>
      </c>
      <c r="H7557">
        <v>20.4238</v>
      </c>
      <c r="I7557" t="s">
        <v>5420</v>
      </c>
      <c r="J7557" t="s">
        <v>14</v>
      </c>
      <c r="K7557" t="str">
        <f>"1F1"</f>
        <v>1F1</v>
      </c>
      <c r="L7557" t="s">
        <v>15</v>
      </c>
    </row>
    <row r="7558" spans="1:12" x14ac:dyDescent="0.25">
      <c r="A7558" t="str">
        <f>"6052251018"</f>
        <v>6052251018</v>
      </c>
      <c r="B7558" t="str">
        <f t="shared" si="353"/>
        <v>89301000</v>
      </c>
      <c r="C7558" s="1">
        <v>44543</v>
      </c>
      <c r="D7558" s="1">
        <v>44544</v>
      </c>
      <c r="E7558">
        <v>1</v>
      </c>
      <c r="F7558" t="s">
        <v>622</v>
      </c>
      <c r="G7558" t="str">
        <f>"02-I11-02"</f>
        <v>02-I11-02</v>
      </c>
      <c r="H7558">
        <v>0.64790000000000003</v>
      </c>
      <c r="I7558" t="s">
        <v>489</v>
      </c>
      <c r="J7558" t="s">
        <v>17</v>
      </c>
      <c r="K7558" t="str">
        <f>"5F3"</f>
        <v>5F3</v>
      </c>
      <c r="L7558" t="s">
        <v>15</v>
      </c>
    </row>
    <row r="7559" spans="1:12" x14ac:dyDescent="0.25">
      <c r="A7559" t="str">
        <f>"6052291905"</f>
        <v>6052291905</v>
      </c>
      <c r="B7559" t="str">
        <f t="shared" si="353"/>
        <v>89301000</v>
      </c>
      <c r="C7559" s="1">
        <v>44476</v>
      </c>
      <c r="D7559" s="1">
        <v>44480</v>
      </c>
      <c r="E7559">
        <v>1</v>
      </c>
      <c r="F7559" t="s">
        <v>1551</v>
      </c>
      <c r="G7559" t="str">
        <f>"09-I09-02"</f>
        <v>09-I09-02</v>
      </c>
      <c r="H7559">
        <v>0.84140000000000004</v>
      </c>
      <c r="J7559" t="s">
        <v>17</v>
      </c>
      <c r="K7559" t="str">
        <f>"5F1"</f>
        <v>5F1</v>
      </c>
      <c r="L7559" t="s">
        <v>15</v>
      </c>
    </row>
    <row r="7560" spans="1:12" x14ac:dyDescent="0.25">
      <c r="A7560" t="str">
        <f>"6053016794"</f>
        <v>6053016794</v>
      </c>
      <c r="B7560" t="str">
        <f t="shared" si="353"/>
        <v>89301000</v>
      </c>
      <c r="C7560" s="1">
        <v>44207</v>
      </c>
      <c r="D7560" s="1">
        <v>44209</v>
      </c>
      <c r="E7560">
        <v>1</v>
      </c>
      <c r="F7560" t="s">
        <v>64</v>
      </c>
      <c r="G7560" t="str">
        <f>"08-I31-04"</f>
        <v>08-I31-04</v>
      </c>
      <c r="H7560">
        <v>0.50949999999999995</v>
      </c>
      <c r="I7560" t="s">
        <v>5421</v>
      </c>
      <c r="J7560" t="s">
        <v>14</v>
      </c>
      <c r="K7560" t="str">
        <f>"6F6"</f>
        <v>6F6</v>
      </c>
      <c r="L7560" t="s">
        <v>15</v>
      </c>
    </row>
    <row r="7561" spans="1:12" x14ac:dyDescent="0.25">
      <c r="A7561" t="str">
        <f>"6053041500"</f>
        <v>6053041500</v>
      </c>
      <c r="B7561" t="str">
        <f t="shared" si="353"/>
        <v>89301000</v>
      </c>
      <c r="C7561" s="1">
        <v>44357</v>
      </c>
      <c r="D7561" s="1">
        <v>44358</v>
      </c>
      <c r="E7561">
        <v>1</v>
      </c>
      <c r="F7561" t="s">
        <v>445</v>
      </c>
      <c r="G7561" t="str">
        <f>"08-I17-02"</f>
        <v>08-I17-02</v>
      </c>
      <c r="H7561">
        <v>0.98309999999999997</v>
      </c>
      <c r="I7561" t="s">
        <v>512</v>
      </c>
      <c r="J7561" t="s">
        <v>14</v>
      </c>
      <c r="K7561" t="str">
        <f>"5F3"</f>
        <v>5F3</v>
      </c>
      <c r="L7561" t="s">
        <v>15</v>
      </c>
    </row>
    <row r="7562" spans="1:12" x14ac:dyDescent="0.25">
      <c r="A7562" t="str">
        <f>"6053161191"</f>
        <v>6053161191</v>
      </c>
      <c r="B7562" t="str">
        <f t="shared" si="353"/>
        <v>89301000</v>
      </c>
      <c r="C7562" s="1">
        <v>44275</v>
      </c>
      <c r="D7562" s="1">
        <v>44293</v>
      </c>
      <c r="E7562">
        <v>4</v>
      </c>
      <c r="F7562" t="s">
        <v>4491</v>
      </c>
      <c r="G7562" t="str">
        <f>"01-K01-01"</f>
        <v>01-K01-01</v>
      </c>
      <c r="H7562">
        <v>1.0681</v>
      </c>
      <c r="I7562" t="s">
        <v>5422</v>
      </c>
      <c r="J7562" t="s">
        <v>14</v>
      </c>
      <c r="K7562" t="str">
        <f>"2F9"</f>
        <v>2F9</v>
      </c>
      <c r="L7562" t="s">
        <v>15</v>
      </c>
    </row>
    <row r="7563" spans="1:12" x14ac:dyDescent="0.25">
      <c r="A7563" t="str">
        <f>"6053271334"</f>
        <v>6053271334</v>
      </c>
      <c r="B7563" t="str">
        <f t="shared" si="353"/>
        <v>89301000</v>
      </c>
      <c r="C7563" s="1">
        <v>44378</v>
      </c>
      <c r="D7563" s="1">
        <v>44392</v>
      </c>
      <c r="E7563">
        <v>1</v>
      </c>
      <c r="F7563" t="s">
        <v>899</v>
      </c>
      <c r="G7563" t="str">
        <f>"01-K03-06"</f>
        <v>01-K03-06</v>
      </c>
      <c r="H7563">
        <v>0.88790000000000002</v>
      </c>
      <c r="I7563" t="s">
        <v>5423</v>
      </c>
      <c r="J7563" t="s">
        <v>14</v>
      </c>
      <c r="K7563" t="str">
        <f>"2F9"</f>
        <v>2F9</v>
      </c>
      <c r="L7563" t="s">
        <v>15</v>
      </c>
    </row>
    <row r="7564" spans="1:12" x14ac:dyDescent="0.25">
      <c r="A7564" t="str">
        <f>"6053271334"</f>
        <v>6053271334</v>
      </c>
      <c r="B7564" t="str">
        <f t="shared" si="353"/>
        <v>89301000</v>
      </c>
      <c r="C7564" s="1">
        <v>44552</v>
      </c>
      <c r="D7564" s="1">
        <v>44557</v>
      </c>
      <c r="E7564">
        <v>1</v>
      </c>
      <c r="F7564" t="s">
        <v>5321</v>
      </c>
      <c r="G7564" t="str">
        <f>"01-K03-08"</f>
        <v>01-K03-08</v>
      </c>
      <c r="H7564">
        <v>0.34789999999999999</v>
      </c>
      <c r="I7564" t="s">
        <v>5424</v>
      </c>
      <c r="J7564" t="s">
        <v>14</v>
      </c>
      <c r="K7564" t="str">
        <f>"2F9"</f>
        <v>2F9</v>
      </c>
      <c r="L7564" t="s">
        <v>15</v>
      </c>
    </row>
    <row r="7565" spans="1:12" x14ac:dyDescent="0.25">
      <c r="A7565" t="str">
        <f>"6053281542"</f>
        <v>6053281542</v>
      </c>
      <c r="B7565" t="str">
        <f t="shared" si="353"/>
        <v>89301000</v>
      </c>
      <c r="C7565" s="1">
        <v>44465</v>
      </c>
      <c r="D7565" s="1">
        <v>44474</v>
      </c>
      <c r="E7565">
        <v>1</v>
      </c>
      <c r="F7565" t="s">
        <v>2407</v>
      </c>
      <c r="G7565" t="str">
        <f>"08-I06-04"</f>
        <v>08-I06-04</v>
      </c>
      <c r="H7565">
        <v>2.4260000000000002</v>
      </c>
      <c r="I7565" t="s">
        <v>5425</v>
      </c>
      <c r="J7565" t="s">
        <v>24</v>
      </c>
      <c r="K7565" t="str">
        <f>"6F6"</f>
        <v>6F6</v>
      </c>
      <c r="L7565" t="s">
        <v>15</v>
      </c>
    </row>
    <row r="7566" spans="1:12" x14ac:dyDescent="0.25">
      <c r="A7566" t="str">
        <f>"6053301804"</f>
        <v>6053301804</v>
      </c>
      <c r="B7566" t="str">
        <f t="shared" si="353"/>
        <v>89301000</v>
      </c>
      <c r="C7566" s="1">
        <v>44503</v>
      </c>
      <c r="D7566" s="1">
        <v>44508</v>
      </c>
      <c r="E7566">
        <v>1</v>
      </c>
      <c r="F7566" t="s">
        <v>2637</v>
      </c>
      <c r="G7566" t="str">
        <f>"23-K05-01"</f>
        <v>23-K05-01</v>
      </c>
      <c r="H7566">
        <v>0.57099999999999995</v>
      </c>
      <c r="I7566" t="s">
        <v>2638</v>
      </c>
      <c r="J7566" t="s">
        <v>14</v>
      </c>
      <c r="K7566" t="str">
        <f>"4F7"</f>
        <v>4F7</v>
      </c>
      <c r="L7566" t="s">
        <v>15</v>
      </c>
    </row>
    <row r="7567" spans="1:12" x14ac:dyDescent="0.25">
      <c r="A7567" t="str">
        <f>"6053312067"</f>
        <v>6053312067</v>
      </c>
      <c r="B7567" t="str">
        <f t="shared" si="353"/>
        <v>89301000</v>
      </c>
      <c r="C7567" s="1">
        <v>44487</v>
      </c>
      <c r="D7567" s="1">
        <v>44491</v>
      </c>
      <c r="E7567">
        <v>1</v>
      </c>
      <c r="F7567" t="s">
        <v>31</v>
      </c>
      <c r="G7567" t="str">
        <f>"08-I04-02"</f>
        <v>08-I04-02</v>
      </c>
      <c r="H7567">
        <v>1.6718999999999999</v>
      </c>
      <c r="I7567" t="s">
        <v>5426</v>
      </c>
      <c r="J7567" t="s">
        <v>17</v>
      </c>
      <c r="K7567" t="str">
        <f>"5F6"</f>
        <v>5F6</v>
      </c>
      <c r="L7567" t="s">
        <v>15</v>
      </c>
    </row>
    <row r="7568" spans="1:12" x14ac:dyDescent="0.25">
      <c r="A7568" t="str">
        <f>"6054090658"</f>
        <v>6054090658</v>
      </c>
      <c r="B7568" t="str">
        <f t="shared" si="353"/>
        <v>89301000</v>
      </c>
      <c r="C7568" s="1">
        <v>44227</v>
      </c>
      <c r="D7568" s="1">
        <v>44230</v>
      </c>
      <c r="E7568">
        <v>1</v>
      </c>
      <c r="F7568" t="s">
        <v>1619</v>
      </c>
      <c r="G7568" t="str">
        <f>"05-M06-06"</f>
        <v>05-M06-06</v>
      </c>
      <c r="H7568">
        <v>1.7652000000000001</v>
      </c>
      <c r="I7568" t="s">
        <v>2428</v>
      </c>
      <c r="J7568" t="s">
        <v>17</v>
      </c>
      <c r="K7568" t="str">
        <f>"1F1"</f>
        <v>1F1</v>
      </c>
      <c r="L7568" t="s">
        <v>15</v>
      </c>
    </row>
    <row r="7569" spans="1:12" x14ac:dyDescent="0.25">
      <c r="A7569" t="str">
        <f>"6054131787"</f>
        <v>6054131787</v>
      </c>
      <c r="B7569" t="str">
        <f t="shared" si="353"/>
        <v>89301000</v>
      </c>
      <c r="C7569" s="1">
        <v>44257</v>
      </c>
      <c r="D7569" s="1">
        <v>44272</v>
      </c>
      <c r="E7569">
        <v>1</v>
      </c>
      <c r="F7569" t="s">
        <v>130</v>
      </c>
      <c r="G7569" t="str">
        <f>"19-K04-02"</f>
        <v>19-K04-02</v>
      </c>
      <c r="H7569">
        <v>1.4597</v>
      </c>
      <c r="I7569" t="s">
        <v>5427</v>
      </c>
      <c r="J7569" t="s">
        <v>27</v>
      </c>
      <c r="K7569" t="str">
        <f>"3F5"</f>
        <v>3F5</v>
      </c>
      <c r="L7569" t="s">
        <v>15</v>
      </c>
    </row>
    <row r="7570" spans="1:12" x14ac:dyDescent="0.25">
      <c r="A7570" t="str">
        <f>"6054140884"</f>
        <v>6054140884</v>
      </c>
      <c r="B7570" t="str">
        <f t="shared" si="353"/>
        <v>89301000</v>
      </c>
      <c r="C7570" s="1">
        <v>44353</v>
      </c>
      <c r="D7570" s="1">
        <v>44357</v>
      </c>
      <c r="E7570">
        <v>1</v>
      </c>
      <c r="F7570" t="s">
        <v>706</v>
      </c>
      <c r="G7570" t="str">
        <f>"03-I14-02"</f>
        <v>03-I14-02</v>
      </c>
      <c r="H7570">
        <v>1.1086</v>
      </c>
      <c r="I7570" t="s">
        <v>5428</v>
      </c>
      <c r="J7570" t="s">
        <v>14</v>
      </c>
      <c r="K7570" t="str">
        <f>"7F1"</f>
        <v>7F1</v>
      </c>
      <c r="L7570" t="s">
        <v>15</v>
      </c>
    </row>
    <row r="7571" spans="1:12" x14ac:dyDescent="0.25">
      <c r="A7571" t="str">
        <f>"6054171002"</f>
        <v>6054171002</v>
      </c>
      <c r="B7571" t="str">
        <f t="shared" si="353"/>
        <v>89301000</v>
      </c>
      <c r="C7571" s="1">
        <v>44508</v>
      </c>
      <c r="D7571" s="1">
        <v>44523</v>
      </c>
      <c r="E7571">
        <v>8</v>
      </c>
      <c r="F7571" t="s">
        <v>217</v>
      </c>
      <c r="G7571" t="str">
        <f>"00-M02-04"</f>
        <v>00-M02-04</v>
      </c>
      <c r="H7571">
        <v>12.071199999999999</v>
      </c>
      <c r="I7571" t="s">
        <v>5429</v>
      </c>
      <c r="J7571" t="s">
        <v>14</v>
      </c>
      <c r="K7571" t="str">
        <f>"7T8"</f>
        <v>7T8</v>
      </c>
      <c r="L7571" t="s">
        <v>15</v>
      </c>
    </row>
    <row r="7572" spans="1:12" x14ac:dyDescent="0.25">
      <c r="A7572" t="str">
        <f>"6054181859"</f>
        <v>6054181859</v>
      </c>
      <c r="B7572" t="str">
        <f t="shared" si="353"/>
        <v>89301000</v>
      </c>
      <c r="C7572" s="1">
        <v>44468</v>
      </c>
      <c r="D7572" s="1">
        <v>44473</v>
      </c>
      <c r="E7572">
        <v>1</v>
      </c>
      <c r="F7572" t="s">
        <v>4967</v>
      </c>
      <c r="G7572" t="str">
        <f>"08-K02-02"</f>
        <v>08-K02-02</v>
      </c>
      <c r="H7572">
        <v>1.2081999999999999</v>
      </c>
      <c r="I7572" t="s">
        <v>5430</v>
      </c>
      <c r="J7572" t="s">
        <v>14</v>
      </c>
      <c r="K7572" t="str">
        <f>"1F9"</f>
        <v>1F9</v>
      </c>
      <c r="L7572" t="s">
        <v>15</v>
      </c>
    </row>
    <row r="7573" spans="1:12" x14ac:dyDescent="0.25">
      <c r="A7573" t="str">
        <f>"6054201274"</f>
        <v>6054201274</v>
      </c>
      <c r="B7573" t="str">
        <f t="shared" si="353"/>
        <v>89301000</v>
      </c>
      <c r="C7573" s="1">
        <v>44261</v>
      </c>
      <c r="D7573" s="1">
        <v>44264</v>
      </c>
      <c r="E7573">
        <v>5</v>
      </c>
      <c r="F7573" t="s">
        <v>217</v>
      </c>
      <c r="G7573" t="str">
        <f>"04-K02-04"</f>
        <v>04-K02-04</v>
      </c>
      <c r="H7573">
        <v>0.82469999999999999</v>
      </c>
      <c r="I7573" t="s">
        <v>5431</v>
      </c>
      <c r="J7573" t="s">
        <v>14</v>
      </c>
      <c r="K7573" t="str">
        <f>"5F1"</f>
        <v>5F1</v>
      </c>
      <c r="L7573" t="s">
        <v>15</v>
      </c>
    </row>
    <row r="7574" spans="1:12" x14ac:dyDescent="0.25">
      <c r="A7574" t="str">
        <f>"6055010500"</f>
        <v>6055010500</v>
      </c>
      <c r="B7574" t="str">
        <f t="shared" si="353"/>
        <v>89301000</v>
      </c>
      <c r="C7574" s="1">
        <v>44264</v>
      </c>
      <c r="D7574" s="1">
        <v>44267</v>
      </c>
      <c r="E7574">
        <v>1</v>
      </c>
      <c r="F7574" t="s">
        <v>473</v>
      </c>
      <c r="G7574" t="str">
        <f>"05-K13-02"</f>
        <v>05-K13-02</v>
      </c>
      <c r="H7574">
        <v>0.60950000000000004</v>
      </c>
      <c r="I7574" t="s">
        <v>5432</v>
      </c>
      <c r="J7574" t="s">
        <v>14</v>
      </c>
      <c r="K7574" t="str">
        <f>"1F5"</f>
        <v>1F5</v>
      </c>
      <c r="L7574" t="s">
        <v>15</v>
      </c>
    </row>
    <row r="7575" spans="1:12" x14ac:dyDescent="0.25">
      <c r="A7575" t="str">
        <f>"6055101261"</f>
        <v>6055101261</v>
      </c>
      <c r="B7575" t="str">
        <f t="shared" si="353"/>
        <v>89301000</v>
      </c>
      <c r="C7575" s="1">
        <v>44230</v>
      </c>
      <c r="D7575" s="1">
        <v>44265</v>
      </c>
      <c r="E7575">
        <v>1</v>
      </c>
      <c r="F7575" t="s">
        <v>16</v>
      </c>
      <c r="G7575" t="str">
        <f>"08-I04-02"</f>
        <v>08-I04-02</v>
      </c>
      <c r="H7575">
        <v>3.9861</v>
      </c>
      <c r="I7575" t="s">
        <v>5433</v>
      </c>
      <c r="J7575" t="s">
        <v>17</v>
      </c>
      <c r="K7575" t="str">
        <f>"5F6"</f>
        <v>5F6</v>
      </c>
      <c r="L7575" t="s">
        <v>15</v>
      </c>
    </row>
    <row r="7576" spans="1:12" x14ac:dyDescent="0.25">
      <c r="A7576" t="str">
        <f>"6055141257"</f>
        <v>6055141257</v>
      </c>
      <c r="B7576" t="str">
        <f t="shared" si="353"/>
        <v>89301000</v>
      </c>
      <c r="C7576" s="1">
        <v>44370</v>
      </c>
      <c r="D7576" s="1">
        <v>44374</v>
      </c>
      <c r="E7576">
        <v>1</v>
      </c>
      <c r="F7576" t="s">
        <v>593</v>
      </c>
      <c r="G7576" t="str">
        <f>"07-K05-03"</f>
        <v>07-K05-03</v>
      </c>
      <c r="H7576">
        <v>0.4622</v>
      </c>
      <c r="I7576" t="s">
        <v>5434</v>
      </c>
      <c r="J7576" t="s">
        <v>14</v>
      </c>
      <c r="K7576" t="str">
        <f>"5F1"</f>
        <v>5F1</v>
      </c>
      <c r="L7576" t="s">
        <v>15</v>
      </c>
    </row>
    <row r="7577" spans="1:12" x14ac:dyDescent="0.25">
      <c r="A7577" t="str">
        <f>"6055142027"</f>
        <v>6055142027</v>
      </c>
      <c r="B7577" t="str">
        <f t="shared" si="353"/>
        <v>89301000</v>
      </c>
      <c r="C7577" s="1">
        <v>44224</v>
      </c>
      <c r="D7577" s="1">
        <v>44224</v>
      </c>
      <c r="E7577">
        <v>1</v>
      </c>
      <c r="F7577" t="s">
        <v>1557</v>
      </c>
      <c r="G7577" t="str">
        <f>"05-D01-08"</f>
        <v>05-D01-08</v>
      </c>
      <c r="H7577">
        <v>0.21890000000000001</v>
      </c>
      <c r="I7577" t="s">
        <v>5435</v>
      </c>
      <c r="J7577" t="s">
        <v>14</v>
      </c>
      <c r="K7577" t="str">
        <f>"1F7"</f>
        <v>1F7</v>
      </c>
      <c r="L7577" t="s">
        <v>15</v>
      </c>
    </row>
    <row r="7578" spans="1:12" x14ac:dyDescent="0.25">
      <c r="A7578" t="str">
        <f>"6055142027"</f>
        <v>6055142027</v>
      </c>
      <c r="B7578" t="str">
        <f t="shared" si="353"/>
        <v>89301000</v>
      </c>
      <c r="C7578" s="1">
        <v>44230</v>
      </c>
      <c r="D7578" s="1">
        <v>44230</v>
      </c>
      <c r="E7578">
        <v>1</v>
      </c>
      <c r="F7578" t="s">
        <v>1842</v>
      </c>
      <c r="G7578" t="str">
        <f>"05-I14-04"</f>
        <v>05-I14-04</v>
      </c>
      <c r="H7578">
        <v>5.1692</v>
      </c>
      <c r="I7578" t="s">
        <v>1602</v>
      </c>
      <c r="J7578" t="s">
        <v>14</v>
      </c>
      <c r="K7578" t="str">
        <f>"1F7"</f>
        <v>1F7</v>
      </c>
      <c r="L7578" t="s">
        <v>15</v>
      </c>
    </row>
    <row r="7579" spans="1:12" x14ac:dyDescent="0.25">
      <c r="A7579" t="str">
        <f>"6055151883"</f>
        <v>6055151883</v>
      </c>
      <c r="B7579" t="str">
        <f t="shared" si="353"/>
        <v>89301000</v>
      </c>
      <c r="C7579" s="1">
        <v>44216</v>
      </c>
      <c r="D7579" s="1">
        <v>44218</v>
      </c>
      <c r="E7579">
        <v>7</v>
      </c>
      <c r="F7579" t="s">
        <v>290</v>
      </c>
      <c r="G7579" t="str">
        <f>"05-K06-01"</f>
        <v>05-K06-01</v>
      </c>
      <c r="H7579">
        <v>2.5053000000000001</v>
      </c>
      <c r="I7579" t="s">
        <v>5436</v>
      </c>
      <c r="J7579" t="s">
        <v>14</v>
      </c>
      <c r="K7579" t="str">
        <f>"5T1"</f>
        <v>5T1</v>
      </c>
      <c r="L7579" t="s">
        <v>15</v>
      </c>
    </row>
    <row r="7580" spans="1:12" x14ac:dyDescent="0.25">
      <c r="A7580" t="str">
        <f>"6055221887"</f>
        <v>6055221887</v>
      </c>
      <c r="B7580" t="str">
        <f t="shared" si="353"/>
        <v>89301000</v>
      </c>
      <c r="C7580" s="1">
        <v>44252</v>
      </c>
      <c r="D7580" s="1">
        <v>44257</v>
      </c>
      <c r="E7580">
        <v>1</v>
      </c>
      <c r="F7580" t="s">
        <v>1551</v>
      </c>
      <c r="G7580" t="str">
        <f>"09-I06-04"</f>
        <v>09-I06-04</v>
      </c>
      <c r="H7580">
        <v>0.98829999999999996</v>
      </c>
      <c r="J7580" t="s">
        <v>17</v>
      </c>
      <c r="K7580" t="str">
        <f>"5F1"</f>
        <v>5F1</v>
      </c>
      <c r="L7580" t="s">
        <v>15</v>
      </c>
    </row>
    <row r="7581" spans="1:12" x14ac:dyDescent="0.25">
      <c r="A7581" t="str">
        <f>"6055250355"</f>
        <v>6055250355</v>
      </c>
      <c r="B7581" t="str">
        <f t="shared" si="353"/>
        <v>89301000</v>
      </c>
      <c r="C7581" s="1">
        <v>44271</v>
      </c>
      <c r="D7581" s="1">
        <v>44280</v>
      </c>
      <c r="E7581">
        <v>5</v>
      </c>
      <c r="F7581" t="s">
        <v>217</v>
      </c>
      <c r="G7581" t="str">
        <f>"04-K02-03"</f>
        <v>04-K02-03</v>
      </c>
      <c r="H7581">
        <v>1.2859</v>
      </c>
      <c r="I7581" t="s">
        <v>5437</v>
      </c>
      <c r="J7581" t="s">
        <v>14</v>
      </c>
      <c r="K7581" t="str">
        <f>"1F6"</f>
        <v>1F6</v>
      </c>
      <c r="L7581" t="s">
        <v>15</v>
      </c>
    </row>
    <row r="7582" spans="1:12" x14ac:dyDescent="0.25">
      <c r="A7582" t="str">
        <f>"6055311735"</f>
        <v>6055311735</v>
      </c>
      <c r="B7582" t="str">
        <f t="shared" si="353"/>
        <v>89301000</v>
      </c>
      <c r="C7582" s="1">
        <v>44255</v>
      </c>
      <c r="D7582" s="1">
        <v>44258</v>
      </c>
      <c r="E7582">
        <v>1</v>
      </c>
      <c r="F7582" t="s">
        <v>43</v>
      </c>
      <c r="G7582" t="str">
        <f>"06-I18-05"</f>
        <v>06-I18-05</v>
      </c>
      <c r="H7582">
        <v>0.85550000000000004</v>
      </c>
      <c r="I7582" t="s">
        <v>168</v>
      </c>
      <c r="J7582" t="s">
        <v>24</v>
      </c>
      <c r="K7582" t="str">
        <f>"5F1"</f>
        <v>5F1</v>
      </c>
      <c r="L7582" t="s">
        <v>15</v>
      </c>
    </row>
    <row r="7583" spans="1:12" x14ac:dyDescent="0.25">
      <c r="A7583" t="str">
        <f>"6056021147"</f>
        <v>6056021147</v>
      </c>
      <c r="B7583" t="str">
        <f t="shared" si="353"/>
        <v>89301000</v>
      </c>
      <c r="C7583" s="1">
        <v>44418</v>
      </c>
      <c r="D7583" s="1">
        <v>44419</v>
      </c>
      <c r="E7583">
        <v>1</v>
      </c>
      <c r="F7583" t="s">
        <v>3083</v>
      </c>
      <c r="G7583" t="str">
        <f>"04-K10-02"</f>
        <v>04-K10-02</v>
      </c>
      <c r="H7583">
        <v>0.38879999999999998</v>
      </c>
      <c r="I7583" t="s">
        <v>5438</v>
      </c>
      <c r="J7583" t="s">
        <v>14</v>
      </c>
      <c r="K7583" t="str">
        <f>"2F5"</f>
        <v>2F5</v>
      </c>
      <c r="L7583" t="s">
        <v>15</v>
      </c>
    </row>
    <row r="7584" spans="1:12" x14ac:dyDescent="0.25">
      <c r="A7584" t="str">
        <f>"6056021147"</f>
        <v>6056021147</v>
      </c>
      <c r="B7584" t="str">
        <f t="shared" si="353"/>
        <v>89301000</v>
      </c>
      <c r="C7584" s="1">
        <v>44459</v>
      </c>
      <c r="D7584" s="1">
        <v>44462</v>
      </c>
      <c r="E7584">
        <v>1</v>
      </c>
      <c r="F7584" t="s">
        <v>1551</v>
      </c>
      <c r="G7584" t="str">
        <f>"09-I06-04"</f>
        <v>09-I06-04</v>
      </c>
      <c r="H7584">
        <v>0.98829999999999996</v>
      </c>
      <c r="J7584" t="s">
        <v>17</v>
      </c>
      <c r="K7584" t="str">
        <f>"5F1"</f>
        <v>5F1</v>
      </c>
      <c r="L7584" t="s">
        <v>15</v>
      </c>
    </row>
    <row r="7585" spans="1:12" x14ac:dyDescent="0.25">
      <c r="A7585" t="str">
        <f>"6056180515"</f>
        <v>6056180515</v>
      </c>
      <c r="B7585" t="str">
        <f t="shared" si="353"/>
        <v>89301000</v>
      </c>
      <c r="C7585" s="1">
        <v>44532</v>
      </c>
      <c r="D7585" s="1">
        <v>44532</v>
      </c>
      <c r="E7585">
        <v>1</v>
      </c>
      <c r="F7585" t="s">
        <v>1557</v>
      </c>
      <c r="G7585" t="str">
        <f>"05-M06-08"</f>
        <v>05-M06-08</v>
      </c>
      <c r="H7585">
        <v>1.1200000000000001</v>
      </c>
      <c r="J7585" t="s">
        <v>17</v>
      </c>
      <c r="K7585" t="str">
        <f>"1F1"</f>
        <v>1F1</v>
      </c>
      <c r="L7585" t="s">
        <v>15</v>
      </c>
    </row>
    <row r="7586" spans="1:12" x14ac:dyDescent="0.25">
      <c r="A7586" t="str">
        <f>"6056220995"</f>
        <v>6056220995</v>
      </c>
      <c r="B7586" t="str">
        <f t="shared" si="353"/>
        <v>89301000</v>
      </c>
      <c r="C7586" s="1">
        <v>44449</v>
      </c>
      <c r="D7586" s="1">
        <v>44453</v>
      </c>
      <c r="E7586">
        <v>1</v>
      </c>
      <c r="F7586" t="s">
        <v>735</v>
      </c>
      <c r="G7586" t="str">
        <f>"08-I14-02"</f>
        <v>08-I14-02</v>
      </c>
      <c r="H7586">
        <v>1.7324999999999999</v>
      </c>
      <c r="I7586" t="s">
        <v>244</v>
      </c>
      <c r="J7586" t="s">
        <v>17</v>
      </c>
      <c r="K7586" t="str">
        <f>"5F3"</f>
        <v>5F3</v>
      </c>
      <c r="L7586" t="s">
        <v>15</v>
      </c>
    </row>
    <row r="7587" spans="1:12" x14ac:dyDescent="0.25">
      <c r="A7587" t="str">
        <f>"6056230521"</f>
        <v>6056230521</v>
      </c>
      <c r="B7587" t="str">
        <f t="shared" si="353"/>
        <v>89301000</v>
      </c>
      <c r="C7587" s="1">
        <v>44284</v>
      </c>
      <c r="D7587" s="1">
        <v>44284</v>
      </c>
      <c r="E7587">
        <v>1</v>
      </c>
      <c r="F7587" t="s">
        <v>489</v>
      </c>
      <c r="G7587" t="str">
        <f>"05-D01-08"</f>
        <v>05-D01-08</v>
      </c>
      <c r="H7587">
        <v>0.21890000000000001</v>
      </c>
      <c r="I7587" t="s">
        <v>5439</v>
      </c>
      <c r="J7587" t="s">
        <v>14</v>
      </c>
      <c r="K7587" t="str">
        <f>"1F1"</f>
        <v>1F1</v>
      </c>
      <c r="L7587" t="s">
        <v>15</v>
      </c>
    </row>
    <row r="7588" spans="1:12" x14ac:dyDescent="0.25">
      <c r="A7588" t="str">
        <f>"6056240993"</f>
        <v>6056240993</v>
      </c>
      <c r="B7588" t="str">
        <f t="shared" si="353"/>
        <v>89301000</v>
      </c>
      <c r="C7588" s="1">
        <v>44508</v>
      </c>
      <c r="D7588" s="1">
        <v>44510</v>
      </c>
      <c r="E7588">
        <v>1</v>
      </c>
      <c r="F7588" t="s">
        <v>41</v>
      </c>
      <c r="G7588" t="str">
        <f>"01-D01-03"</f>
        <v>01-D01-03</v>
      </c>
      <c r="H7588">
        <v>0.158</v>
      </c>
      <c r="I7588" t="s">
        <v>1983</v>
      </c>
      <c r="J7588" t="s">
        <v>14</v>
      </c>
      <c r="K7588" t="str">
        <f>"2F5"</f>
        <v>2F5</v>
      </c>
      <c r="L7588" t="s">
        <v>15</v>
      </c>
    </row>
    <row r="7589" spans="1:12" x14ac:dyDescent="0.25">
      <c r="A7589" t="str">
        <f>"6057021630"</f>
        <v>6057021630</v>
      </c>
      <c r="B7589" t="str">
        <f t="shared" si="353"/>
        <v>89301000</v>
      </c>
      <c r="C7589" s="1">
        <v>44285</v>
      </c>
      <c r="D7589" s="1">
        <v>44287</v>
      </c>
      <c r="E7589">
        <v>1</v>
      </c>
      <c r="F7589" t="s">
        <v>217</v>
      </c>
      <c r="G7589" t="str">
        <f>"04-K02-04"</f>
        <v>04-K02-04</v>
      </c>
      <c r="H7589">
        <v>0.82469999999999999</v>
      </c>
      <c r="I7589" t="s">
        <v>5440</v>
      </c>
      <c r="J7589" t="s">
        <v>14</v>
      </c>
      <c r="K7589" t="str">
        <f>"5F1"</f>
        <v>5F1</v>
      </c>
      <c r="L7589" t="s">
        <v>15</v>
      </c>
    </row>
    <row r="7590" spans="1:12" x14ac:dyDescent="0.25">
      <c r="A7590" t="str">
        <f>"6057050868"</f>
        <v>6057050868</v>
      </c>
      <c r="B7590" t="str">
        <f t="shared" si="353"/>
        <v>89301000</v>
      </c>
      <c r="C7590" s="1">
        <v>44498</v>
      </c>
      <c r="D7590" s="1">
        <v>44502</v>
      </c>
      <c r="E7590">
        <v>1</v>
      </c>
      <c r="F7590" t="s">
        <v>43</v>
      </c>
      <c r="G7590" t="str">
        <f>"06-I18-05"</f>
        <v>06-I18-05</v>
      </c>
      <c r="H7590">
        <v>0.85550000000000004</v>
      </c>
      <c r="J7590" t="s">
        <v>24</v>
      </c>
      <c r="K7590" t="str">
        <f>"5F1"</f>
        <v>5F1</v>
      </c>
      <c r="L7590" t="s">
        <v>15</v>
      </c>
    </row>
    <row r="7591" spans="1:12" x14ac:dyDescent="0.25">
      <c r="A7591" t="str">
        <f>"6057062451"</f>
        <v>6057062451</v>
      </c>
      <c r="B7591" t="str">
        <f t="shared" si="353"/>
        <v>89301000</v>
      </c>
      <c r="C7591" s="1">
        <v>44405</v>
      </c>
      <c r="D7591" s="1">
        <v>44412</v>
      </c>
      <c r="E7591">
        <v>4</v>
      </c>
      <c r="F7591" t="s">
        <v>1968</v>
      </c>
      <c r="G7591" t="str">
        <f>"08-I05-04"</f>
        <v>08-I05-04</v>
      </c>
      <c r="H7591">
        <v>2.4581</v>
      </c>
      <c r="J7591" t="s">
        <v>17</v>
      </c>
      <c r="K7591" t="str">
        <f>"6F6"</f>
        <v>6F6</v>
      </c>
      <c r="L7591" t="s">
        <v>15</v>
      </c>
    </row>
    <row r="7592" spans="1:12" x14ac:dyDescent="0.25">
      <c r="A7592" t="str">
        <f>"6057112028"</f>
        <v>6057112028</v>
      </c>
      <c r="B7592" t="str">
        <f t="shared" si="353"/>
        <v>89301000</v>
      </c>
      <c r="C7592" s="1">
        <v>44325</v>
      </c>
      <c r="D7592" s="1">
        <v>44337</v>
      </c>
      <c r="E7592">
        <v>7</v>
      </c>
      <c r="F7592" t="s">
        <v>217</v>
      </c>
      <c r="G7592" t="str">
        <f>"00-M02-04"</f>
        <v>00-M02-04</v>
      </c>
      <c r="H7592">
        <v>12.392799999999999</v>
      </c>
      <c r="I7592" t="s">
        <v>5441</v>
      </c>
      <c r="J7592" t="s">
        <v>14</v>
      </c>
      <c r="K7592" t="str">
        <f>"7T8"</f>
        <v>7T8</v>
      </c>
      <c r="L7592" t="s">
        <v>15</v>
      </c>
    </row>
    <row r="7593" spans="1:12" x14ac:dyDescent="0.25">
      <c r="A7593" t="str">
        <f>"6057191800"</f>
        <v>6057191800</v>
      </c>
      <c r="B7593" t="str">
        <f t="shared" si="353"/>
        <v>89301000</v>
      </c>
      <c r="C7593" s="1">
        <v>44278</v>
      </c>
      <c r="D7593" s="1">
        <v>44299</v>
      </c>
      <c r="E7593">
        <v>1</v>
      </c>
      <c r="F7593" t="s">
        <v>1953</v>
      </c>
      <c r="G7593" t="str">
        <f>"07-M02-02"</f>
        <v>07-M02-02</v>
      </c>
      <c r="H7593">
        <v>2.1716000000000002</v>
      </c>
      <c r="I7593" t="s">
        <v>5442</v>
      </c>
      <c r="J7593" t="s">
        <v>17</v>
      </c>
      <c r="K7593" t="str">
        <f>"4F2"</f>
        <v>4F2</v>
      </c>
      <c r="L7593" t="s">
        <v>15</v>
      </c>
    </row>
    <row r="7594" spans="1:12" x14ac:dyDescent="0.25">
      <c r="A7594" t="str">
        <f>"6057220917"</f>
        <v>6057220917</v>
      </c>
      <c r="B7594" t="str">
        <f t="shared" si="353"/>
        <v>89301000</v>
      </c>
      <c r="C7594" s="1">
        <v>44372</v>
      </c>
      <c r="D7594" s="1">
        <v>44376</v>
      </c>
      <c r="E7594">
        <v>1</v>
      </c>
      <c r="F7594" t="s">
        <v>351</v>
      </c>
      <c r="G7594" t="str">
        <f>"10-K04-04"</f>
        <v>10-K04-04</v>
      </c>
      <c r="H7594">
        <v>0.56330000000000002</v>
      </c>
      <c r="I7594" t="s">
        <v>5443</v>
      </c>
      <c r="J7594" t="s">
        <v>14</v>
      </c>
      <c r="K7594" t="str">
        <f>"1F1"</f>
        <v>1F1</v>
      </c>
      <c r="L7594" t="s">
        <v>15</v>
      </c>
    </row>
    <row r="7595" spans="1:12" x14ac:dyDescent="0.25">
      <c r="A7595" t="str">
        <f>"6057311843"</f>
        <v>6057311843</v>
      </c>
      <c r="B7595" t="str">
        <f t="shared" si="353"/>
        <v>89301000</v>
      </c>
      <c r="C7595" s="1">
        <v>44355</v>
      </c>
      <c r="D7595" s="1">
        <v>44358</v>
      </c>
      <c r="E7595">
        <v>1</v>
      </c>
      <c r="F7595" t="s">
        <v>593</v>
      </c>
      <c r="G7595" t="str">
        <f>"07-I10-06"</f>
        <v>07-I10-06</v>
      </c>
      <c r="H7595">
        <v>0.9728</v>
      </c>
      <c r="J7595" t="s">
        <v>17</v>
      </c>
      <c r="K7595" t="str">
        <f>"5F1"</f>
        <v>5F1</v>
      </c>
      <c r="L7595" t="s">
        <v>15</v>
      </c>
    </row>
    <row r="7596" spans="1:12" x14ac:dyDescent="0.25">
      <c r="A7596" t="str">
        <f>"6058090918"</f>
        <v>6058090918</v>
      </c>
      <c r="B7596" t="str">
        <f t="shared" si="353"/>
        <v>89301000</v>
      </c>
      <c r="C7596" s="1">
        <v>44474</v>
      </c>
      <c r="D7596" s="1">
        <v>44477</v>
      </c>
      <c r="E7596">
        <v>1</v>
      </c>
      <c r="F7596" t="s">
        <v>5444</v>
      </c>
      <c r="G7596" t="str">
        <f>"08-K02-03"</f>
        <v>08-K02-03</v>
      </c>
      <c r="H7596">
        <v>0.73560000000000003</v>
      </c>
      <c r="I7596" t="s">
        <v>5445</v>
      </c>
      <c r="J7596" t="s">
        <v>14</v>
      </c>
      <c r="K7596" t="str">
        <f>"1F9"</f>
        <v>1F9</v>
      </c>
      <c r="L7596" t="s">
        <v>15</v>
      </c>
    </row>
    <row r="7597" spans="1:12" x14ac:dyDescent="0.25">
      <c r="A7597" t="str">
        <f>"6058281141"</f>
        <v>6058281141</v>
      </c>
      <c r="B7597" t="str">
        <f t="shared" si="353"/>
        <v>89301000</v>
      </c>
      <c r="C7597" s="1">
        <v>44356</v>
      </c>
      <c r="D7597" s="1">
        <v>44359</v>
      </c>
      <c r="E7597">
        <v>1</v>
      </c>
      <c r="F7597" t="s">
        <v>4196</v>
      </c>
      <c r="G7597" t="str">
        <f>"08-M03-03"</f>
        <v>08-M03-03</v>
      </c>
      <c r="H7597">
        <v>0.69450000000000001</v>
      </c>
      <c r="J7597" t="s">
        <v>14</v>
      </c>
      <c r="K7597" t="str">
        <f>"6F6"</f>
        <v>6F6</v>
      </c>
      <c r="L7597" t="s">
        <v>15</v>
      </c>
    </row>
    <row r="7598" spans="1:12" x14ac:dyDescent="0.25">
      <c r="A7598" t="str">
        <f>"6058290766"</f>
        <v>6058290766</v>
      </c>
      <c r="B7598" t="str">
        <f t="shared" si="353"/>
        <v>89301000</v>
      </c>
      <c r="C7598" s="1">
        <v>44463</v>
      </c>
      <c r="D7598" s="1">
        <v>44470</v>
      </c>
      <c r="E7598">
        <v>1</v>
      </c>
      <c r="F7598" t="s">
        <v>670</v>
      </c>
      <c r="G7598" t="str">
        <f>"06-I07-05"</f>
        <v>06-I07-05</v>
      </c>
      <c r="H7598">
        <v>2.8466999999999998</v>
      </c>
      <c r="I7598" t="s">
        <v>2049</v>
      </c>
      <c r="J7598" t="s">
        <v>17</v>
      </c>
      <c r="K7598" t="str">
        <f>"5F1"</f>
        <v>5F1</v>
      </c>
      <c r="L7598" t="s">
        <v>15</v>
      </c>
    </row>
    <row r="7599" spans="1:12" x14ac:dyDescent="0.25">
      <c r="A7599" t="str">
        <f>"6059010540"</f>
        <v>6059010540</v>
      </c>
      <c r="B7599" t="str">
        <f t="shared" si="353"/>
        <v>89301000</v>
      </c>
      <c r="C7599" s="1">
        <v>44444</v>
      </c>
      <c r="D7599" s="1">
        <v>44448</v>
      </c>
      <c r="E7599">
        <v>1</v>
      </c>
      <c r="F7599" t="s">
        <v>5446</v>
      </c>
      <c r="G7599" t="str">
        <f>"01-K07-03"</f>
        <v>01-K07-03</v>
      </c>
      <c r="H7599">
        <v>0.4642</v>
      </c>
      <c r="I7599" t="s">
        <v>5447</v>
      </c>
      <c r="J7599" t="s">
        <v>14</v>
      </c>
      <c r="K7599" t="str">
        <f>"2F9"</f>
        <v>2F9</v>
      </c>
      <c r="L7599" t="s">
        <v>15</v>
      </c>
    </row>
    <row r="7600" spans="1:12" x14ac:dyDescent="0.25">
      <c r="A7600" t="str">
        <f>"6059140989"</f>
        <v>6059140989</v>
      </c>
      <c r="B7600" t="str">
        <f t="shared" si="353"/>
        <v>89301000</v>
      </c>
      <c r="C7600" s="1">
        <v>44488</v>
      </c>
      <c r="D7600" s="1">
        <v>44496</v>
      </c>
      <c r="E7600">
        <v>1</v>
      </c>
      <c r="F7600" t="s">
        <v>144</v>
      </c>
      <c r="G7600" t="str">
        <f>"04-I03-04"</f>
        <v>04-I03-04</v>
      </c>
      <c r="H7600">
        <v>2.0316000000000001</v>
      </c>
      <c r="I7600" t="s">
        <v>2119</v>
      </c>
      <c r="J7600" t="s">
        <v>106</v>
      </c>
      <c r="K7600" t="str">
        <f>"5F1"</f>
        <v>5F1</v>
      </c>
      <c r="L7600" t="s">
        <v>15</v>
      </c>
    </row>
    <row r="7601" spans="1:12" x14ac:dyDescent="0.25">
      <c r="A7601" t="str">
        <f>"6060010330"</f>
        <v>6060010330</v>
      </c>
      <c r="B7601" t="str">
        <f t="shared" si="353"/>
        <v>89301000</v>
      </c>
      <c r="C7601" s="1">
        <v>44335</v>
      </c>
      <c r="D7601" s="1">
        <v>44337</v>
      </c>
      <c r="E7601">
        <v>1</v>
      </c>
      <c r="F7601" t="s">
        <v>1606</v>
      </c>
      <c r="G7601" t="str">
        <f>"05-M05-02"</f>
        <v>05-M05-02</v>
      </c>
      <c r="H7601">
        <v>3.516</v>
      </c>
      <c r="J7601" t="s">
        <v>24</v>
      </c>
      <c r="K7601" t="str">
        <f>"1F7"</f>
        <v>1F7</v>
      </c>
      <c r="L7601" t="s">
        <v>15</v>
      </c>
    </row>
    <row r="7602" spans="1:12" x14ac:dyDescent="0.25">
      <c r="A7602" t="str">
        <f>"6060070764"</f>
        <v>6060070764</v>
      </c>
      <c r="B7602" t="str">
        <f t="shared" si="353"/>
        <v>89301000</v>
      </c>
      <c r="C7602" s="1">
        <v>44514</v>
      </c>
      <c r="D7602" s="1">
        <v>44518</v>
      </c>
      <c r="E7602">
        <v>1</v>
      </c>
      <c r="F7602" t="s">
        <v>31</v>
      </c>
      <c r="G7602" t="str">
        <f>"08-I04-02"</f>
        <v>08-I04-02</v>
      </c>
      <c r="H7602">
        <v>1.6718999999999999</v>
      </c>
      <c r="I7602" t="s">
        <v>2769</v>
      </c>
      <c r="J7602" t="s">
        <v>17</v>
      </c>
      <c r="K7602" t="str">
        <f>"5F6"</f>
        <v>5F6</v>
      </c>
      <c r="L7602" t="s">
        <v>15</v>
      </c>
    </row>
    <row r="7603" spans="1:12" x14ac:dyDescent="0.25">
      <c r="A7603" t="str">
        <f>"6060150965"</f>
        <v>6060150965</v>
      </c>
      <c r="B7603" t="str">
        <f t="shared" si="353"/>
        <v>89301000</v>
      </c>
      <c r="C7603" s="1">
        <v>44404</v>
      </c>
      <c r="D7603" s="1">
        <v>44410</v>
      </c>
      <c r="E7603">
        <v>5</v>
      </c>
      <c r="F7603" t="s">
        <v>2729</v>
      </c>
      <c r="G7603" t="str">
        <f>"04-M02-02"</f>
        <v>04-M02-02</v>
      </c>
      <c r="H7603">
        <v>2.1122999999999998</v>
      </c>
      <c r="I7603" t="s">
        <v>5448</v>
      </c>
      <c r="J7603" t="s">
        <v>14</v>
      </c>
      <c r="K7603" t="str">
        <f>"2F5"</f>
        <v>2F5</v>
      </c>
      <c r="L7603" t="s">
        <v>15</v>
      </c>
    </row>
    <row r="7604" spans="1:12" x14ac:dyDescent="0.25">
      <c r="A7604" t="str">
        <f>"6060221167"</f>
        <v>6060221167</v>
      </c>
      <c r="B7604" t="str">
        <f t="shared" si="353"/>
        <v>89301000</v>
      </c>
      <c r="C7604" s="1">
        <v>44291</v>
      </c>
      <c r="D7604" s="1">
        <v>44298</v>
      </c>
      <c r="E7604">
        <v>4</v>
      </c>
      <c r="F7604" t="s">
        <v>2407</v>
      </c>
      <c r="G7604" t="str">
        <f>"08-I06-04"</f>
        <v>08-I06-04</v>
      </c>
      <c r="H7604">
        <v>2.4260000000000002</v>
      </c>
      <c r="I7604" t="s">
        <v>4260</v>
      </c>
      <c r="J7604" t="s">
        <v>24</v>
      </c>
      <c r="K7604" t="str">
        <f>"6F6"</f>
        <v>6F6</v>
      </c>
      <c r="L7604" t="s">
        <v>15</v>
      </c>
    </row>
    <row r="7605" spans="1:12" x14ac:dyDescent="0.25">
      <c r="A7605" t="str">
        <f>"6060281524"</f>
        <v>6060281524</v>
      </c>
      <c r="B7605" t="str">
        <f t="shared" si="353"/>
        <v>89301000</v>
      </c>
      <c r="C7605" s="1">
        <v>44207</v>
      </c>
      <c r="D7605" s="1">
        <v>44209</v>
      </c>
      <c r="E7605">
        <v>1</v>
      </c>
      <c r="F7605" t="s">
        <v>5449</v>
      </c>
      <c r="G7605" t="str">
        <f>"17-I10-02"</f>
        <v>17-I10-02</v>
      </c>
      <c r="H7605">
        <v>0.92959999999999998</v>
      </c>
      <c r="I7605" t="s">
        <v>5450</v>
      </c>
      <c r="J7605" t="s">
        <v>14</v>
      </c>
      <c r="K7605" t="str">
        <f>"5F1"</f>
        <v>5F1</v>
      </c>
      <c r="L7605" t="s">
        <v>15</v>
      </c>
    </row>
    <row r="7606" spans="1:12" x14ac:dyDescent="0.25">
      <c r="A7606" t="str">
        <f>"6060281524"</f>
        <v>6060281524</v>
      </c>
      <c r="B7606" t="str">
        <f t="shared" si="353"/>
        <v>89301000</v>
      </c>
      <c r="C7606" s="1">
        <v>44284</v>
      </c>
      <c r="D7606" s="1">
        <v>44289</v>
      </c>
      <c r="E7606">
        <v>1</v>
      </c>
      <c r="F7606" t="s">
        <v>1551</v>
      </c>
      <c r="G7606" t="str">
        <f>"09-I06-04"</f>
        <v>09-I06-04</v>
      </c>
      <c r="H7606">
        <v>0.98829999999999996</v>
      </c>
      <c r="J7606" t="s">
        <v>17</v>
      </c>
      <c r="K7606" t="str">
        <f>"5F1"</f>
        <v>5F1</v>
      </c>
      <c r="L7606" t="s">
        <v>15</v>
      </c>
    </row>
    <row r="7607" spans="1:12" x14ac:dyDescent="0.25">
      <c r="A7607" t="str">
        <f>"6061011352"</f>
        <v>6061011352</v>
      </c>
      <c r="B7607" t="str">
        <f t="shared" si="353"/>
        <v>89301000</v>
      </c>
      <c r="C7607" s="1">
        <v>44204</v>
      </c>
      <c r="D7607" s="1">
        <v>44242</v>
      </c>
      <c r="E7607">
        <v>1</v>
      </c>
      <c r="F7607" t="s">
        <v>217</v>
      </c>
      <c r="G7607" t="str">
        <f>"00-M02-04"</f>
        <v>00-M02-04</v>
      </c>
      <c r="H7607">
        <v>12.39</v>
      </c>
      <c r="I7607" t="s">
        <v>5451</v>
      </c>
      <c r="J7607" t="s">
        <v>14</v>
      </c>
      <c r="K7607" t="str">
        <f>"1F1"</f>
        <v>1F1</v>
      </c>
      <c r="L7607" t="s">
        <v>15</v>
      </c>
    </row>
    <row r="7608" spans="1:12" x14ac:dyDescent="0.25">
      <c r="A7608" t="str">
        <f>"6061131098"</f>
        <v>6061131098</v>
      </c>
      <c r="B7608" t="str">
        <f t="shared" si="353"/>
        <v>89301000</v>
      </c>
      <c r="C7608" s="1">
        <v>44260</v>
      </c>
      <c r="D7608" s="1">
        <v>44289</v>
      </c>
      <c r="E7608">
        <v>8</v>
      </c>
      <c r="F7608" t="s">
        <v>217</v>
      </c>
      <c r="G7608" t="str">
        <f>"00-M02-04"</f>
        <v>00-M02-04</v>
      </c>
      <c r="H7608">
        <v>12.071199999999999</v>
      </c>
      <c r="I7608" t="s">
        <v>5452</v>
      </c>
      <c r="J7608" t="s">
        <v>14</v>
      </c>
      <c r="K7608" t="str">
        <f>"1F1"</f>
        <v>1F1</v>
      </c>
      <c r="L7608" t="s">
        <v>15</v>
      </c>
    </row>
    <row r="7609" spans="1:12" x14ac:dyDescent="0.25">
      <c r="A7609" t="str">
        <f>"6061210364"</f>
        <v>6061210364</v>
      </c>
      <c r="B7609" t="str">
        <f t="shared" si="353"/>
        <v>89301000</v>
      </c>
      <c r="C7609" s="1">
        <v>44238</v>
      </c>
      <c r="D7609" s="1">
        <v>44239</v>
      </c>
      <c r="E7609">
        <v>1</v>
      </c>
      <c r="F7609" t="s">
        <v>5453</v>
      </c>
      <c r="G7609" t="str">
        <f>"13-I19-00"</f>
        <v>13-I19-00</v>
      </c>
      <c r="H7609">
        <v>0.24679999999999999</v>
      </c>
      <c r="J7609" t="s">
        <v>14</v>
      </c>
      <c r="K7609" t="str">
        <f>"6F3"</f>
        <v>6F3</v>
      </c>
      <c r="L7609" t="s">
        <v>15</v>
      </c>
    </row>
    <row r="7610" spans="1:12" x14ac:dyDescent="0.25">
      <c r="A7610" t="str">
        <f>"6061251438"</f>
        <v>6061251438</v>
      </c>
      <c r="B7610" t="str">
        <f t="shared" si="353"/>
        <v>89301000</v>
      </c>
      <c r="C7610" s="1">
        <v>44381</v>
      </c>
      <c r="D7610" s="1">
        <v>44390</v>
      </c>
      <c r="E7610">
        <v>1</v>
      </c>
      <c r="F7610" t="s">
        <v>5454</v>
      </c>
      <c r="G7610" t="str">
        <f>"09-K04-02"</f>
        <v>09-K04-02</v>
      </c>
      <c r="H7610">
        <v>0.68279999999999996</v>
      </c>
      <c r="I7610" t="s">
        <v>5455</v>
      </c>
      <c r="J7610" t="s">
        <v>14</v>
      </c>
      <c r="K7610" t="str">
        <f>"4F4"</f>
        <v>4F4</v>
      </c>
      <c r="L7610" t="s">
        <v>15</v>
      </c>
    </row>
    <row r="7611" spans="1:12" x14ac:dyDescent="0.25">
      <c r="A7611" t="str">
        <f>"6062016290"</f>
        <v>6062016290</v>
      </c>
      <c r="B7611" t="str">
        <f t="shared" ref="B7611:B7674" si="354">"89301000"</f>
        <v>89301000</v>
      </c>
      <c r="C7611" s="1">
        <v>44459</v>
      </c>
      <c r="D7611" s="1">
        <v>44461</v>
      </c>
      <c r="E7611">
        <v>1</v>
      </c>
      <c r="F7611" t="s">
        <v>2171</v>
      </c>
      <c r="G7611" t="str">
        <f>"19-K01-03"</f>
        <v>19-K01-03</v>
      </c>
      <c r="H7611">
        <v>0.60250000000000004</v>
      </c>
      <c r="I7611" t="s">
        <v>5456</v>
      </c>
      <c r="J7611" t="s">
        <v>27</v>
      </c>
      <c r="K7611" t="str">
        <f>"2F9"</f>
        <v>2F9</v>
      </c>
      <c r="L7611" t="s">
        <v>15</v>
      </c>
    </row>
    <row r="7612" spans="1:12" x14ac:dyDescent="0.25">
      <c r="A7612" t="str">
        <f>"6062031272"</f>
        <v>6062031272</v>
      </c>
      <c r="B7612" t="str">
        <f t="shared" si="354"/>
        <v>89301000</v>
      </c>
      <c r="C7612" s="1">
        <v>44452</v>
      </c>
      <c r="D7612" s="1">
        <v>44458</v>
      </c>
      <c r="E7612">
        <v>1</v>
      </c>
      <c r="F7612" t="s">
        <v>335</v>
      </c>
      <c r="G7612" t="str">
        <f>"07-I10-06"</f>
        <v>07-I10-06</v>
      </c>
      <c r="H7612">
        <v>1.0725</v>
      </c>
      <c r="I7612" t="s">
        <v>489</v>
      </c>
      <c r="J7612" t="s">
        <v>17</v>
      </c>
      <c r="K7612" t="str">
        <f>"5F1"</f>
        <v>5F1</v>
      </c>
      <c r="L7612" t="s">
        <v>15</v>
      </c>
    </row>
    <row r="7613" spans="1:12" x14ac:dyDescent="0.25">
      <c r="A7613" t="str">
        <f>"6062091365"</f>
        <v>6062091365</v>
      </c>
      <c r="B7613" t="str">
        <f t="shared" si="354"/>
        <v>89301000</v>
      </c>
      <c r="C7613" s="1">
        <v>44489</v>
      </c>
      <c r="D7613" s="1">
        <v>44492</v>
      </c>
      <c r="E7613">
        <v>1</v>
      </c>
      <c r="F7613" t="s">
        <v>1551</v>
      </c>
      <c r="G7613" t="str">
        <f>"09-I06-04"</f>
        <v>09-I06-04</v>
      </c>
      <c r="H7613">
        <v>0.98829999999999996</v>
      </c>
      <c r="J7613" t="s">
        <v>17</v>
      </c>
      <c r="K7613" t="str">
        <f>"5F1"</f>
        <v>5F1</v>
      </c>
      <c r="L7613" t="s">
        <v>15</v>
      </c>
    </row>
    <row r="7614" spans="1:12" x14ac:dyDescent="0.25">
      <c r="A7614" t="str">
        <f>"6062101364"</f>
        <v>6062101364</v>
      </c>
      <c r="B7614" t="str">
        <f t="shared" si="354"/>
        <v>89301000</v>
      </c>
      <c r="C7614" s="1">
        <v>44384</v>
      </c>
      <c r="D7614" s="1">
        <v>44390</v>
      </c>
      <c r="E7614">
        <v>1</v>
      </c>
      <c r="F7614" t="s">
        <v>630</v>
      </c>
      <c r="G7614" t="str">
        <f>"06-I18-03"</f>
        <v>06-I18-03</v>
      </c>
      <c r="H7614">
        <v>1.4075</v>
      </c>
      <c r="I7614" t="s">
        <v>5457</v>
      </c>
      <c r="J7614" t="s">
        <v>24</v>
      </c>
      <c r="K7614" t="str">
        <f>"5F1"</f>
        <v>5F1</v>
      </c>
      <c r="L7614" t="s">
        <v>15</v>
      </c>
    </row>
    <row r="7615" spans="1:12" x14ac:dyDescent="0.25">
      <c r="A7615" t="str">
        <f>"6062261293"</f>
        <v>6062261293</v>
      </c>
      <c r="B7615" t="str">
        <f t="shared" si="354"/>
        <v>89301000</v>
      </c>
      <c r="C7615" s="1">
        <v>44244</v>
      </c>
      <c r="D7615" s="1">
        <v>44245</v>
      </c>
      <c r="E7615">
        <v>1</v>
      </c>
      <c r="F7615" t="s">
        <v>173</v>
      </c>
      <c r="G7615" t="str">
        <f>"08-I32-02"</f>
        <v>08-I32-02</v>
      </c>
      <c r="H7615">
        <v>0.4143</v>
      </c>
      <c r="I7615" t="s">
        <v>2411</v>
      </c>
      <c r="J7615" t="s">
        <v>14</v>
      </c>
      <c r="K7615" t="str">
        <f>"6F6"</f>
        <v>6F6</v>
      </c>
      <c r="L7615" t="s">
        <v>15</v>
      </c>
    </row>
    <row r="7616" spans="1:12" x14ac:dyDescent="0.25">
      <c r="A7616" t="str">
        <f>"6101081525"</f>
        <v>6101081525</v>
      </c>
      <c r="B7616" t="str">
        <f t="shared" si="354"/>
        <v>89301000</v>
      </c>
      <c r="C7616" s="1">
        <v>44199</v>
      </c>
      <c r="D7616" s="1">
        <v>44205</v>
      </c>
      <c r="E7616">
        <v>1</v>
      </c>
      <c r="F7616" t="s">
        <v>2585</v>
      </c>
      <c r="G7616" t="str">
        <f>"12-I02-01"</f>
        <v>12-I02-01</v>
      </c>
      <c r="H7616">
        <v>3.1240999999999999</v>
      </c>
      <c r="I7616" t="s">
        <v>2288</v>
      </c>
      <c r="J7616" t="s">
        <v>14</v>
      </c>
      <c r="K7616" t="str">
        <f>"7F6"</f>
        <v>7F6</v>
      </c>
      <c r="L7616" t="s">
        <v>15</v>
      </c>
    </row>
    <row r="7617" spans="1:12" x14ac:dyDescent="0.25">
      <c r="A7617" t="str">
        <f>"6101121752"</f>
        <v>6101121752</v>
      </c>
      <c r="B7617" t="str">
        <f t="shared" si="354"/>
        <v>89301000</v>
      </c>
      <c r="C7617" s="1">
        <v>44432</v>
      </c>
      <c r="D7617" s="1">
        <v>44434</v>
      </c>
      <c r="E7617">
        <v>1</v>
      </c>
      <c r="F7617" t="s">
        <v>4094</v>
      </c>
      <c r="G7617" t="str">
        <f>"01-I13-00"</f>
        <v>01-I13-00</v>
      </c>
      <c r="H7617">
        <v>0.42880000000000001</v>
      </c>
      <c r="J7617" t="s">
        <v>14</v>
      </c>
      <c r="K7617" t="str">
        <f>"5F3"</f>
        <v>5F3</v>
      </c>
      <c r="L7617" t="s">
        <v>15</v>
      </c>
    </row>
    <row r="7618" spans="1:12" x14ac:dyDescent="0.25">
      <c r="A7618" t="str">
        <f>"6101201755"</f>
        <v>6101201755</v>
      </c>
      <c r="B7618" t="str">
        <f t="shared" si="354"/>
        <v>89301000</v>
      </c>
      <c r="C7618" s="1">
        <v>44354</v>
      </c>
      <c r="D7618" s="1">
        <v>44358</v>
      </c>
      <c r="E7618">
        <v>1</v>
      </c>
      <c r="F7618" t="s">
        <v>16</v>
      </c>
      <c r="G7618" t="str">
        <f>"08-I04-02"</f>
        <v>08-I04-02</v>
      </c>
      <c r="H7618">
        <v>1.6718999999999999</v>
      </c>
      <c r="I7618" t="s">
        <v>489</v>
      </c>
      <c r="J7618" t="s">
        <v>17</v>
      </c>
      <c r="K7618" t="str">
        <f>"5F6"</f>
        <v>5F6</v>
      </c>
      <c r="L7618" t="s">
        <v>15</v>
      </c>
    </row>
    <row r="7619" spans="1:12" x14ac:dyDescent="0.25">
      <c r="A7619" t="str">
        <f>"6101210324"</f>
        <v>6101210324</v>
      </c>
      <c r="B7619" t="str">
        <f t="shared" si="354"/>
        <v>89301000</v>
      </c>
      <c r="C7619" s="1">
        <v>44208</v>
      </c>
      <c r="D7619" s="1">
        <v>44211</v>
      </c>
      <c r="E7619">
        <v>1</v>
      </c>
      <c r="F7619" t="s">
        <v>5458</v>
      </c>
      <c r="G7619" t="str">
        <f>"08-K02-03"</f>
        <v>08-K02-03</v>
      </c>
      <c r="H7619">
        <v>0.73560000000000003</v>
      </c>
      <c r="I7619" t="s">
        <v>5459</v>
      </c>
      <c r="J7619" t="s">
        <v>14</v>
      </c>
      <c r="K7619" t="str">
        <f>"4F4"</f>
        <v>4F4</v>
      </c>
      <c r="L7619" t="s">
        <v>15</v>
      </c>
    </row>
    <row r="7620" spans="1:12" x14ac:dyDescent="0.25">
      <c r="A7620" t="str">
        <f>"6101270923"</f>
        <v>6101270923</v>
      </c>
      <c r="B7620" t="str">
        <f t="shared" si="354"/>
        <v>89301000</v>
      </c>
      <c r="C7620" s="1">
        <v>44342</v>
      </c>
      <c r="D7620" s="1">
        <v>44348</v>
      </c>
      <c r="E7620">
        <v>1</v>
      </c>
      <c r="F7620" t="s">
        <v>2648</v>
      </c>
      <c r="G7620" t="str">
        <f>"06-I12-03"</f>
        <v>06-I12-03</v>
      </c>
      <c r="H7620">
        <v>1.8894</v>
      </c>
      <c r="I7620" t="s">
        <v>5368</v>
      </c>
      <c r="J7620" t="s">
        <v>14</v>
      </c>
      <c r="K7620" t="str">
        <f>"5F1"</f>
        <v>5F1</v>
      </c>
      <c r="L7620" t="s">
        <v>15</v>
      </c>
    </row>
    <row r="7621" spans="1:12" x14ac:dyDescent="0.25">
      <c r="A7621" t="str">
        <f>"6101270923"</f>
        <v>6101270923</v>
      </c>
      <c r="B7621" t="str">
        <f t="shared" si="354"/>
        <v>89301000</v>
      </c>
      <c r="C7621" s="1">
        <v>44194</v>
      </c>
      <c r="D7621" s="1">
        <v>44207</v>
      </c>
      <c r="E7621">
        <v>1</v>
      </c>
      <c r="F7621" t="s">
        <v>3625</v>
      </c>
      <c r="G7621" t="str">
        <f>"06-I05-04"</f>
        <v>06-I05-04</v>
      </c>
      <c r="H7621">
        <v>3.3546</v>
      </c>
      <c r="I7621" t="s">
        <v>5460</v>
      </c>
      <c r="J7621" t="s">
        <v>17</v>
      </c>
      <c r="K7621" t="str">
        <f>"5F1"</f>
        <v>5F1</v>
      </c>
      <c r="L7621" t="s">
        <v>15</v>
      </c>
    </row>
    <row r="7622" spans="1:12" x14ac:dyDescent="0.25">
      <c r="A7622" t="str">
        <f>"6101311865"</f>
        <v>6101311865</v>
      </c>
      <c r="B7622" t="str">
        <f t="shared" si="354"/>
        <v>89301000</v>
      </c>
      <c r="C7622" s="1">
        <v>44465</v>
      </c>
      <c r="D7622" s="1">
        <v>44469</v>
      </c>
      <c r="E7622">
        <v>1</v>
      </c>
      <c r="F7622" t="s">
        <v>1991</v>
      </c>
      <c r="G7622" t="str">
        <f>"12-M02-02"</f>
        <v>12-M02-02</v>
      </c>
      <c r="H7622">
        <v>0.995</v>
      </c>
      <c r="I7622" t="s">
        <v>525</v>
      </c>
      <c r="J7622" t="s">
        <v>24</v>
      </c>
      <c r="K7622" t="str">
        <f>"7F6"</f>
        <v>7F6</v>
      </c>
      <c r="L7622" t="s">
        <v>15</v>
      </c>
    </row>
    <row r="7623" spans="1:12" x14ac:dyDescent="0.25">
      <c r="A7623" t="str">
        <f>"6102091050"</f>
        <v>6102091050</v>
      </c>
      <c r="B7623" t="str">
        <f t="shared" si="354"/>
        <v>89301000</v>
      </c>
      <c r="C7623" s="1">
        <v>44537</v>
      </c>
      <c r="D7623" s="1">
        <v>44537</v>
      </c>
      <c r="E7623">
        <v>1</v>
      </c>
      <c r="F7623" t="s">
        <v>1563</v>
      </c>
      <c r="G7623" t="str">
        <f>"05-D01-06"</f>
        <v>05-D01-06</v>
      </c>
      <c r="H7623">
        <v>0.40649999999999997</v>
      </c>
      <c r="J7623" t="s">
        <v>14</v>
      </c>
      <c r="K7623" t="str">
        <f>"1F1"</f>
        <v>1F1</v>
      </c>
      <c r="L7623" t="s">
        <v>15</v>
      </c>
    </row>
    <row r="7624" spans="1:12" x14ac:dyDescent="0.25">
      <c r="A7624" t="str">
        <f>"6102151253"</f>
        <v>6102151253</v>
      </c>
      <c r="B7624" t="str">
        <f t="shared" si="354"/>
        <v>89301000</v>
      </c>
      <c r="C7624" s="1">
        <v>44495</v>
      </c>
      <c r="D7624" s="1">
        <v>44498</v>
      </c>
      <c r="E7624">
        <v>1</v>
      </c>
      <c r="F7624" t="s">
        <v>4196</v>
      </c>
      <c r="G7624" t="str">
        <f>"08-M03-01"</f>
        <v>08-M03-01</v>
      </c>
      <c r="H7624">
        <v>1.3706</v>
      </c>
      <c r="J7624" t="s">
        <v>14</v>
      </c>
      <c r="K7624" t="str">
        <f>"6F6"</f>
        <v>6F6</v>
      </c>
      <c r="L7624" t="s">
        <v>15</v>
      </c>
    </row>
    <row r="7625" spans="1:12" x14ac:dyDescent="0.25">
      <c r="A7625" t="str">
        <f>"6102151429"</f>
        <v>6102151429</v>
      </c>
      <c r="B7625" t="str">
        <f t="shared" si="354"/>
        <v>89301000</v>
      </c>
      <c r="C7625" s="1">
        <v>44286</v>
      </c>
      <c r="D7625" s="1">
        <v>44300</v>
      </c>
      <c r="E7625">
        <v>2</v>
      </c>
      <c r="F7625" t="s">
        <v>2623</v>
      </c>
      <c r="G7625" t="str">
        <f>"17-K03-02"</f>
        <v>17-K03-02</v>
      </c>
      <c r="H7625">
        <v>1.4825999999999999</v>
      </c>
      <c r="I7625" t="s">
        <v>5461</v>
      </c>
      <c r="J7625" t="s">
        <v>14</v>
      </c>
      <c r="K7625" t="str">
        <f>"2F2"</f>
        <v>2F2</v>
      </c>
      <c r="L7625" t="s">
        <v>15</v>
      </c>
    </row>
    <row r="7626" spans="1:12" x14ac:dyDescent="0.25">
      <c r="A7626" t="str">
        <f>"6102200621"</f>
        <v>6102200621</v>
      </c>
      <c r="B7626" t="str">
        <f t="shared" si="354"/>
        <v>89301000</v>
      </c>
      <c r="C7626" s="1">
        <v>44511</v>
      </c>
      <c r="D7626" s="1">
        <v>44551</v>
      </c>
      <c r="E7626">
        <v>1</v>
      </c>
      <c r="F7626" t="s">
        <v>2549</v>
      </c>
      <c r="G7626" t="str">
        <f>"10-I02-01"</f>
        <v>10-I02-01</v>
      </c>
      <c r="H7626">
        <v>4.4791999999999996</v>
      </c>
      <c r="I7626" t="s">
        <v>5462</v>
      </c>
      <c r="J7626" t="s">
        <v>14</v>
      </c>
      <c r="K7626" t="str">
        <f>"1F6"</f>
        <v>1F6</v>
      </c>
      <c r="L7626" t="s">
        <v>15</v>
      </c>
    </row>
    <row r="7627" spans="1:12" x14ac:dyDescent="0.25">
      <c r="A7627" t="str">
        <f>"6102240848"</f>
        <v>6102240848</v>
      </c>
      <c r="B7627" t="str">
        <f t="shared" si="354"/>
        <v>89301000</v>
      </c>
      <c r="C7627" s="1">
        <v>44214</v>
      </c>
      <c r="D7627" s="1">
        <v>44215</v>
      </c>
      <c r="E7627">
        <v>1</v>
      </c>
      <c r="F7627" t="s">
        <v>1859</v>
      </c>
      <c r="G7627" t="str">
        <f>"03-K08-00"</f>
        <v>03-K08-00</v>
      </c>
      <c r="H7627">
        <v>0.69669999999999999</v>
      </c>
      <c r="I7627" t="s">
        <v>5463</v>
      </c>
      <c r="J7627" t="s">
        <v>14</v>
      </c>
      <c r="K7627" t="str">
        <f>"6F5"</f>
        <v>6F5</v>
      </c>
      <c r="L7627" t="s">
        <v>15</v>
      </c>
    </row>
    <row r="7628" spans="1:12" x14ac:dyDescent="0.25">
      <c r="A7628" t="str">
        <f>"6102260813"</f>
        <v>6102260813</v>
      </c>
      <c r="B7628" t="str">
        <f t="shared" si="354"/>
        <v>89301000</v>
      </c>
      <c r="C7628" s="1">
        <v>44321</v>
      </c>
      <c r="D7628" s="1">
        <v>44328</v>
      </c>
      <c r="E7628">
        <v>1</v>
      </c>
      <c r="F7628" t="s">
        <v>2030</v>
      </c>
      <c r="G7628" t="str">
        <f>"06-K14-02"</f>
        <v>06-K14-02</v>
      </c>
      <c r="H7628">
        <v>0.57279999999999998</v>
      </c>
      <c r="I7628" t="s">
        <v>5464</v>
      </c>
      <c r="J7628" t="s">
        <v>14</v>
      </c>
      <c r="K7628" t="str">
        <f>"4F2"</f>
        <v>4F2</v>
      </c>
      <c r="L7628" t="s">
        <v>15</v>
      </c>
    </row>
    <row r="7629" spans="1:12" x14ac:dyDescent="0.25">
      <c r="A7629" t="str">
        <f>"6102260813"</f>
        <v>6102260813</v>
      </c>
      <c r="B7629" t="str">
        <f t="shared" si="354"/>
        <v>89301000</v>
      </c>
      <c r="C7629" s="1">
        <v>44337</v>
      </c>
      <c r="D7629" s="1">
        <v>44344</v>
      </c>
      <c r="E7629">
        <v>7</v>
      </c>
      <c r="F7629" t="s">
        <v>3625</v>
      </c>
      <c r="G7629" t="str">
        <f>"06-K14-02"</f>
        <v>06-K14-02</v>
      </c>
      <c r="H7629">
        <v>0.57279999999999998</v>
      </c>
      <c r="I7629" t="s">
        <v>5465</v>
      </c>
      <c r="J7629" t="s">
        <v>14</v>
      </c>
      <c r="K7629" t="str">
        <f>"4F2"</f>
        <v>4F2</v>
      </c>
      <c r="L7629" t="s">
        <v>15</v>
      </c>
    </row>
    <row r="7630" spans="1:12" x14ac:dyDescent="0.25">
      <c r="A7630" t="str">
        <f>"6102281845"</f>
        <v>6102281845</v>
      </c>
      <c r="B7630" t="str">
        <f t="shared" si="354"/>
        <v>89301000</v>
      </c>
      <c r="C7630" s="1">
        <v>44486</v>
      </c>
      <c r="D7630" s="1">
        <v>44490</v>
      </c>
      <c r="E7630">
        <v>1</v>
      </c>
      <c r="F7630" t="s">
        <v>151</v>
      </c>
      <c r="G7630" t="str">
        <f>"06-I16-04"</f>
        <v>06-I16-04</v>
      </c>
      <c r="H7630">
        <v>0.67620000000000002</v>
      </c>
      <c r="J7630" t="s">
        <v>24</v>
      </c>
      <c r="K7630" t="str">
        <f>"5F1"</f>
        <v>5F1</v>
      </c>
      <c r="L7630" t="s">
        <v>15</v>
      </c>
    </row>
    <row r="7631" spans="1:12" x14ac:dyDescent="0.25">
      <c r="A7631" t="str">
        <f>"6103060700"</f>
        <v>6103060700</v>
      </c>
      <c r="B7631" t="str">
        <f t="shared" si="354"/>
        <v>89301000</v>
      </c>
      <c r="C7631" s="1">
        <v>44550</v>
      </c>
      <c r="D7631" s="1">
        <v>44552</v>
      </c>
      <c r="E7631">
        <v>1</v>
      </c>
      <c r="F7631" t="s">
        <v>1612</v>
      </c>
      <c r="G7631" t="str">
        <f>"11-M06-03"</f>
        <v>11-M06-03</v>
      </c>
      <c r="H7631">
        <v>0.61519999999999997</v>
      </c>
      <c r="I7631" t="s">
        <v>5466</v>
      </c>
      <c r="J7631" t="s">
        <v>17</v>
      </c>
      <c r="K7631" t="str">
        <f>"7F6"</f>
        <v>7F6</v>
      </c>
      <c r="L7631" t="s">
        <v>15</v>
      </c>
    </row>
    <row r="7632" spans="1:12" x14ac:dyDescent="0.25">
      <c r="A7632" t="str">
        <f>"6103080918"</f>
        <v>6103080918</v>
      </c>
      <c r="B7632" t="str">
        <f t="shared" si="354"/>
        <v>89301000</v>
      </c>
      <c r="C7632" s="1">
        <v>44334</v>
      </c>
      <c r="D7632" s="1">
        <v>44337</v>
      </c>
      <c r="E7632">
        <v>1</v>
      </c>
      <c r="F7632" t="s">
        <v>1606</v>
      </c>
      <c r="G7632" t="str">
        <f>"05-M05-02"</f>
        <v>05-M05-02</v>
      </c>
      <c r="H7632">
        <v>3.516</v>
      </c>
      <c r="J7632" t="s">
        <v>24</v>
      </c>
      <c r="K7632" t="str">
        <f>"1F7"</f>
        <v>1F7</v>
      </c>
      <c r="L7632" t="s">
        <v>15</v>
      </c>
    </row>
    <row r="7633" spans="1:12" x14ac:dyDescent="0.25">
      <c r="A7633" t="str">
        <f>"6103110981"</f>
        <v>6103110981</v>
      </c>
      <c r="B7633" t="str">
        <f t="shared" si="354"/>
        <v>89301000</v>
      </c>
      <c r="C7633" s="1">
        <v>44363</v>
      </c>
      <c r="D7633" s="1">
        <v>44377</v>
      </c>
      <c r="E7633">
        <v>1</v>
      </c>
      <c r="F7633" t="s">
        <v>5467</v>
      </c>
      <c r="G7633" t="str">
        <f>"19-K04-02"</f>
        <v>19-K04-02</v>
      </c>
      <c r="H7633">
        <v>1.4597</v>
      </c>
      <c r="I7633" t="s">
        <v>5468</v>
      </c>
      <c r="J7633" t="s">
        <v>27</v>
      </c>
      <c r="K7633" t="str">
        <f>"3F5"</f>
        <v>3F5</v>
      </c>
      <c r="L7633" t="s">
        <v>15</v>
      </c>
    </row>
    <row r="7634" spans="1:12" x14ac:dyDescent="0.25">
      <c r="A7634" t="str">
        <f>"6103270239"</f>
        <v>6103270239</v>
      </c>
      <c r="B7634" t="str">
        <f t="shared" si="354"/>
        <v>89301000</v>
      </c>
      <c r="C7634" s="1">
        <v>44206</v>
      </c>
      <c r="D7634" s="1">
        <v>44214</v>
      </c>
      <c r="E7634">
        <v>4</v>
      </c>
      <c r="F7634" t="s">
        <v>1968</v>
      </c>
      <c r="G7634" t="str">
        <f>"08-I05-04"</f>
        <v>08-I05-04</v>
      </c>
      <c r="H7634">
        <v>2.4581</v>
      </c>
      <c r="I7634" t="s">
        <v>5469</v>
      </c>
      <c r="J7634" t="s">
        <v>17</v>
      </c>
      <c r="K7634" t="str">
        <f>"6F6"</f>
        <v>6F6</v>
      </c>
      <c r="L7634" t="s">
        <v>15</v>
      </c>
    </row>
    <row r="7635" spans="1:12" x14ac:dyDescent="0.25">
      <c r="A7635" t="str">
        <f>"6103300500"</f>
        <v>6103300500</v>
      </c>
      <c r="B7635" t="str">
        <f t="shared" si="354"/>
        <v>89301000</v>
      </c>
      <c r="C7635" s="1">
        <v>44416</v>
      </c>
      <c r="D7635" s="1">
        <v>44421</v>
      </c>
      <c r="E7635">
        <v>1</v>
      </c>
      <c r="F7635" t="s">
        <v>669</v>
      </c>
      <c r="G7635" t="str">
        <f>"11-K14-03"</f>
        <v>11-K14-03</v>
      </c>
      <c r="H7635">
        <v>0.30599999999999999</v>
      </c>
      <c r="I7635" t="s">
        <v>489</v>
      </c>
      <c r="J7635" t="s">
        <v>14</v>
      </c>
      <c r="K7635" t="str">
        <f>"7F6"</f>
        <v>7F6</v>
      </c>
      <c r="L7635" t="s">
        <v>15</v>
      </c>
    </row>
    <row r="7636" spans="1:12" x14ac:dyDescent="0.25">
      <c r="A7636" t="str">
        <f>"6104030361"</f>
        <v>6104030361</v>
      </c>
      <c r="B7636" t="str">
        <f t="shared" si="354"/>
        <v>89301000</v>
      </c>
      <c r="C7636" s="1">
        <v>44292</v>
      </c>
      <c r="D7636" s="1">
        <v>44295</v>
      </c>
      <c r="E7636">
        <v>1</v>
      </c>
      <c r="F7636" t="s">
        <v>1553</v>
      </c>
      <c r="G7636" t="str">
        <f>"04-K05-03"</f>
        <v>04-K05-03</v>
      </c>
      <c r="H7636">
        <v>0.74980000000000002</v>
      </c>
      <c r="I7636" t="s">
        <v>5470</v>
      </c>
      <c r="J7636" t="s">
        <v>14</v>
      </c>
      <c r="K7636" t="str">
        <f>"1F5"</f>
        <v>1F5</v>
      </c>
      <c r="L7636" t="s">
        <v>15</v>
      </c>
    </row>
    <row r="7637" spans="1:12" x14ac:dyDescent="0.25">
      <c r="A7637" t="str">
        <f>"6104051217"</f>
        <v>6104051217</v>
      </c>
      <c r="B7637" t="str">
        <f t="shared" si="354"/>
        <v>89301000</v>
      </c>
      <c r="C7637" s="1">
        <v>44429</v>
      </c>
      <c r="D7637" s="1">
        <v>44433</v>
      </c>
      <c r="E7637">
        <v>1</v>
      </c>
      <c r="F7637" t="s">
        <v>985</v>
      </c>
      <c r="G7637" t="str">
        <f>"04-K02-04"</f>
        <v>04-K02-04</v>
      </c>
      <c r="H7637">
        <v>0.82469999999999999</v>
      </c>
      <c r="I7637" t="s">
        <v>5471</v>
      </c>
      <c r="J7637" t="s">
        <v>14</v>
      </c>
      <c r="K7637" t="str">
        <f>"2F5"</f>
        <v>2F5</v>
      </c>
      <c r="L7637" t="s">
        <v>15</v>
      </c>
    </row>
    <row r="7638" spans="1:12" x14ac:dyDescent="0.25">
      <c r="A7638" t="str">
        <f>"6104061854"</f>
        <v>6104061854</v>
      </c>
      <c r="B7638" t="str">
        <f t="shared" si="354"/>
        <v>89301000</v>
      </c>
      <c r="C7638" s="1">
        <v>44486</v>
      </c>
      <c r="D7638" s="1">
        <v>44492</v>
      </c>
      <c r="E7638">
        <v>1</v>
      </c>
      <c r="F7638" t="s">
        <v>2585</v>
      </c>
      <c r="G7638" t="str">
        <f>"12-I02-01"</f>
        <v>12-I02-01</v>
      </c>
      <c r="H7638">
        <v>3.1240999999999999</v>
      </c>
      <c r="I7638" t="s">
        <v>1959</v>
      </c>
      <c r="J7638" t="s">
        <v>14</v>
      </c>
      <c r="K7638" t="str">
        <f>"7F6"</f>
        <v>7F6</v>
      </c>
      <c r="L7638" t="s">
        <v>15</v>
      </c>
    </row>
    <row r="7639" spans="1:12" x14ac:dyDescent="0.25">
      <c r="A7639" t="str">
        <f>"6104091752"</f>
        <v>6104091752</v>
      </c>
      <c r="B7639" t="str">
        <f t="shared" si="354"/>
        <v>89301000</v>
      </c>
      <c r="C7639" s="1">
        <v>44487</v>
      </c>
      <c r="D7639" s="1">
        <v>44495</v>
      </c>
      <c r="E7639">
        <v>1</v>
      </c>
      <c r="F7639" t="s">
        <v>2026</v>
      </c>
      <c r="G7639" t="str">
        <f>"08-K08-00"</f>
        <v>08-K08-00</v>
      </c>
      <c r="H7639">
        <v>0.51670000000000005</v>
      </c>
      <c r="I7639" t="s">
        <v>5472</v>
      </c>
      <c r="J7639" t="s">
        <v>14</v>
      </c>
      <c r="K7639" t="str">
        <f>"2F9"</f>
        <v>2F9</v>
      </c>
      <c r="L7639" t="s">
        <v>15</v>
      </c>
    </row>
    <row r="7640" spans="1:12" x14ac:dyDescent="0.25">
      <c r="A7640" t="str">
        <f>"6104140933"</f>
        <v>6104140933</v>
      </c>
      <c r="B7640" t="str">
        <f t="shared" si="354"/>
        <v>89301000</v>
      </c>
      <c r="C7640" s="1">
        <v>44239</v>
      </c>
      <c r="D7640" s="1">
        <v>44239</v>
      </c>
      <c r="E7640">
        <v>1</v>
      </c>
      <c r="F7640" t="s">
        <v>1962</v>
      </c>
      <c r="G7640" t="str">
        <f>"04-K15-03"</f>
        <v>04-K15-03</v>
      </c>
      <c r="H7640">
        <v>0.25090000000000001</v>
      </c>
      <c r="J7640" t="s">
        <v>14</v>
      </c>
      <c r="K7640" t="str">
        <f>"1F1"</f>
        <v>1F1</v>
      </c>
      <c r="L7640" t="s">
        <v>15</v>
      </c>
    </row>
    <row r="7641" spans="1:12" x14ac:dyDescent="0.25">
      <c r="A7641" t="str">
        <f>"6104151834"</f>
        <v>6104151834</v>
      </c>
      <c r="B7641" t="str">
        <f t="shared" si="354"/>
        <v>89301000</v>
      </c>
      <c r="C7641" s="1">
        <v>44438</v>
      </c>
      <c r="D7641" s="1">
        <v>44442</v>
      </c>
      <c r="E7641">
        <v>1</v>
      </c>
      <c r="F7641" t="s">
        <v>132</v>
      </c>
      <c r="G7641" t="str">
        <f>"03-K03-02"</f>
        <v>03-K03-02</v>
      </c>
      <c r="H7641">
        <v>0.49249999999999999</v>
      </c>
      <c r="I7641" t="s">
        <v>5473</v>
      </c>
      <c r="J7641" t="s">
        <v>14</v>
      </c>
      <c r="K7641" t="str">
        <f>"6F5"</f>
        <v>6F5</v>
      </c>
      <c r="L7641" t="s">
        <v>15</v>
      </c>
    </row>
    <row r="7642" spans="1:12" x14ac:dyDescent="0.25">
      <c r="A7642" t="str">
        <f>"6105010285"</f>
        <v>6105010285</v>
      </c>
      <c r="B7642" t="str">
        <f t="shared" si="354"/>
        <v>89301000</v>
      </c>
      <c r="C7642" s="1">
        <v>44306</v>
      </c>
      <c r="D7642" s="1">
        <v>44308</v>
      </c>
      <c r="E7642">
        <v>1</v>
      </c>
      <c r="F7642" t="s">
        <v>2734</v>
      </c>
      <c r="G7642" t="str">
        <f>"06-M01-05"</f>
        <v>06-M01-05</v>
      </c>
      <c r="H7642">
        <v>0.41710000000000003</v>
      </c>
      <c r="I7642" t="s">
        <v>5474</v>
      </c>
      <c r="J7642" t="s">
        <v>14</v>
      </c>
      <c r="K7642" t="str">
        <f>"1F1"</f>
        <v>1F1</v>
      </c>
      <c r="L7642" t="s">
        <v>15</v>
      </c>
    </row>
    <row r="7643" spans="1:12" x14ac:dyDescent="0.25">
      <c r="A7643" t="str">
        <f>"6105010285"</f>
        <v>6105010285</v>
      </c>
      <c r="B7643" t="str">
        <f t="shared" si="354"/>
        <v>89301000</v>
      </c>
      <c r="C7643" s="1">
        <v>44284</v>
      </c>
      <c r="D7643" s="1">
        <v>44287</v>
      </c>
      <c r="E7643">
        <v>1</v>
      </c>
      <c r="F7643" t="s">
        <v>475</v>
      </c>
      <c r="G7643" t="str">
        <f>"10-K04-04"</f>
        <v>10-K04-04</v>
      </c>
      <c r="H7643">
        <v>0.56330000000000002</v>
      </c>
      <c r="I7643" t="s">
        <v>5475</v>
      </c>
      <c r="J7643" t="s">
        <v>14</v>
      </c>
      <c r="K7643" t="str">
        <f>"1F1"</f>
        <v>1F1</v>
      </c>
      <c r="L7643" t="s">
        <v>15</v>
      </c>
    </row>
    <row r="7644" spans="1:12" x14ac:dyDescent="0.25">
      <c r="A7644" t="str">
        <f>"6105011627"</f>
        <v>6105011627</v>
      </c>
      <c r="B7644" t="str">
        <f t="shared" si="354"/>
        <v>89301000</v>
      </c>
      <c r="C7644" s="1">
        <v>44448</v>
      </c>
      <c r="D7644" s="1">
        <v>44456</v>
      </c>
      <c r="E7644">
        <v>1</v>
      </c>
      <c r="F7644" t="s">
        <v>1548</v>
      </c>
      <c r="G7644" t="str">
        <f>"05-D01-06"</f>
        <v>05-D01-06</v>
      </c>
      <c r="H7644">
        <v>0.7611</v>
      </c>
      <c r="I7644" t="s">
        <v>2394</v>
      </c>
      <c r="J7644" t="s">
        <v>14</v>
      </c>
      <c r="K7644" t="str">
        <f>"1F7"</f>
        <v>1F7</v>
      </c>
      <c r="L7644" t="s">
        <v>15</v>
      </c>
    </row>
    <row r="7645" spans="1:12" x14ac:dyDescent="0.25">
      <c r="A7645" t="str">
        <f>"6105011627"</f>
        <v>6105011627</v>
      </c>
      <c r="B7645" t="str">
        <f t="shared" si="354"/>
        <v>89301000</v>
      </c>
      <c r="C7645" s="1">
        <v>44479</v>
      </c>
      <c r="D7645" s="1">
        <v>44487</v>
      </c>
      <c r="E7645">
        <v>1</v>
      </c>
      <c r="F7645" t="s">
        <v>2391</v>
      </c>
      <c r="G7645" t="str">
        <f>"05-I15-00"</f>
        <v>05-I15-00</v>
      </c>
      <c r="H7645">
        <v>8.4297000000000004</v>
      </c>
      <c r="I7645" t="s">
        <v>1780</v>
      </c>
      <c r="J7645" t="s">
        <v>14</v>
      </c>
      <c r="K7645" t="str">
        <f>"5F5"</f>
        <v>5F5</v>
      </c>
      <c r="L7645" t="s">
        <v>15</v>
      </c>
    </row>
    <row r="7646" spans="1:12" x14ac:dyDescent="0.25">
      <c r="A7646" t="str">
        <f>"6105031581"</f>
        <v>6105031581</v>
      </c>
      <c r="B7646" t="str">
        <f t="shared" si="354"/>
        <v>89301000</v>
      </c>
      <c r="C7646" s="1">
        <v>44307</v>
      </c>
      <c r="D7646" s="1">
        <v>44308</v>
      </c>
      <c r="E7646">
        <v>1</v>
      </c>
      <c r="F7646" t="s">
        <v>41</v>
      </c>
      <c r="G7646" t="str">
        <f>"01-D01-03"</f>
        <v>01-D01-03</v>
      </c>
      <c r="H7646">
        <v>0.158</v>
      </c>
      <c r="I7646" t="s">
        <v>5476</v>
      </c>
      <c r="J7646" t="s">
        <v>14</v>
      </c>
      <c r="K7646" t="str">
        <f>"2F5"</f>
        <v>2F5</v>
      </c>
      <c r="L7646" t="s">
        <v>15</v>
      </c>
    </row>
    <row r="7647" spans="1:12" x14ac:dyDescent="0.25">
      <c r="A7647" t="str">
        <f>"6105042042"</f>
        <v>6105042042</v>
      </c>
      <c r="B7647" t="str">
        <f t="shared" si="354"/>
        <v>89301000</v>
      </c>
      <c r="C7647" s="1">
        <v>44465</v>
      </c>
      <c r="D7647" s="1">
        <v>44470</v>
      </c>
      <c r="E7647">
        <v>1</v>
      </c>
      <c r="F7647" t="s">
        <v>1606</v>
      </c>
      <c r="G7647" t="str">
        <f>"05-K05-02"</f>
        <v>05-K05-02</v>
      </c>
      <c r="H7647">
        <v>0.90600000000000003</v>
      </c>
      <c r="I7647" t="s">
        <v>5477</v>
      </c>
      <c r="J7647" t="s">
        <v>14</v>
      </c>
      <c r="K7647" t="str">
        <f>"1F1"</f>
        <v>1F1</v>
      </c>
      <c r="L7647" t="s">
        <v>15</v>
      </c>
    </row>
    <row r="7648" spans="1:12" x14ac:dyDescent="0.25">
      <c r="A7648" t="str">
        <f>"6105042042"</f>
        <v>6105042042</v>
      </c>
      <c r="B7648" t="str">
        <f t="shared" si="354"/>
        <v>89301000</v>
      </c>
      <c r="C7648" s="1">
        <v>44537</v>
      </c>
      <c r="D7648" s="1">
        <v>44542</v>
      </c>
      <c r="E7648">
        <v>1</v>
      </c>
      <c r="F7648" t="s">
        <v>2232</v>
      </c>
      <c r="G7648" t="str">
        <f>"11-I07-01"</f>
        <v>11-I07-01</v>
      </c>
      <c r="H7648">
        <v>2.5975999999999999</v>
      </c>
      <c r="I7648" t="s">
        <v>5478</v>
      </c>
      <c r="J7648" t="s">
        <v>14</v>
      </c>
      <c r="K7648" t="str">
        <f>"7F6"</f>
        <v>7F6</v>
      </c>
      <c r="L7648" t="s">
        <v>15</v>
      </c>
    </row>
    <row r="7649" spans="1:12" x14ac:dyDescent="0.25">
      <c r="A7649" t="str">
        <f>"6105160193"</f>
        <v>6105160193</v>
      </c>
      <c r="B7649" t="str">
        <f t="shared" si="354"/>
        <v>89301000</v>
      </c>
      <c r="C7649" s="1">
        <v>44400</v>
      </c>
      <c r="D7649" s="1">
        <v>44403</v>
      </c>
      <c r="E7649">
        <v>1</v>
      </c>
      <c r="F7649" t="s">
        <v>41</v>
      </c>
      <c r="G7649" t="str">
        <f>"01-D01-03"</f>
        <v>01-D01-03</v>
      </c>
      <c r="H7649">
        <v>0.2054</v>
      </c>
      <c r="I7649" t="s">
        <v>5479</v>
      </c>
      <c r="J7649" t="s">
        <v>14</v>
      </c>
      <c r="K7649" t="str">
        <f>"2F5"</f>
        <v>2F5</v>
      </c>
      <c r="L7649" t="s">
        <v>15</v>
      </c>
    </row>
    <row r="7650" spans="1:12" x14ac:dyDescent="0.25">
      <c r="A7650" t="str">
        <f>"6105160193"</f>
        <v>6105160193</v>
      </c>
      <c r="B7650" t="str">
        <f t="shared" si="354"/>
        <v>89301000</v>
      </c>
      <c r="C7650" s="1">
        <v>44328</v>
      </c>
      <c r="D7650" s="1">
        <v>44329</v>
      </c>
      <c r="E7650">
        <v>1</v>
      </c>
      <c r="F7650" t="s">
        <v>41</v>
      </c>
      <c r="G7650" t="str">
        <f>"01-D01-03"</f>
        <v>01-D01-03</v>
      </c>
      <c r="H7650">
        <v>0.158</v>
      </c>
      <c r="I7650" t="s">
        <v>5480</v>
      </c>
      <c r="J7650" t="s">
        <v>14</v>
      </c>
      <c r="K7650" t="str">
        <f>"2F5"</f>
        <v>2F5</v>
      </c>
      <c r="L7650" t="s">
        <v>15</v>
      </c>
    </row>
    <row r="7651" spans="1:12" x14ac:dyDescent="0.25">
      <c r="A7651" t="str">
        <f>"6105160193"</f>
        <v>6105160193</v>
      </c>
      <c r="B7651" t="str">
        <f t="shared" si="354"/>
        <v>89301000</v>
      </c>
      <c r="C7651" s="1">
        <v>44476</v>
      </c>
      <c r="D7651" s="1">
        <v>44481</v>
      </c>
      <c r="E7651">
        <v>1</v>
      </c>
      <c r="F7651" t="s">
        <v>3462</v>
      </c>
      <c r="G7651" t="str">
        <f>"06-I17-04"</f>
        <v>06-I17-04</v>
      </c>
      <c r="H7651">
        <v>0.49940000000000001</v>
      </c>
      <c r="J7651" t="s">
        <v>17</v>
      </c>
      <c r="K7651" t="str">
        <f>"5F1"</f>
        <v>5F1</v>
      </c>
      <c r="L7651" t="s">
        <v>15</v>
      </c>
    </row>
    <row r="7652" spans="1:12" x14ac:dyDescent="0.25">
      <c r="A7652" t="str">
        <f>"6105201344"</f>
        <v>6105201344</v>
      </c>
      <c r="B7652" t="str">
        <f t="shared" si="354"/>
        <v>89301000</v>
      </c>
      <c r="C7652" s="1">
        <v>44441</v>
      </c>
      <c r="D7652" s="1">
        <v>44444</v>
      </c>
      <c r="E7652">
        <v>1</v>
      </c>
      <c r="F7652" t="s">
        <v>31</v>
      </c>
      <c r="G7652" t="str">
        <f>"08-I04-02"</f>
        <v>08-I04-02</v>
      </c>
      <c r="H7652">
        <v>1.6718999999999999</v>
      </c>
      <c r="J7652" t="s">
        <v>17</v>
      </c>
      <c r="K7652" t="str">
        <f>"5F6"</f>
        <v>5F6</v>
      </c>
      <c r="L7652" t="s">
        <v>15</v>
      </c>
    </row>
    <row r="7653" spans="1:12" x14ac:dyDescent="0.25">
      <c r="A7653" t="str">
        <f>"6105211321"</f>
        <v>6105211321</v>
      </c>
      <c r="B7653" t="str">
        <f t="shared" si="354"/>
        <v>89301000</v>
      </c>
      <c r="C7653" s="1">
        <v>44476</v>
      </c>
      <c r="D7653" s="1">
        <v>44480</v>
      </c>
      <c r="E7653">
        <v>1</v>
      </c>
      <c r="F7653" t="s">
        <v>16</v>
      </c>
      <c r="G7653" t="str">
        <f>"08-I04-02"</f>
        <v>08-I04-02</v>
      </c>
      <c r="H7653">
        <v>1.6718999999999999</v>
      </c>
      <c r="I7653" t="s">
        <v>489</v>
      </c>
      <c r="J7653" t="s">
        <v>17</v>
      </c>
      <c r="K7653" t="str">
        <f>"5F6"</f>
        <v>5F6</v>
      </c>
      <c r="L7653" t="s">
        <v>15</v>
      </c>
    </row>
    <row r="7654" spans="1:12" x14ac:dyDescent="0.25">
      <c r="A7654" t="str">
        <f>"6105211794"</f>
        <v>6105211794</v>
      </c>
      <c r="B7654" t="str">
        <f t="shared" si="354"/>
        <v>89301000</v>
      </c>
      <c r="C7654" s="1">
        <v>44188</v>
      </c>
      <c r="D7654" s="1">
        <v>44209</v>
      </c>
      <c r="E7654">
        <v>1</v>
      </c>
      <c r="F7654" t="s">
        <v>3632</v>
      </c>
      <c r="G7654" t="str">
        <f>"07-K02-03"</f>
        <v>07-K02-03</v>
      </c>
      <c r="H7654">
        <v>1.2264999999999999</v>
      </c>
      <c r="I7654" t="s">
        <v>5481</v>
      </c>
      <c r="J7654" t="s">
        <v>14</v>
      </c>
      <c r="K7654" t="str">
        <f>"1F1"</f>
        <v>1F1</v>
      </c>
      <c r="L7654" t="s">
        <v>15</v>
      </c>
    </row>
    <row r="7655" spans="1:12" x14ac:dyDescent="0.25">
      <c r="A7655" t="str">
        <f>"6106051347"</f>
        <v>6106051347</v>
      </c>
      <c r="B7655" t="str">
        <f t="shared" si="354"/>
        <v>89301000</v>
      </c>
      <c r="C7655" s="1">
        <v>44222</v>
      </c>
      <c r="D7655" s="1">
        <v>44229</v>
      </c>
      <c r="E7655">
        <v>1</v>
      </c>
      <c r="F7655" t="s">
        <v>2133</v>
      </c>
      <c r="G7655" t="str">
        <f>"04-K06-03"</f>
        <v>04-K06-03</v>
      </c>
      <c r="H7655">
        <v>0.66259999999999997</v>
      </c>
      <c r="I7655" t="s">
        <v>489</v>
      </c>
      <c r="J7655" t="s">
        <v>14</v>
      </c>
      <c r="K7655" t="str">
        <f>"2F5"</f>
        <v>2F5</v>
      </c>
      <c r="L7655" t="s">
        <v>15</v>
      </c>
    </row>
    <row r="7656" spans="1:12" x14ac:dyDescent="0.25">
      <c r="A7656" t="str">
        <f>"6106051347"</f>
        <v>6106051347</v>
      </c>
      <c r="B7656" t="str">
        <f t="shared" si="354"/>
        <v>89301000</v>
      </c>
      <c r="C7656" s="1">
        <v>44306</v>
      </c>
      <c r="D7656" s="1">
        <v>44315</v>
      </c>
      <c r="E7656">
        <v>1</v>
      </c>
      <c r="F7656" t="s">
        <v>2133</v>
      </c>
      <c r="G7656" t="str">
        <f>"04-K06-02"</f>
        <v>04-K06-02</v>
      </c>
      <c r="H7656">
        <v>1.0042</v>
      </c>
      <c r="I7656" t="s">
        <v>5482</v>
      </c>
      <c r="J7656" t="s">
        <v>14</v>
      </c>
      <c r="K7656" t="str">
        <f>"2F5"</f>
        <v>2F5</v>
      </c>
      <c r="L7656" t="s">
        <v>15</v>
      </c>
    </row>
    <row r="7657" spans="1:12" x14ac:dyDescent="0.25">
      <c r="A7657" t="str">
        <f>"6106171665"</f>
        <v>6106171665</v>
      </c>
      <c r="B7657" t="str">
        <f t="shared" si="354"/>
        <v>89301000</v>
      </c>
      <c r="C7657" s="1">
        <v>44462</v>
      </c>
      <c r="D7657" s="1">
        <v>44478</v>
      </c>
      <c r="E7657">
        <v>1</v>
      </c>
      <c r="F7657" t="s">
        <v>1693</v>
      </c>
      <c r="G7657" t="str">
        <f>"07-I01-01"</f>
        <v>07-I01-01</v>
      </c>
      <c r="H7657">
        <v>8.9536999999999995</v>
      </c>
      <c r="I7657" t="s">
        <v>5483</v>
      </c>
      <c r="J7657" t="s">
        <v>17</v>
      </c>
      <c r="K7657" t="str">
        <f>"5F1"</f>
        <v>5F1</v>
      </c>
      <c r="L7657" t="s">
        <v>15</v>
      </c>
    </row>
    <row r="7658" spans="1:12" x14ac:dyDescent="0.25">
      <c r="A7658" t="str">
        <f>"6106190299"</f>
        <v>6106190299</v>
      </c>
      <c r="B7658" t="str">
        <f t="shared" si="354"/>
        <v>89301000</v>
      </c>
      <c r="C7658" s="1">
        <v>44188</v>
      </c>
      <c r="D7658" s="1">
        <v>44238</v>
      </c>
      <c r="E7658">
        <v>1</v>
      </c>
      <c r="F7658" t="s">
        <v>130</v>
      </c>
      <c r="G7658" t="str">
        <f>"19-K08-02"</f>
        <v>19-K08-02</v>
      </c>
      <c r="H7658">
        <v>4.1917</v>
      </c>
      <c r="I7658" t="s">
        <v>5484</v>
      </c>
      <c r="J7658" t="s">
        <v>27</v>
      </c>
      <c r="K7658" t="str">
        <f>"3F5"</f>
        <v>3F5</v>
      </c>
      <c r="L7658" t="s">
        <v>15</v>
      </c>
    </row>
    <row r="7659" spans="1:12" x14ac:dyDescent="0.25">
      <c r="A7659" t="str">
        <f>"6106192092"</f>
        <v>6106192092</v>
      </c>
      <c r="B7659" t="str">
        <f t="shared" si="354"/>
        <v>89301000</v>
      </c>
      <c r="C7659" s="1">
        <v>44196</v>
      </c>
      <c r="D7659" s="1">
        <v>44199</v>
      </c>
      <c r="E7659">
        <v>1</v>
      </c>
      <c r="F7659" t="s">
        <v>38</v>
      </c>
      <c r="G7659" t="str">
        <f>"05-M06-06"</f>
        <v>05-M06-06</v>
      </c>
      <c r="H7659">
        <v>1.7652000000000001</v>
      </c>
      <c r="J7659" t="s">
        <v>17</v>
      </c>
      <c r="K7659" t="str">
        <f>"1F1"</f>
        <v>1F1</v>
      </c>
      <c r="L7659" t="s">
        <v>15</v>
      </c>
    </row>
    <row r="7660" spans="1:12" x14ac:dyDescent="0.25">
      <c r="A7660" t="str">
        <f>"6106210605"</f>
        <v>6106210605</v>
      </c>
      <c r="B7660" t="str">
        <f t="shared" si="354"/>
        <v>89301000</v>
      </c>
      <c r="C7660" s="1">
        <v>44503</v>
      </c>
      <c r="D7660" s="1">
        <v>44509</v>
      </c>
      <c r="E7660">
        <v>1</v>
      </c>
      <c r="F7660" t="s">
        <v>2232</v>
      </c>
      <c r="G7660" t="str">
        <f>"11-K07-02"</f>
        <v>11-K07-02</v>
      </c>
      <c r="H7660">
        <v>0.4869</v>
      </c>
      <c r="I7660" t="s">
        <v>541</v>
      </c>
      <c r="J7660" t="s">
        <v>14</v>
      </c>
      <c r="K7660" t="str">
        <f>"4F2"</f>
        <v>4F2</v>
      </c>
      <c r="L7660" t="s">
        <v>15</v>
      </c>
    </row>
    <row r="7661" spans="1:12" x14ac:dyDescent="0.25">
      <c r="A7661" t="str">
        <f>"6106210605"</f>
        <v>6106210605</v>
      </c>
      <c r="B7661" t="str">
        <f t="shared" si="354"/>
        <v>89301000</v>
      </c>
      <c r="C7661" s="1">
        <v>44456</v>
      </c>
      <c r="D7661" s="1">
        <v>44466</v>
      </c>
      <c r="E7661">
        <v>1</v>
      </c>
      <c r="F7661" t="s">
        <v>2232</v>
      </c>
      <c r="G7661" t="str">
        <f>"11-K07-01"</f>
        <v>11-K07-01</v>
      </c>
      <c r="H7661">
        <v>1.0079</v>
      </c>
      <c r="I7661" t="s">
        <v>5485</v>
      </c>
      <c r="J7661" t="s">
        <v>14</v>
      </c>
      <c r="K7661" t="str">
        <f>"4F2"</f>
        <v>4F2</v>
      </c>
      <c r="L7661" t="s">
        <v>15</v>
      </c>
    </row>
    <row r="7662" spans="1:12" x14ac:dyDescent="0.25">
      <c r="A7662" t="str">
        <f>"6106211859"</f>
        <v>6106211859</v>
      </c>
      <c r="B7662" t="str">
        <f t="shared" si="354"/>
        <v>89301000</v>
      </c>
      <c r="C7662" s="1">
        <v>44502</v>
      </c>
      <c r="D7662" s="1">
        <v>44504</v>
      </c>
      <c r="E7662">
        <v>1</v>
      </c>
      <c r="F7662" t="s">
        <v>5015</v>
      </c>
      <c r="G7662" t="str">
        <f>"06-K15-01"</f>
        <v>06-K15-01</v>
      </c>
      <c r="H7662">
        <v>0.5806</v>
      </c>
      <c r="I7662" t="s">
        <v>5486</v>
      </c>
      <c r="J7662" t="s">
        <v>14</v>
      </c>
      <c r="K7662" t="str">
        <f>"1F1"</f>
        <v>1F1</v>
      </c>
      <c r="L7662" t="s">
        <v>15</v>
      </c>
    </row>
    <row r="7663" spans="1:12" x14ac:dyDescent="0.25">
      <c r="A7663" t="str">
        <f>"6106211859"</f>
        <v>6106211859</v>
      </c>
      <c r="B7663" t="str">
        <f t="shared" si="354"/>
        <v>89301000</v>
      </c>
      <c r="C7663" s="1">
        <v>44543</v>
      </c>
      <c r="D7663" s="1">
        <v>44545</v>
      </c>
      <c r="E7663">
        <v>1</v>
      </c>
      <c r="F7663" t="s">
        <v>2062</v>
      </c>
      <c r="G7663" t="str">
        <f>"06-M01-05"</f>
        <v>06-M01-05</v>
      </c>
      <c r="H7663">
        <v>0.41710000000000003</v>
      </c>
      <c r="I7663" t="s">
        <v>5487</v>
      </c>
      <c r="J7663" t="s">
        <v>14</v>
      </c>
      <c r="K7663" t="str">
        <f>"1F1"</f>
        <v>1F1</v>
      </c>
      <c r="L7663" t="s">
        <v>15</v>
      </c>
    </row>
    <row r="7664" spans="1:12" x14ac:dyDescent="0.25">
      <c r="A7664" t="str">
        <f>"6106221473"</f>
        <v>6106221473</v>
      </c>
      <c r="B7664" t="str">
        <f t="shared" si="354"/>
        <v>89301000</v>
      </c>
      <c r="C7664" s="1">
        <v>44541</v>
      </c>
      <c r="D7664" s="1">
        <v>44547</v>
      </c>
      <c r="E7664">
        <v>1</v>
      </c>
      <c r="F7664" t="s">
        <v>217</v>
      </c>
      <c r="G7664" t="str">
        <f>"04-K02-02"</f>
        <v>04-K02-02</v>
      </c>
      <c r="H7664">
        <v>2.5186000000000002</v>
      </c>
      <c r="I7664" t="s">
        <v>5488</v>
      </c>
      <c r="J7664" t="s">
        <v>14</v>
      </c>
      <c r="K7664" t="str">
        <f>"1F1"</f>
        <v>1F1</v>
      </c>
      <c r="L7664" t="s">
        <v>15</v>
      </c>
    </row>
    <row r="7665" spans="1:12" x14ac:dyDescent="0.25">
      <c r="A7665" t="str">
        <f>"6106221473"</f>
        <v>6106221473</v>
      </c>
      <c r="B7665" t="str">
        <f t="shared" si="354"/>
        <v>89301000</v>
      </c>
      <c r="C7665" s="1">
        <v>44370</v>
      </c>
      <c r="D7665" s="1">
        <v>44373</v>
      </c>
      <c r="E7665">
        <v>1</v>
      </c>
      <c r="F7665" t="s">
        <v>496</v>
      </c>
      <c r="G7665" t="str">
        <f>"08-M03-05"</f>
        <v>08-M03-05</v>
      </c>
      <c r="H7665">
        <v>0.51759999999999995</v>
      </c>
      <c r="I7665" t="s">
        <v>5489</v>
      </c>
      <c r="J7665" t="s">
        <v>14</v>
      </c>
      <c r="K7665" t="str">
        <f>"6F6"</f>
        <v>6F6</v>
      </c>
      <c r="L7665" t="s">
        <v>15</v>
      </c>
    </row>
    <row r="7666" spans="1:12" x14ac:dyDescent="0.25">
      <c r="A7666" t="str">
        <f>"6106221495"</f>
        <v>6106221495</v>
      </c>
      <c r="B7666" t="str">
        <f t="shared" si="354"/>
        <v>89301000</v>
      </c>
      <c r="C7666" s="1">
        <v>44465</v>
      </c>
      <c r="D7666" s="1">
        <v>44469</v>
      </c>
      <c r="E7666">
        <v>1</v>
      </c>
      <c r="F7666" t="s">
        <v>1991</v>
      </c>
      <c r="G7666" t="str">
        <f>"12-M02-02"</f>
        <v>12-M02-02</v>
      </c>
      <c r="H7666">
        <v>0.995</v>
      </c>
      <c r="I7666" t="s">
        <v>489</v>
      </c>
      <c r="J7666" t="s">
        <v>24</v>
      </c>
      <c r="K7666" t="str">
        <f>"7F6"</f>
        <v>7F6</v>
      </c>
      <c r="L7666" t="s">
        <v>15</v>
      </c>
    </row>
    <row r="7667" spans="1:12" x14ac:dyDescent="0.25">
      <c r="A7667" t="str">
        <f>"6106221979"</f>
        <v>6106221979</v>
      </c>
      <c r="B7667" t="str">
        <f t="shared" si="354"/>
        <v>89301000</v>
      </c>
      <c r="C7667" s="1">
        <v>44422</v>
      </c>
      <c r="D7667" s="1">
        <v>44431</v>
      </c>
      <c r="E7667">
        <v>1</v>
      </c>
      <c r="F7667" t="s">
        <v>592</v>
      </c>
      <c r="G7667" t="str">
        <f>"03-K02-03"</f>
        <v>03-K02-03</v>
      </c>
      <c r="H7667">
        <v>0.61040000000000005</v>
      </c>
      <c r="I7667" t="s">
        <v>5490</v>
      </c>
      <c r="J7667" t="s">
        <v>14</v>
      </c>
      <c r="K7667" t="str">
        <f>"1F1"</f>
        <v>1F1</v>
      </c>
      <c r="L7667" t="s">
        <v>15</v>
      </c>
    </row>
    <row r="7668" spans="1:12" x14ac:dyDescent="0.25">
      <c r="A7668" t="str">
        <f>"6106301685"</f>
        <v>6106301685</v>
      </c>
      <c r="B7668" t="str">
        <f t="shared" si="354"/>
        <v>89301000</v>
      </c>
      <c r="C7668" s="1">
        <v>44259</v>
      </c>
      <c r="D7668" s="1">
        <v>44263</v>
      </c>
      <c r="E7668">
        <v>1</v>
      </c>
      <c r="F7668" t="s">
        <v>5491</v>
      </c>
      <c r="G7668" t="str">
        <f>"17-C06-02"</f>
        <v>17-C06-02</v>
      </c>
      <c r="H7668">
        <v>0.4199</v>
      </c>
      <c r="I7668" t="s">
        <v>5492</v>
      </c>
      <c r="J7668" t="s">
        <v>14</v>
      </c>
      <c r="K7668" t="str">
        <f>"4F2"</f>
        <v>4F2</v>
      </c>
      <c r="L7668" t="s">
        <v>15</v>
      </c>
    </row>
    <row r="7669" spans="1:12" x14ac:dyDescent="0.25">
      <c r="A7669" t="str">
        <f>"6106301685"</f>
        <v>6106301685</v>
      </c>
      <c r="B7669" t="str">
        <f t="shared" si="354"/>
        <v>89301000</v>
      </c>
      <c r="C7669" s="1">
        <v>44280</v>
      </c>
      <c r="D7669" s="1">
        <v>44284</v>
      </c>
      <c r="E7669">
        <v>1</v>
      </c>
      <c r="F7669" t="s">
        <v>5491</v>
      </c>
      <c r="G7669" t="str">
        <f>"17-C06-02"</f>
        <v>17-C06-02</v>
      </c>
      <c r="H7669">
        <v>0.42049999999999998</v>
      </c>
      <c r="I7669" t="s">
        <v>5493</v>
      </c>
      <c r="J7669" t="s">
        <v>14</v>
      </c>
      <c r="K7669" t="str">
        <f>"4F2"</f>
        <v>4F2</v>
      </c>
      <c r="L7669" t="s">
        <v>15</v>
      </c>
    </row>
    <row r="7670" spans="1:12" x14ac:dyDescent="0.25">
      <c r="A7670" t="str">
        <f>"6106301685"</f>
        <v>6106301685</v>
      </c>
      <c r="B7670" t="str">
        <f t="shared" si="354"/>
        <v>89301000</v>
      </c>
      <c r="C7670" s="1">
        <v>44513</v>
      </c>
      <c r="D7670" s="1">
        <v>44516</v>
      </c>
      <c r="E7670">
        <v>8</v>
      </c>
      <c r="F7670" t="s">
        <v>5491</v>
      </c>
      <c r="G7670" t="str">
        <f>"17-K09-02"</f>
        <v>17-K09-02</v>
      </c>
      <c r="H7670">
        <v>0.71240000000000003</v>
      </c>
      <c r="I7670" t="s">
        <v>145</v>
      </c>
      <c r="J7670" t="s">
        <v>14</v>
      </c>
      <c r="K7670" t="str">
        <f>"4F2"</f>
        <v>4F2</v>
      </c>
      <c r="L7670" t="s">
        <v>15</v>
      </c>
    </row>
    <row r="7671" spans="1:12" x14ac:dyDescent="0.25">
      <c r="A7671" t="str">
        <f>"6106301685"</f>
        <v>6106301685</v>
      </c>
      <c r="B7671" t="str">
        <f t="shared" si="354"/>
        <v>89301000</v>
      </c>
      <c r="C7671" s="1">
        <v>44214</v>
      </c>
      <c r="D7671" s="1">
        <v>44218</v>
      </c>
      <c r="E7671">
        <v>1</v>
      </c>
      <c r="F7671" t="s">
        <v>5491</v>
      </c>
      <c r="G7671" t="str">
        <f>"17-K09-02"</f>
        <v>17-K09-02</v>
      </c>
      <c r="H7671">
        <v>0.71240000000000003</v>
      </c>
      <c r="I7671" t="s">
        <v>5494</v>
      </c>
      <c r="J7671" t="s">
        <v>14</v>
      </c>
      <c r="K7671" t="str">
        <f>"5F1"</f>
        <v>5F1</v>
      </c>
      <c r="L7671" t="s">
        <v>15</v>
      </c>
    </row>
    <row r="7672" spans="1:12" x14ac:dyDescent="0.25">
      <c r="A7672" t="str">
        <f>"6106301685"</f>
        <v>6106301685</v>
      </c>
      <c r="B7672" t="str">
        <f t="shared" si="354"/>
        <v>89301000</v>
      </c>
      <c r="C7672" s="1">
        <v>44237</v>
      </c>
      <c r="D7672" s="1">
        <v>44242</v>
      </c>
      <c r="E7672">
        <v>1</v>
      </c>
      <c r="F7672" t="s">
        <v>5491</v>
      </c>
      <c r="G7672" t="str">
        <f>"17-C06-02"</f>
        <v>17-C06-02</v>
      </c>
      <c r="H7672">
        <v>0.42120000000000002</v>
      </c>
      <c r="I7672" t="s">
        <v>5493</v>
      </c>
      <c r="J7672" t="s">
        <v>14</v>
      </c>
      <c r="K7672" t="str">
        <f>"4F2"</f>
        <v>4F2</v>
      </c>
      <c r="L7672" t="s">
        <v>15</v>
      </c>
    </row>
    <row r="7673" spans="1:12" x14ac:dyDescent="0.25">
      <c r="A7673" t="str">
        <f>"6107021668"</f>
        <v>6107021668</v>
      </c>
      <c r="B7673" t="str">
        <f t="shared" si="354"/>
        <v>89301000</v>
      </c>
      <c r="C7673" s="1">
        <v>44505</v>
      </c>
      <c r="D7673" s="1">
        <v>44509</v>
      </c>
      <c r="E7673">
        <v>1</v>
      </c>
      <c r="F7673" t="s">
        <v>132</v>
      </c>
      <c r="G7673" t="str">
        <f>"03-I23-00"</f>
        <v>03-I23-00</v>
      </c>
      <c r="H7673">
        <v>0.47639999999999999</v>
      </c>
      <c r="I7673" t="s">
        <v>5495</v>
      </c>
      <c r="J7673" t="s">
        <v>14</v>
      </c>
      <c r="K7673" t="str">
        <f>"6F5"</f>
        <v>6F5</v>
      </c>
      <c r="L7673" t="s">
        <v>15</v>
      </c>
    </row>
    <row r="7674" spans="1:12" x14ac:dyDescent="0.25">
      <c r="A7674" t="str">
        <f>"6107087162"</f>
        <v>6107087162</v>
      </c>
      <c r="B7674" t="str">
        <f t="shared" si="354"/>
        <v>89301000</v>
      </c>
      <c r="C7674" s="1">
        <v>44495</v>
      </c>
      <c r="D7674" s="1">
        <v>44496</v>
      </c>
      <c r="E7674">
        <v>1</v>
      </c>
      <c r="F7674" t="s">
        <v>1602</v>
      </c>
      <c r="G7674" t="str">
        <f>"05-I14-04"</f>
        <v>05-I14-04</v>
      </c>
      <c r="H7674">
        <v>5.4002999999999997</v>
      </c>
      <c r="I7674" t="s">
        <v>5496</v>
      </c>
      <c r="J7674" t="s">
        <v>14</v>
      </c>
      <c r="K7674" t="str">
        <f>"1F1"</f>
        <v>1F1</v>
      </c>
      <c r="L7674" t="s">
        <v>15</v>
      </c>
    </row>
    <row r="7675" spans="1:12" x14ac:dyDescent="0.25">
      <c r="A7675" t="str">
        <f>"6107090495"</f>
        <v>6107090495</v>
      </c>
      <c r="B7675" t="str">
        <f t="shared" ref="B7675:B7737" si="355">"89301000"</f>
        <v>89301000</v>
      </c>
      <c r="C7675" s="1">
        <v>44406</v>
      </c>
      <c r="D7675" s="1">
        <v>44409</v>
      </c>
      <c r="E7675">
        <v>1</v>
      </c>
      <c r="F7675" t="s">
        <v>2407</v>
      </c>
      <c r="G7675" t="str">
        <f>"08-M03-05"</f>
        <v>08-M03-05</v>
      </c>
      <c r="H7675">
        <v>0.51759999999999995</v>
      </c>
      <c r="J7675" t="s">
        <v>14</v>
      </c>
      <c r="K7675" t="str">
        <f>"6F6"</f>
        <v>6F6</v>
      </c>
      <c r="L7675" t="s">
        <v>15</v>
      </c>
    </row>
    <row r="7676" spans="1:12" x14ac:dyDescent="0.25">
      <c r="A7676" t="str">
        <f>"6107102100"</f>
        <v>6107102100</v>
      </c>
      <c r="B7676" t="str">
        <f t="shared" si="355"/>
        <v>89301000</v>
      </c>
      <c r="C7676" s="1">
        <v>44298</v>
      </c>
      <c r="D7676" s="1">
        <v>44301</v>
      </c>
      <c r="E7676">
        <v>1</v>
      </c>
      <c r="F7676" t="s">
        <v>5497</v>
      </c>
      <c r="G7676" t="str">
        <f>"19-K02-03"</f>
        <v>19-K02-03</v>
      </c>
      <c r="H7676">
        <v>0.67269999999999996</v>
      </c>
      <c r="I7676" t="s">
        <v>5498</v>
      </c>
      <c r="J7676" t="s">
        <v>27</v>
      </c>
      <c r="K7676" t="str">
        <f>"2F9"</f>
        <v>2F9</v>
      </c>
      <c r="L7676" t="s">
        <v>15</v>
      </c>
    </row>
    <row r="7677" spans="1:12" x14ac:dyDescent="0.25">
      <c r="A7677" t="str">
        <f>"6107150544"</f>
        <v>6107150544</v>
      </c>
      <c r="B7677" t="str">
        <f t="shared" si="355"/>
        <v>89301000</v>
      </c>
      <c r="C7677" s="1">
        <v>44210</v>
      </c>
      <c r="D7677" s="1">
        <v>44218</v>
      </c>
      <c r="E7677">
        <v>1</v>
      </c>
      <c r="F7677" t="s">
        <v>5499</v>
      </c>
      <c r="G7677" t="str">
        <f>"03-I19-02"</f>
        <v>03-I19-02</v>
      </c>
      <c r="H7677">
        <v>0.88829999999999998</v>
      </c>
      <c r="I7677" t="s">
        <v>5500</v>
      </c>
      <c r="J7677" t="s">
        <v>14</v>
      </c>
      <c r="K7677" t="str">
        <f>"6F5"</f>
        <v>6F5</v>
      </c>
      <c r="L7677" t="s">
        <v>15</v>
      </c>
    </row>
    <row r="7678" spans="1:12" x14ac:dyDescent="0.25">
      <c r="A7678" t="str">
        <f>"6107161940"</f>
        <v>6107161940</v>
      </c>
      <c r="B7678" t="str">
        <f t="shared" si="355"/>
        <v>89301000</v>
      </c>
      <c r="C7678" s="1">
        <v>44280</v>
      </c>
      <c r="D7678" s="1">
        <v>44286</v>
      </c>
      <c r="E7678">
        <v>1</v>
      </c>
      <c r="F7678" t="s">
        <v>3940</v>
      </c>
      <c r="G7678" t="str">
        <f>"08-I04-03"</f>
        <v>08-I04-03</v>
      </c>
      <c r="H7678">
        <v>1.331</v>
      </c>
      <c r="J7678" t="s">
        <v>17</v>
      </c>
      <c r="K7678" t="str">
        <f>"5F6"</f>
        <v>5F6</v>
      </c>
      <c r="L7678" t="s">
        <v>15</v>
      </c>
    </row>
    <row r="7679" spans="1:12" x14ac:dyDescent="0.25">
      <c r="A7679" t="str">
        <f>"6107161940"</f>
        <v>6107161940</v>
      </c>
      <c r="B7679" t="str">
        <f t="shared" si="355"/>
        <v>89301000</v>
      </c>
      <c r="C7679" s="1">
        <v>44298</v>
      </c>
      <c r="D7679" s="1">
        <v>44309</v>
      </c>
      <c r="E7679">
        <v>1</v>
      </c>
      <c r="F7679" t="s">
        <v>109</v>
      </c>
      <c r="G7679" t="str">
        <f>"24-M06-02"</f>
        <v>24-M06-02</v>
      </c>
      <c r="H7679">
        <v>1.0233000000000001</v>
      </c>
      <c r="I7679" t="s">
        <v>5352</v>
      </c>
      <c r="J7679" t="s">
        <v>14</v>
      </c>
      <c r="K7679" t="str">
        <f>"2F1"</f>
        <v>2F1</v>
      </c>
      <c r="L7679" t="s">
        <v>15</v>
      </c>
    </row>
    <row r="7680" spans="1:12" x14ac:dyDescent="0.25">
      <c r="A7680" t="str">
        <f>"6107170784"</f>
        <v>6107170784</v>
      </c>
      <c r="B7680" t="str">
        <f t="shared" si="355"/>
        <v>89301000</v>
      </c>
      <c r="C7680" s="1">
        <v>44549</v>
      </c>
      <c r="D7680" s="1">
        <v>44554</v>
      </c>
      <c r="E7680">
        <v>1</v>
      </c>
      <c r="F7680" t="s">
        <v>2232</v>
      </c>
      <c r="G7680" t="str">
        <f>"11-I07-01"</f>
        <v>11-I07-01</v>
      </c>
      <c r="H7680">
        <v>2.5975999999999999</v>
      </c>
      <c r="I7680" t="s">
        <v>5501</v>
      </c>
      <c r="J7680" t="s">
        <v>14</v>
      </c>
      <c r="K7680" t="str">
        <f>"7F6"</f>
        <v>7F6</v>
      </c>
      <c r="L7680" t="s">
        <v>15</v>
      </c>
    </row>
    <row r="7681" spans="1:12" x14ac:dyDescent="0.25">
      <c r="A7681" t="str">
        <f>"6107180739"</f>
        <v>6107180739</v>
      </c>
      <c r="B7681" t="str">
        <f t="shared" si="355"/>
        <v>89301000</v>
      </c>
      <c r="C7681" s="1">
        <v>44391</v>
      </c>
      <c r="D7681" s="1">
        <v>44399</v>
      </c>
      <c r="E7681">
        <v>1</v>
      </c>
      <c r="F7681" t="s">
        <v>5502</v>
      </c>
      <c r="G7681" t="str">
        <f>"06-I12-03"</f>
        <v>06-I12-03</v>
      </c>
      <c r="H7681">
        <v>1.8894</v>
      </c>
      <c r="I7681" t="s">
        <v>5503</v>
      </c>
      <c r="J7681" t="s">
        <v>14</v>
      </c>
      <c r="K7681" t="str">
        <f>"5F1"</f>
        <v>5F1</v>
      </c>
      <c r="L7681" t="s">
        <v>15</v>
      </c>
    </row>
    <row r="7682" spans="1:12" x14ac:dyDescent="0.25">
      <c r="A7682" t="str">
        <f>"6107191233"</f>
        <v>6107191233</v>
      </c>
      <c r="B7682" t="str">
        <f t="shared" si="355"/>
        <v>89301000</v>
      </c>
      <c r="C7682" s="1">
        <v>44501</v>
      </c>
      <c r="D7682" s="1">
        <v>44510</v>
      </c>
      <c r="E7682">
        <v>1</v>
      </c>
      <c r="F7682" t="s">
        <v>2391</v>
      </c>
      <c r="G7682" t="str">
        <f>"05-I15-00"</f>
        <v>05-I15-00</v>
      </c>
      <c r="H7682">
        <v>10.442399999999999</v>
      </c>
      <c r="J7682" t="s">
        <v>14</v>
      </c>
      <c r="K7682" t="str">
        <f>"5F5"</f>
        <v>5F5</v>
      </c>
      <c r="L7682" t="s">
        <v>15</v>
      </c>
    </row>
    <row r="7683" spans="1:12" x14ac:dyDescent="0.25">
      <c r="A7683" t="str">
        <f>"6107211374"</f>
        <v>6107211374</v>
      </c>
      <c r="B7683" t="str">
        <f t="shared" si="355"/>
        <v>89301000</v>
      </c>
      <c r="C7683" s="1">
        <v>44252</v>
      </c>
      <c r="D7683" s="1">
        <v>44258</v>
      </c>
      <c r="E7683">
        <v>1</v>
      </c>
      <c r="F7683" t="s">
        <v>1545</v>
      </c>
      <c r="G7683" t="str">
        <f>"05-I21-01"</f>
        <v>05-I21-01</v>
      </c>
      <c r="H7683">
        <v>4.1814</v>
      </c>
      <c r="I7683" t="s">
        <v>1606</v>
      </c>
      <c r="J7683" t="s">
        <v>14</v>
      </c>
      <c r="K7683" t="str">
        <f>"5F5"</f>
        <v>5F5</v>
      </c>
      <c r="L7683" t="s">
        <v>15</v>
      </c>
    </row>
    <row r="7684" spans="1:12" x14ac:dyDescent="0.25">
      <c r="A7684" t="str">
        <f>"6108011107"</f>
        <v>6108011107</v>
      </c>
      <c r="B7684" t="str">
        <f t="shared" si="355"/>
        <v>89301000</v>
      </c>
      <c r="C7684" s="1">
        <v>44390</v>
      </c>
      <c r="D7684" s="1">
        <v>44391</v>
      </c>
      <c r="E7684">
        <v>1</v>
      </c>
      <c r="F7684" t="s">
        <v>1962</v>
      </c>
      <c r="G7684" t="str">
        <f>"04-K15-03"</f>
        <v>04-K15-03</v>
      </c>
      <c r="H7684">
        <v>0.49009999999999998</v>
      </c>
      <c r="J7684" t="s">
        <v>14</v>
      </c>
      <c r="K7684" t="str">
        <f>"1F7"</f>
        <v>1F7</v>
      </c>
      <c r="L7684" t="s">
        <v>15</v>
      </c>
    </row>
    <row r="7685" spans="1:12" x14ac:dyDescent="0.25">
      <c r="A7685" t="str">
        <f>"6108020600"</f>
        <v>6108020600</v>
      </c>
      <c r="B7685" t="str">
        <f t="shared" si="355"/>
        <v>89301000</v>
      </c>
      <c r="C7685" s="1">
        <v>44306</v>
      </c>
      <c r="D7685" s="1">
        <v>44306</v>
      </c>
      <c r="E7685">
        <v>1</v>
      </c>
      <c r="F7685" t="s">
        <v>489</v>
      </c>
      <c r="G7685" t="str">
        <f>"05-D01-08"</f>
        <v>05-D01-08</v>
      </c>
      <c r="H7685">
        <v>0.21890000000000001</v>
      </c>
      <c r="J7685" t="s">
        <v>14</v>
      </c>
      <c r="K7685" t="str">
        <f>"1F1"</f>
        <v>1F1</v>
      </c>
      <c r="L7685" t="s">
        <v>15</v>
      </c>
    </row>
    <row r="7686" spans="1:12" x14ac:dyDescent="0.25">
      <c r="A7686" t="str">
        <f>"6108061652"</f>
        <v>6108061652</v>
      </c>
      <c r="B7686" t="str">
        <f t="shared" si="355"/>
        <v>89301000</v>
      </c>
      <c r="C7686" s="1">
        <v>44336</v>
      </c>
      <c r="D7686" s="1">
        <v>44337</v>
      </c>
      <c r="E7686">
        <v>1</v>
      </c>
      <c r="F7686" t="s">
        <v>489</v>
      </c>
      <c r="G7686" t="str">
        <f>"05-D01-08"</f>
        <v>05-D01-08</v>
      </c>
      <c r="H7686">
        <v>0.4093</v>
      </c>
      <c r="I7686" t="s">
        <v>1892</v>
      </c>
      <c r="J7686" t="s">
        <v>14</v>
      </c>
      <c r="K7686" t="str">
        <f>"1F7"</f>
        <v>1F7</v>
      </c>
      <c r="L7686" t="s">
        <v>15</v>
      </c>
    </row>
    <row r="7687" spans="1:12" x14ac:dyDescent="0.25">
      <c r="A7687" t="str">
        <f>"6108080550"</f>
        <v>6108080550</v>
      </c>
      <c r="B7687" t="str">
        <f t="shared" si="355"/>
        <v>89301000</v>
      </c>
      <c r="C7687" s="1">
        <v>44282</v>
      </c>
      <c r="D7687" s="1">
        <v>44282</v>
      </c>
      <c r="E7687">
        <v>1</v>
      </c>
      <c r="F7687" t="s">
        <v>2457</v>
      </c>
      <c r="G7687" t="str">
        <f>"05-D01-08"</f>
        <v>05-D01-08</v>
      </c>
      <c r="H7687">
        <v>0.21890000000000001</v>
      </c>
      <c r="I7687" t="s">
        <v>2183</v>
      </c>
      <c r="J7687" t="s">
        <v>14</v>
      </c>
      <c r="K7687" t="str">
        <f>"1F1"</f>
        <v>1F1</v>
      </c>
      <c r="L7687" t="s">
        <v>15</v>
      </c>
    </row>
    <row r="7688" spans="1:12" x14ac:dyDescent="0.25">
      <c r="A7688" t="str">
        <f>"6108091033"</f>
        <v>6108091033</v>
      </c>
      <c r="B7688" t="str">
        <f t="shared" si="355"/>
        <v>89301000</v>
      </c>
      <c r="C7688" s="1">
        <v>44277</v>
      </c>
      <c r="D7688" s="1">
        <v>44283</v>
      </c>
      <c r="E7688">
        <v>1</v>
      </c>
      <c r="F7688" t="s">
        <v>1121</v>
      </c>
      <c r="G7688" t="str">
        <f>"04-K02-04"</f>
        <v>04-K02-04</v>
      </c>
      <c r="H7688">
        <v>0.82469999999999999</v>
      </c>
      <c r="I7688" t="s">
        <v>2025</v>
      </c>
      <c r="J7688" t="s">
        <v>14</v>
      </c>
      <c r="K7688" t="str">
        <f>"5F1"</f>
        <v>5F1</v>
      </c>
      <c r="L7688" t="s">
        <v>15</v>
      </c>
    </row>
    <row r="7689" spans="1:12" x14ac:dyDescent="0.25">
      <c r="A7689" t="str">
        <f>"6108100801"</f>
        <v>6108100801</v>
      </c>
      <c r="B7689" t="str">
        <f t="shared" si="355"/>
        <v>89301000</v>
      </c>
      <c r="C7689" s="1">
        <v>44223</v>
      </c>
      <c r="D7689" s="1">
        <v>44237</v>
      </c>
      <c r="E7689">
        <v>1</v>
      </c>
      <c r="F7689" t="s">
        <v>152</v>
      </c>
      <c r="G7689" t="str">
        <f>"19-K04-02"</f>
        <v>19-K04-02</v>
      </c>
      <c r="H7689">
        <v>1.4597</v>
      </c>
      <c r="I7689" t="s">
        <v>5504</v>
      </c>
      <c r="J7689" t="s">
        <v>27</v>
      </c>
      <c r="K7689" t="str">
        <f>"3F5"</f>
        <v>3F5</v>
      </c>
      <c r="L7689" t="s">
        <v>15</v>
      </c>
    </row>
    <row r="7690" spans="1:12" x14ac:dyDescent="0.25">
      <c r="A7690" t="str">
        <f>"6108160850"</f>
        <v>6108160850</v>
      </c>
      <c r="B7690" t="str">
        <f t="shared" si="355"/>
        <v>89301000</v>
      </c>
      <c r="C7690" s="1">
        <v>44384</v>
      </c>
      <c r="D7690" s="1">
        <v>44387</v>
      </c>
      <c r="E7690">
        <v>1</v>
      </c>
      <c r="F7690" t="s">
        <v>3894</v>
      </c>
      <c r="G7690" t="str">
        <f>"08-M03-05"</f>
        <v>08-M03-05</v>
      </c>
      <c r="H7690">
        <v>0.51759999999999995</v>
      </c>
      <c r="I7690" t="s">
        <v>2595</v>
      </c>
      <c r="J7690" t="s">
        <v>14</v>
      </c>
      <c r="K7690" t="str">
        <f>"6F6"</f>
        <v>6F6</v>
      </c>
      <c r="L7690" t="s">
        <v>15</v>
      </c>
    </row>
    <row r="7691" spans="1:12" x14ac:dyDescent="0.25">
      <c r="A7691" t="str">
        <f>"6108280541"</f>
        <v>6108280541</v>
      </c>
      <c r="B7691" t="str">
        <f t="shared" si="355"/>
        <v>89301000</v>
      </c>
      <c r="C7691" s="1">
        <v>44424</v>
      </c>
      <c r="D7691" s="1">
        <v>44427</v>
      </c>
      <c r="E7691">
        <v>6</v>
      </c>
      <c r="F7691" t="s">
        <v>1553</v>
      </c>
      <c r="G7691" t="str">
        <f>"04-K05-02"</f>
        <v>04-K05-02</v>
      </c>
      <c r="H7691">
        <v>1.2657</v>
      </c>
      <c r="I7691" t="s">
        <v>5505</v>
      </c>
      <c r="J7691" t="s">
        <v>14</v>
      </c>
      <c r="K7691" t="str">
        <f>"1F9"</f>
        <v>1F9</v>
      </c>
      <c r="L7691" t="s">
        <v>15</v>
      </c>
    </row>
    <row r="7692" spans="1:12" x14ac:dyDescent="0.25">
      <c r="A7692" t="str">
        <f>"6108290485"</f>
        <v>6108290485</v>
      </c>
      <c r="B7692" t="str">
        <f t="shared" si="355"/>
        <v>89301000</v>
      </c>
      <c r="C7692" s="1">
        <v>44509</v>
      </c>
      <c r="D7692" s="1">
        <v>44510</v>
      </c>
      <c r="E7692">
        <v>1</v>
      </c>
      <c r="F7692" t="s">
        <v>873</v>
      </c>
      <c r="G7692" t="str">
        <f>"02-I13-02"</f>
        <v>02-I13-02</v>
      </c>
      <c r="H7692">
        <v>0.376</v>
      </c>
      <c r="I7692" t="s">
        <v>5506</v>
      </c>
      <c r="J7692" t="s">
        <v>14</v>
      </c>
      <c r="K7692" t="str">
        <f>"7F5"</f>
        <v>7F5</v>
      </c>
      <c r="L7692" t="s">
        <v>15</v>
      </c>
    </row>
    <row r="7693" spans="1:12" x14ac:dyDescent="0.25">
      <c r="A7693" t="str">
        <f>"6109051960"</f>
        <v>6109051960</v>
      </c>
      <c r="B7693" t="str">
        <f t="shared" si="355"/>
        <v>89301000</v>
      </c>
      <c r="C7693" s="1">
        <v>44395</v>
      </c>
      <c r="D7693" s="1">
        <v>44396</v>
      </c>
      <c r="E7693">
        <v>1</v>
      </c>
      <c r="F7693" t="s">
        <v>34</v>
      </c>
      <c r="G7693" t="str">
        <f>"08-I19-03"</f>
        <v>08-I19-03</v>
      </c>
      <c r="H7693">
        <v>0.61250000000000004</v>
      </c>
      <c r="I7693" t="s">
        <v>5507</v>
      </c>
      <c r="J7693" t="s">
        <v>17</v>
      </c>
      <c r="K7693" t="str">
        <f>"5F3"</f>
        <v>5F3</v>
      </c>
      <c r="L7693" t="s">
        <v>15</v>
      </c>
    </row>
    <row r="7694" spans="1:12" x14ac:dyDescent="0.25">
      <c r="A7694" t="str">
        <f>"6109060705"</f>
        <v>6109060705</v>
      </c>
      <c r="B7694" t="str">
        <f t="shared" si="355"/>
        <v>89301000</v>
      </c>
      <c r="C7694" s="1">
        <v>44209</v>
      </c>
      <c r="D7694" s="1">
        <v>44217</v>
      </c>
      <c r="E7694">
        <v>8</v>
      </c>
      <c r="F7694" t="s">
        <v>625</v>
      </c>
      <c r="G7694" t="str">
        <f>"04-M01-07"</f>
        <v>04-M01-07</v>
      </c>
      <c r="H7694">
        <v>2.6560000000000001</v>
      </c>
      <c r="I7694" t="s">
        <v>5508</v>
      </c>
      <c r="J7694" t="s">
        <v>14</v>
      </c>
      <c r="K7694" t="str">
        <f>"2T5"</f>
        <v>2T5</v>
      </c>
      <c r="L7694" t="s">
        <v>15</v>
      </c>
    </row>
    <row r="7695" spans="1:12" x14ac:dyDescent="0.25">
      <c r="A7695" t="str">
        <f>"6109131468"</f>
        <v>6109131468</v>
      </c>
      <c r="B7695" t="str">
        <f t="shared" si="355"/>
        <v>89301000</v>
      </c>
      <c r="C7695" s="1">
        <v>44273</v>
      </c>
      <c r="D7695" s="1">
        <v>44273</v>
      </c>
      <c r="E7695">
        <v>1</v>
      </c>
      <c r="F7695" t="s">
        <v>1842</v>
      </c>
      <c r="G7695" t="str">
        <f>"05-I14-04"</f>
        <v>05-I14-04</v>
      </c>
      <c r="H7695">
        <v>5.1692</v>
      </c>
      <c r="J7695" t="s">
        <v>14</v>
      </c>
      <c r="K7695" t="str">
        <f>"1F1"</f>
        <v>1F1</v>
      </c>
      <c r="L7695" t="s">
        <v>15</v>
      </c>
    </row>
    <row r="7696" spans="1:12" x14ac:dyDescent="0.25">
      <c r="A7696" t="str">
        <f>"6109181881"</f>
        <v>6109181881</v>
      </c>
      <c r="B7696" t="str">
        <f t="shared" si="355"/>
        <v>89301000</v>
      </c>
      <c r="C7696" s="1">
        <v>44505</v>
      </c>
      <c r="D7696" s="1">
        <v>44511</v>
      </c>
      <c r="E7696">
        <v>1</v>
      </c>
      <c r="F7696" t="s">
        <v>5509</v>
      </c>
      <c r="G7696" t="str">
        <f>"01-K08-02"</f>
        <v>01-K08-02</v>
      </c>
      <c r="H7696">
        <v>0.60519999999999996</v>
      </c>
      <c r="I7696" t="s">
        <v>5510</v>
      </c>
      <c r="J7696" t="s">
        <v>14</v>
      </c>
      <c r="K7696" t="str">
        <f>"2F9"</f>
        <v>2F9</v>
      </c>
      <c r="L7696" t="s">
        <v>15</v>
      </c>
    </row>
    <row r="7697" spans="1:12" x14ac:dyDescent="0.25">
      <c r="A7697" t="str">
        <f>"6109192133"</f>
        <v>6109192133</v>
      </c>
      <c r="B7697" t="str">
        <f t="shared" si="355"/>
        <v>89301000</v>
      </c>
      <c r="C7697" s="1">
        <v>44339</v>
      </c>
      <c r="D7697" s="1">
        <v>44354</v>
      </c>
      <c r="E7697">
        <v>5</v>
      </c>
      <c r="F7697" t="s">
        <v>67</v>
      </c>
      <c r="G7697" t="str">
        <f>"00-M02-03"</f>
        <v>00-M02-03</v>
      </c>
      <c r="H7697">
        <v>15.9742</v>
      </c>
      <c r="I7697" t="s">
        <v>5511</v>
      </c>
      <c r="J7697" t="s">
        <v>14</v>
      </c>
      <c r="K7697" t="str">
        <f>"2T9"</f>
        <v>2T9</v>
      </c>
      <c r="L7697" t="s">
        <v>15</v>
      </c>
    </row>
    <row r="7698" spans="1:12" x14ac:dyDescent="0.25">
      <c r="A7698" t="str">
        <f>"6110021401"</f>
        <v>6110021401</v>
      </c>
      <c r="B7698" t="str">
        <f t="shared" si="355"/>
        <v>89301000</v>
      </c>
      <c r="C7698" s="1">
        <v>44359</v>
      </c>
      <c r="D7698" s="1">
        <v>44360</v>
      </c>
      <c r="E7698">
        <v>6</v>
      </c>
      <c r="F7698" t="s">
        <v>1225</v>
      </c>
      <c r="G7698" t="str">
        <f>"01-K16-02"</f>
        <v>01-K16-02</v>
      </c>
      <c r="H7698">
        <v>0.72260000000000002</v>
      </c>
      <c r="I7698" t="s">
        <v>543</v>
      </c>
      <c r="J7698" t="s">
        <v>14</v>
      </c>
      <c r="K7698" t="str">
        <f>"5T6"</f>
        <v>5T6</v>
      </c>
      <c r="L7698" t="s">
        <v>15</v>
      </c>
    </row>
    <row r="7699" spans="1:12" x14ac:dyDescent="0.25">
      <c r="A7699" t="str">
        <f>"6110040013"</f>
        <v>6110040013</v>
      </c>
      <c r="B7699" t="str">
        <f t="shared" si="355"/>
        <v>89301000</v>
      </c>
      <c r="C7699" s="1">
        <v>44256</v>
      </c>
      <c r="D7699" s="1">
        <v>44257</v>
      </c>
      <c r="E7699">
        <v>1</v>
      </c>
      <c r="F7699" t="s">
        <v>215</v>
      </c>
      <c r="G7699" t="str">
        <f>"08-I15-03"</f>
        <v>08-I15-03</v>
      </c>
      <c r="H7699">
        <v>1.1838</v>
      </c>
      <c r="I7699" t="s">
        <v>211</v>
      </c>
      <c r="J7699" t="s">
        <v>17</v>
      </c>
      <c r="K7699" t="str">
        <f>"5F3"</f>
        <v>5F3</v>
      </c>
      <c r="L7699" t="s">
        <v>15</v>
      </c>
    </row>
    <row r="7700" spans="1:12" x14ac:dyDescent="0.25">
      <c r="A7700" t="str">
        <f>"6110041960"</f>
        <v>6110041960</v>
      </c>
      <c r="B7700" t="str">
        <f t="shared" si="355"/>
        <v>89301000</v>
      </c>
      <c r="C7700" s="1">
        <v>44198</v>
      </c>
      <c r="D7700" s="1">
        <v>44205</v>
      </c>
      <c r="E7700">
        <v>5</v>
      </c>
      <c r="F7700" t="s">
        <v>217</v>
      </c>
      <c r="G7700" t="str">
        <f>"04-K02-04"</f>
        <v>04-K02-04</v>
      </c>
      <c r="H7700">
        <v>0.82469999999999999</v>
      </c>
      <c r="I7700" t="s">
        <v>5512</v>
      </c>
      <c r="J7700" t="s">
        <v>14</v>
      </c>
      <c r="K7700" t="str">
        <f>"1F6"</f>
        <v>1F6</v>
      </c>
      <c r="L7700" t="s">
        <v>15</v>
      </c>
    </row>
    <row r="7701" spans="1:12" x14ac:dyDescent="0.25">
      <c r="A7701" t="str">
        <f>"6110121952"</f>
        <v>6110121952</v>
      </c>
      <c r="B7701" t="str">
        <f t="shared" si="355"/>
        <v>89301000</v>
      </c>
      <c r="C7701" s="1">
        <v>44216</v>
      </c>
      <c r="D7701" s="1">
        <v>44228</v>
      </c>
      <c r="E7701">
        <v>1</v>
      </c>
      <c r="F7701" t="s">
        <v>1679</v>
      </c>
      <c r="G7701" t="str">
        <f>"11-I01-02"</f>
        <v>11-I01-02</v>
      </c>
      <c r="H7701">
        <v>5.5476000000000001</v>
      </c>
      <c r="I7701" t="s">
        <v>5513</v>
      </c>
      <c r="J7701" t="s">
        <v>17</v>
      </c>
      <c r="K7701" t="str">
        <f>"7F6"</f>
        <v>7F6</v>
      </c>
      <c r="L7701" t="s">
        <v>15</v>
      </c>
    </row>
    <row r="7702" spans="1:12" x14ac:dyDescent="0.25">
      <c r="A7702" t="str">
        <f>"6110131456"</f>
        <v>6110131456</v>
      </c>
      <c r="B7702" t="str">
        <f t="shared" si="355"/>
        <v>89301000</v>
      </c>
      <c r="C7702" s="1">
        <v>44199</v>
      </c>
      <c r="D7702" s="1">
        <v>44202</v>
      </c>
      <c r="E7702">
        <v>1</v>
      </c>
      <c r="F7702" t="s">
        <v>3406</v>
      </c>
      <c r="G7702" t="str">
        <f>"10-I13-04"</f>
        <v>10-I13-04</v>
      </c>
      <c r="H7702">
        <v>0.66120000000000001</v>
      </c>
      <c r="I7702" t="s">
        <v>79</v>
      </c>
      <c r="J7702" t="s">
        <v>24</v>
      </c>
      <c r="K7702" t="str">
        <f>"5F5"</f>
        <v>5F5</v>
      </c>
      <c r="L7702" t="s">
        <v>15</v>
      </c>
    </row>
    <row r="7703" spans="1:12" x14ac:dyDescent="0.25">
      <c r="A7703" t="str">
        <f>"6110140091"</f>
        <v>6110140091</v>
      </c>
      <c r="B7703" t="str">
        <f t="shared" si="355"/>
        <v>89301000</v>
      </c>
      <c r="C7703" s="1">
        <v>44430</v>
      </c>
      <c r="D7703" s="1">
        <v>44433</v>
      </c>
      <c r="E7703">
        <v>1</v>
      </c>
      <c r="F7703" t="s">
        <v>3894</v>
      </c>
      <c r="G7703" t="str">
        <f>"08-M03-05"</f>
        <v>08-M03-05</v>
      </c>
      <c r="H7703">
        <v>0.51759999999999995</v>
      </c>
      <c r="J7703" t="s">
        <v>14</v>
      </c>
      <c r="K7703" t="str">
        <f>"6F6"</f>
        <v>6F6</v>
      </c>
      <c r="L7703" t="s">
        <v>15</v>
      </c>
    </row>
    <row r="7704" spans="1:12" x14ac:dyDescent="0.25">
      <c r="A7704" t="str">
        <f>"6110180208"</f>
        <v>6110180208</v>
      </c>
      <c r="B7704" t="str">
        <f t="shared" si="355"/>
        <v>89301000</v>
      </c>
      <c r="C7704" s="1">
        <v>44397</v>
      </c>
      <c r="D7704" s="1">
        <v>44401</v>
      </c>
      <c r="E7704">
        <v>1</v>
      </c>
      <c r="F7704" t="s">
        <v>1955</v>
      </c>
      <c r="G7704" t="str">
        <f>"01-I01-02"</f>
        <v>01-I01-02</v>
      </c>
      <c r="H7704">
        <v>11.896800000000001</v>
      </c>
      <c r="I7704" t="s">
        <v>2257</v>
      </c>
      <c r="J7704" t="s">
        <v>24</v>
      </c>
      <c r="K7704" t="str">
        <f>"2F9"</f>
        <v>2F9</v>
      </c>
      <c r="L7704" t="s">
        <v>15</v>
      </c>
    </row>
    <row r="7705" spans="1:12" x14ac:dyDescent="0.25">
      <c r="A7705" t="str">
        <f>"6110241027"</f>
        <v>6110241027</v>
      </c>
      <c r="B7705" t="str">
        <f t="shared" si="355"/>
        <v>89301000</v>
      </c>
      <c r="C7705" s="1">
        <v>44467</v>
      </c>
      <c r="D7705" s="1">
        <v>44470</v>
      </c>
      <c r="E7705">
        <v>1</v>
      </c>
      <c r="F7705" t="s">
        <v>632</v>
      </c>
      <c r="G7705" t="str">
        <f>"06-I17-04"</f>
        <v>06-I17-04</v>
      </c>
      <c r="H7705">
        <v>0.49940000000000001</v>
      </c>
      <c r="J7705" t="s">
        <v>17</v>
      </c>
      <c r="K7705" t="str">
        <f>"5F1"</f>
        <v>5F1</v>
      </c>
      <c r="L7705" t="s">
        <v>15</v>
      </c>
    </row>
    <row r="7706" spans="1:12" x14ac:dyDescent="0.25">
      <c r="A7706" t="str">
        <f>"6110281133"</f>
        <v>6110281133</v>
      </c>
      <c r="B7706" t="str">
        <f t="shared" si="355"/>
        <v>89301000</v>
      </c>
      <c r="C7706" s="1">
        <v>44270</v>
      </c>
      <c r="D7706" s="1">
        <v>44281</v>
      </c>
      <c r="E7706">
        <v>1</v>
      </c>
      <c r="F7706" t="s">
        <v>67</v>
      </c>
      <c r="G7706" t="str">
        <f>"01-M02-00"</f>
        <v>01-M02-00</v>
      </c>
      <c r="H7706">
        <v>5.4023000000000003</v>
      </c>
      <c r="I7706" t="s">
        <v>5514</v>
      </c>
      <c r="J7706" t="s">
        <v>17</v>
      </c>
      <c r="K7706" t="str">
        <f>"2F9"</f>
        <v>2F9</v>
      </c>
      <c r="L7706" t="s">
        <v>15</v>
      </c>
    </row>
    <row r="7707" spans="1:12" x14ac:dyDescent="0.25">
      <c r="A7707" t="str">
        <f>"6110281133"</f>
        <v>6110281133</v>
      </c>
      <c r="B7707" t="str">
        <f t="shared" si="355"/>
        <v>89301000</v>
      </c>
      <c r="C7707" s="1">
        <v>44319</v>
      </c>
      <c r="D7707" s="1">
        <v>44321</v>
      </c>
      <c r="E7707">
        <v>1</v>
      </c>
      <c r="F7707" t="s">
        <v>3083</v>
      </c>
      <c r="G7707" t="str">
        <f>"04-K10-02"</f>
        <v>04-K10-02</v>
      </c>
      <c r="H7707">
        <v>0.38879999999999998</v>
      </c>
      <c r="I7707" t="s">
        <v>5515</v>
      </c>
      <c r="J7707" t="s">
        <v>14</v>
      </c>
      <c r="K7707" t="str">
        <f>"2F5"</f>
        <v>2F5</v>
      </c>
      <c r="L7707" t="s">
        <v>15</v>
      </c>
    </row>
    <row r="7708" spans="1:12" x14ac:dyDescent="0.25">
      <c r="A7708" t="str">
        <f>"6111011291"</f>
        <v>6111011291</v>
      </c>
      <c r="B7708" t="str">
        <f t="shared" si="355"/>
        <v>89301000</v>
      </c>
      <c r="C7708" s="1">
        <v>44322</v>
      </c>
      <c r="D7708" s="1">
        <v>44329</v>
      </c>
      <c r="E7708">
        <v>1</v>
      </c>
      <c r="F7708" t="s">
        <v>67</v>
      </c>
      <c r="G7708" t="str">
        <f>"01-K10-03"</f>
        <v>01-K10-03</v>
      </c>
      <c r="H7708">
        <v>1.0016</v>
      </c>
      <c r="I7708" t="s">
        <v>2283</v>
      </c>
      <c r="J7708" t="s">
        <v>14</v>
      </c>
      <c r="K7708" t="str">
        <f>"2F9"</f>
        <v>2F9</v>
      </c>
      <c r="L7708" t="s">
        <v>15</v>
      </c>
    </row>
    <row r="7709" spans="1:12" x14ac:dyDescent="0.25">
      <c r="A7709" t="str">
        <f>"6111090271"</f>
        <v>6111090271</v>
      </c>
      <c r="B7709" t="str">
        <f t="shared" si="355"/>
        <v>89301000</v>
      </c>
      <c r="C7709" s="1">
        <v>44243</v>
      </c>
      <c r="D7709" s="1">
        <v>44250</v>
      </c>
      <c r="E7709">
        <v>4</v>
      </c>
      <c r="F7709" t="s">
        <v>4557</v>
      </c>
      <c r="G7709" t="str">
        <f>"20-K03-03"</f>
        <v>20-K03-03</v>
      </c>
      <c r="H7709">
        <v>1.0109999999999999</v>
      </c>
      <c r="I7709" t="s">
        <v>5516</v>
      </c>
      <c r="J7709" t="s">
        <v>14</v>
      </c>
      <c r="K7709" t="str">
        <f>"3F5"</f>
        <v>3F5</v>
      </c>
      <c r="L7709" t="s">
        <v>15</v>
      </c>
    </row>
    <row r="7710" spans="1:12" x14ac:dyDescent="0.25">
      <c r="A7710" t="str">
        <f>"6111100809"</f>
        <v>6111100809</v>
      </c>
      <c r="B7710" t="str">
        <f t="shared" si="355"/>
        <v>89301000</v>
      </c>
      <c r="C7710" s="1">
        <v>44404</v>
      </c>
      <c r="D7710" s="1">
        <v>44447</v>
      </c>
      <c r="E7710">
        <v>4</v>
      </c>
      <c r="F7710" t="s">
        <v>109</v>
      </c>
      <c r="G7710" t="str">
        <f>"24-M11-01"</f>
        <v>24-M11-01</v>
      </c>
      <c r="H7710">
        <v>5.2934000000000001</v>
      </c>
      <c r="I7710" t="s">
        <v>5517</v>
      </c>
      <c r="J7710" t="s">
        <v>14</v>
      </c>
      <c r="K7710" t="str">
        <f>"2F1"</f>
        <v>2F1</v>
      </c>
      <c r="L7710" t="s">
        <v>15</v>
      </c>
    </row>
    <row r="7711" spans="1:12" x14ac:dyDescent="0.25">
      <c r="A7711" t="str">
        <f>"6111100809"</f>
        <v>6111100809</v>
      </c>
      <c r="B7711" t="str">
        <f t="shared" si="355"/>
        <v>89301000</v>
      </c>
      <c r="C7711" s="1">
        <v>44390</v>
      </c>
      <c r="D7711" s="1">
        <v>44399</v>
      </c>
      <c r="E7711">
        <v>5</v>
      </c>
      <c r="F7711" t="s">
        <v>208</v>
      </c>
      <c r="G7711" t="str">
        <f>"08-I03-03"</f>
        <v>08-I03-03</v>
      </c>
      <c r="H7711">
        <v>5.3307000000000002</v>
      </c>
      <c r="I7711" t="s">
        <v>5518</v>
      </c>
      <c r="J7711" t="s">
        <v>17</v>
      </c>
      <c r="K7711" t="str">
        <f>"5T6"</f>
        <v>5T6</v>
      </c>
      <c r="L7711" t="s">
        <v>15</v>
      </c>
    </row>
    <row r="7712" spans="1:12" x14ac:dyDescent="0.25">
      <c r="A7712" t="str">
        <f>"6111101139"</f>
        <v>6111101139</v>
      </c>
      <c r="B7712" t="str">
        <f t="shared" si="355"/>
        <v>89301000</v>
      </c>
      <c r="C7712" s="1">
        <v>44334</v>
      </c>
      <c r="D7712" s="1">
        <v>44336</v>
      </c>
      <c r="E7712">
        <v>1</v>
      </c>
      <c r="F7712" t="s">
        <v>609</v>
      </c>
      <c r="G7712" t="str">
        <f>"08-I16-03"</f>
        <v>08-I16-03</v>
      </c>
      <c r="H7712">
        <v>1.3984000000000001</v>
      </c>
      <c r="I7712" t="s">
        <v>381</v>
      </c>
      <c r="J7712" t="s">
        <v>17</v>
      </c>
      <c r="K7712" t="str">
        <f>"5F3"</f>
        <v>5F3</v>
      </c>
      <c r="L7712" t="s">
        <v>15</v>
      </c>
    </row>
    <row r="7713" spans="1:12" x14ac:dyDescent="0.25">
      <c r="A7713" t="str">
        <f>"6112020002"</f>
        <v>6112020002</v>
      </c>
      <c r="B7713" t="str">
        <f t="shared" si="355"/>
        <v>89301000</v>
      </c>
      <c r="C7713" s="1">
        <v>44297</v>
      </c>
      <c r="D7713" s="1">
        <v>44299</v>
      </c>
      <c r="E7713">
        <v>1</v>
      </c>
      <c r="F7713" t="s">
        <v>71</v>
      </c>
      <c r="G7713" t="str">
        <f>"08-M03-05"</f>
        <v>08-M03-05</v>
      </c>
      <c r="H7713">
        <v>0.51759999999999995</v>
      </c>
      <c r="I7713" t="s">
        <v>196</v>
      </c>
      <c r="J7713" t="s">
        <v>14</v>
      </c>
      <c r="K7713" t="str">
        <f>"5F3"</f>
        <v>5F3</v>
      </c>
      <c r="L7713" t="s">
        <v>15</v>
      </c>
    </row>
    <row r="7714" spans="1:12" x14ac:dyDescent="0.25">
      <c r="A7714" t="str">
        <f>"6112051451"</f>
        <v>6112051451</v>
      </c>
      <c r="B7714" t="str">
        <f t="shared" si="355"/>
        <v>89301000</v>
      </c>
      <c r="C7714" s="1">
        <v>44269</v>
      </c>
      <c r="D7714" s="1">
        <v>44272</v>
      </c>
      <c r="E7714">
        <v>5</v>
      </c>
      <c r="F7714" t="s">
        <v>217</v>
      </c>
      <c r="G7714" t="str">
        <f>"04-K02-04"</f>
        <v>04-K02-04</v>
      </c>
      <c r="H7714">
        <v>0.82469999999999999</v>
      </c>
      <c r="I7714" t="s">
        <v>5519</v>
      </c>
      <c r="J7714" t="s">
        <v>14</v>
      </c>
      <c r="K7714" t="str">
        <f>"5F1"</f>
        <v>5F1</v>
      </c>
      <c r="L7714" t="s">
        <v>15</v>
      </c>
    </row>
    <row r="7715" spans="1:12" x14ac:dyDescent="0.25">
      <c r="A7715" t="str">
        <f>"6112051451"</f>
        <v>6112051451</v>
      </c>
      <c r="B7715" t="str">
        <f t="shared" si="355"/>
        <v>89301000</v>
      </c>
      <c r="C7715" s="1">
        <v>44224</v>
      </c>
      <c r="D7715" s="1">
        <v>44227</v>
      </c>
      <c r="E7715">
        <v>1</v>
      </c>
      <c r="F7715" t="s">
        <v>5520</v>
      </c>
      <c r="G7715" t="str">
        <f>"08-M03-05"</f>
        <v>08-M03-05</v>
      </c>
      <c r="H7715">
        <v>0.51759999999999995</v>
      </c>
      <c r="I7715" t="s">
        <v>295</v>
      </c>
      <c r="J7715" t="s">
        <v>14</v>
      </c>
      <c r="K7715" t="str">
        <f>"5F3"</f>
        <v>5F3</v>
      </c>
      <c r="L7715" t="s">
        <v>15</v>
      </c>
    </row>
    <row r="7716" spans="1:12" x14ac:dyDescent="0.25">
      <c r="A7716" t="str">
        <f>"6112150022"</f>
        <v>6112150022</v>
      </c>
      <c r="B7716" t="str">
        <f t="shared" si="355"/>
        <v>89301000</v>
      </c>
      <c r="C7716" s="1">
        <v>44462</v>
      </c>
      <c r="D7716" s="1">
        <v>44470</v>
      </c>
      <c r="E7716">
        <v>1</v>
      </c>
      <c r="F7716" t="s">
        <v>3285</v>
      </c>
      <c r="G7716" t="str">
        <f>"05-D01-06"</f>
        <v>05-D01-06</v>
      </c>
      <c r="H7716">
        <v>0.7611</v>
      </c>
      <c r="I7716" t="s">
        <v>1557</v>
      </c>
      <c r="J7716" t="s">
        <v>14</v>
      </c>
      <c r="K7716" t="str">
        <f>"1F7"</f>
        <v>1F7</v>
      </c>
      <c r="L7716" t="s">
        <v>15</v>
      </c>
    </row>
    <row r="7717" spans="1:12" x14ac:dyDescent="0.25">
      <c r="A7717" t="str">
        <f>"6112150055"</f>
        <v>6112150055</v>
      </c>
      <c r="B7717" t="str">
        <f t="shared" si="355"/>
        <v>89301000</v>
      </c>
      <c r="C7717" s="1">
        <v>44243</v>
      </c>
      <c r="D7717" s="1">
        <v>44248</v>
      </c>
      <c r="E7717">
        <v>1</v>
      </c>
      <c r="F7717" t="s">
        <v>2232</v>
      </c>
      <c r="G7717" t="str">
        <f>"11-I08-03"</f>
        <v>11-I08-03</v>
      </c>
      <c r="H7717">
        <v>2.0676999999999999</v>
      </c>
      <c r="I7717" t="s">
        <v>5521</v>
      </c>
      <c r="J7717" t="s">
        <v>17</v>
      </c>
      <c r="K7717" t="str">
        <f>"7F6"</f>
        <v>7F6</v>
      </c>
      <c r="L7717" t="s">
        <v>15</v>
      </c>
    </row>
    <row r="7718" spans="1:12" x14ac:dyDescent="0.25">
      <c r="A7718" t="str">
        <f>"6112211886"</f>
        <v>6112211886</v>
      </c>
      <c r="B7718" t="str">
        <f t="shared" si="355"/>
        <v>89301000</v>
      </c>
      <c r="C7718" s="1">
        <v>44517</v>
      </c>
      <c r="D7718" s="1">
        <v>44544</v>
      </c>
      <c r="E7718">
        <v>1</v>
      </c>
      <c r="F7718" t="s">
        <v>217</v>
      </c>
      <c r="G7718" t="str">
        <f>"00-M02-04"</f>
        <v>00-M02-04</v>
      </c>
      <c r="H7718">
        <v>12.071199999999999</v>
      </c>
      <c r="I7718" t="s">
        <v>5522</v>
      </c>
      <c r="J7718" t="s">
        <v>14</v>
      </c>
      <c r="K7718" t="str">
        <f>"2F5"</f>
        <v>2F5</v>
      </c>
      <c r="L7718" t="s">
        <v>15</v>
      </c>
    </row>
    <row r="7719" spans="1:12" x14ac:dyDescent="0.25">
      <c r="A7719" t="str">
        <f>"6112220037"</f>
        <v>6112220037</v>
      </c>
      <c r="B7719" t="str">
        <f t="shared" si="355"/>
        <v>89301000</v>
      </c>
      <c r="C7719" s="1">
        <v>44445</v>
      </c>
      <c r="D7719" s="1">
        <v>44452</v>
      </c>
      <c r="E7719">
        <v>1</v>
      </c>
      <c r="F7719" t="s">
        <v>142</v>
      </c>
      <c r="G7719" t="str">
        <f>"03-I11-03"</f>
        <v>03-I11-03</v>
      </c>
      <c r="H7719">
        <v>1.0253000000000001</v>
      </c>
      <c r="I7719" t="s">
        <v>5523</v>
      </c>
      <c r="J7719" t="s">
        <v>17</v>
      </c>
      <c r="K7719" t="str">
        <f>"6F5"</f>
        <v>6F5</v>
      </c>
      <c r="L7719" t="s">
        <v>15</v>
      </c>
    </row>
    <row r="7720" spans="1:12" x14ac:dyDescent="0.25">
      <c r="A7720" t="str">
        <f>"6112251134"</f>
        <v>6112251134</v>
      </c>
      <c r="B7720" t="str">
        <f t="shared" si="355"/>
        <v>89301000</v>
      </c>
      <c r="C7720" s="1">
        <v>44419</v>
      </c>
      <c r="D7720" s="1">
        <v>44423</v>
      </c>
      <c r="E7720">
        <v>1</v>
      </c>
      <c r="F7720" t="s">
        <v>5524</v>
      </c>
      <c r="G7720" t="str">
        <f>"02-K09-00"</f>
        <v>02-K09-00</v>
      </c>
      <c r="H7720">
        <v>0.40720000000000001</v>
      </c>
      <c r="I7720" t="s">
        <v>5525</v>
      </c>
      <c r="J7720" t="s">
        <v>14</v>
      </c>
      <c r="K7720" t="str">
        <f>"7F5"</f>
        <v>7F5</v>
      </c>
      <c r="L7720" t="s">
        <v>15</v>
      </c>
    </row>
    <row r="7721" spans="1:12" x14ac:dyDescent="0.25">
      <c r="A7721" t="str">
        <f>"6112251134"</f>
        <v>6112251134</v>
      </c>
      <c r="B7721" t="str">
        <f t="shared" si="355"/>
        <v>89301000</v>
      </c>
      <c r="C7721" s="1">
        <v>44470</v>
      </c>
      <c r="D7721" s="1">
        <v>44473</v>
      </c>
      <c r="E7721">
        <v>1</v>
      </c>
      <c r="F7721" t="s">
        <v>1553</v>
      </c>
      <c r="G7721" t="str">
        <f>"04-K05-03"</f>
        <v>04-K05-03</v>
      </c>
      <c r="H7721">
        <v>0.74980000000000002</v>
      </c>
      <c r="I7721" t="s">
        <v>5526</v>
      </c>
      <c r="J7721" t="s">
        <v>14</v>
      </c>
      <c r="K7721" t="str">
        <f>"1F1"</f>
        <v>1F1</v>
      </c>
      <c r="L7721" t="s">
        <v>15</v>
      </c>
    </row>
    <row r="7722" spans="1:12" x14ac:dyDescent="0.25">
      <c r="A7722" t="str">
        <f>"6112260297"</f>
        <v>6112260297</v>
      </c>
      <c r="B7722" t="str">
        <f t="shared" si="355"/>
        <v>89301000</v>
      </c>
      <c r="C7722" s="1">
        <v>44308</v>
      </c>
      <c r="D7722" s="1">
        <v>44309</v>
      </c>
      <c r="E7722">
        <v>1</v>
      </c>
      <c r="F7722" t="s">
        <v>2360</v>
      </c>
      <c r="G7722" t="str">
        <f>"06-M01-03"</f>
        <v>06-M01-03</v>
      </c>
      <c r="H7722">
        <v>0.82450000000000001</v>
      </c>
      <c r="I7722" t="s">
        <v>2361</v>
      </c>
      <c r="J7722" t="s">
        <v>14</v>
      </c>
      <c r="K7722" t="str">
        <f>"1F5"</f>
        <v>1F5</v>
      </c>
      <c r="L7722" t="s">
        <v>15</v>
      </c>
    </row>
    <row r="7723" spans="1:12" x14ac:dyDescent="0.25">
      <c r="A7723" t="str">
        <f>"6112281483"</f>
        <v>6112281483</v>
      </c>
      <c r="B7723" t="str">
        <f t="shared" si="355"/>
        <v>89301000</v>
      </c>
      <c r="C7723" s="1">
        <v>44473</v>
      </c>
      <c r="D7723" s="1">
        <v>44475</v>
      </c>
      <c r="E7723">
        <v>1</v>
      </c>
      <c r="F7723" t="s">
        <v>5527</v>
      </c>
      <c r="G7723" t="str">
        <f>"01-K18-04"</f>
        <v>01-K18-04</v>
      </c>
      <c r="H7723">
        <v>0.49890000000000001</v>
      </c>
      <c r="I7723" t="s">
        <v>5528</v>
      </c>
      <c r="J7723" t="s">
        <v>14</v>
      </c>
      <c r="K7723" t="str">
        <f>"2F9"</f>
        <v>2F9</v>
      </c>
      <c r="L7723" t="s">
        <v>15</v>
      </c>
    </row>
    <row r="7724" spans="1:12" x14ac:dyDescent="0.25">
      <c r="A7724" t="str">
        <f>"6112300282"</f>
        <v>6112300282</v>
      </c>
      <c r="B7724" t="str">
        <f t="shared" si="355"/>
        <v>89301000</v>
      </c>
      <c r="C7724" s="1">
        <v>44378</v>
      </c>
      <c r="D7724" s="1">
        <v>44379</v>
      </c>
      <c r="E7724">
        <v>1</v>
      </c>
      <c r="F7724" t="s">
        <v>1557</v>
      </c>
      <c r="G7724" t="str">
        <f>"05-M06-07"</f>
        <v>05-M06-07</v>
      </c>
      <c r="H7724">
        <v>1.8717999999999999</v>
      </c>
      <c r="I7724" t="s">
        <v>5529</v>
      </c>
      <c r="J7724" t="s">
        <v>17</v>
      </c>
      <c r="K7724" t="str">
        <f>"1F1"</f>
        <v>1F1</v>
      </c>
      <c r="L7724" t="s">
        <v>15</v>
      </c>
    </row>
    <row r="7725" spans="1:12" x14ac:dyDescent="0.25">
      <c r="A7725" t="str">
        <f>"6112301657"</f>
        <v>6112301657</v>
      </c>
      <c r="B7725" t="str">
        <f t="shared" si="355"/>
        <v>89301000</v>
      </c>
      <c r="C7725" s="1">
        <v>44301</v>
      </c>
      <c r="D7725" s="1">
        <v>44304</v>
      </c>
      <c r="E7725">
        <v>1</v>
      </c>
      <c r="F7725" t="s">
        <v>3921</v>
      </c>
      <c r="G7725" t="str">
        <f>"01-C01-03"</f>
        <v>01-C01-03</v>
      </c>
      <c r="H7725">
        <v>1.6254999999999999</v>
      </c>
      <c r="I7725" t="s">
        <v>2479</v>
      </c>
      <c r="J7725" t="s">
        <v>14</v>
      </c>
      <c r="K7725" t="str">
        <f>"2F9"</f>
        <v>2F9</v>
      </c>
      <c r="L7725" t="s">
        <v>15</v>
      </c>
    </row>
    <row r="7726" spans="1:12" x14ac:dyDescent="0.25">
      <c r="A7726" t="str">
        <f>"6112301657"</f>
        <v>6112301657</v>
      </c>
      <c r="B7726" t="str">
        <f t="shared" si="355"/>
        <v>89301000</v>
      </c>
      <c r="C7726" s="1">
        <v>44519</v>
      </c>
      <c r="D7726" s="1">
        <v>44521</v>
      </c>
      <c r="E7726">
        <v>1</v>
      </c>
      <c r="F7726" t="s">
        <v>1764</v>
      </c>
      <c r="G7726" t="str">
        <f>"01-K08-02"</f>
        <v>01-K08-02</v>
      </c>
      <c r="H7726">
        <v>0.60519999999999996</v>
      </c>
      <c r="I7726" t="s">
        <v>2119</v>
      </c>
      <c r="J7726" t="s">
        <v>14</v>
      </c>
      <c r="K7726" t="str">
        <f>"2F9"</f>
        <v>2F9</v>
      </c>
      <c r="L7726" t="s">
        <v>15</v>
      </c>
    </row>
    <row r="7727" spans="1:12" x14ac:dyDescent="0.25">
      <c r="A7727" t="str">
        <f>"6112301668"</f>
        <v>6112301668</v>
      </c>
      <c r="B7727" t="str">
        <f t="shared" si="355"/>
        <v>89301000</v>
      </c>
      <c r="C7727" s="1">
        <v>44426</v>
      </c>
      <c r="D7727" s="1">
        <v>44434</v>
      </c>
      <c r="E7727">
        <v>4</v>
      </c>
      <c r="F7727" t="s">
        <v>2931</v>
      </c>
      <c r="G7727" t="str">
        <f>"07-K04-03"</f>
        <v>07-K04-03</v>
      </c>
      <c r="H7727">
        <v>1.0898000000000001</v>
      </c>
      <c r="I7727" t="s">
        <v>5530</v>
      </c>
      <c r="J7727" t="s">
        <v>14</v>
      </c>
      <c r="K7727" t="str">
        <f>"1F1"</f>
        <v>1F1</v>
      </c>
      <c r="L7727" t="s">
        <v>15</v>
      </c>
    </row>
    <row r="7728" spans="1:12" x14ac:dyDescent="0.25">
      <c r="A7728" t="str">
        <f>"6151050147"</f>
        <v>6151050147</v>
      </c>
      <c r="B7728" t="str">
        <f t="shared" si="355"/>
        <v>89301000</v>
      </c>
      <c r="C7728" s="1">
        <v>44470</v>
      </c>
      <c r="D7728" s="1">
        <v>44480</v>
      </c>
      <c r="E7728">
        <v>1</v>
      </c>
      <c r="F7728" t="s">
        <v>407</v>
      </c>
      <c r="G7728" t="str">
        <f>"03-I19-02"</f>
        <v>03-I19-02</v>
      </c>
      <c r="H7728">
        <v>0.88829999999999998</v>
      </c>
      <c r="I7728" t="s">
        <v>5531</v>
      </c>
      <c r="J7728" t="s">
        <v>14</v>
      </c>
      <c r="K7728" t="str">
        <f>"6F5"</f>
        <v>6F5</v>
      </c>
      <c r="L7728" t="s">
        <v>15</v>
      </c>
    </row>
    <row r="7729" spans="1:12" x14ac:dyDescent="0.25">
      <c r="A7729" t="str">
        <f>"6151050147"</f>
        <v>6151050147</v>
      </c>
      <c r="B7729" t="str">
        <f t="shared" si="355"/>
        <v>89301000</v>
      </c>
      <c r="C7729" s="1">
        <v>44511</v>
      </c>
      <c r="D7729" s="1">
        <v>44518</v>
      </c>
      <c r="E7729">
        <v>1</v>
      </c>
      <c r="F7729" t="s">
        <v>407</v>
      </c>
      <c r="G7729" t="str">
        <f>"03-K03-02"</f>
        <v>03-K03-02</v>
      </c>
      <c r="H7729">
        <v>0.49249999999999999</v>
      </c>
      <c r="I7729" t="s">
        <v>5532</v>
      </c>
      <c r="J7729" t="s">
        <v>14</v>
      </c>
      <c r="K7729" t="str">
        <f>"6F5"</f>
        <v>6F5</v>
      </c>
      <c r="L7729" t="s">
        <v>15</v>
      </c>
    </row>
    <row r="7730" spans="1:12" x14ac:dyDescent="0.25">
      <c r="A7730" t="str">
        <f>"6151180893"</f>
        <v>6151180893</v>
      </c>
      <c r="B7730" t="str">
        <f t="shared" si="355"/>
        <v>89301000</v>
      </c>
      <c r="C7730" s="1">
        <v>44499</v>
      </c>
      <c r="D7730" s="1">
        <v>44501</v>
      </c>
      <c r="E7730">
        <v>1</v>
      </c>
      <c r="F7730" t="s">
        <v>1878</v>
      </c>
      <c r="G7730" t="str">
        <f>"10-K12-03"</f>
        <v>10-K12-03</v>
      </c>
      <c r="H7730">
        <v>0.50629999999999997</v>
      </c>
      <c r="I7730" t="s">
        <v>5533</v>
      </c>
      <c r="J7730" t="s">
        <v>14</v>
      </c>
      <c r="K7730" t="str">
        <f>"1F1"</f>
        <v>1F1</v>
      </c>
      <c r="L7730" t="s">
        <v>15</v>
      </c>
    </row>
    <row r="7731" spans="1:12" x14ac:dyDescent="0.25">
      <c r="A7731" t="str">
        <f>"6151221527"</f>
        <v>6151221527</v>
      </c>
      <c r="B7731" t="str">
        <f t="shared" si="355"/>
        <v>89301000</v>
      </c>
      <c r="C7731" s="1">
        <v>44492</v>
      </c>
      <c r="D7731" s="1">
        <v>44510</v>
      </c>
      <c r="E7731">
        <v>1</v>
      </c>
      <c r="F7731" t="s">
        <v>4557</v>
      </c>
      <c r="G7731" t="str">
        <f>"20-K05-02"</f>
        <v>20-K05-02</v>
      </c>
      <c r="H7731">
        <v>1.9813000000000001</v>
      </c>
      <c r="I7731" t="s">
        <v>5535</v>
      </c>
      <c r="J7731" t="s">
        <v>14</v>
      </c>
      <c r="K7731" t="str">
        <f>"3F5"</f>
        <v>3F5</v>
      </c>
      <c r="L7731" t="s">
        <v>15</v>
      </c>
    </row>
    <row r="7732" spans="1:12" x14ac:dyDescent="0.25">
      <c r="A7732" t="str">
        <f>"6151221527"</f>
        <v>6151221527</v>
      </c>
      <c r="B7732" t="str">
        <f t="shared" si="355"/>
        <v>89301000</v>
      </c>
      <c r="C7732" s="1">
        <v>44266</v>
      </c>
      <c r="D7732" s="1">
        <v>44273</v>
      </c>
      <c r="E7732">
        <v>1</v>
      </c>
      <c r="F7732" t="s">
        <v>4557</v>
      </c>
      <c r="G7732" t="str">
        <f>"20-K03-03"</f>
        <v>20-K03-03</v>
      </c>
      <c r="H7732">
        <v>1.0109999999999999</v>
      </c>
      <c r="I7732" t="s">
        <v>5536</v>
      </c>
      <c r="J7732" t="s">
        <v>14</v>
      </c>
      <c r="K7732" t="str">
        <f>"3F5"</f>
        <v>3F5</v>
      </c>
      <c r="L7732" t="s">
        <v>15</v>
      </c>
    </row>
    <row r="7733" spans="1:12" x14ac:dyDescent="0.25">
      <c r="A7733" t="str">
        <f>"6151231042"</f>
        <v>6151231042</v>
      </c>
      <c r="B7733" t="str">
        <f t="shared" si="355"/>
        <v>89301000</v>
      </c>
      <c r="C7733" s="1">
        <v>44327</v>
      </c>
      <c r="D7733" s="1">
        <v>44414</v>
      </c>
      <c r="E7733">
        <v>1</v>
      </c>
      <c r="F7733" t="s">
        <v>479</v>
      </c>
      <c r="G7733" t="str">
        <f>"18-M01-01"</f>
        <v>18-M01-01</v>
      </c>
      <c r="H7733">
        <v>11.619899999999999</v>
      </c>
      <c r="I7733" t="s">
        <v>5537</v>
      </c>
      <c r="J7733" t="s">
        <v>14</v>
      </c>
      <c r="K7733" t="str">
        <f>"1F9"</f>
        <v>1F9</v>
      </c>
      <c r="L7733" t="s">
        <v>15</v>
      </c>
    </row>
    <row r="7734" spans="1:12" x14ac:dyDescent="0.25">
      <c r="A7734" t="str">
        <f>"6151240920"</f>
        <v>6151240920</v>
      </c>
      <c r="B7734" t="str">
        <f t="shared" si="355"/>
        <v>89301000</v>
      </c>
      <c r="C7734" s="1">
        <v>44522</v>
      </c>
      <c r="D7734" s="1">
        <v>44526</v>
      </c>
      <c r="E7734">
        <v>1</v>
      </c>
      <c r="F7734" t="s">
        <v>34</v>
      </c>
      <c r="G7734" t="str">
        <f>"08-I19-03"</f>
        <v>08-I19-03</v>
      </c>
      <c r="H7734">
        <v>0.61250000000000004</v>
      </c>
      <c r="I7734" t="s">
        <v>5538</v>
      </c>
      <c r="J7734" t="s">
        <v>17</v>
      </c>
      <c r="K7734" t="str">
        <f>"6F6"</f>
        <v>6F6</v>
      </c>
      <c r="L7734" t="s">
        <v>15</v>
      </c>
    </row>
    <row r="7735" spans="1:12" x14ac:dyDescent="0.25">
      <c r="A7735" t="str">
        <f>"6151260929"</f>
        <v>6151260929</v>
      </c>
      <c r="B7735" t="str">
        <f t="shared" si="355"/>
        <v>89301000</v>
      </c>
      <c r="C7735" s="1">
        <v>44211</v>
      </c>
      <c r="D7735" s="1">
        <v>44215</v>
      </c>
      <c r="E7735">
        <v>1</v>
      </c>
      <c r="F7735" t="s">
        <v>2079</v>
      </c>
      <c r="G7735" t="str">
        <f>"01-K03-08"</f>
        <v>01-K03-08</v>
      </c>
      <c r="H7735">
        <v>0.34789999999999999</v>
      </c>
      <c r="I7735" t="s">
        <v>5539</v>
      </c>
      <c r="J7735" t="s">
        <v>14</v>
      </c>
      <c r="K7735" t="str">
        <f>"2F9"</f>
        <v>2F9</v>
      </c>
      <c r="L7735" t="s">
        <v>15</v>
      </c>
    </row>
    <row r="7736" spans="1:12" x14ac:dyDescent="0.25">
      <c r="A7736" t="str">
        <f>"6152021414"</f>
        <v>6152021414</v>
      </c>
      <c r="B7736" t="str">
        <f t="shared" si="355"/>
        <v>89301000</v>
      </c>
      <c r="C7736" s="1">
        <v>44476</v>
      </c>
      <c r="D7736" s="1">
        <v>44478</v>
      </c>
      <c r="E7736">
        <v>1</v>
      </c>
      <c r="F7736" t="s">
        <v>5540</v>
      </c>
      <c r="G7736" t="str">
        <f>"08-M03-05"</f>
        <v>08-M03-05</v>
      </c>
      <c r="H7736">
        <v>0.51759999999999995</v>
      </c>
      <c r="J7736" t="s">
        <v>14</v>
      </c>
      <c r="K7736" t="str">
        <f>"5F3"</f>
        <v>5F3</v>
      </c>
      <c r="L7736" t="s">
        <v>15</v>
      </c>
    </row>
    <row r="7737" spans="1:12" x14ac:dyDescent="0.25">
      <c r="A7737" t="str">
        <f>"6152040620"</f>
        <v>6152040620</v>
      </c>
      <c r="B7737" t="str">
        <f t="shared" si="355"/>
        <v>89301000</v>
      </c>
      <c r="C7737" s="1">
        <v>44462</v>
      </c>
      <c r="D7737" s="1">
        <v>44466</v>
      </c>
      <c r="E7737">
        <v>1</v>
      </c>
      <c r="F7737" t="s">
        <v>1551</v>
      </c>
      <c r="G7737" t="str">
        <f>"09-I06-04"</f>
        <v>09-I06-04</v>
      </c>
      <c r="H7737">
        <v>0.98829999999999996</v>
      </c>
      <c r="J7737" t="s">
        <v>17</v>
      </c>
      <c r="K7737" t="str">
        <f>"5F1"</f>
        <v>5F1</v>
      </c>
      <c r="L7737" t="s">
        <v>15</v>
      </c>
    </row>
    <row r="7738" spans="1:12" x14ac:dyDescent="0.25">
      <c r="A7738" t="str">
        <f>"6152171586"</f>
        <v>6152171586</v>
      </c>
      <c r="B7738" t="str">
        <f t="shared" ref="B7738:B7801" si="356">"89301000"</f>
        <v>89301000</v>
      </c>
      <c r="C7738" s="1">
        <v>44252</v>
      </c>
      <c r="D7738" s="1">
        <v>44259</v>
      </c>
      <c r="E7738">
        <v>1</v>
      </c>
      <c r="F7738" t="s">
        <v>407</v>
      </c>
      <c r="G7738" t="str">
        <f>"03-I19-02"</f>
        <v>03-I19-02</v>
      </c>
      <c r="H7738">
        <v>0.88829999999999998</v>
      </c>
      <c r="I7738" t="s">
        <v>5541</v>
      </c>
      <c r="J7738" t="s">
        <v>14</v>
      </c>
      <c r="K7738" t="str">
        <f>"6F5"</f>
        <v>6F5</v>
      </c>
      <c r="L7738" t="s">
        <v>15</v>
      </c>
    </row>
    <row r="7739" spans="1:12" x14ac:dyDescent="0.25">
      <c r="A7739" t="str">
        <f>"6152180430"</f>
        <v>6152180430</v>
      </c>
      <c r="B7739" t="str">
        <f t="shared" si="356"/>
        <v>89301000</v>
      </c>
      <c r="C7739" s="1">
        <v>44465</v>
      </c>
      <c r="D7739" s="1">
        <v>44467</v>
      </c>
      <c r="E7739">
        <v>1</v>
      </c>
      <c r="F7739" t="s">
        <v>3330</v>
      </c>
      <c r="G7739" t="str">
        <f>"08-M03-05"</f>
        <v>08-M03-05</v>
      </c>
      <c r="H7739">
        <v>0.51759999999999995</v>
      </c>
      <c r="I7739" t="s">
        <v>489</v>
      </c>
      <c r="J7739" t="s">
        <v>14</v>
      </c>
      <c r="K7739" t="str">
        <f>"6F6"</f>
        <v>6F6</v>
      </c>
      <c r="L7739" t="s">
        <v>15</v>
      </c>
    </row>
    <row r="7740" spans="1:12" x14ac:dyDescent="0.25">
      <c r="A7740" t="str">
        <f>"6152180793"</f>
        <v>6152180793</v>
      </c>
      <c r="B7740" t="str">
        <f t="shared" si="356"/>
        <v>89301000</v>
      </c>
      <c r="C7740" s="1">
        <v>44428</v>
      </c>
      <c r="D7740" s="1">
        <v>44435</v>
      </c>
      <c r="E7740">
        <v>1</v>
      </c>
      <c r="F7740" t="s">
        <v>316</v>
      </c>
      <c r="G7740" t="str">
        <f>"01-K16-02"</f>
        <v>01-K16-02</v>
      </c>
      <c r="H7740">
        <v>1.0797000000000001</v>
      </c>
      <c r="I7740" t="s">
        <v>5542</v>
      </c>
      <c r="J7740" t="s">
        <v>14</v>
      </c>
      <c r="K7740" t="str">
        <f>"5F6"</f>
        <v>5F6</v>
      </c>
      <c r="L7740" t="s">
        <v>15</v>
      </c>
    </row>
    <row r="7741" spans="1:12" x14ac:dyDescent="0.25">
      <c r="A7741" t="str">
        <f>"6152187283"</f>
        <v>6152187283</v>
      </c>
      <c r="B7741" t="str">
        <f t="shared" si="356"/>
        <v>89301000</v>
      </c>
      <c r="C7741" s="1">
        <v>44550</v>
      </c>
      <c r="D7741" s="1">
        <v>44552</v>
      </c>
      <c r="E7741">
        <v>1</v>
      </c>
      <c r="F7741" t="s">
        <v>380</v>
      </c>
      <c r="G7741" t="str">
        <f>"08-I17-02"</f>
        <v>08-I17-02</v>
      </c>
      <c r="H7741">
        <v>0.98309999999999997</v>
      </c>
      <c r="I7741" t="s">
        <v>244</v>
      </c>
      <c r="J7741" t="s">
        <v>14</v>
      </c>
      <c r="K7741" t="str">
        <f>"5F3"</f>
        <v>5F3</v>
      </c>
      <c r="L7741" t="s">
        <v>15</v>
      </c>
    </row>
    <row r="7742" spans="1:12" x14ac:dyDescent="0.25">
      <c r="A7742" t="str">
        <f>"6152190737"</f>
        <v>6152190737</v>
      </c>
      <c r="B7742" t="str">
        <f t="shared" si="356"/>
        <v>89301000</v>
      </c>
      <c r="C7742" s="1">
        <v>44320</v>
      </c>
      <c r="D7742" s="1">
        <v>44329</v>
      </c>
      <c r="E7742">
        <v>1</v>
      </c>
      <c r="F7742" t="s">
        <v>709</v>
      </c>
      <c r="G7742" t="str">
        <f>"06-I13-02"</f>
        <v>06-I13-02</v>
      </c>
      <c r="H7742">
        <v>2.0766</v>
      </c>
      <c r="I7742" t="s">
        <v>5543</v>
      </c>
      <c r="J7742" t="s">
        <v>14</v>
      </c>
      <c r="K7742" t="str">
        <f>"5F1"</f>
        <v>5F1</v>
      </c>
      <c r="L7742" t="s">
        <v>15</v>
      </c>
    </row>
    <row r="7743" spans="1:12" x14ac:dyDescent="0.25">
      <c r="A7743" t="str">
        <f>"6152210317"</f>
        <v>6152210317</v>
      </c>
      <c r="B7743" t="str">
        <f t="shared" si="356"/>
        <v>89301000</v>
      </c>
      <c r="C7743" s="1">
        <v>44463</v>
      </c>
      <c r="D7743" s="1">
        <v>44473</v>
      </c>
      <c r="E7743">
        <v>1</v>
      </c>
      <c r="F7743" t="s">
        <v>998</v>
      </c>
      <c r="G7743" t="str">
        <f>"18-K01-05"</f>
        <v>18-K01-05</v>
      </c>
      <c r="H7743">
        <v>1.6713</v>
      </c>
      <c r="I7743" t="s">
        <v>5544</v>
      </c>
      <c r="J7743" t="s">
        <v>14</v>
      </c>
      <c r="K7743" t="str">
        <f>"2F5"</f>
        <v>2F5</v>
      </c>
      <c r="L7743" t="s">
        <v>15</v>
      </c>
    </row>
    <row r="7744" spans="1:12" x14ac:dyDescent="0.25">
      <c r="A7744" t="str">
        <f>"6152250907"</f>
        <v>6152250907</v>
      </c>
      <c r="B7744" t="str">
        <f t="shared" si="356"/>
        <v>89301000</v>
      </c>
      <c r="C7744" s="1">
        <v>44266</v>
      </c>
      <c r="D7744" s="1">
        <v>44269</v>
      </c>
      <c r="E7744">
        <v>1</v>
      </c>
      <c r="F7744" t="s">
        <v>1551</v>
      </c>
      <c r="G7744" t="str">
        <f>"09-I06-04"</f>
        <v>09-I06-04</v>
      </c>
      <c r="H7744">
        <v>0.98829999999999996</v>
      </c>
      <c r="J7744" t="s">
        <v>17</v>
      </c>
      <c r="K7744" t="str">
        <f>"5F1"</f>
        <v>5F1</v>
      </c>
      <c r="L7744" t="s">
        <v>15</v>
      </c>
    </row>
    <row r="7745" spans="1:12" x14ac:dyDescent="0.25">
      <c r="A7745" t="str">
        <f>"6152260829"</f>
        <v>6152260829</v>
      </c>
      <c r="B7745" t="str">
        <f t="shared" si="356"/>
        <v>89301000</v>
      </c>
      <c r="C7745" s="1">
        <v>44515</v>
      </c>
      <c r="D7745" s="1">
        <v>44517</v>
      </c>
      <c r="E7745">
        <v>1</v>
      </c>
      <c r="F7745" t="s">
        <v>1551</v>
      </c>
      <c r="G7745" t="str">
        <f>"09-I06-04"</f>
        <v>09-I06-04</v>
      </c>
      <c r="H7745">
        <v>0.98829999999999996</v>
      </c>
      <c r="J7745" t="s">
        <v>17</v>
      </c>
      <c r="K7745" t="str">
        <f>"5F1"</f>
        <v>5F1</v>
      </c>
      <c r="L7745" t="s">
        <v>15</v>
      </c>
    </row>
    <row r="7746" spans="1:12" x14ac:dyDescent="0.25">
      <c r="A7746" t="str">
        <f>"6152260829"</f>
        <v>6152260829</v>
      </c>
      <c r="B7746" t="str">
        <f t="shared" si="356"/>
        <v>89301000</v>
      </c>
      <c r="C7746" s="1">
        <v>44255</v>
      </c>
      <c r="D7746" s="1">
        <v>44256</v>
      </c>
      <c r="E7746">
        <v>5</v>
      </c>
      <c r="F7746" t="s">
        <v>217</v>
      </c>
      <c r="G7746" t="str">
        <f>"04-K02-04"</f>
        <v>04-K02-04</v>
      </c>
      <c r="H7746">
        <v>0.55769999999999997</v>
      </c>
      <c r="I7746" t="s">
        <v>274</v>
      </c>
      <c r="J7746" t="s">
        <v>14</v>
      </c>
      <c r="K7746" t="str">
        <f>"1F1"</f>
        <v>1F1</v>
      </c>
      <c r="L7746" t="s">
        <v>15</v>
      </c>
    </row>
    <row r="7747" spans="1:12" x14ac:dyDescent="0.25">
      <c r="A7747" t="str">
        <f>"6152260829"</f>
        <v>6152260829</v>
      </c>
      <c r="B7747" t="str">
        <f t="shared" si="356"/>
        <v>89301000</v>
      </c>
      <c r="C7747" s="1">
        <v>44261</v>
      </c>
      <c r="D7747" s="1">
        <v>44279</v>
      </c>
      <c r="E7747">
        <v>1</v>
      </c>
      <c r="F7747" t="s">
        <v>2987</v>
      </c>
      <c r="G7747" t="str">
        <f>"19-K04-02"</f>
        <v>19-K04-02</v>
      </c>
      <c r="H7747">
        <v>1.4597</v>
      </c>
      <c r="I7747" t="s">
        <v>5545</v>
      </c>
      <c r="J7747" t="s">
        <v>27</v>
      </c>
      <c r="K7747" t="str">
        <f>"3F5"</f>
        <v>3F5</v>
      </c>
      <c r="L7747" t="s">
        <v>15</v>
      </c>
    </row>
    <row r="7748" spans="1:12" x14ac:dyDescent="0.25">
      <c r="A7748" t="str">
        <f>"6152260829"</f>
        <v>6152260829</v>
      </c>
      <c r="B7748" t="str">
        <f t="shared" si="356"/>
        <v>89301000</v>
      </c>
      <c r="C7748" s="1">
        <v>44420</v>
      </c>
      <c r="D7748" s="1">
        <v>44442</v>
      </c>
      <c r="E7748">
        <v>1</v>
      </c>
      <c r="F7748" t="s">
        <v>2977</v>
      </c>
      <c r="G7748" t="str">
        <f>"19-K06-02"</f>
        <v>19-K06-02</v>
      </c>
      <c r="H7748">
        <v>2.4085000000000001</v>
      </c>
      <c r="I7748" t="s">
        <v>5546</v>
      </c>
      <c r="J7748" t="s">
        <v>27</v>
      </c>
      <c r="K7748" t="str">
        <f>"3F5"</f>
        <v>3F5</v>
      </c>
      <c r="L7748" t="s">
        <v>15</v>
      </c>
    </row>
    <row r="7749" spans="1:12" x14ac:dyDescent="0.25">
      <c r="A7749" t="str">
        <f>"6152260829"</f>
        <v>6152260829</v>
      </c>
      <c r="B7749" t="str">
        <f t="shared" si="356"/>
        <v>89301000</v>
      </c>
      <c r="C7749" s="1">
        <v>44453</v>
      </c>
      <c r="D7749" s="1">
        <v>44475</v>
      </c>
      <c r="E7749">
        <v>1</v>
      </c>
      <c r="F7749" t="s">
        <v>5547</v>
      </c>
      <c r="G7749" t="str">
        <f>"19-K05-02"</f>
        <v>19-K05-02</v>
      </c>
      <c r="H7749">
        <v>1.8835999999999999</v>
      </c>
      <c r="I7749" t="s">
        <v>5548</v>
      </c>
      <c r="J7749" t="s">
        <v>27</v>
      </c>
      <c r="K7749" t="str">
        <f>"3F5"</f>
        <v>3F5</v>
      </c>
      <c r="L7749" t="s">
        <v>15</v>
      </c>
    </row>
    <row r="7750" spans="1:12" x14ac:dyDescent="0.25">
      <c r="A7750" t="str">
        <f>"6152286910"</f>
        <v>6152286910</v>
      </c>
      <c r="B7750" t="str">
        <f t="shared" si="356"/>
        <v>89301000</v>
      </c>
      <c r="C7750" s="1">
        <v>44326</v>
      </c>
      <c r="D7750" s="1">
        <v>44329</v>
      </c>
      <c r="E7750">
        <v>1</v>
      </c>
      <c r="F7750" t="s">
        <v>31</v>
      </c>
      <c r="G7750" t="str">
        <f>"08-I04-02"</f>
        <v>08-I04-02</v>
      </c>
      <c r="H7750">
        <v>1.6718999999999999</v>
      </c>
      <c r="I7750" t="s">
        <v>489</v>
      </c>
      <c r="J7750" t="s">
        <v>17</v>
      </c>
      <c r="K7750" t="str">
        <f>"5F6"</f>
        <v>5F6</v>
      </c>
      <c r="L7750" t="s">
        <v>15</v>
      </c>
    </row>
    <row r="7751" spans="1:12" x14ac:dyDescent="0.25">
      <c r="A7751" t="str">
        <f>"6153071452"</f>
        <v>6153071452</v>
      </c>
      <c r="B7751" t="str">
        <f t="shared" si="356"/>
        <v>89301000</v>
      </c>
      <c r="C7751" s="1">
        <v>44242</v>
      </c>
      <c r="D7751" s="1">
        <v>44249</v>
      </c>
      <c r="E7751">
        <v>1</v>
      </c>
      <c r="F7751" t="s">
        <v>2497</v>
      </c>
      <c r="G7751" t="str">
        <f>"13-K07-02"</f>
        <v>13-K07-02</v>
      </c>
      <c r="H7751">
        <v>0.3805</v>
      </c>
      <c r="I7751" t="s">
        <v>5549</v>
      </c>
      <c r="J7751" t="s">
        <v>14</v>
      </c>
      <c r="K7751" t="str">
        <f>"5F1"</f>
        <v>5F1</v>
      </c>
      <c r="L7751" t="s">
        <v>15</v>
      </c>
    </row>
    <row r="7752" spans="1:12" x14ac:dyDescent="0.25">
      <c r="A7752" t="str">
        <f>"6153160299"</f>
        <v>6153160299</v>
      </c>
      <c r="B7752" t="str">
        <f t="shared" si="356"/>
        <v>89301000</v>
      </c>
      <c r="C7752" s="1">
        <v>44431</v>
      </c>
      <c r="D7752" s="1">
        <v>44433</v>
      </c>
      <c r="E7752">
        <v>1</v>
      </c>
      <c r="F7752" t="s">
        <v>4382</v>
      </c>
      <c r="G7752" t="str">
        <f>"05-I30-02"</f>
        <v>05-I30-02</v>
      </c>
      <c r="H7752">
        <v>0.46729999999999999</v>
      </c>
      <c r="J7752" t="s">
        <v>14</v>
      </c>
      <c r="K7752" t="str">
        <f>"5F1"</f>
        <v>5F1</v>
      </c>
      <c r="L7752" t="s">
        <v>15</v>
      </c>
    </row>
    <row r="7753" spans="1:12" x14ac:dyDescent="0.25">
      <c r="A7753" t="str">
        <f>"6153182266"</f>
        <v>6153182266</v>
      </c>
      <c r="B7753" t="str">
        <f t="shared" si="356"/>
        <v>89301000</v>
      </c>
      <c r="C7753" s="1">
        <v>44372</v>
      </c>
      <c r="D7753" s="1">
        <v>44375</v>
      </c>
      <c r="E7753">
        <v>1</v>
      </c>
      <c r="F7753" t="s">
        <v>41</v>
      </c>
      <c r="G7753" t="str">
        <f>"01-D01-03"</f>
        <v>01-D01-03</v>
      </c>
      <c r="H7753">
        <v>0.2054</v>
      </c>
      <c r="I7753" t="s">
        <v>5550</v>
      </c>
      <c r="J7753" t="s">
        <v>14</v>
      </c>
      <c r="K7753" t="str">
        <f>"2F5"</f>
        <v>2F5</v>
      </c>
      <c r="L7753" t="s">
        <v>15</v>
      </c>
    </row>
    <row r="7754" spans="1:12" x14ac:dyDescent="0.25">
      <c r="A7754" t="str">
        <f>"6153182266"</f>
        <v>6153182266</v>
      </c>
      <c r="B7754" t="str">
        <f t="shared" si="356"/>
        <v>89301000</v>
      </c>
      <c r="C7754" s="1">
        <v>44312</v>
      </c>
      <c r="D7754" s="1">
        <v>44313</v>
      </c>
      <c r="E7754">
        <v>1</v>
      </c>
      <c r="F7754" t="s">
        <v>41</v>
      </c>
      <c r="G7754" t="str">
        <f>"01-D01-03"</f>
        <v>01-D01-03</v>
      </c>
      <c r="H7754">
        <v>0.158</v>
      </c>
      <c r="I7754" t="s">
        <v>5551</v>
      </c>
      <c r="J7754" t="s">
        <v>14</v>
      </c>
      <c r="K7754" t="str">
        <f>"2F5"</f>
        <v>2F5</v>
      </c>
      <c r="L7754" t="s">
        <v>15</v>
      </c>
    </row>
    <row r="7755" spans="1:12" x14ac:dyDescent="0.25">
      <c r="A7755" t="str">
        <f>"6153261686"</f>
        <v>6153261686</v>
      </c>
      <c r="B7755" t="str">
        <f t="shared" si="356"/>
        <v>89301000</v>
      </c>
      <c r="C7755" s="1">
        <v>44429</v>
      </c>
      <c r="D7755" s="1">
        <v>44438</v>
      </c>
      <c r="E7755">
        <v>1</v>
      </c>
      <c r="F7755" t="s">
        <v>5552</v>
      </c>
      <c r="G7755" t="str">
        <f>"06-K19-01"</f>
        <v>06-K19-01</v>
      </c>
      <c r="H7755">
        <v>1.4271</v>
      </c>
      <c r="I7755" t="s">
        <v>5553</v>
      </c>
      <c r="J7755" t="s">
        <v>14</v>
      </c>
      <c r="K7755" t="str">
        <f>"1F1"</f>
        <v>1F1</v>
      </c>
      <c r="L7755" t="s">
        <v>15</v>
      </c>
    </row>
    <row r="7756" spans="1:12" x14ac:dyDescent="0.25">
      <c r="A7756" t="str">
        <f>"6153261686"</f>
        <v>6153261686</v>
      </c>
      <c r="B7756" t="str">
        <f t="shared" si="356"/>
        <v>89301000</v>
      </c>
      <c r="C7756" s="1">
        <v>44441</v>
      </c>
      <c r="D7756" s="1">
        <v>44449</v>
      </c>
      <c r="E7756">
        <v>5</v>
      </c>
      <c r="F7756" t="s">
        <v>3799</v>
      </c>
      <c r="G7756" t="str">
        <f>"11-M02-05"</f>
        <v>11-M02-05</v>
      </c>
      <c r="H7756">
        <v>1.6351</v>
      </c>
      <c r="I7756" t="s">
        <v>5554</v>
      </c>
      <c r="J7756" t="s">
        <v>14</v>
      </c>
      <c r="K7756" t="str">
        <f>"1F1"</f>
        <v>1F1</v>
      </c>
      <c r="L7756" t="s">
        <v>15</v>
      </c>
    </row>
    <row r="7757" spans="1:12" x14ac:dyDescent="0.25">
      <c r="A7757" t="str">
        <f>"6154081538"</f>
        <v>6154081538</v>
      </c>
      <c r="B7757" t="str">
        <f t="shared" si="356"/>
        <v>89301000</v>
      </c>
      <c r="C7757" s="1">
        <v>44460</v>
      </c>
      <c r="D7757" s="1">
        <v>44468</v>
      </c>
      <c r="E7757">
        <v>1</v>
      </c>
      <c r="F7757" t="s">
        <v>4557</v>
      </c>
      <c r="G7757" t="str">
        <f>"20-K03-03"</f>
        <v>20-K03-03</v>
      </c>
      <c r="H7757">
        <v>1.0109999999999999</v>
      </c>
      <c r="I7757" t="s">
        <v>5555</v>
      </c>
      <c r="J7757" t="s">
        <v>14</v>
      </c>
      <c r="K7757" t="str">
        <f>"3F5"</f>
        <v>3F5</v>
      </c>
      <c r="L7757" t="s">
        <v>15</v>
      </c>
    </row>
    <row r="7758" spans="1:12" x14ac:dyDescent="0.25">
      <c r="A7758" t="str">
        <f>"6154201009"</f>
        <v>6154201009</v>
      </c>
      <c r="B7758" t="str">
        <f t="shared" si="356"/>
        <v>89301000</v>
      </c>
      <c r="C7758" s="1">
        <v>44409</v>
      </c>
      <c r="D7758" s="1">
        <v>44417</v>
      </c>
      <c r="E7758">
        <v>1</v>
      </c>
      <c r="F7758" t="s">
        <v>1553</v>
      </c>
      <c r="G7758" t="str">
        <f>"04-K05-03"</f>
        <v>04-K05-03</v>
      </c>
      <c r="H7758">
        <v>0.75919999999999999</v>
      </c>
      <c r="I7758" t="s">
        <v>5556</v>
      </c>
      <c r="J7758" t="s">
        <v>14</v>
      </c>
      <c r="K7758" t="str">
        <f>"1F1"</f>
        <v>1F1</v>
      </c>
      <c r="L7758" t="s">
        <v>15</v>
      </c>
    </row>
    <row r="7759" spans="1:12" x14ac:dyDescent="0.25">
      <c r="A7759" t="str">
        <f>"6154210524"</f>
        <v>6154210524</v>
      </c>
      <c r="B7759" t="str">
        <f t="shared" si="356"/>
        <v>89301000</v>
      </c>
      <c r="C7759" s="1">
        <v>44417</v>
      </c>
      <c r="D7759" s="1">
        <v>44421</v>
      </c>
      <c r="E7759">
        <v>1</v>
      </c>
      <c r="F7759" t="s">
        <v>1551</v>
      </c>
      <c r="G7759" t="str">
        <f>"09-I06-04"</f>
        <v>09-I06-04</v>
      </c>
      <c r="H7759">
        <v>0.98829999999999996</v>
      </c>
      <c r="J7759" t="s">
        <v>17</v>
      </c>
      <c r="K7759" t="str">
        <f>"5F1"</f>
        <v>5F1</v>
      </c>
      <c r="L7759" t="s">
        <v>15</v>
      </c>
    </row>
    <row r="7760" spans="1:12" x14ac:dyDescent="0.25">
      <c r="A7760" t="str">
        <f>"6154290681"</f>
        <v>6154290681</v>
      </c>
      <c r="B7760" t="str">
        <f t="shared" si="356"/>
        <v>89301000</v>
      </c>
      <c r="C7760" s="1">
        <v>44473</v>
      </c>
      <c r="D7760" s="1">
        <v>44477</v>
      </c>
      <c r="E7760">
        <v>1</v>
      </c>
      <c r="F7760" t="s">
        <v>651</v>
      </c>
      <c r="G7760" t="str">
        <f>"10-K04-04"</f>
        <v>10-K04-04</v>
      </c>
      <c r="H7760">
        <v>0.56330000000000002</v>
      </c>
      <c r="I7760" t="s">
        <v>5557</v>
      </c>
      <c r="J7760" t="s">
        <v>14</v>
      </c>
      <c r="K7760" t="str">
        <f>"1F1"</f>
        <v>1F1</v>
      </c>
      <c r="L7760" t="s">
        <v>15</v>
      </c>
    </row>
    <row r="7761" spans="1:12" x14ac:dyDescent="0.25">
      <c r="A7761" t="str">
        <f>"6155031432"</f>
        <v>6155031432</v>
      </c>
      <c r="B7761" t="str">
        <f t="shared" si="356"/>
        <v>89301000</v>
      </c>
      <c r="C7761" s="1">
        <v>44501</v>
      </c>
      <c r="D7761" s="1">
        <v>44509</v>
      </c>
      <c r="E7761">
        <v>1</v>
      </c>
      <c r="F7761" t="s">
        <v>3642</v>
      </c>
      <c r="G7761" t="str">
        <f>"08-I05-03"</f>
        <v>08-I05-03</v>
      </c>
      <c r="H7761">
        <v>2.8530000000000002</v>
      </c>
      <c r="I7761" t="s">
        <v>5558</v>
      </c>
      <c r="J7761" t="s">
        <v>17</v>
      </c>
      <c r="K7761" t="str">
        <f>"6F6"</f>
        <v>6F6</v>
      </c>
      <c r="L7761" t="s">
        <v>15</v>
      </c>
    </row>
    <row r="7762" spans="1:12" x14ac:dyDescent="0.25">
      <c r="A7762" t="str">
        <f>"6155041442"</f>
        <v>6155041442</v>
      </c>
      <c r="B7762" t="str">
        <f t="shared" si="356"/>
        <v>89301000</v>
      </c>
      <c r="C7762" s="1">
        <v>44266</v>
      </c>
      <c r="D7762" s="1">
        <v>44267</v>
      </c>
      <c r="E7762">
        <v>1</v>
      </c>
      <c r="F7762" t="s">
        <v>1561</v>
      </c>
      <c r="G7762" t="str">
        <f>"07-M02-04"</f>
        <v>07-M02-04</v>
      </c>
      <c r="H7762">
        <v>0.79269999999999996</v>
      </c>
      <c r="I7762" t="s">
        <v>5559</v>
      </c>
      <c r="J7762" t="s">
        <v>17</v>
      </c>
      <c r="K7762" t="str">
        <f>"1F1"</f>
        <v>1F1</v>
      </c>
      <c r="L7762" t="s">
        <v>15</v>
      </c>
    </row>
    <row r="7763" spans="1:12" x14ac:dyDescent="0.25">
      <c r="A7763" t="str">
        <f>"6155061484"</f>
        <v>6155061484</v>
      </c>
      <c r="B7763" t="str">
        <f t="shared" si="356"/>
        <v>89301000</v>
      </c>
      <c r="C7763" s="1">
        <v>44438</v>
      </c>
      <c r="D7763" s="1">
        <v>44440</v>
      </c>
      <c r="E7763">
        <v>1</v>
      </c>
      <c r="F7763" t="s">
        <v>41</v>
      </c>
      <c r="G7763" t="str">
        <f>"01-D01-03"</f>
        <v>01-D01-03</v>
      </c>
      <c r="H7763">
        <v>0.158</v>
      </c>
      <c r="I7763" t="s">
        <v>5560</v>
      </c>
      <c r="J7763" t="s">
        <v>14</v>
      </c>
      <c r="K7763" t="str">
        <f>"2F5"</f>
        <v>2F5</v>
      </c>
      <c r="L7763" t="s">
        <v>15</v>
      </c>
    </row>
    <row r="7764" spans="1:12" x14ac:dyDescent="0.25">
      <c r="A7764" t="str">
        <f>"6155110720"</f>
        <v>6155110720</v>
      </c>
      <c r="B7764" t="str">
        <f t="shared" si="356"/>
        <v>89301000</v>
      </c>
      <c r="C7764" s="1">
        <v>44432</v>
      </c>
      <c r="D7764" s="1">
        <v>44435</v>
      </c>
      <c r="E7764">
        <v>1</v>
      </c>
      <c r="F7764" t="s">
        <v>5561</v>
      </c>
      <c r="G7764" t="str">
        <f>"03-I12-02"</f>
        <v>03-I12-02</v>
      </c>
      <c r="H7764">
        <v>1.3284</v>
      </c>
      <c r="J7764" t="s">
        <v>17</v>
      </c>
      <c r="K7764" t="str">
        <f>"7F1"</f>
        <v>7F1</v>
      </c>
      <c r="L7764" t="s">
        <v>15</v>
      </c>
    </row>
    <row r="7765" spans="1:12" x14ac:dyDescent="0.25">
      <c r="A7765" t="str">
        <f>"6155110720"</f>
        <v>6155110720</v>
      </c>
      <c r="B7765" t="str">
        <f t="shared" si="356"/>
        <v>89301000</v>
      </c>
      <c r="C7765" s="1">
        <v>44486</v>
      </c>
      <c r="D7765" s="1">
        <v>44491</v>
      </c>
      <c r="E7765">
        <v>1</v>
      </c>
      <c r="F7765" t="s">
        <v>5562</v>
      </c>
      <c r="G7765" t="str">
        <f>"03-I07-02"</f>
        <v>03-I07-02</v>
      </c>
      <c r="H7765">
        <v>2.3839999999999999</v>
      </c>
      <c r="J7765" t="s">
        <v>17</v>
      </c>
      <c r="K7765" t="str">
        <f>"7F1"</f>
        <v>7F1</v>
      </c>
      <c r="L7765" t="s">
        <v>15</v>
      </c>
    </row>
    <row r="7766" spans="1:12" x14ac:dyDescent="0.25">
      <c r="A7766" t="str">
        <f>"6155170736"</f>
        <v>6155170736</v>
      </c>
      <c r="B7766" t="str">
        <f t="shared" si="356"/>
        <v>89301000</v>
      </c>
      <c r="C7766" s="1">
        <v>44453</v>
      </c>
      <c r="D7766" s="1">
        <v>44455</v>
      </c>
      <c r="E7766">
        <v>1</v>
      </c>
      <c r="F7766" t="s">
        <v>4541</v>
      </c>
      <c r="G7766" t="str">
        <f>"03-K04-01"</f>
        <v>03-K04-01</v>
      </c>
      <c r="H7766">
        <v>0.46660000000000001</v>
      </c>
      <c r="I7766" t="s">
        <v>1904</v>
      </c>
      <c r="J7766" t="s">
        <v>14</v>
      </c>
      <c r="K7766" t="str">
        <f>"2F9"</f>
        <v>2F9</v>
      </c>
      <c r="L7766" t="s">
        <v>15</v>
      </c>
    </row>
    <row r="7767" spans="1:12" x14ac:dyDescent="0.25">
      <c r="A7767" t="str">
        <f>"6155200337"</f>
        <v>6155200337</v>
      </c>
      <c r="B7767" t="str">
        <f t="shared" si="356"/>
        <v>89301000</v>
      </c>
      <c r="C7767" s="1">
        <v>44542</v>
      </c>
      <c r="D7767" s="1">
        <v>44545</v>
      </c>
      <c r="E7767">
        <v>1</v>
      </c>
      <c r="F7767" t="s">
        <v>2527</v>
      </c>
      <c r="G7767" t="str">
        <f>"13-I14-03"</f>
        <v>13-I14-03</v>
      </c>
      <c r="H7767">
        <v>0.83199999999999996</v>
      </c>
      <c r="J7767" t="s">
        <v>24</v>
      </c>
      <c r="K7767" t="str">
        <f>"6F3"</f>
        <v>6F3</v>
      </c>
      <c r="L7767" t="s">
        <v>15</v>
      </c>
    </row>
    <row r="7768" spans="1:12" x14ac:dyDescent="0.25">
      <c r="A7768" t="str">
        <f>"6155291802"</f>
        <v>6155291802</v>
      </c>
      <c r="B7768" t="str">
        <f t="shared" si="356"/>
        <v>89301000</v>
      </c>
      <c r="C7768" s="1">
        <v>44371</v>
      </c>
      <c r="D7768" s="1">
        <v>44380</v>
      </c>
      <c r="E7768">
        <v>1</v>
      </c>
      <c r="F7768" t="s">
        <v>2648</v>
      </c>
      <c r="G7768" t="str">
        <f>"06-I13-03"</f>
        <v>06-I13-03</v>
      </c>
      <c r="H7768">
        <v>1.6753</v>
      </c>
      <c r="I7768" t="s">
        <v>5563</v>
      </c>
      <c r="J7768" t="s">
        <v>14</v>
      </c>
      <c r="K7768" t="str">
        <f>"5F1"</f>
        <v>5F1</v>
      </c>
      <c r="L7768" t="s">
        <v>15</v>
      </c>
    </row>
    <row r="7769" spans="1:12" x14ac:dyDescent="0.25">
      <c r="A7769" t="str">
        <f>"6155291802"</f>
        <v>6155291802</v>
      </c>
      <c r="B7769" t="str">
        <f t="shared" si="356"/>
        <v>89301000</v>
      </c>
      <c r="C7769" s="1">
        <v>44322</v>
      </c>
      <c r="D7769" s="1">
        <v>44332</v>
      </c>
      <c r="E7769">
        <v>1</v>
      </c>
      <c r="F7769" t="s">
        <v>2910</v>
      </c>
      <c r="G7769" t="str">
        <f>"06-I05-04"</f>
        <v>06-I05-04</v>
      </c>
      <c r="H7769">
        <v>3.3546</v>
      </c>
      <c r="I7769" t="s">
        <v>5564</v>
      </c>
      <c r="J7769" t="s">
        <v>17</v>
      </c>
      <c r="K7769" t="str">
        <f>"5F1"</f>
        <v>5F1</v>
      </c>
      <c r="L7769" t="s">
        <v>15</v>
      </c>
    </row>
    <row r="7770" spans="1:12" x14ac:dyDescent="0.25">
      <c r="A7770" t="str">
        <f>"6156021971"</f>
        <v>6156021971</v>
      </c>
      <c r="B7770" t="str">
        <f t="shared" si="356"/>
        <v>89301000</v>
      </c>
      <c r="C7770" s="1">
        <v>44533</v>
      </c>
      <c r="D7770" s="1">
        <v>44537</v>
      </c>
      <c r="E7770">
        <v>1</v>
      </c>
      <c r="F7770" t="s">
        <v>217</v>
      </c>
      <c r="G7770" t="str">
        <f>"04-K02-04"</f>
        <v>04-K02-04</v>
      </c>
      <c r="H7770">
        <v>0.82469999999999999</v>
      </c>
      <c r="I7770" t="s">
        <v>5565</v>
      </c>
      <c r="J7770" t="s">
        <v>14</v>
      </c>
      <c r="K7770" t="str">
        <f>"5F1"</f>
        <v>5F1</v>
      </c>
      <c r="L7770" t="s">
        <v>15</v>
      </c>
    </row>
    <row r="7771" spans="1:12" x14ac:dyDescent="0.25">
      <c r="A7771" t="str">
        <f>"6156030969"</f>
        <v>6156030969</v>
      </c>
      <c r="B7771" t="str">
        <f t="shared" si="356"/>
        <v>89301000</v>
      </c>
      <c r="C7771" s="1">
        <v>44316</v>
      </c>
      <c r="D7771" s="1">
        <v>44319</v>
      </c>
      <c r="E7771">
        <v>1</v>
      </c>
      <c r="F7771" t="s">
        <v>41</v>
      </c>
      <c r="G7771" t="str">
        <f>"01-D01-03"</f>
        <v>01-D01-03</v>
      </c>
      <c r="H7771">
        <v>0.2054</v>
      </c>
      <c r="I7771" t="s">
        <v>5566</v>
      </c>
      <c r="J7771" t="s">
        <v>14</v>
      </c>
      <c r="K7771" t="str">
        <f>"2F5"</f>
        <v>2F5</v>
      </c>
      <c r="L7771" t="s">
        <v>15</v>
      </c>
    </row>
    <row r="7772" spans="1:12" x14ac:dyDescent="0.25">
      <c r="A7772" t="str">
        <f>"6156030969"</f>
        <v>6156030969</v>
      </c>
      <c r="B7772" t="str">
        <f t="shared" si="356"/>
        <v>89301000</v>
      </c>
      <c r="C7772" s="1">
        <v>44263</v>
      </c>
      <c r="D7772" s="1">
        <v>44264</v>
      </c>
      <c r="E7772">
        <v>1</v>
      </c>
      <c r="F7772" t="s">
        <v>41</v>
      </c>
      <c r="G7772" t="str">
        <f>"01-D01-03"</f>
        <v>01-D01-03</v>
      </c>
      <c r="H7772">
        <v>0.158</v>
      </c>
      <c r="I7772" t="s">
        <v>489</v>
      </c>
      <c r="J7772" t="s">
        <v>14</v>
      </c>
      <c r="K7772" t="str">
        <f>"2F5"</f>
        <v>2F5</v>
      </c>
      <c r="L7772" t="s">
        <v>15</v>
      </c>
    </row>
    <row r="7773" spans="1:12" x14ac:dyDescent="0.25">
      <c r="A7773" t="str">
        <f>"6156241487"</f>
        <v>6156241487</v>
      </c>
      <c r="B7773" t="str">
        <f t="shared" si="356"/>
        <v>89301000</v>
      </c>
      <c r="C7773" s="1">
        <v>44363</v>
      </c>
      <c r="D7773" s="1">
        <v>44367</v>
      </c>
      <c r="E7773">
        <v>1</v>
      </c>
      <c r="F7773" t="s">
        <v>81</v>
      </c>
      <c r="G7773" t="str">
        <f>"10-I13-03"</f>
        <v>10-I13-03</v>
      </c>
      <c r="H7773">
        <v>0.90449999999999997</v>
      </c>
      <c r="J7773" t="s">
        <v>24</v>
      </c>
      <c r="K7773" t="str">
        <f>"5F1"</f>
        <v>5F1</v>
      </c>
      <c r="L7773" t="s">
        <v>15</v>
      </c>
    </row>
    <row r="7774" spans="1:12" x14ac:dyDescent="0.25">
      <c r="A7774" t="str">
        <f>"6156280339"</f>
        <v>6156280339</v>
      </c>
      <c r="B7774" t="str">
        <f t="shared" si="356"/>
        <v>89301000</v>
      </c>
      <c r="C7774" s="1">
        <v>44207</v>
      </c>
      <c r="D7774" s="1">
        <v>44214</v>
      </c>
      <c r="E7774">
        <v>1</v>
      </c>
      <c r="F7774" t="s">
        <v>3457</v>
      </c>
      <c r="G7774" t="str">
        <f>"01-I06-05"</f>
        <v>01-I06-05</v>
      </c>
      <c r="H7774">
        <v>2.6736</v>
      </c>
      <c r="I7774" t="s">
        <v>489</v>
      </c>
      <c r="J7774" t="s">
        <v>17</v>
      </c>
      <c r="K7774" t="str">
        <f>"5F6"</f>
        <v>5F6</v>
      </c>
      <c r="L7774" t="s">
        <v>15</v>
      </c>
    </row>
    <row r="7775" spans="1:12" x14ac:dyDescent="0.25">
      <c r="A7775" t="str">
        <f>"6156291350"</f>
        <v>6156291350</v>
      </c>
      <c r="B7775" t="str">
        <f t="shared" si="356"/>
        <v>89301000</v>
      </c>
      <c r="C7775" s="1">
        <v>44508</v>
      </c>
      <c r="D7775" s="1">
        <v>44512</v>
      </c>
      <c r="E7775">
        <v>1</v>
      </c>
      <c r="F7775" t="s">
        <v>2049</v>
      </c>
      <c r="G7775" t="str">
        <f>"06-M01-02"</f>
        <v>06-M01-02</v>
      </c>
      <c r="H7775">
        <v>1.2762</v>
      </c>
      <c r="I7775" t="s">
        <v>5567</v>
      </c>
      <c r="J7775" t="s">
        <v>14</v>
      </c>
      <c r="K7775" t="str">
        <f>"1F5"</f>
        <v>1F5</v>
      </c>
      <c r="L7775" t="s">
        <v>15</v>
      </c>
    </row>
    <row r="7776" spans="1:12" x14ac:dyDescent="0.25">
      <c r="A7776" t="str">
        <f>"6157081623"</f>
        <v>6157081623</v>
      </c>
      <c r="B7776" t="str">
        <f t="shared" si="356"/>
        <v>89301000</v>
      </c>
      <c r="C7776" s="1">
        <v>44372</v>
      </c>
      <c r="D7776" s="1">
        <v>44376</v>
      </c>
      <c r="E7776">
        <v>1</v>
      </c>
      <c r="F7776" t="s">
        <v>2026</v>
      </c>
      <c r="G7776" t="str">
        <f>"08-K08-00"</f>
        <v>08-K08-00</v>
      </c>
      <c r="H7776">
        <v>0.51670000000000005</v>
      </c>
      <c r="I7776" t="s">
        <v>5568</v>
      </c>
      <c r="J7776" t="s">
        <v>14</v>
      </c>
      <c r="K7776" t="str">
        <f>"2F9"</f>
        <v>2F9</v>
      </c>
      <c r="L7776" t="s">
        <v>15</v>
      </c>
    </row>
    <row r="7777" spans="1:12" x14ac:dyDescent="0.25">
      <c r="A7777" t="str">
        <f>"6157081623"</f>
        <v>6157081623</v>
      </c>
      <c r="B7777" t="str">
        <f t="shared" si="356"/>
        <v>89301000</v>
      </c>
      <c r="C7777" s="1">
        <v>44202</v>
      </c>
      <c r="D7777" s="1">
        <v>44208</v>
      </c>
      <c r="E7777">
        <v>1</v>
      </c>
      <c r="F7777" t="s">
        <v>67</v>
      </c>
      <c r="G7777" t="str">
        <f>"01-K10-03"</f>
        <v>01-K10-03</v>
      </c>
      <c r="H7777">
        <v>1.0016</v>
      </c>
      <c r="I7777" t="s">
        <v>5569</v>
      </c>
      <c r="J7777" t="s">
        <v>14</v>
      </c>
      <c r="K7777" t="str">
        <f>"2F9"</f>
        <v>2F9</v>
      </c>
      <c r="L7777" t="s">
        <v>15</v>
      </c>
    </row>
    <row r="7778" spans="1:12" x14ac:dyDescent="0.25">
      <c r="A7778" t="str">
        <f>"6157211104"</f>
        <v>6157211104</v>
      </c>
      <c r="B7778" t="str">
        <f t="shared" si="356"/>
        <v>89301000</v>
      </c>
      <c r="C7778" s="1">
        <v>44257</v>
      </c>
      <c r="D7778" s="1">
        <v>44277</v>
      </c>
      <c r="E7778">
        <v>1</v>
      </c>
      <c r="F7778" t="s">
        <v>2513</v>
      </c>
      <c r="G7778" t="str">
        <f>"06-I07-03"</f>
        <v>06-I07-03</v>
      </c>
      <c r="H7778">
        <v>5.3483000000000001</v>
      </c>
      <c r="I7778" t="s">
        <v>5570</v>
      </c>
      <c r="J7778" t="s">
        <v>17</v>
      </c>
      <c r="K7778" t="str">
        <f>"5F1"</f>
        <v>5F1</v>
      </c>
      <c r="L7778" t="s">
        <v>15</v>
      </c>
    </row>
    <row r="7779" spans="1:12" x14ac:dyDescent="0.25">
      <c r="A7779" t="str">
        <f>"6157231311"</f>
        <v>6157231311</v>
      </c>
      <c r="B7779" t="str">
        <f t="shared" si="356"/>
        <v>89301000</v>
      </c>
      <c r="C7779" s="1">
        <v>44365</v>
      </c>
      <c r="D7779" s="1">
        <v>44366</v>
      </c>
      <c r="E7779">
        <v>1</v>
      </c>
      <c r="F7779" t="s">
        <v>186</v>
      </c>
      <c r="G7779" t="str">
        <f>"05-M05-03"</f>
        <v>05-M05-03</v>
      </c>
      <c r="H7779">
        <v>1.9991000000000001</v>
      </c>
      <c r="J7779" t="s">
        <v>24</v>
      </c>
      <c r="K7779" t="str">
        <f>"1F7"</f>
        <v>1F7</v>
      </c>
      <c r="L7779" t="s">
        <v>15</v>
      </c>
    </row>
    <row r="7780" spans="1:12" x14ac:dyDescent="0.25">
      <c r="A7780" t="str">
        <f>"6158110651"</f>
        <v>6158110651</v>
      </c>
      <c r="B7780" t="str">
        <f t="shared" si="356"/>
        <v>89301000</v>
      </c>
      <c r="C7780" s="1">
        <v>44431</v>
      </c>
      <c r="D7780" s="1">
        <v>44441</v>
      </c>
      <c r="E7780">
        <v>1</v>
      </c>
      <c r="F7780" t="s">
        <v>1558</v>
      </c>
      <c r="G7780" t="str">
        <f>"05-I12-03"</f>
        <v>05-I12-03</v>
      </c>
      <c r="H7780">
        <v>6.4964000000000004</v>
      </c>
      <c r="I7780" t="s">
        <v>448</v>
      </c>
      <c r="J7780" t="s">
        <v>17</v>
      </c>
      <c r="K7780" t="str">
        <f>"5F5"</f>
        <v>5F5</v>
      </c>
      <c r="L7780" t="s">
        <v>15</v>
      </c>
    </row>
    <row r="7781" spans="1:12" x14ac:dyDescent="0.25">
      <c r="A7781" t="str">
        <f>"6158110651"</f>
        <v>6158110651</v>
      </c>
      <c r="B7781" t="str">
        <f t="shared" si="356"/>
        <v>89301000</v>
      </c>
      <c r="C7781" s="1">
        <v>44368</v>
      </c>
      <c r="D7781" s="1">
        <v>44369</v>
      </c>
      <c r="E7781">
        <v>1</v>
      </c>
      <c r="F7781" t="s">
        <v>1558</v>
      </c>
      <c r="G7781" t="str">
        <f>"05-D01-06"</f>
        <v>05-D01-06</v>
      </c>
      <c r="H7781">
        <v>0.7611</v>
      </c>
      <c r="I7781" t="s">
        <v>1892</v>
      </c>
      <c r="J7781" t="s">
        <v>14</v>
      </c>
      <c r="K7781" t="str">
        <f>"1F7"</f>
        <v>1F7</v>
      </c>
      <c r="L7781" t="s">
        <v>15</v>
      </c>
    </row>
    <row r="7782" spans="1:12" x14ac:dyDescent="0.25">
      <c r="A7782" t="str">
        <f>"6158150240"</f>
        <v>6158150240</v>
      </c>
      <c r="B7782" t="str">
        <f t="shared" si="356"/>
        <v>89301000</v>
      </c>
      <c r="C7782" s="1">
        <v>44416</v>
      </c>
      <c r="D7782" s="1">
        <v>44418</v>
      </c>
      <c r="E7782">
        <v>1</v>
      </c>
      <c r="F7782" t="s">
        <v>489</v>
      </c>
      <c r="G7782" t="str">
        <f>"05-D01-08"</f>
        <v>05-D01-08</v>
      </c>
      <c r="H7782">
        <v>0.4093</v>
      </c>
      <c r="I7782" t="s">
        <v>5571</v>
      </c>
      <c r="J7782" t="s">
        <v>14</v>
      </c>
      <c r="K7782" t="str">
        <f>"1F1"</f>
        <v>1F1</v>
      </c>
      <c r="L7782" t="s">
        <v>15</v>
      </c>
    </row>
    <row r="7783" spans="1:12" x14ac:dyDescent="0.25">
      <c r="A7783" t="str">
        <f>"6158202105"</f>
        <v>6158202105</v>
      </c>
      <c r="B7783" t="str">
        <f t="shared" si="356"/>
        <v>89301000</v>
      </c>
      <c r="C7783" s="1">
        <v>44214</v>
      </c>
      <c r="D7783" s="1">
        <v>44219</v>
      </c>
      <c r="E7783">
        <v>8</v>
      </c>
      <c r="F7783" t="s">
        <v>962</v>
      </c>
      <c r="G7783" t="str">
        <f>"04-M01-05"</f>
        <v>04-M01-05</v>
      </c>
      <c r="H7783">
        <v>6.2100999999999997</v>
      </c>
      <c r="I7783" t="s">
        <v>5572</v>
      </c>
      <c r="J7783" t="s">
        <v>14</v>
      </c>
      <c r="K7783" t="str">
        <f>"7T8"</f>
        <v>7T8</v>
      </c>
      <c r="L7783" t="s">
        <v>15</v>
      </c>
    </row>
    <row r="7784" spans="1:12" x14ac:dyDescent="0.25">
      <c r="A7784" t="str">
        <f>"6159060545"</f>
        <v>6159060545</v>
      </c>
      <c r="B7784" t="str">
        <f t="shared" si="356"/>
        <v>89301000</v>
      </c>
      <c r="C7784" s="1">
        <v>44209</v>
      </c>
      <c r="D7784" s="1">
        <v>44223</v>
      </c>
      <c r="E7784">
        <v>1</v>
      </c>
      <c r="F7784" t="s">
        <v>5573</v>
      </c>
      <c r="G7784" t="str">
        <f>"19-K04-02"</f>
        <v>19-K04-02</v>
      </c>
      <c r="H7784">
        <v>1.4597</v>
      </c>
      <c r="I7784" t="s">
        <v>5574</v>
      </c>
      <c r="J7784" t="s">
        <v>27</v>
      </c>
      <c r="K7784" t="str">
        <f>"3F5"</f>
        <v>3F5</v>
      </c>
      <c r="L7784" t="s">
        <v>15</v>
      </c>
    </row>
    <row r="7785" spans="1:12" x14ac:dyDescent="0.25">
      <c r="A7785" t="str">
        <f>"6159060545"</f>
        <v>6159060545</v>
      </c>
      <c r="B7785" t="str">
        <f t="shared" si="356"/>
        <v>89301000</v>
      </c>
      <c r="C7785" s="1">
        <v>44356</v>
      </c>
      <c r="D7785" s="1">
        <v>44365</v>
      </c>
      <c r="E7785">
        <v>1</v>
      </c>
      <c r="F7785" t="s">
        <v>5573</v>
      </c>
      <c r="G7785" t="str">
        <f>"19-K03-03"</f>
        <v>19-K03-03</v>
      </c>
      <c r="H7785">
        <v>0.93169999999999997</v>
      </c>
      <c r="I7785" t="s">
        <v>5575</v>
      </c>
      <c r="J7785" t="s">
        <v>27</v>
      </c>
      <c r="K7785" t="str">
        <f>"3F5"</f>
        <v>3F5</v>
      </c>
      <c r="L7785" t="s">
        <v>15</v>
      </c>
    </row>
    <row r="7786" spans="1:12" x14ac:dyDescent="0.25">
      <c r="A7786" t="str">
        <f>"6159211366"</f>
        <v>6159211366</v>
      </c>
      <c r="B7786" t="str">
        <f t="shared" si="356"/>
        <v>89301000</v>
      </c>
      <c r="C7786" s="1">
        <v>44347</v>
      </c>
      <c r="D7786" s="1">
        <v>44349</v>
      </c>
      <c r="E7786">
        <v>1</v>
      </c>
      <c r="F7786" t="s">
        <v>1551</v>
      </c>
      <c r="G7786" t="str">
        <f>"09-I06-04"</f>
        <v>09-I06-04</v>
      </c>
      <c r="H7786">
        <v>0.98829999999999996</v>
      </c>
      <c r="J7786" t="s">
        <v>17</v>
      </c>
      <c r="K7786" t="str">
        <f>"5F1"</f>
        <v>5F1</v>
      </c>
      <c r="L7786" t="s">
        <v>15</v>
      </c>
    </row>
    <row r="7787" spans="1:12" x14ac:dyDescent="0.25">
      <c r="A7787" t="str">
        <f>"6159250207"</f>
        <v>6159250207</v>
      </c>
      <c r="B7787" t="str">
        <f t="shared" si="356"/>
        <v>89301000</v>
      </c>
      <c r="C7787" s="1">
        <v>44472</v>
      </c>
      <c r="D7787" s="1">
        <v>44473</v>
      </c>
      <c r="E7787">
        <v>1</v>
      </c>
      <c r="F7787" t="s">
        <v>217</v>
      </c>
      <c r="G7787" t="str">
        <f>"04-K02-04"</f>
        <v>04-K02-04</v>
      </c>
      <c r="H7787">
        <v>0.55769999999999997</v>
      </c>
      <c r="I7787" t="s">
        <v>274</v>
      </c>
      <c r="J7787" t="s">
        <v>14</v>
      </c>
      <c r="K7787" t="str">
        <f>"1F1"</f>
        <v>1F1</v>
      </c>
      <c r="L7787" t="s">
        <v>15</v>
      </c>
    </row>
    <row r="7788" spans="1:12" x14ac:dyDescent="0.25">
      <c r="A7788" t="str">
        <f>"6159260536"</f>
        <v>6159260536</v>
      </c>
      <c r="B7788" t="str">
        <f t="shared" si="356"/>
        <v>89301000</v>
      </c>
      <c r="C7788" s="1">
        <v>44328</v>
      </c>
      <c r="D7788" s="1">
        <v>44342</v>
      </c>
      <c r="E7788">
        <v>1</v>
      </c>
      <c r="F7788" t="s">
        <v>130</v>
      </c>
      <c r="G7788" t="str">
        <f>"19-K04-02"</f>
        <v>19-K04-02</v>
      </c>
      <c r="H7788">
        <v>1.4597</v>
      </c>
      <c r="I7788" t="s">
        <v>5576</v>
      </c>
      <c r="J7788" t="s">
        <v>27</v>
      </c>
      <c r="K7788" t="str">
        <f>"3F5"</f>
        <v>3F5</v>
      </c>
      <c r="L7788" t="s">
        <v>15</v>
      </c>
    </row>
    <row r="7789" spans="1:12" x14ac:dyDescent="0.25">
      <c r="A7789" t="str">
        <f>"6159290258"</f>
        <v>6159290258</v>
      </c>
      <c r="B7789" t="str">
        <f t="shared" si="356"/>
        <v>89301000</v>
      </c>
      <c r="C7789" s="1">
        <v>44391</v>
      </c>
      <c r="D7789" s="1">
        <v>44394</v>
      </c>
      <c r="E7789">
        <v>1</v>
      </c>
      <c r="F7789" t="s">
        <v>496</v>
      </c>
      <c r="G7789" t="str">
        <f>"08-M03-05"</f>
        <v>08-M03-05</v>
      </c>
      <c r="H7789">
        <v>0.51759999999999995</v>
      </c>
      <c r="I7789" t="s">
        <v>5577</v>
      </c>
      <c r="J7789" t="s">
        <v>14</v>
      </c>
      <c r="K7789" t="str">
        <f>"6F6"</f>
        <v>6F6</v>
      </c>
      <c r="L7789" t="s">
        <v>15</v>
      </c>
    </row>
    <row r="7790" spans="1:12" x14ac:dyDescent="0.25">
      <c r="A7790" t="str">
        <f>"6160101343"</f>
        <v>6160101343</v>
      </c>
      <c r="B7790" t="str">
        <f t="shared" si="356"/>
        <v>89301000</v>
      </c>
      <c r="C7790" s="1">
        <v>44504</v>
      </c>
      <c r="D7790" s="1">
        <v>44506</v>
      </c>
      <c r="E7790">
        <v>1</v>
      </c>
      <c r="F7790" t="s">
        <v>4382</v>
      </c>
      <c r="G7790" t="str">
        <f>"05-I30-01"</f>
        <v>05-I30-01</v>
      </c>
      <c r="H7790">
        <v>0.64139999999999997</v>
      </c>
      <c r="I7790" t="s">
        <v>2183</v>
      </c>
      <c r="J7790" t="s">
        <v>14</v>
      </c>
      <c r="K7790" t="str">
        <f>"5F1"</f>
        <v>5F1</v>
      </c>
      <c r="L7790" t="s">
        <v>15</v>
      </c>
    </row>
    <row r="7791" spans="1:12" x14ac:dyDescent="0.25">
      <c r="A7791" t="str">
        <f>"6160221045"</f>
        <v>6160221045</v>
      </c>
      <c r="B7791" t="str">
        <f t="shared" si="356"/>
        <v>89301000</v>
      </c>
      <c r="C7791" s="1">
        <v>44530</v>
      </c>
      <c r="D7791" s="1">
        <v>44531</v>
      </c>
      <c r="E7791">
        <v>1</v>
      </c>
      <c r="F7791" t="s">
        <v>217</v>
      </c>
      <c r="G7791" t="str">
        <f>"04-K02-04"</f>
        <v>04-K02-04</v>
      </c>
      <c r="H7791">
        <v>0.55769999999999997</v>
      </c>
      <c r="I7791" t="s">
        <v>274</v>
      </c>
      <c r="J7791" t="s">
        <v>14</v>
      </c>
      <c r="K7791" t="str">
        <f>"1F1"</f>
        <v>1F1</v>
      </c>
      <c r="L7791" t="s">
        <v>15</v>
      </c>
    </row>
    <row r="7792" spans="1:12" x14ac:dyDescent="0.25">
      <c r="A7792" t="str">
        <f>"6160270666"</f>
        <v>6160270666</v>
      </c>
      <c r="B7792" t="str">
        <f t="shared" si="356"/>
        <v>89301000</v>
      </c>
      <c r="C7792" s="1">
        <v>44465</v>
      </c>
      <c r="D7792" s="1">
        <v>44471</v>
      </c>
      <c r="E7792">
        <v>1</v>
      </c>
      <c r="F7792" t="s">
        <v>2118</v>
      </c>
      <c r="G7792" t="str">
        <f>"08-I03-06"</f>
        <v>08-I03-06</v>
      </c>
      <c r="H7792">
        <v>3.3738000000000001</v>
      </c>
      <c r="J7792" t="s">
        <v>17</v>
      </c>
      <c r="K7792" t="str">
        <f>"5F6"</f>
        <v>5F6</v>
      </c>
      <c r="L7792" t="s">
        <v>15</v>
      </c>
    </row>
    <row r="7793" spans="1:12" x14ac:dyDescent="0.25">
      <c r="A7793" t="str">
        <f>"6161020525"</f>
        <v>6161020525</v>
      </c>
      <c r="B7793" t="str">
        <f t="shared" si="356"/>
        <v>89301000</v>
      </c>
      <c r="C7793" s="1">
        <v>44302</v>
      </c>
      <c r="D7793" s="1">
        <v>44302</v>
      </c>
      <c r="E7793">
        <v>1</v>
      </c>
      <c r="F7793" t="s">
        <v>489</v>
      </c>
      <c r="G7793" t="str">
        <f>"05-D01-08"</f>
        <v>05-D01-08</v>
      </c>
      <c r="H7793">
        <v>0.21890000000000001</v>
      </c>
      <c r="J7793" t="s">
        <v>14</v>
      </c>
      <c r="K7793" t="str">
        <f>"1F1"</f>
        <v>1F1</v>
      </c>
      <c r="L7793" t="s">
        <v>15</v>
      </c>
    </row>
    <row r="7794" spans="1:12" x14ac:dyDescent="0.25">
      <c r="A7794" t="str">
        <f>"6161060521"</f>
        <v>6161060521</v>
      </c>
      <c r="B7794" t="str">
        <f t="shared" si="356"/>
        <v>89301000</v>
      </c>
      <c r="C7794" s="1">
        <v>44455</v>
      </c>
      <c r="D7794" s="1">
        <v>44457</v>
      </c>
      <c r="E7794">
        <v>1</v>
      </c>
      <c r="F7794" t="s">
        <v>1551</v>
      </c>
      <c r="G7794" t="str">
        <f>"09-I06-04"</f>
        <v>09-I06-04</v>
      </c>
      <c r="H7794">
        <v>0.98829999999999996</v>
      </c>
      <c r="J7794" t="s">
        <v>17</v>
      </c>
      <c r="K7794" t="str">
        <f>"5F1"</f>
        <v>5F1</v>
      </c>
      <c r="L7794" t="s">
        <v>15</v>
      </c>
    </row>
    <row r="7795" spans="1:12" x14ac:dyDescent="0.25">
      <c r="A7795" t="str">
        <f>"6161120856"</f>
        <v>6161120856</v>
      </c>
      <c r="B7795" t="str">
        <f t="shared" si="356"/>
        <v>89301000</v>
      </c>
      <c r="C7795" s="1">
        <v>44355</v>
      </c>
      <c r="D7795" s="1">
        <v>44357</v>
      </c>
      <c r="E7795">
        <v>1</v>
      </c>
      <c r="F7795" t="s">
        <v>318</v>
      </c>
      <c r="G7795" t="str">
        <f>"08-I23-02"</f>
        <v>08-I23-02</v>
      </c>
      <c r="H7795">
        <v>1.004</v>
      </c>
      <c r="I7795" t="s">
        <v>319</v>
      </c>
      <c r="J7795" t="s">
        <v>17</v>
      </c>
      <c r="K7795" t="str">
        <f>"6F6"</f>
        <v>6F6</v>
      </c>
      <c r="L7795" t="s">
        <v>15</v>
      </c>
    </row>
    <row r="7796" spans="1:12" x14ac:dyDescent="0.25">
      <c r="A7796" t="str">
        <f>"6161160720"</f>
        <v>6161160720</v>
      </c>
      <c r="B7796" t="str">
        <f t="shared" si="356"/>
        <v>89301000</v>
      </c>
      <c r="C7796" s="1">
        <v>44236</v>
      </c>
      <c r="D7796" s="1">
        <v>44241</v>
      </c>
      <c r="E7796">
        <v>1</v>
      </c>
      <c r="F7796" t="s">
        <v>396</v>
      </c>
      <c r="G7796" t="str">
        <f>"08-I16-02"</f>
        <v>08-I16-02</v>
      </c>
      <c r="H7796">
        <v>1.8051999999999999</v>
      </c>
      <c r="I7796" t="s">
        <v>5578</v>
      </c>
      <c r="J7796" t="s">
        <v>17</v>
      </c>
      <c r="K7796" t="str">
        <f>"5F3"</f>
        <v>5F3</v>
      </c>
      <c r="L7796" t="s">
        <v>15</v>
      </c>
    </row>
    <row r="7797" spans="1:12" x14ac:dyDescent="0.25">
      <c r="A7797" t="str">
        <f>"6161201057"</f>
        <v>6161201057</v>
      </c>
      <c r="B7797" t="str">
        <f t="shared" si="356"/>
        <v>89301000</v>
      </c>
      <c r="C7797" s="1">
        <v>44328</v>
      </c>
      <c r="D7797" s="1">
        <v>44330</v>
      </c>
      <c r="E7797">
        <v>1</v>
      </c>
      <c r="F7797" t="s">
        <v>1606</v>
      </c>
      <c r="G7797" t="str">
        <f>"05-M05-02"</f>
        <v>05-M05-02</v>
      </c>
      <c r="H7797">
        <v>3.516</v>
      </c>
      <c r="J7797" t="s">
        <v>24</v>
      </c>
      <c r="K7797" t="str">
        <f>"1F1"</f>
        <v>1F1</v>
      </c>
      <c r="L7797" t="s">
        <v>15</v>
      </c>
    </row>
    <row r="7798" spans="1:12" x14ac:dyDescent="0.25">
      <c r="A7798" t="str">
        <f>"6161201057"</f>
        <v>6161201057</v>
      </c>
      <c r="B7798" t="str">
        <f t="shared" si="356"/>
        <v>89301000</v>
      </c>
      <c r="C7798" s="1">
        <v>44426</v>
      </c>
      <c r="D7798" s="1">
        <v>44429</v>
      </c>
      <c r="E7798">
        <v>1</v>
      </c>
      <c r="F7798" t="s">
        <v>496</v>
      </c>
      <c r="G7798" t="str">
        <f>"08-M03-05"</f>
        <v>08-M03-05</v>
      </c>
      <c r="H7798">
        <v>0.51759999999999995</v>
      </c>
      <c r="I7798" t="s">
        <v>5579</v>
      </c>
      <c r="J7798" t="s">
        <v>14</v>
      </c>
      <c r="K7798" t="str">
        <f>"6F6"</f>
        <v>6F6</v>
      </c>
      <c r="L7798" t="s">
        <v>15</v>
      </c>
    </row>
    <row r="7799" spans="1:12" x14ac:dyDescent="0.25">
      <c r="A7799" t="str">
        <f>"6161230823"</f>
        <v>6161230823</v>
      </c>
      <c r="B7799" t="str">
        <f t="shared" si="356"/>
        <v>89301000</v>
      </c>
      <c r="C7799" s="1">
        <v>44350</v>
      </c>
      <c r="D7799" s="1">
        <v>44356</v>
      </c>
      <c r="E7799">
        <v>1</v>
      </c>
      <c r="F7799" t="s">
        <v>1551</v>
      </c>
      <c r="G7799" t="str">
        <f>"09-I06-03"</f>
        <v>09-I06-03</v>
      </c>
      <c r="H7799">
        <v>1.4382999999999999</v>
      </c>
      <c r="I7799" t="s">
        <v>5580</v>
      </c>
      <c r="J7799" t="s">
        <v>17</v>
      </c>
      <c r="K7799" t="str">
        <f>"5F1"</f>
        <v>5F1</v>
      </c>
      <c r="L7799" t="s">
        <v>15</v>
      </c>
    </row>
    <row r="7800" spans="1:12" x14ac:dyDescent="0.25">
      <c r="A7800" t="str">
        <f>"6162191167"</f>
        <v>6162191167</v>
      </c>
      <c r="B7800" t="str">
        <f t="shared" si="356"/>
        <v>89301000</v>
      </c>
      <c r="C7800" s="1">
        <v>44542</v>
      </c>
      <c r="D7800" s="1">
        <v>44545</v>
      </c>
      <c r="E7800">
        <v>1</v>
      </c>
      <c r="F7800" t="s">
        <v>1650</v>
      </c>
      <c r="G7800" t="str">
        <f>"05-D01-06"</f>
        <v>05-D01-06</v>
      </c>
      <c r="H7800">
        <v>1.0295000000000001</v>
      </c>
      <c r="I7800" t="s">
        <v>1959</v>
      </c>
      <c r="J7800" t="s">
        <v>14</v>
      </c>
      <c r="K7800" t="str">
        <f>"1F1"</f>
        <v>1F1</v>
      </c>
      <c r="L7800" t="s">
        <v>15</v>
      </c>
    </row>
    <row r="7801" spans="1:12" x14ac:dyDescent="0.25">
      <c r="A7801" t="str">
        <f>"6162200759"</f>
        <v>6162200759</v>
      </c>
      <c r="B7801" t="str">
        <f t="shared" si="356"/>
        <v>89301000</v>
      </c>
      <c r="C7801" s="1">
        <v>44305</v>
      </c>
      <c r="D7801" s="1">
        <v>44306</v>
      </c>
      <c r="E7801">
        <v>1</v>
      </c>
      <c r="F7801" t="s">
        <v>672</v>
      </c>
      <c r="G7801" t="str">
        <f>"17-I08-02"</f>
        <v>17-I08-02</v>
      </c>
      <c r="H7801">
        <v>1.1428</v>
      </c>
      <c r="I7801" t="s">
        <v>5581</v>
      </c>
      <c r="J7801" t="s">
        <v>14</v>
      </c>
      <c r="K7801" t="str">
        <f>"1F1"</f>
        <v>1F1</v>
      </c>
      <c r="L7801" t="s">
        <v>15</v>
      </c>
    </row>
    <row r="7802" spans="1:12" x14ac:dyDescent="0.25">
      <c r="A7802" t="str">
        <f>"6162200759"</f>
        <v>6162200759</v>
      </c>
      <c r="B7802" t="str">
        <f t="shared" ref="B7802:B7864" si="357">"89301000"</f>
        <v>89301000</v>
      </c>
      <c r="C7802" s="1">
        <v>44348</v>
      </c>
      <c r="D7802" s="1">
        <v>44356</v>
      </c>
      <c r="E7802">
        <v>1</v>
      </c>
      <c r="F7802" t="s">
        <v>4733</v>
      </c>
      <c r="G7802" t="str">
        <f>"17-I06-02"</f>
        <v>17-I06-02</v>
      </c>
      <c r="H7802">
        <v>2.1663000000000001</v>
      </c>
      <c r="I7802" t="s">
        <v>5582</v>
      </c>
      <c r="J7802" t="s">
        <v>17</v>
      </c>
      <c r="K7802" t="str">
        <f>"5F1"</f>
        <v>5F1</v>
      </c>
      <c r="L7802" t="s">
        <v>15</v>
      </c>
    </row>
    <row r="7803" spans="1:12" x14ac:dyDescent="0.25">
      <c r="A7803" t="str">
        <f>"6162241943"</f>
        <v>6162241943</v>
      </c>
      <c r="B7803" t="str">
        <f t="shared" si="357"/>
        <v>89301000</v>
      </c>
      <c r="C7803" s="1">
        <v>44357</v>
      </c>
      <c r="D7803" s="1">
        <v>44360</v>
      </c>
      <c r="E7803">
        <v>1</v>
      </c>
      <c r="F7803" t="s">
        <v>496</v>
      </c>
      <c r="G7803" t="str">
        <f>"08-M03-05"</f>
        <v>08-M03-05</v>
      </c>
      <c r="H7803">
        <v>0.51759999999999995</v>
      </c>
      <c r="I7803" t="s">
        <v>2407</v>
      </c>
      <c r="J7803" t="s">
        <v>14</v>
      </c>
      <c r="K7803" t="str">
        <f>"6F6"</f>
        <v>6F6</v>
      </c>
      <c r="L7803" t="s">
        <v>15</v>
      </c>
    </row>
    <row r="7804" spans="1:12" x14ac:dyDescent="0.25">
      <c r="A7804" t="str">
        <f>"6201011399"</f>
        <v>6201011399</v>
      </c>
      <c r="B7804" t="str">
        <f t="shared" si="357"/>
        <v>89301000</v>
      </c>
      <c r="C7804" s="1">
        <v>44202</v>
      </c>
      <c r="D7804" s="1">
        <v>44204</v>
      </c>
      <c r="E7804">
        <v>1</v>
      </c>
      <c r="F7804" t="s">
        <v>2185</v>
      </c>
      <c r="G7804" t="str">
        <f>"07-C01-02"</f>
        <v>07-C01-02</v>
      </c>
      <c r="H7804">
        <v>0.30530000000000002</v>
      </c>
      <c r="I7804" t="s">
        <v>5583</v>
      </c>
      <c r="J7804" t="s">
        <v>14</v>
      </c>
      <c r="K7804" t="str">
        <f>"4F2"</f>
        <v>4F2</v>
      </c>
      <c r="L7804" t="s">
        <v>15</v>
      </c>
    </row>
    <row r="7805" spans="1:12" x14ac:dyDescent="0.25">
      <c r="A7805" t="str">
        <f>"6201011399"</f>
        <v>6201011399</v>
      </c>
      <c r="B7805" t="str">
        <f t="shared" si="357"/>
        <v>89301000</v>
      </c>
      <c r="C7805" s="1">
        <v>44439</v>
      </c>
      <c r="D7805" s="1">
        <v>44442</v>
      </c>
      <c r="E7805">
        <v>1</v>
      </c>
      <c r="F7805" t="s">
        <v>2185</v>
      </c>
      <c r="G7805" t="str">
        <f>"07-K07-02"</f>
        <v>07-K07-02</v>
      </c>
      <c r="H7805">
        <v>0.53259999999999996</v>
      </c>
      <c r="I7805" t="s">
        <v>5584</v>
      </c>
      <c r="J7805" t="s">
        <v>14</v>
      </c>
      <c r="K7805" t="str">
        <f>"4F2"</f>
        <v>4F2</v>
      </c>
      <c r="L7805" t="s">
        <v>15</v>
      </c>
    </row>
    <row r="7806" spans="1:12" x14ac:dyDescent="0.25">
      <c r="A7806" t="str">
        <f>"6201011399"</f>
        <v>6201011399</v>
      </c>
      <c r="B7806" t="str">
        <f t="shared" si="357"/>
        <v>89301000</v>
      </c>
      <c r="C7806" s="1">
        <v>44231</v>
      </c>
      <c r="D7806" s="1">
        <v>44232</v>
      </c>
      <c r="E7806">
        <v>1</v>
      </c>
      <c r="F7806" t="s">
        <v>2185</v>
      </c>
      <c r="G7806" t="str">
        <f>"07-K07-02"</f>
        <v>07-K07-02</v>
      </c>
      <c r="H7806">
        <v>0.53259999999999996</v>
      </c>
      <c r="I7806" t="s">
        <v>5585</v>
      </c>
      <c r="J7806" t="s">
        <v>14</v>
      </c>
      <c r="K7806" t="str">
        <f>"4F2"</f>
        <v>4F2</v>
      </c>
      <c r="L7806" t="s">
        <v>15</v>
      </c>
    </row>
    <row r="7807" spans="1:12" x14ac:dyDescent="0.25">
      <c r="A7807" t="str">
        <f>"6201011399"</f>
        <v>6201011399</v>
      </c>
      <c r="B7807" t="str">
        <f t="shared" si="357"/>
        <v>89301000</v>
      </c>
      <c r="C7807" s="1">
        <v>44217</v>
      </c>
      <c r="D7807" s="1">
        <v>44219</v>
      </c>
      <c r="E7807">
        <v>1</v>
      </c>
      <c r="F7807" t="s">
        <v>2185</v>
      </c>
      <c r="G7807" t="str">
        <f>"07-C01-02"</f>
        <v>07-C01-02</v>
      </c>
      <c r="H7807">
        <v>0.30530000000000002</v>
      </c>
      <c r="I7807" t="s">
        <v>541</v>
      </c>
      <c r="J7807" t="s">
        <v>14</v>
      </c>
      <c r="K7807" t="str">
        <f>"4F2"</f>
        <v>4F2</v>
      </c>
      <c r="L7807" t="s">
        <v>15</v>
      </c>
    </row>
    <row r="7808" spans="1:12" x14ac:dyDescent="0.25">
      <c r="A7808" t="str">
        <f>"6201070304"</f>
        <v>6201070304</v>
      </c>
      <c r="B7808" t="str">
        <f t="shared" si="357"/>
        <v>89301000</v>
      </c>
      <c r="C7808" s="1">
        <v>44526</v>
      </c>
      <c r="D7808" s="1">
        <v>44533</v>
      </c>
      <c r="E7808">
        <v>1</v>
      </c>
      <c r="F7808" t="s">
        <v>217</v>
      </c>
      <c r="G7808" t="str">
        <f>"04-K02-04"</f>
        <v>04-K02-04</v>
      </c>
      <c r="H7808">
        <v>0.82469999999999999</v>
      </c>
      <c r="I7808" t="s">
        <v>274</v>
      </c>
      <c r="J7808" t="s">
        <v>14</v>
      </c>
      <c r="K7808" t="str">
        <f>"1F1"</f>
        <v>1F1</v>
      </c>
      <c r="L7808" t="s">
        <v>15</v>
      </c>
    </row>
    <row r="7809" spans="1:12" x14ac:dyDescent="0.25">
      <c r="A7809" t="str">
        <f>"6201080391"</f>
        <v>6201080391</v>
      </c>
      <c r="B7809" t="str">
        <f t="shared" si="357"/>
        <v>89301000</v>
      </c>
      <c r="C7809" s="1">
        <v>44439</v>
      </c>
      <c r="D7809" s="1">
        <v>44443</v>
      </c>
      <c r="E7809">
        <v>1</v>
      </c>
      <c r="F7809" t="s">
        <v>496</v>
      </c>
      <c r="G7809" t="str">
        <f>"08-M03-05"</f>
        <v>08-M03-05</v>
      </c>
      <c r="H7809">
        <v>0.51759999999999995</v>
      </c>
      <c r="J7809" t="s">
        <v>14</v>
      </c>
      <c r="K7809" t="str">
        <f>"6F6"</f>
        <v>6F6</v>
      </c>
      <c r="L7809" t="s">
        <v>15</v>
      </c>
    </row>
    <row r="7810" spans="1:12" x14ac:dyDescent="0.25">
      <c r="A7810" t="str">
        <f>"6201091644"</f>
        <v>6201091644</v>
      </c>
      <c r="B7810" t="str">
        <f t="shared" si="357"/>
        <v>89301000</v>
      </c>
      <c r="C7810" s="1">
        <v>44211</v>
      </c>
      <c r="D7810" s="1">
        <v>44214</v>
      </c>
      <c r="E7810">
        <v>1</v>
      </c>
      <c r="F7810" t="s">
        <v>41</v>
      </c>
      <c r="G7810" t="str">
        <f>"01-D01-03"</f>
        <v>01-D01-03</v>
      </c>
      <c r="H7810">
        <v>0.2054</v>
      </c>
      <c r="I7810" t="s">
        <v>3230</v>
      </c>
      <c r="J7810" t="s">
        <v>14</v>
      </c>
      <c r="K7810" t="str">
        <f>"2F5"</f>
        <v>2F5</v>
      </c>
      <c r="L7810" t="s">
        <v>15</v>
      </c>
    </row>
    <row r="7811" spans="1:12" x14ac:dyDescent="0.25">
      <c r="A7811" t="str">
        <f>"6201110311"</f>
        <v>6201110311</v>
      </c>
      <c r="B7811" t="str">
        <f t="shared" si="357"/>
        <v>89301000</v>
      </c>
      <c r="C7811" s="1">
        <v>44309</v>
      </c>
      <c r="D7811" s="1">
        <v>44310</v>
      </c>
      <c r="E7811">
        <v>8</v>
      </c>
      <c r="F7811" t="s">
        <v>933</v>
      </c>
      <c r="G7811" t="str">
        <f>"17-K01-01"</f>
        <v>17-K01-01</v>
      </c>
      <c r="H7811">
        <v>2.3858000000000001</v>
      </c>
      <c r="I7811" t="s">
        <v>5586</v>
      </c>
      <c r="J7811" t="s">
        <v>14</v>
      </c>
      <c r="K7811" t="str">
        <f>"2F2"</f>
        <v>2F2</v>
      </c>
      <c r="L7811" t="s">
        <v>15</v>
      </c>
    </row>
    <row r="7812" spans="1:12" x14ac:dyDescent="0.25">
      <c r="A7812" t="str">
        <f>"6201151792"</f>
        <v>6201151792</v>
      </c>
      <c r="B7812" t="str">
        <f t="shared" si="357"/>
        <v>89301000</v>
      </c>
      <c r="C7812" s="1">
        <v>44295</v>
      </c>
      <c r="D7812" s="1">
        <v>44295</v>
      </c>
      <c r="E7812">
        <v>1</v>
      </c>
      <c r="F7812" t="s">
        <v>1842</v>
      </c>
      <c r="G7812" t="str">
        <f>"05-I14-04"</f>
        <v>05-I14-04</v>
      </c>
      <c r="H7812">
        <v>5.1692</v>
      </c>
      <c r="J7812" t="s">
        <v>14</v>
      </c>
      <c r="K7812" t="str">
        <f>"1F1"</f>
        <v>1F1</v>
      </c>
      <c r="L7812" t="s">
        <v>15</v>
      </c>
    </row>
    <row r="7813" spans="1:12" x14ac:dyDescent="0.25">
      <c r="A7813" t="str">
        <f>"6201151792"</f>
        <v>6201151792</v>
      </c>
      <c r="B7813" t="str">
        <f t="shared" si="357"/>
        <v>89301000</v>
      </c>
      <c r="C7813" s="1">
        <v>44264</v>
      </c>
      <c r="D7813" s="1">
        <v>44266</v>
      </c>
      <c r="E7813">
        <v>5</v>
      </c>
      <c r="F7813" t="s">
        <v>38</v>
      </c>
      <c r="G7813" t="str">
        <f>"05-M06-06"</f>
        <v>05-M06-06</v>
      </c>
      <c r="H7813">
        <v>1.7652000000000001</v>
      </c>
      <c r="J7813" t="s">
        <v>17</v>
      </c>
      <c r="K7813" t="str">
        <f>"1F7"</f>
        <v>1F7</v>
      </c>
      <c r="L7813" t="s">
        <v>15</v>
      </c>
    </row>
    <row r="7814" spans="1:12" x14ac:dyDescent="0.25">
      <c r="A7814" t="str">
        <f>"6201191150"</f>
        <v>6201191150</v>
      </c>
      <c r="B7814" t="str">
        <f t="shared" si="357"/>
        <v>89301000</v>
      </c>
      <c r="C7814" s="1">
        <v>44396</v>
      </c>
      <c r="D7814" s="1">
        <v>44400</v>
      </c>
      <c r="E7814">
        <v>1</v>
      </c>
      <c r="F7814" t="s">
        <v>544</v>
      </c>
      <c r="G7814" t="str">
        <f>"09-K02-00"</f>
        <v>09-K02-00</v>
      </c>
      <c r="H7814">
        <v>1.1361000000000001</v>
      </c>
      <c r="I7814" t="s">
        <v>5587</v>
      </c>
      <c r="J7814" t="s">
        <v>14</v>
      </c>
      <c r="K7814" t="str">
        <f>"4F4"</f>
        <v>4F4</v>
      </c>
      <c r="L7814" t="s">
        <v>15</v>
      </c>
    </row>
    <row r="7815" spans="1:12" x14ac:dyDescent="0.25">
      <c r="A7815" t="str">
        <f>"6201201644"</f>
        <v>6201201644</v>
      </c>
      <c r="B7815" t="str">
        <f t="shared" si="357"/>
        <v>89301000</v>
      </c>
      <c r="C7815" s="1">
        <v>44424</v>
      </c>
      <c r="D7815" s="1">
        <v>44435</v>
      </c>
      <c r="E7815">
        <v>1</v>
      </c>
      <c r="F7815" t="s">
        <v>109</v>
      </c>
      <c r="G7815" t="str">
        <f>"24-M06-02"</f>
        <v>24-M06-02</v>
      </c>
      <c r="H7815">
        <v>1.0233000000000001</v>
      </c>
      <c r="I7815" t="s">
        <v>3568</v>
      </c>
      <c r="J7815" t="s">
        <v>14</v>
      </c>
      <c r="K7815" t="str">
        <f>"2F1"</f>
        <v>2F1</v>
      </c>
      <c r="L7815" t="s">
        <v>15</v>
      </c>
    </row>
    <row r="7816" spans="1:12" x14ac:dyDescent="0.25">
      <c r="A7816" t="str">
        <f>"6201201644"</f>
        <v>6201201644</v>
      </c>
      <c r="B7816" t="str">
        <f t="shared" si="357"/>
        <v>89301000</v>
      </c>
      <c r="C7816" s="1">
        <v>44342</v>
      </c>
      <c r="D7816" s="1">
        <v>44345</v>
      </c>
      <c r="E7816">
        <v>1</v>
      </c>
      <c r="F7816" t="s">
        <v>3568</v>
      </c>
      <c r="G7816" t="str">
        <f>"08-I03-08"</f>
        <v>08-I03-08</v>
      </c>
      <c r="H7816">
        <v>2.0605000000000002</v>
      </c>
      <c r="I7816" t="s">
        <v>5588</v>
      </c>
      <c r="J7816" t="s">
        <v>17</v>
      </c>
      <c r="K7816" t="str">
        <f>"5F6"</f>
        <v>5F6</v>
      </c>
      <c r="L7816" t="s">
        <v>15</v>
      </c>
    </row>
    <row r="7817" spans="1:12" x14ac:dyDescent="0.25">
      <c r="A7817" t="str">
        <f>"6201221246"</f>
        <v>6201221246</v>
      </c>
      <c r="B7817" t="str">
        <f t="shared" si="357"/>
        <v>89301000</v>
      </c>
      <c r="C7817" s="1">
        <v>44235</v>
      </c>
      <c r="D7817" s="1">
        <v>44238</v>
      </c>
      <c r="E7817">
        <v>1</v>
      </c>
      <c r="F7817" t="s">
        <v>309</v>
      </c>
      <c r="G7817" t="str">
        <f>"08-M03-05"</f>
        <v>08-M03-05</v>
      </c>
      <c r="H7817">
        <v>0.51759999999999995</v>
      </c>
      <c r="I7817" t="s">
        <v>5589</v>
      </c>
      <c r="J7817" t="s">
        <v>14</v>
      </c>
      <c r="K7817" t="str">
        <f>"6F6"</f>
        <v>6F6</v>
      </c>
      <c r="L7817" t="s">
        <v>15</v>
      </c>
    </row>
    <row r="7818" spans="1:12" x14ac:dyDescent="0.25">
      <c r="A7818" t="str">
        <f>"6201221301"</f>
        <v>6201221301</v>
      </c>
      <c r="B7818" t="str">
        <f t="shared" si="357"/>
        <v>89301000</v>
      </c>
      <c r="C7818" s="1">
        <v>44284</v>
      </c>
      <c r="D7818" s="1">
        <v>44296</v>
      </c>
      <c r="E7818">
        <v>1</v>
      </c>
      <c r="F7818" t="s">
        <v>5590</v>
      </c>
      <c r="G7818" t="str">
        <f>"03-I03-02"</f>
        <v>03-I03-02</v>
      </c>
      <c r="H7818">
        <v>5.1859000000000002</v>
      </c>
      <c r="I7818" t="s">
        <v>5591</v>
      </c>
      <c r="J7818" t="s">
        <v>17</v>
      </c>
      <c r="K7818" t="str">
        <f>"6F5"</f>
        <v>6F5</v>
      </c>
      <c r="L7818" t="s">
        <v>15</v>
      </c>
    </row>
    <row r="7819" spans="1:12" x14ac:dyDescent="0.25">
      <c r="A7819" t="str">
        <f>"6201221301"</f>
        <v>6201221301</v>
      </c>
      <c r="B7819" t="str">
        <f t="shared" si="357"/>
        <v>89301000</v>
      </c>
      <c r="C7819" s="1">
        <v>44529</v>
      </c>
      <c r="D7819" s="1">
        <v>44531</v>
      </c>
      <c r="E7819">
        <v>1</v>
      </c>
      <c r="F7819" t="s">
        <v>5592</v>
      </c>
      <c r="G7819" t="str">
        <f>"10-K11-02"</f>
        <v>10-K11-02</v>
      </c>
      <c r="H7819">
        <v>1.0618000000000001</v>
      </c>
      <c r="I7819" t="s">
        <v>5593</v>
      </c>
      <c r="J7819" t="s">
        <v>14</v>
      </c>
      <c r="K7819" t="str">
        <f>"1F1"</f>
        <v>1F1</v>
      </c>
      <c r="L7819" t="s">
        <v>15</v>
      </c>
    </row>
    <row r="7820" spans="1:12" x14ac:dyDescent="0.25">
      <c r="A7820" t="str">
        <f>"6202040845"</f>
        <v>6202040845</v>
      </c>
      <c r="B7820" t="str">
        <f t="shared" si="357"/>
        <v>89301000</v>
      </c>
      <c r="C7820" s="1">
        <v>44543</v>
      </c>
      <c r="D7820" s="1">
        <v>44559</v>
      </c>
      <c r="E7820">
        <v>8</v>
      </c>
      <c r="F7820" t="s">
        <v>217</v>
      </c>
      <c r="G7820" t="str">
        <f>"00-M02-04"</f>
        <v>00-M02-04</v>
      </c>
      <c r="H7820">
        <v>12.268800000000001</v>
      </c>
      <c r="I7820" t="s">
        <v>5594</v>
      </c>
      <c r="J7820" t="s">
        <v>14</v>
      </c>
      <c r="K7820" t="str">
        <f>"7T8"</f>
        <v>7T8</v>
      </c>
      <c r="L7820" t="s">
        <v>15</v>
      </c>
    </row>
    <row r="7821" spans="1:12" x14ac:dyDescent="0.25">
      <c r="A7821" t="str">
        <f>"6202221564"</f>
        <v>6202221564</v>
      </c>
      <c r="B7821" t="str">
        <f t="shared" si="357"/>
        <v>89301000</v>
      </c>
      <c r="C7821" s="1">
        <v>44440</v>
      </c>
      <c r="D7821" s="1">
        <v>44442</v>
      </c>
      <c r="E7821">
        <v>1</v>
      </c>
      <c r="F7821" t="s">
        <v>3371</v>
      </c>
      <c r="G7821" t="str">
        <f>"08-M03-05"</f>
        <v>08-M03-05</v>
      </c>
      <c r="H7821">
        <v>0.51759999999999995</v>
      </c>
      <c r="I7821" t="s">
        <v>244</v>
      </c>
      <c r="J7821" t="s">
        <v>14</v>
      </c>
      <c r="K7821" t="str">
        <f>"6F6"</f>
        <v>6F6</v>
      </c>
      <c r="L7821" t="s">
        <v>15</v>
      </c>
    </row>
    <row r="7822" spans="1:12" x14ac:dyDescent="0.25">
      <c r="A7822" t="str">
        <f>"6203170292"</f>
        <v>6203170292</v>
      </c>
      <c r="B7822" t="str">
        <f t="shared" si="357"/>
        <v>89301000</v>
      </c>
      <c r="C7822" s="1">
        <v>44439</v>
      </c>
      <c r="D7822" s="1">
        <v>44442</v>
      </c>
      <c r="E7822">
        <v>1</v>
      </c>
      <c r="F7822" t="s">
        <v>3901</v>
      </c>
      <c r="G7822" t="str">
        <f>"07-I06-01"</f>
        <v>07-I06-01</v>
      </c>
      <c r="H7822">
        <v>5.3661000000000003</v>
      </c>
      <c r="I7822" t="s">
        <v>5595</v>
      </c>
      <c r="J7822" t="s">
        <v>17</v>
      </c>
      <c r="K7822" t="str">
        <f>"1F1"</f>
        <v>1F1</v>
      </c>
      <c r="L7822" t="s">
        <v>15</v>
      </c>
    </row>
    <row r="7823" spans="1:12" x14ac:dyDescent="0.25">
      <c r="A7823" t="str">
        <f>"6203210640"</f>
        <v>6203210640</v>
      </c>
      <c r="B7823" t="str">
        <f t="shared" si="357"/>
        <v>89301000</v>
      </c>
      <c r="C7823" s="1">
        <v>44205</v>
      </c>
      <c r="D7823" s="1">
        <v>44214</v>
      </c>
      <c r="E7823">
        <v>7</v>
      </c>
      <c r="F7823" t="s">
        <v>217</v>
      </c>
      <c r="G7823" t="str">
        <f>"00-M01-04"</f>
        <v>00-M01-04</v>
      </c>
      <c r="H7823">
        <v>6.85</v>
      </c>
      <c r="I7823" t="s">
        <v>5596</v>
      </c>
      <c r="J7823" t="s">
        <v>14</v>
      </c>
      <c r="K7823" t="str">
        <f>"1T1"</f>
        <v>1T1</v>
      </c>
      <c r="L7823" t="s">
        <v>15</v>
      </c>
    </row>
    <row r="7824" spans="1:12" x14ac:dyDescent="0.25">
      <c r="A7824" t="str">
        <f>"6203210904"</f>
        <v>6203210904</v>
      </c>
      <c r="B7824" t="str">
        <f t="shared" si="357"/>
        <v>89301000</v>
      </c>
      <c r="C7824" s="1">
        <v>44372</v>
      </c>
      <c r="D7824" s="1">
        <v>44375</v>
      </c>
      <c r="E7824">
        <v>1</v>
      </c>
      <c r="F7824" t="s">
        <v>41</v>
      </c>
      <c r="G7824" t="str">
        <f>"01-D01-03"</f>
        <v>01-D01-03</v>
      </c>
      <c r="H7824">
        <v>0.2054</v>
      </c>
      <c r="I7824" t="s">
        <v>1892</v>
      </c>
      <c r="J7824" t="s">
        <v>14</v>
      </c>
      <c r="K7824" t="str">
        <f>"2F5"</f>
        <v>2F5</v>
      </c>
      <c r="L7824" t="s">
        <v>15</v>
      </c>
    </row>
    <row r="7825" spans="1:12" x14ac:dyDescent="0.25">
      <c r="A7825" t="str">
        <f>"6203251725"</f>
        <v>6203251725</v>
      </c>
      <c r="B7825" t="str">
        <f t="shared" si="357"/>
        <v>89301000</v>
      </c>
      <c r="C7825" s="1">
        <v>44461</v>
      </c>
      <c r="D7825" s="1">
        <v>44466</v>
      </c>
      <c r="E7825">
        <v>1</v>
      </c>
      <c r="F7825" t="s">
        <v>2637</v>
      </c>
      <c r="G7825" t="str">
        <f>"23-K05-01"</f>
        <v>23-K05-01</v>
      </c>
      <c r="H7825">
        <v>0.57099999999999995</v>
      </c>
      <c r="I7825" t="s">
        <v>2638</v>
      </c>
      <c r="J7825" t="s">
        <v>14</v>
      </c>
      <c r="K7825" t="str">
        <f>"4F7"</f>
        <v>4F7</v>
      </c>
      <c r="L7825" t="s">
        <v>15</v>
      </c>
    </row>
    <row r="7826" spans="1:12" x14ac:dyDescent="0.25">
      <c r="A7826" t="str">
        <f>"6203251725"</f>
        <v>6203251725</v>
      </c>
      <c r="B7826" t="str">
        <f t="shared" si="357"/>
        <v>89301000</v>
      </c>
      <c r="C7826" s="1">
        <v>44227</v>
      </c>
      <c r="D7826" s="1">
        <v>44230</v>
      </c>
      <c r="E7826">
        <v>1</v>
      </c>
      <c r="F7826" t="s">
        <v>81</v>
      </c>
      <c r="G7826" t="str">
        <f>"10-I13-02"</f>
        <v>10-I13-02</v>
      </c>
      <c r="H7826">
        <v>1.1468</v>
      </c>
      <c r="J7826" t="s">
        <v>24</v>
      </c>
      <c r="K7826" t="str">
        <f>"5F5"</f>
        <v>5F5</v>
      </c>
      <c r="L7826" t="s">
        <v>15</v>
      </c>
    </row>
    <row r="7827" spans="1:12" x14ac:dyDescent="0.25">
      <c r="A7827" t="str">
        <f>"6203251725"</f>
        <v>6203251725</v>
      </c>
      <c r="B7827" t="str">
        <f t="shared" si="357"/>
        <v>89301000</v>
      </c>
      <c r="C7827" s="1">
        <v>44284</v>
      </c>
      <c r="D7827" s="1">
        <v>44293</v>
      </c>
      <c r="E7827">
        <v>1</v>
      </c>
      <c r="F7827" t="s">
        <v>79</v>
      </c>
      <c r="G7827" t="str">
        <f>"10-R02-01"</f>
        <v>10-R02-01</v>
      </c>
      <c r="H7827">
        <v>0.9698</v>
      </c>
      <c r="I7827" t="s">
        <v>80</v>
      </c>
      <c r="J7827" t="s">
        <v>24</v>
      </c>
      <c r="K7827" t="str">
        <f>"4F7"</f>
        <v>4F7</v>
      </c>
      <c r="L7827" t="s">
        <v>15</v>
      </c>
    </row>
    <row r="7828" spans="1:12" x14ac:dyDescent="0.25">
      <c r="A7828" t="str">
        <f>"6203301808"</f>
        <v>6203301808</v>
      </c>
      <c r="B7828" t="str">
        <f t="shared" si="357"/>
        <v>89301000</v>
      </c>
      <c r="C7828" s="1">
        <v>44267</v>
      </c>
      <c r="D7828" s="1">
        <v>44271</v>
      </c>
      <c r="E7828">
        <v>1</v>
      </c>
      <c r="F7828" t="s">
        <v>16</v>
      </c>
      <c r="G7828" t="str">
        <f>"08-K08-00"</f>
        <v>08-K08-00</v>
      </c>
      <c r="H7828">
        <v>0.51670000000000005</v>
      </c>
      <c r="I7828" t="s">
        <v>5597</v>
      </c>
      <c r="J7828" t="s">
        <v>14</v>
      </c>
      <c r="K7828" t="str">
        <f>"1F1"</f>
        <v>1F1</v>
      </c>
      <c r="L7828" t="s">
        <v>15</v>
      </c>
    </row>
    <row r="7829" spans="1:12" x14ac:dyDescent="0.25">
      <c r="A7829" t="str">
        <f t="shared" ref="A7829:A7835" si="358">"6204011957"</f>
        <v>6204011957</v>
      </c>
      <c r="B7829" t="str">
        <f t="shared" si="357"/>
        <v>89301000</v>
      </c>
      <c r="C7829" s="1">
        <v>44272</v>
      </c>
      <c r="D7829" s="1">
        <v>44287</v>
      </c>
      <c r="E7829">
        <v>1</v>
      </c>
      <c r="F7829" t="s">
        <v>5598</v>
      </c>
      <c r="G7829" t="str">
        <f>"07-I01-02"</f>
        <v>07-I01-02</v>
      </c>
      <c r="H7829">
        <v>5.4947999999999997</v>
      </c>
      <c r="I7829" t="s">
        <v>5599</v>
      </c>
      <c r="J7829" t="s">
        <v>17</v>
      </c>
      <c r="K7829" t="str">
        <f>"5F1"</f>
        <v>5F1</v>
      </c>
      <c r="L7829" t="s">
        <v>15</v>
      </c>
    </row>
    <row r="7830" spans="1:12" x14ac:dyDescent="0.25">
      <c r="A7830" t="str">
        <f t="shared" si="358"/>
        <v>6204011957</v>
      </c>
      <c r="B7830" t="str">
        <f t="shared" si="357"/>
        <v>89301000</v>
      </c>
      <c r="C7830" s="1">
        <v>44438</v>
      </c>
      <c r="D7830" s="1">
        <v>44440</v>
      </c>
      <c r="E7830">
        <v>1</v>
      </c>
      <c r="F7830" t="s">
        <v>1863</v>
      </c>
      <c r="G7830" t="str">
        <f t="shared" ref="G7830:G7835" si="359">"07-C01-02"</f>
        <v>07-C01-02</v>
      </c>
      <c r="H7830">
        <v>0.30530000000000002</v>
      </c>
      <c r="I7830" t="s">
        <v>5600</v>
      </c>
      <c r="J7830" t="s">
        <v>14</v>
      </c>
      <c r="K7830" t="str">
        <f t="shared" ref="K7830:K7835" si="360">"4F2"</f>
        <v>4F2</v>
      </c>
      <c r="L7830" t="s">
        <v>15</v>
      </c>
    </row>
    <row r="7831" spans="1:12" x14ac:dyDescent="0.25">
      <c r="A7831" t="str">
        <f t="shared" si="358"/>
        <v>6204011957</v>
      </c>
      <c r="B7831" t="str">
        <f t="shared" si="357"/>
        <v>89301000</v>
      </c>
      <c r="C7831" s="1">
        <v>44424</v>
      </c>
      <c r="D7831" s="1">
        <v>44426</v>
      </c>
      <c r="E7831">
        <v>1</v>
      </c>
      <c r="F7831" t="s">
        <v>1863</v>
      </c>
      <c r="G7831" t="str">
        <f t="shared" si="359"/>
        <v>07-C01-02</v>
      </c>
      <c r="H7831">
        <v>0.30530000000000002</v>
      </c>
      <c r="I7831" t="s">
        <v>2227</v>
      </c>
      <c r="J7831" t="s">
        <v>14</v>
      </c>
      <c r="K7831" t="str">
        <f t="shared" si="360"/>
        <v>4F2</v>
      </c>
      <c r="L7831" t="s">
        <v>15</v>
      </c>
    </row>
    <row r="7832" spans="1:12" x14ac:dyDescent="0.25">
      <c r="A7832" t="str">
        <f t="shared" si="358"/>
        <v>6204011957</v>
      </c>
      <c r="B7832" t="str">
        <f t="shared" si="357"/>
        <v>89301000</v>
      </c>
      <c r="C7832" s="1">
        <v>44410</v>
      </c>
      <c r="D7832" s="1">
        <v>44412</v>
      </c>
      <c r="E7832">
        <v>1</v>
      </c>
      <c r="F7832" t="s">
        <v>1863</v>
      </c>
      <c r="G7832" t="str">
        <f t="shared" si="359"/>
        <v>07-C01-02</v>
      </c>
      <c r="H7832">
        <v>0.30530000000000002</v>
      </c>
      <c r="I7832" t="s">
        <v>5601</v>
      </c>
      <c r="J7832" t="s">
        <v>14</v>
      </c>
      <c r="K7832" t="str">
        <f t="shared" si="360"/>
        <v>4F2</v>
      </c>
      <c r="L7832" t="s">
        <v>15</v>
      </c>
    </row>
    <row r="7833" spans="1:12" x14ac:dyDescent="0.25">
      <c r="A7833" t="str">
        <f t="shared" si="358"/>
        <v>6204011957</v>
      </c>
      <c r="B7833" t="str">
        <f t="shared" si="357"/>
        <v>89301000</v>
      </c>
      <c r="C7833" s="1">
        <v>44396</v>
      </c>
      <c r="D7833" s="1">
        <v>44398</v>
      </c>
      <c r="E7833">
        <v>1</v>
      </c>
      <c r="F7833" t="s">
        <v>1863</v>
      </c>
      <c r="G7833" t="str">
        <f t="shared" si="359"/>
        <v>07-C01-02</v>
      </c>
      <c r="H7833">
        <v>0.30530000000000002</v>
      </c>
      <c r="I7833" t="s">
        <v>3317</v>
      </c>
      <c r="J7833" t="s">
        <v>14</v>
      </c>
      <c r="K7833" t="str">
        <f t="shared" si="360"/>
        <v>4F2</v>
      </c>
      <c r="L7833" t="s">
        <v>15</v>
      </c>
    </row>
    <row r="7834" spans="1:12" x14ac:dyDescent="0.25">
      <c r="A7834" t="str">
        <f t="shared" si="358"/>
        <v>6204011957</v>
      </c>
      <c r="B7834" t="str">
        <f t="shared" si="357"/>
        <v>89301000</v>
      </c>
      <c r="C7834" s="1">
        <v>44379</v>
      </c>
      <c r="D7834" s="1">
        <v>44381</v>
      </c>
      <c r="E7834">
        <v>1</v>
      </c>
      <c r="F7834" t="s">
        <v>5598</v>
      </c>
      <c r="G7834" t="str">
        <f t="shared" si="359"/>
        <v>07-C01-02</v>
      </c>
      <c r="H7834">
        <v>0.30530000000000002</v>
      </c>
      <c r="I7834" t="s">
        <v>5602</v>
      </c>
      <c r="J7834" t="s">
        <v>14</v>
      </c>
      <c r="K7834" t="str">
        <f t="shared" si="360"/>
        <v>4F2</v>
      </c>
      <c r="L7834" t="s">
        <v>15</v>
      </c>
    </row>
    <row r="7835" spans="1:12" x14ac:dyDescent="0.25">
      <c r="A7835" t="str">
        <f t="shared" si="358"/>
        <v>6204011957</v>
      </c>
      <c r="B7835" t="str">
        <f t="shared" si="357"/>
        <v>89301000</v>
      </c>
      <c r="C7835" s="1">
        <v>44365</v>
      </c>
      <c r="D7835" s="1">
        <v>44367</v>
      </c>
      <c r="E7835">
        <v>1</v>
      </c>
      <c r="F7835" t="s">
        <v>1863</v>
      </c>
      <c r="G7835" t="str">
        <f t="shared" si="359"/>
        <v>07-C01-02</v>
      </c>
      <c r="H7835">
        <v>0.30530000000000002</v>
      </c>
      <c r="I7835" t="s">
        <v>3317</v>
      </c>
      <c r="J7835" t="s">
        <v>14</v>
      </c>
      <c r="K7835" t="str">
        <f t="shared" si="360"/>
        <v>4F2</v>
      </c>
      <c r="L7835" t="s">
        <v>15</v>
      </c>
    </row>
    <row r="7836" spans="1:12" x14ac:dyDescent="0.25">
      <c r="A7836" t="str">
        <f>"6204030151"</f>
        <v>6204030151</v>
      </c>
      <c r="B7836" t="str">
        <f t="shared" si="357"/>
        <v>89301000</v>
      </c>
      <c r="C7836" s="1">
        <v>44386</v>
      </c>
      <c r="D7836" s="1">
        <v>44387</v>
      </c>
      <c r="E7836">
        <v>1</v>
      </c>
      <c r="F7836" t="s">
        <v>2397</v>
      </c>
      <c r="G7836" t="str">
        <f>"05-I14-04"</f>
        <v>05-I14-04</v>
      </c>
      <c r="H7836">
        <v>5.4002999999999997</v>
      </c>
      <c r="I7836" t="s">
        <v>1959</v>
      </c>
      <c r="J7836" t="s">
        <v>14</v>
      </c>
      <c r="K7836" t="str">
        <f>"1F1"</f>
        <v>1F1</v>
      </c>
      <c r="L7836" t="s">
        <v>15</v>
      </c>
    </row>
    <row r="7837" spans="1:12" x14ac:dyDescent="0.25">
      <c r="A7837" t="str">
        <f>"6204141262"</f>
        <v>6204141262</v>
      </c>
      <c r="B7837" t="str">
        <f t="shared" si="357"/>
        <v>89301000</v>
      </c>
      <c r="C7837" s="1">
        <v>44384</v>
      </c>
      <c r="D7837" s="1">
        <v>44385</v>
      </c>
      <c r="E7837">
        <v>1</v>
      </c>
      <c r="F7837" t="s">
        <v>1599</v>
      </c>
      <c r="G7837" t="str">
        <f>"05-K07-05"</f>
        <v>05-K07-05</v>
      </c>
      <c r="H7837">
        <v>0.54400000000000004</v>
      </c>
      <c r="I7837" t="s">
        <v>5603</v>
      </c>
      <c r="J7837" t="s">
        <v>14</v>
      </c>
      <c r="K7837" t="str">
        <f>"1T1"</f>
        <v>1T1</v>
      </c>
      <c r="L7837" t="s">
        <v>15</v>
      </c>
    </row>
    <row r="7838" spans="1:12" x14ac:dyDescent="0.25">
      <c r="A7838" t="str">
        <f>"6204181555"</f>
        <v>6204181555</v>
      </c>
      <c r="B7838" t="str">
        <f t="shared" si="357"/>
        <v>89301000</v>
      </c>
      <c r="C7838" s="1">
        <v>44225</v>
      </c>
      <c r="D7838" s="1">
        <v>44232</v>
      </c>
      <c r="E7838">
        <v>1</v>
      </c>
      <c r="F7838" t="s">
        <v>448</v>
      </c>
      <c r="G7838" t="str">
        <f>"11-K01-03"</f>
        <v>11-K01-03</v>
      </c>
      <c r="H7838">
        <v>0.59940000000000004</v>
      </c>
      <c r="I7838" t="s">
        <v>5604</v>
      </c>
      <c r="J7838" t="s">
        <v>14</v>
      </c>
      <c r="K7838" t="str">
        <f>"7F6"</f>
        <v>7F6</v>
      </c>
      <c r="L7838" t="s">
        <v>15</v>
      </c>
    </row>
    <row r="7839" spans="1:12" x14ac:dyDescent="0.25">
      <c r="A7839" t="str">
        <f>"6204210749"</f>
        <v>6204210749</v>
      </c>
      <c r="B7839" t="str">
        <f t="shared" si="357"/>
        <v>89301000</v>
      </c>
      <c r="C7839" s="1">
        <v>44494</v>
      </c>
      <c r="D7839" s="1">
        <v>44496</v>
      </c>
      <c r="E7839">
        <v>1</v>
      </c>
      <c r="F7839" t="s">
        <v>2721</v>
      </c>
      <c r="G7839" t="str">
        <f>"02-I08-02"</f>
        <v>02-I08-02</v>
      </c>
      <c r="H7839">
        <v>0.55269999999999997</v>
      </c>
      <c r="I7839" t="s">
        <v>5605</v>
      </c>
      <c r="J7839" t="s">
        <v>17</v>
      </c>
      <c r="K7839" t="str">
        <f>"7F5"</f>
        <v>7F5</v>
      </c>
      <c r="L7839" t="s">
        <v>15</v>
      </c>
    </row>
    <row r="7840" spans="1:12" x14ac:dyDescent="0.25">
      <c r="A7840" t="str">
        <f>"6204210749"</f>
        <v>6204210749</v>
      </c>
      <c r="B7840" t="str">
        <f t="shared" si="357"/>
        <v>89301000</v>
      </c>
      <c r="C7840" s="1">
        <v>44325</v>
      </c>
      <c r="D7840" s="1">
        <v>44331</v>
      </c>
      <c r="E7840">
        <v>1</v>
      </c>
      <c r="F7840" t="s">
        <v>3940</v>
      </c>
      <c r="G7840" t="str">
        <f>"08-I04-03"</f>
        <v>08-I04-03</v>
      </c>
      <c r="H7840">
        <v>1.331</v>
      </c>
      <c r="J7840" t="s">
        <v>17</v>
      </c>
      <c r="K7840" t="str">
        <f>"5F6"</f>
        <v>5F6</v>
      </c>
      <c r="L7840" t="s">
        <v>15</v>
      </c>
    </row>
    <row r="7841" spans="1:12" x14ac:dyDescent="0.25">
      <c r="A7841" t="str">
        <f>"6204240031"</f>
        <v>6204240031</v>
      </c>
      <c r="B7841" t="str">
        <f t="shared" si="357"/>
        <v>89301000</v>
      </c>
      <c r="C7841" s="1">
        <v>44468</v>
      </c>
      <c r="D7841" s="1">
        <v>44470</v>
      </c>
      <c r="E7841">
        <v>1</v>
      </c>
      <c r="F7841" t="s">
        <v>2311</v>
      </c>
      <c r="G7841" t="str">
        <f>"08-I03-08"</f>
        <v>08-I03-08</v>
      </c>
      <c r="H7841">
        <v>2.0605000000000002</v>
      </c>
      <c r="J7841" t="s">
        <v>17</v>
      </c>
      <c r="K7841" t="str">
        <f>"5F6"</f>
        <v>5F6</v>
      </c>
      <c r="L7841" t="s">
        <v>15</v>
      </c>
    </row>
    <row r="7842" spans="1:12" x14ac:dyDescent="0.25">
      <c r="A7842" t="str">
        <f>"6204240658"</f>
        <v>6204240658</v>
      </c>
      <c r="B7842" t="str">
        <f t="shared" si="357"/>
        <v>89301000</v>
      </c>
      <c r="C7842" s="1">
        <v>44242</v>
      </c>
      <c r="D7842" s="1">
        <v>44250</v>
      </c>
      <c r="E7842">
        <v>1</v>
      </c>
      <c r="F7842" t="s">
        <v>5606</v>
      </c>
      <c r="G7842" t="str">
        <f>"06-I07-05"</f>
        <v>06-I07-05</v>
      </c>
      <c r="H7842">
        <v>2.8466999999999998</v>
      </c>
      <c r="I7842" t="s">
        <v>1868</v>
      </c>
      <c r="J7842" t="s">
        <v>17</v>
      </c>
      <c r="K7842" t="str">
        <f>"5F1"</f>
        <v>5F1</v>
      </c>
      <c r="L7842" t="s">
        <v>15</v>
      </c>
    </row>
    <row r="7843" spans="1:12" x14ac:dyDescent="0.25">
      <c r="A7843" t="str">
        <f>"6204240658"</f>
        <v>6204240658</v>
      </c>
      <c r="B7843" t="str">
        <f t="shared" si="357"/>
        <v>89301000</v>
      </c>
      <c r="C7843" s="1">
        <v>44318</v>
      </c>
      <c r="D7843" s="1">
        <v>44327</v>
      </c>
      <c r="E7843">
        <v>1</v>
      </c>
      <c r="F7843" t="s">
        <v>2648</v>
      </c>
      <c r="G7843" t="str">
        <f>"06-I12-03"</f>
        <v>06-I12-03</v>
      </c>
      <c r="H7843">
        <v>1.8894</v>
      </c>
      <c r="I7843" t="s">
        <v>5607</v>
      </c>
      <c r="J7843" t="s">
        <v>14</v>
      </c>
      <c r="K7843" t="str">
        <f>"5F1"</f>
        <v>5F1</v>
      </c>
      <c r="L7843" t="s">
        <v>15</v>
      </c>
    </row>
    <row r="7844" spans="1:12" x14ac:dyDescent="0.25">
      <c r="A7844" t="str">
        <f>"6204241395"</f>
        <v>6204241395</v>
      </c>
      <c r="B7844" t="str">
        <f t="shared" si="357"/>
        <v>89301000</v>
      </c>
      <c r="C7844" s="1">
        <v>44389</v>
      </c>
      <c r="D7844" s="1">
        <v>44390</v>
      </c>
      <c r="E7844">
        <v>1</v>
      </c>
      <c r="F7844" t="s">
        <v>1557</v>
      </c>
      <c r="G7844" t="str">
        <f>"05-M06-08"</f>
        <v>05-M06-08</v>
      </c>
      <c r="H7844">
        <v>1.4719</v>
      </c>
      <c r="I7844" t="s">
        <v>3113</v>
      </c>
      <c r="J7844" t="s">
        <v>17</v>
      </c>
      <c r="K7844" t="str">
        <f>"1F1"</f>
        <v>1F1</v>
      </c>
      <c r="L7844" t="s">
        <v>15</v>
      </c>
    </row>
    <row r="7845" spans="1:12" x14ac:dyDescent="0.25">
      <c r="A7845" t="str">
        <f>"6205090595"</f>
        <v>6205090595</v>
      </c>
      <c r="B7845" t="str">
        <f t="shared" si="357"/>
        <v>89301000</v>
      </c>
      <c r="C7845" s="1">
        <v>44519</v>
      </c>
      <c r="D7845" s="1">
        <v>44520</v>
      </c>
      <c r="E7845">
        <v>1</v>
      </c>
      <c r="F7845" t="s">
        <v>2360</v>
      </c>
      <c r="G7845" t="str">
        <f>"06-M01-02"</f>
        <v>06-M01-02</v>
      </c>
      <c r="H7845">
        <v>1.2191000000000001</v>
      </c>
      <c r="J7845" t="s">
        <v>14</v>
      </c>
      <c r="K7845" t="str">
        <f>"1F1"</f>
        <v>1F1</v>
      </c>
      <c r="L7845" t="s">
        <v>15</v>
      </c>
    </row>
    <row r="7846" spans="1:12" x14ac:dyDescent="0.25">
      <c r="A7846" t="str">
        <f>"6205310562"</f>
        <v>6205310562</v>
      </c>
      <c r="B7846" t="str">
        <f t="shared" si="357"/>
        <v>89301000</v>
      </c>
      <c r="C7846" s="1">
        <v>44501</v>
      </c>
      <c r="D7846" s="1">
        <v>44504</v>
      </c>
      <c r="E7846">
        <v>1</v>
      </c>
      <c r="F7846" t="s">
        <v>1955</v>
      </c>
      <c r="G7846" t="str">
        <f>"01-K04-02"</f>
        <v>01-K04-02</v>
      </c>
      <c r="H7846">
        <v>0.80059999999999998</v>
      </c>
      <c r="I7846" t="s">
        <v>489</v>
      </c>
      <c r="J7846" t="s">
        <v>14</v>
      </c>
      <c r="K7846" t="str">
        <f>"2F9"</f>
        <v>2F9</v>
      </c>
      <c r="L7846" t="s">
        <v>15</v>
      </c>
    </row>
    <row r="7847" spans="1:12" x14ac:dyDescent="0.25">
      <c r="A7847" t="str">
        <f>"6206040225"</f>
        <v>6206040225</v>
      </c>
      <c r="B7847" t="str">
        <f t="shared" si="357"/>
        <v>89301000</v>
      </c>
      <c r="C7847" s="1">
        <v>44355</v>
      </c>
      <c r="D7847" s="1">
        <v>44358</v>
      </c>
      <c r="E7847">
        <v>1</v>
      </c>
      <c r="F7847" t="s">
        <v>320</v>
      </c>
      <c r="G7847" t="str">
        <f>"03-I23-00"</f>
        <v>03-I23-00</v>
      </c>
      <c r="H7847">
        <v>0.47639999999999999</v>
      </c>
      <c r="I7847" t="s">
        <v>5608</v>
      </c>
      <c r="J7847" t="s">
        <v>14</v>
      </c>
      <c r="K7847" t="str">
        <f>"6F5"</f>
        <v>6F5</v>
      </c>
      <c r="L7847" t="s">
        <v>15</v>
      </c>
    </row>
    <row r="7848" spans="1:12" x14ac:dyDescent="0.25">
      <c r="A7848" t="str">
        <f>"6206061488"</f>
        <v>6206061488</v>
      </c>
      <c r="B7848" t="str">
        <f t="shared" si="357"/>
        <v>89301000</v>
      </c>
      <c r="C7848" s="1">
        <v>44341</v>
      </c>
      <c r="D7848" s="1">
        <v>44343</v>
      </c>
      <c r="E7848">
        <v>7</v>
      </c>
      <c r="F7848" t="s">
        <v>2368</v>
      </c>
      <c r="G7848" t="str">
        <f>"08-K09-02"</f>
        <v>08-K09-02</v>
      </c>
      <c r="H7848">
        <v>1.0061</v>
      </c>
      <c r="I7848" t="s">
        <v>5609</v>
      </c>
      <c r="J7848" t="s">
        <v>14</v>
      </c>
      <c r="K7848" t="str">
        <f>"4F2"</f>
        <v>4F2</v>
      </c>
      <c r="L7848" t="s">
        <v>15</v>
      </c>
    </row>
    <row r="7849" spans="1:12" x14ac:dyDescent="0.25">
      <c r="A7849" t="str">
        <f>"6206210604"</f>
        <v>6206210604</v>
      </c>
      <c r="B7849" t="str">
        <f t="shared" si="357"/>
        <v>89301000</v>
      </c>
      <c r="C7849" s="1">
        <v>44248</v>
      </c>
      <c r="D7849" s="1">
        <v>44249</v>
      </c>
      <c r="E7849">
        <v>5</v>
      </c>
      <c r="F7849" t="s">
        <v>720</v>
      </c>
      <c r="G7849" t="str">
        <f>"06-K02-04"</f>
        <v>06-K02-04</v>
      </c>
      <c r="H7849">
        <v>0.3634</v>
      </c>
      <c r="I7849" t="s">
        <v>5610</v>
      </c>
      <c r="J7849" t="s">
        <v>14</v>
      </c>
      <c r="K7849" t="str">
        <f>"5F1"</f>
        <v>5F1</v>
      </c>
      <c r="L7849" t="s">
        <v>15</v>
      </c>
    </row>
    <row r="7850" spans="1:12" x14ac:dyDescent="0.25">
      <c r="A7850" t="str">
        <f>"6206220350"</f>
        <v>6206220350</v>
      </c>
      <c r="B7850" t="str">
        <f t="shared" si="357"/>
        <v>89301000</v>
      </c>
      <c r="C7850" s="1">
        <v>44486</v>
      </c>
      <c r="D7850" s="1">
        <v>44489</v>
      </c>
      <c r="E7850">
        <v>1</v>
      </c>
      <c r="F7850" t="s">
        <v>1683</v>
      </c>
      <c r="G7850" t="str">
        <f>"05-M06-06"</f>
        <v>05-M06-06</v>
      </c>
      <c r="H7850">
        <v>1.7652000000000001</v>
      </c>
      <c r="I7850" t="s">
        <v>1868</v>
      </c>
      <c r="J7850" t="s">
        <v>17</v>
      </c>
      <c r="K7850" t="str">
        <f>"1F1"</f>
        <v>1F1</v>
      </c>
      <c r="L7850" t="s">
        <v>15</v>
      </c>
    </row>
    <row r="7851" spans="1:12" x14ac:dyDescent="0.25">
      <c r="A7851" t="str">
        <f>"6206306172"</f>
        <v>6206306172</v>
      </c>
      <c r="B7851" t="str">
        <f t="shared" si="357"/>
        <v>89301000</v>
      </c>
      <c r="C7851" s="1">
        <v>44411</v>
      </c>
      <c r="D7851" s="1">
        <v>44421</v>
      </c>
      <c r="E7851">
        <v>1</v>
      </c>
      <c r="F7851" t="s">
        <v>5611</v>
      </c>
      <c r="G7851" t="str">
        <f>"02-I05-01"</f>
        <v>02-I05-01</v>
      </c>
      <c r="H7851">
        <v>2.2886000000000002</v>
      </c>
      <c r="I7851" t="s">
        <v>5612</v>
      </c>
      <c r="J7851" t="s">
        <v>17</v>
      </c>
      <c r="K7851" t="str">
        <f>"7F5"</f>
        <v>7F5</v>
      </c>
      <c r="L7851" t="s">
        <v>15</v>
      </c>
    </row>
    <row r="7852" spans="1:12" x14ac:dyDescent="0.25">
      <c r="A7852" t="str">
        <f>"6207010447"</f>
        <v>6207010447</v>
      </c>
      <c r="B7852" t="str">
        <f t="shared" si="357"/>
        <v>89301000</v>
      </c>
      <c r="C7852" s="1">
        <v>44278</v>
      </c>
      <c r="D7852" s="1">
        <v>44281</v>
      </c>
      <c r="E7852">
        <v>1</v>
      </c>
      <c r="F7852" t="s">
        <v>217</v>
      </c>
      <c r="G7852" t="str">
        <f>"04-K02-04"</f>
        <v>04-K02-04</v>
      </c>
      <c r="H7852">
        <v>0.82469999999999999</v>
      </c>
      <c r="I7852" t="s">
        <v>5613</v>
      </c>
      <c r="J7852" t="s">
        <v>14</v>
      </c>
      <c r="K7852" t="str">
        <f>"7F6"</f>
        <v>7F6</v>
      </c>
      <c r="L7852" t="s">
        <v>15</v>
      </c>
    </row>
    <row r="7853" spans="1:12" x14ac:dyDescent="0.25">
      <c r="A7853" t="str">
        <f>"6207030830"</f>
        <v>6207030830</v>
      </c>
      <c r="B7853" t="str">
        <f t="shared" si="357"/>
        <v>89301000</v>
      </c>
      <c r="C7853" s="1">
        <v>44231</v>
      </c>
      <c r="D7853" s="1">
        <v>44233</v>
      </c>
      <c r="E7853">
        <v>1</v>
      </c>
      <c r="F7853" t="s">
        <v>320</v>
      </c>
      <c r="G7853" t="str">
        <f>"03-I23-00"</f>
        <v>03-I23-00</v>
      </c>
      <c r="H7853">
        <v>0.47639999999999999</v>
      </c>
      <c r="I7853" t="s">
        <v>5614</v>
      </c>
      <c r="J7853" t="s">
        <v>14</v>
      </c>
      <c r="K7853" t="str">
        <f>"6F5"</f>
        <v>6F5</v>
      </c>
      <c r="L7853" t="s">
        <v>15</v>
      </c>
    </row>
    <row r="7854" spans="1:12" x14ac:dyDescent="0.25">
      <c r="A7854" t="str">
        <f>"6207030830"</f>
        <v>6207030830</v>
      </c>
      <c r="B7854" t="str">
        <f t="shared" si="357"/>
        <v>89301000</v>
      </c>
      <c r="C7854" s="1">
        <v>44250</v>
      </c>
      <c r="D7854" s="1">
        <v>44253</v>
      </c>
      <c r="E7854">
        <v>1</v>
      </c>
      <c r="F7854" t="s">
        <v>5615</v>
      </c>
      <c r="G7854" t="str">
        <f>"03-K09-01"</f>
        <v>03-K09-01</v>
      </c>
      <c r="H7854">
        <v>0.59919999999999995</v>
      </c>
      <c r="I7854" t="s">
        <v>5616</v>
      </c>
      <c r="J7854" t="s">
        <v>14</v>
      </c>
      <c r="K7854" t="str">
        <f>"6F5"</f>
        <v>6F5</v>
      </c>
      <c r="L7854" t="s">
        <v>15</v>
      </c>
    </row>
    <row r="7855" spans="1:12" x14ac:dyDescent="0.25">
      <c r="A7855" t="str">
        <f>"6207031149"</f>
        <v>6207031149</v>
      </c>
      <c r="B7855" t="str">
        <f t="shared" si="357"/>
        <v>89301000</v>
      </c>
      <c r="C7855" s="1">
        <v>44336</v>
      </c>
      <c r="D7855" s="1">
        <v>44339</v>
      </c>
      <c r="E7855">
        <v>1</v>
      </c>
      <c r="F7855" t="s">
        <v>4196</v>
      </c>
      <c r="G7855" t="str">
        <f>"08-M03-01"</f>
        <v>08-M03-01</v>
      </c>
      <c r="H7855">
        <v>1.0429999999999999</v>
      </c>
      <c r="J7855" t="s">
        <v>14</v>
      </c>
      <c r="K7855" t="str">
        <f>"6F6"</f>
        <v>6F6</v>
      </c>
      <c r="L7855" t="s">
        <v>15</v>
      </c>
    </row>
    <row r="7856" spans="1:12" x14ac:dyDescent="0.25">
      <c r="A7856" t="str">
        <f>"6207031149"</f>
        <v>6207031149</v>
      </c>
      <c r="B7856" t="str">
        <f t="shared" si="357"/>
        <v>89301000</v>
      </c>
      <c r="C7856" s="1">
        <v>44428</v>
      </c>
      <c r="D7856" s="1">
        <v>44430</v>
      </c>
      <c r="E7856">
        <v>1</v>
      </c>
      <c r="F7856" t="s">
        <v>132</v>
      </c>
      <c r="G7856" t="str">
        <f>"03-K03-02"</f>
        <v>03-K03-02</v>
      </c>
      <c r="H7856">
        <v>0.49249999999999999</v>
      </c>
      <c r="I7856" t="s">
        <v>5617</v>
      </c>
      <c r="J7856" t="s">
        <v>14</v>
      </c>
      <c r="K7856" t="str">
        <f>"6F5"</f>
        <v>6F5</v>
      </c>
      <c r="L7856" t="s">
        <v>15</v>
      </c>
    </row>
    <row r="7857" spans="1:12" x14ac:dyDescent="0.25">
      <c r="A7857" t="str">
        <f>"6207072058"</f>
        <v>6207072058</v>
      </c>
      <c r="B7857" t="str">
        <f t="shared" si="357"/>
        <v>89301000</v>
      </c>
      <c r="C7857" s="1">
        <v>44517</v>
      </c>
      <c r="D7857" s="1">
        <v>44525</v>
      </c>
      <c r="E7857">
        <v>1</v>
      </c>
      <c r="F7857" t="s">
        <v>217</v>
      </c>
      <c r="G7857" t="str">
        <f>"04-K02-04"</f>
        <v>04-K02-04</v>
      </c>
      <c r="H7857">
        <v>0.82469999999999999</v>
      </c>
      <c r="I7857" t="s">
        <v>5618</v>
      </c>
      <c r="J7857" t="s">
        <v>14</v>
      </c>
      <c r="K7857" t="str">
        <f>"1F6"</f>
        <v>1F6</v>
      </c>
      <c r="L7857" t="s">
        <v>15</v>
      </c>
    </row>
    <row r="7858" spans="1:12" x14ac:dyDescent="0.25">
      <c r="A7858" t="str">
        <f>"6207231646"</f>
        <v>6207231646</v>
      </c>
      <c r="B7858" t="str">
        <f t="shared" si="357"/>
        <v>89301000</v>
      </c>
      <c r="C7858" s="1">
        <v>44333</v>
      </c>
      <c r="D7858" s="1">
        <v>44346</v>
      </c>
      <c r="E7858">
        <v>1</v>
      </c>
      <c r="F7858" t="s">
        <v>1557</v>
      </c>
      <c r="G7858" t="str">
        <f>"05-I16-02"</f>
        <v>05-I16-02</v>
      </c>
      <c r="H7858">
        <v>9.1464999999999996</v>
      </c>
      <c r="J7858" t="s">
        <v>17</v>
      </c>
      <c r="K7858" t="str">
        <f>"5F5"</f>
        <v>5F5</v>
      </c>
      <c r="L7858" t="s">
        <v>15</v>
      </c>
    </row>
    <row r="7859" spans="1:12" x14ac:dyDescent="0.25">
      <c r="A7859" t="str">
        <f>"6207231646"</f>
        <v>6207231646</v>
      </c>
      <c r="B7859" t="str">
        <f t="shared" si="357"/>
        <v>89301000</v>
      </c>
      <c r="C7859" s="1">
        <v>44274</v>
      </c>
      <c r="D7859" s="1">
        <v>44275</v>
      </c>
      <c r="E7859">
        <v>1</v>
      </c>
      <c r="F7859" t="s">
        <v>2603</v>
      </c>
      <c r="G7859" t="str">
        <f>"05-D01-08"</f>
        <v>05-D01-08</v>
      </c>
      <c r="H7859">
        <v>0.4093</v>
      </c>
      <c r="I7859" t="s">
        <v>1959</v>
      </c>
      <c r="J7859" t="s">
        <v>14</v>
      </c>
      <c r="K7859" t="str">
        <f>"1F1"</f>
        <v>1F1</v>
      </c>
      <c r="L7859" t="s">
        <v>15</v>
      </c>
    </row>
    <row r="7860" spans="1:12" x14ac:dyDescent="0.25">
      <c r="A7860" t="str">
        <f>"6207251897"</f>
        <v>6207251897</v>
      </c>
      <c r="B7860" t="str">
        <f t="shared" si="357"/>
        <v>89301000</v>
      </c>
      <c r="C7860" s="1">
        <v>44342</v>
      </c>
      <c r="D7860" s="1">
        <v>44343</v>
      </c>
      <c r="E7860">
        <v>1</v>
      </c>
      <c r="F7860" t="s">
        <v>1557</v>
      </c>
      <c r="G7860" t="str">
        <f>"05-M06-08"</f>
        <v>05-M06-08</v>
      </c>
      <c r="H7860">
        <v>1.4719</v>
      </c>
      <c r="I7860" t="s">
        <v>5619</v>
      </c>
      <c r="J7860" t="s">
        <v>17</v>
      </c>
      <c r="K7860" t="str">
        <f>"1F1"</f>
        <v>1F1</v>
      </c>
      <c r="L7860" t="s">
        <v>15</v>
      </c>
    </row>
    <row r="7861" spans="1:12" x14ac:dyDescent="0.25">
      <c r="A7861" t="str">
        <f>"6207251897"</f>
        <v>6207251897</v>
      </c>
      <c r="B7861" t="str">
        <f t="shared" si="357"/>
        <v>89301000</v>
      </c>
      <c r="C7861" s="1">
        <v>44388</v>
      </c>
      <c r="D7861" s="1">
        <v>44390</v>
      </c>
      <c r="E7861">
        <v>1</v>
      </c>
      <c r="F7861" t="s">
        <v>1606</v>
      </c>
      <c r="G7861" t="str">
        <f>"05-K05-05"</f>
        <v>05-K05-05</v>
      </c>
      <c r="H7861">
        <v>0.37819999999999998</v>
      </c>
      <c r="I7861" t="s">
        <v>4200</v>
      </c>
      <c r="J7861" t="s">
        <v>14</v>
      </c>
      <c r="K7861" t="str">
        <f>"1F7"</f>
        <v>1F7</v>
      </c>
      <c r="L7861" t="s">
        <v>15</v>
      </c>
    </row>
    <row r="7862" spans="1:12" x14ac:dyDescent="0.25">
      <c r="A7862" t="str">
        <f>"6207261709"</f>
        <v>6207261709</v>
      </c>
      <c r="B7862" t="str">
        <f t="shared" si="357"/>
        <v>89301000</v>
      </c>
      <c r="C7862" s="1">
        <v>44325</v>
      </c>
      <c r="D7862" s="1">
        <v>44328</v>
      </c>
      <c r="E7862">
        <v>1</v>
      </c>
      <c r="F7862" t="s">
        <v>4094</v>
      </c>
      <c r="G7862" t="str">
        <f>"01-I13-00"</f>
        <v>01-I13-00</v>
      </c>
      <c r="H7862">
        <v>0.42880000000000001</v>
      </c>
      <c r="J7862" t="s">
        <v>14</v>
      </c>
      <c r="K7862" t="str">
        <f>"5F6"</f>
        <v>5F6</v>
      </c>
      <c r="L7862" t="s">
        <v>15</v>
      </c>
    </row>
    <row r="7863" spans="1:12" x14ac:dyDescent="0.25">
      <c r="A7863" t="str">
        <f>"6207261709"</f>
        <v>6207261709</v>
      </c>
      <c r="B7863" t="str">
        <f t="shared" si="357"/>
        <v>89301000</v>
      </c>
      <c r="C7863" s="1">
        <v>44515</v>
      </c>
      <c r="D7863" s="1">
        <v>44518</v>
      </c>
      <c r="E7863">
        <v>1</v>
      </c>
      <c r="F7863" t="s">
        <v>4196</v>
      </c>
      <c r="G7863" t="str">
        <f>"08-M03-02"</f>
        <v>08-M03-02</v>
      </c>
      <c r="H7863">
        <v>0.86970000000000003</v>
      </c>
      <c r="I7863" t="s">
        <v>309</v>
      </c>
      <c r="J7863" t="s">
        <v>14</v>
      </c>
      <c r="K7863" t="str">
        <f>"6F6"</f>
        <v>6F6</v>
      </c>
      <c r="L7863" t="s">
        <v>15</v>
      </c>
    </row>
    <row r="7864" spans="1:12" x14ac:dyDescent="0.25">
      <c r="A7864" t="str">
        <f>"6207262050"</f>
        <v>6207262050</v>
      </c>
      <c r="B7864" t="str">
        <f t="shared" si="357"/>
        <v>89301000</v>
      </c>
      <c r="C7864" s="1">
        <v>44473</v>
      </c>
      <c r="D7864" s="1">
        <v>44475</v>
      </c>
      <c r="E7864">
        <v>4</v>
      </c>
      <c r="F7864" t="s">
        <v>4382</v>
      </c>
      <c r="G7864" t="str">
        <f>"05-I30-02"</f>
        <v>05-I30-02</v>
      </c>
      <c r="H7864">
        <v>0.46729999999999999</v>
      </c>
      <c r="I7864" t="s">
        <v>5620</v>
      </c>
      <c r="J7864" t="s">
        <v>14</v>
      </c>
      <c r="K7864" t="str">
        <f>"5F1"</f>
        <v>5F1</v>
      </c>
      <c r="L7864" t="s">
        <v>15</v>
      </c>
    </row>
    <row r="7865" spans="1:12" x14ac:dyDescent="0.25">
      <c r="A7865" t="str">
        <f>"6207262050"</f>
        <v>6207262050</v>
      </c>
      <c r="B7865" t="str">
        <f t="shared" ref="B7865:B7928" si="361">"89301000"</f>
        <v>89301000</v>
      </c>
      <c r="C7865" s="1">
        <v>44431</v>
      </c>
      <c r="D7865" s="1">
        <v>44435</v>
      </c>
      <c r="E7865">
        <v>1</v>
      </c>
      <c r="F7865" t="s">
        <v>4683</v>
      </c>
      <c r="G7865" t="str">
        <f>"08-K08-00"</f>
        <v>08-K08-00</v>
      </c>
      <c r="H7865">
        <v>0.51670000000000005</v>
      </c>
      <c r="I7865" t="s">
        <v>5621</v>
      </c>
      <c r="J7865" t="s">
        <v>14</v>
      </c>
      <c r="K7865" t="str">
        <f>"2F9"</f>
        <v>2F9</v>
      </c>
      <c r="L7865" t="s">
        <v>15</v>
      </c>
    </row>
    <row r="7866" spans="1:12" x14ac:dyDescent="0.25">
      <c r="A7866" t="str">
        <f>"6208031214"</f>
        <v>6208031214</v>
      </c>
      <c r="B7866" t="str">
        <f t="shared" si="361"/>
        <v>89301000</v>
      </c>
      <c r="C7866" s="1">
        <v>44334</v>
      </c>
      <c r="D7866" s="1">
        <v>44335</v>
      </c>
      <c r="E7866">
        <v>1</v>
      </c>
      <c r="F7866" t="s">
        <v>3027</v>
      </c>
      <c r="G7866" t="str">
        <f>"03-I22-02"</f>
        <v>03-I22-02</v>
      </c>
      <c r="H7866">
        <v>0.75970000000000004</v>
      </c>
      <c r="I7866" t="s">
        <v>3854</v>
      </c>
      <c r="J7866" t="s">
        <v>14</v>
      </c>
      <c r="K7866" t="str">
        <f>"7F1"</f>
        <v>7F1</v>
      </c>
      <c r="L7866" t="s">
        <v>15</v>
      </c>
    </row>
    <row r="7867" spans="1:12" x14ac:dyDescent="0.25">
      <c r="A7867" t="str">
        <f>"6208032237"</f>
        <v>6208032237</v>
      </c>
      <c r="B7867" t="str">
        <f t="shared" si="361"/>
        <v>89301000</v>
      </c>
      <c r="C7867" s="1">
        <v>44254</v>
      </c>
      <c r="D7867" s="1">
        <v>44256</v>
      </c>
      <c r="E7867">
        <v>1</v>
      </c>
      <c r="F7867" t="s">
        <v>1548</v>
      </c>
      <c r="G7867" t="str">
        <f>"05-K07-04"</f>
        <v>05-K07-04</v>
      </c>
      <c r="H7867">
        <v>0.85160000000000002</v>
      </c>
      <c r="I7867" t="s">
        <v>5622</v>
      </c>
      <c r="J7867" t="s">
        <v>14</v>
      </c>
      <c r="K7867" t="str">
        <f>"1F9"</f>
        <v>1F9</v>
      </c>
      <c r="L7867" t="s">
        <v>15</v>
      </c>
    </row>
    <row r="7868" spans="1:12" x14ac:dyDescent="0.25">
      <c r="A7868" t="str">
        <f>"6208151015"</f>
        <v>6208151015</v>
      </c>
      <c r="B7868" t="str">
        <f t="shared" si="361"/>
        <v>89301000</v>
      </c>
      <c r="C7868" s="1">
        <v>44356</v>
      </c>
      <c r="D7868" s="1">
        <v>44357</v>
      </c>
      <c r="E7868">
        <v>1</v>
      </c>
      <c r="F7868" t="s">
        <v>1962</v>
      </c>
      <c r="G7868" t="str">
        <f>"04-K15-03"</f>
        <v>04-K15-03</v>
      </c>
      <c r="H7868">
        <v>0.49009999999999998</v>
      </c>
      <c r="I7868" t="s">
        <v>2183</v>
      </c>
      <c r="J7868" t="s">
        <v>14</v>
      </c>
      <c r="K7868" t="str">
        <f>"1F1"</f>
        <v>1F1</v>
      </c>
      <c r="L7868" t="s">
        <v>286</v>
      </c>
    </row>
    <row r="7869" spans="1:12" x14ac:dyDescent="0.25">
      <c r="A7869" t="str">
        <f>"6208160926"</f>
        <v>6208160926</v>
      </c>
      <c r="B7869" t="str">
        <f t="shared" si="361"/>
        <v>89301000</v>
      </c>
      <c r="C7869" s="1">
        <v>44508</v>
      </c>
      <c r="D7869" s="1">
        <v>44509</v>
      </c>
      <c r="E7869">
        <v>1</v>
      </c>
      <c r="F7869" t="s">
        <v>240</v>
      </c>
      <c r="G7869" t="str">
        <f>"03-K13-02"</f>
        <v>03-K13-02</v>
      </c>
      <c r="H7869">
        <v>0.2555</v>
      </c>
      <c r="I7869" t="s">
        <v>5371</v>
      </c>
      <c r="J7869" t="s">
        <v>14</v>
      </c>
      <c r="K7869" t="str">
        <f>"2F5"</f>
        <v>2F5</v>
      </c>
      <c r="L7869" t="s">
        <v>15</v>
      </c>
    </row>
    <row r="7870" spans="1:12" x14ac:dyDescent="0.25">
      <c r="A7870" t="str">
        <f>"6208221448"</f>
        <v>6208221448</v>
      </c>
      <c r="B7870" t="str">
        <f t="shared" si="361"/>
        <v>89301000</v>
      </c>
      <c r="C7870" s="1">
        <v>44490</v>
      </c>
      <c r="D7870" s="1">
        <v>44493</v>
      </c>
      <c r="E7870">
        <v>1</v>
      </c>
      <c r="F7870" t="s">
        <v>5623</v>
      </c>
      <c r="G7870" t="str">
        <f>"08-M03-05"</f>
        <v>08-M03-05</v>
      </c>
      <c r="H7870">
        <v>0.51759999999999995</v>
      </c>
      <c r="I7870" t="s">
        <v>5624</v>
      </c>
      <c r="J7870" t="s">
        <v>14</v>
      </c>
      <c r="K7870" t="str">
        <f>"6F6"</f>
        <v>6F6</v>
      </c>
      <c r="L7870" t="s">
        <v>15</v>
      </c>
    </row>
    <row r="7871" spans="1:12" x14ac:dyDescent="0.25">
      <c r="A7871" t="str">
        <f>"6209021346"</f>
        <v>6209021346</v>
      </c>
      <c r="B7871" t="str">
        <f t="shared" si="361"/>
        <v>89301000</v>
      </c>
      <c r="C7871" s="1">
        <v>44282</v>
      </c>
      <c r="D7871" s="1">
        <v>44306</v>
      </c>
      <c r="E7871">
        <v>1</v>
      </c>
      <c r="F7871" t="s">
        <v>217</v>
      </c>
      <c r="G7871" t="str">
        <f>"00-M02-04"</f>
        <v>00-M02-04</v>
      </c>
      <c r="H7871">
        <v>12.071199999999999</v>
      </c>
      <c r="I7871" t="s">
        <v>5625</v>
      </c>
      <c r="J7871" t="s">
        <v>14</v>
      </c>
      <c r="K7871" t="str">
        <f>"1F5"</f>
        <v>1F5</v>
      </c>
      <c r="L7871" t="s">
        <v>15</v>
      </c>
    </row>
    <row r="7872" spans="1:12" x14ac:dyDescent="0.25">
      <c r="A7872" t="str">
        <f>"6209071594"</f>
        <v>6209071594</v>
      </c>
      <c r="B7872" t="str">
        <f t="shared" si="361"/>
        <v>89301000</v>
      </c>
      <c r="C7872" s="1">
        <v>44326</v>
      </c>
      <c r="D7872" s="1">
        <v>44327</v>
      </c>
      <c r="E7872">
        <v>1</v>
      </c>
      <c r="F7872" t="s">
        <v>1557</v>
      </c>
      <c r="G7872" t="str">
        <f>"05-M06-08"</f>
        <v>05-M06-08</v>
      </c>
      <c r="H7872">
        <v>1.4719</v>
      </c>
      <c r="I7872" t="s">
        <v>2428</v>
      </c>
      <c r="J7872" t="s">
        <v>17</v>
      </c>
      <c r="K7872" t="str">
        <f>"1F1"</f>
        <v>1F1</v>
      </c>
      <c r="L7872" t="s">
        <v>15</v>
      </c>
    </row>
    <row r="7873" spans="1:12" x14ac:dyDescent="0.25">
      <c r="A7873" t="str">
        <f>"6209071594"</f>
        <v>6209071594</v>
      </c>
      <c r="B7873" t="str">
        <f t="shared" si="361"/>
        <v>89301000</v>
      </c>
      <c r="C7873" s="1">
        <v>44367</v>
      </c>
      <c r="D7873" s="1">
        <v>44368</v>
      </c>
      <c r="E7873">
        <v>1</v>
      </c>
      <c r="F7873" t="s">
        <v>1557</v>
      </c>
      <c r="G7873" t="str">
        <f>"05-M06-08"</f>
        <v>05-M06-08</v>
      </c>
      <c r="H7873">
        <v>1.4719</v>
      </c>
      <c r="I7873" t="s">
        <v>1959</v>
      </c>
      <c r="J7873" t="s">
        <v>17</v>
      </c>
      <c r="K7873" t="str">
        <f>"1F7"</f>
        <v>1F7</v>
      </c>
      <c r="L7873" t="s">
        <v>15</v>
      </c>
    </row>
    <row r="7874" spans="1:12" x14ac:dyDescent="0.25">
      <c r="A7874" t="str">
        <f>"6209091669"</f>
        <v>6209091669</v>
      </c>
      <c r="B7874" t="str">
        <f t="shared" si="361"/>
        <v>89301000</v>
      </c>
      <c r="C7874" s="1">
        <v>44232</v>
      </c>
      <c r="D7874" s="1">
        <v>44233</v>
      </c>
      <c r="E7874">
        <v>1</v>
      </c>
      <c r="F7874" t="s">
        <v>874</v>
      </c>
      <c r="G7874" t="str">
        <f>"07-M02-04"</f>
        <v>07-M02-04</v>
      </c>
      <c r="H7874">
        <v>0.73929999999999996</v>
      </c>
      <c r="I7874" t="s">
        <v>5023</v>
      </c>
      <c r="J7874" t="s">
        <v>17</v>
      </c>
      <c r="K7874" t="str">
        <f>"1F5"</f>
        <v>1F5</v>
      </c>
      <c r="L7874" t="s">
        <v>15</v>
      </c>
    </row>
    <row r="7875" spans="1:12" x14ac:dyDescent="0.25">
      <c r="A7875" t="str">
        <f>"6209170308"</f>
        <v>6209170308</v>
      </c>
      <c r="B7875" t="str">
        <f t="shared" si="361"/>
        <v>89301000</v>
      </c>
      <c r="C7875" s="1">
        <v>44329</v>
      </c>
      <c r="D7875" s="1">
        <v>44329</v>
      </c>
      <c r="E7875">
        <v>1</v>
      </c>
      <c r="F7875" t="s">
        <v>1557</v>
      </c>
      <c r="G7875" t="str">
        <f>"05-D01-08"</f>
        <v>05-D01-08</v>
      </c>
      <c r="H7875">
        <v>0.21890000000000001</v>
      </c>
      <c r="J7875" t="s">
        <v>14</v>
      </c>
      <c r="K7875" t="str">
        <f>"1F1"</f>
        <v>1F1</v>
      </c>
      <c r="L7875" t="s">
        <v>15</v>
      </c>
    </row>
    <row r="7876" spans="1:12" x14ac:dyDescent="0.25">
      <c r="A7876" t="str">
        <f>"6209180439"</f>
        <v>6209180439</v>
      </c>
      <c r="B7876" t="str">
        <f t="shared" si="361"/>
        <v>89301000</v>
      </c>
      <c r="C7876" s="1">
        <v>44323</v>
      </c>
      <c r="D7876" s="1">
        <v>44330</v>
      </c>
      <c r="E7876">
        <v>1</v>
      </c>
      <c r="F7876" t="s">
        <v>144</v>
      </c>
      <c r="G7876" t="str">
        <f>"04-I03-04"</f>
        <v>04-I03-04</v>
      </c>
      <c r="H7876">
        <v>2.0316000000000001</v>
      </c>
      <c r="I7876" t="s">
        <v>5626</v>
      </c>
      <c r="J7876" t="s">
        <v>106</v>
      </c>
      <c r="K7876" t="str">
        <f>"5F1"</f>
        <v>5F1</v>
      </c>
      <c r="L7876" t="s">
        <v>15</v>
      </c>
    </row>
    <row r="7877" spans="1:12" x14ac:dyDescent="0.25">
      <c r="A7877" t="str">
        <f>"6209180439"</f>
        <v>6209180439</v>
      </c>
      <c r="B7877" t="str">
        <f t="shared" si="361"/>
        <v>89301000</v>
      </c>
      <c r="C7877" s="1">
        <v>44539</v>
      </c>
      <c r="D7877" s="1">
        <v>44540</v>
      </c>
      <c r="E7877">
        <v>1</v>
      </c>
      <c r="F7877" t="s">
        <v>144</v>
      </c>
      <c r="G7877" t="str">
        <f>"04-K10-02"</f>
        <v>04-K10-02</v>
      </c>
      <c r="H7877">
        <v>0.41870000000000002</v>
      </c>
      <c r="I7877" t="s">
        <v>5627</v>
      </c>
      <c r="J7877" t="s">
        <v>14</v>
      </c>
      <c r="K7877" t="str">
        <f>"2F5"</f>
        <v>2F5</v>
      </c>
      <c r="L7877" t="s">
        <v>15</v>
      </c>
    </row>
    <row r="7878" spans="1:12" x14ac:dyDescent="0.25">
      <c r="A7878" t="str">
        <f>"6209180439"</f>
        <v>6209180439</v>
      </c>
      <c r="B7878" t="str">
        <f t="shared" si="361"/>
        <v>89301000</v>
      </c>
      <c r="C7878" s="1">
        <v>44279</v>
      </c>
      <c r="D7878" s="1">
        <v>44281</v>
      </c>
      <c r="E7878">
        <v>1</v>
      </c>
      <c r="F7878" t="s">
        <v>1193</v>
      </c>
      <c r="G7878" t="str">
        <f>"16-K01-02"</f>
        <v>16-K01-02</v>
      </c>
      <c r="H7878">
        <v>0.53800000000000003</v>
      </c>
      <c r="I7878" t="s">
        <v>5628</v>
      </c>
      <c r="J7878" t="s">
        <v>14</v>
      </c>
      <c r="K7878" t="str">
        <f>"2F5"</f>
        <v>2F5</v>
      </c>
      <c r="L7878" t="s">
        <v>15</v>
      </c>
    </row>
    <row r="7879" spans="1:12" x14ac:dyDescent="0.25">
      <c r="A7879" t="str">
        <f>"6209280154"</f>
        <v>6209280154</v>
      </c>
      <c r="B7879" t="str">
        <f t="shared" si="361"/>
        <v>89301000</v>
      </c>
      <c r="C7879" s="1">
        <v>44500</v>
      </c>
      <c r="D7879" s="1">
        <v>44504</v>
      </c>
      <c r="E7879">
        <v>1</v>
      </c>
      <c r="F7879" t="s">
        <v>699</v>
      </c>
      <c r="G7879" t="str">
        <f>"16-K02-02"</f>
        <v>16-K02-02</v>
      </c>
      <c r="H7879">
        <v>0.77459999999999996</v>
      </c>
      <c r="I7879" t="s">
        <v>5629</v>
      </c>
      <c r="J7879" t="s">
        <v>14</v>
      </c>
      <c r="K7879" t="str">
        <f>"1F1"</f>
        <v>1F1</v>
      </c>
      <c r="L7879" t="s">
        <v>15</v>
      </c>
    </row>
    <row r="7880" spans="1:12" x14ac:dyDescent="0.25">
      <c r="A7880" t="str">
        <f>"6209280154"</f>
        <v>6209280154</v>
      </c>
      <c r="B7880" t="str">
        <f t="shared" si="361"/>
        <v>89301000</v>
      </c>
      <c r="C7880" s="1">
        <v>44507</v>
      </c>
      <c r="D7880" s="1">
        <v>44512</v>
      </c>
      <c r="E7880">
        <v>1</v>
      </c>
      <c r="F7880" t="s">
        <v>699</v>
      </c>
      <c r="G7880" t="str">
        <f>"16-K02-02"</f>
        <v>16-K02-02</v>
      </c>
      <c r="H7880">
        <v>0.77459999999999996</v>
      </c>
      <c r="I7880" t="s">
        <v>5630</v>
      </c>
      <c r="J7880" t="s">
        <v>14</v>
      </c>
      <c r="K7880" t="str">
        <f>"1F1"</f>
        <v>1F1</v>
      </c>
      <c r="L7880" t="s">
        <v>15</v>
      </c>
    </row>
    <row r="7881" spans="1:12" x14ac:dyDescent="0.25">
      <c r="A7881" t="str">
        <f>"6209281749"</f>
        <v>6209281749</v>
      </c>
      <c r="B7881" t="str">
        <f t="shared" si="361"/>
        <v>89301000</v>
      </c>
      <c r="C7881" s="1">
        <v>44441</v>
      </c>
      <c r="D7881" s="1">
        <v>44449</v>
      </c>
      <c r="E7881">
        <v>4</v>
      </c>
      <c r="F7881" t="s">
        <v>5092</v>
      </c>
      <c r="G7881" t="str">
        <f>"08-K02-03"</f>
        <v>08-K02-03</v>
      </c>
      <c r="H7881">
        <v>0.73560000000000003</v>
      </c>
      <c r="I7881" t="s">
        <v>5631</v>
      </c>
      <c r="J7881" t="s">
        <v>14</v>
      </c>
      <c r="K7881" t="str">
        <f>"1F9"</f>
        <v>1F9</v>
      </c>
      <c r="L7881" t="s">
        <v>15</v>
      </c>
    </row>
    <row r="7882" spans="1:12" x14ac:dyDescent="0.25">
      <c r="A7882" t="str">
        <f>"6209306268"</f>
        <v>6209306268</v>
      </c>
      <c r="B7882" t="str">
        <f t="shared" si="361"/>
        <v>89301000</v>
      </c>
      <c r="C7882" s="1">
        <v>44311</v>
      </c>
      <c r="D7882" s="1">
        <v>44326</v>
      </c>
      <c r="E7882">
        <v>1</v>
      </c>
      <c r="F7882" t="s">
        <v>217</v>
      </c>
      <c r="G7882" t="str">
        <f>"00-M02-04"</f>
        <v>00-M02-04</v>
      </c>
      <c r="H7882">
        <v>12.071199999999999</v>
      </c>
      <c r="I7882" t="s">
        <v>5632</v>
      </c>
      <c r="J7882" t="s">
        <v>14</v>
      </c>
      <c r="K7882" t="str">
        <f>"1F1"</f>
        <v>1F1</v>
      </c>
      <c r="L7882" t="s">
        <v>15</v>
      </c>
    </row>
    <row r="7883" spans="1:12" x14ac:dyDescent="0.25">
      <c r="A7883" t="str">
        <f>"6210020971"</f>
        <v>6210020971</v>
      </c>
      <c r="B7883" t="str">
        <f t="shared" si="361"/>
        <v>89301000</v>
      </c>
      <c r="C7883" s="1">
        <v>44504</v>
      </c>
      <c r="D7883" s="1">
        <v>44505</v>
      </c>
      <c r="E7883">
        <v>1</v>
      </c>
      <c r="F7883" t="s">
        <v>3831</v>
      </c>
      <c r="G7883" t="str">
        <f>"06-M01-05"</f>
        <v>06-M01-05</v>
      </c>
      <c r="H7883">
        <v>0.41710000000000003</v>
      </c>
      <c r="I7883" t="s">
        <v>5633</v>
      </c>
      <c r="J7883" t="s">
        <v>14</v>
      </c>
      <c r="K7883" t="str">
        <f>"1F5"</f>
        <v>1F5</v>
      </c>
      <c r="L7883" t="s">
        <v>15</v>
      </c>
    </row>
    <row r="7884" spans="1:12" x14ac:dyDescent="0.25">
      <c r="A7884" t="str">
        <f>"6210021301"</f>
        <v>6210021301</v>
      </c>
      <c r="B7884" t="str">
        <f t="shared" si="361"/>
        <v>89301000</v>
      </c>
      <c r="C7884" s="1">
        <v>44518</v>
      </c>
      <c r="D7884" s="1">
        <v>44533</v>
      </c>
      <c r="E7884">
        <v>1</v>
      </c>
      <c r="F7884" t="s">
        <v>5598</v>
      </c>
      <c r="G7884" t="str">
        <f>"07-I01-02"</f>
        <v>07-I01-02</v>
      </c>
      <c r="H7884">
        <v>5.4947999999999997</v>
      </c>
      <c r="I7884" t="s">
        <v>5634</v>
      </c>
      <c r="J7884" t="s">
        <v>17</v>
      </c>
      <c r="K7884" t="str">
        <f>"5F1"</f>
        <v>5F1</v>
      </c>
      <c r="L7884" t="s">
        <v>15</v>
      </c>
    </row>
    <row r="7885" spans="1:12" x14ac:dyDescent="0.25">
      <c r="A7885" t="str">
        <f>"6210100303"</f>
        <v>6210100303</v>
      </c>
      <c r="B7885" t="str">
        <f t="shared" si="361"/>
        <v>89301000</v>
      </c>
      <c r="C7885" s="1">
        <v>44500</v>
      </c>
      <c r="D7885" s="1">
        <v>44505</v>
      </c>
      <c r="E7885">
        <v>1</v>
      </c>
      <c r="F7885" t="s">
        <v>5635</v>
      </c>
      <c r="G7885" t="str">
        <f>"01-I06-04"</f>
        <v>01-I06-04</v>
      </c>
      <c r="H7885">
        <v>3.6231</v>
      </c>
      <c r="J7885" t="s">
        <v>17</v>
      </c>
      <c r="K7885" t="str">
        <f>"5F6"</f>
        <v>5F6</v>
      </c>
      <c r="L7885" t="s">
        <v>15</v>
      </c>
    </row>
    <row r="7886" spans="1:12" x14ac:dyDescent="0.25">
      <c r="A7886" t="str">
        <f>"6210130333"</f>
        <v>6210130333</v>
      </c>
      <c r="B7886" t="str">
        <f t="shared" si="361"/>
        <v>89301000</v>
      </c>
      <c r="C7886" s="1">
        <v>44536</v>
      </c>
      <c r="D7886" s="1">
        <v>44551</v>
      </c>
      <c r="E7886">
        <v>8</v>
      </c>
      <c r="F7886" t="s">
        <v>217</v>
      </c>
      <c r="G7886" t="str">
        <f>"00-M02-04"</f>
        <v>00-M02-04</v>
      </c>
      <c r="H7886">
        <v>12.2384</v>
      </c>
      <c r="I7886" t="s">
        <v>5636</v>
      </c>
      <c r="J7886" t="s">
        <v>14</v>
      </c>
      <c r="K7886" t="str">
        <f>"7T8"</f>
        <v>7T8</v>
      </c>
      <c r="L7886" t="s">
        <v>15</v>
      </c>
    </row>
    <row r="7887" spans="1:12" x14ac:dyDescent="0.25">
      <c r="A7887" t="str">
        <f>"6210270187"</f>
        <v>6210270187</v>
      </c>
      <c r="B7887" t="str">
        <f t="shared" si="361"/>
        <v>89301000</v>
      </c>
      <c r="C7887" s="1">
        <v>44278</v>
      </c>
      <c r="D7887" s="1">
        <v>44283</v>
      </c>
      <c r="E7887">
        <v>1</v>
      </c>
      <c r="F7887" t="s">
        <v>217</v>
      </c>
      <c r="G7887" t="str">
        <f>"04-K02-04"</f>
        <v>04-K02-04</v>
      </c>
      <c r="H7887">
        <v>0.82469999999999999</v>
      </c>
      <c r="I7887" t="s">
        <v>274</v>
      </c>
      <c r="J7887" t="s">
        <v>14</v>
      </c>
      <c r="K7887" t="str">
        <f>"5F1"</f>
        <v>5F1</v>
      </c>
      <c r="L7887" t="s">
        <v>15</v>
      </c>
    </row>
    <row r="7888" spans="1:12" x14ac:dyDescent="0.25">
      <c r="A7888" t="str">
        <f>"6211061329"</f>
        <v>6211061329</v>
      </c>
      <c r="B7888" t="str">
        <f t="shared" si="361"/>
        <v>89301000</v>
      </c>
      <c r="C7888" s="1">
        <v>44218</v>
      </c>
      <c r="D7888" s="1">
        <v>44234</v>
      </c>
      <c r="E7888">
        <v>7</v>
      </c>
      <c r="F7888" t="s">
        <v>1121</v>
      </c>
      <c r="G7888" t="str">
        <f>"00-M02-04"</f>
        <v>00-M02-04</v>
      </c>
      <c r="H7888">
        <v>12.071199999999999</v>
      </c>
      <c r="I7888" t="s">
        <v>5637</v>
      </c>
      <c r="J7888" t="s">
        <v>14</v>
      </c>
      <c r="K7888" t="str">
        <f>"7T8"</f>
        <v>7T8</v>
      </c>
      <c r="L7888" t="s">
        <v>15</v>
      </c>
    </row>
    <row r="7889" spans="1:12" x14ac:dyDescent="0.25">
      <c r="A7889" t="str">
        <f>"6211120223"</f>
        <v>6211120223</v>
      </c>
      <c r="B7889" t="str">
        <f t="shared" si="361"/>
        <v>89301000</v>
      </c>
      <c r="C7889" s="1">
        <v>44325</v>
      </c>
      <c r="D7889" s="1">
        <v>44333</v>
      </c>
      <c r="E7889">
        <v>1</v>
      </c>
      <c r="F7889" t="s">
        <v>1555</v>
      </c>
      <c r="G7889" t="str">
        <f>"05-I26-02"</f>
        <v>05-I26-02</v>
      </c>
      <c r="H7889">
        <v>1.5084</v>
      </c>
      <c r="I7889" t="s">
        <v>489</v>
      </c>
      <c r="J7889" t="s">
        <v>14</v>
      </c>
      <c r="K7889" t="str">
        <f>"5F1"</f>
        <v>5F1</v>
      </c>
      <c r="L7889" t="s">
        <v>15</v>
      </c>
    </row>
    <row r="7890" spans="1:12" x14ac:dyDescent="0.25">
      <c r="A7890" t="str">
        <f>"6211131542"</f>
        <v>6211131542</v>
      </c>
      <c r="B7890" t="str">
        <f t="shared" si="361"/>
        <v>89301000</v>
      </c>
      <c r="C7890" s="1">
        <v>44426</v>
      </c>
      <c r="D7890" s="1">
        <v>44429</v>
      </c>
      <c r="E7890">
        <v>1</v>
      </c>
      <c r="F7890" t="s">
        <v>3330</v>
      </c>
      <c r="G7890" t="str">
        <f>"08-M03-05"</f>
        <v>08-M03-05</v>
      </c>
      <c r="H7890">
        <v>0.51759999999999995</v>
      </c>
      <c r="I7890" t="s">
        <v>5638</v>
      </c>
      <c r="J7890" t="s">
        <v>14</v>
      </c>
      <c r="K7890" t="str">
        <f>"6F6"</f>
        <v>6F6</v>
      </c>
      <c r="L7890" t="s">
        <v>15</v>
      </c>
    </row>
    <row r="7891" spans="1:12" x14ac:dyDescent="0.25">
      <c r="A7891" t="str">
        <f t="shared" ref="A7891:A7896" si="362">"6211160725"</f>
        <v>6211160725</v>
      </c>
      <c r="B7891" t="str">
        <f t="shared" si="361"/>
        <v>89301000</v>
      </c>
      <c r="C7891" s="1">
        <v>44452</v>
      </c>
      <c r="D7891" s="1">
        <v>44461</v>
      </c>
      <c r="E7891">
        <v>1</v>
      </c>
      <c r="F7891" t="s">
        <v>2006</v>
      </c>
      <c r="G7891" t="str">
        <f>"06-M01-03"</f>
        <v>06-M01-03</v>
      </c>
      <c r="H7891">
        <v>0.82450000000000001</v>
      </c>
      <c r="I7891" t="s">
        <v>5639</v>
      </c>
      <c r="J7891" t="s">
        <v>14</v>
      </c>
      <c r="K7891" t="str">
        <f t="shared" ref="K7891:K7896" si="363">"4F2"</f>
        <v>4F2</v>
      </c>
      <c r="L7891" t="s">
        <v>15</v>
      </c>
    </row>
    <row r="7892" spans="1:12" x14ac:dyDescent="0.25">
      <c r="A7892" t="str">
        <f t="shared" si="362"/>
        <v>6211160725</v>
      </c>
      <c r="B7892" t="str">
        <f t="shared" si="361"/>
        <v>89301000</v>
      </c>
      <c r="C7892" s="1">
        <v>44306</v>
      </c>
      <c r="D7892" s="1">
        <v>44312</v>
      </c>
      <c r="E7892">
        <v>1</v>
      </c>
      <c r="F7892" t="s">
        <v>2006</v>
      </c>
      <c r="G7892" t="str">
        <f>"06-K13-02"</f>
        <v>06-K13-02</v>
      </c>
      <c r="H7892">
        <v>0.60880000000000001</v>
      </c>
      <c r="I7892" t="s">
        <v>2556</v>
      </c>
      <c r="J7892" t="s">
        <v>14</v>
      </c>
      <c r="K7892" t="str">
        <f t="shared" si="363"/>
        <v>4F2</v>
      </c>
      <c r="L7892" t="s">
        <v>15</v>
      </c>
    </row>
    <row r="7893" spans="1:12" x14ac:dyDescent="0.25">
      <c r="A7893" t="str">
        <f t="shared" si="362"/>
        <v>6211160725</v>
      </c>
      <c r="B7893" t="str">
        <f t="shared" si="361"/>
        <v>89301000</v>
      </c>
      <c r="C7893" s="1">
        <v>44530</v>
      </c>
      <c r="D7893" s="1">
        <v>44532</v>
      </c>
      <c r="E7893">
        <v>1</v>
      </c>
      <c r="F7893" t="s">
        <v>2006</v>
      </c>
      <c r="G7893" t="str">
        <f>"06-K13-01"</f>
        <v>06-K13-01</v>
      </c>
      <c r="H7893">
        <v>1.0835999999999999</v>
      </c>
      <c r="I7893" t="s">
        <v>5640</v>
      </c>
      <c r="J7893" t="s">
        <v>14</v>
      </c>
      <c r="K7893" t="str">
        <f t="shared" si="363"/>
        <v>4F2</v>
      </c>
      <c r="L7893" t="s">
        <v>15</v>
      </c>
    </row>
    <row r="7894" spans="1:12" x14ac:dyDescent="0.25">
      <c r="A7894" t="str">
        <f t="shared" si="362"/>
        <v>6211160725</v>
      </c>
      <c r="B7894" t="str">
        <f t="shared" si="361"/>
        <v>89301000</v>
      </c>
      <c r="C7894" s="1">
        <v>44348</v>
      </c>
      <c r="D7894" s="1">
        <v>44353</v>
      </c>
      <c r="E7894">
        <v>1</v>
      </c>
      <c r="F7894" t="s">
        <v>2006</v>
      </c>
      <c r="G7894" t="str">
        <f>"06-K13-02"</f>
        <v>06-K13-02</v>
      </c>
      <c r="H7894">
        <v>0.60880000000000001</v>
      </c>
      <c r="I7894" t="s">
        <v>2556</v>
      </c>
      <c r="J7894" t="s">
        <v>14</v>
      </c>
      <c r="K7894" t="str">
        <f t="shared" si="363"/>
        <v>4F2</v>
      </c>
      <c r="L7894" t="s">
        <v>15</v>
      </c>
    </row>
    <row r="7895" spans="1:12" x14ac:dyDescent="0.25">
      <c r="A7895" t="str">
        <f t="shared" si="362"/>
        <v>6211160725</v>
      </c>
      <c r="B7895" t="str">
        <f t="shared" si="361"/>
        <v>89301000</v>
      </c>
      <c r="C7895" s="1">
        <v>44327</v>
      </c>
      <c r="D7895" s="1">
        <v>44332</v>
      </c>
      <c r="E7895">
        <v>1</v>
      </c>
      <c r="F7895" t="s">
        <v>2006</v>
      </c>
      <c r="G7895" t="str">
        <f>"06-K13-02"</f>
        <v>06-K13-02</v>
      </c>
      <c r="H7895">
        <v>0.60880000000000001</v>
      </c>
      <c r="I7895" t="s">
        <v>2556</v>
      </c>
      <c r="J7895" t="s">
        <v>14</v>
      </c>
      <c r="K7895" t="str">
        <f t="shared" si="363"/>
        <v>4F2</v>
      </c>
      <c r="L7895" t="s">
        <v>15</v>
      </c>
    </row>
    <row r="7896" spans="1:12" x14ac:dyDescent="0.25">
      <c r="A7896" t="str">
        <f t="shared" si="362"/>
        <v>6211160725</v>
      </c>
      <c r="B7896" t="str">
        <f t="shared" si="361"/>
        <v>89301000</v>
      </c>
      <c r="C7896" s="1">
        <v>44545</v>
      </c>
      <c r="D7896" s="1">
        <v>44547</v>
      </c>
      <c r="E7896">
        <v>1</v>
      </c>
      <c r="F7896" t="s">
        <v>2006</v>
      </c>
      <c r="G7896" t="str">
        <f>"06-C02-02"</f>
        <v>06-C02-02</v>
      </c>
      <c r="H7896">
        <v>0.34710000000000002</v>
      </c>
      <c r="I7896" t="s">
        <v>2739</v>
      </c>
      <c r="J7896" t="s">
        <v>14</v>
      </c>
      <c r="K7896" t="str">
        <f t="shared" si="363"/>
        <v>4F2</v>
      </c>
      <c r="L7896" t="s">
        <v>15</v>
      </c>
    </row>
    <row r="7897" spans="1:12" x14ac:dyDescent="0.25">
      <c r="A7897" t="str">
        <f>"6211161891"</f>
        <v>6211161891</v>
      </c>
      <c r="B7897" t="str">
        <f t="shared" si="361"/>
        <v>89301000</v>
      </c>
      <c r="C7897" s="1">
        <v>44206</v>
      </c>
      <c r="D7897" s="1">
        <v>44208</v>
      </c>
      <c r="E7897">
        <v>1</v>
      </c>
      <c r="F7897" t="s">
        <v>689</v>
      </c>
      <c r="G7897" t="str">
        <f>"03-I14-02"</f>
        <v>03-I14-02</v>
      </c>
      <c r="H7897">
        <v>1.1086</v>
      </c>
      <c r="J7897" t="s">
        <v>14</v>
      </c>
      <c r="K7897" t="str">
        <f>"7F1"</f>
        <v>7F1</v>
      </c>
      <c r="L7897" t="s">
        <v>15</v>
      </c>
    </row>
    <row r="7898" spans="1:12" x14ac:dyDescent="0.25">
      <c r="A7898" t="str">
        <f>"6211170856"</f>
        <v>6211170856</v>
      </c>
      <c r="B7898" t="str">
        <f t="shared" si="361"/>
        <v>89301000</v>
      </c>
      <c r="C7898" s="1">
        <v>44502</v>
      </c>
      <c r="D7898" s="1">
        <v>44504</v>
      </c>
      <c r="E7898">
        <v>1</v>
      </c>
      <c r="F7898" t="s">
        <v>1875</v>
      </c>
      <c r="G7898" t="str">
        <f>"05-M05-02"</f>
        <v>05-M05-02</v>
      </c>
      <c r="H7898">
        <v>3.516</v>
      </c>
      <c r="I7898" t="s">
        <v>489</v>
      </c>
      <c r="J7898" t="s">
        <v>24</v>
      </c>
      <c r="K7898" t="str">
        <f>"1F1"</f>
        <v>1F1</v>
      </c>
      <c r="L7898" t="s">
        <v>15</v>
      </c>
    </row>
    <row r="7899" spans="1:12" x14ac:dyDescent="0.25">
      <c r="A7899" t="str">
        <f>"6211201216"</f>
        <v>6211201216</v>
      </c>
      <c r="B7899" t="str">
        <f t="shared" si="361"/>
        <v>89301000</v>
      </c>
      <c r="C7899" s="1">
        <v>44230</v>
      </c>
      <c r="D7899" s="1">
        <v>44232</v>
      </c>
      <c r="E7899">
        <v>1</v>
      </c>
      <c r="F7899" t="s">
        <v>1914</v>
      </c>
      <c r="G7899" t="str">
        <f>"04-K09-03"</f>
        <v>04-K09-03</v>
      </c>
      <c r="H7899">
        <v>0.62749999999999995</v>
      </c>
      <c r="I7899" t="s">
        <v>5641</v>
      </c>
      <c r="J7899" t="s">
        <v>14</v>
      </c>
      <c r="K7899" t="str">
        <f>"2F5"</f>
        <v>2F5</v>
      </c>
      <c r="L7899" t="s">
        <v>15</v>
      </c>
    </row>
    <row r="7900" spans="1:12" x14ac:dyDescent="0.25">
      <c r="A7900" t="str">
        <f>"6211210390"</f>
        <v>6211210390</v>
      </c>
      <c r="B7900" t="str">
        <f t="shared" si="361"/>
        <v>89301000</v>
      </c>
      <c r="C7900" s="1">
        <v>44331</v>
      </c>
      <c r="D7900" s="1">
        <v>44335</v>
      </c>
      <c r="E7900">
        <v>1</v>
      </c>
      <c r="F7900" t="s">
        <v>1553</v>
      </c>
      <c r="G7900" t="str">
        <f>"04-K05-03"</f>
        <v>04-K05-03</v>
      </c>
      <c r="H7900">
        <v>0.74980000000000002</v>
      </c>
      <c r="I7900" t="s">
        <v>5642</v>
      </c>
      <c r="J7900" t="s">
        <v>14</v>
      </c>
      <c r="K7900" t="str">
        <f>"1F1"</f>
        <v>1F1</v>
      </c>
      <c r="L7900" t="s">
        <v>15</v>
      </c>
    </row>
    <row r="7901" spans="1:12" x14ac:dyDescent="0.25">
      <c r="A7901" t="str">
        <f>"6212070843"</f>
        <v>6212070843</v>
      </c>
      <c r="B7901" t="str">
        <f t="shared" si="361"/>
        <v>89301000</v>
      </c>
      <c r="C7901" s="1">
        <v>44364</v>
      </c>
      <c r="D7901" s="1">
        <v>44370</v>
      </c>
      <c r="E7901">
        <v>1</v>
      </c>
      <c r="F7901" t="s">
        <v>2232</v>
      </c>
      <c r="G7901" t="str">
        <f>"11-I07-01"</f>
        <v>11-I07-01</v>
      </c>
      <c r="H7901">
        <v>2.5975999999999999</v>
      </c>
      <c r="I7901" t="s">
        <v>1868</v>
      </c>
      <c r="J7901" t="s">
        <v>14</v>
      </c>
      <c r="K7901" t="str">
        <f>"7F6"</f>
        <v>7F6</v>
      </c>
      <c r="L7901" t="s">
        <v>15</v>
      </c>
    </row>
    <row r="7902" spans="1:12" x14ac:dyDescent="0.25">
      <c r="A7902" t="str">
        <f>"6212090192"</f>
        <v>6212090192</v>
      </c>
      <c r="B7902" t="str">
        <f t="shared" si="361"/>
        <v>89301000</v>
      </c>
      <c r="C7902" s="1">
        <v>44197</v>
      </c>
      <c r="D7902" s="1">
        <v>44202</v>
      </c>
      <c r="E7902">
        <v>1</v>
      </c>
      <c r="F7902" t="s">
        <v>1164</v>
      </c>
      <c r="G7902" t="str">
        <f>"01-K03-06"</f>
        <v>01-K03-06</v>
      </c>
      <c r="H7902">
        <v>0.80789999999999995</v>
      </c>
      <c r="I7902" t="s">
        <v>5643</v>
      </c>
      <c r="J7902" t="s">
        <v>14</v>
      </c>
      <c r="K7902" t="str">
        <f>"2F9"</f>
        <v>2F9</v>
      </c>
      <c r="L7902" t="s">
        <v>15</v>
      </c>
    </row>
    <row r="7903" spans="1:12" x14ac:dyDescent="0.25">
      <c r="A7903" t="str">
        <f>"6212090192"</f>
        <v>6212090192</v>
      </c>
      <c r="B7903" t="str">
        <f t="shared" si="361"/>
        <v>89301000</v>
      </c>
      <c r="C7903" s="1">
        <v>44406</v>
      </c>
      <c r="D7903" s="1">
        <v>44425</v>
      </c>
      <c r="E7903">
        <v>4</v>
      </c>
      <c r="F7903" t="s">
        <v>562</v>
      </c>
      <c r="G7903" t="str">
        <f>"01-K03-06"</f>
        <v>01-K03-06</v>
      </c>
      <c r="H7903">
        <v>1.2881</v>
      </c>
      <c r="I7903" t="s">
        <v>5644</v>
      </c>
      <c r="J7903" t="s">
        <v>14</v>
      </c>
      <c r="K7903" t="str">
        <f>"2F9"</f>
        <v>2F9</v>
      </c>
      <c r="L7903" t="s">
        <v>15</v>
      </c>
    </row>
    <row r="7904" spans="1:12" x14ac:dyDescent="0.25">
      <c r="A7904" t="str">
        <f>"6212190259"</f>
        <v>6212190259</v>
      </c>
      <c r="B7904" t="str">
        <f t="shared" si="361"/>
        <v>89301000</v>
      </c>
      <c r="C7904" s="1">
        <v>44223</v>
      </c>
      <c r="D7904" s="1">
        <v>44231</v>
      </c>
      <c r="E7904">
        <v>1</v>
      </c>
      <c r="F7904" t="s">
        <v>3279</v>
      </c>
      <c r="G7904" t="str">
        <f>"11-I04-02"</f>
        <v>11-I04-02</v>
      </c>
      <c r="H7904">
        <v>2.8098999999999998</v>
      </c>
      <c r="I7904" t="s">
        <v>5645</v>
      </c>
      <c r="J7904" t="s">
        <v>17</v>
      </c>
      <c r="K7904" t="str">
        <f>"7F6"</f>
        <v>7F6</v>
      </c>
      <c r="L7904" t="s">
        <v>15</v>
      </c>
    </row>
    <row r="7905" spans="1:12" x14ac:dyDescent="0.25">
      <c r="A7905" t="str">
        <f>"6212220421"</f>
        <v>6212220421</v>
      </c>
      <c r="B7905" t="str">
        <f t="shared" si="361"/>
        <v>89301000</v>
      </c>
      <c r="C7905" s="1">
        <v>44500</v>
      </c>
      <c r="D7905" s="1">
        <v>44503</v>
      </c>
      <c r="E7905">
        <v>1</v>
      </c>
      <c r="F7905" t="s">
        <v>173</v>
      </c>
      <c r="G7905" t="str">
        <f>"08-I32-02"</f>
        <v>08-I32-02</v>
      </c>
      <c r="H7905">
        <v>0.4143</v>
      </c>
      <c r="J7905" t="s">
        <v>14</v>
      </c>
      <c r="K7905" t="str">
        <f>"6F6"</f>
        <v>6F6</v>
      </c>
      <c r="L7905" t="s">
        <v>15</v>
      </c>
    </row>
    <row r="7906" spans="1:12" x14ac:dyDescent="0.25">
      <c r="A7906" t="str">
        <f>"6212281130"</f>
        <v>6212281130</v>
      </c>
      <c r="B7906" t="str">
        <f t="shared" si="361"/>
        <v>89301000</v>
      </c>
      <c r="C7906" s="1">
        <v>44444</v>
      </c>
      <c r="D7906" s="1">
        <v>44447</v>
      </c>
      <c r="E7906">
        <v>1</v>
      </c>
      <c r="F7906" t="s">
        <v>309</v>
      </c>
      <c r="G7906" t="str">
        <f>"08-M03-05"</f>
        <v>08-M03-05</v>
      </c>
      <c r="H7906">
        <v>0.51759999999999995</v>
      </c>
      <c r="J7906" t="s">
        <v>14</v>
      </c>
      <c r="K7906" t="str">
        <f>"6F6"</f>
        <v>6F6</v>
      </c>
      <c r="L7906" t="s">
        <v>15</v>
      </c>
    </row>
    <row r="7907" spans="1:12" x14ac:dyDescent="0.25">
      <c r="A7907" t="str">
        <f>"6212290326"</f>
        <v>6212290326</v>
      </c>
      <c r="B7907" t="str">
        <f t="shared" si="361"/>
        <v>89301000</v>
      </c>
      <c r="C7907" s="1">
        <v>44201</v>
      </c>
      <c r="D7907" s="1">
        <v>44201</v>
      </c>
      <c r="E7907">
        <v>1</v>
      </c>
      <c r="F7907" t="s">
        <v>1557</v>
      </c>
      <c r="G7907" t="str">
        <f>"05-D01-08"</f>
        <v>05-D01-08</v>
      </c>
      <c r="H7907">
        <v>0.21890000000000001</v>
      </c>
      <c r="J7907" t="s">
        <v>14</v>
      </c>
      <c r="K7907" t="str">
        <f>"1F7"</f>
        <v>1F7</v>
      </c>
      <c r="L7907" t="s">
        <v>15</v>
      </c>
    </row>
    <row r="7908" spans="1:12" x14ac:dyDescent="0.25">
      <c r="A7908" t="str">
        <f>"6251180045"</f>
        <v>6251180045</v>
      </c>
      <c r="B7908" t="str">
        <f t="shared" si="361"/>
        <v>89301000</v>
      </c>
      <c r="C7908" s="1">
        <v>44399</v>
      </c>
      <c r="D7908" s="1">
        <v>44405</v>
      </c>
      <c r="E7908">
        <v>1</v>
      </c>
      <c r="F7908" t="s">
        <v>4550</v>
      </c>
      <c r="G7908" t="str">
        <f>"08-K01-03"</f>
        <v>08-K01-03</v>
      </c>
      <c r="H7908">
        <v>0.65310000000000001</v>
      </c>
      <c r="I7908" t="s">
        <v>5646</v>
      </c>
      <c r="J7908" t="s">
        <v>14</v>
      </c>
      <c r="K7908" t="str">
        <f>"1F9"</f>
        <v>1F9</v>
      </c>
      <c r="L7908" t="s">
        <v>15</v>
      </c>
    </row>
    <row r="7909" spans="1:12" x14ac:dyDescent="0.25">
      <c r="A7909" t="str">
        <f>"6251180804"</f>
        <v>6251180804</v>
      </c>
      <c r="B7909" t="str">
        <f t="shared" si="361"/>
        <v>89301000</v>
      </c>
      <c r="C7909" s="1">
        <v>44468</v>
      </c>
      <c r="D7909" s="1">
        <v>44470</v>
      </c>
      <c r="E7909">
        <v>1</v>
      </c>
      <c r="F7909" t="s">
        <v>5527</v>
      </c>
      <c r="G7909" t="str">
        <f>"01-K18-04"</f>
        <v>01-K18-04</v>
      </c>
      <c r="H7909">
        <v>0.49890000000000001</v>
      </c>
      <c r="I7909" t="s">
        <v>5647</v>
      </c>
      <c r="J7909" t="s">
        <v>14</v>
      </c>
      <c r="K7909" t="str">
        <f>"2F9"</f>
        <v>2F9</v>
      </c>
      <c r="L7909" t="s">
        <v>15</v>
      </c>
    </row>
    <row r="7910" spans="1:12" x14ac:dyDescent="0.25">
      <c r="A7910" t="str">
        <f>"6251220030"</f>
        <v>6251220030</v>
      </c>
      <c r="B7910" t="str">
        <f t="shared" si="361"/>
        <v>89301000</v>
      </c>
      <c r="C7910" s="1">
        <v>44327</v>
      </c>
      <c r="D7910" s="1">
        <v>44334</v>
      </c>
      <c r="E7910">
        <v>1</v>
      </c>
      <c r="F7910" t="s">
        <v>2089</v>
      </c>
      <c r="G7910" t="str">
        <f>"08-K08-00"</f>
        <v>08-K08-00</v>
      </c>
      <c r="H7910">
        <v>0.51670000000000005</v>
      </c>
      <c r="I7910" t="s">
        <v>453</v>
      </c>
      <c r="J7910" t="s">
        <v>14</v>
      </c>
      <c r="K7910" t="str">
        <f>"2F9"</f>
        <v>2F9</v>
      </c>
      <c r="L7910" t="s">
        <v>15</v>
      </c>
    </row>
    <row r="7911" spans="1:12" x14ac:dyDescent="0.25">
      <c r="A7911" t="str">
        <f>"6251270014"</f>
        <v>6251270014</v>
      </c>
      <c r="B7911" t="str">
        <f t="shared" si="361"/>
        <v>89301000</v>
      </c>
      <c r="C7911" s="1">
        <v>44230</v>
      </c>
      <c r="D7911" s="1">
        <v>44233</v>
      </c>
      <c r="E7911">
        <v>1</v>
      </c>
      <c r="F7911" t="s">
        <v>2407</v>
      </c>
      <c r="G7911" t="str">
        <f>"08-M03-05"</f>
        <v>08-M03-05</v>
      </c>
      <c r="H7911">
        <v>0.51759999999999995</v>
      </c>
      <c r="I7911" t="s">
        <v>5648</v>
      </c>
      <c r="J7911" t="s">
        <v>14</v>
      </c>
      <c r="K7911" t="str">
        <f>"6F6"</f>
        <v>6F6</v>
      </c>
      <c r="L7911" t="s">
        <v>15</v>
      </c>
    </row>
    <row r="7912" spans="1:12" x14ac:dyDescent="0.25">
      <c r="A7912" t="str">
        <f>"6252071716"</f>
        <v>6252071716</v>
      </c>
      <c r="B7912" t="str">
        <f t="shared" si="361"/>
        <v>89301000</v>
      </c>
      <c r="C7912" s="1">
        <v>44413</v>
      </c>
      <c r="D7912" s="1">
        <v>44416</v>
      </c>
      <c r="E7912">
        <v>1</v>
      </c>
      <c r="F7912" t="s">
        <v>1555</v>
      </c>
      <c r="G7912" t="str">
        <f>"05-M07-04"</f>
        <v>05-M07-04</v>
      </c>
      <c r="H7912">
        <v>1.7799</v>
      </c>
      <c r="I7912" t="s">
        <v>5649</v>
      </c>
      <c r="J7912" t="s">
        <v>17</v>
      </c>
      <c r="K7912" t="str">
        <f>"5F1"</f>
        <v>5F1</v>
      </c>
      <c r="L7912" t="s">
        <v>15</v>
      </c>
    </row>
    <row r="7913" spans="1:12" x14ac:dyDescent="0.25">
      <c r="A7913" t="str">
        <f>"6252150498"</f>
        <v>6252150498</v>
      </c>
      <c r="B7913" t="str">
        <f t="shared" si="361"/>
        <v>89301000</v>
      </c>
      <c r="C7913" s="1">
        <v>44402</v>
      </c>
      <c r="D7913" s="1">
        <v>44410</v>
      </c>
      <c r="E7913">
        <v>1</v>
      </c>
      <c r="F7913" t="s">
        <v>1581</v>
      </c>
      <c r="G7913" t="str">
        <f>"05-M07-01"</f>
        <v>05-M07-01</v>
      </c>
      <c r="H7913">
        <v>4.6355000000000004</v>
      </c>
      <c r="I7913" t="s">
        <v>5650</v>
      </c>
      <c r="J7913" t="s">
        <v>17</v>
      </c>
      <c r="K7913" t="str">
        <f>"5F1"</f>
        <v>5F1</v>
      </c>
      <c r="L7913" t="s">
        <v>15</v>
      </c>
    </row>
    <row r="7914" spans="1:12" x14ac:dyDescent="0.25">
      <c r="A7914" t="str">
        <f>"6252151048"</f>
        <v>6252151048</v>
      </c>
      <c r="B7914" t="str">
        <f t="shared" si="361"/>
        <v>89301000</v>
      </c>
      <c r="C7914" s="1">
        <v>44526</v>
      </c>
      <c r="D7914" s="1">
        <v>44532</v>
      </c>
      <c r="E7914">
        <v>5</v>
      </c>
      <c r="F7914" t="s">
        <v>2146</v>
      </c>
      <c r="G7914" t="str">
        <f>"06-K14-01"</f>
        <v>06-K14-01</v>
      </c>
      <c r="H7914">
        <v>1.17</v>
      </c>
      <c r="I7914" t="s">
        <v>5651</v>
      </c>
      <c r="J7914" t="s">
        <v>14</v>
      </c>
      <c r="K7914" t="str">
        <f>"4F2"</f>
        <v>4F2</v>
      </c>
      <c r="L7914" t="s">
        <v>15</v>
      </c>
    </row>
    <row r="7915" spans="1:12" x14ac:dyDescent="0.25">
      <c r="A7915" t="str">
        <f>"6252160673"</f>
        <v>6252160673</v>
      </c>
      <c r="B7915" t="str">
        <f t="shared" si="361"/>
        <v>89301000</v>
      </c>
      <c r="C7915" s="1">
        <v>44424</v>
      </c>
      <c r="D7915" s="1">
        <v>44426</v>
      </c>
      <c r="E7915">
        <v>1</v>
      </c>
      <c r="F7915" t="s">
        <v>292</v>
      </c>
      <c r="G7915" t="str">
        <f>"08-I17-02"</f>
        <v>08-I17-02</v>
      </c>
      <c r="H7915">
        <v>1.0482</v>
      </c>
      <c r="I7915" t="s">
        <v>4406</v>
      </c>
      <c r="J7915" t="s">
        <v>14</v>
      </c>
      <c r="K7915" t="str">
        <f>"5F3"</f>
        <v>5F3</v>
      </c>
      <c r="L7915" t="s">
        <v>15</v>
      </c>
    </row>
    <row r="7916" spans="1:12" x14ac:dyDescent="0.25">
      <c r="A7916" t="str">
        <f>"6253070054"</f>
        <v>6253070054</v>
      </c>
      <c r="B7916" t="str">
        <f t="shared" si="361"/>
        <v>89301000</v>
      </c>
      <c r="C7916" s="1">
        <v>44284</v>
      </c>
      <c r="D7916" s="1">
        <v>44285</v>
      </c>
      <c r="E7916">
        <v>1</v>
      </c>
      <c r="F7916" t="s">
        <v>1805</v>
      </c>
      <c r="G7916" t="str">
        <f>"13-I19-00"</f>
        <v>13-I19-00</v>
      </c>
      <c r="H7916">
        <v>0.24679999999999999</v>
      </c>
      <c r="J7916" t="s">
        <v>14</v>
      </c>
      <c r="K7916" t="str">
        <f>"6F3"</f>
        <v>6F3</v>
      </c>
      <c r="L7916" t="s">
        <v>15</v>
      </c>
    </row>
    <row r="7917" spans="1:12" x14ac:dyDescent="0.25">
      <c r="A7917" t="str">
        <f>"6253081912"</f>
        <v>6253081912</v>
      </c>
      <c r="B7917" t="str">
        <f t="shared" si="361"/>
        <v>89301000</v>
      </c>
      <c r="C7917" s="1">
        <v>44300</v>
      </c>
      <c r="D7917" s="1">
        <v>44307</v>
      </c>
      <c r="E7917">
        <v>1</v>
      </c>
      <c r="F7917" t="s">
        <v>43</v>
      </c>
      <c r="G7917" t="str">
        <f>"88-I06-00"</f>
        <v>88-I06-00</v>
      </c>
      <c r="H7917">
        <v>0.11459999999999999</v>
      </c>
      <c r="I7917" t="s">
        <v>5652</v>
      </c>
      <c r="J7917" t="s">
        <v>14</v>
      </c>
      <c r="K7917" t="str">
        <f>"5F1"</f>
        <v>5F1</v>
      </c>
      <c r="L7917" t="s">
        <v>15</v>
      </c>
    </row>
    <row r="7918" spans="1:12" x14ac:dyDescent="0.25">
      <c r="A7918" t="str">
        <f>"6253100040"</f>
        <v>6253100040</v>
      </c>
      <c r="B7918" t="str">
        <f t="shared" si="361"/>
        <v>89301000</v>
      </c>
      <c r="C7918" s="1">
        <v>44424</v>
      </c>
      <c r="D7918" s="1">
        <v>44426</v>
      </c>
      <c r="E7918">
        <v>1</v>
      </c>
      <c r="F7918" t="s">
        <v>2541</v>
      </c>
      <c r="G7918" t="str">
        <f>"13-I19-00"</f>
        <v>13-I19-00</v>
      </c>
      <c r="H7918">
        <v>0.24679999999999999</v>
      </c>
      <c r="J7918" t="s">
        <v>14</v>
      </c>
      <c r="K7918" t="str">
        <f>"6F3"</f>
        <v>6F3</v>
      </c>
      <c r="L7918" t="s">
        <v>15</v>
      </c>
    </row>
    <row r="7919" spans="1:12" x14ac:dyDescent="0.25">
      <c r="A7919" t="str">
        <f>"6253101360"</f>
        <v>6253101360</v>
      </c>
      <c r="B7919" t="str">
        <f t="shared" si="361"/>
        <v>89301000</v>
      </c>
      <c r="C7919" s="1">
        <v>44350</v>
      </c>
      <c r="D7919" s="1">
        <v>44353</v>
      </c>
      <c r="E7919">
        <v>1</v>
      </c>
      <c r="F7919" t="s">
        <v>1551</v>
      </c>
      <c r="G7919" t="str">
        <f>"09-I06-04"</f>
        <v>09-I06-04</v>
      </c>
      <c r="H7919">
        <v>0.98829999999999996</v>
      </c>
      <c r="J7919" t="s">
        <v>17</v>
      </c>
      <c r="K7919" t="str">
        <f>"5F1"</f>
        <v>5F1</v>
      </c>
      <c r="L7919" t="s">
        <v>15</v>
      </c>
    </row>
    <row r="7920" spans="1:12" x14ac:dyDescent="0.25">
      <c r="A7920" t="str">
        <f>"6253160221"</f>
        <v>6253160221</v>
      </c>
      <c r="B7920" t="str">
        <f t="shared" si="361"/>
        <v>89301000</v>
      </c>
      <c r="C7920" s="1">
        <v>44239</v>
      </c>
      <c r="D7920" s="1">
        <v>44240</v>
      </c>
      <c r="E7920">
        <v>1</v>
      </c>
      <c r="F7920" t="s">
        <v>41</v>
      </c>
      <c r="G7920" t="str">
        <f>"01-D01-03"</f>
        <v>01-D01-03</v>
      </c>
      <c r="H7920">
        <v>0.158</v>
      </c>
      <c r="I7920" t="s">
        <v>5653</v>
      </c>
      <c r="J7920" t="s">
        <v>14</v>
      </c>
      <c r="K7920" t="str">
        <f>"2F5"</f>
        <v>2F5</v>
      </c>
      <c r="L7920" t="s">
        <v>15</v>
      </c>
    </row>
    <row r="7921" spans="1:12" x14ac:dyDescent="0.25">
      <c r="A7921" t="str">
        <f>"6253191010"</f>
        <v>6253191010</v>
      </c>
      <c r="B7921" t="str">
        <f t="shared" si="361"/>
        <v>89301000</v>
      </c>
      <c r="C7921" s="1">
        <v>44476</v>
      </c>
      <c r="D7921" s="1">
        <v>44477</v>
      </c>
      <c r="E7921">
        <v>1</v>
      </c>
      <c r="F7921" t="s">
        <v>1545</v>
      </c>
      <c r="G7921" t="str">
        <f>"05-D01-06"</f>
        <v>05-D01-06</v>
      </c>
      <c r="H7921">
        <v>0.7611</v>
      </c>
      <c r="I7921" t="s">
        <v>5654</v>
      </c>
      <c r="J7921" t="s">
        <v>14</v>
      </c>
      <c r="K7921" t="str">
        <f>"1F1"</f>
        <v>1F1</v>
      </c>
      <c r="L7921" t="s">
        <v>15</v>
      </c>
    </row>
    <row r="7922" spans="1:12" x14ac:dyDescent="0.25">
      <c r="A7922" t="str">
        <f>"6253251862"</f>
        <v>6253251862</v>
      </c>
      <c r="B7922" t="str">
        <f t="shared" si="361"/>
        <v>89301000</v>
      </c>
      <c r="C7922" s="1">
        <v>44215</v>
      </c>
      <c r="D7922" s="1">
        <v>44217</v>
      </c>
      <c r="E7922">
        <v>1</v>
      </c>
      <c r="F7922" t="s">
        <v>4346</v>
      </c>
      <c r="G7922" t="str">
        <f>"04-K07-03"</f>
        <v>04-K07-03</v>
      </c>
      <c r="H7922">
        <v>0.66259999999999997</v>
      </c>
      <c r="I7922" t="s">
        <v>5655</v>
      </c>
      <c r="J7922" t="s">
        <v>14</v>
      </c>
      <c r="K7922" t="str">
        <f>"2F5"</f>
        <v>2F5</v>
      </c>
      <c r="L7922" t="s">
        <v>15</v>
      </c>
    </row>
    <row r="7923" spans="1:12" x14ac:dyDescent="0.25">
      <c r="A7923" t="str">
        <f>"6253301802"</f>
        <v>6253301802</v>
      </c>
      <c r="B7923" t="str">
        <f t="shared" si="361"/>
        <v>89301000</v>
      </c>
      <c r="C7923" s="1">
        <v>44435</v>
      </c>
      <c r="D7923" s="1">
        <v>44436</v>
      </c>
      <c r="E7923">
        <v>1</v>
      </c>
      <c r="F7923" t="s">
        <v>260</v>
      </c>
      <c r="G7923" t="str">
        <f>"03-K06-01"</f>
        <v>03-K06-01</v>
      </c>
      <c r="H7923">
        <v>0.4718</v>
      </c>
      <c r="I7923" t="s">
        <v>5656</v>
      </c>
      <c r="J7923" t="s">
        <v>14</v>
      </c>
      <c r="K7923" t="str">
        <f>"7F1"</f>
        <v>7F1</v>
      </c>
      <c r="L7923" t="s">
        <v>15</v>
      </c>
    </row>
    <row r="7924" spans="1:12" x14ac:dyDescent="0.25">
      <c r="A7924" t="str">
        <f>"6254020058"</f>
        <v>6254020058</v>
      </c>
      <c r="B7924" t="str">
        <f t="shared" si="361"/>
        <v>89301000</v>
      </c>
      <c r="C7924" s="1">
        <v>44285</v>
      </c>
      <c r="D7924" s="1">
        <v>44319</v>
      </c>
      <c r="E7924">
        <v>1</v>
      </c>
      <c r="F7924" t="s">
        <v>4533</v>
      </c>
      <c r="G7924" t="str">
        <f>"19-K07-02"</f>
        <v>19-K07-02</v>
      </c>
      <c r="H7924">
        <v>2.8759999999999999</v>
      </c>
      <c r="I7924" t="s">
        <v>5657</v>
      </c>
      <c r="J7924" t="s">
        <v>27</v>
      </c>
      <c r="K7924" t="str">
        <f>"3F5"</f>
        <v>3F5</v>
      </c>
      <c r="L7924" t="s">
        <v>15</v>
      </c>
    </row>
    <row r="7925" spans="1:12" x14ac:dyDescent="0.25">
      <c r="A7925" t="str">
        <f>"6254160033"</f>
        <v>6254160033</v>
      </c>
      <c r="B7925" t="str">
        <f t="shared" si="361"/>
        <v>89301000</v>
      </c>
      <c r="C7925" s="1">
        <v>44523</v>
      </c>
      <c r="D7925" s="1">
        <v>44526</v>
      </c>
      <c r="E7925">
        <v>1</v>
      </c>
      <c r="F7925" t="s">
        <v>5658</v>
      </c>
      <c r="G7925" t="str">
        <f>"08-M03-05"</f>
        <v>08-M03-05</v>
      </c>
      <c r="H7925">
        <v>0.51759999999999995</v>
      </c>
      <c r="I7925" t="s">
        <v>5659</v>
      </c>
      <c r="J7925" t="s">
        <v>14</v>
      </c>
      <c r="K7925" t="str">
        <f>"6F6"</f>
        <v>6F6</v>
      </c>
      <c r="L7925" t="s">
        <v>15</v>
      </c>
    </row>
    <row r="7926" spans="1:12" x14ac:dyDescent="0.25">
      <c r="A7926" t="str">
        <f>"6254210226"</f>
        <v>6254210226</v>
      </c>
      <c r="B7926" t="str">
        <f t="shared" si="361"/>
        <v>89301000</v>
      </c>
      <c r="C7926" s="1">
        <v>44474</v>
      </c>
      <c r="D7926" s="1">
        <v>44480</v>
      </c>
      <c r="E7926">
        <v>1</v>
      </c>
      <c r="F7926" t="s">
        <v>2001</v>
      </c>
      <c r="G7926" t="str">
        <f>"06-I15-00"</f>
        <v>06-I15-00</v>
      </c>
      <c r="H7926">
        <v>1.9151</v>
      </c>
      <c r="J7926" t="s">
        <v>24</v>
      </c>
      <c r="K7926" t="str">
        <f>"5F1"</f>
        <v>5F1</v>
      </c>
      <c r="L7926" t="s">
        <v>15</v>
      </c>
    </row>
    <row r="7927" spans="1:12" x14ac:dyDescent="0.25">
      <c r="A7927" t="str">
        <f>"6254220203"</f>
        <v>6254220203</v>
      </c>
      <c r="B7927" t="str">
        <f t="shared" si="361"/>
        <v>89301000</v>
      </c>
      <c r="C7927" s="1">
        <v>44455</v>
      </c>
      <c r="D7927" s="1">
        <v>44459</v>
      </c>
      <c r="E7927">
        <v>1</v>
      </c>
      <c r="F7927" t="s">
        <v>81</v>
      </c>
      <c r="G7927" t="str">
        <f>"10-I13-02"</f>
        <v>10-I13-02</v>
      </c>
      <c r="H7927">
        <v>1.1468</v>
      </c>
      <c r="I7927" t="s">
        <v>489</v>
      </c>
      <c r="J7927" t="s">
        <v>24</v>
      </c>
      <c r="K7927" t="str">
        <f>"5F1"</f>
        <v>5F1</v>
      </c>
      <c r="L7927" t="s">
        <v>15</v>
      </c>
    </row>
    <row r="7928" spans="1:12" x14ac:dyDescent="0.25">
      <c r="A7928" t="str">
        <f>"6254282078"</f>
        <v>6254282078</v>
      </c>
      <c r="B7928" t="str">
        <f t="shared" si="361"/>
        <v>89301000</v>
      </c>
      <c r="C7928" s="1">
        <v>44291</v>
      </c>
      <c r="D7928" s="1">
        <v>44297</v>
      </c>
      <c r="E7928">
        <v>1</v>
      </c>
      <c r="F7928" t="s">
        <v>217</v>
      </c>
      <c r="G7928" t="str">
        <f>"04-K02-04"</f>
        <v>04-K02-04</v>
      </c>
      <c r="H7928">
        <v>0.82469999999999999</v>
      </c>
      <c r="I7928" t="s">
        <v>5660</v>
      </c>
      <c r="J7928" t="s">
        <v>14</v>
      </c>
      <c r="K7928" t="str">
        <f>"5F1"</f>
        <v>5F1</v>
      </c>
      <c r="L7928" t="s">
        <v>15</v>
      </c>
    </row>
    <row r="7929" spans="1:12" x14ac:dyDescent="0.25">
      <c r="A7929" t="str">
        <f>"6255040495"</f>
        <v>6255040495</v>
      </c>
      <c r="B7929" t="str">
        <f t="shared" ref="B7929:B7992" si="364">"89301000"</f>
        <v>89301000</v>
      </c>
      <c r="C7929" s="1">
        <v>44325</v>
      </c>
      <c r="D7929" s="1">
        <v>44330</v>
      </c>
      <c r="E7929">
        <v>1</v>
      </c>
      <c r="F7929" t="s">
        <v>144</v>
      </c>
      <c r="G7929" t="str">
        <f>"04-I02-04"</f>
        <v>04-I02-04</v>
      </c>
      <c r="H7929">
        <v>3.1617999999999999</v>
      </c>
      <c r="I7929" t="s">
        <v>5661</v>
      </c>
      <c r="J7929" t="s">
        <v>106</v>
      </c>
      <c r="K7929" t="str">
        <f>"5F1"</f>
        <v>5F1</v>
      </c>
      <c r="L7929" t="s">
        <v>15</v>
      </c>
    </row>
    <row r="7930" spans="1:12" x14ac:dyDescent="0.25">
      <c r="A7930" t="str">
        <f>"6255040495"</f>
        <v>6255040495</v>
      </c>
      <c r="B7930" t="str">
        <f t="shared" si="364"/>
        <v>89301000</v>
      </c>
      <c r="C7930" s="1">
        <v>44208</v>
      </c>
      <c r="D7930" s="1">
        <v>44211</v>
      </c>
      <c r="E7930">
        <v>1</v>
      </c>
      <c r="F7930" t="s">
        <v>144</v>
      </c>
      <c r="G7930" t="str">
        <f>"04-K10-02"</f>
        <v>04-K10-02</v>
      </c>
      <c r="H7930">
        <v>0.41870000000000002</v>
      </c>
      <c r="I7930" t="s">
        <v>5662</v>
      </c>
      <c r="J7930" t="s">
        <v>14</v>
      </c>
      <c r="K7930" t="str">
        <f>"2F5"</f>
        <v>2F5</v>
      </c>
      <c r="L7930" t="s">
        <v>15</v>
      </c>
    </row>
    <row r="7931" spans="1:12" x14ac:dyDescent="0.25">
      <c r="A7931" t="str">
        <f>"6255041936"</f>
        <v>6255041936</v>
      </c>
      <c r="B7931" t="str">
        <f t="shared" si="364"/>
        <v>89301000</v>
      </c>
      <c r="C7931" s="1">
        <v>44509</v>
      </c>
      <c r="D7931" s="1">
        <v>44517</v>
      </c>
      <c r="E7931">
        <v>1</v>
      </c>
      <c r="F7931" t="s">
        <v>1558</v>
      </c>
      <c r="G7931" t="str">
        <f>"05-I12-03"</f>
        <v>05-I12-03</v>
      </c>
      <c r="H7931">
        <v>6.4964000000000004</v>
      </c>
      <c r="J7931" t="s">
        <v>17</v>
      </c>
      <c r="K7931" t="str">
        <f>"5F5"</f>
        <v>5F5</v>
      </c>
      <c r="L7931" t="s">
        <v>15</v>
      </c>
    </row>
    <row r="7932" spans="1:12" x14ac:dyDescent="0.25">
      <c r="A7932" t="str">
        <f>"6255041936"</f>
        <v>6255041936</v>
      </c>
      <c r="B7932" t="str">
        <f t="shared" si="364"/>
        <v>89301000</v>
      </c>
      <c r="C7932" s="1">
        <v>44494</v>
      </c>
      <c r="D7932" s="1">
        <v>44495</v>
      </c>
      <c r="E7932">
        <v>1</v>
      </c>
      <c r="F7932" t="s">
        <v>1558</v>
      </c>
      <c r="G7932" t="str">
        <f>"05-D01-06"</f>
        <v>05-D01-06</v>
      </c>
      <c r="H7932">
        <v>0.7611</v>
      </c>
      <c r="I7932" t="s">
        <v>348</v>
      </c>
      <c r="J7932" t="s">
        <v>14</v>
      </c>
      <c r="K7932" t="str">
        <f>"1F1"</f>
        <v>1F1</v>
      </c>
      <c r="L7932" t="s">
        <v>15</v>
      </c>
    </row>
    <row r="7933" spans="1:12" x14ac:dyDescent="0.25">
      <c r="A7933" t="str">
        <f>"6255070184"</f>
        <v>6255070184</v>
      </c>
      <c r="B7933" t="str">
        <f t="shared" si="364"/>
        <v>89301000</v>
      </c>
      <c r="C7933" s="1">
        <v>44221</v>
      </c>
      <c r="D7933" s="1">
        <v>44225</v>
      </c>
      <c r="E7933">
        <v>1</v>
      </c>
      <c r="F7933" t="s">
        <v>217</v>
      </c>
      <c r="G7933" t="str">
        <f>"04-K02-04"</f>
        <v>04-K02-04</v>
      </c>
      <c r="H7933">
        <v>0.82469999999999999</v>
      </c>
      <c r="I7933" t="s">
        <v>2025</v>
      </c>
      <c r="J7933" t="s">
        <v>14</v>
      </c>
      <c r="K7933" t="str">
        <f>"1F6"</f>
        <v>1F6</v>
      </c>
      <c r="L7933" t="s">
        <v>15</v>
      </c>
    </row>
    <row r="7934" spans="1:12" x14ac:dyDescent="0.25">
      <c r="A7934" t="str">
        <f>"6255100148"</f>
        <v>6255100148</v>
      </c>
      <c r="B7934" t="str">
        <f t="shared" si="364"/>
        <v>89301000</v>
      </c>
      <c r="C7934" s="1">
        <v>44347</v>
      </c>
      <c r="D7934" s="1">
        <v>44349</v>
      </c>
      <c r="E7934">
        <v>1</v>
      </c>
      <c r="F7934" t="s">
        <v>1551</v>
      </c>
      <c r="G7934" t="str">
        <f>"09-I06-04"</f>
        <v>09-I06-04</v>
      </c>
      <c r="H7934">
        <v>0.98829999999999996</v>
      </c>
      <c r="J7934" t="s">
        <v>17</v>
      </c>
      <c r="K7934" t="str">
        <f>"5F1"</f>
        <v>5F1</v>
      </c>
      <c r="L7934" t="s">
        <v>15</v>
      </c>
    </row>
    <row r="7935" spans="1:12" x14ac:dyDescent="0.25">
      <c r="A7935" t="str">
        <f>"6255100159"</f>
        <v>6255100159</v>
      </c>
      <c r="B7935" t="str">
        <f t="shared" si="364"/>
        <v>89301000</v>
      </c>
      <c r="C7935" s="1">
        <v>44333</v>
      </c>
      <c r="D7935" s="1">
        <v>44342</v>
      </c>
      <c r="E7935">
        <v>1</v>
      </c>
      <c r="F7935" t="s">
        <v>109</v>
      </c>
      <c r="G7935" t="str">
        <f>"24-M06-02"</f>
        <v>24-M06-02</v>
      </c>
      <c r="H7935">
        <v>1.0233000000000001</v>
      </c>
      <c r="I7935" t="s">
        <v>5663</v>
      </c>
      <c r="J7935" t="s">
        <v>14</v>
      </c>
      <c r="K7935" t="str">
        <f>"2F1"</f>
        <v>2F1</v>
      </c>
      <c r="L7935" t="s">
        <v>15</v>
      </c>
    </row>
    <row r="7936" spans="1:12" x14ac:dyDescent="0.25">
      <c r="A7936" t="str">
        <f>"6255100159"</f>
        <v>6255100159</v>
      </c>
      <c r="B7936" t="str">
        <f t="shared" si="364"/>
        <v>89301000</v>
      </c>
      <c r="C7936" s="1">
        <v>44218</v>
      </c>
      <c r="D7936" s="1">
        <v>44227</v>
      </c>
      <c r="E7936">
        <v>1</v>
      </c>
      <c r="F7936" t="s">
        <v>109</v>
      </c>
      <c r="G7936" t="str">
        <f>"24-M05-02"</f>
        <v>24-M05-02</v>
      </c>
      <c r="H7936">
        <v>0.58960000000000001</v>
      </c>
      <c r="I7936" t="s">
        <v>5664</v>
      </c>
      <c r="J7936" t="s">
        <v>14</v>
      </c>
      <c r="K7936" t="str">
        <f>"2F1"</f>
        <v>2F1</v>
      </c>
      <c r="L7936" t="s">
        <v>15</v>
      </c>
    </row>
    <row r="7937" spans="1:12" x14ac:dyDescent="0.25">
      <c r="A7937" t="str">
        <f>"6255150979"</f>
        <v>6255150979</v>
      </c>
      <c r="B7937" t="str">
        <f t="shared" si="364"/>
        <v>89301000</v>
      </c>
      <c r="C7937" s="1">
        <v>44349</v>
      </c>
      <c r="D7937" s="1">
        <v>44354</v>
      </c>
      <c r="E7937">
        <v>1</v>
      </c>
      <c r="F7937" t="s">
        <v>1802</v>
      </c>
      <c r="G7937" t="str">
        <f>"13-I04-01"</f>
        <v>13-I04-01</v>
      </c>
      <c r="H7937">
        <v>2.6413000000000002</v>
      </c>
      <c r="J7937" t="s">
        <v>14</v>
      </c>
      <c r="K7937" t="str">
        <f>"6F3"</f>
        <v>6F3</v>
      </c>
      <c r="L7937" t="s">
        <v>15</v>
      </c>
    </row>
    <row r="7938" spans="1:12" x14ac:dyDescent="0.25">
      <c r="A7938" t="str">
        <f>"6255210148"</f>
        <v>6255210148</v>
      </c>
      <c r="B7938" t="str">
        <f t="shared" si="364"/>
        <v>89301000</v>
      </c>
      <c r="C7938" s="1">
        <v>44358</v>
      </c>
      <c r="D7938" s="1">
        <v>44363</v>
      </c>
      <c r="E7938">
        <v>1</v>
      </c>
      <c r="F7938" t="s">
        <v>5665</v>
      </c>
      <c r="G7938" t="str">
        <f>"06-K19-01"</f>
        <v>06-K19-01</v>
      </c>
      <c r="H7938">
        <v>1.4271</v>
      </c>
      <c r="I7938" t="s">
        <v>1124</v>
      </c>
      <c r="J7938" t="s">
        <v>14</v>
      </c>
      <c r="K7938" t="str">
        <f>"5F1"</f>
        <v>5F1</v>
      </c>
      <c r="L7938" t="s">
        <v>15</v>
      </c>
    </row>
    <row r="7939" spans="1:12" x14ac:dyDescent="0.25">
      <c r="A7939" t="str">
        <f>"6255210148"</f>
        <v>6255210148</v>
      </c>
      <c r="B7939" t="str">
        <f t="shared" si="364"/>
        <v>89301000</v>
      </c>
      <c r="C7939" s="1">
        <v>44251</v>
      </c>
      <c r="D7939" s="1">
        <v>44265</v>
      </c>
      <c r="E7939">
        <v>1</v>
      </c>
      <c r="F7939" t="s">
        <v>1572</v>
      </c>
      <c r="G7939" t="str">
        <f>"06-I07-03"</f>
        <v>06-I07-03</v>
      </c>
      <c r="H7939">
        <v>5.3483000000000001</v>
      </c>
      <c r="I7939" t="s">
        <v>1124</v>
      </c>
      <c r="J7939" t="s">
        <v>17</v>
      </c>
      <c r="K7939" t="str">
        <f>"5F1"</f>
        <v>5F1</v>
      </c>
      <c r="L7939" t="s">
        <v>15</v>
      </c>
    </row>
    <row r="7940" spans="1:12" x14ac:dyDescent="0.25">
      <c r="A7940" t="str">
        <f>"6255210148"</f>
        <v>6255210148</v>
      </c>
      <c r="B7940" t="str">
        <f t="shared" si="364"/>
        <v>89301000</v>
      </c>
      <c r="C7940" s="1">
        <v>44369</v>
      </c>
      <c r="D7940" s="1">
        <v>44371</v>
      </c>
      <c r="E7940">
        <v>1</v>
      </c>
      <c r="F7940" t="s">
        <v>5666</v>
      </c>
      <c r="G7940" t="str">
        <f>"06-K08-02"</f>
        <v>06-K08-02</v>
      </c>
      <c r="H7940">
        <v>0.40389999999999998</v>
      </c>
      <c r="I7940" t="s">
        <v>5667</v>
      </c>
      <c r="J7940" t="s">
        <v>14</v>
      </c>
      <c r="K7940" t="str">
        <f>"5F1"</f>
        <v>5F1</v>
      </c>
      <c r="L7940" t="s">
        <v>15</v>
      </c>
    </row>
    <row r="7941" spans="1:12" x14ac:dyDescent="0.25">
      <c r="A7941" t="str">
        <f>"6255210148"</f>
        <v>6255210148</v>
      </c>
      <c r="B7941" t="str">
        <f t="shared" si="364"/>
        <v>89301000</v>
      </c>
      <c r="C7941" s="1">
        <v>44242</v>
      </c>
      <c r="D7941" s="1">
        <v>44248</v>
      </c>
      <c r="E7941">
        <v>1</v>
      </c>
      <c r="F7941" t="s">
        <v>2648</v>
      </c>
      <c r="G7941" t="str">
        <f>"06-I12-03"</f>
        <v>06-I12-03</v>
      </c>
      <c r="H7941">
        <v>1.8894</v>
      </c>
      <c r="I7941" t="s">
        <v>5668</v>
      </c>
      <c r="J7941" t="s">
        <v>14</v>
      </c>
      <c r="K7941" t="str">
        <f>"5F1"</f>
        <v>5F1</v>
      </c>
      <c r="L7941" t="s">
        <v>15</v>
      </c>
    </row>
    <row r="7942" spans="1:12" x14ac:dyDescent="0.25">
      <c r="A7942" t="str">
        <f>"6255211380"</f>
        <v>6255211380</v>
      </c>
      <c r="B7942" t="str">
        <f t="shared" si="364"/>
        <v>89301000</v>
      </c>
      <c r="C7942" s="1">
        <v>44552</v>
      </c>
      <c r="D7942" s="1">
        <v>44559</v>
      </c>
      <c r="E7942">
        <v>5</v>
      </c>
      <c r="F7942" t="s">
        <v>67</v>
      </c>
      <c r="G7942" t="str">
        <f>"01-C02-02"</f>
        <v>01-C02-02</v>
      </c>
      <c r="H7942">
        <v>1.4877</v>
      </c>
      <c r="I7942" t="s">
        <v>5669</v>
      </c>
      <c r="J7942" t="s">
        <v>14</v>
      </c>
      <c r="K7942" t="str">
        <f>"2T9"</f>
        <v>2T9</v>
      </c>
      <c r="L7942" t="s">
        <v>15</v>
      </c>
    </row>
    <row r="7943" spans="1:12" x14ac:dyDescent="0.25">
      <c r="A7943" t="str">
        <f>"6255230432"</f>
        <v>6255230432</v>
      </c>
      <c r="B7943" t="str">
        <f t="shared" si="364"/>
        <v>89301000</v>
      </c>
      <c r="C7943" s="1">
        <v>44226</v>
      </c>
      <c r="D7943" s="1">
        <v>44228</v>
      </c>
      <c r="E7943">
        <v>5</v>
      </c>
      <c r="F7943" t="s">
        <v>217</v>
      </c>
      <c r="G7943" t="str">
        <f>"04-K02-04"</f>
        <v>04-K02-04</v>
      </c>
      <c r="H7943">
        <v>0.82469999999999999</v>
      </c>
      <c r="I7943" t="s">
        <v>274</v>
      </c>
      <c r="J7943" t="s">
        <v>14</v>
      </c>
      <c r="K7943" t="str">
        <f>"1F1"</f>
        <v>1F1</v>
      </c>
      <c r="L7943" t="s">
        <v>15</v>
      </c>
    </row>
    <row r="7944" spans="1:12" x14ac:dyDescent="0.25">
      <c r="A7944" t="str">
        <f>"6256021024"</f>
        <v>6256021024</v>
      </c>
      <c r="B7944" t="str">
        <f t="shared" si="364"/>
        <v>89301000</v>
      </c>
      <c r="C7944" s="1">
        <v>44295</v>
      </c>
      <c r="D7944" s="1">
        <v>44296</v>
      </c>
      <c r="E7944">
        <v>1</v>
      </c>
      <c r="F7944" t="s">
        <v>1704</v>
      </c>
      <c r="G7944" t="str">
        <f>"23-K05-02"</f>
        <v>23-K05-02</v>
      </c>
      <c r="H7944">
        <v>0.4425</v>
      </c>
      <c r="I7944" t="s">
        <v>5670</v>
      </c>
      <c r="J7944" t="s">
        <v>14</v>
      </c>
      <c r="K7944" t="str">
        <f>"7F5"</f>
        <v>7F5</v>
      </c>
      <c r="L7944" t="s">
        <v>15</v>
      </c>
    </row>
    <row r="7945" spans="1:12" x14ac:dyDescent="0.25">
      <c r="A7945" t="str">
        <f>"6256110113"</f>
        <v>6256110113</v>
      </c>
      <c r="B7945" t="str">
        <f t="shared" si="364"/>
        <v>89301000</v>
      </c>
      <c r="C7945" s="1">
        <v>44346</v>
      </c>
      <c r="D7945" s="1">
        <v>44348</v>
      </c>
      <c r="E7945">
        <v>1</v>
      </c>
      <c r="F7945" t="s">
        <v>622</v>
      </c>
      <c r="G7945" t="str">
        <f>"02-I11-02"</f>
        <v>02-I11-02</v>
      </c>
      <c r="H7945">
        <v>0.64790000000000003</v>
      </c>
      <c r="I7945" t="s">
        <v>5671</v>
      </c>
      <c r="J7945" t="s">
        <v>17</v>
      </c>
      <c r="K7945" t="str">
        <f>"7F5"</f>
        <v>7F5</v>
      </c>
      <c r="L7945" t="s">
        <v>15</v>
      </c>
    </row>
    <row r="7946" spans="1:12" x14ac:dyDescent="0.25">
      <c r="A7946" t="str">
        <f>"6256120167"</f>
        <v>6256120167</v>
      </c>
      <c r="B7946" t="str">
        <f t="shared" si="364"/>
        <v>89301000</v>
      </c>
      <c r="C7946" s="1">
        <v>44270</v>
      </c>
      <c r="D7946" s="1">
        <v>44284</v>
      </c>
      <c r="E7946">
        <v>1</v>
      </c>
      <c r="F7946" t="s">
        <v>876</v>
      </c>
      <c r="G7946" t="str">
        <f>"11-I11-02"</f>
        <v>11-I11-02</v>
      </c>
      <c r="H7946">
        <v>1.2809999999999999</v>
      </c>
      <c r="I7946" t="s">
        <v>5672</v>
      </c>
      <c r="J7946" t="s">
        <v>14</v>
      </c>
      <c r="K7946" t="str">
        <f>"7F6"</f>
        <v>7F6</v>
      </c>
      <c r="L7946" t="s">
        <v>15</v>
      </c>
    </row>
    <row r="7947" spans="1:12" x14ac:dyDescent="0.25">
      <c r="A7947" t="str">
        <f>"6256120167"</f>
        <v>6256120167</v>
      </c>
      <c r="B7947" t="str">
        <f t="shared" si="364"/>
        <v>89301000</v>
      </c>
      <c r="C7947" s="1">
        <v>44306</v>
      </c>
      <c r="D7947" s="1">
        <v>44314</v>
      </c>
      <c r="E7947">
        <v>1</v>
      </c>
      <c r="F7947" t="s">
        <v>448</v>
      </c>
      <c r="G7947" t="str">
        <f>"11-M04-03"</f>
        <v>11-M04-03</v>
      </c>
      <c r="H7947">
        <v>1.0784</v>
      </c>
      <c r="I7947" t="s">
        <v>5673</v>
      </c>
      <c r="J7947" t="s">
        <v>14</v>
      </c>
      <c r="K7947" t="str">
        <f>"7F6"</f>
        <v>7F6</v>
      </c>
      <c r="L7947" t="s">
        <v>15</v>
      </c>
    </row>
    <row r="7948" spans="1:12" x14ac:dyDescent="0.25">
      <c r="A7948" t="str">
        <f>"6256120167"</f>
        <v>6256120167</v>
      </c>
      <c r="B7948" t="str">
        <f t="shared" si="364"/>
        <v>89301000</v>
      </c>
      <c r="C7948" s="1">
        <v>44333</v>
      </c>
      <c r="D7948" s="1">
        <v>44338</v>
      </c>
      <c r="E7948">
        <v>1</v>
      </c>
      <c r="F7948" t="s">
        <v>2232</v>
      </c>
      <c r="G7948" t="str">
        <f>"11-M04-01"</f>
        <v>11-M04-01</v>
      </c>
      <c r="H7948">
        <v>2.5192999999999999</v>
      </c>
      <c r="I7948" t="s">
        <v>2218</v>
      </c>
      <c r="J7948" t="s">
        <v>14</v>
      </c>
      <c r="K7948" t="str">
        <f>"7F6"</f>
        <v>7F6</v>
      </c>
      <c r="L7948" t="s">
        <v>15</v>
      </c>
    </row>
    <row r="7949" spans="1:12" x14ac:dyDescent="0.25">
      <c r="A7949" t="str">
        <f t="shared" ref="A7949:A7956" si="365">"6256150252"</f>
        <v>6256150252</v>
      </c>
      <c r="B7949" t="str">
        <f t="shared" si="364"/>
        <v>89301000</v>
      </c>
      <c r="C7949" s="1">
        <v>44482</v>
      </c>
      <c r="D7949" s="1">
        <v>44503</v>
      </c>
      <c r="E7949">
        <v>1</v>
      </c>
      <c r="F7949" t="s">
        <v>146</v>
      </c>
      <c r="G7949" t="str">
        <f>"17-C05-04"</f>
        <v>17-C05-04</v>
      </c>
      <c r="H7949">
        <v>2.2389999999999999</v>
      </c>
      <c r="I7949" t="s">
        <v>5674</v>
      </c>
      <c r="J7949" t="s">
        <v>14</v>
      </c>
      <c r="K7949" t="str">
        <f>"2F2"</f>
        <v>2F2</v>
      </c>
      <c r="L7949" t="s">
        <v>15</v>
      </c>
    </row>
    <row r="7950" spans="1:12" x14ac:dyDescent="0.25">
      <c r="A7950" t="str">
        <f t="shared" si="365"/>
        <v>6256150252</v>
      </c>
      <c r="B7950" t="str">
        <f t="shared" si="364"/>
        <v>89301000</v>
      </c>
      <c r="C7950" s="1">
        <v>44518</v>
      </c>
      <c r="D7950" s="1">
        <v>44543</v>
      </c>
      <c r="E7950">
        <v>1</v>
      </c>
      <c r="F7950" t="s">
        <v>849</v>
      </c>
      <c r="G7950" t="str">
        <f>"00-M07-00"</f>
        <v>00-M07-00</v>
      </c>
      <c r="H7950">
        <v>8.0892999999999997</v>
      </c>
      <c r="I7950" t="s">
        <v>5675</v>
      </c>
      <c r="J7950" t="s">
        <v>17</v>
      </c>
      <c r="K7950" t="str">
        <f>"2T2"</f>
        <v>2T2</v>
      </c>
      <c r="L7950" t="s">
        <v>15</v>
      </c>
    </row>
    <row r="7951" spans="1:12" x14ac:dyDescent="0.25">
      <c r="A7951" t="str">
        <f t="shared" si="365"/>
        <v>6256150252</v>
      </c>
      <c r="B7951" t="str">
        <f t="shared" si="364"/>
        <v>89301000</v>
      </c>
      <c r="C7951" s="1">
        <v>44216</v>
      </c>
      <c r="D7951" s="1">
        <v>44244</v>
      </c>
      <c r="E7951">
        <v>1</v>
      </c>
      <c r="F7951" t="s">
        <v>4287</v>
      </c>
      <c r="G7951" t="str">
        <f>"17-C05-04"</f>
        <v>17-C05-04</v>
      </c>
      <c r="H7951">
        <v>2.1219999999999999</v>
      </c>
      <c r="I7951" t="s">
        <v>5676</v>
      </c>
      <c r="J7951" t="s">
        <v>14</v>
      </c>
      <c r="K7951" t="str">
        <f t="shared" ref="K7951:K7956" si="366">"2F2"</f>
        <v>2F2</v>
      </c>
      <c r="L7951" t="s">
        <v>15</v>
      </c>
    </row>
    <row r="7952" spans="1:12" x14ac:dyDescent="0.25">
      <c r="A7952" t="str">
        <f t="shared" si="365"/>
        <v>6256150252</v>
      </c>
      <c r="B7952" t="str">
        <f t="shared" si="364"/>
        <v>89301000</v>
      </c>
      <c r="C7952" s="1">
        <v>44249</v>
      </c>
      <c r="D7952" s="1">
        <v>44267</v>
      </c>
      <c r="E7952">
        <v>1</v>
      </c>
      <c r="F7952" t="s">
        <v>849</v>
      </c>
      <c r="G7952" t="str">
        <f>"17-C05-04"</f>
        <v>17-C05-04</v>
      </c>
      <c r="H7952">
        <v>1.4490000000000001</v>
      </c>
      <c r="I7952" t="s">
        <v>3895</v>
      </c>
      <c r="J7952" t="s">
        <v>14</v>
      </c>
      <c r="K7952" t="str">
        <f t="shared" si="366"/>
        <v>2F2</v>
      </c>
      <c r="L7952" t="s">
        <v>15</v>
      </c>
    </row>
    <row r="7953" spans="1:12" x14ac:dyDescent="0.25">
      <c r="A7953" t="str">
        <f t="shared" si="365"/>
        <v>6256150252</v>
      </c>
      <c r="B7953" t="str">
        <f t="shared" si="364"/>
        <v>89301000</v>
      </c>
      <c r="C7953" s="1">
        <v>44277</v>
      </c>
      <c r="D7953" s="1">
        <v>44302</v>
      </c>
      <c r="E7953">
        <v>1</v>
      </c>
      <c r="F7953" t="s">
        <v>4287</v>
      </c>
      <c r="G7953" t="str">
        <f>"17-C05-04"</f>
        <v>17-C05-04</v>
      </c>
      <c r="H7953">
        <v>2.0102000000000002</v>
      </c>
      <c r="I7953" t="s">
        <v>5677</v>
      </c>
      <c r="J7953" t="s">
        <v>14</v>
      </c>
      <c r="K7953" t="str">
        <f t="shared" si="366"/>
        <v>2F2</v>
      </c>
      <c r="L7953" t="s">
        <v>15</v>
      </c>
    </row>
    <row r="7954" spans="1:12" x14ac:dyDescent="0.25">
      <c r="A7954" t="str">
        <f t="shared" si="365"/>
        <v>6256150252</v>
      </c>
      <c r="B7954" t="str">
        <f t="shared" si="364"/>
        <v>89301000</v>
      </c>
      <c r="C7954" s="1">
        <v>44312</v>
      </c>
      <c r="D7954" s="1">
        <v>44335</v>
      </c>
      <c r="E7954">
        <v>1</v>
      </c>
      <c r="F7954" t="s">
        <v>849</v>
      </c>
      <c r="G7954" t="str">
        <f>"17-C05-04"</f>
        <v>17-C05-04</v>
      </c>
      <c r="H7954">
        <v>2.3921999999999999</v>
      </c>
      <c r="I7954" t="s">
        <v>5678</v>
      </c>
      <c r="J7954" t="s">
        <v>14</v>
      </c>
      <c r="K7954" t="str">
        <f t="shared" si="366"/>
        <v>2F2</v>
      </c>
      <c r="L7954" t="s">
        <v>15</v>
      </c>
    </row>
    <row r="7955" spans="1:12" x14ac:dyDescent="0.25">
      <c r="A7955" t="str">
        <f t="shared" si="365"/>
        <v>6256150252</v>
      </c>
      <c r="B7955" t="str">
        <f t="shared" si="364"/>
        <v>89301000</v>
      </c>
      <c r="C7955" s="1">
        <v>44420</v>
      </c>
      <c r="D7955" s="1">
        <v>44445</v>
      </c>
      <c r="E7955">
        <v>1</v>
      </c>
      <c r="F7955" t="s">
        <v>146</v>
      </c>
      <c r="G7955" t="str">
        <f>"17-C05-01"</f>
        <v>17-C05-01</v>
      </c>
      <c r="H7955">
        <v>6.2104999999999997</v>
      </c>
      <c r="I7955" t="s">
        <v>5679</v>
      </c>
      <c r="J7955" t="s">
        <v>14</v>
      </c>
      <c r="K7955" t="str">
        <f t="shared" si="366"/>
        <v>2F2</v>
      </c>
      <c r="L7955" t="s">
        <v>15</v>
      </c>
    </row>
    <row r="7956" spans="1:12" x14ac:dyDescent="0.25">
      <c r="A7956" t="str">
        <f t="shared" si="365"/>
        <v>6256150252</v>
      </c>
      <c r="B7956" t="str">
        <f t="shared" si="364"/>
        <v>89301000</v>
      </c>
      <c r="C7956" s="1">
        <v>44452</v>
      </c>
      <c r="D7956" s="1">
        <v>44476</v>
      </c>
      <c r="E7956">
        <v>1</v>
      </c>
      <c r="F7956" t="s">
        <v>146</v>
      </c>
      <c r="G7956" t="str">
        <f>"17-C05-04"</f>
        <v>17-C05-04</v>
      </c>
      <c r="H7956">
        <v>2.3687999999999998</v>
      </c>
      <c r="I7956" t="s">
        <v>5680</v>
      </c>
      <c r="J7956" t="s">
        <v>14</v>
      </c>
      <c r="K7956" t="str">
        <f t="shared" si="366"/>
        <v>2F2</v>
      </c>
      <c r="L7956" t="s">
        <v>15</v>
      </c>
    </row>
    <row r="7957" spans="1:12" x14ac:dyDescent="0.25">
      <c r="A7957" t="str">
        <f>"6256161318"</f>
        <v>6256161318</v>
      </c>
      <c r="B7957" t="str">
        <f t="shared" si="364"/>
        <v>89301000</v>
      </c>
      <c r="C7957" s="1">
        <v>44459</v>
      </c>
      <c r="D7957" s="1">
        <v>44466</v>
      </c>
      <c r="E7957">
        <v>3</v>
      </c>
      <c r="F7957" t="s">
        <v>2407</v>
      </c>
      <c r="G7957" t="str">
        <f>"08-I06-04"</f>
        <v>08-I06-04</v>
      </c>
      <c r="H7957">
        <v>2.4260000000000002</v>
      </c>
      <c r="I7957" t="s">
        <v>5681</v>
      </c>
      <c r="J7957" t="s">
        <v>24</v>
      </c>
      <c r="K7957" t="str">
        <f>"6F6"</f>
        <v>6F6</v>
      </c>
      <c r="L7957" t="s">
        <v>15</v>
      </c>
    </row>
    <row r="7958" spans="1:12" x14ac:dyDescent="0.25">
      <c r="A7958" t="str">
        <f>"6256161318"</f>
        <v>6256161318</v>
      </c>
      <c r="B7958" t="str">
        <f t="shared" si="364"/>
        <v>89301000</v>
      </c>
      <c r="C7958" s="1">
        <v>44466</v>
      </c>
      <c r="D7958" s="1">
        <v>44480</v>
      </c>
      <c r="E7958">
        <v>1</v>
      </c>
      <c r="F7958" t="s">
        <v>109</v>
      </c>
      <c r="G7958" t="str">
        <f>"24-M07-02"</f>
        <v>24-M07-02</v>
      </c>
      <c r="H7958">
        <v>1.5094000000000001</v>
      </c>
      <c r="I7958" t="s">
        <v>4114</v>
      </c>
      <c r="J7958" t="s">
        <v>14</v>
      </c>
      <c r="K7958" t="str">
        <f>"2F1"</f>
        <v>2F1</v>
      </c>
      <c r="L7958" t="s">
        <v>15</v>
      </c>
    </row>
    <row r="7959" spans="1:12" x14ac:dyDescent="0.25">
      <c r="A7959" t="str">
        <f>"6256170426"</f>
        <v>6256170426</v>
      </c>
      <c r="B7959" t="str">
        <f t="shared" si="364"/>
        <v>89301000</v>
      </c>
      <c r="C7959" s="1">
        <v>44357</v>
      </c>
      <c r="D7959" s="1">
        <v>44360</v>
      </c>
      <c r="E7959">
        <v>1</v>
      </c>
      <c r="F7959" t="s">
        <v>1716</v>
      </c>
      <c r="G7959" t="str">
        <f>"11-M05-02"</f>
        <v>11-M05-02</v>
      </c>
      <c r="H7959">
        <v>0.65690000000000004</v>
      </c>
      <c r="I7959" t="s">
        <v>5045</v>
      </c>
      <c r="J7959" t="s">
        <v>17</v>
      </c>
      <c r="K7959" t="str">
        <f>"7F6"</f>
        <v>7F6</v>
      </c>
      <c r="L7959" t="s">
        <v>15</v>
      </c>
    </row>
    <row r="7960" spans="1:12" x14ac:dyDescent="0.25">
      <c r="A7960" t="str">
        <f>"6256180403"</f>
        <v>6256180403</v>
      </c>
      <c r="B7960" t="str">
        <f t="shared" si="364"/>
        <v>89301000</v>
      </c>
      <c r="C7960" s="1">
        <v>44420</v>
      </c>
      <c r="D7960" s="1">
        <v>44425</v>
      </c>
      <c r="E7960">
        <v>1</v>
      </c>
      <c r="F7960" t="s">
        <v>842</v>
      </c>
      <c r="G7960" t="str">
        <f>"02-K11-02"</f>
        <v>02-K11-02</v>
      </c>
      <c r="H7960">
        <v>0.52180000000000004</v>
      </c>
      <c r="I7960" t="s">
        <v>5682</v>
      </c>
      <c r="J7960" t="s">
        <v>14</v>
      </c>
      <c r="K7960" t="str">
        <f>"2F9"</f>
        <v>2F9</v>
      </c>
      <c r="L7960" t="s">
        <v>15</v>
      </c>
    </row>
    <row r="7961" spans="1:12" x14ac:dyDescent="0.25">
      <c r="A7961" t="str">
        <f>"6256190864"</f>
        <v>6256190864</v>
      </c>
      <c r="B7961" t="str">
        <f t="shared" si="364"/>
        <v>89301000</v>
      </c>
      <c r="C7961" s="1">
        <v>44546</v>
      </c>
      <c r="D7961" s="1">
        <v>44547</v>
      </c>
      <c r="E7961">
        <v>8</v>
      </c>
      <c r="F7961" t="s">
        <v>649</v>
      </c>
      <c r="G7961" t="str">
        <f>"18-K02-04"</f>
        <v>18-K02-04</v>
      </c>
      <c r="H7961">
        <v>0.83260000000000001</v>
      </c>
      <c r="I7961" t="s">
        <v>5683</v>
      </c>
      <c r="J7961" t="s">
        <v>14</v>
      </c>
      <c r="K7961" t="str">
        <f>"1F1"</f>
        <v>1F1</v>
      </c>
      <c r="L7961" t="s">
        <v>15</v>
      </c>
    </row>
    <row r="7962" spans="1:12" x14ac:dyDescent="0.25">
      <c r="A7962" t="str">
        <f>"6256190864"</f>
        <v>6256190864</v>
      </c>
      <c r="B7962" t="str">
        <f t="shared" si="364"/>
        <v>89301000</v>
      </c>
      <c r="C7962" s="1">
        <v>44326</v>
      </c>
      <c r="D7962" s="1">
        <v>44328</v>
      </c>
      <c r="E7962">
        <v>1</v>
      </c>
      <c r="F7962" t="s">
        <v>2139</v>
      </c>
      <c r="G7962" t="str">
        <f>"05-K11-02"</f>
        <v>05-K11-02</v>
      </c>
      <c r="H7962">
        <v>0.67459999999999998</v>
      </c>
      <c r="J7962" t="s">
        <v>14</v>
      </c>
      <c r="K7962" t="str">
        <f>"1F1"</f>
        <v>1F1</v>
      </c>
      <c r="L7962" t="s">
        <v>15</v>
      </c>
    </row>
    <row r="7963" spans="1:12" x14ac:dyDescent="0.25">
      <c r="A7963" t="str">
        <f>"6256210125"</f>
        <v>6256210125</v>
      </c>
      <c r="B7963" t="str">
        <f t="shared" si="364"/>
        <v>89301000</v>
      </c>
      <c r="C7963" s="1">
        <v>44200</v>
      </c>
      <c r="D7963" s="1">
        <v>44238</v>
      </c>
      <c r="E7963">
        <v>1</v>
      </c>
      <c r="F7963" t="s">
        <v>5684</v>
      </c>
      <c r="G7963" t="str">
        <f>"19-K07-02"</f>
        <v>19-K07-02</v>
      </c>
      <c r="H7963">
        <v>2.8759999999999999</v>
      </c>
      <c r="I7963" t="s">
        <v>5685</v>
      </c>
      <c r="J7963" t="s">
        <v>27</v>
      </c>
      <c r="K7963" t="str">
        <f>"3F5"</f>
        <v>3F5</v>
      </c>
      <c r="L7963" t="s">
        <v>15</v>
      </c>
    </row>
    <row r="7964" spans="1:12" x14ac:dyDescent="0.25">
      <c r="A7964" t="str">
        <f>"6256240617"</f>
        <v>6256240617</v>
      </c>
      <c r="B7964" t="str">
        <f t="shared" si="364"/>
        <v>89301000</v>
      </c>
      <c r="C7964" s="1">
        <v>44550</v>
      </c>
      <c r="D7964" s="1">
        <v>44553</v>
      </c>
      <c r="E7964">
        <v>1</v>
      </c>
      <c r="F7964" t="s">
        <v>1553</v>
      </c>
      <c r="G7964" t="str">
        <f>"04-K05-02"</f>
        <v>04-K05-02</v>
      </c>
      <c r="H7964">
        <v>1.2657</v>
      </c>
      <c r="I7964" t="s">
        <v>5686</v>
      </c>
      <c r="J7964" t="s">
        <v>14</v>
      </c>
      <c r="K7964" t="str">
        <f>"1F1"</f>
        <v>1F1</v>
      </c>
      <c r="L7964" t="s">
        <v>15</v>
      </c>
    </row>
    <row r="7965" spans="1:12" x14ac:dyDescent="0.25">
      <c r="A7965" t="str">
        <f>"6256240628"</f>
        <v>6256240628</v>
      </c>
      <c r="B7965" t="str">
        <f t="shared" si="364"/>
        <v>89301000</v>
      </c>
      <c r="C7965" s="1">
        <v>44356</v>
      </c>
      <c r="D7965" s="1">
        <v>44360</v>
      </c>
      <c r="E7965">
        <v>1</v>
      </c>
      <c r="F7965" t="s">
        <v>5283</v>
      </c>
      <c r="G7965" t="str">
        <f>"13-I11-03"</f>
        <v>13-I11-03</v>
      </c>
      <c r="H7965">
        <v>1.3809</v>
      </c>
      <c r="I7965" t="s">
        <v>3377</v>
      </c>
      <c r="J7965" t="s">
        <v>24</v>
      </c>
      <c r="K7965" t="str">
        <f>"6F3"</f>
        <v>6F3</v>
      </c>
      <c r="L7965" t="s">
        <v>15</v>
      </c>
    </row>
    <row r="7966" spans="1:12" x14ac:dyDescent="0.25">
      <c r="A7966" t="str">
        <f>"6257020011"</f>
        <v>6257020011</v>
      </c>
      <c r="B7966" t="str">
        <f t="shared" si="364"/>
        <v>89301000</v>
      </c>
      <c r="C7966" s="1">
        <v>44438</v>
      </c>
      <c r="D7966" s="1">
        <v>44441</v>
      </c>
      <c r="E7966">
        <v>1</v>
      </c>
      <c r="F7966" t="s">
        <v>38</v>
      </c>
      <c r="G7966" t="str">
        <f>"05-M06-06"</f>
        <v>05-M06-06</v>
      </c>
      <c r="H7966">
        <v>1.7652000000000001</v>
      </c>
      <c r="I7966" t="s">
        <v>5687</v>
      </c>
      <c r="J7966" t="s">
        <v>17</v>
      </c>
      <c r="K7966" t="str">
        <f>"1T1"</f>
        <v>1T1</v>
      </c>
      <c r="L7966" t="s">
        <v>15</v>
      </c>
    </row>
    <row r="7967" spans="1:12" x14ac:dyDescent="0.25">
      <c r="A7967" t="str">
        <f>"6257120727"</f>
        <v>6257120727</v>
      </c>
      <c r="B7967" t="str">
        <f t="shared" si="364"/>
        <v>89301000</v>
      </c>
      <c r="C7967" s="1">
        <v>44216</v>
      </c>
      <c r="D7967" s="1">
        <v>44221</v>
      </c>
      <c r="E7967">
        <v>1</v>
      </c>
      <c r="F7967" t="s">
        <v>2366</v>
      </c>
      <c r="G7967" t="str">
        <f>"02-I09-03"</f>
        <v>02-I09-03</v>
      </c>
      <c r="H7967">
        <v>0.92979999999999996</v>
      </c>
      <c r="I7967" t="s">
        <v>5688</v>
      </c>
      <c r="J7967" t="s">
        <v>14</v>
      </c>
      <c r="K7967" t="str">
        <f>"7F5"</f>
        <v>7F5</v>
      </c>
      <c r="L7967" t="s">
        <v>15</v>
      </c>
    </row>
    <row r="7968" spans="1:12" x14ac:dyDescent="0.25">
      <c r="A7968" t="str">
        <f>"6257270536"</f>
        <v>6257270536</v>
      </c>
      <c r="B7968" t="str">
        <f t="shared" si="364"/>
        <v>89301000</v>
      </c>
      <c r="C7968" s="1">
        <v>44371</v>
      </c>
      <c r="D7968" s="1">
        <v>44372</v>
      </c>
      <c r="E7968">
        <v>1</v>
      </c>
      <c r="F7968" t="s">
        <v>899</v>
      </c>
      <c r="G7968" t="str">
        <f>"01-K03-06"</f>
        <v>01-K03-06</v>
      </c>
      <c r="H7968">
        <v>0.80789999999999995</v>
      </c>
      <c r="I7968" t="s">
        <v>3143</v>
      </c>
      <c r="J7968" t="s">
        <v>14</v>
      </c>
      <c r="K7968" t="str">
        <f>"2F9"</f>
        <v>2F9</v>
      </c>
      <c r="L7968" t="s">
        <v>15</v>
      </c>
    </row>
    <row r="7969" spans="1:12" x14ac:dyDescent="0.25">
      <c r="A7969" t="str">
        <f>"6257310730"</f>
        <v>6257310730</v>
      </c>
      <c r="B7969" t="str">
        <f t="shared" si="364"/>
        <v>89301000</v>
      </c>
      <c r="C7969" s="1">
        <v>44376</v>
      </c>
      <c r="D7969" s="1">
        <v>44386</v>
      </c>
      <c r="E7969">
        <v>1</v>
      </c>
      <c r="F7969" t="s">
        <v>2433</v>
      </c>
      <c r="G7969" t="str">
        <f>"09-K04-02"</f>
        <v>09-K04-02</v>
      </c>
      <c r="H7969">
        <v>0.68279999999999996</v>
      </c>
      <c r="J7969" t="s">
        <v>14</v>
      </c>
      <c r="K7969" t="str">
        <f>"4F4"</f>
        <v>4F4</v>
      </c>
      <c r="L7969" t="s">
        <v>15</v>
      </c>
    </row>
    <row r="7970" spans="1:12" x14ac:dyDescent="0.25">
      <c r="A7970" t="str">
        <f>"6258081500"</f>
        <v>6258081500</v>
      </c>
      <c r="B7970" t="str">
        <f t="shared" si="364"/>
        <v>89301000</v>
      </c>
      <c r="C7970" s="1">
        <v>44235</v>
      </c>
      <c r="D7970" s="1">
        <v>44239</v>
      </c>
      <c r="E7970">
        <v>1</v>
      </c>
      <c r="F7970" t="s">
        <v>4189</v>
      </c>
      <c r="G7970" t="str">
        <f>"08-K01-03"</f>
        <v>08-K01-03</v>
      </c>
      <c r="H7970">
        <v>0.65310000000000001</v>
      </c>
      <c r="I7970" t="s">
        <v>5689</v>
      </c>
      <c r="J7970" t="s">
        <v>14</v>
      </c>
      <c r="K7970" t="str">
        <f>"1F9"</f>
        <v>1F9</v>
      </c>
      <c r="L7970" t="s">
        <v>15</v>
      </c>
    </row>
    <row r="7971" spans="1:12" x14ac:dyDescent="0.25">
      <c r="A7971" t="str">
        <f>"6258131462"</f>
        <v>6258131462</v>
      </c>
      <c r="B7971" t="str">
        <f t="shared" si="364"/>
        <v>89301000</v>
      </c>
      <c r="C7971" s="1">
        <v>44494</v>
      </c>
      <c r="D7971" s="1">
        <v>44504</v>
      </c>
      <c r="E7971">
        <v>1</v>
      </c>
      <c r="F7971" t="s">
        <v>5690</v>
      </c>
      <c r="G7971" t="str">
        <f>"17-I01-00"</f>
        <v>17-I01-00</v>
      </c>
      <c r="H7971">
        <v>5.8457999999999997</v>
      </c>
      <c r="I7971" t="s">
        <v>5691</v>
      </c>
      <c r="J7971" t="s">
        <v>17</v>
      </c>
      <c r="K7971" t="str">
        <f>"5F1"</f>
        <v>5F1</v>
      </c>
      <c r="L7971" t="s">
        <v>15</v>
      </c>
    </row>
    <row r="7972" spans="1:12" x14ac:dyDescent="0.25">
      <c r="A7972" t="str">
        <f>"6258131462"</f>
        <v>6258131462</v>
      </c>
      <c r="B7972" t="str">
        <f t="shared" si="364"/>
        <v>89301000</v>
      </c>
      <c r="C7972" s="1">
        <v>44252</v>
      </c>
      <c r="D7972" s="1">
        <v>44253</v>
      </c>
      <c r="E7972">
        <v>1</v>
      </c>
      <c r="F7972" t="s">
        <v>2049</v>
      </c>
      <c r="G7972" t="str">
        <f>"06-M01-02"</f>
        <v>06-M01-02</v>
      </c>
      <c r="H7972">
        <v>1.2191000000000001</v>
      </c>
      <c r="I7972" t="s">
        <v>5692</v>
      </c>
      <c r="J7972" t="s">
        <v>14</v>
      </c>
      <c r="K7972" t="str">
        <f>"1F1"</f>
        <v>1F1</v>
      </c>
      <c r="L7972" t="s">
        <v>15</v>
      </c>
    </row>
    <row r="7973" spans="1:12" x14ac:dyDescent="0.25">
      <c r="A7973" t="str">
        <f>"6258151790"</f>
        <v>6258151790</v>
      </c>
      <c r="B7973" t="str">
        <f t="shared" si="364"/>
        <v>89301000</v>
      </c>
      <c r="C7973" s="1">
        <v>44300</v>
      </c>
      <c r="D7973" s="1">
        <v>44304</v>
      </c>
      <c r="E7973">
        <v>1</v>
      </c>
      <c r="F7973" t="s">
        <v>460</v>
      </c>
      <c r="G7973" t="str">
        <f>"03-I23-00"</f>
        <v>03-I23-00</v>
      </c>
      <c r="H7973">
        <v>0.47639999999999999</v>
      </c>
      <c r="I7973" t="s">
        <v>489</v>
      </c>
      <c r="J7973" t="s">
        <v>14</v>
      </c>
      <c r="K7973" t="str">
        <f>"6F5"</f>
        <v>6F5</v>
      </c>
      <c r="L7973" t="s">
        <v>15</v>
      </c>
    </row>
    <row r="7974" spans="1:12" x14ac:dyDescent="0.25">
      <c r="A7974" t="str">
        <f>"6258161316"</f>
        <v>6258161316</v>
      </c>
      <c r="B7974" t="str">
        <f t="shared" si="364"/>
        <v>89301000</v>
      </c>
      <c r="C7974" s="1">
        <v>44544</v>
      </c>
      <c r="D7974" s="1">
        <v>44546</v>
      </c>
      <c r="E7974">
        <v>1</v>
      </c>
      <c r="F7974" t="s">
        <v>5693</v>
      </c>
      <c r="G7974" t="str">
        <f>"13-K14-00"</f>
        <v>13-K14-00</v>
      </c>
      <c r="H7974">
        <v>0.33129999999999998</v>
      </c>
      <c r="I7974" t="s">
        <v>5694</v>
      </c>
      <c r="J7974" t="s">
        <v>14</v>
      </c>
      <c r="K7974" t="str">
        <f>"6F3"</f>
        <v>6F3</v>
      </c>
      <c r="L7974" t="s">
        <v>15</v>
      </c>
    </row>
    <row r="7975" spans="1:12" x14ac:dyDescent="0.25">
      <c r="A7975" t="str">
        <f>"6259161601"</f>
        <v>6259161601</v>
      </c>
      <c r="B7975" t="str">
        <f t="shared" si="364"/>
        <v>89301000</v>
      </c>
      <c r="C7975" s="1">
        <v>44258</v>
      </c>
      <c r="D7975" s="1">
        <v>44259</v>
      </c>
      <c r="E7975">
        <v>1</v>
      </c>
      <c r="F7975" t="s">
        <v>5695</v>
      </c>
      <c r="G7975" t="str">
        <f>"09-K01-04"</f>
        <v>09-K01-04</v>
      </c>
      <c r="H7975">
        <v>0.57820000000000005</v>
      </c>
      <c r="J7975" t="s">
        <v>14</v>
      </c>
      <c r="K7975" t="str">
        <f>"6F3"</f>
        <v>6F3</v>
      </c>
      <c r="L7975" t="s">
        <v>15</v>
      </c>
    </row>
    <row r="7976" spans="1:12" x14ac:dyDescent="0.25">
      <c r="A7976" t="str">
        <f>"6259230318"</f>
        <v>6259230318</v>
      </c>
      <c r="B7976" t="str">
        <f t="shared" si="364"/>
        <v>89301000</v>
      </c>
      <c r="C7976" s="1">
        <v>44228</v>
      </c>
      <c r="D7976" s="1">
        <v>44228</v>
      </c>
      <c r="E7976">
        <v>1</v>
      </c>
      <c r="F7976" t="s">
        <v>1557</v>
      </c>
      <c r="G7976" t="str">
        <f>"05-D01-08"</f>
        <v>05-D01-08</v>
      </c>
      <c r="H7976">
        <v>0.21890000000000001</v>
      </c>
      <c r="J7976" t="s">
        <v>14</v>
      </c>
      <c r="K7976" t="str">
        <f>"1F7"</f>
        <v>1F7</v>
      </c>
      <c r="L7976" t="s">
        <v>15</v>
      </c>
    </row>
    <row r="7977" spans="1:12" x14ac:dyDescent="0.25">
      <c r="A7977" t="str">
        <f>"6259240317"</f>
        <v>6259240317</v>
      </c>
      <c r="B7977" t="str">
        <f t="shared" si="364"/>
        <v>89301000</v>
      </c>
      <c r="C7977" s="1">
        <v>44392</v>
      </c>
      <c r="D7977" s="1">
        <v>44395</v>
      </c>
      <c r="E7977">
        <v>1</v>
      </c>
      <c r="F7977" t="s">
        <v>496</v>
      </c>
      <c r="G7977" t="str">
        <f>"08-M03-05"</f>
        <v>08-M03-05</v>
      </c>
      <c r="H7977">
        <v>0.51759999999999995</v>
      </c>
      <c r="I7977" t="s">
        <v>5696</v>
      </c>
      <c r="J7977" t="s">
        <v>14</v>
      </c>
      <c r="K7977" t="str">
        <f>"6F6"</f>
        <v>6F6</v>
      </c>
      <c r="L7977" t="s">
        <v>15</v>
      </c>
    </row>
    <row r="7978" spans="1:12" x14ac:dyDescent="0.25">
      <c r="A7978" t="str">
        <f>"6259270347"</f>
        <v>6259270347</v>
      </c>
      <c r="B7978" t="str">
        <f t="shared" si="364"/>
        <v>89301000</v>
      </c>
      <c r="C7978" s="1">
        <v>44529</v>
      </c>
      <c r="D7978" s="1">
        <v>44533</v>
      </c>
      <c r="E7978">
        <v>1</v>
      </c>
      <c r="F7978" t="s">
        <v>2495</v>
      </c>
      <c r="G7978" t="str">
        <f>"13-I11-03"</f>
        <v>13-I11-03</v>
      </c>
      <c r="H7978">
        <v>1.3809</v>
      </c>
      <c r="I7978" t="s">
        <v>266</v>
      </c>
      <c r="J7978" t="s">
        <v>24</v>
      </c>
      <c r="K7978" t="str">
        <f>"6F3"</f>
        <v>6F3</v>
      </c>
      <c r="L7978" t="s">
        <v>15</v>
      </c>
    </row>
    <row r="7979" spans="1:12" x14ac:dyDescent="0.25">
      <c r="A7979" t="str">
        <f>"6259300421"</f>
        <v>6259300421</v>
      </c>
      <c r="B7979" t="str">
        <f t="shared" si="364"/>
        <v>89301000</v>
      </c>
      <c r="C7979" s="1">
        <v>44231</v>
      </c>
      <c r="D7979" s="1">
        <v>44250</v>
      </c>
      <c r="E7979">
        <v>4</v>
      </c>
      <c r="F7979" t="s">
        <v>109</v>
      </c>
      <c r="G7979" t="str">
        <f>"24-M08-02"</f>
        <v>24-M08-02</v>
      </c>
      <c r="H7979">
        <v>2.3557000000000001</v>
      </c>
      <c r="I7979" t="s">
        <v>5697</v>
      </c>
      <c r="J7979" t="s">
        <v>14</v>
      </c>
      <c r="K7979" t="str">
        <f>"2F1"</f>
        <v>2F1</v>
      </c>
      <c r="L7979" t="s">
        <v>15</v>
      </c>
    </row>
    <row r="7980" spans="1:12" x14ac:dyDescent="0.25">
      <c r="A7980" t="str">
        <f>"6259300421"</f>
        <v>6259300421</v>
      </c>
      <c r="B7980" t="str">
        <f t="shared" si="364"/>
        <v>89301000</v>
      </c>
      <c r="C7980" s="1">
        <v>44216</v>
      </c>
      <c r="D7980" s="1">
        <v>44231</v>
      </c>
      <c r="E7980">
        <v>3</v>
      </c>
      <c r="F7980" t="s">
        <v>406</v>
      </c>
      <c r="G7980" t="str">
        <f>"25-I02-02"</f>
        <v>25-I02-02</v>
      </c>
      <c r="H7980">
        <v>5.8459000000000003</v>
      </c>
      <c r="I7980" t="s">
        <v>5698</v>
      </c>
      <c r="J7980" t="s">
        <v>17</v>
      </c>
      <c r="K7980" t="str">
        <f>"5F3"</f>
        <v>5F3</v>
      </c>
      <c r="L7980" t="s">
        <v>15</v>
      </c>
    </row>
    <row r="7981" spans="1:12" x14ac:dyDescent="0.25">
      <c r="A7981" t="str">
        <f>"6260061214"</f>
        <v>6260061214</v>
      </c>
      <c r="B7981" t="str">
        <f t="shared" si="364"/>
        <v>89301000</v>
      </c>
      <c r="C7981" s="1">
        <v>44453</v>
      </c>
      <c r="D7981" s="1">
        <v>44459</v>
      </c>
      <c r="E7981">
        <v>1</v>
      </c>
      <c r="F7981" t="s">
        <v>2001</v>
      </c>
      <c r="G7981" t="str">
        <f>"06-I15-00"</f>
        <v>06-I15-00</v>
      </c>
      <c r="H7981">
        <v>1.7892999999999999</v>
      </c>
      <c r="I7981" t="s">
        <v>489</v>
      </c>
      <c r="J7981" t="s">
        <v>24</v>
      </c>
      <c r="K7981" t="str">
        <f>"5F1"</f>
        <v>5F1</v>
      </c>
      <c r="L7981" t="s">
        <v>15</v>
      </c>
    </row>
    <row r="7982" spans="1:12" x14ac:dyDescent="0.25">
      <c r="A7982" t="str">
        <f>"6260101463"</f>
        <v>6260101463</v>
      </c>
      <c r="B7982" t="str">
        <f t="shared" si="364"/>
        <v>89301000</v>
      </c>
      <c r="C7982" s="1">
        <v>44342</v>
      </c>
      <c r="D7982" s="1">
        <v>44344</v>
      </c>
      <c r="E7982">
        <v>1</v>
      </c>
      <c r="F7982" t="s">
        <v>144</v>
      </c>
      <c r="G7982" t="str">
        <f>"04-M02-04"</f>
        <v>04-M02-04</v>
      </c>
      <c r="H7982">
        <v>0.7238</v>
      </c>
      <c r="I7982" t="s">
        <v>5699</v>
      </c>
      <c r="J7982" t="s">
        <v>14</v>
      </c>
      <c r="K7982" t="str">
        <f>"2F5"</f>
        <v>2F5</v>
      </c>
      <c r="L7982" t="s">
        <v>15</v>
      </c>
    </row>
    <row r="7983" spans="1:12" x14ac:dyDescent="0.25">
      <c r="A7983" t="str">
        <f>"6260141437"</f>
        <v>6260141437</v>
      </c>
      <c r="B7983" t="str">
        <f t="shared" si="364"/>
        <v>89301000</v>
      </c>
      <c r="C7983" s="1">
        <v>44228</v>
      </c>
      <c r="D7983" s="1">
        <v>44230</v>
      </c>
      <c r="E7983">
        <v>1</v>
      </c>
      <c r="F7983" t="s">
        <v>1679</v>
      </c>
      <c r="G7983" t="str">
        <f>"11-M06-03"</f>
        <v>11-M06-03</v>
      </c>
      <c r="H7983">
        <v>0.61519999999999997</v>
      </c>
      <c r="I7983" t="s">
        <v>5404</v>
      </c>
      <c r="J7983" t="s">
        <v>17</v>
      </c>
      <c r="K7983" t="str">
        <f>"7F6"</f>
        <v>7F6</v>
      </c>
      <c r="L7983" t="s">
        <v>15</v>
      </c>
    </row>
    <row r="7984" spans="1:12" x14ac:dyDescent="0.25">
      <c r="A7984" t="str">
        <f>"6260141437"</f>
        <v>6260141437</v>
      </c>
      <c r="B7984" t="str">
        <f t="shared" si="364"/>
        <v>89301000</v>
      </c>
      <c r="C7984" s="1">
        <v>44281</v>
      </c>
      <c r="D7984" s="1">
        <v>44282</v>
      </c>
      <c r="E7984">
        <v>1</v>
      </c>
      <c r="F7984" t="s">
        <v>1679</v>
      </c>
      <c r="G7984" t="str">
        <f>"11-M06-03"</f>
        <v>11-M06-03</v>
      </c>
      <c r="H7984">
        <v>0.61519999999999997</v>
      </c>
      <c r="I7984" t="s">
        <v>2288</v>
      </c>
      <c r="J7984" t="s">
        <v>17</v>
      </c>
      <c r="K7984" t="str">
        <f>"7F6"</f>
        <v>7F6</v>
      </c>
      <c r="L7984" t="s">
        <v>15</v>
      </c>
    </row>
    <row r="7985" spans="1:12" x14ac:dyDescent="0.25">
      <c r="A7985" t="str">
        <f>"6260280950"</f>
        <v>6260280950</v>
      </c>
      <c r="B7985" t="str">
        <f t="shared" si="364"/>
        <v>89301000</v>
      </c>
      <c r="C7985" s="1">
        <v>44360</v>
      </c>
      <c r="D7985" s="1">
        <v>44364</v>
      </c>
      <c r="E7985">
        <v>1</v>
      </c>
      <c r="F7985" t="s">
        <v>81</v>
      </c>
      <c r="G7985" t="str">
        <f>"10-I13-02"</f>
        <v>10-I13-02</v>
      </c>
      <c r="H7985">
        <v>1.1468</v>
      </c>
      <c r="J7985" t="s">
        <v>24</v>
      </c>
      <c r="K7985" t="str">
        <f>"5F1"</f>
        <v>5F1</v>
      </c>
      <c r="L7985" t="s">
        <v>15</v>
      </c>
    </row>
    <row r="7986" spans="1:12" x14ac:dyDescent="0.25">
      <c r="A7986" t="str">
        <f>"6261091683"</f>
        <v>6261091683</v>
      </c>
      <c r="B7986" t="str">
        <f t="shared" si="364"/>
        <v>89301000</v>
      </c>
      <c r="C7986" s="1">
        <v>44330</v>
      </c>
      <c r="D7986" s="1">
        <v>44337</v>
      </c>
      <c r="E7986">
        <v>1</v>
      </c>
      <c r="F7986" t="s">
        <v>5700</v>
      </c>
      <c r="G7986" t="str">
        <f>"08-K04-01"</f>
        <v>08-K04-01</v>
      </c>
      <c r="H7986">
        <v>1.0062</v>
      </c>
      <c r="I7986" t="s">
        <v>5701</v>
      </c>
      <c r="J7986" t="s">
        <v>14</v>
      </c>
      <c r="K7986" t="str">
        <f>"1F9"</f>
        <v>1F9</v>
      </c>
      <c r="L7986" t="s">
        <v>15</v>
      </c>
    </row>
    <row r="7987" spans="1:12" x14ac:dyDescent="0.25">
      <c r="A7987" t="str">
        <f>"6261096578"</f>
        <v>6261096578</v>
      </c>
      <c r="B7987" t="str">
        <f t="shared" si="364"/>
        <v>89301000</v>
      </c>
      <c r="C7987" s="1">
        <v>44338</v>
      </c>
      <c r="D7987" s="1">
        <v>44342</v>
      </c>
      <c r="E7987">
        <v>1</v>
      </c>
      <c r="F7987" t="s">
        <v>210</v>
      </c>
      <c r="G7987" t="str">
        <f>"08-I14-03"</f>
        <v>08-I14-03</v>
      </c>
      <c r="H7987">
        <v>1.5905</v>
      </c>
      <c r="I7987" t="s">
        <v>211</v>
      </c>
      <c r="J7987" t="s">
        <v>17</v>
      </c>
      <c r="K7987" t="str">
        <f>"5F3"</f>
        <v>5F3</v>
      </c>
      <c r="L7987" t="s">
        <v>15</v>
      </c>
    </row>
    <row r="7988" spans="1:12" x14ac:dyDescent="0.25">
      <c r="A7988" t="str">
        <f>"6261190023"</f>
        <v>6261190023</v>
      </c>
      <c r="B7988" t="str">
        <f t="shared" si="364"/>
        <v>89301000</v>
      </c>
      <c r="C7988" s="1">
        <v>44451</v>
      </c>
      <c r="D7988" s="1">
        <v>44473</v>
      </c>
      <c r="E7988">
        <v>4</v>
      </c>
      <c r="F7988" t="s">
        <v>199</v>
      </c>
      <c r="G7988" t="str">
        <f>"00-M03-04"</f>
        <v>00-M03-04</v>
      </c>
      <c r="H7988">
        <v>25.3432</v>
      </c>
      <c r="I7988" t="s">
        <v>5702</v>
      </c>
      <c r="J7988" t="s">
        <v>14</v>
      </c>
      <c r="K7988" t="str">
        <f>"7T8"</f>
        <v>7T8</v>
      </c>
      <c r="L7988" t="s">
        <v>15</v>
      </c>
    </row>
    <row r="7989" spans="1:12" x14ac:dyDescent="0.25">
      <c r="A7989" t="str">
        <f>"6261210208"</f>
        <v>6261210208</v>
      </c>
      <c r="B7989" t="str">
        <f t="shared" si="364"/>
        <v>89301000</v>
      </c>
      <c r="C7989" s="1">
        <v>44371</v>
      </c>
      <c r="D7989" s="1">
        <v>44376</v>
      </c>
      <c r="E7989">
        <v>1</v>
      </c>
      <c r="F7989" t="s">
        <v>3180</v>
      </c>
      <c r="G7989" t="str">
        <f>"08-K02-03"</f>
        <v>08-K02-03</v>
      </c>
      <c r="H7989">
        <v>0.73560000000000003</v>
      </c>
      <c r="I7989" t="s">
        <v>5703</v>
      </c>
      <c r="J7989" t="s">
        <v>14</v>
      </c>
      <c r="K7989" t="str">
        <f>"1F9"</f>
        <v>1F9</v>
      </c>
      <c r="L7989" t="s">
        <v>15</v>
      </c>
    </row>
    <row r="7990" spans="1:12" x14ac:dyDescent="0.25">
      <c r="A7990" t="str">
        <f>"6261210208"</f>
        <v>6261210208</v>
      </c>
      <c r="B7990" t="str">
        <f t="shared" si="364"/>
        <v>89301000</v>
      </c>
      <c r="C7990" s="1">
        <v>44547</v>
      </c>
      <c r="D7990" s="1">
        <v>44553</v>
      </c>
      <c r="E7990">
        <v>1</v>
      </c>
      <c r="F7990" t="s">
        <v>3180</v>
      </c>
      <c r="G7990" t="str">
        <f>"08-K02-01"</f>
        <v>08-K02-01</v>
      </c>
      <c r="H7990">
        <v>1.5983000000000001</v>
      </c>
      <c r="I7990" t="s">
        <v>5704</v>
      </c>
      <c r="J7990" t="s">
        <v>14</v>
      </c>
      <c r="K7990" t="str">
        <f>"1F9"</f>
        <v>1F9</v>
      </c>
      <c r="L7990" t="s">
        <v>15</v>
      </c>
    </row>
    <row r="7991" spans="1:12" x14ac:dyDescent="0.25">
      <c r="A7991" t="str">
        <f>"6261250105"</f>
        <v>6261250105</v>
      </c>
      <c r="B7991" t="str">
        <f t="shared" si="364"/>
        <v>89301000</v>
      </c>
      <c r="C7991" s="1">
        <v>44354</v>
      </c>
      <c r="D7991" s="1">
        <v>44357</v>
      </c>
      <c r="E7991">
        <v>1</v>
      </c>
      <c r="F7991" t="s">
        <v>5705</v>
      </c>
      <c r="G7991" t="str">
        <f>"08-K04-03"</f>
        <v>08-K04-03</v>
      </c>
      <c r="H7991">
        <v>0.45050000000000001</v>
      </c>
      <c r="I7991" t="s">
        <v>3330</v>
      </c>
      <c r="J7991" t="s">
        <v>14</v>
      </c>
      <c r="K7991" t="str">
        <f>"6F6"</f>
        <v>6F6</v>
      </c>
      <c r="L7991" t="s">
        <v>15</v>
      </c>
    </row>
    <row r="7992" spans="1:12" x14ac:dyDescent="0.25">
      <c r="A7992" t="str">
        <f>"6262066184"</f>
        <v>6262066184</v>
      </c>
      <c r="B7992" t="str">
        <f t="shared" si="364"/>
        <v>89301000</v>
      </c>
      <c r="C7992" s="1">
        <v>44321</v>
      </c>
      <c r="D7992" s="1">
        <v>44325</v>
      </c>
      <c r="E7992">
        <v>1</v>
      </c>
      <c r="F7992" t="s">
        <v>1551</v>
      </c>
      <c r="G7992" t="str">
        <f>"09-I06-04"</f>
        <v>09-I06-04</v>
      </c>
      <c r="H7992">
        <v>0.98829999999999996</v>
      </c>
      <c r="J7992" t="s">
        <v>17</v>
      </c>
      <c r="K7992" t="str">
        <f>"5F1"</f>
        <v>5F1</v>
      </c>
      <c r="L7992" t="s">
        <v>15</v>
      </c>
    </row>
    <row r="7993" spans="1:12" x14ac:dyDescent="0.25">
      <c r="A7993" t="str">
        <f>"6262130160"</f>
        <v>6262130160</v>
      </c>
      <c r="B7993" t="str">
        <f t="shared" ref="B7993:B8054" si="367">"89301000"</f>
        <v>89301000</v>
      </c>
      <c r="C7993" s="1">
        <v>44461</v>
      </c>
      <c r="D7993" s="1">
        <v>44470</v>
      </c>
      <c r="E7993">
        <v>1</v>
      </c>
      <c r="F7993" t="s">
        <v>1240</v>
      </c>
      <c r="G7993" t="str">
        <f>"11-K01-03"</f>
        <v>11-K01-03</v>
      </c>
      <c r="H7993">
        <v>0.59489999999999998</v>
      </c>
      <c r="I7993" t="s">
        <v>5706</v>
      </c>
      <c r="J7993" t="s">
        <v>14</v>
      </c>
      <c r="K7993" t="str">
        <f>"7F6"</f>
        <v>7F6</v>
      </c>
      <c r="L7993" t="s">
        <v>15</v>
      </c>
    </row>
    <row r="7994" spans="1:12" x14ac:dyDescent="0.25">
      <c r="A7994" t="str">
        <f>"6262171289"</f>
        <v>6262171289</v>
      </c>
      <c r="B7994" t="str">
        <f t="shared" si="367"/>
        <v>89301000</v>
      </c>
      <c r="C7994" s="1">
        <v>44438</v>
      </c>
      <c r="D7994" s="1">
        <v>44449</v>
      </c>
      <c r="E7994">
        <v>1</v>
      </c>
      <c r="F7994" t="s">
        <v>5707</v>
      </c>
      <c r="G7994" t="str">
        <f>"20-K04-02"</f>
        <v>20-K04-02</v>
      </c>
      <c r="H7994">
        <v>1.4984</v>
      </c>
      <c r="I7994" t="s">
        <v>5708</v>
      </c>
      <c r="J7994" t="s">
        <v>14</v>
      </c>
      <c r="K7994" t="str">
        <f>"3F5"</f>
        <v>3F5</v>
      </c>
      <c r="L7994" t="s">
        <v>15</v>
      </c>
    </row>
    <row r="7995" spans="1:12" x14ac:dyDescent="0.25">
      <c r="A7995" t="str">
        <f>"6262200098"</f>
        <v>6262200098</v>
      </c>
      <c r="B7995" t="str">
        <f t="shared" si="367"/>
        <v>89301000</v>
      </c>
      <c r="C7995" s="1">
        <v>44451</v>
      </c>
      <c r="D7995" s="1">
        <v>44454</v>
      </c>
      <c r="E7995">
        <v>1</v>
      </c>
      <c r="F7995" t="s">
        <v>4817</v>
      </c>
      <c r="G7995" t="str">
        <f>"03-I12-02"</f>
        <v>03-I12-02</v>
      </c>
      <c r="H7995">
        <v>1.3232999999999999</v>
      </c>
      <c r="J7995" t="s">
        <v>17</v>
      </c>
      <c r="K7995" t="str">
        <f>"7F1"</f>
        <v>7F1</v>
      </c>
      <c r="L7995" t="s">
        <v>15</v>
      </c>
    </row>
    <row r="7996" spans="1:12" x14ac:dyDescent="0.25">
      <c r="A7996" t="str">
        <f>"6262200395"</f>
        <v>6262200395</v>
      </c>
      <c r="B7996" t="str">
        <f t="shared" si="367"/>
        <v>89301000</v>
      </c>
      <c r="C7996" s="1">
        <v>44246</v>
      </c>
      <c r="D7996" s="1">
        <v>44247</v>
      </c>
      <c r="E7996">
        <v>1</v>
      </c>
      <c r="F7996" t="s">
        <v>5439</v>
      </c>
      <c r="G7996" t="str">
        <f>"05-D01-08"</f>
        <v>05-D01-08</v>
      </c>
      <c r="H7996">
        <v>0.4093</v>
      </c>
      <c r="J7996" t="s">
        <v>14</v>
      </c>
      <c r="K7996" t="str">
        <f>"1F1"</f>
        <v>1F1</v>
      </c>
      <c r="L7996" t="s">
        <v>15</v>
      </c>
    </row>
    <row r="7997" spans="1:12" x14ac:dyDescent="0.25">
      <c r="A7997" t="str">
        <f>"6262240952"</f>
        <v>6262240952</v>
      </c>
      <c r="B7997" t="str">
        <f t="shared" si="367"/>
        <v>89301000</v>
      </c>
      <c r="C7997" s="1">
        <v>44490</v>
      </c>
      <c r="D7997" s="1">
        <v>44537</v>
      </c>
      <c r="E7997">
        <v>1</v>
      </c>
      <c r="F7997" t="s">
        <v>911</v>
      </c>
      <c r="G7997" t="str">
        <f>"17-C01-02"</f>
        <v>17-C01-02</v>
      </c>
      <c r="H7997">
        <v>12.874599999999999</v>
      </c>
      <c r="I7997" t="s">
        <v>5709</v>
      </c>
      <c r="J7997" t="s">
        <v>14</v>
      </c>
      <c r="K7997" t="str">
        <f>"2F2"</f>
        <v>2F2</v>
      </c>
      <c r="L7997" t="s">
        <v>15</v>
      </c>
    </row>
    <row r="7998" spans="1:12" x14ac:dyDescent="0.25">
      <c r="A7998" t="str">
        <f>"6301016051"</f>
        <v>6301016051</v>
      </c>
      <c r="B7998" t="str">
        <f t="shared" si="367"/>
        <v>89301000</v>
      </c>
      <c r="C7998" s="1">
        <v>44221</v>
      </c>
      <c r="D7998" s="1">
        <v>44239</v>
      </c>
      <c r="E7998">
        <v>1</v>
      </c>
      <c r="F7998" t="s">
        <v>2328</v>
      </c>
      <c r="G7998" t="str">
        <f>"08-I26-01"</f>
        <v>08-I26-01</v>
      </c>
      <c r="H7998">
        <v>1.7079</v>
      </c>
      <c r="I7998" t="s">
        <v>5710</v>
      </c>
      <c r="J7998" t="s">
        <v>14</v>
      </c>
      <c r="K7998" t="str">
        <f>"6F6"</f>
        <v>6F6</v>
      </c>
      <c r="L7998" t="s">
        <v>15</v>
      </c>
    </row>
    <row r="7999" spans="1:12" x14ac:dyDescent="0.25">
      <c r="A7999" t="str">
        <f>"6301161680"</f>
        <v>6301161680</v>
      </c>
      <c r="B7999" t="str">
        <f t="shared" si="367"/>
        <v>89301000</v>
      </c>
      <c r="C7999" s="1">
        <v>44350</v>
      </c>
      <c r="D7999" s="1">
        <v>44353</v>
      </c>
      <c r="E7999">
        <v>1</v>
      </c>
      <c r="F7999" t="s">
        <v>496</v>
      </c>
      <c r="G7999" t="str">
        <f>"08-M03-05"</f>
        <v>08-M03-05</v>
      </c>
      <c r="H7999">
        <v>0.51759999999999995</v>
      </c>
      <c r="I7999" t="s">
        <v>5711</v>
      </c>
      <c r="J7999" t="s">
        <v>14</v>
      </c>
      <c r="K7999" t="str">
        <f>"6F6"</f>
        <v>6F6</v>
      </c>
      <c r="L7999" t="s">
        <v>15</v>
      </c>
    </row>
    <row r="8000" spans="1:12" x14ac:dyDescent="0.25">
      <c r="A8000" t="str">
        <f>"6301271515"</f>
        <v>6301271515</v>
      </c>
      <c r="B8000" t="str">
        <f t="shared" si="367"/>
        <v>89301000</v>
      </c>
      <c r="C8000" s="1">
        <v>44475</v>
      </c>
      <c r="D8000" s="1">
        <v>44477</v>
      </c>
      <c r="E8000">
        <v>1</v>
      </c>
      <c r="F8000" t="s">
        <v>2623</v>
      </c>
      <c r="G8000" t="str">
        <f>"17-C05-02"</f>
        <v>17-C05-02</v>
      </c>
      <c r="H8000">
        <v>1.7685999999999999</v>
      </c>
      <c r="I8000" t="s">
        <v>4919</v>
      </c>
      <c r="J8000" t="s">
        <v>14</v>
      </c>
      <c r="K8000" t="str">
        <f>"2F2"</f>
        <v>2F2</v>
      </c>
      <c r="L8000" t="s">
        <v>15</v>
      </c>
    </row>
    <row r="8001" spans="1:12" x14ac:dyDescent="0.25">
      <c r="A8001" t="str">
        <f>"6301300511"</f>
        <v>6301300511</v>
      </c>
      <c r="B8001" t="str">
        <f t="shared" si="367"/>
        <v>89301000</v>
      </c>
      <c r="C8001" s="1">
        <v>44424</v>
      </c>
      <c r="D8001" s="1">
        <v>44425</v>
      </c>
      <c r="E8001">
        <v>1</v>
      </c>
      <c r="F8001" t="s">
        <v>2457</v>
      </c>
      <c r="G8001" t="str">
        <f>"05-D01-08"</f>
        <v>05-D01-08</v>
      </c>
      <c r="H8001">
        <v>0.4093</v>
      </c>
      <c r="I8001" t="s">
        <v>1959</v>
      </c>
      <c r="J8001" t="s">
        <v>14</v>
      </c>
      <c r="K8001" t="str">
        <f>"1F1"</f>
        <v>1F1</v>
      </c>
      <c r="L8001" t="s">
        <v>15</v>
      </c>
    </row>
    <row r="8002" spans="1:12" x14ac:dyDescent="0.25">
      <c r="A8002" t="str">
        <f>"6302040635"</f>
        <v>6302040635</v>
      </c>
      <c r="B8002" t="str">
        <f t="shared" si="367"/>
        <v>89301000</v>
      </c>
      <c r="C8002" s="1">
        <v>44412</v>
      </c>
      <c r="D8002" s="1">
        <v>44415</v>
      </c>
      <c r="E8002">
        <v>1</v>
      </c>
      <c r="F8002" t="s">
        <v>320</v>
      </c>
      <c r="G8002" t="str">
        <f>"03-I23-00"</f>
        <v>03-I23-00</v>
      </c>
      <c r="H8002">
        <v>0.60450000000000004</v>
      </c>
      <c r="I8002" t="s">
        <v>5712</v>
      </c>
      <c r="J8002" t="s">
        <v>14</v>
      </c>
      <c r="K8002" t="str">
        <f>"6F5"</f>
        <v>6F5</v>
      </c>
      <c r="L8002" t="s">
        <v>15</v>
      </c>
    </row>
    <row r="8003" spans="1:12" x14ac:dyDescent="0.25">
      <c r="A8003" t="str">
        <f>"6302041372"</f>
        <v>6302041372</v>
      </c>
      <c r="B8003" t="str">
        <f t="shared" si="367"/>
        <v>89301000</v>
      </c>
      <c r="C8003" s="1">
        <v>44473</v>
      </c>
      <c r="D8003" s="1">
        <v>44511</v>
      </c>
      <c r="E8003">
        <v>1</v>
      </c>
      <c r="F8003" t="s">
        <v>5713</v>
      </c>
      <c r="G8003" t="str">
        <f>"19-K07-02"</f>
        <v>19-K07-02</v>
      </c>
      <c r="H8003">
        <v>2.8759999999999999</v>
      </c>
      <c r="I8003" t="s">
        <v>159</v>
      </c>
      <c r="J8003" t="s">
        <v>27</v>
      </c>
      <c r="K8003" t="str">
        <f>"3F5"</f>
        <v>3F5</v>
      </c>
      <c r="L8003" t="s">
        <v>15</v>
      </c>
    </row>
    <row r="8004" spans="1:12" x14ac:dyDescent="0.25">
      <c r="A8004" t="str">
        <f>"6302221530"</f>
        <v>6302221530</v>
      </c>
      <c r="B8004" t="str">
        <f t="shared" si="367"/>
        <v>89301000</v>
      </c>
      <c r="C8004" s="1">
        <v>44291</v>
      </c>
      <c r="D8004" s="1">
        <v>44293</v>
      </c>
      <c r="E8004">
        <v>1</v>
      </c>
      <c r="F8004" t="s">
        <v>5714</v>
      </c>
      <c r="G8004" t="str">
        <f>"08-K04-03"</f>
        <v>08-K04-03</v>
      </c>
      <c r="H8004">
        <v>0.45050000000000001</v>
      </c>
      <c r="I8004" t="s">
        <v>1739</v>
      </c>
      <c r="J8004" t="s">
        <v>14</v>
      </c>
      <c r="K8004" t="str">
        <f>"6F6"</f>
        <v>6F6</v>
      </c>
      <c r="L8004" t="s">
        <v>15</v>
      </c>
    </row>
    <row r="8005" spans="1:12" x14ac:dyDescent="0.25">
      <c r="A8005" t="str">
        <f>"6302251450"</f>
        <v>6302251450</v>
      </c>
      <c r="B8005" t="str">
        <f t="shared" si="367"/>
        <v>89301000</v>
      </c>
      <c r="C8005" s="1">
        <v>44306</v>
      </c>
      <c r="D8005" s="1">
        <v>44309</v>
      </c>
      <c r="E8005">
        <v>1</v>
      </c>
      <c r="F8005" t="s">
        <v>43</v>
      </c>
      <c r="G8005" t="str">
        <f>"06-I18-05"</f>
        <v>06-I18-05</v>
      </c>
      <c r="H8005">
        <v>0.85550000000000004</v>
      </c>
      <c r="I8005" t="s">
        <v>5715</v>
      </c>
      <c r="J8005" t="s">
        <v>24</v>
      </c>
      <c r="K8005" t="str">
        <f>"5F1"</f>
        <v>5F1</v>
      </c>
      <c r="L8005" t="s">
        <v>15</v>
      </c>
    </row>
    <row r="8006" spans="1:12" x14ac:dyDescent="0.25">
      <c r="A8006" t="str">
        <f>"6302271250"</f>
        <v>6302271250</v>
      </c>
      <c r="B8006" t="str">
        <f t="shared" si="367"/>
        <v>89301000</v>
      </c>
      <c r="C8006" s="1">
        <v>44260</v>
      </c>
      <c r="D8006" s="1">
        <v>44264</v>
      </c>
      <c r="E8006">
        <v>1</v>
      </c>
      <c r="F8006" t="s">
        <v>722</v>
      </c>
      <c r="G8006" t="str">
        <f>"03-I22-03"</f>
        <v>03-I22-03</v>
      </c>
      <c r="H8006">
        <v>0.49049999999999999</v>
      </c>
      <c r="I8006" t="s">
        <v>5716</v>
      </c>
      <c r="J8006" t="s">
        <v>14</v>
      </c>
      <c r="K8006" t="str">
        <f>"7F1"</f>
        <v>7F1</v>
      </c>
      <c r="L8006" t="s">
        <v>15</v>
      </c>
    </row>
    <row r="8007" spans="1:12" x14ac:dyDescent="0.25">
      <c r="A8007" t="str">
        <f>"6302281612"</f>
        <v>6302281612</v>
      </c>
      <c r="B8007" t="str">
        <f t="shared" si="367"/>
        <v>89301000</v>
      </c>
      <c r="C8007" s="1">
        <v>44503</v>
      </c>
      <c r="D8007" s="1">
        <v>44515</v>
      </c>
      <c r="E8007">
        <v>1</v>
      </c>
      <c r="F8007" t="s">
        <v>4557</v>
      </c>
      <c r="G8007" t="str">
        <f>"20-K04-02"</f>
        <v>20-K04-02</v>
      </c>
      <c r="H8007">
        <v>1.4984</v>
      </c>
      <c r="I8007" t="s">
        <v>5717</v>
      </c>
      <c r="J8007" t="s">
        <v>14</v>
      </c>
      <c r="K8007" t="str">
        <f>"3F5"</f>
        <v>3F5</v>
      </c>
      <c r="L8007" t="s">
        <v>15</v>
      </c>
    </row>
    <row r="8008" spans="1:12" x14ac:dyDescent="0.25">
      <c r="A8008" t="str">
        <f>"6303060214"</f>
        <v>6303060214</v>
      </c>
      <c r="B8008" t="str">
        <f t="shared" si="367"/>
        <v>89301000</v>
      </c>
      <c r="C8008" s="1">
        <v>44293</v>
      </c>
      <c r="D8008" s="1">
        <v>44299</v>
      </c>
      <c r="E8008">
        <v>1</v>
      </c>
      <c r="F8008" t="s">
        <v>2232</v>
      </c>
      <c r="G8008" t="str">
        <f>"11-I08-02"</f>
        <v>11-I08-02</v>
      </c>
      <c r="H8008">
        <v>3.0028999999999999</v>
      </c>
      <c r="I8008" t="s">
        <v>5718</v>
      </c>
      <c r="J8008" t="s">
        <v>17</v>
      </c>
      <c r="K8008" t="str">
        <f>"7F6"</f>
        <v>7F6</v>
      </c>
      <c r="L8008" t="s">
        <v>15</v>
      </c>
    </row>
    <row r="8009" spans="1:12" x14ac:dyDescent="0.25">
      <c r="A8009" t="str">
        <f>"6303070488"</f>
        <v>6303070488</v>
      </c>
      <c r="B8009" t="str">
        <f t="shared" si="367"/>
        <v>89301000</v>
      </c>
      <c r="C8009" s="1">
        <v>44512</v>
      </c>
      <c r="D8009" s="1">
        <v>44516</v>
      </c>
      <c r="E8009">
        <v>1</v>
      </c>
      <c r="F8009" t="s">
        <v>217</v>
      </c>
      <c r="G8009" t="str">
        <f>"04-K02-04"</f>
        <v>04-K02-04</v>
      </c>
      <c r="H8009">
        <v>0.82469999999999999</v>
      </c>
      <c r="I8009" t="s">
        <v>3619</v>
      </c>
      <c r="J8009" t="s">
        <v>14</v>
      </c>
      <c r="K8009" t="str">
        <f>"1F1"</f>
        <v>1F1</v>
      </c>
      <c r="L8009" t="s">
        <v>15</v>
      </c>
    </row>
    <row r="8010" spans="1:12" x14ac:dyDescent="0.25">
      <c r="A8010" t="str">
        <f>"6303081741"</f>
        <v>6303081741</v>
      </c>
      <c r="B8010" t="str">
        <f t="shared" si="367"/>
        <v>89301000</v>
      </c>
      <c r="C8010" s="1">
        <v>44406</v>
      </c>
      <c r="D8010" s="1">
        <v>44409</v>
      </c>
      <c r="E8010">
        <v>1</v>
      </c>
      <c r="F8010" t="s">
        <v>1683</v>
      </c>
      <c r="G8010" t="str">
        <f>"05-M06-06"</f>
        <v>05-M06-06</v>
      </c>
      <c r="H8010">
        <v>1.7652000000000001</v>
      </c>
      <c r="J8010" t="s">
        <v>17</v>
      </c>
      <c r="K8010" t="str">
        <f>"1F7"</f>
        <v>1F7</v>
      </c>
      <c r="L8010" t="s">
        <v>15</v>
      </c>
    </row>
    <row r="8011" spans="1:12" x14ac:dyDescent="0.25">
      <c r="A8011" t="str">
        <f>"6303082269"</f>
        <v>6303082269</v>
      </c>
      <c r="B8011" t="str">
        <f t="shared" si="367"/>
        <v>89301000</v>
      </c>
      <c r="C8011" s="1">
        <v>44340</v>
      </c>
      <c r="D8011" s="1">
        <v>44342</v>
      </c>
      <c r="E8011">
        <v>1</v>
      </c>
      <c r="F8011" t="s">
        <v>4382</v>
      </c>
      <c r="G8011" t="str">
        <f>"05-I30-02"</f>
        <v>05-I30-02</v>
      </c>
      <c r="H8011">
        <v>0.46729999999999999</v>
      </c>
      <c r="J8011" t="s">
        <v>14</v>
      </c>
      <c r="K8011" t="str">
        <f>"5F1"</f>
        <v>5F1</v>
      </c>
      <c r="L8011" t="s">
        <v>15</v>
      </c>
    </row>
    <row r="8012" spans="1:12" x14ac:dyDescent="0.25">
      <c r="A8012" t="str">
        <f>"6303140778"</f>
        <v>6303140778</v>
      </c>
      <c r="B8012" t="str">
        <f t="shared" si="367"/>
        <v>89301000</v>
      </c>
      <c r="C8012" s="1">
        <v>44533</v>
      </c>
      <c r="D8012" s="1">
        <v>44533</v>
      </c>
      <c r="E8012">
        <v>1</v>
      </c>
      <c r="F8012" t="s">
        <v>1557</v>
      </c>
      <c r="G8012" t="str">
        <f>"05-D01-08"</f>
        <v>05-D01-08</v>
      </c>
      <c r="H8012">
        <v>0.21890000000000001</v>
      </c>
      <c r="I8012" t="s">
        <v>1658</v>
      </c>
      <c r="J8012" t="s">
        <v>14</v>
      </c>
      <c r="K8012" t="str">
        <f>"1F1"</f>
        <v>1F1</v>
      </c>
      <c r="L8012" t="s">
        <v>15</v>
      </c>
    </row>
    <row r="8013" spans="1:12" x14ac:dyDescent="0.25">
      <c r="A8013" t="str">
        <f>"6303190586"</f>
        <v>6303190586</v>
      </c>
      <c r="B8013" t="str">
        <f t="shared" si="367"/>
        <v>89301000</v>
      </c>
      <c r="C8013" s="1">
        <v>44475</v>
      </c>
      <c r="D8013" s="1">
        <v>44496</v>
      </c>
      <c r="E8013">
        <v>1</v>
      </c>
      <c r="F8013" t="s">
        <v>2623</v>
      </c>
      <c r="G8013" t="str">
        <f>"17-C05-02"</f>
        <v>17-C05-02</v>
      </c>
      <c r="H8013">
        <v>1.9036999999999999</v>
      </c>
      <c r="I8013" t="s">
        <v>5719</v>
      </c>
      <c r="J8013" t="s">
        <v>14</v>
      </c>
      <c r="K8013" t="str">
        <f>"2F2"</f>
        <v>2F2</v>
      </c>
      <c r="L8013" t="s">
        <v>15</v>
      </c>
    </row>
    <row r="8014" spans="1:12" x14ac:dyDescent="0.25">
      <c r="A8014" t="str">
        <f>"6303190586"</f>
        <v>6303190586</v>
      </c>
      <c r="B8014" t="str">
        <f t="shared" si="367"/>
        <v>89301000</v>
      </c>
      <c r="C8014" s="1">
        <v>44442</v>
      </c>
      <c r="D8014" s="1">
        <v>44459</v>
      </c>
      <c r="E8014">
        <v>1</v>
      </c>
      <c r="F8014" t="s">
        <v>2623</v>
      </c>
      <c r="G8014" t="str">
        <f>"17-K03-01"</f>
        <v>17-K03-01</v>
      </c>
      <c r="H8014">
        <v>2.0348000000000002</v>
      </c>
      <c r="I8014" t="s">
        <v>5720</v>
      </c>
      <c r="J8014" t="s">
        <v>14</v>
      </c>
      <c r="K8014" t="str">
        <f>"2F2"</f>
        <v>2F2</v>
      </c>
      <c r="L8014" t="s">
        <v>15</v>
      </c>
    </row>
    <row r="8015" spans="1:12" x14ac:dyDescent="0.25">
      <c r="A8015" t="str">
        <f>"6303210474"</f>
        <v>6303210474</v>
      </c>
      <c r="B8015" t="str">
        <f t="shared" si="367"/>
        <v>89301000</v>
      </c>
      <c r="C8015" s="1">
        <v>44480</v>
      </c>
      <c r="D8015" s="1">
        <v>44483</v>
      </c>
      <c r="E8015">
        <v>1</v>
      </c>
      <c r="F8015" t="s">
        <v>1991</v>
      </c>
      <c r="G8015" t="str">
        <f>"12-M02-02"</f>
        <v>12-M02-02</v>
      </c>
      <c r="H8015">
        <v>0.995</v>
      </c>
      <c r="I8015" t="s">
        <v>5721</v>
      </c>
      <c r="J8015" t="s">
        <v>24</v>
      </c>
      <c r="K8015" t="str">
        <f>"7F6"</f>
        <v>7F6</v>
      </c>
      <c r="L8015" t="s">
        <v>15</v>
      </c>
    </row>
    <row r="8016" spans="1:12" x14ac:dyDescent="0.25">
      <c r="A8016" t="str">
        <f>"6303250635"</f>
        <v>6303250635</v>
      </c>
      <c r="B8016" t="str">
        <f t="shared" si="367"/>
        <v>89301000</v>
      </c>
      <c r="C8016" s="1">
        <v>44242</v>
      </c>
      <c r="D8016" s="1">
        <v>44253</v>
      </c>
      <c r="E8016">
        <v>1</v>
      </c>
      <c r="F8016" t="s">
        <v>217</v>
      </c>
      <c r="G8016" t="str">
        <f>"04-K02-03"</f>
        <v>04-K02-03</v>
      </c>
      <c r="H8016">
        <v>1.2859</v>
      </c>
      <c r="I8016" t="s">
        <v>5722</v>
      </c>
      <c r="J8016" t="s">
        <v>14</v>
      </c>
      <c r="K8016" t="str">
        <f>"1F1"</f>
        <v>1F1</v>
      </c>
      <c r="L8016" t="s">
        <v>15</v>
      </c>
    </row>
    <row r="8017" spans="1:12" x14ac:dyDescent="0.25">
      <c r="A8017" t="str">
        <f>"6303251735"</f>
        <v>6303251735</v>
      </c>
      <c r="B8017" t="str">
        <f t="shared" si="367"/>
        <v>89301000</v>
      </c>
      <c r="C8017" s="1">
        <v>44411</v>
      </c>
      <c r="D8017" s="1">
        <v>44414</v>
      </c>
      <c r="E8017">
        <v>1</v>
      </c>
      <c r="F8017" t="s">
        <v>2407</v>
      </c>
      <c r="G8017" t="str">
        <f>"08-I22-02"</f>
        <v>08-I22-02</v>
      </c>
      <c r="H8017">
        <v>1.1049</v>
      </c>
      <c r="J8017" t="s">
        <v>17</v>
      </c>
      <c r="K8017" t="str">
        <f>"6F6"</f>
        <v>6F6</v>
      </c>
      <c r="L8017" t="s">
        <v>15</v>
      </c>
    </row>
    <row r="8018" spans="1:12" x14ac:dyDescent="0.25">
      <c r="A8018" t="str">
        <f>"6303261602"</f>
        <v>6303261602</v>
      </c>
      <c r="B8018" t="str">
        <f t="shared" si="367"/>
        <v>89301000</v>
      </c>
      <c r="C8018" s="1">
        <v>44223</v>
      </c>
      <c r="D8018" s="1">
        <v>44228</v>
      </c>
      <c r="E8018">
        <v>1</v>
      </c>
      <c r="F8018" t="s">
        <v>2068</v>
      </c>
      <c r="G8018" t="str">
        <f>"02-I06-02"</f>
        <v>02-I06-02</v>
      </c>
      <c r="H8018">
        <v>0.90300000000000002</v>
      </c>
      <c r="I8018" t="s">
        <v>5723</v>
      </c>
      <c r="J8018" t="s">
        <v>17</v>
      </c>
      <c r="K8018" t="str">
        <f>"7F5"</f>
        <v>7F5</v>
      </c>
      <c r="L8018" t="s">
        <v>15</v>
      </c>
    </row>
    <row r="8019" spans="1:12" x14ac:dyDescent="0.25">
      <c r="A8019" t="str">
        <f>"6303261602"</f>
        <v>6303261602</v>
      </c>
      <c r="B8019" t="str">
        <f t="shared" si="367"/>
        <v>89301000</v>
      </c>
      <c r="C8019" s="1">
        <v>44364</v>
      </c>
      <c r="D8019" s="1">
        <v>44368</v>
      </c>
      <c r="E8019">
        <v>1</v>
      </c>
      <c r="F8019" t="s">
        <v>1704</v>
      </c>
      <c r="G8019" t="str">
        <f>"23-I10-00"</f>
        <v>23-I10-00</v>
      </c>
      <c r="H8019">
        <v>0.59630000000000005</v>
      </c>
      <c r="I8019" t="s">
        <v>5724</v>
      </c>
      <c r="J8019" t="s">
        <v>14</v>
      </c>
      <c r="K8019" t="str">
        <f>"7F5"</f>
        <v>7F5</v>
      </c>
      <c r="L8019" t="s">
        <v>15</v>
      </c>
    </row>
    <row r="8020" spans="1:12" x14ac:dyDescent="0.25">
      <c r="A8020" t="str">
        <f>"6303261602"</f>
        <v>6303261602</v>
      </c>
      <c r="B8020" t="str">
        <f t="shared" si="367"/>
        <v>89301000</v>
      </c>
      <c r="C8020" s="1">
        <v>44400</v>
      </c>
      <c r="D8020" s="1">
        <v>44401</v>
      </c>
      <c r="E8020">
        <v>1</v>
      </c>
      <c r="F8020" t="s">
        <v>3620</v>
      </c>
      <c r="G8020" t="str">
        <f>"02-M01-02"</f>
        <v>02-M01-02</v>
      </c>
      <c r="H8020">
        <v>0.58299999999999996</v>
      </c>
      <c r="I8020" t="s">
        <v>5723</v>
      </c>
      <c r="J8020" t="s">
        <v>14</v>
      </c>
      <c r="K8020" t="str">
        <f>"7F5"</f>
        <v>7F5</v>
      </c>
      <c r="L8020" t="s">
        <v>15</v>
      </c>
    </row>
    <row r="8021" spans="1:12" x14ac:dyDescent="0.25">
      <c r="A8021" t="str">
        <f>"6303290686"</f>
        <v>6303290686</v>
      </c>
      <c r="B8021" t="str">
        <f t="shared" si="367"/>
        <v>89301000</v>
      </c>
      <c r="C8021" s="1">
        <v>44202</v>
      </c>
      <c r="D8021" s="1">
        <v>44208</v>
      </c>
      <c r="E8021">
        <v>1</v>
      </c>
      <c r="F8021" t="s">
        <v>217</v>
      </c>
      <c r="G8021" t="str">
        <f>"04-K02-03"</f>
        <v>04-K02-03</v>
      </c>
      <c r="H8021">
        <v>1.2859</v>
      </c>
      <c r="I8021" t="s">
        <v>4508</v>
      </c>
      <c r="J8021" t="s">
        <v>14</v>
      </c>
      <c r="K8021" t="str">
        <f>"1F1"</f>
        <v>1F1</v>
      </c>
      <c r="L8021" t="s">
        <v>15</v>
      </c>
    </row>
    <row r="8022" spans="1:12" x14ac:dyDescent="0.25">
      <c r="A8022" t="str">
        <f>"6304032262"</f>
        <v>6304032262</v>
      </c>
      <c r="B8022" t="str">
        <f t="shared" si="367"/>
        <v>89301000</v>
      </c>
      <c r="C8022" s="1">
        <v>44235</v>
      </c>
      <c r="D8022" s="1">
        <v>44244</v>
      </c>
      <c r="E8022">
        <v>1</v>
      </c>
      <c r="F8022" t="s">
        <v>5725</v>
      </c>
      <c r="G8022" t="str">
        <f>"04-I04-00"</f>
        <v>04-I04-00</v>
      </c>
      <c r="H8022">
        <v>3.6890999999999998</v>
      </c>
      <c r="I8022" t="s">
        <v>5726</v>
      </c>
      <c r="J8022" t="s">
        <v>17</v>
      </c>
      <c r="K8022" t="str">
        <f>"2F5"</f>
        <v>2F5</v>
      </c>
      <c r="L8022" t="s">
        <v>15</v>
      </c>
    </row>
    <row r="8023" spans="1:12" x14ac:dyDescent="0.25">
      <c r="A8023" t="str">
        <f>"6304080750"</f>
        <v>6304080750</v>
      </c>
      <c r="B8023" t="str">
        <f t="shared" si="367"/>
        <v>89301000</v>
      </c>
      <c r="C8023" s="1">
        <v>44397</v>
      </c>
      <c r="D8023" s="1">
        <v>44399</v>
      </c>
      <c r="E8023">
        <v>1</v>
      </c>
      <c r="F8023" t="s">
        <v>5727</v>
      </c>
      <c r="G8023" t="str">
        <f>"08-K15-00"</f>
        <v>08-K15-00</v>
      </c>
      <c r="H8023">
        <v>0.44180000000000003</v>
      </c>
      <c r="I8023" t="s">
        <v>244</v>
      </c>
      <c r="J8023" t="s">
        <v>14</v>
      </c>
      <c r="K8023" t="str">
        <f>"5F3"</f>
        <v>5F3</v>
      </c>
      <c r="L8023" t="s">
        <v>15</v>
      </c>
    </row>
    <row r="8024" spans="1:12" x14ac:dyDescent="0.25">
      <c r="A8024" t="str">
        <f>"6304121934"</f>
        <v>6304121934</v>
      </c>
      <c r="B8024" t="str">
        <f t="shared" si="367"/>
        <v>89301000</v>
      </c>
      <c r="C8024" s="1">
        <v>44218</v>
      </c>
      <c r="D8024" s="1">
        <v>44238</v>
      </c>
      <c r="E8024">
        <v>1</v>
      </c>
      <c r="F8024" t="s">
        <v>5728</v>
      </c>
      <c r="G8024" t="str">
        <f>"19-K04-02"</f>
        <v>19-K04-02</v>
      </c>
      <c r="H8024">
        <v>1.4597</v>
      </c>
      <c r="I8024" t="s">
        <v>5729</v>
      </c>
      <c r="J8024" t="s">
        <v>27</v>
      </c>
      <c r="K8024" t="str">
        <f>"3F5"</f>
        <v>3F5</v>
      </c>
      <c r="L8024" t="s">
        <v>15</v>
      </c>
    </row>
    <row r="8025" spans="1:12" x14ac:dyDescent="0.25">
      <c r="A8025" t="str">
        <f>"6304121934"</f>
        <v>6304121934</v>
      </c>
      <c r="B8025" t="str">
        <f t="shared" si="367"/>
        <v>89301000</v>
      </c>
      <c r="C8025" s="1">
        <v>44480</v>
      </c>
      <c r="D8025" s="1">
        <v>44484</v>
      </c>
      <c r="E8025">
        <v>4</v>
      </c>
      <c r="F8025" t="s">
        <v>5176</v>
      </c>
      <c r="G8025" t="str">
        <f>"19-K02-03"</f>
        <v>19-K02-03</v>
      </c>
      <c r="H8025">
        <v>0.67269999999999996</v>
      </c>
      <c r="I8025" t="s">
        <v>2361</v>
      </c>
      <c r="J8025" t="s">
        <v>27</v>
      </c>
      <c r="K8025" t="str">
        <f>"3F5"</f>
        <v>3F5</v>
      </c>
      <c r="L8025" t="s">
        <v>15</v>
      </c>
    </row>
    <row r="8026" spans="1:12" x14ac:dyDescent="0.25">
      <c r="A8026" t="str">
        <f>"6304150820"</f>
        <v>6304150820</v>
      </c>
      <c r="B8026" t="str">
        <f t="shared" si="367"/>
        <v>89301000</v>
      </c>
      <c r="C8026" s="1">
        <v>44538</v>
      </c>
      <c r="D8026" s="1">
        <v>44540</v>
      </c>
      <c r="E8026">
        <v>4</v>
      </c>
      <c r="F8026" t="s">
        <v>1548</v>
      </c>
      <c r="G8026" t="str">
        <f>"05-K07-05"</f>
        <v>05-K07-05</v>
      </c>
      <c r="H8026">
        <v>0.81410000000000005</v>
      </c>
      <c r="I8026" t="s">
        <v>5730</v>
      </c>
      <c r="J8026" t="s">
        <v>14</v>
      </c>
      <c r="K8026" t="str">
        <f>"1F9"</f>
        <v>1F9</v>
      </c>
      <c r="L8026" t="s">
        <v>15</v>
      </c>
    </row>
    <row r="8027" spans="1:12" x14ac:dyDescent="0.25">
      <c r="A8027" t="str">
        <f>"6305212320"</f>
        <v>6305212320</v>
      </c>
      <c r="B8027" t="str">
        <f t="shared" si="367"/>
        <v>89301000</v>
      </c>
      <c r="C8027" s="1">
        <v>44256</v>
      </c>
      <c r="D8027" s="1">
        <v>44261</v>
      </c>
      <c r="E8027">
        <v>1</v>
      </c>
      <c r="F8027" t="s">
        <v>424</v>
      </c>
      <c r="G8027" t="str">
        <f>"07-M02-04"</f>
        <v>07-M02-04</v>
      </c>
      <c r="H8027">
        <v>0.84760000000000002</v>
      </c>
      <c r="I8027" t="s">
        <v>4424</v>
      </c>
      <c r="J8027" t="s">
        <v>17</v>
      </c>
      <c r="K8027" t="str">
        <f>"1F1"</f>
        <v>1F1</v>
      </c>
      <c r="L8027" t="s">
        <v>15</v>
      </c>
    </row>
    <row r="8028" spans="1:12" x14ac:dyDescent="0.25">
      <c r="A8028" t="str">
        <f>"6305212320"</f>
        <v>6305212320</v>
      </c>
      <c r="B8028" t="str">
        <f t="shared" si="367"/>
        <v>89301000</v>
      </c>
      <c r="C8028" s="1">
        <v>44354</v>
      </c>
      <c r="D8028" s="1">
        <v>44358</v>
      </c>
      <c r="E8028">
        <v>1</v>
      </c>
      <c r="F8028" t="s">
        <v>1561</v>
      </c>
      <c r="G8028" t="str">
        <f>"07-M02-01"</f>
        <v>07-M02-01</v>
      </c>
      <c r="H8028">
        <v>2.5634999999999999</v>
      </c>
      <c r="I8028" t="s">
        <v>5501</v>
      </c>
      <c r="J8028" t="s">
        <v>17</v>
      </c>
      <c r="K8028" t="str">
        <f>"1F5"</f>
        <v>1F5</v>
      </c>
      <c r="L8028" t="s">
        <v>15</v>
      </c>
    </row>
    <row r="8029" spans="1:12" x14ac:dyDescent="0.25">
      <c r="A8029" t="str">
        <f>"6305281631"</f>
        <v>6305281631</v>
      </c>
      <c r="B8029" t="str">
        <f t="shared" si="367"/>
        <v>89301000</v>
      </c>
      <c r="C8029" s="1">
        <v>44240</v>
      </c>
      <c r="D8029" s="1">
        <v>44242</v>
      </c>
      <c r="E8029">
        <v>1</v>
      </c>
      <c r="F8029" t="s">
        <v>38</v>
      </c>
      <c r="G8029" t="str">
        <f>"05-M06-06"</f>
        <v>05-M06-06</v>
      </c>
      <c r="H8029">
        <v>1.7652000000000001</v>
      </c>
      <c r="J8029" t="s">
        <v>17</v>
      </c>
      <c r="K8029" t="str">
        <f>"1F7"</f>
        <v>1F7</v>
      </c>
      <c r="L8029" t="s">
        <v>15</v>
      </c>
    </row>
    <row r="8030" spans="1:12" x14ac:dyDescent="0.25">
      <c r="A8030" t="str">
        <f>"6306011536"</f>
        <v>6306011536</v>
      </c>
      <c r="B8030" t="str">
        <f t="shared" si="367"/>
        <v>89301000</v>
      </c>
      <c r="C8030" s="1">
        <v>44342</v>
      </c>
      <c r="D8030" s="1">
        <v>44344</v>
      </c>
      <c r="E8030">
        <v>1</v>
      </c>
      <c r="F8030" t="s">
        <v>38</v>
      </c>
      <c r="G8030" t="str">
        <f>"05-M06-06"</f>
        <v>05-M06-06</v>
      </c>
      <c r="H8030">
        <v>1.7652000000000001</v>
      </c>
      <c r="J8030" t="s">
        <v>17</v>
      </c>
      <c r="K8030" t="str">
        <f>"1F7"</f>
        <v>1F7</v>
      </c>
      <c r="L8030" t="s">
        <v>15</v>
      </c>
    </row>
    <row r="8031" spans="1:12" x14ac:dyDescent="0.25">
      <c r="A8031" t="str">
        <f>"6306011536"</f>
        <v>6306011536</v>
      </c>
      <c r="B8031" t="str">
        <f t="shared" si="367"/>
        <v>89301000</v>
      </c>
      <c r="C8031" s="1">
        <v>44389</v>
      </c>
      <c r="D8031" s="1">
        <v>44390</v>
      </c>
      <c r="E8031">
        <v>1</v>
      </c>
      <c r="F8031" t="s">
        <v>1557</v>
      </c>
      <c r="G8031" t="str">
        <f>"05-D01-08"</f>
        <v>05-D01-08</v>
      </c>
      <c r="H8031">
        <v>0.76619999999999999</v>
      </c>
      <c r="I8031" t="s">
        <v>2036</v>
      </c>
      <c r="J8031" t="s">
        <v>14</v>
      </c>
      <c r="K8031" t="str">
        <f>"1F1"</f>
        <v>1F1</v>
      </c>
      <c r="L8031" t="s">
        <v>15</v>
      </c>
    </row>
    <row r="8032" spans="1:12" x14ac:dyDescent="0.25">
      <c r="A8032" t="str">
        <f>"6306052005"</f>
        <v>6306052005</v>
      </c>
      <c r="B8032" t="str">
        <f t="shared" si="367"/>
        <v>89301000</v>
      </c>
      <c r="C8032" s="1">
        <v>44196</v>
      </c>
      <c r="D8032" s="1">
        <v>44208</v>
      </c>
      <c r="E8032">
        <v>5</v>
      </c>
      <c r="F8032" t="s">
        <v>821</v>
      </c>
      <c r="G8032" t="str">
        <f>"05-K08-02"</f>
        <v>05-K08-02</v>
      </c>
      <c r="H8032">
        <v>2.5421</v>
      </c>
      <c r="I8032" t="s">
        <v>5731</v>
      </c>
      <c r="J8032" t="s">
        <v>14</v>
      </c>
      <c r="K8032" t="str">
        <f>"1F1"</f>
        <v>1F1</v>
      </c>
      <c r="L8032" t="s">
        <v>15</v>
      </c>
    </row>
    <row r="8033" spans="1:12" x14ac:dyDescent="0.25">
      <c r="A8033" t="str">
        <f>"6306131744"</f>
        <v>6306131744</v>
      </c>
      <c r="B8033" t="str">
        <f t="shared" si="367"/>
        <v>89301000</v>
      </c>
      <c r="C8033" s="1">
        <v>44201</v>
      </c>
      <c r="D8033" s="1">
        <v>44211</v>
      </c>
      <c r="E8033">
        <v>4</v>
      </c>
      <c r="F8033" t="s">
        <v>1558</v>
      </c>
      <c r="G8033" t="str">
        <f>"05-I12-02"</f>
        <v>05-I12-02</v>
      </c>
      <c r="H8033">
        <v>8.3271999999999995</v>
      </c>
      <c r="J8033" t="s">
        <v>17</v>
      </c>
      <c r="K8033" t="str">
        <f>"5F5"</f>
        <v>5F5</v>
      </c>
      <c r="L8033" t="s">
        <v>15</v>
      </c>
    </row>
    <row r="8034" spans="1:12" x14ac:dyDescent="0.25">
      <c r="A8034" t="str">
        <f>"6306141765"</f>
        <v>6306141765</v>
      </c>
      <c r="B8034" t="str">
        <f t="shared" si="367"/>
        <v>89301000</v>
      </c>
      <c r="C8034" s="1">
        <v>44414</v>
      </c>
      <c r="D8034" s="1">
        <v>44418</v>
      </c>
      <c r="E8034">
        <v>1</v>
      </c>
      <c r="F8034" t="s">
        <v>1953</v>
      </c>
      <c r="G8034" t="str">
        <f>"07-K07-02"</f>
        <v>07-K07-02</v>
      </c>
      <c r="H8034">
        <v>0.53259999999999996</v>
      </c>
      <c r="I8034" t="s">
        <v>5732</v>
      </c>
      <c r="J8034" t="s">
        <v>14</v>
      </c>
      <c r="K8034" t="str">
        <f>"1F5"</f>
        <v>1F5</v>
      </c>
      <c r="L8034" t="s">
        <v>15</v>
      </c>
    </row>
    <row r="8035" spans="1:12" x14ac:dyDescent="0.25">
      <c r="A8035" t="str">
        <f>"6306141765"</f>
        <v>6306141765</v>
      </c>
      <c r="B8035" t="str">
        <f t="shared" si="367"/>
        <v>89301000</v>
      </c>
      <c r="C8035" s="1">
        <v>44342</v>
      </c>
      <c r="D8035" s="1">
        <v>44344</v>
      </c>
      <c r="E8035">
        <v>2</v>
      </c>
      <c r="F8035" t="s">
        <v>2055</v>
      </c>
      <c r="G8035" t="str">
        <f>"07-M02-04"</f>
        <v>07-M02-04</v>
      </c>
      <c r="H8035">
        <v>0.73929999999999996</v>
      </c>
      <c r="I8035" t="s">
        <v>5733</v>
      </c>
      <c r="J8035" t="s">
        <v>17</v>
      </c>
      <c r="K8035" t="str">
        <f>"1F5"</f>
        <v>1F5</v>
      </c>
      <c r="L8035" t="s">
        <v>15</v>
      </c>
    </row>
    <row r="8036" spans="1:12" x14ac:dyDescent="0.25">
      <c r="A8036" t="str">
        <f>"6306141765"</f>
        <v>6306141765</v>
      </c>
      <c r="B8036" t="str">
        <f t="shared" si="367"/>
        <v>89301000</v>
      </c>
      <c r="C8036" s="1">
        <v>44230</v>
      </c>
      <c r="D8036" s="1">
        <v>44236</v>
      </c>
      <c r="E8036">
        <v>1</v>
      </c>
      <c r="F8036" t="s">
        <v>2232</v>
      </c>
      <c r="G8036" t="str">
        <f>"11-K07-02"</f>
        <v>11-K07-02</v>
      </c>
      <c r="H8036">
        <v>0.65790000000000004</v>
      </c>
      <c r="I8036" t="s">
        <v>5734</v>
      </c>
      <c r="J8036" t="s">
        <v>14</v>
      </c>
      <c r="K8036" t="str">
        <f>"4F2"</f>
        <v>4F2</v>
      </c>
      <c r="L8036" t="s">
        <v>15</v>
      </c>
    </row>
    <row r="8037" spans="1:12" x14ac:dyDescent="0.25">
      <c r="A8037" t="str">
        <f>"6306141765"</f>
        <v>6306141765</v>
      </c>
      <c r="B8037" t="str">
        <f t="shared" si="367"/>
        <v>89301000</v>
      </c>
      <c r="C8037" s="1">
        <v>44519</v>
      </c>
      <c r="D8037" s="1">
        <v>44530</v>
      </c>
      <c r="E8037">
        <v>2</v>
      </c>
      <c r="F8037" t="s">
        <v>4173</v>
      </c>
      <c r="G8037" t="str">
        <f>"07-K06-01"</f>
        <v>07-K06-01</v>
      </c>
      <c r="H8037">
        <v>1.0390999999999999</v>
      </c>
      <c r="I8037" t="s">
        <v>5735</v>
      </c>
      <c r="J8037" t="s">
        <v>14</v>
      </c>
      <c r="K8037" t="str">
        <f>"1F1"</f>
        <v>1F1</v>
      </c>
      <c r="L8037" t="s">
        <v>15</v>
      </c>
    </row>
    <row r="8038" spans="1:12" x14ac:dyDescent="0.25">
      <c r="A8038" t="str">
        <f>"6306141765"</f>
        <v>6306141765</v>
      </c>
      <c r="B8038" t="str">
        <f t="shared" si="367"/>
        <v>89301000</v>
      </c>
      <c r="C8038" s="1">
        <v>44476</v>
      </c>
      <c r="D8038" s="1">
        <v>44484</v>
      </c>
      <c r="E8038">
        <v>2</v>
      </c>
      <c r="F8038" t="s">
        <v>1953</v>
      </c>
      <c r="G8038" t="str">
        <f>"07-M02-01"</f>
        <v>07-M02-01</v>
      </c>
      <c r="H8038">
        <v>3.7692999999999999</v>
      </c>
      <c r="I8038" t="s">
        <v>5736</v>
      </c>
      <c r="J8038" t="s">
        <v>17</v>
      </c>
      <c r="K8038" t="str">
        <f>"1F5"</f>
        <v>1F5</v>
      </c>
      <c r="L8038" t="s">
        <v>15</v>
      </c>
    </row>
    <row r="8039" spans="1:12" x14ac:dyDescent="0.25">
      <c r="A8039" t="str">
        <f>"6306162005"</f>
        <v>6306162005</v>
      </c>
      <c r="B8039" t="str">
        <f t="shared" si="367"/>
        <v>89301000</v>
      </c>
      <c r="C8039" s="1">
        <v>44470</v>
      </c>
      <c r="D8039" s="1">
        <v>44483</v>
      </c>
      <c r="E8039">
        <v>1</v>
      </c>
      <c r="F8039" t="s">
        <v>672</v>
      </c>
      <c r="G8039" t="str">
        <f>"17-I08-01"</f>
        <v>17-I08-01</v>
      </c>
      <c r="H8039">
        <v>2.4777</v>
      </c>
      <c r="I8039" t="s">
        <v>5737</v>
      </c>
      <c r="J8039" t="s">
        <v>14</v>
      </c>
      <c r="K8039" t="str">
        <f>"1F1"</f>
        <v>1F1</v>
      </c>
      <c r="L8039" t="s">
        <v>15</v>
      </c>
    </row>
    <row r="8040" spans="1:12" x14ac:dyDescent="0.25">
      <c r="A8040" t="str">
        <f>"6306162005"</f>
        <v>6306162005</v>
      </c>
      <c r="B8040" t="str">
        <f t="shared" si="367"/>
        <v>89301000</v>
      </c>
      <c r="C8040" s="1">
        <v>44487</v>
      </c>
      <c r="D8040" s="1">
        <v>44516</v>
      </c>
      <c r="E8040">
        <v>1</v>
      </c>
      <c r="F8040" t="s">
        <v>589</v>
      </c>
      <c r="G8040" t="str">
        <f>"07-M02-04"</f>
        <v>07-M02-04</v>
      </c>
      <c r="H8040">
        <v>3.2282000000000002</v>
      </c>
      <c r="I8040" t="s">
        <v>5738</v>
      </c>
      <c r="J8040" t="s">
        <v>17</v>
      </c>
      <c r="K8040" t="str">
        <f>"1F5"</f>
        <v>1F5</v>
      </c>
      <c r="L8040" t="s">
        <v>15</v>
      </c>
    </row>
    <row r="8041" spans="1:12" x14ac:dyDescent="0.25">
      <c r="A8041" t="str">
        <f>"6306171278"</f>
        <v>6306171278</v>
      </c>
      <c r="B8041" t="str">
        <f t="shared" si="367"/>
        <v>89301000</v>
      </c>
      <c r="C8041" s="1">
        <v>44434</v>
      </c>
      <c r="D8041" s="1">
        <v>44435</v>
      </c>
      <c r="E8041">
        <v>1</v>
      </c>
      <c r="F8041" t="s">
        <v>215</v>
      </c>
      <c r="G8041" t="str">
        <f>"08-I15-03"</f>
        <v>08-I15-03</v>
      </c>
      <c r="H8041">
        <v>1.1838</v>
      </c>
      <c r="I8041" t="s">
        <v>606</v>
      </c>
      <c r="J8041" t="s">
        <v>17</v>
      </c>
      <c r="K8041" t="str">
        <f>"5F3"</f>
        <v>5F3</v>
      </c>
      <c r="L8041" t="s">
        <v>15</v>
      </c>
    </row>
    <row r="8042" spans="1:12" x14ac:dyDescent="0.25">
      <c r="A8042" t="str">
        <f>"6306171289"</f>
        <v>6306171289</v>
      </c>
      <c r="B8042" t="str">
        <f t="shared" si="367"/>
        <v>89301000</v>
      </c>
      <c r="C8042" s="1">
        <v>44221</v>
      </c>
      <c r="D8042" s="1">
        <v>44228</v>
      </c>
      <c r="E8042">
        <v>1</v>
      </c>
      <c r="F8042" t="s">
        <v>1557</v>
      </c>
      <c r="G8042" t="str">
        <f>"05-I16-04"</f>
        <v>05-I16-04</v>
      </c>
      <c r="H8042">
        <v>6.1497999999999999</v>
      </c>
      <c r="J8042" t="s">
        <v>17</v>
      </c>
      <c r="K8042" t="str">
        <f>"5F5"</f>
        <v>5F5</v>
      </c>
      <c r="L8042" t="s">
        <v>15</v>
      </c>
    </row>
    <row r="8043" spans="1:12" x14ac:dyDescent="0.25">
      <c r="A8043" t="str">
        <f>"6306221394"</f>
        <v>6306221394</v>
      </c>
      <c r="B8043" t="str">
        <f t="shared" si="367"/>
        <v>89301000</v>
      </c>
      <c r="C8043" s="1">
        <v>44537</v>
      </c>
      <c r="D8043" s="1">
        <v>44544</v>
      </c>
      <c r="E8043">
        <v>1</v>
      </c>
      <c r="F8043" t="s">
        <v>1297</v>
      </c>
      <c r="G8043" t="str">
        <f>"06-K11-00"</f>
        <v>06-K11-00</v>
      </c>
      <c r="H8043">
        <v>0.3997</v>
      </c>
      <c r="J8043" t="s">
        <v>14</v>
      </c>
      <c r="K8043" t="str">
        <f>"5F1"</f>
        <v>5F1</v>
      </c>
      <c r="L8043" t="s">
        <v>15</v>
      </c>
    </row>
    <row r="8044" spans="1:12" x14ac:dyDescent="0.25">
      <c r="A8044" t="str">
        <f>"6306296931"</f>
        <v>6306296931</v>
      </c>
      <c r="B8044" t="str">
        <f t="shared" si="367"/>
        <v>89301000</v>
      </c>
      <c r="C8044" s="1">
        <v>44348</v>
      </c>
      <c r="D8044" s="1">
        <v>44355</v>
      </c>
      <c r="E8044">
        <v>1</v>
      </c>
      <c r="F8044" t="s">
        <v>132</v>
      </c>
      <c r="G8044" t="str">
        <f>"03-I19-01"</f>
        <v>03-I19-01</v>
      </c>
      <c r="H8044">
        <v>1.6296999999999999</v>
      </c>
      <c r="I8044" t="s">
        <v>5739</v>
      </c>
      <c r="J8044" t="s">
        <v>14</v>
      </c>
      <c r="K8044" t="str">
        <f>"6F5"</f>
        <v>6F5</v>
      </c>
      <c r="L8044" t="s">
        <v>15</v>
      </c>
    </row>
    <row r="8045" spans="1:12" x14ac:dyDescent="0.25">
      <c r="A8045" t="str">
        <f>"6307150443"</f>
        <v>6307150443</v>
      </c>
      <c r="B8045" t="str">
        <f t="shared" si="367"/>
        <v>89301000</v>
      </c>
      <c r="C8045" s="1">
        <v>44404</v>
      </c>
      <c r="D8045" s="1">
        <v>44410</v>
      </c>
      <c r="E8045">
        <v>1</v>
      </c>
      <c r="F8045" t="s">
        <v>3273</v>
      </c>
      <c r="G8045" t="str">
        <f>"10-K04-04"</f>
        <v>10-K04-04</v>
      </c>
      <c r="H8045">
        <v>3.4439000000000002</v>
      </c>
      <c r="I8045" t="s">
        <v>5740</v>
      </c>
      <c r="J8045" t="s">
        <v>14</v>
      </c>
      <c r="K8045" t="str">
        <f>"2F9"</f>
        <v>2F9</v>
      </c>
      <c r="L8045" t="s">
        <v>15</v>
      </c>
    </row>
    <row r="8046" spans="1:12" x14ac:dyDescent="0.25">
      <c r="A8046" t="str">
        <f>"6307150443"</f>
        <v>6307150443</v>
      </c>
      <c r="B8046" t="str">
        <f t="shared" si="367"/>
        <v>89301000</v>
      </c>
      <c r="C8046" s="1">
        <v>44441</v>
      </c>
      <c r="D8046" s="1">
        <v>44447</v>
      </c>
      <c r="E8046">
        <v>2</v>
      </c>
      <c r="F8046" t="s">
        <v>1764</v>
      </c>
      <c r="G8046" t="str">
        <f>"01-K08-02"</f>
        <v>01-K08-02</v>
      </c>
      <c r="H8046">
        <v>1.2016</v>
      </c>
      <c r="I8046" t="s">
        <v>5741</v>
      </c>
      <c r="J8046" t="s">
        <v>14</v>
      </c>
      <c r="K8046" t="str">
        <f>"2F9"</f>
        <v>2F9</v>
      </c>
      <c r="L8046" t="s">
        <v>15</v>
      </c>
    </row>
    <row r="8047" spans="1:12" x14ac:dyDescent="0.25">
      <c r="A8047" t="str">
        <f>"6307150443"</f>
        <v>6307150443</v>
      </c>
      <c r="B8047" t="str">
        <f t="shared" si="367"/>
        <v>89301000</v>
      </c>
      <c r="C8047" s="1">
        <v>44468</v>
      </c>
      <c r="D8047" s="1">
        <v>44475</v>
      </c>
      <c r="E8047">
        <v>4</v>
      </c>
      <c r="F8047" t="s">
        <v>1764</v>
      </c>
      <c r="G8047" t="str">
        <f>"01-K08-01"</f>
        <v>01-K08-01</v>
      </c>
      <c r="H8047">
        <v>1.1733</v>
      </c>
      <c r="I8047" t="s">
        <v>5742</v>
      </c>
      <c r="J8047" t="s">
        <v>14</v>
      </c>
      <c r="K8047" t="str">
        <f>"2F9"</f>
        <v>2F9</v>
      </c>
      <c r="L8047" t="s">
        <v>15</v>
      </c>
    </row>
    <row r="8048" spans="1:12" x14ac:dyDescent="0.25">
      <c r="A8048" t="str">
        <f>"6307231425"</f>
        <v>6307231425</v>
      </c>
      <c r="B8048" t="str">
        <f t="shared" si="367"/>
        <v>89301000</v>
      </c>
      <c r="C8048" s="1">
        <v>44376</v>
      </c>
      <c r="D8048" s="1">
        <v>44403</v>
      </c>
      <c r="E8048">
        <v>1</v>
      </c>
      <c r="F8048" t="s">
        <v>911</v>
      </c>
      <c r="G8048" t="str">
        <f>"17-C03-03"</f>
        <v>17-C03-03</v>
      </c>
      <c r="H8048">
        <v>2.9664999999999999</v>
      </c>
      <c r="I8048" t="s">
        <v>5743</v>
      </c>
      <c r="J8048" t="s">
        <v>14</v>
      </c>
      <c r="K8048" t="str">
        <f>"2F2"</f>
        <v>2F2</v>
      </c>
      <c r="L8048" t="s">
        <v>15</v>
      </c>
    </row>
    <row r="8049" spans="1:12" x14ac:dyDescent="0.25">
      <c r="A8049" t="str">
        <f>"6307231425"</f>
        <v>6307231425</v>
      </c>
      <c r="B8049" t="str">
        <f t="shared" si="367"/>
        <v>89301000</v>
      </c>
      <c r="C8049" s="1">
        <v>44250</v>
      </c>
      <c r="D8049" s="1">
        <v>44271</v>
      </c>
      <c r="E8049">
        <v>1</v>
      </c>
      <c r="F8049" t="s">
        <v>911</v>
      </c>
      <c r="G8049" t="str">
        <f>"17-C03-03"</f>
        <v>17-C03-03</v>
      </c>
      <c r="H8049">
        <v>2.528</v>
      </c>
      <c r="I8049" t="s">
        <v>5744</v>
      </c>
      <c r="J8049" t="s">
        <v>14</v>
      </c>
      <c r="K8049" t="str">
        <f>"2F2"</f>
        <v>2F2</v>
      </c>
      <c r="L8049" t="s">
        <v>15</v>
      </c>
    </row>
    <row r="8050" spans="1:12" x14ac:dyDescent="0.25">
      <c r="A8050" t="str">
        <f>"6307231425"</f>
        <v>6307231425</v>
      </c>
      <c r="B8050" t="str">
        <f t="shared" si="367"/>
        <v>89301000</v>
      </c>
      <c r="C8050" s="1">
        <v>44208</v>
      </c>
      <c r="D8050" s="1">
        <v>44230</v>
      </c>
      <c r="E8050">
        <v>1</v>
      </c>
      <c r="F8050" t="s">
        <v>911</v>
      </c>
      <c r="G8050" t="str">
        <f>"17-C03-03"</f>
        <v>17-C03-03</v>
      </c>
      <c r="H8050">
        <v>2.7848999999999999</v>
      </c>
      <c r="I8050" t="s">
        <v>5745</v>
      </c>
      <c r="J8050" t="s">
        <v>14</v>
      </c>
      <c r="K8050" t="str">
        <f>"2F2"</f>
        <v>2F2</v>
      </c>
      <c r="L8050" t="s">
        <v>15</v>
      </c>
    </row>
    <row r="8051" spans="1:12" x14ac:dyDescent="0.25">
      <c r="A8051" t="str">
        <f>"6307251159"</f>
        <v>6307251159</v>
      </c>
      <c r="B8051" t="str">
        <f t="shared" si="367"/>
        <v>89301000</v>
      </c>
      <c r="C8051" s="1">
        <v>44478</v>
      </c>
      <c r="D8051" s="1">
        <v>44484</v>
      </c>
      <c r="E8051">
        <v>1</v>
      </c>
      <c r="F8051" t="s">
        <v>199</v>
      </c>
      <c r="G8051" t="str">
        <f>"21-K01-00"</f>
        <v>21-K01-00</v>
      </c>
      <c r="H8051">
        <v>1.1188</v>
      </c>
      <c r="I8051" t="s">
        <v>5746</v>
      </c>
      <c r="J8051" t="s">
        <v>14</v>
      </c>
      <c r="K8051" t="str">
        <f>"7F6"</f>
        <v>7F6</v>
      </c>
      <c r="L8051" t="s">
        <v>15</v>
      </c>
    </row>
    <row r="8052" spans="1:12" x14ac:dyDescent="0.25">
      <c r="A8052" t="str">
        <f>"6307281882"</f>
        <v>6307281882</v>
      </c>
      <c r="B8052" t="str">
        <f t="shared" si="367"/>
        <v>89301000</v>
      </c>
      <c r="C8052" s="1">
        <v>44207</v>
      </c>
      <c r="D8052" s="1">
        <v>44209</v>
      </c>
      <c r="E8052">
        <v>1</v>
      </c>
      <c r="F8052" t="s">
        <v>2311</v>
      </c>
      <c r="G8052" t="str">
        <f>"08-I03-08"</f>
        <v>08-I03-08</v>
      </c>
      <c r="H8052">
        <v>2.0605000000000002</v>
      </c>
      <c r="I8052" t="s">
        <v>5747</v>
      </c>
      <c r="J8052" t="s">
        <v>17</v>
      </c>
      <c r="K8052" t="str">
        <f>"5F6"</f>
        <v>5F6</v>
      </c>
      <c r="L8052" t="s">
        <v>15</v>
      </c>
    </row>
    <row r="8053" spans="1:12" x14ac:dyDescent="0.25">
      <c r="A8053" t="str">
        <f>"6307302012"</f>
        <v>6307302012</v>
      </c>
      <c r="B8053" t="str">
        <f t="shared" si="367"/>
        <v>89301000</v>
      </c>
      <c r="C8053" s="1">
        <v>44194</v>
      </c>
      <c r="D8053" s="1">
        <v>44214</v>
      </c>
      <c r="E8053">
        <v>1</v>
      </c>
      <c r="F8053" t="s">
        <v>217</v>
      </c>
      <c r="G8053" t="str">
        <f>"04-K02-03"</f>
        <v>04-K02-03</v>
      </c>
      <c r="H8053">
        <v>1.8367</v>
      </c>
      <c r="I8053" t="s">
        <v>5748</v>
      </c>
      <c r="J8053" t="s">
        <v>14</v>
      </c>
      <c r="K8053" t="str">
        <f>"2F2"</f>
        <v>2F2</v>
      </c>
      <c r="L8053" t="s">
        <v>15</v>
      </c>
    </row>
    <row r="8054" spans="1:12" x14ac:dyDescent="0.25">
      <c r="A8054" t="str">
        <f>"6307302012"</f>
        <v>6307302012</v>
      </c>
      <c r="B8054" t="str">
        <f t="shared" si="367"/>
        <v>89301000</v>
      </c>
      <c r="C8054" s="1">
        <v>44530</v>
      </c>
      <c r="D8054" s="1">
        <v>44536</v>
      </c>
      <c r="E8054">
        <v>1</v>
      </c>
      <c r="F8054" t="s">
        <v>2910</v>
      </c>
      <c r="G8054" t="str">
        <f>"06-R01-08"</f>
        <v>06-R01-08</v>
      </c>
      <c r="H8054">
        <v>0.86509999999999998</v>
      </c>
      <c r="I8054" t="s">
        <v>4308</v>
      </c>
      <c r="J8054" t="s">
        <v>14</v>
      </c>
      <c r="K8054" t="str">
        <f>"4F2"</f>
        <v>4F2</v>
      </c>
      <c r="L8054" t="s">
        <v>15</v>
      </c>
    </row>
    <row r="8055" spans="1:12" x14ac:dyDescent="0.25">
      <c r="A8055" t="str">
        <f>"6308010368"</f>
        <v>6308010368</v>
      </c>
      <c r="B8055" t="str">
        <f t="shared" ref="B8055:B8117" si="368">"89301000"</f>
        <v>89301000</v>
      </c>
      <c r="C8055" s="1">
        <v>44478</v>
      </c>
      <c r="D8055" s="1">
        <v>44494</v>
      </c>
      <c r="E8055">
        <v>4</v>
      </c>
      <c r="F8055" t="s">
        <v>5749</v>
      </c>
      <c r="G8055" t="str">
        <f>"08-K03-01"</f>
        <v>08-K03-01</v>
      </c>
      <c r="H8055">
        <v>3.1173000000000002</v>
      </c>
      <c r="I8055" t="s">
        <v>5750</v>
      </c>
      <c r="J8055" t="s">
        <v>14</v>
      </c>
      <c r="K8055" t="str">
        <f>"1F1"</f>
        <v>1F1</v>
      </c>
      <c r="L8055" t="s">
        <v>15</v>
      </c>
    </row>
    <row r="8056" spans="1:12" x14ac:dyDescent="0.25">
      <c r="A8056" t="str">
        <f>"6308010368"</f>
        <v>6308010368</v>
      </c>
      <c r="B8056" t="str">
        <f t="shared" si="368"/>
        <v>89301000</v>
      </c>
      <c r="C8056" s="1">
        <v>44384</v>
      </c>
      <c r="D8056" s="1">
        <v>44386</v>
      </c>
      <c r="E8056">
        <v>1</v>
      </c>
      <c r="F8056" t="s">
        <v>1928</v>
      </c>
      <c r="G8056" t="str">
        <f>"11-M02-07"</f>
        <v>11-M02-07</v>
      </c>
      <c r="H8056">
        <v>0.53769999999999996</v>
      </c>
      <c r="J8056" t="s">
        <v>14</v>
      </c>
      <c r="K8056" t="str">
        <f>"5F1"</f>
        <v>5F1</v>
      </c>
      <c r="L8056" t="s">
        <v>15</v>
      </c>
    </row>
    <row r="8057" spans="1:12" x14ac:dyDescent="0.25">
      <c r="A8057" t="str">
        <f>"6308010368"</f>
        <v>6308010368</v>
      </c>
      <c r="B8057" t="str">
        <f t="shared" si="368"/>
        <v>89301000</v>
      </c>
      <c r="C8057" s="1">
        <v>44221</v>
      </c>
      <c r="D8057" s="1">
        <v>44222</v>
      </c>
      <c r="E8057">
        <v>1</v>
      </c>
      <c r="F8057" t="s">
        <v>1928</v>
      </c>
      <c r="G8057" t="str">
        <f>"11-M02-07"</f>
        <v>11-M02-07</v>
      </c>
      <c r="H8057">
        <v>0.58320000000000005</v>
      </c>
      <c r="I8057" t="s">
        <v>5751</v>
      </c>
      <c r="J8057" t="s">
        <v>14</v>
      </c>
      <c r="K8057" t="str">
        <f>"5F5"</f>
        <v>5F5</v>
      </c>
      <c r="L8057" t="s">
        <v>15</v>
      </c>
    </row>
    <row r="8058" spans="1:12" x14ac:dyDescent="0.25">
      <c r="A8058" t="str">
        <f>"6308010368"</f>
        <v>6308010368</v>
      </c>
      <c r="B8058" t="str">
        <f t="shared" si="368"/>
        <v>89301000</v>
      </c>
      <c r="C8058" s="1">
        <v>44201</v>
      </c>
      <c r="D8058" s="1">
        <v>44204</v>
      </c>
      <c r="E8058">
        <v>1</v>
      </c>
      <c r="F8058" t="s">
        <v>1928</v>
      </c>
      <c r="G8058" t="str">
        <f>"11-M02-07"</f>
        <v>11-M02-07</v>
      </c>
      <c r="H8058">
        <v>0.53769999999999996</v>
      </c>
      <c r="I8058" t="s">
        <v>5752</v>
      </c>
      <c r="J8058" t="s">
        <v>14</v>
      </c>
      <c r="K8058" t="str">
        <f>"5F1"</f>
        <v>5F1</v>
      </c>
      <c r="L8058" t="s">
        <v>15</v>
      </c>
    </row>
    <row r="8059" spans="1:12" x14ac:dyDescent="0.25">
      <c r="A8059" t="str">
        <f>"6308061089"</f>
        <v>6308061089</v>
      </c>
      <c r="B8059" t="str">
        <f t="shared" si="368"/>
        <v>89301000</v>
      </c>
      <c r="C8059" s="1">
        <v>44459</v>
      </c>
      <c r="D8059" s="1">
        <v>44470</v>
      </c>
      <c r="E8059">
        <v>1</v>
      </c>
      <c r="F8059" t="s">
        <v>109</v>
      </c>
      <c r="G8059" t="str">
        <f>"24-M06-02"</f>
        <v>24-M06-02</v>
      </c>
      <c r="H8059">
        <v>1.0233000000000001</v>
      </c>
      <c r="I8059" t="s">
        <v>5753</v>
      </c>
      <c r="J8059" t="s">
        <v>14</v>
      </c>
      <c r="K8059" t="str">
        <f>"2F1"</f>
        <v>2F1</v>
      </c>
      <c r="L8059" t="s">
        <v>15</v>
      </c>
    </row>
    <row r="8060" spans="1:12" x14ac:dyDescent="0.25">
      <c r="A8060" t="str">
        <f>"6308081384"</f>
        <v>6308081384</v>
      </c>
      <c r="B8060" t="str">
        <f t="shared" si="368"/>
        <v>89301000</v>
      </c>
      <c r="C8060" s="1">
        <v>44281</v>
      </c>
      <c r="D8060" s="1">
        <v>44285</v>
      </c>
      <c r="E8060">
        <v>1</v>
      </c>
      <c r="F8060" t="s">
        <v>5240</v>
      </c>
      <c r="G8060" t="str">
        <f>"05-K13-02"</f>
        <v>05-K13-02</v>
      </c>
      <c r="H8060">
        <v>0.60950000000000004</v>
      </c>
      <c r="I8060" t="s">
        <v>5754</v>
      </c>
      <c r="J8060" t="s">
        <v>14</v>
      </c>
      <c r="K8060" t="str">
        <f>"1F5"</f>
        <v>1F5</v>
      </c>
      <c r="L8060" t="s">
        <v>15</v>
      </c>
    </row>
    <row r="8061" spans="1:12" x14ac:dyDescent="0.25">
      <c r="A8061" t="str">
        <f>"6308092054"</f>
        <v>6308092054</v>
      </c>
      <c r="B8061" t="str">
        <f t="shared" si="368"/>
        <v>89301000</v>
      </c>
      <c r="C8061" s="1">
        <v>44483</v>
      </c>
      <c r="D8061" s="1">
        <v>44485</v>
      </c>
      <c r="E8061">
        <v>1</v>
      </c>
      <c r="F8061" t="s">
        <v>173</v>
      </c>
      <c r="G8061" t="str">
        <f>"08-I32-02"</f>
        <v>08-I32-02</v>
      </c>
      <c r="H8061">
        <v>0.4143</v>
      </c>
      <c r="J8061" t="s">
        <v>14</v>
      </c>
      <c r="K8061" t="str">
        <f>"5F3"</f>
        <v>5F3</v>
      </c>
      <c r="L8061" t="s">
        <v>15</v>
      </c>
    </row>
    <row r="8062" spans="1:12" x14ac:dyDescent="0.25">
      <c r="A8062" t="str">
        <f>"6308092054"</f>
        <v>6308092054</v>
      </c>
      <c r="B8062" t="str">
        <f t="shared" si="368"/>
        <v>89301000</v>
      </c>
      <c r="C8062" s="1">
        <v>44239</v>
      </c>
      <c r="D8062" s="1">
        <v>44242</v>
      </c>
      <c r="E8062">
        <v>1</v>
      </c>
      <c r="F8062" t="s">
        <v>210</v>
      </c>
      <c r="G8062" t="str">
        <f>"08-I15-03"</f>
        <v>08-I15-03</v>
      </c>
      <c r="H8062">
        <v>1.1838</v>
      </c>
      <c r="I8062" t="s">
        <v>211</v>
      </c>
      <c r="J8062" t="s">
        <v>17</v>
      </c>
      <c r="K8062" t="str">
        <f>"5F3"</f>
        <v>5F3</v>
      </c>
      <c r="L8062" t="s">
        <v>15</v>
      </c>
    </row>
    <row r="8063" spans="1:12" x14ac:dyDescent="0.25">
      <c r="A8063" t="str">
        <f>"6308121765"</f>
        <v>6308121765</v>
      </c>
      <c r="B8063" t="str">
        <f t="shared" si="368"/>
        <v>89301000</v>
      </c>
      <c r="C8063" s="1">
        <v>44462</v>
      </c>
      <c r="D8063" s="1">
        <v>44468</v>
      </c>
      <c r="E8063">
        <v>3</v>
      </c>
      <c r="F8063" t="s">
        <v>1968</v>
      </c>
      <c r="G8063" t="str">
        <f>"08-I05-04"</f>
        <v>08-I05-04</v>
      </c>
      <c r="H8063">
        <v>2.4581</v>
      </c>
      <c r="J8063" t="s">
        <v>17</v>
      </c>
      <c r="K8063" t="str">
        <f>"6F6"</f>
        <v>6F6</v>
      </c>
      <c r="L8063" t="s">
        <v>15</v>
      </c>
    </row>
    <row r="8064" spans="1:12" x14ac:dyDescent="0.25">
      <c r="A8064" t="str">
        <f>"6308121765"</f>
        <v>6308121765</v>
      </c>
      <c r="B8064" t="str">
        <f t="shared" si="368"/>
        <v>89301000</v>
      </c>
      <c r="C8064" s="1">
        <v>44468</v>
      </c>
      <c r="D8064" s="1">
        <v>44475</v>
      </c>
      <c r="E8064">
        <v>5</v>
      </c>
      <c r="F8064" t="s">
        <v>109</v>
      </c>
      <c r="G8064" t="str">
        <f>"24-M06-02"</f>
        <v>24-M06-02</v>
      </c>
      <c r="H8064">
        <v>1.0233000000000001</v>
      </c>
      <c r="I8064" t="s">
        <v>2447</v>
      </c>
      <c r="J8064" t="s">
        <v>14</v>
      </c>
      <c r="K8064" t="str">
        <f>"2F1"</f>
        <v>2F1</v>
      </c>
      <c r="L8064" t="s">
        <v>15</v>
      </c>
    </row>
    <row r="8065" spans="1:12" x14ac:dyDescent="0.25">
      <c r="A8065" t="str">
        <f>"6308140344"</f>
        <v>6308140344</v>
      </c>
      <c r="B8065" t="str">
        <f t="shared" si="368"/>
        <v>89301000</v>
      </c>
      <c r="C8065" s="1">
        <v>44546</v>
      </c>
      <c r="D8065" s="1">
        <v>44561</v>
      </c>
      <c r="E8065">
        <v>1</v>
      </c>
      <c r="F8065" t="s">
        <v>4408</v>
      </c>
      <c r="G8065" t="str">
        <f>"08-M03-05"</f>
        <v>08-M03-05</v>
      </c>
      <c r="H8065">
        <v>1.5201</v>
      </c>
      <c r="I8065" t="s">
        <v>5755</v>
      </c>
      <c r="J8065" t="s">
        <v>14</v>
      </c>
      <c r="K8065" t="str">
        <f>"6F6"</f>
        <v>6F6</v>
      </c>
      <c r="L8065" t="s">
        <v>15</v>
      </c>
    </row>
    <row r="8066" spans="1:12" x14ac:dyDescent="0.25">
      <c r="A8066" t="str">
        <f>"6308150915"</f>
        <v>6308150915</v>
      </c>
      <c r="B8066" t="str">
        <f t="shared" si="368"/>
        <v>89301000</v>
      </c>
      <c r="C8066" s="1">
        <v>44244</v>
      </c>
      <c r="D8066" s="1">
        <v>44246</v>
      </c>
      <c r="E8066">
        <v>1</v>
      </c>
      <c r="F8066" t="s">
        <v>173</v>
      </c>
      <c r="G8066" t="str">
        <f>"08-I32-02"</f>
        <v>08-I32-02</v>
      </c>
      <c r="H8066">
        <v>0.4143</v>
      </c>
      <c r="J8066" t="s">
        <v>14</v>
      </c>
      <c r="K8066" t="str">
        <f>"6F6"</f>
        <v>6F6</v>
      </c>
      <c r="L8066" t="s">
        <v>15</v>
      </c>
    </row>
    <row r="8067" spans="1:12" x14ac:dyDescent="0.25">
      <c r="A8067" t="str">
        <f>"6308161222"</f>
        <v>6308161222</v>
      </c>
      <c r="B8067" t="str">
        <f t="shared" si="368"/>
        <v>89301000</v>
      </c>
      <c r="C8067" s="1">
        <v>44432</v>
      </c>
      <c r="D8067" s="1">
        <v>44446</v>
      </c>
      <c r="E8067">
        <v>1</v>
      </c>
      <c r="F8067" t="s">
        <v>3536</v>
      </c>
      <c r="G8067" t="str">
        <f>"03-I07-01"</f>
        <v>03-I07-01</v>
      </c>
      <c r="H8067">
        <v>3.8304</v>
      </c>
      <c r="I8067" t="s">
        <v>5756</v>
      </c>
      <c r="J8067" t="s">
        <v>17</v>
      </c>
      <c r="K8067" t="str">
        <f>"7F1"</f>
        <v>7F1</v>
      </c>
      <c r="L8067" t="s">
        <v>15</v>
      </c>
    </row>
    <row r="8068" spans="1:12" x14ac:dyDescent="0.25">
      <c r="A8068" t="str">
        <f>"6308250487"</f>
        <v>6308250487</v>
      </c>
      <c r="B8068" t="str">
        <f t="shared" si="368"/>
        <v>89301000</v>
      </c>
      <c r="C8068" s="1">
        <v>44207</v>
      </c>
      <c r="D8068" s="1">
        <v>44209</v>
      </c>
      <c r="E8068">
        <v>1</v>
      </c>
      <c r="F8068" t="s">
        <v>41</v>
      </c>
      <c r="G8068" t="str">
        <f>"01-D01-03"</f>
        <v>01-D01-03</v>
      </c>
      <c r="H8068">
        <v>0.158</v>
      </c>
      <c r="I8068" t="s">
        <v>5757</v>
      </c>
      <c r="J8068" t="s">
        <v>14</v>
      </c>
      <c r="K8068" t="str">
        <f>"2F5"</f>
        <v>2F5</v>
      </c>
      <c r="L8068" t="s">
        <v>15</v>
      </c>
    </row>
    <row r="8069" spans="1:12" x14ac:dyDescent="0.25">
      <c r="A8069" t="str">
        <f>"6308251059"</f>
        <v>6308251059</v>
      </c>
      <c r="B8069" t="str">
        <f t="shared" si="368"/>
        <v>89301000</v>
      </c>
      <c r="C8069" s="1">
        <v>44376</v>
      </c>
      <c r="D8069" s="1">
        <v>44379</v>
      </c>
      <c r="E8069">
        <v>1</v>
      </c>
      <c r="F8069" t="s">
        <v>1275</v>
      </c>
      <c r="G8069" t="str">
        <f>"06-K11-00"</f>
        <v>06-K11-00</v>
      </c>
      <c r="H8069">
        <v>0.34810000000000002</v>
      </c>
      <c r="I8069" t="s">
        <v>1586</v>
      </c>
      <c r="J8069" t="s">
        <v>14</v>
      </c>
      <c r="K8069" t="str">
        <f>"5F1"</f>
        <v>5F1</v>
      </c>
      <c r="L8069" t="s">
        <v>15</v>
      </c>
    </row>
    <row r="8070" spans="1:12" x14ac:dyDescent="0.25">
      <c r="A8070" t="str">
        <f>"6308300966"</f>
        <v>6308300966</v>
      </c>
      <c r="B8070" t="str">
        <f t="shared" si="368"/>
        <v>89301000</v>
      </c>
      <c r="C8070" s="1">
        <v>44351</v>
      </c>
      <c r="D8070" s="1">
        <v>44359</v>
      </c>
      <c r="E8070">
        <v>1</v>
      </c>
      <c r="F8070" t="s">
        <v>4557</v>
      </c>
      <c r="G8070" t="str">
        <f>"20-K03-03"</f>
        <v>20-K03-03</v>
      </c>
      <c r="H8070">
        <v>1.0109999999999999</v>
      </c>
      <c r="I8070" t="s">
        <v>5758</v>
      </c>
      <c r="J8070" t="s">
        <v>14</v>
      </c>
      <c r="K8070" t="str">
        <f>"3F5"</f>
        <v>3F5</v>
      </c>
      <c r="L8070" t="s">
        <v>15</v>
      </c>
    </row>
    <row r="8071" spans="1:12" x14ac:dyDescent="0.25">
      <c r="A8071" t="str">
        <f>"6308300966"</f>
        <v>6308300966</v>
      </c>
      <c r="B8071" t="str">
        <f t="shared" si="368"/>
        <v>89301000</v>
      </c>
      <c r="C8071" s="1">
        <v>44404</v>
      </c>
      <c r="D8071" s="1">
        <v>44417</v>
      </c>
      <c r="E8071">
        <v>1</v>
      </c>
      <c r="F8071" t="s">
        <v>4557</v>
      </c>
      <c r="G8071" t="str">
        <f>"20-K04-02"</f>
        <v>20-K04-02</v>
      </c>
      <c r="H8071">
        <v>1.4984</v>
      </c>
      <c r="I8071" t="s">
        <v>5759</v>
      </c>
      <c r="J8071" t="s">
        <v>14</v>
      </c>
      <c r="K8071" t="str">
        <f>"3F5"</f>
        <v>3F5</v>
      </c>
      <c r="L8071" t="s">
        <v>15</v>
      </c>
    </row>
    <row r="8072" spans="1:12" x14ac:dyDescent="0.25">
      <c r="A8072" t="str">
        <f>"6309061979"</f>
        <v>6309061979</v>
      </c>
      <c r="B8072" t="str">
        <f t="shared" si="368"/>
        <v>89301000</v>
      </c>
      <c r="C8072" s="1">
        <v>44417</v>
      </c>
      <c r="D8072" s="1">
        <v>44418</v>
      </c>
      <c r="E8072">
        <v>1</v>
      </c>
      <c r="F8072" t="s">
        <v>186</v>
      </c>
      <c r="G8072" t="str">
        <f>"05-M05-03"</f>
        <v>05-M05-03</v>
      </c>
      <c r="H8072">
        <v>1.9991000000000001</v>
      </c>
      <c r="I8072" t="s">
        <v>489</v>
      </c>
      <c r="J8072" t="s">
        <v>24</v>
      </c>
      <c r="K8072" t="str">
        <f>"1F1"</f>
        <v>1F1</v>
      </c>
      <c r="L8072" t="s">
        <v>15</v>
      </c>
    </row>
    <row r="8073" spans="1:12" x14ac:dyDescent="0.25">
      <c r="A8073" t="str">
        <f>"6309120950"</f>
        <v>6309120950</v>
      </c>
      <c r="B8073" t="str">
        <f t="shared" si="368"/>
        <v>89301000</v>
      </c>
      <c r="C8073" s="1">
        <v>44326</v>
      </c>
      <c r="D8073" s="1">
        <v>44329</v>
      </c>
      <c r="E8073">
        <v>1</v>
      </c>
      <c r="F8073" t="s">
        <v>5760</v>
      </c>
      <c r="G8073" t="str">
        <f>"02-I04-00"</f>
        <v>02-I04-00</v>
      </c>
      <c r="H8073">
        <v>0.96789999999999998</v>
      </c>
      <c r="I8073" t="s">
        <v>5761</v>
      </c>
      <c r="J8073" t="s">
        <v>17</v>
      </c>
      <c r="K8073" t="str">
        <f>"6F5"</f>
        <v>6F5</v>
      </c>
      <c r="L8073" t="s">
        <v>15</v>
      </c>
    </row>
    <row r="8074" spans="1:12" x14ac:dyDescent="0.25">
      <c r="A8074" t="str">
        <f>"6309131191"</f>
        <v>6309131191</v>
      </c>
      <c r="B8074" t="str">
        <f t="shared" si="368"/>
        <v>89301000</v>
      </c>
      <c r="C8074" s="1">
        <v>44315</v>
      </c>
      <c r="D8074" s="1">
        <v>44316</v>
      </c>
      <c r="E8074">
        <v>1</v>
      </c>
      <c r="F8074" t="s">
        <v>2574</v>
      </c>
      <c r="G8074" t="str">
        <f>"01-I03-02"</f>
        <v>01-I03-02</v>
      </c>
      <c r="H8074">
        <v>6.8339999999999996</v>
      </c>
      <c r="I8074" t="s">
        <v>2216</v>
      </c>
      <c r="J8074" t="s">
        <v>24</v>
      </c>
      <c r="K8074" t="str">
        <f>"5F6"</f>
        <v>5F6</v>
      </c>
      <c r="L8074" t="s">
        <v>15</v>
      </c>
    </row>
    <row r="8075" spans="1:12" x14ac:dyDescent="0.25">
      <c r="A8075" t="str">
        <f>"6309201525"</f>
        <v>6309201525</v>
      </c>
      <c r="B8075" t="str">
        <f t="shared" si="368"/>
        <v>89301000</v>
      </c>
      <c r="C8075" s="1">
        <v>44334</v>
      </c>
      <c r="D8075" s="1">
        <v>44337</v>
      </c>
      <c r="E8075">
        <v>7</v>
      </c>
      <c r="F8075" t="s">
        <v>1970</v>
      </c>
      <c r="G8075" t="str">
        <f>"01-K08-02"</f>
        <v>01-K08-02</v>
      </c>
      <c r="H8075">
        <v>0.60519999999999996</v>
      </c>
      <c r="I8075" t="s">
        <v>5762</v>
      </c>
      <c r="J8075" t="s">
        <v>14</v>
      </c>
      <c r="K8075" t="str">
        <f>"2F9"</f>
        <v>2F9</v>
      </c>
      <c r="L8075" t="s">
        <v>15</v>
      </c>
    </row>
    <row r="8076" spans="1:12" x14ac:dyDescent="0.25">
      <c r="A8076" t="str">
        <f>"6309222139"</f>
        <v>6309222139</v>
      </c>
      <c r="B8076" t="str">
        <f t="shared" si="368"/>
        <v>89301000</v>
      </c>
      <c r="C8076" s="1">
        <v>44423</v>
      </c>
      <c r="D8076" s="1">
        <v>44424</v>
      </c>
      <c r="E8076">
        <v>1</v>
      </c>
      <c r="F8076" t="s">
        <v>1557</v>
      </c>
      <c r="G8076" t="str">
        <f>"05-D01-08"</f>
        <v>05-D01-08</v>
      </c>
      <c r="H8076">
        <v>0.4093</v>
      </c>
      <c r="I8076" t="s">
        <v>5763</v>
      </c>
      <c r="J8076" t="s">
        <v>14</v>
      </c>
      <c r="K8076" t="str">
        <f>"1F7"</f>
        <v>1F7</v>
      </c>
      <c r="L8076" t="s">
        <v>15</v>
      </c>
    </row>
    <row r="8077" spans="1:12" x14ac:dyDescent="0.25">
      <c r="A8077" t="str">
        <f>"6309231313"</f>
        <v>6309231313</v>
      </c>
      <c r="B8077" t="str">
        <f t="shared" si="368"/>
        <v>89301000</v>
      </c>
      <c r="C8077" s="1">
        <v>44524</v>
      </c>
      <c r="D8077" s="1">
        <v>44525</v>
      </c>
      <c r="E8077">
        <v>1</v>
      </c>
      <c r="F8077" t="s">
        <v>445</v>
      </c>
      <c r="G8077" t="str">
        <f>"08-I17-02"</f>
        <v>08-I17-02</v>
      </c>
      <c r="H8077">
        <v>0.98309999999999997</v>
      </c>
      <c r="I8077" t="s">
        <v>381</v>
      </c>
      <c r="J8077" t="s">
        <v>14</v>
      </c>
      <c r="K8077" t="str">
        <f>"5F3"</f>
        <v>5F3</v>
      </c>
      <c r="L8077" t="s">
        <v>15</v>
      </c>
    </row>
    <row r="8078" spans="1:12" x14ac:dyDescent="0.25">
      <c r="A8078" t="str">
        <f>"6309251553"</f>
        <v>6309251553</v>
      </c>
      <c r="B8078" t="str">
        <f t="shared" si="368"/>
        <v>89301000</v>
      </c>
      <c r="C8078" s="1">
        <v>44199</v>
      </c>
      <c r="D8078" s="1">
        <v>44207</v>
      </c>
      <c r="E8078">
        <v>1</v>
      </c>
      <c r="F8078" t="s">
        <v>217</v>
      </c>
      <c r="G8078" t="str">
        <f>"04-K02-04"</f>
        <v>04-K02-04</v>
      </c>
      <c r="H8078">
        <v>0.82469999999999999</v>
      </c>
      <c r="I8078" t="s">
        <v>274</v>
      </c>
      <c r="J8078" t="s">
        <v>14</v>
      </c>
      <c r="K8078" t="str">
        <f>"1F6"</f>
        <v>1F6</v>
      </c>
      <c r="L8078" t="s">
        <v>15</v>
      </c>
    </row>
    <row r="8079" spans="1:12" x14ac:dyDescent="0.25">
      <c r="A8079" t="str">
        <f>"6309291989"</f>
        <v>6309291989</v>
      </c>
      <c r="B8079" t="str">
        <f t="shared" si="368"/>
        <v>89301000</v>
      </c>
      <c r="C8079" s="1">
        <v>44341</v>
      </c>
      <c r="D8079" s="1">
        <v>44344</v>
      </c>
      <c r="E8079">
        <v>1</v>
      </c>
      <c r="F8079" t="s">
        <v>1683</v>
      </c>
      <c r="G8079" t="str">
        <f>"05-M06-02"</f>
        <v>05-M06-02</v>
      </c>
      <c r="H8079">
        <v>3.8521999999999998</v>
      </c>
      <c r="J8079" t="s">
        <v>17</v>
      </c>
      <c r="K8079" t="str">
        <f>"1F1"</f>
        <v>1F1</v>
      </c>
      <c r="L8079" t="s">
        <v>15</v>
      </c>
    </row>
    <row r="8080" spans="1:12" x14ac:dyDescent="0.25">
      <c r="A8080" t="str">
        <f>"6310130464"</f>
        <v>6310130464</v>
      </c>
      <c r="B8080" t="str">
        <f t="shared" si="368"/>
        <v>89301000</v>
      </c>
      <c r="C8080" s="1">
        <v>44237</v>
      </c>
      <c r="D8080" s="1">
        <v>44245</v>
      </c>
      <c r="E8080">
        <v>1</v>
      </c>
      <c r="F8080" t="s">
        <v>2030</v>
      </c>
      <c r="G8080" t="str">
        <f>"06-I07-05"</f>
        <v>06-I07-05</v>
      </c>
      <c r="H8080">
        <v>2.8466999999999998</v>
      </c>
      <c r="I8080" t="s">
        <v>489</v>
      </c>
      <c r="J8080" t="s">
        <v>17</v>
      </c>
      <c r="K8080" t="str">
        <f>"5F1"</f>
        <v>5F1</v>
      </c>
      <c r="L8080" t="s">
        <v>15</v>
      </c>
    </row>
    <row r="8081" spans="1:12" x14ac:dyDescent="0.25">
      <c r="A8081" t="str">
        <f>"6310141299"</f>
        <v>6310141299</v>
      </c>
      <c r="B8081" t="str">
        <f t="shared" si="368"/>
        <v>89301000</v>
      </c>
      <c r="C8081" s="1">
        <v>44375</v>
      </c>
      <c r="D8081" s="1">
        <v>44376</v>
      </c>
      <c r="E8081">
        <v>1</v>
      </c>
      <c r="F8081" t="s">
        <v>1558</v>
      </c>
      <c r="G8081" t="str">
        <f>"05-D01-06"</f>
        <v>05-D01-06</v>
      </c>
      <c r="H8081">
        <v>0.7611</v>
      </c>
      <c r="I8081" t="s">
        <v>5764</v>
      </c>
      <c r="J8081" t="s">
        <v>14</v>
      </c>
      <c r="K8081" t="str">
        <f>"1F7"</f>
        <v>1F7</v>
      </c>
      <c r="L8081" t="s">
        <v>15</v>
      </c>
    </row>
    <row r="8082" spans="1:12" x14ac:dyDescent="0.25">
      <c r="A8082" t="str">
        <f>"6311100576"</f>
        <v>6311100576</v>
      </c>
      <c r="B8082" t="str">
        <f t="shared" si="368"/>
        <v>89301000</v>
      </c>
      <c r="C8082" s="1">
        <v>44249</v>
      </c>
      <c r="D8082" s="1">
        <v>44251</v>
      </c>
      <c r="E8082">
        <v>1</v>
      </c>
      <c r="F8082" t="s">
        <v>3416</v>
      </c>
      <c r="G8082" t="str">
        <f>"08-K08-00"</f>
        <v>08-K08-00</v>
      </c>
      <c r="H8082">
        <v>0.51670000000000005</v>
      </c>
      <c r="I8082" t="s">
        <v>2283</v>
      </c>
      <c r="J8082" t="s">
        <v>14</v>
      </c>
      <c r="K8082" t="str">
        <f>"2F9"</f>
        <v>2F9</v>
      </c>
      <c r="L8082" t="s">
        <v>15</v>
      </c>
    </row>
    <row r="8083" spans="1:12" x14ac:dyDescent="0.25">
      <c r="A8083" t="str">
        <f>"6311110960"</f>
        <v>6311110960</v>
      </c>
      <c r="B8083" t="str">
        <f t="shared" si="368"/>
        <v>89301000</v>
      </c>
      <c r="C8083" s="1">
        <v>44549</v>
      </c>
      <c r="D8083" s="1">
        <v>44556</v>
      </c>
      <c r="E8083">
        <v>1</v>
      </c>
      <c r="F8083" t="s">
        <v>2407</v>
      </c>
      <c r="G8083" t="str">
        <f>"08-I06-04"</f>
        <v>08-I06-04</v>
      </c>
      <c r="H8083">
        <v>2.4260000000000002</v>
      </c>
      <c r="I8083" t="s">
        <v>2183</v>
      </c>
      <c r="J8083" t="s">
        <v>24</v>
      </c>
      <c r="K8083" t="str">
        <f>"6F6"</f>
        <v>6F6</v>
      </c>
      <c r="L8083" t="s">
        <v>15</v>
      </c>
    </row>
    <row r="8084" spans="1:12" x14ac:dyDescent="0.25">
      <c r="A8084" t="str">
        <f>"6311171229"</f>
        <v>6311171229</v>
      </c>
      <c r="B8084" t="str">
        <f t="shared" si="368"/>
        <v>89301000</v>
      </c>
      <c r="C8084" s="1">
        <v>44293</v>
      </c>
      <c r="D8084" s="1">
        <v>44334</v>
      </c>
      <c r="E8084">
        <v>1</v>
      </c>
      <c r="F8084" t="s">
        <v>479</v>
      </c>
      <c r="G8084" t="str">
        <f>"18-I01-02"</f>
        <v>18-I01-02</v>
      </c>
      <c r="H8084">
        <v>4.1501000000000001</v>
      </c>
      <c r="I8084" t="s">
        <v>5765</v>
      </c>
      <c r="J8084" t="s">
        <v>14</v>
      </c>
      <c r="K8084" t="str">
        <f>"1F1"</f>
        <v>1F1</v>
      </c>
      <c r="L8084" t="s">
        <v>15</v>
      </c>
    </row>
    <row r="8085" spans="1:12" x14ac:dyDescent="0.25">
      <c r="A8085" t="str">
        <f>"6311171229"</f>
        <v>6311171229</v>
      </c>
      <c r="B8085" t="str">
        <f t="shared" si="368"/>
        <v>89301000</v>
      </c>
      <c r="C8085" s="1">
        <v>44538</v>
      </c>
      <c r="D8085" s="1">
        <v>44540</v>
      </c>
      <c r="E8085">
        <v>1</v>
      </c>
      <c r="F8085" t="s">
        <v>1688</v>
      </c>
      <c r="G8085" t="str">
        <f>"02-I06-03"</f>
        <v>02-I06-03</v>
      </c>
      <c r="H8085">
        <v>0.63690000000000002</v>
      </c>
      <c r="I8085" t="s">
        <v>5766</v>
      </c>
      <c r="J8085" t="s">
        <v>17</v>
      </c>
      <c r="K8085" t="str">
        <f>"5F3"</f>
        <v>5F3</v>
      </c>
      <c r="L8085" t="s">
        <v>15</v>
      </c>
    </row>
    <row r="8086" spans="1:12" x14ac:dyDescent="0.25">
      <c r="A8086" t="str">
        <f>"6311171229"</f>
        <v>6311171229</v>
      </c>
      <c r="B8086" t="str">
        <f t="shared" si="368"/>
        <v>89301000</v>
      </c>
      <c r="C8086" s="1">
        <v>44384</v>
      </c>
      <c r="D8086" s="1">
        <v>44407</v>
      </c>
      <c r="E8086">
        <v>4</v>
      </c>
      <c r="F8086" t="s">
        <v>1581</v>
      </c>
      <c r="G8086" t="str">
        <f>"05-I23-01"</f>
        <v>05-I23-01</v>
      </c>
      <c r="H8086">
        <v>4.1421000000000001</v>
      </c>
      <c r="I8086" t="s">
        <v>5767</v>
      </c>
      <c r="J8086" t="s">
        <v>14</v>
      </c>
      <c r="K8086" t="str">
        <f>"1F1"</f>
        <v>1F1</v>
      </c>
      <c r="L8086" t="s">
        <v>15</v>
      </c>
    </row>
    <row r="8087" spans="1:12" x14ac:dyDescent="0.25">
      <c r="A8087" t="str">
        <f>"6311231102"</f>
        <v>6311231102</v>
      </c>
      <c r="B8087" t="str">
        <f t="shared" si="368"/>
        <v>89301000</v>
      </c>
      <c r="C8087" s="1">
        <v>44217</v>
      </c>
      <c r="D8087" s="1">
        <v>44223</v>
      </c>
      <c r="E8087">
        <v>1</v>
      </c>
      <c r="F8087" t="s">
        <v>2585</v>
      </c>
      <c r="G8087" t="str">
        <f>"12-I02-01"</f>
        <v>12-I02-01</v>
      </c>
      <c r="H8087">
        <v>3.1240999999999999</v>
      </c>
      <c r="I8087" t="s">
        <v>168</v>
      </c>
      <c r="J8087" t="s">
        <v>14</v>
      </c>
      <c r="K8087" t="str">
        <f>"7F6"</f>
        <v>7F6</v>
      </c>
      <c r="L8087" t="s">
        <v>15</v>
      </c>
    </row>
    <row r="8088" spans="1:12" x14ac:dyDescent="0.25">
      <c r="A8088" t="str">
        <f>"6312071073"</f>
        <v>6312071073</v>
      </c>
      <c r="B8088" t="str">
        <f t="shared" si="368"/>
        <v>89301000</v>
      </c>
      <c r="C8088" s="1">
        <v>44215</v>
      </c>
      <c r="D8088" s="1">
        <v>44221</v>
      </c>
      <c r="E8088">
        <v>1</v>
      </c>
      <c r="F8088" t="s">
        <v>3330</v>
      </c>
      <c r="G8088" t="str">
        <f>"08-I23-02"</f>
        <v>08-I23-02</v>
      </c>
      <c r="H8088">
        <v>1.1973</v>
      </c>
      <c r="J8088" t="s">
        <v>17</v>
      </c>
      <c r="K8088" t="str">
        <f>"6F6"</f>
        <v>6F6</v>
      </c>
      <c r="L8088" t="s">
        <v>15</v>
      </c>
    </row>
    <row r="8089" spans="1:12" x14ac:dyDescent="0.25">
      <c r="A8089" t="str">
        <f>"6312090367"</f>
        <v>6312090367</v>
      </c>
      <c r="B8089" t="str">
        <f t="shared" si="368"/>
        <v>89301000</v>
      </c>
      <c r="C8089" s="1">
        <v>44418</v>
      </c>
      <c r="D8089" s="1">
        <v>44420</v>
      </c>
      <c r="E8089">
        <v>1</v>
      </c>
      <c r="F8089" t="s">
        <v>5638</v>
      </c>
      <c r="G8089" t="str">
        <f>"08-I26-02"</f>
        <v>08-I26-02</v>
      </c>
      <c r="H8089">
        <v>0.83399999999999996</v>
      </c>
      <c r="J8089" t="s">
        <v>14</v>
      </c>
      <c r="K8089" t="str">
        <f>"6F6"</f>
        <v>6F6</v>
      </c>
      <c r="L8089" t="s">
        <v>15</v>
      </c>
    </row>
    <row r="8090" spans="1:12" x14ac:dyDescent="0.25">
      <c r="A8090" t="str">
        <f>"6312107021"</f>
        <v>6312107021</v>
      </c>
      <c r="B8090" t="str">
        <f t="shared" si="368"/>
        <v>89301000</v>
      </c>
      <c r="C8090" s="1">
        <v>44202</v>
      </c>
      <c r="D8090" s="1">
        <v>44205</v>
      </c>
      <c r="E8090">
        <v>5</v>
      </c>
      <c r="F8090" t="s">
        <v>217</v>
      </c>
      <c r="G8090" t="str">
        <f>"04-K02-04"</f>
        <v>04-K02-04</v>
      </c>
      <c r="H8090">
        <v>0.82469999999999999</v>
      </c>
      <c r="I8090" t="s">
        <v>2025</v>
      </c>
      <c r="J8090" t="s">
        <v>14</v>
      </c>
      <c r="K8090" t="str">
        <f>"1F1"</f>
        <v>1F1</v>
      </c>
      <c r="L8090" t="s">
        <v>15</v>
      </c>
    </row>
    <row r="8091" spans="1:12" x14ac:dyDescent="0.25">
      <c r="A8091" t="str">
        <f>"6312131045"</f>
        <v>6312131045</v>
      </c>
      <c r="B8091" t="str">
        <f t="shared" si="368"/>
        <v>89301000</v>
      </c>
      <c r="C8091" s="1">
        <v>44389</v>
      </c>
      <c r="D8091" s="1">
        <v>44392</v>
      </c>
      <c r="E8091">
        <v>1</v>
      </c>
      <c r="F8091" t="s">
        <v>1699</v>
      </c>
      <c r="G8091" t="str">
        <f>"01-K10-03"</f>
        <v>01-K10-03</v>
      </c>
      <c r="H8091">
        <v>1.0016</v>
      </c>
      <c r="I8091" t="s">
        <v>2321</v>
      </c>
      <c r="J8091" t="s">
        <v>14</v>
      </c>
      <c r="K8091" t="str">
        <f>"2F9"</f>
        <v>2F9</v>
      </c>
      <c r="L8091" t="s">
        <v>15</v>
      </c>
    </row>
    <row r="8092" spans="1:12" x14ac:dyDescent="0.25">
      <c r="A8092" t="str">
        <f>"6312180985"</f>
        <v>6312180985</v>
      </c>
      <c r="B8092" t="str">
        <f t="shared" si="368"/>
        <v>89301000</v>
      </c>
      <c r="C8092" s="1">
        <v>44367</v>
      </c>
      <c r="D8092" s="1">
        <v>44375</v>
      </c>
      <c r="E8092">
        <v>4</v>
      </c>
      <c r="F8092" t="s">
        <v>3986</v>
      </c>
      <c r="G8092" t="str">
        <f>"08-I05-04"</f>
        <v>08-I05-04</v>
      </c>
      <c r="H8092">
        <v>2.4581</v>
      </c>
      <c r="I8092" t="s">
        <v>3987</v>
      </c>
      <c r="J8092" t="s">
        <v>17</v>
      </c>
      <c r="K8092" t="str">
        <f>"6F6"</f>
        <v>6F6</v>
      </c>
      <c r="L8092" t="s">
        <v>15</v>
      </c>
    </row>
    <row r="8093" spans="1:12" x14ac:dyDescent="0.25">
      <c r="A8093" t="str">
        <f>"6351030202"</f>
        <v>6351030202</v>
      </c>
      <c r="B8093" t="str">
        <f t="shared" si="368"/>
        <v>89301000</v>
      </c>
      <c r="C8093" s="1">
        <v>44493</v>
      </c>
      <c r="D8093" s="1">
        <v>44495</v>
      </c>
      <c r="E8093">
        <v>1</v>
      </c>
      <c r="F8093" t="s">
        <v>12</v>
      </c>
      <c r="G8093" t="str">
        <f>"03-I14-02"</f>
        <v>03-I14-02</v>
      </c>
      <c r="H8093">
        <v>1.1086</v>
      </c>
      <c r="I8093" t="s">
        <v>5768</v>
      </c>
      <c r="J8093" t="s">
        <v>14</v>
      </c>
      <c r="K8093" t="str">
        <f>"7F1"</f>
        <v>7F1</v>
      </c>
      <c r="L8093" t="s">
        <v>15</v>
      </c>
    </row>
    <row r="8094" spans="1:12" x14ac:dyDescent="0.25">
      <c r="A8094" t="str">
        <f>"6351041653"</f>
        <v>6351041653</v>
      </c>
      <c r="B8094" t="str">
        <f t="shared" si="368"/>
        <v>89301000</v>
      </c>
      <c r="C8094" s="1">
        <v>44337</v>
      </c>
      <c r="D8094" s="1">
        <v>44341</v>
      </c>
      <c r="E8094">
        <v>5</v>
      </c>
      <c r="F8094" t="s">
        <v>2914</v>
      </c>
      <c r="G8094" t="str">
        <f>"08-I14-02"</f>
        <v>08-I14-02</v>
      </c>
      <c r="H8094">
        <v>1.7324999999999999</v>
      </c>
      <c r="I8094" t="s">
        <v>5769</v>
      </c>
      <c r="J8094" t="s">
        <v>17</v>
      </c>
      <c r="K8094" t="str">
        <f>"5F3"</f>
        <v>5F3</v>
      </c>
      <c r="L8094" t="s">
        <v>15</v>
      </c>
    </row>
    <row r="8095" spans="1:12" x14ac:dyDescent="0.25">
      <c r="A8095" t="str">
        <f>"6351070143"</f>
        <v>6351070143</v>
      </c>
      <c r="B8095" t="str">
        <f t="shared" si="368"/>
        <v>89301000</v>
      </c>
      <c r="C8095" s="1">
        <v>44262</v>
      </c>
      <c r="D8095" s="1">
        <v>44265</v>
      </c>
      <c r="E8095">
        <v>1</v>
      </c>
      <c r="F8095" t="s">
        <v>81</v>
      </c>
      <c r="G8095" t="str">
        <f>"10-I13-02"</f>
        <v>10-I13-02</v>
      </c>
      <c r="H8095">
        <v>1.1468</v>
      </c>
      <c r="J8095" t="s">
        <v>24</v>
      </c>
      <c r="K8095" t="str">
        <f>"5F5"</f>
        <v>5F5</v>
      </c>
      <c r="L8095" t="s">
        <v>15</v>
      </c>
    </row>
    <row r="8096" spans="1:12" x14ac:dyDescent="0.25">
      <c r="A8096" t="str">
        <f>"6351110282"</f>
        <v>6351110282</v>
      </c>
      <c r="B8096" t="str">
        <f t="shared" si="368"/>
        <v>89301000</v>
      </c>
      <c r="C8096" s="1">
        <v>44263</v>
      </c>
      <c r="D8096" s="1">
        <v>44266</v>
      </c>
      <c r="E8096">
        <v>1</v>
      </c>
      <c r="F8096" t="s">
        <v>467</v>
      </c>
      <c r="G8096" t="str">
        <f>"06-K22-03"</f>
        <v>06-K22-03</v>
      </c>
      <c r="H8096">
        <v>0.3165</v>
      </c>
      <c r="I8096" t="s">
        <v>5770</v>
      </c>
      <c r="J8096" t="s">
        <v>14</v>
      </c>
      <c r="K8096" t="str">
        <f>"1F5"</f>
        <v>1F5</v>
      </c>
      <c r="L8096" t="s">
        <v>15</v>
      </c>
    </row>
    <row r="8097" spans="1:12" x14ac:dyDescent="0.25">
      <c r="A8097" t="str">
        <f>"6351110282"</f>
        <v>6351110282</v>
      </c>
      <c r="B8097" t="str">
        <f t="shared" si="368"/>
        <v>89301000</v>
      </c>
      <c r="C8097" s="1">
        <v>44316</v>
      </c>
      <c r="D8097" s="1">
        <v>44322</v>
      </c>
      <c r="E8097">
        <v>1</v>
      </c>
      <c r="F8097" t="s">
        <v>51</v>
      </c>
      <c r="G8097" t="str">
        <f>"13-I17-00"</f>
        <v>13-I17-00</v>
      </c>
      <c r="H8097">
        <v>0.74590000000000001</v>
      </c>
      <c r="J8097" t="s">
        <v>24</v>
      </c>
      <c r="K8097" t="str">
        <f>"6F3"</f>
        <v>6F3</v>
      </c>
      <c r="L8097" t="s">
        <v>15</v>
      </c>
    </row>
    <row r="8098" spans="1:12" x14ac:dyDescent="0.25">
      <c r="A8098" t="str">
        <f>"6351110282"</f>
        <v>6351110282</v>
      </c>
      <c r="B8098" t="str">
        <f t="shared" si="368"/>
        <v>89301000</v>
      </c>
      <c r="C8098" s="1">
        <v>44256</v>
      </c>
      <c r="D8098" s="1">
        <v>44258</v>
      </c>
      <c r="E8098">
        <v>1</v>
      </c>
      <c r="F8098" t="s">
        <v>691</v>
      </c>
      <c r="G8098" t="str">
        <f>"06-K03-03"</f>
        <v>06-K03-03</v>
      </c>
      <c r="H8098">
        <v>0.44019999999999998</v>
      </c>
      <c r="I8098" t="s">
        <v>5771</v>
      </c>
      <c r="J8098" t="s">
        <v>14</v>
      </c>
      <c r="K8098" t="str">
        <f>"1F1"</f>
        <v>1F1</v>
      </c>
      <c r="L8098" t="s">
        <v>15</v>
      </c>
    </row>
    <row r="8099" spans="1:12" x14ac:dyDescent="0.25">
      <c r="A8099" t="str">
        <f>"6351110282"</f>
        <v>6351110282</v>
      </c>
      <c r="B8099" t="str">
        <f t="shared" si="368"/>
        <v>89301000</v>
      </c>
      <c r="C8099" s="1">
        <v>44228</v>
      </c>
      <c r="D8099" s="1">
        <v>44235</v>
      </c>
      <c r="E8099">
        <v>1</v>
      </c>
      <c r="F8099" t="s">
        <v>241</v>
      </c>
      <c r="G8099" t="str">
        <f>"04-K04-02"</f>
        <v>04-K04-02</v>
      </c>
      <c r="H8099">
        <v>0.50470000000000004</v>
      </c>
      <c r="I8099" t="s">
        <v>5772</v>
      </c>
      <c r="J8099" t="s">
        <v>14</v>
      </c>
      <c r="K8099" t="str">
        <f>"2F5"</f>
        <v>2F5</v>
      </c>
      <c r="L8099" t="s">
        <v>15</v>
      </c>
    </row>
    <row r="8100" spans="1:12" x14ac:dyDescent="0.25">
      <c r="A8100" t="str">
        <f>"6351172003"</f>
        <v>6351172003</v>
      </c>
      <c r="B8100" t="str">
        <f t="shared" si="368"/>
        <v>89301000</v>
      </c>
      <c r="C8100" s="1">
        <v>44355</v>
      </c>
      <c r="D8100" s="1">
        <v>44356</v>
      </c>
      <c r="E8100">
        <v>1</v>
      </c>
      <c r="F8100" t="s">
        <v>2111</v>
      </c>
      <c r="G8100" t="str">
        <f>"10-K15-02"</f>
        <v>10-K15-02</v>
      </c>
      <c r="H8100">
        <v>0.51819999999999999</v>
      </c>
      <c r="I8100" t="s">
        <v>2421</v>
      </c>
      <c r="J8100" t="s">
        <v>14</v>
      </c>
      <c r="K8100" t="str">
        <f>"2F5"</f>
        <v>2F5</v>
      </c>
      <c r="L8100" t="s">
        <v>15</v>
      </c>
    </row>
    <row r="8101" spans="1:12" x14ac:dyDescent="0.25">
      <c r="A8101" t="str">
        <f>"6351172003"</f>
        <v>6351172003</v>
      </c>
      <c r="B8101" t="str">
        <f t="shared" si="368"/>
        <v>89301000</v>
      </c>
      <c r="C8101" s="1">
        <v>44370</v>
      </c>
      <c r="D8101" s="1">
        <v>44372</v>
      </c>
      <c r="E8101">
        <v>1</v>
      </c>
      <c r="F8101" t="s">
        <v>2111</v>
      </c>
      <c r="G8101" t="str">
        <f>"10-K15-02"</f>
        <v>10-K15-02</v>
      </c>
      <c r="H8101">
        <v>0.77639999999999998</v>
      </c>
      <c r="I8101" t="s">
        <v>2421</v>
      </c>
      <c r="J8101" t="s">
        <v>14</v>
      </c>
      <c r="K8101" t="str">
        <f>"2F5"</f>
        <v>2F5</v>
      </c>
      <c r="L8101" t="s">
        <v>15</v>
      </c>
    </row>
    <row r="8102" spans="1:12" x14ac:dyDescent="0.25">
      <c r="A8102" t="str">
        <f>"6351180275"</f>
        <v>6351180275</v>
      </c>
      <c r="B8102" t="str">
        <f t="shared" si="368"/>
        <v>89301000</v>
      </c>
      <c r="C8102" s="1">
        <v>44306</v>
      </c>
      <c r="D8102" s="1">
        <v>44314</v>
      </c>
      <c r="E8102">
        <v>1</v>
      </c>
      <c r="F8102" t="s">
        <v>5340</v>
      </c>
      <c r="G8102" t="str">
        <f>"09-K04-01"</f>
        <v>09-K04-01</v>
      </c>
      <c r="H8102">
        <v>0.78059999999999996</v>
      </c>
      <c r="I8102" t="s">
        <v>5773</v>
      </c>
      <c r="J8102" t="s">
        <v>14</v>
      </c>
      <c r="K8102" t="str">
        <f>"4F4"</f>
        <v>4F4</v>
      </c>
      <c r="L8102" t="s">
        <v>15</v>
      </c>
    </row>
    <row r="8103" spans="1:12" x14ac:dyDescent="0.25">
      <c r="A8103" t="str">
        <f>"6351220282"</f>
        <v>6351220282</v>
      </c>
      <c r="B8103" t="str">
        <f t="shared" si="368"/>
        <v>89301000</v>
      </c>
      <c r="C8103" s="1">
        <v>44248</v>
      </c>
      <c r="D8103" s="1">
        <v>44250</v>
      </c>
      <c r="E8103">
        <v>1</v>
      </c>
      <c r="F8103" t="s">
        <v>445</v>
      </c>
      <c r="G8103" t="str">
        <f>"08-I17-02"</f>
        <v>08-I17-02</v>
      </c>
      <c r="H8103">
        <v>0.98309999999999997</v>
      </c>
      <c r="I8103" t="s">
        <v>196</v>
      </c>
      <c r="J8103" t="s">
        <v>14</v>
      </c>
      <c r="K8103" t="str">
        <f>"5F3"</f>
        <v>5F3</v>
      </c>
      <c r="L8103" t="s">
        <v>15</v>
      </c>
    </row>
    <row r="8104" spans="1:12" x14ac:dyDescent="0.25">
      <c r="A8104" t="str">
        <f>"6351231040"</f>
        <v>6351231040</v>
      </c>
      <c r="B8104" t="str">
        <f t="shared" si="368"/>
        <v>89301000</v>
      </c>
      <c r="C8104" s="1">
        <v>44200</v>
      </c>
      <c r="D8104" s="1">
        <v>44211</v>
      </c>
      <c r="E8104">
        <v>1</v>
      </c>
      <c r="F8104" t="s">
        <v>2146</v>
      </c>
      <c r="G8104" t="str">
        <f>"06-I02-01"</f>
        <v>06-I02-01</v>
      </c>
      <c r="H8104">
        <v>6.8238000000000003</v>
      </c>
      <c r="J8104" t="s">
        <v>17</v>
      </c>
      <c r="K8104" t="str">
        <f>"5F1"</f>
        <v>5F1</v>
      </c>
      <c r="L8104" t="s">
        <v>15</v>
      </c>
    </row>
    <row r="8105" spans="1:12" x14ac:dyDescent="0.25">
      <c r="A8105" t="str">
        <f>"6351231040"</f>
        <v>6351231040</v>
      </c>
      <c r="B8105" t="str">
        <f t="shared" si="368"/>
        <v>89301000</v>
      </c>
      <c r="C8105" s="1">
        <v>44298</v>
      </c>
      <c r="D8105" s="1">
        <v>44306</v>
      </c>
      <c r="E8105">
        <v>1</v>
      </c>
      <c r="F8105" t="s">
        <v>2648</v>
      </c>
      <c r="G8105" t="str">
        <f>"06-I13-03"</f>
        <v>06-I13-03</v>
      </c>
      <c r="H8105">
        <v>1.6753</v>
      </c>
      <c r="I8105" t="s">
        <v>2910</v>
      </c>
      <c r="J8105" t="s">
        <v>14</v>
      </c>
      <c r="K8105" t="str">
        <f>"5F1"</f>
        <v>5F1</v>
      </c>
      <c r="L8105" t="s">
        <v>15</v>
      </c>
    </row>
    <row r="8106" spans="1:12" x14ac:dyDescent="0.25">
      <c r="A8106" t="str">
        <f>"6351281013"</f>
        <v>6351281013</v>
      </c>
      <c r="B8106" t="str">
        <f t="shared" si="368"/>
        <v>89301000</v>
      </c>
      <c r="C8106" s="1">
        <v>44306</v>
      </c>
      <c r="D8106" s="1">
        <v>44308</v>
      </c>
      <c r="E8106">
        <v>1</v>
      </c>
      <c r="F8106" t="s">
        <v>445</v>
      </c>
      <c r="G8106" t="str">
        <f>"08-I17-02"</f>
        <v>08-I17-02</v>
      </c>
      <c r="H8106">
        <v>0.98309999999999997</v>
      </c>
      <c r="I8106" t="s">
        <v>5774</v>
      </c>
      <c r="J8106" t="s">
        <v>14</v>
      </c>
      <c r="K8106" t="str">
        <f>"5F3"</f>
        <v>5F3</v>
      </c>
      <c r="L8106" t="s">
        <v>15</v>
      </c>
    </row>
    <row r="8107" spans="1:12" x14ac:dyDescent="0.25">
      <c r="A8107" t="str">
        <f>"6352081208"</f>
        <v>6352081208</v>
      </c>
      <c r="B8107" t="str">
        <f t="shared" si="368"/>
        <v>89301000</v>
      </c>
      <c r="C8107" s="1">
        <v>44297</v>
      </c>
      <c r="D8107" s="1">
        <v>44303</v>
      </c>
      <c r="E8107">
        <v>1</v>
      </c>
      <c r="F8107" t="s">
        <v>2648</v>
      </c>
      <c r="G8107" t="str">
        <f>"06-I12-03"</f>
        <v>06-I12-03</v>
      </c>
      <c r="H8107">
        <v>1.8894</v>
      </c>
      <c r="J8107" t="s">
        <v>14</v>
      </c>
      <c r="K8107" t="str">
        <f>"5F1"</f>
        <v>5F1</v>
      </c>
      <c r="L8107" t="s">
        <v>15</v>
      </c>
    </row>
    <row r="8108" spans="1:12" x14ac:dyDescent="0.25">
      <c r="A8108" t="str">
        <f>"6352110050"</f>
        <v>6352110050</v>
      </c>
      <c r="B8108" t="str">
        <f t="shared" si="368"/>
        <v>89301000</v>
      </c>
      <c r="C8108" s="1">
        <v>44328</v>
      </c>
      <c r="D8108" s="1">
        <v>44330</v>
      </c>
      <c r="E8108">
        <v>1</v>
      </c>
      <c r="F8108" t="s">
        <v>786</v>
      </c>
      <c r="G8108" t="str">
        <f>"04-M02-03"</f>
        <v>04-M02-03</v>
      </c>
      <c r="H8108">
        <v>1.5854999999999999</v>
      </c>
      <c r="I8108" t="s">
        <v>5775</v>
      </c>
      <c r="J8108" t="s">
        <v>14</v>
      </c>
      <c r="K8108" t="str">
        <f>"2F5"</f>
        <v>2F5</v>
      </c>
      <c r="L8108" t="s">
        <v>15</v>
      </c>
    </row>
    <row r="8109" spans="1:12" x14ac:dyDescent="0.25">
      <c r="A8109" t="str">
        <f>"6352282178"</f>
        <v>6352282178</v>
      </c>
      <c r="B8109" t="str">
        <f t="shared" si="368"/>
        <v>89301000</v>
      </c>
      <c r="C8109" s="1">
        <v>44473</v>
      </c>
      <c r="D8109" s="1">
        <v>44475</v>
      </c>
      <c r="E8109">
        <v>1</v>
      </c>
      <c r="F8109" t="s">
        <v>4382</v>
      </c>
      <c r="G8109" t="str">
        <f>"05-I30-02"</f>
        <v>05-I30-02</v>
      </c>
      <c r="H8109">
        <v>0.46729999999999999</v>
      </c>
      <c r="I8109" t="s">
        <v>5620</v>
      </c>
      <c r="J8109" t="s">
        <v>14</v>
      </c>
      <c r="K8109" t="str">
        <f>"5F1"</f>
        <v>5F1</v>
      </c>
      <c r="L8109" t="s">
        <v>15</v>
      </c>
    </row>
    <row r="8110" spans="1:12" x14ac:dyDescent="0.25">
      <c r="A8110" t="str">
        <f>"6353030684"</f>
        <v>6353030684</v>
      </c>
      <c r="B8110" t="str">
        <f t="shared" si="368"/>
        <v>89301000</v>
      </c>
      <c r="C8110" s="1">
        <v>44348</v>
      </c>
      <c r="D8110" s="1">
        <v>44350</v>
      </c>
      <c r="E8110">
        <v>1</v>
      </c>
      <c r="F8110" t="s">
        <v>2311</v>
      </c>
      <c r="G8110" t="str">
        <f>"08-I03-08"</f>
        <v>08-I03-08</v>
      </c>
      <c r="H8110">
        <v>2.0605000000000002</v>
      </c>
      <c r="J8110" t="s">
        <v>17</v>
      </c>
      <c r="K8110" t="str">
        <f>"5F6"</f>
        <v>5F6</v>
      </c>
      <c r="L8110" t="s">
        <v>15</v>
      </c>
    </row>
    <row r="8111" spans="1:12" x14ac:dyDescent="0.25">
      <c r="A8111" t="str">
        <f>"6353090337"</f>
        <v>6353090337</v>
      </c>
      <c r="B8111" t="str">
        <f t="shared" si="368"/>
        <v>89301000</v>
      </c>
      <c r="C8111" s="1">
        <v>44369</v>
      </c>
      <c r="D8111" s="1">
        <v>44377</v>
      </c>
      <c r="E8111">
        <v>1</v>
      </c>
      <c r="F8111" t="s">
        <v>2433</v>
      </c>
      <c r="G8111" t="str">
        <f>"09-K04-02"</f>
        <v>09-K04-02</v>
      </c>
      <c r="H8111">
        <v>0.68279999999999996</v>
      </c>
      <c r="I8111" t="s">
        <v>489</v>
      </c>
      <c r="J8111" t="s">
        <v>14</v>
      </c>
      <c r="K8111" t="str">
        <f>"4F4"</f>
        <v>4F4</v>
      </c>
      <c r="L8111" t="s">
        <v>15</v>
      </c>
    </row>
    <row r="8112" spans="1:12" x14ac:dyDescent="0.25">
      <c r="A8112" t="str">
        <f>"6353170076"</f>
        <v>6353170076</v>
      </c>
      <c r="B8112" t="str">
        <f t="shared" si="368"/>
        <v>89301000</v>
      </c>
      <c r="C8112" s="1">
        <v>44310</v>
      </c>
      <c r="D8112" s="1">
        <v>44315</v>
      </c>
      <c r="E8112">
        <v>4</v>
      </c>
      <c r="F8112" t="s">
        <v>217</v>
      </c>
      <c r="G8112" t="str">
        <f>"04-K02-04"</f>
        <v>04-K02-04</v>
      </c>
      <c r="H8112">
        <v>0.82469999999999999</v>
      </c>
      <c r="I8112" t="s">
        <v>5776</v>
      </c>
      <c r="J8112" t="s">
        <v>14</v>
      </c>
      <c r="K8112" t="str">
        <f>"1F1"</f>
        <v>1F1</v>
      </c>
      <c r="L8112" t="s">
        <v>15</v>
      </c>
    </row>
    <row r="8113" spans="1:12" x14ac:dyDescent="0.25">
      <c r="A8113" t="str">
        <f>"6353230862"</f>
        <v>6353230862</v>
      </c>
      <c r="B8113" t="str">
        <f t="shared" si="368"/>
        <v>89301000</v>
      </c>
      <c r="C8113" s="1">
        <v>44329</v>
      </c>
      <c r="D8113" s="1">
        <v>44330</v>
      </c>
      <c r="E8113">
        <v>1</v>
      </c>
      <c r="F8113" t="s">
        <v>2082</v>
      </c>
      <c r="G8113" t="str">
        <f>"03-I19-03"</f>
        <v>03-I19-03</v>
      </c>
      <c r="H8113">
        <v>0.60699999999999998</v>
      </c>
      <c r="I8113" t="s">
        <v>4237</v>
      </c>
      <c r="J8113" t="s">
        <v>14</v>
      </c>
      <c r="K8113" t="str">
        <f>"6F5"</f>
        <v>6F5</v>
      </c>
      <c r="L8113" t="s">
        <v>15</v>
      </c>
    </row>
    <row r="8114" spans="1:12" x14ac:dyDescent="0.25">
      <c r="A8114" t="str">
        <f>"6353250695"</f>
        <v>6353250695</v>
      </c>
      <c r="B8114" t="str">
        <f t="shared" si="368"/>
        <v>89301000</v>
      </c>
      <c r="C8114" s="1">
        <v>44285</v>
      </c>
      <c r="D8114" s="1">
        <v>44286</v>
      </c>
      <c r="E8114">
        <v>1</v>
      </c>
      <c r="F8114" t="s">
        <v>575</v>
      </c>
      <c r="G8114" t="str">
        <f>"18-K02-03"</f>
        <v>18-K02-03</v>
      </c>
      <c r="H8114">
        <v>0.59319999999999995</v>
      </c>
      <c r="I8114" t="s">
        <v>5777</v>
      </c>
      <c r="J8114" t="s">
        <v>14</v>
      </c>
      <c r="K8114" t="str">
        <f>"6F1"</f>
        <v>6F1</v>
      </c>
      <c r="L8114" t="s">
        <v>15</v>
      </c>
    </row>
    <row r="8115" spans="1:12" x14ac:dyDescent="0.25">
      <c r="A8115" t="str">
        <f>"6353260199"</f>
        <v>6353260199</v>
      </c>
      <c r="B8115" t="str">
        <f t="shared" si="368"/>
        <v>89301000</v>
      </c>
      <c r="C8115" s="1">
        <v>44375</v>
      </c>
      <c r="D8115" s="1">
        <v>44378</v>
      </c>
      <c r="E8115">
        <v>1</v>
      </c>
      <c r="F8115" t="s">
        <v>772</v>
      </c>
      <c r="G8115" t="str">
        <f>"08-I17-02"</f>
        <v>08-I17-02</v>
      </c>
      <c r="H8115">
        <v>1.0900000000000001</v>
      </c>
      <c r="I8115" t="s">
        <v>5778</v>
      </c>
      <c r="J8115" t="s">
        <v>14</v>
      </c>
      <c r="K8115" t="str">
        <f>"5F3"</f>
        <v>5F3</v>
      </c>
      <c r="L8115" t="s">
        <v>15</v>
      </c>
    </row>
    <row r="8116" spans="1:12" x14ac:dyDescent="0.25">
      <c r="A8116" t="str">
        <f>"6353260199"</f>
        <v>6353260199</v>
      </c>
      <c r="B8116" t="str">
        <f t="shared" si="368"/>
        <v>89301000</v>
      </c>
      <c r="C8116" s="1">
        <v>44529</v>
      </c>
      <c r="D8116" s="1">
        <v>44531</v>
      </c>
      <c r="E8116">
        <v>1</v>
      </c>
      <c r="F8116" t="s">
        <v>173</v>
      </c>
      <c r="G8116" t="str">
        <f>"08-I32-02"</f>
        <v>08-I32-02</v>
      </c>
      <c r="H8116">
        <v>0.4143</v>
      </c>
      <c r="J8116" t="s">
        <v>14</v>
      </c>
      <c r="K8116" t="str">
        <f>"5F3"</f>
        <v>5F3</v>
      </c>
      <c r="L8116" t="s">
        <v>15</v>
      </c>
    </row>
    <row r="8117" spans="1:12" x14ac:dyDescent="0.25">
      <c r="A8117" t="str">
        <f>"6353280472"</f>
        <v>6353280472</v>
      </c>
      <c r="B8117" t="str">
        <f t="shared" si="368"/>
        <v>89301000</v>
      </c>
      <c r="C8117" s="1">
        <v>44222</v>
      </c>
      <c r="D8117" s="1">
        <v>44223</v>
      </c>
      <c r="E8117">
        <v>1</v>
      </c>
      <c r="F8117" t="s">
        <v>5779</v>
      </c>
      <c r="G8117" t="str">
        <f>"08-I25-02"</f>
        <v>08-I25-02</v>
      </c>
      <c r="H8117">
        <v>0.60870000000000002</v>
      </c>
      <c r="J8117" t="s">
        <v>14</v>
      </c>
      <c r="K8117" t="str">
        <f>"6F1"</f>
        <v>6F1</v>
      </c>
      <c r="L8117" t="s">
        <v>15</v>
      </c>
    </row>
    <row r="8118" spans="1:12" x14ac:dyDescent="0.25">
      <c r="A8118" t="str">
        <f>"6353300844"</f>
        <v>6353300844</v>
      </c>
      <c r="B8118" t="str">
        <f t="shared" ref="B8118:B8181" si="369">"89301000"</f>
        <v>89301000</v>
      </c>
      <c r="C8118" s="1">
        <v>44307</v>
      </c>
      <c r="D8118" s="1">
        <v>44316</v>
      </c>
      <c r="E8118">
        <v>1</v>
      </c>
      <c r="F8118" t="s">
        <v>109</v>
      </c>
      <c r="G8118" t="str">
        <f>"24-M06-02"</f>
        <v>24-M06-02</v>
      </c>
      <c r="H8118">
        <v>1.0233000000000001</v>
      </c>
      <c r="I8118" t="s">
        <v>5780</v>
      </c>
      <c r="J8118" t="s">
        <v>14</v>
      </c>
      <c r="K8118" t="str">
        <f>"2F1"</f>
        <v>2F1</v>
      </c>
      <c r="L8118" t="s">
        <v>15</v>
      </c>
    </row>
    <row r="8119" spans="1:12" x14ac:dyDescent="0.25">
      <c r="A8119" t="str">
        <f>"6353300844"</f>
        <v>6353300844</v>
      </c>
      <c r="B8119" t="str">
        <f t="shared" si="369"/>
        <v>89301000</v>
      </c>
      <c r="C8119" s="1">
        <v>44252</v>
      </c>
      <c r="D8119" s="1">
        <v>44257</v>
      </c>
      <c r="E8119">
        <v>1</v>
      </c>
      <c r="F8119" t="s">
        <v>3809</v>
      </c>
      <c r="G8119" t="str">
        <f>"06-K10-02"</f>
        <v>06-K10-02</v>
      </c>
      <c r="H8119">
        <v>0.79259999999999997</v>
      </c>
      <c r="I8119" t="s">
        <v>5781</v>
      </c>
      <c r="J8119" t="s">
        <v>14</v>
      </c>
      <c r="K8119" t="str">
        <f>"1F1"</f>
        <v>1F1</v>
      </c>
      <c r="L8119" t="s">
        <v>15</v>
      </c>
    </row>
    <row r="8120" spans="1:12" x14ac:dyDescent="0.25">
      <c r="A8120" t="str">
        <f>"6354031101"</f>
        <v>6354031101</v>
      </c>
      <c r="B8120" t="str">
        <f t="shared" si="369"/>
        <v>89301000</v>
      </c>
      <c r="C8120" s="1">
        <v>44376</v>
      </c>
      <c r="D8120" s="1">
        <v>44377</v>
      </c>
      <c r="E8120">
        <v>1</v>
      </c>
      <c r="F8120" t="s">
        <v>41</v>
      </c>
      <c r="G8120" t="str">
        <f>"01-D01-03"</f>
        <v>01-D01-03</v>
      </c>
      <c r="H8120">
        <v>0.158</v>
      </c>
      <c r="I8120" t="s">
        <v>5782</v>
      </c>
      <c r="J8120" t="s">
        <v>14</v>
      </c>
      <c r="K8120" t="str">
        <f>"2F5"</f>
        <v>2F5</v>
      </c>
      <c r="L8120" t="s">
        <v>15</v>
      </c>
    </row>
    <row r="8121" spans="1:12" x14ac:dyDescent="0.25">
      <c r="A8121" t="str">
        <f>"6354111335"</f>
        <v>6354111335</v>
      </c>
      <c r="B8121" t="str">
        <f t="shared" si="369"/>
        <v>89301000</v>
      </c>
      <c r="C8121" s="1">
        <v>44265</v>
      </c>
      <c r="D8121" s="1">
        <v>44274</v>
      </c>
      <c r="E8121">
        <v>1</v>
      </c>
      <c r="F8121" t="s">
        <v>217</v>
      </c>
      <c r="G8121" t="str">
        <f>"04-K02-02"</f>
        <v>04-K02-02</v>
      </c>
      <c r="H8121">
        <v>2.5186000000000002</v>
      </c>
      <c r="I8121" t="s">
        <v>5783</v>
      </c>
      <c r="J8121" t="s">
        <v>14</v>
      </c>
      <c r="K8121" t="str">
        <f>"5F1"</f>
        <v>5F1</v>
      </c>
      <c r="L8121" t="s">
        <v>15</v>
      </c>
    </row>
    <row r="8122" spans="1:12" x14ac:dyDescent="0.25">
      <c r="A8122" t="str">
        <f>"6354131289"</f>
        <v>6354131289</v>
      </c>
      <c r="B8122" t="str">
        <f t="shared" si="369"/>
        <v>89301000</v>
      </c>
      <c r="C8122" s="1">
        <v>44353</v>
      </c>
      <c r="D8122" s="1">
        <v>44358</v>
      </c>
      <c r="E8122">
        <v>1</v>
      </c>
      <c r="F8122" t="s">
        <v>3914</v>
      </c>
      <c r="G8122" t="str">
        <f>"11-I07-01"</f>
        <v>11-I07-01</v>
      </c>
      <c r="H8122">
        <v>2.5975999999999999</v>
      </c>
      <c r="I8122" t="s">
        <v>5784</v>
      </c>
      <c r="J8122" t="s">
        <v>14</v>
      </c>
      <c r="K8122" t="str">
        <f>"7F6"</f>
        <v>7F6</v>
      </c>
      <c r="L8122" t="s">
        <v>15</v>
      </c>
    </row>
    <row r="8123" spans="1:12" x14ac:dyDescent="0.25">
      <c r="A8123" t="str">
        <f>"6354141552"</f>
        <v>6354141552</v>
      </c>
      <c r="B8123" t="str">
        <f t="shared" si="369"/>
        <v>89301000</v>
      </c>
      <c r="C8123" s="1">
        <v>44250</v>
      </c>
      <c r="D8123" s="1">
        <v>44252</v>
      </c>
      <c r="E8123">
        <v>1</v>
      </c>
      <c r="F8123" t="s">
        <v>445</v>
      </c>
      <c r="G8123" t="str">
        <f>"08-I17-02"</f>
        <v>08-I17-02</v>
      </c>
      <c r="H8123">
        <v>0.98309999999999997</v>
      </c>
      <c r="I8123" t="s">
        <v>211</v>
      </c>
      <c r="J8123" t="s">
        <v>14</v>
      </c>
      <c r="K8123" t="str">
        <f>"5F3"</f>
        <v>5F3</v>
      </c>
      <c r="L8123" t="s">
        <v>15</v>
      </c>
    </row>
    <row r="8124" spans="1:12" x14ac:dyDescent="0.25">
      <c r="A8124" t="str">
        <f>"6354191283"</f>
        <v>6354191283</v>
      </c>
      <c r="B8124" t="str">
        <f t="shared" si="369"/>
        <v>89301000</v>
      </c>
      <c r="C8124" s="1">
        <v>44260</v>
      </c>
      <c r="D8124" s="1">
        <v>44261</v>
      </c>
      <c r="E8124">
        <v>1</v>
      </c>
      <c r="F8124" t="s">
        <v>804</v>
      </c>
      <c r="G8124" t="str">
        <f>"08-I17-02"</f>
        <v>08-I17-02</v>
      </c>
      <c r="H8124">
        <v>0.98309999999999997</v>
      </c>
      <c r="I8124" t="s">
        <v>295</v>
      </c>
      <c r="J8124" t="s">
        <v>14</v>
      </c>
      <c r="K8124" t="str">
        <f>"5F3"</f>
        <v>5F3</v>
      </c>
      <c r="L8124" t="s">
        <v>15</v>
      </c>
    </row>
    <row r="8125" spans="1:12" x14ac:dyDescent="0.25">
      <c r="A8125" t="str">
        <f>"6354212095"</f>
        <v>6354212095</v>
      </c>
      <c r="B8125" t="str">
        <f t="shared" si="369"/>
        <v>89301000</v>
      </c>
      <c r="C8125" s="1">
        <v>44487</v>
      </c>
      <c r="D8125" s="1">
        <v>44489</v>
      </c>
      <c r="E8125">
        <v>1</v>
      </c>
      <c r="F8125" t="s">
        <v>609</v>
      </c>
      <c r="G8125" t="str">
        <f>"08-I16-03"</f>
        <v>08-I16-03</v>
      </c>
      <c r="H8125">
        <v>1.3984000000000001</v>
      </c>
      <c r="I8125" t="s">
        <v>5785</v>
      </c>
      <c r="J8125" t="s">
        <v>17</v>
      </c>
      <c r="K8125" t="str">
        <f>"5F3"</f>
        <v>5F3</v>
      </c>
      <c r="L8125" t="s">
        <v>15</v>
      </c>
    </row>
    <row r="8126" spans="1:12" x14ac:dyDescent="0.25">
      <c r="A8126" t="str">
        <f>"6354241905"</f>
        <v>6354241905</v>
      </c>
      <c r="B8126" t="str">
        <f t="shared" si="369"/>
        <v>89301000</v>
      </c>
      <c r="C8126" s="1">
        <v>44239</v>
      </c>
      <c r="D8126" s="1">
        <v>44242</v>
      </c>
      <c r="E8126">
        <v>1</v>
      </c>
      <c r="F8126" t="s">
        <v>41</v>
      </c>
      <c r="G8126" t="str">
        <f>"01-D01-03"</f>
        <v>01-D01-03</v>
      </c>
      <c r="H8126">
        <v>0.2054</v>
      </c>
      <c r="I8126" t="s">
        <v>2663</v>
      </c>
      <c r="J8126" t="s">
        <v>14</v>
      </c>
      <c r="K8126" t="str">
        <f>"2F5"</f>
        <v>2F5</v>
      </c>
      <c r="L8126" t="s">
        <v>15</v>
      </c>
    </row>
    <row r="8127" spans="1:12" x14ac:dyDescent="0.25">
      <c r="A8127" t="str">
        <f>"6354281769"</f>
        <v>6354281769</v>
      </c>
      <c r="B8127" t="str">
        <f t="shared" si="369"/>
        <v>89301000</v>
      </c>
      <c r="C8127" s="1">
        <v>44424</v>
      </c>
      <c r="D8127" s="1">
        <v>44435</v>
      </c>
      <c r="E8127">
        <v>1</v>
      </c>
      <c r="F8127" t="s">
        <v>500</v>
      </c>
      <c r="G8127" t="str">
        <f>"06-K06-02"</f>
        <v>06-K06-02</v>
      </c>
      <c r="H8127">
        <v>0.69359999999999999</v>
      </c>
      <c r="I8127" t="s">
        <v>5786</v>
      </c>
      <c r="J8127" t="s">
        <v>14</v>
      </c>
      <c r="K8127" t="str">
        <f>"1F1"</f>
        <v>1F1</v>
      </c>
      <c r="L8127" t="s">
        <v>15</v>
      </c>
    </row>
    <row r="8128" spans="1:12" x14ac:dyDescent="0.25">
      <c r="A8128" t="str">
        <f>"6354281769"</f>
        <v>6354281769</v>
      </c>
      <c r="B8128" t="str">
        <f t="shared" si="369"/>
        <v>89301000</v>
      </c>
      <c r="C8128" s="1">
        <v>44411</v>
      </c>
      <c r="D8128" s="1">
        <v>44419</v>
      </c>
      <c r="E8128">
        <v>1</v>
      </c>
      <c r="F8128" t="s">
        <v>1572</v>
      </c>
      <c r="G8128" t="str">
        <f>"06-I12-03"</f>
        <v>06-I12-03</v>
      </c>
      <c r="H8128">
        <v>1.8894</v>
      </c>
      <c r="I8128" t="s">
        <v>5787</v>
      </c>
      <c r="J8128" t="s">
        <v>14</v>
      </c>
      <c r="K8128" t="str">
        <f>"5F1"</f>
        <v>5F1</v>
      </c>
      <c r="L8128" t="s">
        <v>15</v>
      </c>
    </row>
    <row r="8129" spans="1:12" x14ac:dyDescent="0.25">
      <c r="A8129" t="str">
        <f>"6355020628"</f>
        <v>6355020628</v>
      </c>
      <c r="B8129" t="str">
        <f t="shared" si="369"/>
        <v>89301000</v>
      </c>
      <c r="C8129" s="1">
        <v>44237</v>
      </c>
      <c r="D8129" s="1">
        <v>44242</v>
      </c>
      <c r="E8129">
        <v>1</v>
      </c>
      <c r="F8129" t="s">
        <v>197</v>
      </c>
      <c r="G8129" t="str">
        <f>"03-I18-02"</f>
        <v>03-I18-02</v>
      </c>
      <c r="H8129">
        <v>0.84370000000000001</v>
      </c>
      <c r="I8129" t="s">
        <v>5788</v>
      </c>
      <c r="J8129" t="s">
        <v>24</v>
      </c>
      <c r="K8129" t="str">
        <f>"7F1"</f>
        <v>7F1</v>
      </c>
      <c r="L8129" t="s">
        <v>15</v>
      </c>
    </row>
    <row r="8130" spans="1:12" x14ac:dyDescent="0.25">
      <c r="A8130" t="str">
        <f>"6355081183"</f>
        <v>6355081183</v>
      </c>
      <c r="B8130" t="str">
        <f t="shared" si="369"/>
        <v>89301000</v>
      </c>
      <c r="C8130" s="1">
        <v>44284</v>
      </c>
      <c r="D8130" s="1">
        <v>44284</v>
      </c>
      <c r="E8130">
        <v>1</v>
      </c>
      <c r="F8130" t="s">
        <v>2457</v>
      </c>
      <c r="G8130" t="str">
        <f>"05-D01-08"</f>
        <v>05-D01-08</v>
      </c>
      <c r="H8130">
        <v>0.21890000000000001</v>
      </c>
      <c r="I8130" t="s">
        <v>5789</v>
      </c>
      <c r="J8130" t="s">
        <v>14</v>
      </c>
      <c r="K8130" t="str">
        <f>"1F1"</f>
        <v>1F1</v>
      </c>
      <c r="L8130" t="s">
        <v>15</v>
      </c>
    </row>
    <row r="8131" spans="1:12" x14ac:dyDescent="0.25">
      <c r="A8131" t="str">
        <f>"6355141771"</f>
        <v>6355141771</v>
      </c>
      <c r="B8131" t="str">
        <f t="shared" si="369"/>
        <v>89301000</v>
      </c>
      <c r="C8131" s="1">
        <v>44467</v>
      </c>
      <c r="D8131" s="1">
        <v>44471</v>
      </c>
      <c r="E8131">
        <v>1</v>
      </c>
      <c r="F8131" t="s">
        <v>593</v>
      </c>
      <c r="G8131" t="str">
        <f>"07-I10-06"</f>
        <v>07-I10-06</v>
      </c>
      <c r="H8131">
        <v>0.9728</v>
      </c>
      <c r="J8131" t="s">
        <v>17</v>
      </c>
      <c r="K8131" t="str">
        <f>"5F1"</f>
        <v>5F1</v>
      </c>
      <c r="L8131" t="s">
        <v>15</v>
      </c>
    </row>
    <row r="8132" spans="1:12" x14ac:dyDescent="0.25">
      <c r="A8132" t="str">
        <f>"6355201798"</f>
        <v>6355201798</v>
      </c>
      <c r="B8132" t="str">
        <f t="shared" si="369"/>
        <v>89301000</v>
      </c>
      <c r="C8132" s="1">
        <v>44404</v>
      </c>
      <c r="D8132" s="1">
        <v>44406</v>
      </c>
      <c r="E8132">
        <v>1</v>
      </c>
      <c r="F8132" t="s">
        <v>2530</v>
      </c>
      <c r="G8132" t="str">
        <f>"08-M03-05"</f>
        <v>08-M03-05</v>
      </c>
      <c r="H8132">
        <v>0.51759999999999995</v>
      </c>
      <c r="J8132" t="s">
        <v>14</v>
      </c>
      <c r="K8132" t="str">
        <f>"6F6"</f>
        <v>6F6</v>
      </c>
      <c r="L8132" t="s">
        <v>15</v>
      </c>
    </row>
    <row r="8133" spans="1:12" x14ac:dyDescent="0.25">
      <c r="A8133" t="str">
        <f>"6355220630"</f>
        <v>6355220630</v>
      </c>
      <c r="B8133" t="str">
        <f t="shared" si="369"/>
        <v>89301000</v>
      </c>
      <c r="C8133" s="1">
        <v>44274</v>
      </c>
      <c r="D8133" s="1">
        <v>44314</v>
      </c>
      <c r="E8133">
        <v>7</v>
      </c>
      <c r="F8133" t="s">
        <v>217</v>
      </c>
      <c r="G8133" t="str">
        <f>"00-M03-04"</f>
        <v>00-M03-04</v>
      </c>
      <c r="H8133">
        <v>25.3432</v>
      </c>
      <c r="I8133" t="s">
        <v>5790</v>
      </c>
      <c r="J8133" t="s">
        <v>14</v>
      </c>
      <c r="K8133" t="str">
        <f>"1T1"</f>
        <v>1T1</v>
      </c>
      <c r="L8133" t="s">
        <v>15</v>
      </c>
    </row>
    <row r="8134" spans="1:12" x14ac:dyDescent="0.25">
      <c r="A8134" t="str">
        <f>"6355241167"</f>
        <v>6355241167</v>
      </c>
      <c r="B8134" t="str">
        <f t="shared" si="369"/>
        <v>89301000</v>
      </c>
      <c r="C8134" s="1">
        <v>44325</v>
      </c>
      <c r="D8134" s="1">
        <v>44327</v>
      </c>
      <c r="E8134">
        <v>1</v>
      </c>
      <c r="F8134" t="s">
        <v>3027</v>
      </c>
      <c r="G8134" t="str">
        <f>"03-I22-02"</f>
        <v>03-I22-02</v>
      </c>
      <c r="H8134">
        <v>0.75970000000000004</v>
      </c>
      <c r="I8134" t="s">
        <v>88</v>
      </c>
      <c r="J8134" t="s">
        <v>14</v>
      </c>
      <c r="K8134" t="str">
        <f>"7F1"</f>
        <v>7F1</v>
      </c>
      <c r="L8134" t="s">
        <v>15</v>
      </c>
    </row>
    <row r="8135" spans="1:12" x14ac:dyDescent="0.25">
      <c r="A8135" t="str">
        <f>"6355241167"</f>
        <v>6355241167</v>
      </c>
      <c r="B8135" t="str">
        <f t="shared" si="369"/>
        <v>89301000</v>
      </c>
      <c r="C8135" s="1">
        <v>44293</v>
      </c>
      <c r="D8135" s="1">
        <v>44295</v>
      </c>
      <c r="E8135">
        <v>1</v>
      </c>
      <c r="F8135" t="s">
        <v>3027</v>
      </c>
      <c r="G8135" t="str">
        <f>"03-I22-02"</f>
        <v>03-I22-02</v>
      </c>
      <c r="H8135">
        <v>0.75970000000000004</v>
      </c>
      <c r="I8135" t="s">
        <v>168</v>
      </c>
      <c r="J8135" t="s">
        <v>14</v>
      </c>
      <c r="K8135" t="str">
        <f>"7F1"</f>
        <v>7F1</v>
      </c>
      <c r="L8135" t="s">
        <v>15</v>
      </c>
    </row>
    <row r="8136" spans="1:12" x14ac:dyDescent="0.25">
      <c r="A8136" t="str">
        <f>"6355261572"</f>
        <v>6355261572</v>
      </c>
      <c r="B8136" t="str">
        <f t="shared" si="369"/>
        <v>89301000</v>
      </c>
      <c r="C8136" s="1">
        <v>44298</v>
      </c>
      <c r="D8136" s="1">
        <v>44302</v>
      </c>
      <c r="E8136">
        <v>1</v>
      </c>
      <c r="F8136" t="s">
        <v>217</v>
      </c>
      <c r="G8136" t="str">
        <f>"04-K02-03"</f>
        <v>04-K02-03</v>
      </c>
      <c r="H8136">
        <v>1.2859</v>
      </c>
      <c r="I8136" t="s">
        <v>5791</v>
      </c>
      <c r="J8136" t="s">
        <v>14</v>
      </c>
      <c r="K8136" t="str">
        <f>"1F1"</f>
        <v>1F1</v>
      </c>
      <c r="L8136" t="s">
        <v>15</v>
      </c>
    </row>
    <row r="8137" spans="1:12" x14ac:dyDescent="0.25">
      <c r="A8137" t="str">
        <f>"6355281042"</f>
        <v>6355281042</v>
      </c>
      <c r="B8137" t="str">
        <f t="shared" si="369"/>
        <v>89301000</v>
      </c>
      <c r="C8137" s="1">
        <v>44363</v>
      </c>
      <c r="D8137" s="1">
        <v>44366</v>
      </c>
      <c r="E8137">
        <v>1</v>
      </c>
      <c r="F8137" t="s">
        <v>689</v>
      </c>
      <c r="G8137" t="str">
        <f>"03-I14-02"</f>
        <v>03-I14-02</v>
      </c>
      <c r="H8137">
        <v>1.1086</v>
      </c>
      <c r="I8137" t="s">
        <v>5792</v>
      </c>
      <c r="J8137" t="s">
        <v>14</v>
      </c>
      <c r="K8137" t="str">
        <f>"7F1"</f>
        <v>7F1</v>
      </c>
      <c r="L8137" t="s">
        <v>15</v>
      </c>
    </row>
    <row r="8138" spans="1:12" x14ac:dyDescent="0.25">
      <c r="A8138" t="str">
        <f>"6356030967"</f>
        <v>6356030967</v>
      </c>
      <c r="B8138" t="str">
        <f t="shared" si="369"/>
        <v>89301000</v>
      </c>
      <c r="C8138" s="1">
        <v>44341</v>
      </c>
      <c r="D8138" s="1">
        <v>44342</v>
      </c>
      <c r="E8138">
        <v>1</v>
      </c>
      <c r="F8138" t="s">
        <v>1950</v>
      </c>
      <c r="G8138" t="str">
        <f>"02-I13-02"</f>
        <v>02-I13-02</v>
      </c>
      <c r="H8138">
        <v>0.376</v>
      </c>
      <c r="I8138" t="s">
        <v>5793</v>
      </c>
      <c r="J8138" t="s">
        <v>14</v>
      </c>
      <c r="K8138" t="str">
        <f>"7F5"</f>
        <v>7F5</v>
      </c>
      <c r="L8138" t="s">
        <v>15</v>
      </c>
    </row>
    <row r="8139" spans="1:12" x14ac:dyDescent="0.25">
      <c r="A8139" t="str">
        <f>"6356060964"</f>
        <v>6356060964</v>
      </c>
      <c r="B8139" t="str">
        <f t="shared" si="369"/>
        <v>89301000</v>
      </c>
      <c r="C8139" s="1">
        <v>44484</v>
      </c>
      <c r="D8139" s="1">
        <v>44495</v>
      </c>
      <c r="E8139">
        <v>4</v>
      </c>
      <c r="F8139" t="s">
        <v>1968</v>
      </c>
      <c r="G8139" t="str">
        <f>"08-I05-04"</f>
        <v>08-I05-04</v>
      </c>
      <c r="H8139">
        <v>2.4581</v>
      </c>
      <c r="I8139" t="s">
        <v>168</v>
      </c>
      <c r="J8139" t="s">
        <v>17</v>
      </c>
      <c r="K8139" t="str">
        <f>"6F6"</f>
        <v>6F6</v>
      </c>
      <c r="L8139" t="s">
        <v>15</v>
      </c>
    </row>
    <row r="8140" spans="1:12" x14ac:dyDescent="0.25">
      <c r="A8140" t="str">
        <f>"6356091126"</f>
        <v>6356091126</v>
      </c>
      <c r="B8140" t="str">
        <f t="shared" si="369"/>
        <v>89301000</v>
      </c>
      <c r="C8140" s="1">
        <v>44340</v>
      </c>
      <c r="D8140" s="1">
        <v>44341</v>
      </c>
      <c r="E8140">
        <v>1</v>
      </c>
      <c r="F8140" t="s">
        <v>41</v>
      </c>
      <c r="G8140" t="str">
        <f>"01-D01-03"</f>
        <v>01-D01-03</v>
      </c>
      <c r="H8140">
        <v>0.158</v>
      </c>
      <c r="I8140" t="s">
        <v>5794</v>
      </c>
      <c r="J8140" t="s">
        <v>14</v>
      </c>
      <c r="K8140" t="str">
        <f>"2F5"</f>
        <v>2F5</v>
      </c>
      <c r="L8140" t="s">
        <v>15</v>
      </c>
    </row>
    <row r="8141" spans="1:12" x14ac:dyDescent="0.25">
      <c r="A8141" t="str">
        <f>"6356091126"</f>
        <v>6356091126</v>
      </c>
      <c r="B8141" t="str">
        <f t="shared" si="369"/>
        <v>89301000</v>
      </c>
      <c r="C8141" s="1">
        <v>44453</v>
      </c>
      <c r="D8141" s="1">
        <v>44455</v>
      </c>
      <c r="E8141">
        <v>1</v>
      </c>
      <c r="F8141" t="s">
        <v>5527</v>
      </c>
      <c r="G8141" t="str">
        <f>"01-K18-04"</f>
        <v>01-K18-04</v>
      </c>
      <c r="H8141">
        <v>0.49890000000000001</v>
      </c>
      <c r="I8141" t="s">
        <v>5795</v>
      </c>
      <c r="J8141" t="s">
        <v>14</v>
      </c>
      <c r="K8141" t="str">
        <f>"2F9"</f>
        <v>2F9</v>
      </c>
      <c r="L8141" t="s">
        <v>15</v>
      </c>
    </row>
    <row r="8142" spans="1:12" x14ac:dyDescent="0.25">
      <c r="A8142" t="str">
        <f>"6356097473"</f>
        <v>6356097473</v>
      </c>
      <c r="B8142" t="str">
        <f t="shared" si="369"/>
        <v>89301000</v>
      </c>
      <c r="C8142" s="1">
        <v>44433</v>
      </c>
      <c r="D8142" s="1">
        <v>44440</v>
      </c>
      <c r="E8142">
        <v>1</v>
      </c>
      <c r="F8142" t="s">
        <v>5760</v>
      </c>
      <c r="G8142" t="str">
        <f>"02-I04-00"</f>
        <v>02-I04-00</v>
      </c>
      <c r="H8142">
        <v>0.96789999999999998</v>
      </c>
      <c r="I8142" t="s">
        <v>5796</v>
      </c>
      <c r="J8142" t="s">
        <v>17</v>
      </c>
      <c r="K8142" t="str">
        <f>"6F5"</f>
        <v>6F5</v>
      </c>
      <c r="L8142" t="s">
        <v>15</v>
      </c>
    </row>
    <row r="8143" spans="1:12" x14ac:dyDescent="0.25">
      <c r="A8143" t="str">
        <f>"6356120529"</f>
        <v>6356120529</v>
      </c>
      <c r="B8143" t="str">
        <f t="shared" si="369"/>
        <v>89301000</v>
      </c>
      <c r="C8143" s="1">
        <v>44271</v>
      </c>
      <c r="D8143" s="1">
        <v>44276</v>
      </c>
      <c r="E8143">
        <v>1</v>
      </c>
      <c r="F8143" t="s">
        <v>2497</v>
      </c>
      <c r="G8143" t="str">
        <f>"13-I02-04"</f>
        <v>13-I02-04</v>
      </c>
      <c r="H8143">
        <v>3.5352999999999999</v>
      </c>
      <c r="I8143" t="s">
        <v>5797</v>
      </c>
      <c r="J8143" t="s">
        <v>106</v>
      </c>
      <c r="K8143" t="str">
        <f>"6F3"</f>
        <v>6F3</v>
      </c>
      <c r="L8143" t="s">
        <v>15</v>
      </c>
    </row>
    <row r="8144" spans="1:12" x14ac:dyDescent="0.25">
      <c r="A8144" t="str">
        <f>"6356120529"</f>
        <v>6356120529</v>
      </c>
      <c r="B8144" t="str">
        <f t="shared" si="369"/>
        <v>89301000</v>
      </c>
      <c r="C8144" s="1">
        <v>44256</v>
      </c>
      <c r="D8144" s="1">
        <v>44256</v>
      </c>
      <c r="E8144">
        <v>6</v>
      </c>
      <c r="F8144" t="s">
        <v>2511</v>
      </c>
      <c r="G8144" t="str">
        <f>"17-K10-02"</f>
        <v>17-K10-02</v>
      </c>
      <c r="H8144">
        <v>0.3513</v>
      </c>
      <c r="J8144" t="s">
        <v>14</v>
      </c>
      <c r="K8144" t="str">
        <f>"6F3"</f>
        <v>6F3</v>
      </c>
      <c r="L8144" t="s">
        <v>15</v>
      </c>
    </row>
    <row r="8145" spans="1:12" x14ac:dyDescent="0.25">
      <c r="A8145" t="str">
        <f>"6356230672"</f>
        <v>6356230672</v>
      </c>
      <c r="B8145" t="str">
        <f t="shared" si="369"/>
        <v>89301000</v>
      </c>
      <c r="C8145" s="1">
        <v>44460</v>
      </c>
      <c r="D8145" s="1">
        <v>44464</v>
      </c>
      <c r="E8145">
        <v>1</v>
      </c>
      <c r="F8145" t="s">
        <v>319</v>
      </c>
      <c r="G8145" t="str">
        <f>"08-I23-02"</f>
        <v>08-I23-02</v>
      </c>
      <c r="H8145">
        <v>1.081</v>
      </c>
      <c r="I8145" t="s">
        <v>5798</v>
      </c>
      <c r="J8145" t="s">
        <v>17</v>
      </c>
      <c r="K8145" t="str">
        <f>"6F6"</f>
        <v>6F6</v>
      </c>
      <c r="L8145" t="s">
        <v>15</v>
      </c>
    </row>
    <row r="8146" spans="1:12" x14ac:dyDescent="0.25">
      <c r="A8146" t="str">
        <f>"6356251539"</f>
        <v>6356251539</v>
      </c>
      <c r="B8146" t="str">
        <f t="shared" si="369"/>
        <v>89301000</v>
      </c>
      <c r="C8146" s="1">
        <v>44261</v>
      </c>
      <c r="D8146" s="1">
        <v>44270</v>
      </c>
      <c r="E8146">
        <v>1</v>
      </c>
      <c r="F8146" t="s">
        <v>97</v>
      </c>
      <c r="G8146" t="str">
        <f>"01-K03-05"</f>
        <v>01-K03-05</v>
      </c>
      <c r="H8146">
        <v>1.9289000000000001</v>
      </c>
      <c r="I8146" t="s">
        <v>5799</v>
      </c>
      <c r="J8146" t="s">
        <v>14</v>
      </c>
      <c r="K8146" t="str">
        <f>"2F9"</f>
        <v>2F9</v>
      </c>
      <c r="L8146" t="s">
        <v>15</v>
      </c>
    </row>
    <row r="8147" spans="1:12" x14ac:dyDescent="0.25">
      <c r="A8147" t="str">
        <f>"6357106074"</f>
        <v>6357106074</v>
      </c>
      <c r="B8147" t="str">
        <f t="shared" si="369"/>
        <v>89301000</v>
      </c>
      <c r="C8147" s="1">
        <v>44291</v>
      </c>
      <c r="D8147" s="1">
        <v>44299</v>
      </c>
      <c r="E8147">
        <v>1</v>
      </c>
      <c r="F8147" t="s">
        <v>731</v>
      </c>
      <c r="G8147" t="str">
        <f>"06-K02-03"</f>
        <v>06-K02-03</v>
      </c>
      <c r="H8147">
        <v>0.53690000000000004</v>
      </c>
      <c r="I8147" t="s">
        <v>5800</v>
      </c>
      <c r="J8147" t="s">
        <v>14</v>
      </c>
      <c r="K8147" t="str">
        <f>"1F1"</f>
        <v>1F1</v>
      </c>
      <c r="L8147" t="s">
        <v>15</v>
      </c>
    </row>
    <row r="8148" spans="1:12" x14ac:dyDescent="0.25">
      <c r="A8148" t="str">
        <f>"6357130725"</f>
        <v>6357130725</v>
      </c>
      <c r="B8148" t="str">
        <f t="shared" si="369"/>
        <v>89301000</v>
      </c>
      <c r="C8148" s="1">
        <v>44472</v>
      </c>
      <c r="D8148" s="1">
        <v>44474</v>
      </c>
      <c r="E8148">
        <v>1</v>
      </c>
      <c r="F8148" t="s">
        <v>5801</v>
      </c>
      <c r="G8148" t="str">
        <f>"03-I14-01"</f>
        <v>03-I14-01</v>
      </c>
      <c r="H8148">
        <v>2.0825</v>
      </c>
      <c r="I8148" t="s">
        <v>5802</v>
      </c>
      <c r="J8148" t="s">
        <v>14</v>
      </c>
      <c r="K8148" t="str">
        <f>"7F1"</f>
        <v>7F1</v>
      </c>
      <c r="L8148" t="s">
        <v>15</v>
      </c>
    </row>
    <row r="8149" spans="1:12" x14ac:dyDescent="0.25">
      <c r="A8149" t="str">
        <f>"6357130725"</f>
        <v>6357130725</v>
      </c>
      <c r="B8149" t="str">
        <f t="shared" si="369"/>
        <v>89301000</v>
      </c>
      <c r="C8149" s="1">
        <v>44314</v>
      </c>
      <c r="D8149" s="1">
        <v>44321</v>
      </c>
      <c r="E8149">
        <v>1</v>
      </c>
      <c r="F8149" t="s">
        <v>5801</v>
      </c>
      <c r="G8149" t="str">
        <f>"03-I14-01"</f>
        <v>03-I14-01</v>
      </c>
      <c r="H8149">
        <v>2.0825</v>
      </c>
      <c r="I8149" t="s">
        <v>5803</v>
      </c>
      <c r="J8149" t="s">
        <v>14</v>
      </c>
      <c r="K8149" t="str">
        <f>"7F1"</f>
        <v>7F1</v>
      </c>
      <c r="L8149" t="s">
        <v>15</v>
      </c>
    </row>
    <row r="8150" spans="1:12" x14ac:dyDescent="0.25">
      <c r="A8150" t="str">
        <f>"6357130725"</f>
        <v>6357130725</v>
      </c>
      <c r="B8150" t="str">
        <f t="shared" si="369"/>
        <v>89301000</v>
      </c>
      <c r="C8150" s="1">
        <v>44232</v>
      </c>
      <c r="D8150" s="1">
        <v>44235</v>
      </c>
      <c r="E8150">
        <v>1</v>
      </c>
      <c r="F8150" t="s">
        <v>689</v>
      </c>
      <c r="G8150" t="str">
        <f>"03-I20-02"</f>
        <v>03-I20-02</v>
      </c>
      <c r="H8150">
        <v>0.83640000000000003</v>
      </c>
      <c r="J8150" t="s">
        <v>17</v>
      </c>
      <c r="K8150" t="str">
        <f>"7F1"</f>
        <v>7F1</v>
      </c>
      <c r="L8150" t="s">
        <v>15</v>
      </c>
    </row>
    <row r="8151" spans="1:12" x14ac:dyDescent="0.25">
      <c r="A8151" t="str">
        <f>"6357231848"</f>
        <v>6357231848</v>
      </c>
      <c r="B8151" t="str">
        <f t="shared" si="369"/>
        <v>89301000</v>
      </c>
      <c r="C8151" s="1">
        <v>44202</v>
      </c>
      <c r="D8151" s="1">
        <v>44208</v>
      </c>
      <c r="E8151">
        <v>1</v>
      </c>
      <c r="F8151" t="s">
        <v>2863</v>
      </c>
      <c r="G8151" t="str">
        <f>"13-I07-02"</f>
        <v>13-I07-02</v>
      </c>
      <c r="H8151">
        <v>1.7665</v>
      </c>
      <c r="J8151" t="s">
        <v>106</v>
      </c>
      <c r="K8151" t="str">
        <f>"6F3"</f>
        <v>6F3</v>
      </c>
      <c r="L8151" t="s">
        <v>15</v>
      </c>
    </row>
    <row r="8152" spans="1:12" x14ac:dyDescent="0.25">
      <c r="A8152" t="str">
        <f>"6358061985"</f>
        <v>6358061985</v>
      </c>
      <c r="B8152" t="str">
        <f t="shared" si="369"/>
        <v>89301000</v>
      </c>
      <c r="C8152" s="1">
        <v>44306</v>
      </c>
      <c r="D8152" s="1">
        <v>44319</v>
      </c>
      <c r="E8152">
        <v>1</v>
      </c>
      <c r="F8152" t="s">
        <v>31</v>
      </c>
      <c r="G8152" t="str">
        <f>"08-I03-04"</f>
        <v>08-I03-04</v>
      </c>
      <c r="H8152">
        <v>4.8169000000000004</v>
      </c>
      <c r="I8152" t="s">
        <v>3129</v>
      </c>
      <c r="J8152" t="s">
        <v>17</v>
      </c>
      <c r="K8152" t="str">
        <f>"5F6"</f>
        <v>5F6</v>
      </c>
      <c r="L8152" t="s">
        <v>15</v>
      </c>
    </row>
    <row r="8153" spans="1:12" x14ac:dyDescent="0.25">
      <c r="A8153" t="str">
        <f>"6358090662"</f>
        <v>6358090662</v>
      </c>
      <c r="B8153" t="str">
        <f t="shared" si="369"/>
        <v>89301000</v>
      </c>
      <c r="C8153" s="1">
        <v>44479</v>
      </c>
      <c r="D8153" s="1">
        <v>44482</v>
      </c>
      <c r="E8153">
        <v>1</v>
      </c>
      <c r="F8153" t="s">
        <v>3517</v>
      </c>
      <c r="G8153" t="str">
        <f>"08-M03-05"</f>
        <v>08-M03-05</v>
      </c>
      <c r="H8153">
        <v>0.51759999999999995</v>
      </c>
      <c r="I8153" t="s">
        <v>524</v>
      </c>
      <c r="J8153" t="s">
        <v>14</v>
      </c>
      <c r="K8153" t="str">
        <f>"6F6"</f>
        <v>6F6</v>
      </c>
      <c r="L8153" t="s">
        <v>15</v>
      </c>
    </row>
    <row r="8154" spans="1:12" x14ac:dyDescent="0.25">
      <c r="A8154" t="str">
        <f>"6358161007"</f>
        <v>6358161007</v>
      </c>
      <c r="B8154" t="str">
        <f t="shared" si="369"/>
        <v>89301000</v>
      </c>
      <c r="C8154" s="1">
        <v>44347</v>
      </c>
      <c r="D8154" s="1">
        <v>44349</v>
      </c>
      <c r="E8154">
        <v>1</v>
      </c>
      <c r="F8154" t="s">
        <v>2576</v>
      </c>
      <c r="G8154" t="str">
        <f>"11-I14-02"</f>
        <v>11-I14-02</v>
      </c>
      <c r="H8154">
        <v>0.63060000000000005</v>
      </c>
      <c r="J8154" t="s">
        <v>24</v>
      </c>
      <c r="K8154" t="str">
        <f>"7F6"</f>
        <v>7F6</v>
      </c>
      <c r="L8154" t="s">
        <v>15</v>
      </c>
    </row>
    <row r="8155" spans="1:12" x14ac:dyDescent="0.25">
      <c r="A8155" t="str">
        <f>"6358211343"</f>
        <v>6358211343</v>
      </c>
      <c r="B8155" t="str">
        <f t="shared" si="369"/>
        <v>89301000</v>
      </c>
      <c r="C8155" s="1">
        <v>44454</v>
      </c>
      <c r="D8155" s="1">
        <v>44461</v>
      </c>
      <c r="E8155">
        <v>1</v>
      </c>
      <c r="F8155" t="s">
        <v>1955</v>
      </c>
      <c r="G8155" t="str">
        <f>"01-K04-02"</f>
        <v>01-K04-02</v>
      </c>
      <c r="H8155">
        <v>0.80059999999999998</v>
      </c>
      <c r="I8155" t="s">
        <v>5804</v>
      </c>
      <c r="J8155" t="s">
        <v>14</v>
      </c>
      <c r="K8155" t="str">
        <f>"2F9"</f>
        <v>2F9</v>
      </c>
      <c r="L8155" t="s">
        <v>15</v>
      </c>
    </row>
    <row r="8156" spans="1:12" x14ac:dyDescent="0.25">
      <c r="A8156" t="str">
        <f>"6358251603"</f>
        <v>6358251603</v>
      </c>
      <c r="B8156" t="str">
        <f t="shared" si="369"/>
        <v>89301000</v>
      </c>
      <c r="C8156" s="1">
        <v>44251</v>
      </c>
      <c r="D8156" s="1">
        <v>44254</v>
      </c>
      <c r="E8156">
        <v>1</v>
      </c>
      <c r="F8156" t="s">
        <v>5805</v>
      </c>
      <c r="G8156" t="str">
        <f>"03-I19-03"</f>
        <v>03-I19-03</v>
      </c>
      <c r="H8156">
        <v>0.60699999999999998</v>
      </c>
      <c r="I8156" t="s">
        <v>5806</v>
      </c>
      <c r="J8156" t="s">
        <v>14</v>
      </c>
      <c r="K8156" t="str">
        <f>"6F5"</f>
        <v>6F5</v>
      </c>
      <c r="L8156" t="s">
        <v>15</v>
      </c>
    </row>
    <row r="8157" spans="1:12" x14ac:dyDescent="0.25">
      <c r="A8157" t="str">
        <f>"6358251603"</f>
        <v>6358251603</v>
      </c>
      <c r="B8157" t="str">
        <f t="shared" si="369"/>
        <v>89301000</v>
      </c>
      <c r="C8157" s="1">
        <v>44342</v>
      </c>
      <c r="D8157" s="1">
        <v>44344</v>
      </c>
      <c r="E8157">
        <v>1</v>
      </c>
      <c r="F8157" t="s">
        <v>5805</v>
      </c>
      <c r="G8157" t="str">
        <f>"03-I19-03"</f>
        <v>03-I19-03</v>
      </c>
      <c r="H8157">
        <v>0.60699999999999998</v>
      </c>
      <c r="I8157" t="s">
        <v>5807</v>
      </c>
      <c r="J8157" t="s">
        <v>14</v>
      </c>
      <c r="K8157" t="str">
        <f>"6F5"</f>
        <v>6F5</v>
      </c>
      <c r="L8157" t="s">
        <v>15</v>
      </c>
    </row>
    <row r="8158" spans="1:12" x14ac:dyDescent="0.25">
      <c r="A8158" t="str">
        <f>"6358251603"</f>
        <v>6358251603</v>
      </c>
      <c r="B8158" t="str">
        <f t="shared" si="369"/>
        <v>89301000</v>
      </c>
      <c r="C8158" s="1">
        <v>44424</v>
      </c>
      <c r="D8158" s="1">
        <v>44431</v>
      </c>
      <c r="E8158">
        <v>1</v>
      </c>
      <c r="F8158" t="s">
        <v>407</v>
      </c>
      <c r="G8158" t="str">
        <f>"03-I19-02"</f>
        <v>03-I19-02</v>
      </c>
      <c r="H8158">
        <v>0.88829999999999998</v>
      </c>
      <c r="I8158" t="s">
        <v>5808</v>
      </c>
      <c r="J8158" t="s">
        <v>14</v>
      </c>
      <c r="K8158" t="str">
        <f>"6F5"</f>
        <v>6F5</v>
      </c>
      <c r="L8158" t="s">
        <v>15</v>
      </c>
    </row>
    <row r="8159" spans="1:12" x14ac:dyDescent="0.25">
      <c r="A8159" t="str">
        <f>"6358311586"</f>
        <v>6358311586</v>
      </c>
      <c r="B8159" t="str">
        <f t="shared" si="369"/>
        <v>89301000</v>
      </c>
      <c r="C8159" s="1">
        <v>44539</v>
      </c>
      <c r="D8159" s="1">
        <v>44550</v>
      </c>
      <c r="E8159">
        <v>1</v>
      </c>
      <c r="F8159" t="s">
        <v>1132</v>
      </c>
      <c r="G8159" t="str">
        <f>"23-K04-02"</f>
        <v>23-K04-02</v>
      </c>
      <c r="H8159">
        <v>0.61570000000000003</v>
      </c>
      <c r="I8159" t="s">
        <v>5809</v>
      </c>
      <c r="J8159" t="s">
        <v>14</v>
      </c>
      <c r="K8159" t="str">
        <f>"7F1"</f>
        <v>7F1</v>
      </c>
      <c r="L8159" t="s">
        <v>15</v>
      </c>
    </row>
    <row r="8160" spans="1:12" x14ac:dyDescent="0.25">
      <c r="A8160" t="str">
        <f>"6359050698"</f>
        <v>6359050698</v>
      </c>
      <c r="B8160" t="str">
        <f t="shared" si="369"/>
        <v>89301000</v>
      </c>
      <c r="C8160" s="1">
        <v>44194</v>
      </c>
      <c r="D8160" s="1">
        <v>44203</v>
      </c>
      <c r="E8160">
        <v>1</v>
      </c>
      <c r="F8160" t="s">
        <v>5810</v>
      </c>
      <c r="G8160" t="str">
        <f>"04-K13-01"</f>
        <v>04-K13-01</v>
      </c>
      <c r="H8160">
        <v>0.64270000000000005</v>
      </c>
      <c r="I8160" t="s">
        <v>5811</v>
      </c>
      <c r="J8160" t="s">
        <v>14</v>
      </c>
      <c r="K8160" t="str">
        <f>"5F1"</f>
        <v>5F1</v>
      </c>
      <c r="L8160" t="s">
        <v>15</v>
      </c>
    </row>
    <row r="8161" spans="1:12" x14ac:dyDescent="0.25">
      <c r="A8161" t="str">
        <f>"6359091387"</f>
        <v>6359091387</v>
      </c>
      <c r="B8161" t="str">
        <f t="shared" si="369"/>
        <v>89301000</v>
      </c>
      <c r="C8161" s="1">
        <v>44466</v>
      </c>
      <c r="D8161" s="1">
        <v>44470</v>
      </c>
      <c r="E8161">
        <v>1</v>
      </c>
      <c r="F8161" t="s">
        <v>2089</v>
      </c>
      <c r="G8161" t="str">
        <f>"08-I03-04"</f>
        <v>08-I03-04</v>
      </c>
      <c r="H8161">
        <v>4.8169000000000004</v>
      </c>
      <c r="I8161" t="s">
        <v>5812</v>
      </c>
      <c r="J8161" t="s">
        <v>17</v>
      </c>
      <c r="K8161" t="str">
        <f>"5F6"</f>
        <v>5F6</v>
      </c>
      <c r="L8161" t="s">
        <v>15</v>
      </c>
    </row>
    <row r="8162" spans="1:12" x14ac:dyDescent="0.25">
      <c r="A8162" t="str">
        <f>"6359091783"</f>
        <v>6359091783</v>
      </c>
      <c r="B8162" t="str">
        <f t="shared" si="369"/>
        <v>89301000</v>
      </c>
      <c r="C8162" s="1">
        <v>44476</v>
      </c>
      <c r="D8162" s="1">
        <v>44478</v>
      </c>
      <c r="E8162">
        <v>1</v>
      </c>
      <c r="F8162" t="s">
        <v>5813</v>
      </c>
      <c r="G8162" t="str">
        <f>"01-K07-03"</f>
        <v>01-K07-03</v>
      </c>
      <c r="H8162">
        <v>0.4642</v>
      </c>
      <c r="J8162" t="s">
        <v>14</v>
      </c>
      <c r="K8162" t="str">
        <f>"2F9"</f>
        <v>2F9</v>
      </c>
      <c r="L8162" t="s">
        <v>15</v>
      </c>
    </row>
    <row r="8163" spans="1:12" x14ac:dyDescent="0.25">
      <c r="A8163" t="str">
        <f>"6359130547"</f>
        <v>6359130547</v>
      </c>
      <c r="B8163" t="str">
        <f t="shared" si="369"/>
        <v>89301000</v>
      </c>
      <c r="C8163" s="1">
        <v>44370</v>
      </c>
      <c r="D8163" s="1">
        <v>44375</v>
      </c>
      <c r="E8163">
        <v>1</v>
      </c>
      <c r="F8163" t="s">
        <v>1688</v>
      </c>
      <c r="G8163" t="str">
        <f>"02-I06-03"</f>
        <v>02-I06-03</v>
      </c>
      <c r="H8163">
        <v>0.63690000000000002</v>
      </c>
      <c r="I8163" t="s">
        <v>5814</v>
      </c>
      <c r="J8163" t="s">
        <v>17</v>
      </c>
      <c r="K8163" t="str">
        <f>"7F5"</f>
        <v>7F5</v>
      </c>
      <c r="L8163" t="s">
        <v>15</v>
      </c>
    </row>
    <row r="8164" spans="1:12" x14ac:dyDescent="0.25">
      <c r="A8164" t="str">
        <f>"6359130547"</f>
        <v>6359130547</v>
      </c>
      <c r="B8164" t="str">
        <f t="shared" si="369"/>
        <v>89301000</v>
      </c>
      <c r="C8164" s="1">
        <v>44539</v>
      </c>
      <c r="D8164" s="1">
        <v>44540</v>
      </c>
      <c r="E8164">
        <v>1</v>
      </c>
      <c r="F8164" t="s">
        <v>5815</v>
      </c>
      <c r="G8164" t="str">
        <f>"02-I06-03"</f>
        <v>02-I06-03</v>
      </c>
      <c r="H8164">
        <v>0.64659999999999995</v>
      </c>
      <c r="I8164" t="s">
        <v>5816</v>
      </c>
      <c r="J8164" t="s">
        <v>17</v>
      </c>
      <c r="K8164" t="str">
        <f>"5F3"</f>
        <v>5F3</v>
      </c>
      <c r="L8164" t="s">
        <v>15</v>
      </c>
    </row>
    <row r="8165" spans="1:12" x14ac:dyDescent="0.25">
      <c r="A8165" t="str">
        <f>"6359206920"</f>
        <v>6359206920</v>
      </c>
      <c r="B8165" t="str">
        <f t="shared" si="369"/>
        <v>89301000</v>
      </c>
      <c r="C8165" s="1">
        <v>44469</v>
      </c>
      <c r="D8165" s="1">
        <v>44471</v>
      </c>
      <c r="E8165">
        <v>1</v>
      </c>
      <c r="F8165" t="s">
        <v>84</v>
      </c>
      <c r="G8165" t="str">
        <f>"09-I09-05"</f>
        <v>09-I09-05</v>
      </c>
      <c r="H8165">
        <v>0.48070000000000002</v>
      </c>
      <c r="J8165" t="s">
        <v>17</v>
      </c>
      <c r="K8165" t="str">
        <f>"5F1"</f>
        <v>5F1</v>
      </c>
      <c r="L8165" t="s">
        <v>15</v>
      </c>
    </row>
    <row r="8166" spans="1:12" x14ac:dyDescent="0.25">
      <c r="A8166" t="str">
        <f>"6359220516"</f>
        <v>6359220516</v>
      </c>
      <c r="B8166" t="str">
        <f t="shared" si="369"/>
        <v>89301000</v>
      </c>
      <c r="C8166" s="1">
        <v>44465</v>
      </c>
      <c r="D8166" s="1">
        <v>44473</v>
      </c>
      <c r="E8166">
        <v>4</v>
      </c>
      <c r="F8166" t="s">
        <v>1968</v>
      </c>
      <c r="G8166" t="str">
        <f>"08-I05-04"</f>
        <v>08-I05-04</v>
      </c>
      <c r="H8166">
        <v>2.4581</v>
      </c>
      <c r="I8166" t="s">
        <v>2708</v>
      </c>
      <c r="J8166" t="s">
        <v>17</v>
      </c>
      <c r="K8166" t="str">
        <f>"6F6"</f>
        <v>6F6</v>
      </c>
      <c r="L8166" t="s">
        <v>15</v>
      </c>
    </row>
    <row r="8167" spans="1:12" x14ac:dyDescent="0.25">
      <c r="A8167" t="str">
        <f>"6359231824"</f>
        <v>6359231824</v>
      </c>
      <c r="B8167" t="str">
        <f t="shared" si="369"/>
        <v>89301000</v>
      </c>
      <c r="C8167" s="1">
        <v>44235</v>
      </c>
      <c r="D8167" s="1">
        <v>44239</v>
      </c>
      <c r="E8167">
        <v>1</v>
      </c>
      <c r="F8167" t="s">
        <v>4491</v>
      </c>
      <c r="G8167" t="str">
        <f>"01-K01-01"</f>
        <v>01-K01-01</v>
      </c>
      <c r="H8167">
        <v>0.84930000000000005</v>
      </c>
      <c r="I8167" t="s">
        <v>5817</v>
      </c>
      <c r="J8167" t="s">
        <v>14</v>
      </c>
      <c r="K8167" t="str">
        <f>"2F9"</f>
        <v>2F9</v>
      </c>
      <c r="L8167" t="s">
        <v>15</v>
      </c>
    </row>
    <row r="8168" spans="1:12" x14ac:dyDescent="0.25">
      <c r="A8168" t="str">
        <f>"6359231824"</f>
        <v>6359231824</v>
      </c>
      <c r="B8168" t="str">
        <f t="shared" si="369"/>
        <v>89301000</v>
      </c>
      <c r="C8168" s="1">
        <v>44321</v>
      </c>
      <c r="D8168" s="1">
        <v>44343</v>
      </c>
      <c r="E8168">
        <v>2</v>
      </c>
      <c r="F8168" t="s">
        <v>4491</v>
      </c>
      <c r="G8168" t="str">
        <f>"01-K01-02"</f>
        <v>01-K01-02</v>
      </c>
      <c r="H8168">
        <v>1.4477</v>
      </c>
      <c r="I8168" t="s">
        <v>5818</v>
      </c>
      <c r="J8168" t="s">
        <v>14</v>
      </c>
      <c r="K8168" t="str">
        <f>"2F9"</f>
        <v>2F9</v>
      </c>
      <c r="L8168" t="s">
        <v>15</v>
      </c>
    </row>
    <row r="8169" spans="1:12" x14ac:dyDescent="0.25">
      <c r="A8169" t="str">
        <f>"6359231824"</f>
        <v>6359231824</v>
      </c>
      <c r="B8169" t="str">
        <f t="shared" si="369"/>
        <v>89301000</v>
      </c>
      <c r="C8169" s="1">
        <v>44473</v>
      </c>
      <c r="D8169" s="1">
        <v>44477</v>
      </c>
      <c r="E8169">
        <v>1</v>
      </c>
      <c r="F8169" t="s">
        <v>4491</v>
      </c>
      <c r="G8169" t="str">
        <f>"01-K01-02"</f>
        <v>01-K01-02</v>
      </c>
      <c r="H8169">
        <v>0.50700000000000001</v>
      </c>
      <c r="I8169" t="s">
        <v>5819</v>
      </c>
      <c r="J8169" t="s">
        <v>14</v>
      </c>
      <c r="K8169" t="str">
        <f>"2F9"</f>
        <v>2F9</v>
      </c>
      <c r="L8169" t="s">
        <v>15</v>
      </c>
    </row>
    <row r="8170" spans="1:12" x14ac:dyDescent="0.25">
      <c r="A8170" t="str">
        <f>"6359231824"</f>
        <v>6359231824</v>
      </c>
      <c r="B8170" t="str">
        <f t="shared" si="369"/>
        <v>89301000</v>
      </c>
      <c r="C8170" s="1">
        <v>44375</v>
      </c>
      <c r="D8170" s="1">
        <v>44384</v>
      </c>
      <c r="E8170">
        <v>2</v>
      </c>
      <c r="F8170" t="s">
        <v>4491</v>
      </c>
      <c r="G8170" t="str">
        <f>"01-K01-01"</f>
        <v>01-K01-01</v>
      </c>
      <c r="H8170">
        <v>0.84930000000000005</v>
      </c>
      <c r="I8170" t="s">
        <v>5820</v>
      </c>
      <c r="J8170" t="s">
        <v>14</v>
      </c>
      <c r="K8170" t="str">
        <f>"2F9"</f>
        <v>2F9</v>
      </c>
      <c r="L8170" t="s">
        <v>15</v>
      </c>
    </row>
    <row r="8171" spans="1:12" x14ac:dyDescent="0.25">
      <c r="A8171" t="str">
        <f>"6360011207"</f>
        <v>6360011207</v>
      </c>
      <c r="B8171" t="str">
        <f t="shared" si="369"/>
        <v>89301000</v>
      </c>
      <c r="C8171" s="1">
        <v>44404</v>
      </c>
      <c r="D8171" s="1">
        <v>44407</v>
      </c>
      <c r="E8171">
        <v>1</v>
      </c>
      <c r="F8171" t="s">
        <v>5015</v>
      </c>
      <c r="G8171" t="str">
        <f>"06-M01-02"</f>
        <v>06-M01-02</v>
      </c>
      <c r="H8171">
        <v>1.2191000000000001</v>
      </c>
      <c r="I8171" t="s">
        <v>489</v>
      </c>
      <c r="J8171" t="s">
        <v>14</v>
      </c>
      <c r="K8171" t="str">
        <f>"1F5"</f>
        <v>1F5</v>
      </c>
      <c r="L8171" t="s">
        <v>15</v>
      </c>
    </row>
    <row r="8172" spans="1:12" x14ac:dyDescent="0.25">
      <c r="A8172" t="str">
        <f>"6360080760"</f>
        <v>6360080760</v>
      </c>
      <c r="B8172" t="str">
        <f t="shared" si="369"/>
        <v>89301000</v>
      </c>
      <c r="C8172" s="1">
        <v>44332</v>
      </c>
      <c r="D8172" s="1">
        <v>44344</v>
      </c>
      <c r="E8172">
        <v>1</v>
      </c>
      <c r="F8172" t="s">
        <v>1572</v>
      </c>
      <c r="G8172" t="str">
        <f>"06-I12-03"</f>
        <v>06-I12-03</v>
      </c>
      <c r="H8172">
        <v>1.8894</v>
      </c>
      <c r="I8172" t="s">
        <v>5821</v>
      </c>
      <c r="J8172" t="s">
        <v>14</v>
      </c>
      <c r="K8172" t="str">
        <f>"5F1"</f>
        <v>5F1</v>
      </c>
      <c r="L8172" t="s">
        <v>15</v>
      </c>
    </row>
    <row r="8173" spans="1:12" x14ac:dyDescent="0.25">
      <c r="A8173" t="str">
        <f>"6360140578"</f>
        <v>6360140578</v>
      </c>
      <c r="B8173" t="str">
        <f t="shared" si="369"/>
        <v>89301000</v>
      </c>
      <c r="C8173" s="1">
        <v>44439</v>
      </c>
      <c r="D8173" s="1">
        <v>44446</v>
      </c>
      <c r="E8173">
        <v>1</v>
      </c>
      <c r="F8173" t="s">
        <v>92</v>
      </c>
      <c r="G8173" t="str">
        <f>"05-K15-01"</f>
        <v>05-K15-01</v>
      </c>
      <c r="H8173">
        <v>0.83189999999999997</v>
      </c>
      <c r="I8173" t="s">
        <v>5822</v>
      </c>
      <c r="J8173" t="s">
        <v>14</v>
      </c>
      <c r="K8173" t="str">
        <f>"1F1"</f>
        <v>1F1</v>
      </c>
      <c r="L8173" t="s">
        <v>15</v>
      </c>
    </row>
    <row r="8174" spans="1:12" x14ac:dyDescent="0.25">
      <c r="A8174" t="str">
        <f>"6360220658"</f>
        <v>6360220658</v>
      </c>
      <c r="B8174" t="str">
        <f t="shared" si="369"/>
        <v>89301000</v>
      </c>
      <c r="C8174" s="1">
        <v>44265</v>
      </c>
      <c r="D8174" s="1">
        <v>44279</v>
      </c>
      <c r="E8174">
        <v>1</v>
      </c>
      <c r="F8174" t="s">
        <v>217</v>
      </c>
      <c r="G8174" t="str">
        <f>"00-M01-04"</f>
        <v>00-M01-04</v>
      </c>
      <c r="H8174">
        <v>6.85</v>
      </c>
      <c r="I8174" t="s">
        <v>2851</v>
      </c>
      <c r="J8174" t="s">
        <v>14</v>
      </c>
      <c r="K8174" t="str">
        <f>"1F1"</f>
        <v>1F1</v>
      </c>
      <c r="L8174" t="s">
        <v>15</v>
      </c>
    </row>
    <row r="8175" spans="1:12" x14ac:dyDescent="0.25">
      <c r="A8175" t="str">
        <f>"6361121371"</f>
        <v>6361121371</v>
      </c>
      <c r="B8175" t="str">
        <f t="shared" si="369"/>
        <v>89301000</v>
      </c>
      <c r="C8175" s="1">
        <v>44357</v>
      </c>
      <c r="D8175" s="1">
        <v>44360</v>
      </c>
      <c r="E8175">
        <v>1</v>
      </c>
      <c r="F8175" t="s">
        <v>16</v>
      </c>
      <c r="G8175" t="str">
        <f>"08-I04-03"</f>
        <v>08-I04-03</v>
      </c>
      <c r="H8175">
        <v>1.331</v>
      </c>
      <c r="I8175" t="s">
        <v>5823</v>
      </c>
      <c r="J8175" t="s">
        <v>17</v>
      </c>
      <c r="K8175" t="str">
        <f>"5F6"</f>
        <v>5F6</v>
      </c>
      <c r="L8175" t="s">
        <v>15</v>
      </c>
    </row>
    <row r="8176" spans="1:12" x14ac:dyDescent="0.25">
      <c r="A8176" t="str">
        <f>"6361192145"</f>
        <v>6361192145</v>
      </c>
      <c r="B8176" t="str">
        <f t="shared" si="369"/>
        <v>89301000</v>
      </c>
      <c r="C8176" s="1">
        <v>44466</v>
      </c>
      <c r="D8176" s="1">
        <v>44469</v>
      </c>
      <c r="E8176">
        <v>1</v>
      </c>
      <c r="F8176" t="s">
        <v>3200</v>
      </c>
      <c r="G8176" t="str">
        <f>"08-K01-03"</f>
        <v>08-K01-03</v>
      </c>
      <c r="H8176">
        <v>0.65310000000000001</v>
      </c>
      <c r="I8176" t="s">
        <v>5824</v>
      </c>
      <c r="J8176" t="s">
        <v>14</v>
      </c>
      <c r="K8176" t="str">
        <f>"1F9"</f>
        <v>1F9</v>
      </c>
      <c r="L8176" t="s">
        <v>15</v>
      </c>
    </row>
    <row r="8177" spans="1:12" x14ac:dyDescent="0.25">
      <c r="A8177" t="str">
        <f>"6361200692"</f>
        <v>6361200692</v>
      </c>
      <c r="B8177" t="str">
        <f t="shared" si="369"/>
        <v>89301000</v>
      </c>
      <c r="C8177" s="1">
        <v>44377</v>
      </c>
      <c r="D8177" s="1">
        <v>44386</v>
      </c>
      <c r="E8177">
        <v>1</v>
      </c>
      <c r="F8177" t="s">
        <v>1690</v>
      </c>
      <c r="G8177" t="str">
        <f>"07-K05-02"</f>
        <v>07-K05-02</v>
      </c>
      <c r="H8177">
        <v>0.60189999999999999</v>
      </c>
      <c r="J8177" t="s">
        <v>14</v>
      </c>
      <c r="K8177" t="str">
        <f>"1F5"</f>
        <v>1F5</v>
      </c>
      <c r="L8177" t="s">
        <v>15</v>
      </c>
    </row>
    <row r="8178" spans="1:12" x14ac:dyDescent="0.25">
      <c r="A8178" t="str">
        <f>"6361220624"</f>
        <v>6361220624</v>
      </c>
      <c r="B8178" t="str">
        <f t="shared" si="369"/>
        <v>89301000</v>
      </c>
      <c r="C8178" s="1">
        <v>44208</v>
      </c>
      <c r="D8178" s="1">
        <v>44245</v>
      </c>
      <c r="E8178">
        <v>3</v>
      </c>
      <c r="F8178" t="s">
        <v>109</v>
      </c>
      <c r="G8178" t="str">
        <f>"24-M10-01"</f>
        <v>24-M10-01</v>
      </c>
      <c r="H8178">
        <v>4.4729000000000001</v>
      </c>
      <c r="I8178" t="s">
        <v>5825</v>
      </c>
      <c r="J8178" t="s">
        <v>14</v>
      </c>
      <c r="K8178" t="str">
        <f>"2F1"</f>
        <v>2F1</v>
      </c>
      <c r="L8178" t="s">
        <v>15</v>
      </c>
    </row>
    <row r="8179" spans="1:12" x14ac:dyDescent="0.25">
      <c r="A8179" t="str">
        <f>"6361220624"</f>
        <v>6361220624</v>
      </c>
      <c r="B8179" t="str">
        <f t="shared" si="369"/>
        <v>89301000</v>
      </c>
      <c r="C8179" s="1">
        <v>44245</v>
      </c>
      <c r="D8179" s="1">
        <v>44265</v>
      </c>
      <c r="E8179">
        <v>3</v>
      </c>
      <c r="F8179" t="s">
        <v>1565</v>
      </c>
      <c r="G8179" t="str">
        <f>"01-R02-03"</f>
        <v>01-R02-03</v>
      </c>
      <c r="H8179">
        <v>3.532</v>
      </c>
      <c r="I8179" t="s">
        <v>4232</v>
      </c>
      <c r="J8179" t="s">
        <v>14</v>
      </c>
      <c r="K8179" t="str">
        <f>"4F2"</f>
        <v>4F2</v>
      </c>
      <c r="L8179" t="s">
        <v>15</v>
      </c>
    </row>
    <row r="8180" spans="1:12" x14ac:dyDescent="0.25">
      <c r="A8180" t="str">
        <f>"6361220624"</f>
        <v>6361220624</v>
      </c>
      <c r="B8180" t="str">
        <f t="shared" si="369"/>
        <v>89301000</v>
      </c>
      <c r="C8180" s="1">
        <v>44265</v>
      </c>
      <c r="D8180" s="1">
        <v>44287</v>
      </c>
      <c r="E8180">
        <v>1</v>
      </c>
      <c r="F8180" t="s">
        <v>109</v>
      </c>
      <c r="G8180" t="str">
        <f>"24-M08-01"</f>
        <v>24-M08-01</v>
      </c>
      <c r="H8180">
        <v>2.5592999999999999</v>
      </c>
      <c r="I8180" t="s">
        <v>5826</v>
      </c>
      <c r="J8180" t="s">
        <v>14</v>
      </c>
      <c r="K8180" t="str">
        <f>"2F1"</f>
        <v>2F1</v>
      </c>
      <c r="L8180" t="s">
        <v>15</v>
      </c>
    </row>
    <row r="8181" spans="1:12" x14ac:dyDescent="0.25">
      <c r="A8181" t="str">
        <f>"6361220624"</f>
        <v>6361220624</v>
      </c>
      <c r="B8181" t="str">
        <f t="shared" si="369"/>
        <v>89301000</v>
      </c>
      <c r="C8181" s="1">
        <v>44186</v>
      </c>
      <c r="D8181" s="1">
        <v>44208</v>
      </c>
      <c r="E8181">
        <v>3</v>
      </c>
      <c r="F8181" t="s">
        <v>1565</v>
      </c>
      <c r="G8181" t="str">
        <f>"01-I06-01"</f>
        <v>01-I06-01</v>
      </c>
      <c r="H8181">
        <v>7.2766000000000002</v>
      </c>
      <c r="I8181" t="s">
        <v>5827</v>
      </c>
      <c r="J8181" t="s">
        <v>17</v>
      </c>
      <c r="K8181" t="str">
        <f>"5T6"</f>
        <v>5T6</v>
      </c>
      <c r="L8181" t="s">
        <v>15</v>
      </c>
    </row>
    <row r="8182" spans="1:12" x14ac:dyDescent="0.25">
      <c r="A8182" t="str">
        <f>"6361251996"</f>
        <v>6361251996</v>
      </c>
      <c r="B8182" t="str">
        <f t="shared" ref="B8182:B8244" si="370">"89301000"</f>
        <v>89301000</v>
      </c>
      <c r="C8182" s="1">
        <v>44251</v>
      </c>
      <c r="D8182" s="1">
        <v>44256</v>
      </c>
      <c r="E8182">
        <v>1</v>
      </c>
      <c r="F8182" t="s">
        <v>5828</v>
      </c>
      <c r="G8182" t="str">
        <f>"01-K04-02"</f>
        <v>01-K04-02</v>
      </c>
      <c r="H8182">
        <v>0.80059999999999998</v>
      </c>
      <c r="I8182" t="s">
        <v>5829</v>
      </c>
      <c r="J8182" t="s">
        <v>14</v>
      </c>
      <c r="K8182" t="str">
        <f>"2F9"</f>
        <v>2F9</v>
      </c>
      <c r="L8182" t="s">
        <v>15</v>
      </c>
    </row>
    <row r="8183" spans="1:12" x14ac:dyDescent="0.25">
      <c r="A8183" t="str">
        <f>"6361251996"</f>
        <v>6361251996</v>
      </c>
      <c r="B8183" t="str">
        <f t="shared" si="370"/>
        <v>89301000</v>
      </c>
      <c r="C8183" s="1">
        <v>44277</v>
      </c>
      <c r="D8183" s="1">
        <v>44280</v>
      </c>
      <c r="E8183">
        <v>1</v>
      </c>
      <c r="F8183" t="s">
        <v>5282</v>
      </c>
      <c r="G8183" t="str">
        <f>"01-M01-02"</f>
        <v>01-M01-02</v>
      </c>
      <c r="H8183">
        <v>6.0875000000000004</v>
      </c>
      <c r="I8183" t="s">
        <v>5830</v>
      </c>
      <c r="J8183" t="s">
        <v>17</v>
      </c>
      <c r="K8183" t="str">
        <f>"5F6"</f>
        <v>5F6</v>
      </c>
      <c r="L8183" t="s">
        <v>15</v>
      </c>
    </row>
    <row r="8184" spans="1:12" x14ac:dyDescent="0.25">
      <c r="A8184" t="str">
        <f>"6361291442"</f>
        <v>6361291442</v>
      </c>
      <c r="B8184" t="str">
        <f t="shared" si="370"/>
        <v>89301000</v>
      </c>
      <c r="C8184" s="1">
        <v>44410</v>
      </c>
      <c r="D8184" s="1">
        <v>44412</v>
      </c>
      <c r="E8184">
        <v>1</v>
      </c>
      <c r="F8184" t="s">
        <v>5831</v>
      </c>
      <c r="G8184" t="str">
        <f>"11-I17-03"</f>
        <v>11-I17-03</v>
      </c>
      <c r="H8184">
        <v>0.50609999999999999</v>
      </c>
      <c r="I8184" t="s">
        <v>5832</v>
      </c>
      <c r="J8184" t="s">
        <v>14</v>
      </c>
      <c r="K8184" t="str">
        <f>"7F6"</f>
        <v>7F6</v>
      </c>
      <c r="L8184" t="s">
        <v>15</v>
      </c>
    </row>
    <row r="8185" spans="1:12" x14ac:dyDescent="0.25">
      <c r="A8185" t="str">
        <f>"6361291442"</f>
        <v>6361291442</v>
      </c>
      <c r="B8185" t="str">
        <f t="shared" si="370"/>
        <v>89301000</v>
      </c>
      <c r="C8185" s="1">
        <v>44200</v>
      </c>
      <c r="D8185" s="1">
        <v>44208</v>
      </c>
      <c r="E8185">
        <v>1</v>
      </c>
      <c r="F8185" t="s">
        <v>448</v>
      </c>
      <c r="G8185" t="str">
        <f>"11-K01-02"</f>
        <v>11-K01-02</v>
      </c>
      <c r="H8185">
        <v>1.2637</v>
      </c>
      <c r="I8185" t="s">
        <v>5833</v>
      </c>
      <c r="J8185" t="s">
        <v>14</v>
      </c>
      <c r="K8185" t="str">
        <f>"1F5"</f>
        <v>1F5</v>
      </c>
      <c r="L8185" t="s">
        <v>15</v>
      </c>
    </row>
    <row r="8186" spans="1:12" x14ac:dyDescent="0.25">
      <c r="A8186" t="str">
        <f>"6361291442"</f>
        <v>6361291442</v>
      </c>
      <c r="B8186" t="str">
        <f t="shared" si="370"/>
        <v>89301000</v>
      </c>
      <c r="C8186" s="1">
        <v>44352</v>
      </c>
      <c r="D8186" s="1">
        <v>44354</v>
      </c>
      <c r="E8186">
        <v>1</v>
      </c>
      <c r="F8186" t="s">
        <v>448</v>
      </c>
      <c r="G8186" t="str">
        <f>"11-K01-03"</f>
        <v>11-K01-03</v>
      </c>
      <c r="H8186">
        <v>0.59489999999999998</v>
      </c>
      <c r="J8186" t="s">
        <v>14</v>
      </c>
      <c r="K8186" t="str">
        <f>"7F6"</f>
        <v>7F6</v>
      </c>
      <c r="L8186" t="s">
        <v>15</v>
      </c>
    </row>
    <row r="8187" spans="1:12" x14ac:dyDescent="0.25">
      <c r="A8187" t="str">
        <f>"6362011711"</f>
        <v>6362011711</v>
      </c>
      <c r="B8187" t="str">
        <f t="shared" si="370"/>
        <v>89301000</v>
      </c>
      <c r="C8187" s="1">
        <v>44292</v>
      </c>
      <c r="D8187" s="1">
        <v>44301</v>
      </c>
      <c r="E8187">
        <v>1</v>
      </c>
      <c r="F8187" t="s">
        <v>2232</v>
      </c>
      <c r="G8187" t="str">
        <f>"11-K07-02"</f>
        <v>11-K07-02</v>
      </c>
      <c r="H8187">
        <v>0.77339999999999998</v>
      </c>
      <c r="I8187" t="s">
        <v>145</v>
      </c>
      <c r="J8187" t="s">
        <v>14</v>
      </c>
      <c r="K8187" t="str">
        <f>"4F2"</f>
        <v>4F2</v>
      </c>
      <c r="L8187" t="s">
        <v>15</v>
      </c>
    </row>
    <row r="8188" spans="1:12" x14ac:dyDescent="0.25">
      <c r="A8188" t="str">
        <f>"6362081517"</f>
        <v>6362081517</v>
      </c>
      <c r="B8188" t="str">
        <f t="shared" si="370"/>
        <v>89301000</v>
      </c>
      <c r="C8188" s="1">
        <v>44385</v>
      </c>
      <c r="D8188" s="1">
        <v>44387</v>
      </c>
      <c r="E8188">
        <v>1</v>
      </c>
      <c r="F8188" t="s">
        <v>5834</v>
      </c>
      <c r="G8188" t="str">
        <f>"09-I06-03"</f>
        <v>09-I06-03</v>
      </c>
      <c r="H8188">
        <v>1.4382999999999999</v>
      </c>
      <c r="J8188" t="s">
        <v>17</v>
      </c>
      <c r="K8188" t="str">
        <f>"5F1"</f>
        <v>5F1</v>
      </c>
      <c r="L8188" t="s">
        <v>15</v>
      </c>
    </row>
    <row r="8189" spans="1:12" x14ac:dyDescent="0.25">
      <c r="A8189" t="str">
        <f>"6362120798"</f>
        <v>6362120798</v>
      </c>
      <c r="B8189" t="str">
        <f t="shared" si="370"/>
        <v>89301000</v>
      </c>
      <c r="C8189" s="1">
        <v>44494</v>
      </c>
      <c r="D8189" s="1">
        <v>44497</v>
      </c>
      <c r="E8189">
        <v>1</v>
      </c>
      <c r="F8189" t="s">
        <v>1878</v>
      </c>
      <c r="G8189" t="str">
        <f>"10-K12-03"</f>
        <v>10-K12-03</v>
      </c>
      <c r="H8189">
        <v>0.50629999999999997</v>
      </c>
      <c r="I8189" t="s">
        <v>5835</v>
      </c>
      <c r="J8189" t="s">
        <v>14</v>
      </c>
      <c r="K8189" t="str">
        <f>"1F1"</f>
        <v>1F1</v>
      </c>
      <c r="L8189" t="s">
        <v>15</v>
      </c>
    </row>
    <row r="8190" spans="1:12" x14ac:dyDescent="0.25">
      <c r="A8190" t="str">
        <f>"6362300780"</f>
        <v>6362300780</v>
      </c>
      <c r="B8190" t="str">
        <f t="shared" si="370"/>
        <v>89301000</v>
      </c>
      <c r="C8190" s="1">
        <v>44501</v>
      </c>
      <c r="D8190" s="1">
        <v>44515</v>
      </c>
      <c r="E8190">
        <v>1</v>
      </c>
      <c r="F8190" t="s">
        <v>109</v>
      </c>
      <c r="G8190" t="str">
        <f>"24-M07-02"</f>
        <v>24-M07-02</v>
      </c>
      <c r="H8190">
        <v>1.5094000000000001</v>
      </c>
      <c r="I8190" t="s">
        <v>5836</v>
      </c>
      <c r="J8190" t="s">
        <v>14</v>
      </c>
      <c r="K8190" t="str">
        <f>"2F1"</f>
        <v>2F1</v>
      </c>
      <c r="L8190" t="s">
        <v>15</v>
      </c>
    </row>
    <row r="8191" spans="1:12" x14ac:dyDescent="0.25">
      <c r="A8191" t="str">
        <f>"6362300780"</f>
        <v>6362300780</v>
      </c>
      <c r="B8191" t="str">
        <f t="shared" si="370"/>
        <v>89301000</v>
      </c>
      <c r="C8191" s="1">
        <v>44468</v>
      </c>
      <c r="D8191" s="1">
        <v>44474</v>
      </c>
      <c r="E8191">
        <v>1</v>
      </c>
      <c r="F8191" t="s">
        <v>2118</v>
      </c>
      <c r="G8191" t="str">
        <f>"08-I03-06"</f>
        <v>08-I03-06</v>
      </c>
      <c r="H8191">
        <v>3.3027000000000002</v>
      </c>
      <c r="I8191" t="s">
        <v>348</v>
      </c>
      <c r="J8191" t="s">
        <v>17</v>
      </c>
      <c r="K8191" t="str">
        <f>"5F6"</f>
        <v>5F6</v>
      </c>
      <c r="L8191" t="s">
        <v>15</v>
      </c>
    </row>
    <row r="8192" spans="1:12" x14ac:dyDescent="0.25">
      <c r="A8192" t="str">
        <f>"6362311285"</f>
        <v>6362311285</v>
      </c>
      <c r="B8192" t="str">
        <f t="shared" si="370"/>
        <v>89301000</v>
      </c>
      <c r="C8192" s="1">
        <v>44388</v>
      </c>
      <c r="D8192" s="1">
        <v>44392</v>
      </c>
      <c r="E8192">
        <v>1</v>
      </c>
      <c r="F8192" t="s">
        <v>5837</v>
      </c>
      <c r="G8192" t="str">
        <f>"13-I11-03"</f>
        <v>13-I11-03</v>
      </c>
      <c r="H8192">
        <v>1.3809</v>
      </c>
      <c r="J8192" t="s">
        <v>24</v>
      </c>
      <c r="K8192" t="str">
        <f>"6F3"</f>
        <v>6F3</v>
      </c>
      <c r="L8192" t="s">
        <v>15</v>
      </c>
    </row>
    <row r="8193" spans="1:12" x14ac:dyDescent="0.25">
      <c r="A8193" t="str">
        <f>"6401040558"</f>
        <v>6401040558</v>
      </c>
      <c r="B8193" t="str">
        <f t="shared" si="370"/>
        <v>89301000</v>
      </c>
      <c r="C8193" s="1">
        <v>44494</v>
      </c>
      <c r="D8193" s="1">
        <v>44498</v>
      </c>
      <c r="E8193">
        <v>1</v>
      </c>
      <c r="F8193" t="s">
        <v>217</v>
      </c>
      <c r="G8193" t="str">
        <f>"04-K02-04"</f>
        <v>04-K02-04</v>
      </c>
      <c r="H8193">
        <v>0.82469999999999999</v>
      </c>
      <c r="I8193" t="s">
        <v>274</v>
      </c>
      <c r="J8193" t="s">
        <v>14</v>
      </c>
      <c r="K8193" t="str">
        <f>"1F1"</f>
        <v>1F1</v>
      </c>
      <c r="L8193" t="s">
        <v>15</v>
      </c>
    </row>
    <row r="8194" spans="1:12" x14ac:dyDescent="0.25">
      <c r="A8194" t="str">
        <f>"6401052075"</f>
        <v>6401052075</v>
      </c>
      <c r="B8194" t="str">
        <f t="shared" si="370"/>
        <v>89301000</v>
      </c>
      <c r="C8194" s="1">
        <v>44391</v>
      </c>
      <c r="D8194" s="1">
        <v>44392</v>
      </c>
      <c r="E8194">
        <v>1</v>
      </c>
      <c r="F8194" t="s">
        <v>4537</v>
      </c>
      <c r="G8194" t="str">
        <f>"05-M03-00"</f>
        <v>05-M03-00</v>
      </c>
      <c r="H8194">
        <v>3.3506999999999998</v>
      </c>
      <c r="J8194" t="s">
        <v>24</v>
      </c>
      <c r="K8194" t="str">
        <f>"1F7"</f>
        <v>1F7</v>
      </c>
      <c r="L8194" t="s">
        <v>15</v>
      </c>
    </row>
    <row r="8195" spans="1:12" x14ac:dyDescent="0.25">
      <c r="A8195" t="str">
        <f>"6401052075"</f>
        <v>6401052075</v>
      </c>
      <c r="B8195" t="str">
        <f t="shared" si="370"/>
        <v>89301000</v>
      </c>
      <c r="C8195" s="1">
        <v>44523</v>
      </c>
      <c r="D8195" s="1">
        <v>44529</v>
      </c>
      <c r="E8195">
        <v>1</v>
      </c>
      <c r="F8195" t="s">
        <v>217</v>
      </c>
      <c r="G8195" t="str">
        <f>"04-K02-04"</f>
        <v>04-K02-04</v>
      </c>
      <c r="H8195">
        <v>0.82469999999999999</v>
      </c>
      <c r="I8195" t="s">
        <v>274</v>
      </c>
      <c r="J8195" t="s">
        <v>14</v>
      </c>
      <c r="K8195" t="str">
        <f>"1F1"</f>
        <v>1F1</v>
      </c>
      <c r="L8195" t="s">
        <v>15</v>
      </c>
    </row>
    <row r="8196" spans="1:12" x14ac:dyDescent="0.25">
      <c r="A8196" t="str">
        <f>"6401070566"</f>
        <v>6401070566</v>
      </c>
      <c r="B8196" t="str">
        <f t="shared" si="370"/>
        <v>89301000</v>
      </c>
      <c r="C8196" s="1">
        <v>44284</v>
      </c>
      <c r="D8196" s="1">
        <v>44300</v>
      </c>
      <c r="E8196">
        <v>1</v>
      </c>
      <c r="F8196" t="s">
        <v>109</v>
      </c>
      <c r="G8196" t="str">
        <f>"24-M07-02"</f>
        <v>24-M07-02</v>
      </c>
      <c r="H8196">
        <v>1.5094000000000001</v>
      </c>
      <c r="I8196" t="s">
        <v>5838</v>
      </c>
      <c r="J8196" t="s">
        <v>14</v>
      </c>
      <c r="K8196" t="str">
        <f>"2F1"</f>
        <v>2F1</v>
      </c>
      <c r="L8196" t="s">
        <v>15</v>
      </c>
    </row>
    <row r="8197" spans="1:12" x14ac:dyDescent="0.25">
      <c r="A8197" t="str">
        <f>"6401070566"</f>
        <v>6401070566</v>
      </c>
      <c r="B8197" t="str">
        <f t="shared" si="370"/>
        <v>89301000</v>
      </c>
      <c r="C8197" s="1">
        <v>44267</v>
      </c>
      <c r="D8197" s="1">
        <v>44284</v>
      </c>
      <c r="E8197">
        <v>3</v>
      </c>
      <c r="F8197" t="s">
        <v>32</v>
      </c>
      <c r="G8197" t="str">
        <f>"25-I02-02"</f>
        <v>25-I02-02</v>
      </c>
      <c r="H8197">
        <v>5.8459000000000003</v>
      </c>
      <c r="I8197" t="s">
        <v>5839</v>
      </c>
      <c r="J8197" t="s">
        <v>17</v>
      </c>
      <c r="K8197" t="str">
        <f>"5F6"</f>
        <v>5F6</v>
      </c>
      <c r="L8197" t="s">
        <v>15</v>
      </c>
    </row>
    <row r="8198" spans="1:12" x14ac:dyDescent="0.25">
      <c r="A8198" t="str">
        <f>"6401086065"</f>
        <v>6401086065</v>
      </c>
      <c r="B8198" t="str">
        <f t="shared" si="370"/>
        <v>89301000</v>
      </c>
      <c r="C8198" s="1">
        <v>44309</v>
      </c>
      <c r="D8198" s="1">
        <v>44309</v>
      </c>
      <c r="E8198">
        <v>1</v>
      </c>
      <c r="F8198" t="s">
        <v>1557</v>
      </c>
      <c r="G8198" t="str">
        <f>"05-M06-08"</f>
        <v>05-M06-08</v>
      </c>
      <c r="H8198">
        <v>1.1200000000000001</v>
      </c>
      <c r="I8198" t="s">
        <v>489</v>
      </c>
      <c r="J8198" t="s">
        <v>17</v>
      </c>
      <c r="K8198" t="str">
        <f>"1F1"</f>
        <v>1F1</v>
      </c>
      <c r="L8198" t="s">
        <v>15</v>
      </c>
    </row>
    <row r="8199" spans="1:12" x14ac:dyDescent="0.25">
      <c r="A8199" t="str">
        <f>"6401086065"</f>
        <v>6401086065</v>
      </c>
      <c r="B8199" t="str">
        <f t="shared" si="370"/>
        <v>89301000</v>
      </c>
      <c r="C8199" s="1">
        <v>44273</v>
      </c>
      <c r="D8199" s="1">
        <v>44273</v>
      </c>
      <c r="E8199">
        <v>1</v>
      </c>
      <c r="F8199" t="s">
        <v>1557</v>
      </c>
      <c r="G8199" t="str">
        <f>"05-M06-08"</f>
        <v>05-M06-08</v>
      </c>
      <c r="H8199">
        <v>1.1200000000000001</v>
      </c>
      <c r="I8199" t="s">
        <v>489</v>
      </c>
      <c r="J8199" t="s">
        <v>17</v>
      </c>
      <c r="K8199" t="str">
        <f>"1F1"</f>
        <v>1F1</v>
      </c>
      <c r="L8199" t="s">
        <v>15</v>
      </c>
    </row>
    <row r="8200" spans="1:12" x14ac:dyDescent="0.25">
      <c r="A8200" t="str">
        <f>"6401091554"</f>
        <v>6401091554</v>
      </c>
      <c r="B8200" t="str">
        <f t="shared" si="370"/>
        <v>89301000</v>
      </c>
      <c r="C8200" s="1">
        <v>44486</v>
      </c>
      <c r="D8200" s="1">
        <v>44489</v>
      </c>
      <c r="E8200">
        <v>1</v>
      </c>
      <c r="F8200" t="s">
        <v>632</v>
      </c>
      <c r="G8200" t="str">
        <f>"06-I17-04"</f>
        <v>06-I17-04</v>
      </c>
      <c r="H8200">
        <v>0.49940000000000001</v>
      </c>
      <c r="J8200" t="s">
        <v>17</v>
      </c>
      <c r="K8200" t="str">
        <f>"5F1"</f>
        <v>5F1</v>
      </c>
      <c r="L8200" t="s">
        <v>15</v>
      </c>
    </row>
    <row r="8201" spans="1:12" x14ac:dyDescent="0.25">
      <c r="A8201" t="str">
        <f>"6401100486"</f>
        <v>6401100486</v>
      </c>
      <c r="B8201" t="str">
        <f t="shared" si="370"/>
        <v>89301000</v>
      </c>
      <c r="C8201" s="1">
        <v>44511</v>
      </c>
      <c r="D8201" s="1">
        <v>44516</v>
      </c>
      <c r="E8201">
        <v>1</v>
      </c>
      <c r="F8201" t="s">
        <v>3462</v>
      </c>
      <c r="G8201" t="str">
        <f>"06-I17-04"</f>
        <v>06-I17-04</v>
      </c>
      <c r="H8201">
        <v>0.49940000000000001</v>
      </c>
      <c r="I8201" t="s">
        <v>4553</v>
      </c>
      <c r="J8201" t="s">
        <v>17</v>
      </c>
      <c r="K8201" t="str">
        <f>"5F1"</f>
        <v>5F1</v>
      </c>
      <c r="L8201" t="s">
        <v>15</v>
      </c>
    </row>
    <row r="8202" spans="1:12" x14ac:dyDescent="0.25">
      <c r="A8202" t="str">
        <f>"6401111233"</f>
        <v>6401111233</v>
      </c>
      <c r="B8202" t="str">
        <f t="shared" si="370"/>
        <v>89301000</v>
      </c>
      <c r="C8202" s="1">
        <v>44278</v>
      </c>
      <c r="D8202" s="1">
        <v>44280</v>
      </c>
      <c r="E8202">
        <v>1</v>
      </c>
      <c r="F8202" t="s">
        <v>41</v>
      </c>
      <c r="G8202" t="str">
        <f>"01-D01-03"</f>
        <v>01-D01-03</v>
      </c>
      <c r="H8202">
        <v>0.158</v>
      </c>
      <c r="I8202" t="s">
        <v>3099</v>
      </c>
      <c r="J8202" t="s">
        <v>14</v>
      </c>
      <c r="K8202" t="str">
        <f>"2F5"</f>
        <v>2F5</v>
      </c>
      <c r="L8202" t="s">
        <v>15</v>
      </c>
    </row>
    <row r="8203" spans="1:12" x14ac:dyDescent="0.25">
      <c r="A8203" t="str">
        <f>"6401131924"</f>
        <v>6401131924</v>
      </c>
      <c r="B8203" t="str">
        <f t="shared" si="370"/>
        <v>89301000</v>
      </c>
      <c r="C8203" s="1">
        <v>44473</v>
      </c>
      <c r="D8203" s="1">
        <v>44475</v>
      </c>
      <c r="E8203">
        <v>1</v>
      </c>
      <c r="F8203" t="s">
        <v>3799</v>
      </c>
      <c r="G8203" t="str">
        <f>"11-K03-02"</f>
        <v>11-K03-02</v>
      </c>
      <c r="H8203">
        <v>0.6008</v>
      </c>
      <c r="I8203" t="s">
        <v>5840</v>
      </c>
      <c r="J8203" t="s">
        <v>14</v>
      </c>
      <c r="K8203" t="str">
        <f>"1F1"</f>
        <v>1F1</v>
      </c>
      <c r="L8203" t="s">
        <v>15</v>
      </c>
    </row>
    <row r="8204" spans="1:12" x14ac:dyDescent="0.25">
      <c r="A8204" t="str">
        <f>"6401140713"</f>
        <v>6401140713</v>
      </c>
      <c r="B8204" t="str">
        <f t="shared" si="370"/>
        <v>89301000</v>
      </c>
      <c r="C8204" s="1">
        <v>44453</v>
      </c>
      <c r="D8204" s="1">
        <v>44456</v>
      </c>
      <c r="E8204">
        <v>5</v>
      </c>
      <c r="F8204" t="s">
        <v>32</v>
      </c>
      <c r="G8204" t="str">
        <f>"08-I03-02"</f>
        <v>08-I03-02</v>
      </c>
      <c r="H8204">
        <v>7.0648999999999997</v>
      </c>
      <c r="I8204" t="s">
        <v>5841</v>
      </c>
      <c r="J8204" t="s">
        <v>17</v>
      </c>
      <c r="K8204" t="str">
        <f>"5F6"</f>
        <v>5F6</v>
      </c>
      <c r="L8204" t="s">
        <v>15</v>
      </c>
    </row>
    <row r="8205" spans="1:12" x14ac:dyDescent="0.25">
      <c r="A8205" t="str">
        <f>"6401186319"</f>
        <v>6401186319</v>
      </c>
      <c r="B8205" t="str">
        <f t="shared" si="370"/>
        <v>89301000</v>
      </c>
      <c r="C8205" s="1">
        <v>44555</v>
      </c>
      <c r="D8205" s="1">
        <v>44560</v>
      </c>
      <c r="E8205">
        <v>1</v>
      </c>
      <c r="F8205" t="s">
        <v>2232</v>
      </c>
      <c r="G8205" t="str">
        <f>"11-K07-02"</f>
        <v>11-K07-02</v>
      </c>
      <c r="H8205">
        <v>0.54879999999999995</v>
      </c>
      <c r="J8205" t="s">
        <v>14</v>
      </c>
      <c r="K8205" t="str">
        <f>"7F6"</f>
        <v>7F6</v>
      </c>
      <c r="L8205" t="s">
        <v>15</v>
      </c>
    </row>
    <row r="8206" spans="1:12" x14ac:dyDescent="0.25">
      <c r="A8206" t="str">
        <f>"6401201180"</f>
        <v>6401201180</v>
      </c>
      <c r="B8206" t="str">
        <f t="shared" si="370"/>
        <v>89301000</v>
      </c>
      <c r="C8206" s="1">
        <v>44375</v>
      </c>
      <c r="D8206" s="1">
        <v>44376</v>
      </c>
      <c r="E8206">
        <v>1</v>
      </c>
      <c r="F8206" t="s">
        <v>5842</v>
      </c>
      <c r="G8206" t="str">
        <f>"08-M03-05"</f>
        <v>08-M03-05</v>
      </c>
      <c r="H8206">
        <v>0.51759999999999995</v>
      </c>
      <c r="I8206" t="s">
        <v>3527</v>
      </c>
      <c r="J8206" t="s">
        <v>14</v>
      </c>
      <c r="K8206" t="str">
        <f>"6F6"</f>
        <v>6F6</v>
      </c>
      <c r="L8206" t="s">
        <v>15</v>
      </c>
    </row>
    <row r="8207" spans="1:12" x14ac:dyDescent="0.25">
      <c r="A8207" t="str">
        <f>"6401201741"</f>
        <v>6401201741</v>
      </c>
      <c r="B8207" t="str">
        <f t="shared" si="370"/>
        <v>89301000</v>
      </c>
      <c r="C8207" s="1">
        <v>44516</v>
      </c>
      <c r="D8207" s="1">
        <v>44517</v>
      </c>
      <c r="E8207">
        <v>1</v>
      </c>
      <c r="F8207" t="s">
        <v>41</v>
      </c>
      <c r="G8207" t="str">
        <f>"01-D01-03"</f>
        <v>01-D01-03</v>
      </c>
      <c r="H8207">
        <v>0.158</v>
      </c>
      <c r="I8207" t="s">
        <v>5843</v>
      </c>
      <c r="J8207" t="s">
        <v>14</v>
      </c>
      <c r="K8207" t="str">
        <f>"2F5"</f>
        <v>2F5</v>
      </c>
      <c r="L8207" t="s">
        <v>15</v>
      </c>
    </row>
    <row r="8208" spans="1:12" x14ac:dyDescent="0.25">
      <c r="A8208" t="str">
        <f>"6402102322"</f>
        <v>6402102322</v>
      </c>
      <c r="B8208" t="str">
        <f t="shared" si="370"/>
        <v>89301000</v>
      </c>
      <c r="C8208" s="1">
        <v>44473</v>
      </c>
      <c r="D8208" s="1">
        <v>44476</v>
      </c>
      <c r="E8208">
        <v>1</v>
      </c>
      <c r="F8208" t="s">
        <v>316</v>
      </c>
      <c r="G8208" t="str">
        <f>"01-I07-04"</f>
        <v>01-I07-04</v>
      </c>
      <c r="H8208">
        <v>2.2679</v>
      </c>
      <c r="I8208" t="s">
        <v>5844</v>
      </c>
      <c r="J8208" t="s">
        <v>17</v>
      </c>
      <c r="K8208" t="str">
        <f>"5F6"</f>
        <v>5F6</v>
      </c>
      <c r="L8208" t="s">
        <v>15</v>
      </c>
    </row>
    <row r="8209" spans="1:12" x14ac:dyDescent="0.25">
      <c r="A8209" t="str">
        <f>"6402151019"</f>
        <v>6402151019</v>
      </c>
      <c r="B8209" t="str">
        <f t="shared" si="370"/>
        <v>89301000</v>
      </c>
      <c r="C8209" s="1">
        <v>44547</v>
      </c>
      <c r="D8209" s="1">
        <v>44553</v>
      </c>
      <c r="E8209">
        <v>1</v>
      </c>
      <c r="F8209" t="s">
        <v>2133</v>
      </c>
      <c r="G8209" t="str">
        <f>"04-K06-03"</f>
        <v>04-K06-03</v>
      </c>
      <c r="H8209">
        <v>0.66259999999999997</v>
      </c>
      <c r="I8209" t="s">
        <v>2250</v>
      </c>
      <c r="J8209" t="s">
        <v>14</v>
      </c>
      <c r="K8209" t="str">
        <f>"2F5"</f>
        <v>2F5</v>
      </c>
      <c r="L8209" t="s">
        <v>15</v>
      </c>
    </row>
    <row r="8210" spans="1:12" x14ac:dyDescent="0.25">
      <c r="A8210" t="str">
        <f>"6402251042"</f>
        <v>6402251042</v>
      </c>
      <c r="B8210" t="str">
        <f t="shared" si="370"/>
        <v>89301000</v>
      </c>
      <c r="C8210" s="1">
        <v>44257</v>
      </c>
      <c r="D8210" s="1">
        <v>44270</v>
      </c>
      <c r="E8210">
        <v>1</v>
      </c>
      <c r="F8210" t="s">
        <v>5845</v>
      </c>
      <c r="G8210" t="str">
        <f>"03-I22-02"</f>
        <v>03-I22-02</v>
      </c>
      <c r="H8210">
        <v>1.1385000000000001</v>
      </c>
      <c r="I8210" t="s">
        <v>5846</v>
      </c>
      <c r="J8210" t="s">
        <v>14</v>
      </c>
      <c r="K8210" t="str">
        <f>"7F1"</f>
        <v>7F1</v>
      </c>
      <c r="L8210" t="s">
        <v>15</v>
      </c>
    </row>
    <row r="8211" spans="1:12" x14ac:dyDescent="0.25">
      <c r="A8211" t="str">
        <f>"6402251042"</f>
        <v>6402251042</v>
      </c>
      <c r="B8211" t="str">
        <f t="shared" si="370"/>
        <v>89301000</v>
      </c>
      <c r="C8211" s="1">
        <v>44380</v>
      </c>
      <c r="D8211" s="1">
        <v>44385</v>
      </c>
      <c r="E8211">
        <v>7</v>
      </c>
      <c r="F8211" t="s">
        <v>3027</v>
      </c>
      <c r="G8211" t="str">
        <f>"03-I22-01"</f>
        <v>03-I22-01</v>
      </c>
      <c r="H8211">
        <v>1.3746</v>
      </c>
      <c r="I8211" t="s">
        <v>5847</v>
      </c>
      <c r="J8211" t="s">
        <v>14</v>
      </c>
      <c r="K8211" t="str">
        <f>"5T1"</f>
        <v>5T1</v>
      </c>
      <c r="L8211" t="s">
        <v>15</v>
      </c>
    </row>
    <row r="8212" spans="1:12" x14ac:dyDescent="0.25">
      <c r="A8212" t="str">
        <f>"6403081762"</f>
        <v>6403081762</v>
      </c>
      <c r="B8212" t="str">
        <f t="shared" si="370"/>
        <v>89301000</v>
      </c>
      <c r="C8212" s="1">
        <v>44458</v>
      </c>
      <c r="D8212" s="1">
        <v>44476</v>
      </c>
      <c r="E8212">
        <v>5</v>
      </c>
      <c r="F8212" t="s">
        <v>5848</v>
      </c>
      <c r="G8212" t="str">
        <f>"00-M02-03"</f>
        <v>00-M02-03</v>
      </c>
      <c r="H8212">
        <v>16.959099999999999</v>
      </c>
      <c r="I8212" t="s">
        <v>5849</v>
      </c>
      <c r="J8212" t="s">
        <v>14</v>
      </c>
      <c r="K8212" t="str">
        <f>"5T6"</f>
        <v>5T6</v>
      </c>
      <c r="L8212" t="s">
        <v>15</v>
      </c>
    </row>
    <row r="8213" spans="1:12" x14ac:dyDescent="0.25">
      <c r="A8213" t="str">
        <f>"6403092311"</f>
        <v>6403092311</v>
      </c>
      <c r="B8213" t="str">
        <f t="shared" si="370"/>
        <v>89301000</v>
      </c>
      <c r="C8213" s="1">
        <v>44398</v>
      </c>
      <c r="D8213" s="1">
        <v>44400</v>
      </c>
      <c r="E8213">
        <v>1</v>
      </c>
      <c r="F8213" t="s">
        <v>2082</v>
      </c>
      <c r="G8213" t="str">
        <f>"03-I19-03"</f>
        <v>03-I19-03</v>
      </c>
      <c r="H8213">
        <v>0.60699999999999998</v>
      </c>
      <c r="J8213" t="s">
        <v>14</v>
      </c>
      <c r="K8213" t="str">
        <f>"6F5"</f>
        <v>6F5</v>
      </c>
      <c r="L8213" t="s">
        <v>15</v>
      </c>
    </row>
    <row r="8214" spans="1:12" x14ac:dyDescent="0.25">
      <c r="A8214" t="str">
        <f>"6403201112"</f>
        <v>6403201112</v>
      </c>
      <c r="B8214" t="str">
        <f t="shared" si="370"/>
        <v>89301000</v>
      </c>
      <c r="C8214" s="1">
        <v>44339</v>
      </c>
      <c r="D8214" s="1">
        <v>44349</v>
      </c>
      <c r="E8214">
        <v>5</v>
      </c>
      <c r="F8214" t="s">
        <v>1565</v>
      </c>
      <c r="G8214" t="str">
        <f>"01-I06-04"</f>
        <v>01-I06-04</v>
      </c>
      <c r="H8214">
        <v>3.6231</v>
      </c>
      <c r="I8214" t="s">
        <v>489</v>
      </c>
      <c r="J8214" t="s">
        <v>17</v>
      </c>
      <c r="K8214" t="str">
        <f>"5F6"</f>
        <v>5F6</v>
      </c>
      <c r="L8214" t="s">
        <v>15</v>
      </c>
    </row>
    <row r="8215" spans="1:12" x14ac:dyDescent="0.25">
      <c r="A8215" t="str">
        <f>"6403221792"</f>
        <v>6403221792</v>
      </c>
      <c r="B8215" t="str">
        <f t="shared" si="370"/>
        <v>89301000</v>
      </c>
      <c r="C8215" s="1">
        <v>44331</v>
      </c>
      <c r="D8215" s="1">
        <v>44336</v>
      </c>
      <c r="E8215">
        <v>1</v>
      </c>
      <c r="F8215" t="s">
        <v>32</v>
      </c>
      <c r="G8215" t="str">
        <f>"08-K11-01"</f>
        <v>08-K11-01</v>
      </c>
      <c r="H8215">
        <v>0.99450000000000005</v>
      </c>
      <c r="I8215" t="s">
        <v>5850</v>
      </c>
      <c r="J8215" t="s">
        <v>14</v>
      </c>
      <c r="K8215" t="str">
        <f>"5F6"</f>
        <v>5F6</v>
      </c>
      <c r="L8215" t="s">
        <v>15</v>
      </c>
    </row>
    <row r="8216" spans="1:12" x14ac:dyDescent="0.25">
      <c r="A8216" t="str">
        <f>"6403260446"</f>
        <v>6403260446</v>
      </c>
      <c r="B8216" t="str">
        <f t="shared" si="370"/>
        <v>89301000</v>
      </c>
      <c r="C8216" s="1">
        <v>44293</v>
      </c>
      <c r="D8216" s="1">
        <v>44295</v>
      </c>
      <c r="E8216">
        <v>1</v>
      </c>
      <c r="F8216" t="s">
        <v>332</v>
      </c>
      <c r="G8216" t="str">
        <f>"07-K02-03"</f>
        <v>07-K02-03</v>
      </c>
      <c r="H8216">
        <v>0.7742</v>
      </c>
      <c r="I8216" t="s">
        <v>5851</v>
      </c>
      <c r="J8216" t="s">
        <v>14</v>
      </c>
      <c r="K8216" t="str">
        <f>"1F5"</f>
        <v>1F5</v>
      </c>
      <c r="L8216" t="s">
        <v>15</v>
      </c>
    </row>
    <row r="8217" spans="1:12" x14ac:dyDescent="0.25">
      <c r="A8217" t="str">
        <f>"6403301641"</f>
        <v>6403301641</v>
      </c>
      <c r="B8217" t="str">
        <f t="shared" si="370"/>
        <v>89301000</v>
      </c>
      <c r="C8217" s="1">
        <v>44328</v>
      </c>
      <c r="D8217" s="1">
        <v>44335</v>
      </c>
      <c r="E8217">
        <v>1</v>
      </c>
      <c r="F8217" t="s">
        <v>2311</v>
      </c>
      <c r="G8217" t="str">
        <f>"08-I03-08"</f>
        <v>08-I03-08</v>
      </c>
      <c r="H8217">
        <v>2.0605000000000002</v>
      </c>
      <c r="I8217" t="s">
        <v>5852</v>
      </c>
      <c r="J8217" t="s">
        <v>17</v>
      </c>
      <c r="K8217" t="str">
        <f>"5F6"</f>
        <v>5F6</v>
      </c>
      <c r="L8217" t="s">
        <v>15</v>
      </c>
    </row>
    <row r="8218" spans="1:12" x14ac:dyDescent="0.25">
      <c r="A8218" t="str">
        <f>"6403302466"</f>
        <v>6403302466</v>
      </c>
      <c r="B8218" t="str">
        <f t="shared" si="370"/>
        <v>89301000</v>
      </c>
      <c r="C8218" s="1">
        <v>44489</v>
      </c>
      <c r="D8218" s="1">
        <v>44491</v>
      </c>
      <c r="E8218">
        <v>1</v>
      </c>
      <c r="F8218" t="s">
        <v>173</v>
      </c>
      <c r="G8218" t="str">
        <f>"08-I32-02"</f>
        <v>08-I32-02</v>
      </c>
      <c r="H8218">
        <v>0.4143</v>
      </c>
      <c r="J8218" t="s">
        <v>14</v>
      </c>
      <c r="K8218" t="str">
        <f>"6F6"</f>
        <v>6F6</v>
      </c>
      <c r="L8218" t="s">
        <v>15</v>
      </c>
    </row>
    <row r="8219" spans="1:12" x14ac:dyDescent="0.25">
      <c r="A8219" t="str">
        <f>"6404051181"</f>
        <v>6404051181</v>
      </c>
      <c r="B8219" t="str">
        <f t="shared" si="370"/>
        <v>89301000</v>
      </c>
      <c r="C8219" s="1">
        <v>44228</v>
      </c>
      <c r="D8219" s="1">
        <v>44230</v>
      </c>
      <c r="E8219">
        <v>1</v>
      </c>
      <c r="F8219" t="s">
        <v>637</v>
      </c>
      <c r="G8219" t="str">
        <f>"17-C05-09"</f>
        <v>17-C05-09</v>
      </c>
      <c r="H8219">
        <v>0.74960000000000004</v>
      </c>
      <c r="I8219" t="s">
        <v>5853</v>
      </c>
      <c r="J8219" t="s">
        <v>14</v>
      </c>
      <c r="K8219" t="str">
        <f>"2F2"</f>
        <v>2F2</v>
      </c>
      <c r="L8219" t="s">
        <v>15</v>
      </c>
    </row>
    <row r="8220" spans="1:12" x14ac:dyDescent="0.25">
      <c r="A8220" t="str">
        <f>"6404142327"</f>
        <v>6404142327</v>
      </c>
      <c r="B8220" t="str">
        <f t="shared" si="370"/>
        <v>89301000</v>
      </c>
      <c r="C8220" s="1">
        <v>44377</v>
      </c>
      <c r="D8220" s="1">
        <v>44386</v>
      </c>
      <c r="E8220">
        <v>4</v>
      </c>
      <c r="F8220" t="s">
        <v>2407</v>
      </c>
      <c r="G8220" t="str">
        <f>"08-I06-04"</f>
        <v>08-I06-04</v>
      </c>
      <c r="H8220">
        <v>2.4260000000000002</v>
      </c>
      <c r="I8220" t="s">
        <v>5854</v>
      </c>
      <c r="J8220" t="s">
        <v>24</v>
      </c>
      <c r="K8220" t="str">
        <f>"6F6"</f>
        <v>6F6</v>
      </c>
      <c r="L8220" t="s">
        <v>15</v>
      </c>
    </row>
    <row r="8221" spans="1:12" x14ac:dyDescent="0.25">
      <c r="A8221" t="str">
        <f>"6404160059"</f>
        <v>6404160059</v>
      </c>
      <c r="B8221" t="str">
        <f t="shared" si="370"/>
        <v>89301000</v>
      </c>
      <c r="C8221" s="1">
        <v>44314</v>
      </c>
      <c r="D8221" s="1">
        <v>44323</v>
      </c>
      <c r="E8221">
        <v>1</v>
      </c>
      <c r="F8221" t="s">
        <v>87</v>
      </c>
      <c r="G8221" t="str">
        <f>"09-K04-02"</f>
        <v>09-K04-02</v>
      </c>
      <c r="H8221">
        <v>0.68279999999999996</v>
      </c>
      <c r="I8221" t="s">
        <v>1959</v>
      </c>
      <c r="J8221" t="s">
        <v>14</v>
      </c>
      <c r="K8221" t="str">
        <f>"4F4"</f>
        <v>4F4</v>
      </c>
      <c r="L8221" t="s">
        <v>15</v>
      </c>
    </row>
    <row r="8222" spans="1:12" x14ac:dyDescent="0.25">
      <c r="A8222" t="str">
        <f>"6404190298"</f>
        <v>6404190298</v>
      </c>
      <c r="B8222" t="str">
        <f t="shared" si="370"/>
        <v>89301000</v>
      </c>
      <c r="C8222" s="1">
        <v>44333</v>
      </c>
      <c r="D8222" s="1">
        <v>44340</v>
      </c>
      <c r="E8222">
        <v>1</v>
      </c>
      <c r="F8222" t="s">
        <v>2648</v>
      </c>
      <c r="G8222" t="str">
        <f>"06-I12-03"</f>
        <v>06-I12-03</v>
      </c>
      <c r="H8222">
        <v>1.8894</v>
      </c>
      <c r="I8222" t="s">
        <v>5855</v>
      </c>
      <c r="J8222" t="s">
        <v>14</v>
      </c>
      <c r="K8222" t="str">
        <f>"5F1"</f>
        <v>5F1</v>
      </c>
      <c r="L8222" t="s">
        <v>15</v>
      </c>
    </row>
    <row r="8223" spans="1:12" x14ac:dyDescent="0.25">
      <c r="A8223" t="str">
        <f>"6405020116"</f>
        <v>6405020116</v>
      </c>
      <c r="B8223" t="str">
        <f t="shared" si="370"/>
        <v>89301000</v>
      </c>
      <c r="C8223" s="1">
        <v>44285</v>
      </c>
      <c r="D8223" s="1">
        <v>44286</v>
      </c>
      <c r="E8223">
        <v>1</v>
      </c>
      <c r="F8223" t="s">
        <v>1928</v>
      </c>
      <c r="G8223" t="str">
        <f>"11-M02-07"</f>
        <v>11-M02-07</v>
      </c>
      <c r="H8223">
        <v>0.53769999999999996</v>
      </c>
      <c r="I8223" t="s">
        <v>2327</v>
      </c>
      <c r="J8223" t="s">
        <v>14</v>
      </c>
      <c r="K8223" t="str">
        <f>"5F3"</f>
        <v>5F3</v>
      </c>
      <c r="L8223" t="s">
        <v>15</v>
      </c>
    </row>
    <row r="8224" spans="1:12" x14ac:dyDescent="0.25">
      <c r="A8224" t="str">
        <f>"6405061135"</f>
        <v>6405061135</v>
      </c>
      <c r="B8224" t="str">
        <f t="shared" si="370"/>
        <v>89301000</v>
      </c>
      <c r="C8224" s="1">
        <v>44440</v>
      </c>
      <c r="D8224" s="1">
        <v>44441</v>
      </c>
      <c r="E8224">
        <v>1</v>
      </c>
      <c r="F8224" t="s">
        <v>2457</v>
      </c>
      <c r="G8224" t="str">
        <f>"05-D01-08"</f>
        <v>05-D01-08</v>
      </c>
      <c r="H8224">
        <v>0.4093</v>
      </c>
      <c r="I8224" t="s">
        <v>1785</v>
      </c>
      <c r="J8224" t="s">
        <v>14</v>
      </c>
      <c r="K8224" t="str">
        <f>"1F1"</f>
        <v>1F1</v>
      </c>
      <c r="L8224" t="s">
        <v>15</v>
      </c>
    </row>
    <row r="8225" spans="1:12" x14ac:dyDescent="0.25">
      <c r="A8225" t="str">
        <f>"6405070980"</f>
        <v>6405070980</v>
      </c>
      <c r="B8225" t="str">
        <f t="shared" si="370"/>
        <v>89301000</v>
      </c>
      <c r="C8225" s="1">
        <v>44203</v>
      </c>
      <c r="D8225" s="1">
        <v>44231</v>
      </c>
      <c r="E8225">
        <v>1</v>
      </c>
      <c r="F8225" t="s">
        <v>2987</v>
      </c>
      <c r="G8225" t="str">
        <f>"19-K06-02"</f>
        <v>19-K06-02</v>
      </c>
      <c r="H8225">
        <v>2.4085000000000001</v>
      </c>
      <c r="I8225" t="s">
        <v>5856</v>
      </c>
      <c r="J8225" t="s">
        <v>27</v>
      </c>
      <c r="K8225" t="str">
        <f>"3F5"</f>
        <v>3F5</v>
      </c>
      <c r="L8225" t="s">
        <v>15</v>
      </c>
    </row>
    <row r="8226" spans="1:12" x14ac:dyDescent="0.25">
      <c r="A8226" t="str">
        <f>"6405081397"</f>
        <v>6405081397</v>
      </c>
      <c r="B8226" t="str">
        <f t="shared" si="370"/>
        <v>89301000</v>
      </c>
      <c r="C8226" s="1">
        <v>44242</v>
      </c>
      <c r="D8226" s="1">
        <v>44249</v>
      </c>
      <c r="E8226">
        <v>3</v>
      </c>
      <c r="F8226" t="s">
        <v>2407</v>
      </c>
      <c r="G8226" t="str">
        <f>"08-I06-04"</f>
        <v>08-I06-04</v>
      </c>
      <c r="H8226">
        <v>1.7104999999999999</v>
      </c>
      <c r="I8226" t="s">
        <v>4260</v>
      </c>
      <c r="J8226" t="s">
        <v>24</v>
      </c>
      <c r="K8226" t="str">
        <f>"6F6"</f>
        <v>6F6</v>
      </c>
      <c r="L8226" t="s">
        <v>15</v>
      </c>
    </row>
    <row r="8227" spans="1:12" x14ac:dyDescent="0.25">
      <c r="A8227" t="str">
        <f>"6405081397"</f>
        <v>6405081397</v>
      </c>
      <c r="B8227" t="str">
        <f t="shared" si="370"/>
        <v>89301000</v>
      </c>
      <c r="C8227" s="1">
        <v>44249</v>
      </c>
      <c r="D8227" s="1">
        <v>44273</v>
      </c>
      <c r="E8227">
        <v>1</v>
      </c>
      <c r="F8227" t="s">
        <v>109</v>
      </c>
      <c r="G8227" t="str">
        <f>"24-M08-02"</f>
        <v>24-M08-02</v>
      </c>
      <c r="H8227">
        <v>2.3557000000000001</v>
      </c>
      <c r="I8227" t="s">
        <v>3247</v>
      </c>
      <c r="J8227" t="s">
        <v>14</v>
      </c>
      <c r="K8227" t="str">
        <f>"2F1"</f>
        <v>2F1</v>
      </c>
      <c r="L8227" t="s">
        <v>15</v>
      </c>
    </row>
    <row r="8228" spans="1:12" x14ac:dyDescent="0.25">
      <c r="A8228" t="str">
        <f>"6405101197"</f>
        <v>6405101197</v>
      </c>
      <c r="B8228" t="str">
        <f t="shared" si="370"/>
        <v>89301000</v>
      </c>
      <c r="C8228" s="1">
        <v>44458</v>
      </c>
      <c r="D8228" s="1">
        <v>44462</v>
      </c>
      <c r="E8228">
        <v>1</v>
      </c>
      <c r="F8228" t="s">
        <v>3575</v>
      </c>
      <c r="G8228" t="str">
        <f>"04-K06-03"</f>
        <v>04-K06-03</v>
      </c>
      <c r="H8228">
        <v>0.66259999999999997</v>
      </c>
      <c r="I8228" t="s">
        <v>5857</v>
      </c>
      <c r="J8228" t="s">
        <v>14</v>
      </c>
      <c r="K8228" t="str">
        <f>"2F5"</f>
        <v>2F5</v>
      </c>
      <c r="L8228" t="s">
        <v>15</v>
      </c>
    </row>
    <row r="8229" spans="1:12" x14ac:dyDescent="0.25">
      <c r="A8229" t="str">
        <f>"6405280684"</f>
        <v>6405280684</v>
      </c>
      <c r="B8229" t="str">
        <f t="shared" si="370"/>
        <v>89301000</v>
      </c>
      <c r="C8229" s="1">
        <v>44224</v>
      </c>
      <c r="D8229" s="1">
        <v>44230</v>
      </c>
      <c r="E8229">
        <v>1</v>
      </c>
      <c r="F8229" t="s">
        <v>699</v>
      </c>
      <c r="G8229" t="str">
        <f>"16-K02-01"</f>
        <v>16-K02-01</v>
      </c>
      <c r="H8229">
        <v>1.2647999999999999</v>
      </c>
      <c r="I8229" t="s">
        <v>5858</v>
      </c>
      <c r="J8229" t="s">
        <v>14</v>
      </c>
      <c r="K8229" t="str">
        <f>"1F6"</f>
        <v>1F6</v>
      </c>
      <c r="L8229" t="s">
        <v>15</v>
      </c>
    </row>
    <row r="8230" spans="1:12" x14ac:dyDescent="0.25">
      <c r="A8230" t="str">
        <f>"6405280684"</f>
        <v>6405280684</v>
      </c>
      <c r="B8230" t="str">
        <f t="shared" si="370"/>
        <v>89301000</v>
      </c>
      <c r="C8230" s="1">
        <v>44271</v>
      </c>
      <c r="D8230" s="1">
        <v>44273</v>
      </c>
      <c r="E8230">
        <v>1</v>
      </c>
      <c r="F8230" t="s">
        <v>2931</v>
      </c>
      <c r="G8230" t="str">
        <f>"07-K04-03"</f>
        <v>07-K04-03</v>
      </c>
      <c r="H8230">
        <v>1.0898000000000001</v>
      </c>
      <c r="I8230" t="s">
        <v>5859</v>
      </c>
      <c r="J8230" t="s">
        <v>14</v>
      </c>
      <c r="K8230" t="str">
        <f>"1F1"</f>
        <v>1F1</v>
      </c>
      <c r="L8230" t="s">
        <v>15</v>
      </c>
    </row>
    <row r="8231" spans="1:12" x14ac:dyDescent="0.25">
      <c r="A8231" t="str">
        <f>"6406030785"</f>
        <v>6406030785</v>
      </c>
      <c r="B8231" t="str">
        <f t="shared" si="370"/>
        <v>89301000</v>
      </c>
      <c r="C8231" s="1">
        <v>44530</v>
      </c>
      <c r="D8231" s="1">
        <v>44532</v>
      </c>
      <c r="E8231">
        <v>1</v>
      </c>
      <c r="F8231" t="s">
        <v>1683</v>
      </c>
      <c r="G8231" t="str">
        <f>"05-M06-06"</f>
        <v>05-M06-06</v>
      </c>
      <c r="H8231">
        <v>1.7652000000000001</v>
      </c>
      <c r="I8231" t="s">
        <v>3113</v>
      </c>
      <c r="J8231" t="s">
        <v>17</v>
      </c>
      <c r="K8231" t="str">
        <f>"1F1"</f>
        <v>1F1</v>
      </c>
      <c r="L8231" t="s">
        <v>15</v>
      </c>
    </row>
    <row r="8232" spans="1:12" x14ac:dyDescent="0.25">
      <c r="A8232" t="str">
        <f>"6406151488"</f>
        <v>6406151488</v>
      </c>
      <c r="B8232" t="str">
        <f t="shared" si="370"/>
        <v>89301000</v>
      </c>
      <c r="C8232" s="1">
        <v>44455</v>
      </c>
      <c r="D8232" s="1">
        <v>44460</v>
      </c>
      <c r="E8232">
        <v>1</v>
      </c>
      <c r="F8232" t="s">
        <v>2232</v>
      </c>
      <c r="G8232" t="str">
        <f>"11-I07-01"</f>
        <v>11-I07-01</v>
      </c>
      <c r="H8232">
        <v>2.5975999999999999</v>
      </c>
      <c r="I8232" t="s">
        <v>489</v>
      </c>
      <c r="J8232" t="s">
        <v>14</v>
      </c>
      <c r="K8232" t="str">
        <f>"7F6"</f>
        <v>7F6</v>
      </c>
      <c r="L8232" t="s">
        <v>15</v>
      </c>
    </row>
    <row r="8233" spans="1:12" x14ac:dyDescent="0.25">
      <c r="A8233" t="str">
        <f>"6406180055"</f>
        <v>6406180055</v>
      </c>
      <c r="B8233" t="str">
        <f t="shared" si="370"/>
        <v>89301000</v>
      </c>
      <c r="C8233" s="1">
        <v>44335</v>
      </c>
      <c r="D8233" s="1">
        <v>44336</v>
      </c>
      <c r="E8233">
        <v>1</v>
      </c>
      <c r="F8233" t="s">
        <v>4537</v>
      </c>
      <c r="G8233" t="str">
        <f>"05-M03-00"</f>
        <v>05-M03-00</v>
      </c>
      <c r="H8233">
        <v>3.3506999999999998</v>
      </c>
      <c r="J8233" t="s">
        <v>24</v>
      </c>
      <c r="K8233" t="str">
        <f>"1F1"</f>
        <v>1F1</v>
      </c>
      <c r="L8233" t="s">
        <v>15</v>
      </c>
    </row>
    <row r="8234" spans="1:12" x14ac:dyDescent="0.25">
      <c r="A8234" t="str">
        <f>"6406200163"</f>
        <v>6406200163</v>
      </c>
      <c r="B8234" t="str">
        <f t="shared" si="370"/>
        <v>89301000</v>
      </c>
      <c r="C8234" s="1">
        <v>44372</v>
      </c>
      <c r="D8234" s="1">
        <v>44373</v>
      </c>
      <c r="E8234">
        <v>1</v>
      </c>
      <c r="F8234" t="s">
        <v>2057</v>
      </c>
      <c r="G8234" t="str">
        <f>"05-I14-04"</f>
        <v>05-I14-04</v>
      </c>
      <c r="H8234">
        <v>5.4002999999999997</v>
      </c>
      <c r="I8234" t="s">
        <v>2397</v>
      </c>
      <c r="J8234" t="s">
        <v>14</v>
      </c>
      <c r="K8234" t="str">
        <f>"1F1"</f>
        <v>1F1</v>
      </c>
      <c r="L8234" t="s">
        <v>15</v>
      </c>
    </row>
    <row r="8235" spans="1:12" x14ac:dyDescent="0.25">
      <c r="A8235" t="str">
        <f>"6406210998"</f>
        <v>6406210998</v>
      </c>
      <c r="B8235" t="str">
        <f t="shared" si="370"/>
        <v>89301000</v>
      </c>
      <c r="C8235" s="1">
        <v>44258</v>
      </c>
      <c r="D8235" s="1">
        <v>44265</v>
      </c>
      <c r="E8235">
        <v>1</v>
      </c>
      <c r="F8235" t="s">
        <v>3194</v>
      </c>
      <c r="G8235" t="str">
        <f>"21-K06-00"</f>
        <v>21-K06-00</v>
      </c>
      <c r="H8235">
        <v>0.49320000000000003</v>
      </c>
      <c r="I8235" t="s">
        <v>5860</v>
      </c>
      <c r="J8235" t="s">
        <v>14</v>
      </c>
      <c r="K8235" t="str">
        <f>"6F5"</f>
        <v>6F5</v>
      </c>
      <c r="L8235" t="s">
        <v>15</v>
      </c>
    </row>
    <row r="8236" spans="1:12" x14ac:dyDescent="0.25">
      <c r="A8236" t="str">
        <f>"6406241006"</f>
        <v>6406241006</v>
      </c>
      <c r="B8236" t="str">
        <f t="shared" si="370"/>
        <v>89301000</v>
      </c>
      <c r="C8236" s="1">
        <v>44368</v>
      </c>
      <c r="D8236" s="1">
        <v>44377</v>
      </c>
      <c r="E8236">
        <v>1</v>
      </c>
      <c r="F8236" t="s">
        <v>217</v>
      </c>
      <c r="G8236" t="str">
        <f>"04-K02-03"</f>
        <v>04-K02-03</v>
      </c>
      <c r="H8236">
        <v>1.2859</v>
      </c>
      <c r="I8236" t="s">
        <v>5861</v>
      </c>
      <c r="J8236" t="s">
        <v>14</v>
      </c>
      <c r="K8236" t="str">
        <f>"1F1"</f>
        <v>1F1</v>
      </c>
      <c r="L8236" t="s">
        <v>15</v>
      </c>
    </row>
    <row r="8237" spans="1:12" x14ac:dyDescent="0.25">
      <c r="A8237" t="str">
        <f>"6406250037"</f>
        <v>6406250037</v>
      </c>
      <c r="B8237" t="str">
        <f t="shared" si="370"/>
        <v>89301000</v>
      </c>
      <c r="C8237" s="1">
        <v>44353</v>
      </c>
      <c r="D8237" s="1">
        <v>44357</v>
      </c>
      <c r="E8237">
        <v>1</v>
      </c>
      <c r="F8237" t="s">
        <v>151</v>
      </c>
      <c r="G8237" t="str">
        <f>"06-I16-04"</f>
        <v>06-I16-04</v>
      </c>
      <c r="H8237">
        <v>0.67620000000000002</v>
      </c>
      <c r="J8237" t="s">
        <v>24</v>
      </c>
      <c r="K8237" t="str">
        <f>"5F1"</f>
        <v>5F1</v>
      </c>
      <c r="L8237" t="s">
        <v>15</v>
      </c>
    </row>
    <row r="8238" spans="1:12" x14ac:dyDescent="0.25">
      <c r="A8238" t="str">
        <f>"6407020961"</f>
        <v>6407020961</v>
      </c>
      <c r="B8238" t="str">
        <f t="shared" si="370"/>
        <v>89301000</v>
      </c>
      <c r="C8238" s="1">
        <v>44514</v>
      </c>
      <c r="D8238" s="1">
        <v>44518</v>
      </c>
      <c r="E8238">
        <v>1</v>
      </c>
      <c r="F8238" t="s">
        <v>81</v>
      </c>
      <c r="G8238" t="str">
        <f>"10-I13-02"</f>
        <v>10-I13-02</v>
      </c>
      <c r="H8238">
        <v>1.1468</v>
      </c>
      <c r="I8238" t="s">
        <v>1959</v>
      </c>
      <c r="J8238" t="s">
        <v>24</v>
      </c>
      <c r="K8238" t="str">
        <f>"5F1"</f>
        <v>5F1</v>
      </c>
      <c r="L8238" t="s">
        <v>15</v>
      </c>
    </row>
    <row r="8239" spans="1:12" x14ac:dyDescent="0.25">
      <c r="A8239" t="str">
        <f>"6407050617"</f>
        <v>6407050617</v>
      </c>
      <c r="B8239" t="str">
        <f t="shared" si="370"/>
        <v>89301000</v>
      </c>
      <c r="C8239" s="1">
        <v>44285</v>
      </c>
      <c r="D8239" s="1">
        <v>44293</v>
      </c>
      <c r="E8239">
        <v>1</v>
      </c>
      <c r="F8239" t="s">
        <v>1980</v>
      </c>
      <c r="G8239" t="str">
        <f>"06-K22-03"</f>
        <v>06-K22-03</v>
      </c>
      <c r="H8239">
        <v>0.4108</v>
      </c>
      <c r="I8239" t="s">
        <v>5862</v>
      </c>
      <c r="J8239" t="s">
        <v>14</v>
      </c>
      <c r="K8239" t="str">
        <f>"1F5"</f>
        <v>1F5</v>
      </c>
      <c r="L8239" t="s">
        <v>15</v>
      </c>
    </row>
    <row r="8240" spans="1:12" x14ac:dyDescent="0.25">
      <c r="A8240" t="str">
        <f>"6407110941"</f>
        <v>6407110941</v>
      </c>
      <c r="B8240" t="str">
        <f t="shared" si="370"/>
        <v>89301000</v>
      </c>
      <c r="C8240" s="1">
        <v>44433</v>
      </c>
      <c r="D8240" s="1">
        <v>44435</v>
      </c>
      <c r="E8240">
        <v>1</v>
      </c>
      <c r="F8240" t="s">
        <v>1606</v>
      </c>
      <c r="G8240" t="str">
        <f>"05-M05-02"</f>
        <v>05-M05-02</v>
      </c>
      <c r="H8240">
        <v>3.516</v>
      </c>
      <c r="J8240" t="s">
        <v>24</v>
      </c>
      <c r="K8240" t="str">
        <f>"1F7"</f>
        <v>1F7</v>
      </c>
      <c r="L8240" t="s">
        <v>15</v>
      </c>
    </row>
    <row r="8241" spans="1:12" x14ac:dyDescent="0.25">
      <c r="A8241" t="str">
        <f>"6407121721"</f>
        <v>6407121721</v>
      </c>
      <c r="B8241" t="str">
        <f t="shared" si="370"/>
        <v>89301000</v>
      </c>
      <c r="C8241" s="1">
        <v>44497</v>
      </c>
      <c r="D8241" s="1">
        <v>44501</v>
      </c>
      <c r="E8241">
        <v>5</v>
      </c>
      <c r="F8241" t="s">
        <v>2004</v>
      </c>
      <c r="G8241" t="str">
        <f>"05-M06-06"</f>
        <v>05-M06-06</v>
      </c>
      <c r="H8241">
        <v>1.7652000000000001</v>
      </c>
      <c r="I8241" t="s">
        <v>274</v>
      </c>
      <c r="J8241" t="s">
        <v>17</v>
      </c>
      <c r="K8241" t="str">
        <f>"1F1"</f>
        <v>1F1</v>
      </c>
      <c r="L8241" t="s">
        <v>15</v>
      </c>
    </row>
    <row r="8242" spans="1:12" x14ac:dyDescent="0.25">
      <c r="A8242" t="str">
        <f>"6407210733"</f>
        <v>6407210733</v>
      </c>
      <c r="B8242" t="str">
        <f t="shared" si="370"/>
        <v>89301000</v>
      </c>
      <c r="C8242" s="1">
        <v>44419</v>
      </c>
      <c r="D8242" s="1">
        <v>44428</v>
      </c>
      <c r="E8242">
        <v>4</v>
      </c>
      <c r="F8242" t="s">
        <v>2407</v>
      </c>
      <c r="G8242" t="str">
        <f>"08-I06-04"</f>
        <v>08-I06-04</v>
      </c>
      <c r="H8242">
        <v>2.4260000000000002</v>
      </c>
      <c r="J8242" t="s">
        <v>24</v>
      </c>
      <c r="K8242" t="str">
        <f>"6F6"</f>
        <v>6F6</v>
      </c>
      <c r="L8242" t="s">
        <v>15</v>
      </c>
    </row>
    <row r="8243" spans="1:12" x14ac:dyDescent="0.25">
      <c r="A8243" t="str">
        <f>"6407270133"</f>
        <v>6407270133</v>
      </c>
      <c r="B8243" t="str">
        <f t="shared" si="370"/>
        <v>89301000</v>
      </c>
      <c r="C8243" s="1">
        <v>44372</v>
      </c>
      <c r="D8243" s="1">
        <v>44375</v>
      </c>
      <c r="E8243">
        <v>1</v>
      </c>
      <c r="F8243" t="s">
        <v>41</v>
      </c>
      <c r="G8243" t="str">
        <f>"01-D01-03"</f>
        <v>01-D01-03</v>
      </c>
      <c r="H8243">
        <v>0.2054</v>
      </c>
      <c r="I8243" t="s">
        <v>5863</v>
      </c>
      <c r="J8243" t="s">
        <v>14</v>
      </c>
      <c r="K8243" t="str">
        <f>"2F5"</f>
        <v>2F5</v>
      </c>
      <c r="L8243" t="s">
        <v>15</v>
      </c>
    </row>
    <row r="8244" spans="1:12" x14ac:dyDescent="0.25">
      <c r="A8244" t="str">
        <f>"6407290120"</f>
        <v>6407290120</v>
      </c>
      <c r="B8244" t="str">
        <f t="shared" si="370"/>
        <v>89301000</v>
      </c>
      <c r="C8244" s="1">
        <v>44287</v>
      </c>
      <c r="D8244" s="1">
        <v>44299</v>
      </c>
      <c r="E8244">
        <v>1</v>
      </c>
      <c r="F8244" t="s">
        <v>2623</v>
      </c>
      <c r="G8244" t="str">
        <f>"17-K03-01"</f>
        <v>17-K03-01</v>
      </c>
      <c r="H8244">
        <v>2.0348000000000002</v>
      </c>
      <c r="I8244" t="s">
        <v>5864</v>
      </c>
      <c r="J8244" t="s">
        <v>14</v>
      </c>
      <c r="K8244" t="str">
        <f>"2F2"</f>
        <v>2F2</v>
      </c>
      <c r="L8244" t="s">
        <v>15</v>
      </c>
    </row>
    <row r="8245" spans="1:12" x14ac:dyDescent="0.25">
      <c r="A8245" t="str">
        <f>"6407290120"</f>
        <v>6407290120</v>
      </c>
      <c r="B8245" t="str">
        <f t="shared" ref="B8245:B8307" si="371">"89301000"</f>
        <v>89301000</v>
      </c>
      <c r="C8245" s="1">
        <v>44473</v>
      </c>
      <c r="D8245" s="1">
        <v>44475</v>
      </c>
      <c r="E8245">
        <v>1</v>
      </c>
      <c r="F8245" t="s">
        <v>5865</v>
      </c>
      <c r="G8245" t="str">
        <f>"17-C05-09"</f>
        <v>17-C05-09</v>
      </c>
      <c r="H8245">
        <v>0.74960000000000004</v>
      </c>
      <c r="I8245" t="s">
        <v>5866</v>
      </c>
      <c r="J8245" t="s">
        <v>14</v>
      </c>
      <c r="K8245" t="str">
        <f>"2F2"</f>
        <v>2F2</v>
      </c>
      <c r="L8245" t="s">
        <v>15</v>
      </c>
    </row>
    <row r="8246" spans="1:12" x14ac:dyDescent="0.25">
      <c r="A8246" t="str">
        <f>"6407290120"</f>
        <v>6407290120</v>
      </c>
      <c r="B8246" t="str">
        <f t="shared" si="371"/>
        <v>89301000</v>
      </c>
      <c r="C8246" s="1">
        <v>44480</v>
      </c>
      <c r="D8246" s="1">
        <v>44484</v>
      </c>
      <c r="E8246">
        <v>1</v>
      </c>
      <c r="F8246" t="s">
        <v>2623</v>
      </c>
      <c r="G8246" t="str">
        <f>"00-M10-02"</f>
        <v>00-M10-02</v>
      </c>
      <c r="H8246">
        <v>1.2450000000000001</v>
      </c>
      <c r="J8246" t="s">
        <v>24</v>
      </c>
      <c r="K8246" t="str">
        <f>"2F2"</f>
        <v>2F2</v>
      </c>
      <c r="L8246" t="s">
        <v>15</v>
      </c>
    </row>
    <row r="8247" spans="1:12" x14ac:dyDescent="0.25">
      <c r="A8247" t="str">
        <f>"6407290263"</f>
        <v>6407290263</v>
      </c>
      <c r="B8247" t="str">
        <f t="shared" si="371"/>
        <v>89301000</v>
      </c>
      <c r="C8247" s="1">
        <v>44292</v>
      </c>
      <c r="D8247" s="1">
        <v>44292</v>
      </c>
      <c r="E8247">
        <v>1</v>
      </c>
      <c r="F8247" t="s">
        <v>1842</v>
      </c>
      <c r="G8247" t="str">
        <f>"05-I14-04"</f>
        <v>05-I14-04</v>
      </c>
      <c r="H8247">
        <v>5.1692</v>
      </c>
      <c r="J8247" t="s">
        <v>14</v>
      </c>
      <c r="K8247" t="str">
        <f>"1F1"</f>
        <v>1F1</v>
      </c>
      <c r="L8247" t="s">
        <v>15</v>
      </c>
    </row>
    <row r="8248" spans="1:12" x14ac:dyDescent="0.25">
      <c r="A8248" t="str">
        <f>"6407290263"</f>
        <v>6407290263</v>
      </c>
      <c r="B8248" t="str">
        <f t="shared" si="371"/>
        <v>89301000</v>
      </c>
      <c r="C8248" s="1">
        <v>44239</v>
      </c>
      <c r="D8248" s="1">
        <v>44243</v>
      </c>
      <c r="E8248">
        <v>1</v>
      </c>
      <c r="F8248" t="s">
        <v>1619</v>
      </c>
      <c r="G8248" t="str">
        <f>"05-M06-06"</f>
        <v>05-M06-06</v>
      </c>
      <c r="H8248">
        <v>1.7652000000000001</v>
      </c>
      <c r="I8248" t="s">
        <v>2119</v>
      </c>
      <c r="J8248" t="s">
        <v>17</v>
      </c>
      <c r="K8248" t="str">
        <f>"1T1"</f>
        <v>1T1</v>
      </c>
      <c r="L8248" t="s">
        <v>15</v>
      </c>
    </row>
    <row r="8249" spans="1:12" x14ac:dyDescent="0.25">
      <c r="A8249" t="str">
        <f>"6407290263"</f>
        <v>6407290263</v>
      </c>
      <c r="B8249" t="str">
        <f t="shared" si="371"/>
        <v>89301000</v>
      </c>
      <c r="C8249" s="1">
        <v>44277</v>
      </c>
      <c r="D8249" s="1">
        <v>44277</v>
      </c>
      <c r="E8249">
        <v>1</v>
      </c>
      <c r="F8249" t="s">
        <v>1557</v>
      </c>
      <c r="G8249" t="str">
        <f>"05-M06-04"</f>
        <v>05-M06-04</v>
      </c>
      <c r="H8249">
        <v>1.7865</v>
      </c>
      <c r="I8249" t="s">
        <v>5867</v>
      </c>
      <c r="J8249" t="s">
        <v>17</v>
      </c>
      <c r="K8249" t="str">
        <f>"1F1"</f>
        <v>1F1</v>
      </c>
      <c r="L8249" t="s">
        <v>15</v>
      </c>
    </row>
    <row r="8250" spans="1:12" x14ac:dyDescent="0.25">
      <c r="A8250" t="str">
        <f>"6408010620"</f>
        <v>6408010620</v>
      </c>
      <c r="B8250" t="str">
        <f t="shared" si="371"/>
        <v>89301000</v>
      </c>
      <c r="C8250" s="1">
        <v>44459</v>
      </c>
      <c r="D8250" s="1">
        <v>44461</v>
      </c>
      <c r="E8250">
        <v>1</v>
      </c>
      <c r="F8250" t="s">
        <v>2299</v>
      </c>
      <c r="G8250" t="str">
        <f>"01-K04-02"</f>
        <v>01-K04-02</v>
      </c>
      <c r="H8250">
        <v>0.80059999999999998</v>
      </c>
      <c r="I8250" t="s">
        <v>489</v>
      </c>
      <c r="J8250" t="s">
        <v>14</v>
      </c>
      <c r="K8250" t="str">
        <f>"2F9"</f>
        <v>2F9</v>
      </c>
      <c r="L8250" t="s">
        <v>15</v>
      </c>
    </row>
    <row r="8251" spans="1:12" x14ac:dyDescent="0.25">
      <c r="A8251" t="str">
        <f>"6408030123"</f>
        <v>6408030123</v>
      </c>
      <c r="B8251" t="str">
        <f t="shared" si="371"/>
        <v>89301000</v>
      </c>
      <c r="C8251" s="1">
        <v>44501</v>
      </c>
      <c r="D8251" s="1">
        <v>44504</v>
      </c>
      <c r="E8251">
        <v>1</v>
      </c>
      <c r="F8251" t="s">
        <v>5868</v>
      </c>
      <c r="G8251" t="str">
        <f>"03-K09-01"</f>
        <v>03-K09-01</v>
      </c>
      <c r="H8251">
        <v>0.59919999999999995</v>
      </c>
      <c r="I8251" t="s">
        <v>3592</v>
      </c>
      <c r="J8251" t="s">
        <v>14</v>
      </c>
      <c r="K8251" t="str">
        <f>"1F1"</f>
        <v>1F1</v>
      </c>
      <c r="L8251" t="s">
        <v>15</v>
      </c>
    </row>
    <row r="8252" spans="1:12" x14ac:dyDescent="0.25">
      <c r="A8252" t="str">
        <f>"6408030123"</f>
        <v>6408030123</v>
      </c>
      <c r="B8252" t="str">
        <f t="shared" si="371"/>
        <v>89301000</v>
      </c>
      <c r="C8252" s="1">
        <v>44468</v>
      </c>
      <c r="D8252" s="1">
        <v>44482</v>
      </c>
      <c r="E8252">
        <v>1</v>
      </c>
      <c r="F8252" t="s">
        <v>3051</v>
      </c>
      <c r="G8252" t="str">
        <f>"03-I07-01"</f>
        <v>03-I07-01</v>
      </c>
      <c r="H8252">
        <v>3.8304</v>
      </c>
      <c r="I8252" t="s">
        <v>5869</v>
      </c>
      <c r="J8252" t="s">
        <v>17</v>
      </c>
      <c r="K8252" t="str">
        <f>"6F5"</f>
        <v>6F5</v>
      </c>
      <c r="L8252" t="s">
        <v>15</v>
      </c>
    </row>
    <row r="8253" spans="1:12" x14ac:dyDescent="0.25">
      <c r="A8253" t="str">
        <f>"6408071692"</f>
        <v>6408071692</v>
      </c>
      <c r="B8253" t="str">
        <f t="shared" si="371"/>
        <v>89301000</v>
      </c>
      <c r="C8253" s="1">
        <v>44330</v>
      </c>
      <c r="D8253" s="1">
        <v>44337</v>
      </c>
      <c r="E8253">
        <v>1</v>
      </c>
      <c r="F8253" t="s">
        <v>888</v>
      </c>
      <c r="G8253" t="str">
        <f>"07-K05-02"</f>
        <v>07-K05-02</v>
      </c>
      <c r="H8253">
        <v>0.60189999999999999</v>
      </c>
      <c r="I8253" t="s">
        <v>5870</v>
      </c>
      <c r="J8253" t="s">
        <v>14</v>
      </c>
      <c r="K8253" t="str">
        <f>"4F2"</f>
        <v>4F2</v>
      </c>
      <c r="L8253" t="s">
        <v>15</v>
      </c>
    </row>
    <row r="8254" spans="1:12" x14ac:dyDescent="0.25">
      <c r="A8254" t="str">
        <f>"6408071692"</f>
        <v>6408071692</v>
      </c>
      <c r="B8254" t="str">
        <f t="shared" si="371"/>
        <v>89301000</v>
      </c>
      <c r="C8254" s="1">
        <v>44387</v>
      </c>
      <c r="D8254" s="1">
        <v>44393</v>
      </c>
      <c r="E8254">
        <v>1</v>
      </c>
      <c r="F8254" t="s">
        <v>1953</v>
      </c>
      <c r="G8254" t="str">
        <f>"07-M02-03"</f>
        <v>07-M02-03</v>
      </c>
      <c r="H8254">
        <v>1.4391</v>
      </c>
      <c r="I8254" t="s">
        <v>5871</v>
      </c>
      <c r="J8254" t="s">
        <v>17</v>
      </c>
      <c r="K8254" t="str">
        <f>"4F2"</f>
        <v>4F2</v>
      </c>
      <c r="L8254" t="s">
        <v>15</v>
      </c>
    </row>
    <row r="8255" spans="1:12" x14ac:dyDescent="0.25">
      <c r="A8255" t="str">
        <f>"6408071692"</f>
        <v>6408071692</v>
      </c>
      <c r="B8255" t="str">
        <f t="shared" si="371"/>
        <v>89301000</v>
      </c>
      <c r="C8255" s="1">
        <v>44304</v>
      </c>
      <c r="D8255" s="1">
        <v>44318</v>
      </c>
      <c r="E8255">
        <v>1</v>
      </c>
      <c r="F8255" t="s">
        <v>1953</v>
      </c>
      <c r="G8255" t="str">
        <f>"07-I08-02"</f>
        <v>07-I08-02</v>
      </c>
      <c r="H8255">
        <v>2.8919999999999999</v>
      </c>
      <c r="I8255" t="s">
        <v>5872</v>
      </c>
      <c r="J8255" t="s">
        <v>17</v>
      </c>
      <c r="K8255" t="str">
        <f>"5F1"</f>
        <v>5F1</v>
      </c>
      <c r="L8255" t="s">
        <v>15</v>
      </c>
    </row>
    <row r="8256" spans="1:12" x14ac:dyDescent="0.25">
      <c r="A8256" t="str">
        <f>"6408080239"</f>
        <v>6408080239</v>
      </c>
      <c r="B8256" t="str">
        <f t="shared" si="371"/>
        <v>89301000</v>
      </c>
      <c r="C8256" s="1">
        <v>44231</v>
      </c>
      <c r="D8256" s="1">
        <v>44231</v>
      </c>
      <c r="E8256">
        <v>1</v>
      </c>
      <c r="F8256" t="s">
        <v>1814</v>
      </c>
      <c r="G8256" t="str">
        <f>"05-D01-08"</f>
        <v>05-D01-08</v>
      </c>
      <c r="H8256">
        <v>0.21890000000000001</v>
      </c>
      <c r="I8256" t="s">
        <v>5873</v>
      </c>
      <c r="J8256" t="s">
        <v>14</v>
      </c>
      <c r="K8256" t="str">
        <f>"1F7"</f>
        <v>1F7</v>
      </c>
      <c r="L8256" t="s">
        <v>15</v>
      </c>
    </row>
    <row r="8257" spans="1:12" x14ac:dyDescent="0.25">
      <c r="A8257" t="str">
        <f>"6408232215"</f>
        <v>6408232215</v>
      </c>
      <c r="B8257" t="str">
        <f t="shared" si="371"/>
        <v>89301000</v>
      </c>
      <c r="C8257" s="1">
        <v>44210</v>
      </c>
      <c r="D8257" s="1">
        <v>44218</v>
      </c>
      <c r="E8257">
        <v>1</v>
      </c>
      <c r="F8257" t="s">
        <v>1780</v>
      </c>
      <c r="G8257" t="str">
        <f>"05-I11-04"</f>
        <v>05-I11-04</v>
      </c>
      <c r="H8257">
        <v>6.8040000000000003</v>
      </c>
      <c r="I8257" t="s">
        <v>2937</v>
      </c>
      <c r="J8257" t="s">
        <v>17</v>
      </c>
      <c r="K8257" t="str">
        <f>"5F5"</f>
        <v>5F5</v>
      </c>
      <c r="L8257" t="s">
        <v>15</v>
      </c>
    </row>
    <row r="8258" spans="1:12" x14ac:dyDescent="0.25">
      <c r="A8258" t="str">
        <f>"6408280670"</f>
        <v>6408280670</v>
      </c>
      <c r="B8258" t="str">
        <f t="shared" si="371"/>
        <v>89301000</v>
      </c>
      <c r="C8258" s="1">
        <v>44507</v>
      </c>
      <c r="D8258" s="1">
        <v>44509</v>
      </c>
      <c r="E8258">
        <v>5</v>
      </c>
      <c r="F8258" t="s">
        <v>217</v>
      </c>
      <c r="G8258" t="str">
        <f>"04-K02-04"</f>
        <v>04-K02-04</v>
      </c>
      <c r="H8258">
        <v>0.82469999999999999</v>
      </c>
      <c r="I8258" t="s">
        <v>2025</v>
      </c>
      <c r="J8258" t="s">
        <v>14</v>
      </c>
      <c r="K8258" t="str">
        <f>"1F1"</f>
        <v>1F1</v>
      </c>
      <c r="L8258" t="s">
        <v>15</v>
      </c>
    </row>
    <row r="8259" spans="1:12" x14ac:dyDescent="0.25">
      <c r="A8259" t="str">
        <f>"6408300316"</f>
        <v>6408300316</v>
      </c>
      <c r="B8259" t="str">
        <f t="shared" si="371"/>
        <v>89301000</v>
      </c>
      <c r="C8259" s="1">
        <v>44363</v>
      </c>
      <c r="D8259" s="1">
        <v>44367</v>
      </c>
      <c r="E8259">
        <v>1</v>
      </c>
      <c r="F8259" t="s">
        <v>5874</v>
      </c>
      <c r="G8259" t="str">
        <f>"03-I08-02"</f>
        <v>03-I08-02</v>
      </c>
      <c r="H8259">
        <v>1.0528</v>
      </c>
      <c r="I8259" t="s">
        <v>5875</v>
      </c>
      <c r="J8259" t="s">
        <v>17</v>
      </c>
      <c r="K8259" t="str">
        <f>"7F1"</f>
        <v>7F1</v>
      </c>
      <c r="L8259" t="s">
        <v>15</v>
      </c>
    </row>
    <row r="8260" spans="1:12" x14ac:dyDescent="0.25">
      <c r="A8260" t="str">
        <f>"6408300316"</f>
        <v>6408300316</v>
      </c>
      <c r="B8260" t="str">
        <f t="shared" si="371"/>
        <v>89301000</v>
      </c>
      <c r="C8260" s="1">
        <v>44326</v>
      </c>
      <c r="D8260" s="1">
        <v>44334</v>
      </c>
      <c r="E8260">
        <v>1</v>
      </c>
      <c r="F8260" t="s">
        <v>3320</v>
      </c>
      <c r="G8260" t="str">
        <f>"17-I07-01"</f>
        <v>17-I07-01</v>
      </c>
      <c r="H8260">
        <v>3.7305999999999999</v>
      </c>
      <c r="I8260" t="s">
        <v>5876</v>
      </c>
      <c r="J8260" t="s">
        <v>17</v>
      </c>
      <c r="K8260" t="str">
        <f>"7F1"</f>
        <v>7F1</v>
      </c>
      <c r="L8260" t="s">
        <v>15</v>
      </c>
    </row>
    <row r="8261" spans="1:12" x14ac:dyDescent="0.25">
      <c r="A8261" t="str">
        <f>"6409046149"</f>
        <v>6409046149</v>
      </c>
      <c r="B8261" t="str">
        <f t="shared" si="371"/>
        <v>89301000</v>
      </c>
      <c r="C8261" s="1">
        <v>44452</v>
      </c>
      <c r="D8261" s="1">
        <v>44453</v>
      </c>
      <c r="E8261">
        <v>1</v>
      </c>
      <c r="F8261" t="s">
        <v>3292</v>
      </c>
      <c r="G8261" t="str">
        <f>"08-I15-02"</f>
        <v>08-I15-02</v>
      </c>
      <c r="H8261">
        <v>1.1991000000000001</v>
      </c>
      <c r="I8261" t="s">
        <v>512</v>
      </c>
      <c r="J8261" t="s">
        <v>17</v>
      </c>
      <c r="K8261" t="str">
        <f>"5F3"</f>
        <v>5F3</v>
      </c>
      <c r="L8261" t="s">
        <v>15</v>
      </c>
    </row>
    <row r="8262" spans="1:12" x14ac:dyDescent="0.25">
      <c r="A8262" t="str">
        <f>"6409120619"</f>
        <v>6409120619</v>
      </c>
      <c r="B8262" t="str">
        <f t="shared" si="371"/>
        <v>89301000</v>
      </c>
      <c r="C8262" s="1">
        <v>44238</v>
      </c>
      <c r="D8262" s="1">
        <v>44239</v>
      </c>
      <c r="E8262">
        <v>1</v>
      </c>
      <c r="F8262" t="s">
        <v>2931</v>
      </c>
      <c r="G8262" t="str">
        <f>"07-K04-03"</f>
        <v>07-K04-03</v>
      </c>
      <c r="H8262">
        <v>0.74419999999999997</v>
      </c>
      <c r="I8262" t="s">
        <v>5877</v>
      </c>
      <c r="J8262" t="s">
        <v>14</v>
      </c>
      <c r="K8262" t="str">
        <f>"1F5"</f>
        <v>1F5</v>
      </c>
      <c r="L8262" t="s">
        <v>15</v>
      </c>
    </row>
    <row r="8263" spans="1:12" x14ac:dyDescent="0.25">
      <c r="A8263" t="str">
        <f>"6409120619"</f>
        <v>6409120619</v>
      </c>
      <c r="B8263" t="str">
        <f t="shared" si="371"/>
        <v>89301000</v>
      </c>
      <c r="C8263" s="1">
        <v>44300</v>
      </c>
      <c r="D8263" s="1">
        <v>44301</v>
      </c>
      <c r="E8263">
        <v>1</v>
      </c>
      <c r="F8263" t="s">
        <v>2902</v>
      </c>
      <c r="G8263" t="str">
        <f>"07-K04-03"</f>
        <v>07-K04-03</v>
      </c>
      <c r="H8263">
        <v>0.74419999999999997</v>
      </c>
      <c r="I8263" t="s">
        <v>5878</v>
      </c>
      <c r="J8263" t="s">
        <v>14</v>
      </c>
      <c r="K8263" t="str">
        <f>"1F5"</f>
        <v>1F5</v>
      </c>
      <c r="L8263" t="s">
        <v>15</v>
      </c>
    </row>
    <row r="8264" spans="1:12" x14ac:dyDescent="0.25">
      <c r="A8264" t="str">
        <f>"6409121147"</f>
        <v>6409121147</v>
      </c>
      <c r="B8264" t="str">
        <f t="shared" si="371"/>
        <v>89301000</v>
      </c>
      <c r="C8264" s="1">
        <v>44445</v>
      </c>
      <c r="D8264" s="1">
        <v>44449</v>
      </c>
      <c r="E8264">
        <v>1</v>
      </c>
      <c r="F8264" t="s">
        <v>2706</v>
      </c>
      <c r="G8264" t="str">
        <f>"09-K01-03"</f>
        <v>09-K01-03</v>
      </c>
      <c r="H8264">
        <v>0.88329999999999997</v>
      </c>
      <c r="I8264" t="s">
        <v>5879</v>
      </c>
      <c r="J8264" t="s">
        <v>14</v>
      </c>
      <c r="K8264" t="str">
        <f>"4F4"</f>
        <v>4F4</v>
      </c>
      <c r="L8264" t="s">
        <v>15</v>
      </c>
    </row>
    <row r="8265" spans="1:12" x14ac:dyDescent="0.25">
      <c r="A8265" t="str">
        <f>"6409121147"</f>
        <v>6409121147</v>
      </c>
      <c r="B8265" t="str">
        <f t="shared" si="371"/>
        <v>89301000</v>
      </c>
      <c r="C8265" s="1">
        <v>44514</v>
      </c>
      <c r="D8265" s="1">
        <v>44517</v>
      </c>
      <c r="E8265">
        <v>1</v>
      </c>
      <c r="F8265" t="s">
        <v>4196</v>
      </c>
      <c r="G8265" t="str">
        <f>"08-M03-02"</f>
        <v>08-M03-02</v>
      </c>
      <c r="H8265">
        <v>0.86970000000000003</v>
      </c>
      <c r="I8265" t="s">
        <v>5880</v>
      </c>
      <c r="J8265" t="s">
        <v>14</v>
      </c>
      <c r="K8265" t="str">
        <f>"6F6"</f>
        <v>6F6</v>
      </c>
      <c r="L8265" t="s">
        <v>15</v>
      </c>
    </row>
    <row r="8266" spans="1:12" x14ac:dyDescent="0.25">
      <c r="A8266" t="str">
        <f>"6409170207"</f>
        <v>6409170207</v>
      </c>
      <c r="B8266" t="str">
        <f t="shared" si="371"/>
        <v>89301000</v>
      </c>
      <c r="C8266" s="1">
        <v>44311</v>
      </c>
      <c r="D8266" s="1">
        <v>44317</v>
      </c>
      <c r="E8266">
        <v>1</v>
      </c>
      <c r="F8266" t="s">
        <v>2585</v>
      </c>
      <c r="G8266" t="str">
        <f>"12-I03-01"</f>
        <v>12-I03-01</v>
      </c>
      <c r="H8266">
        <v>2.6785999999999999</v>
      </c>
      <c r="I8266" t="s">
        <v>168</v>
      </c>
      <c r="J8266" t="s">
        <v>14</v>
      </c>
      <c r="K8266" t="str">
        <f>"7F6"</f>
        <v>7F6</v>
      </c>
      <c r="L8266" t="s">
        <v>15</v>
      </c>
    </row>
    <row r="8267" spans="1:12" x14ac:dyDescent="0.25">
      <c r="A8267" t="str">
        <f>"6410010739"</f>
        <v>6410010739</v>
      </c>
      <c r="B8267" t="str">
        <f t="shared" si="371"/>
        <v>89301000</v>
      </c>
      <c r="C8267" s="1">
        <v>44321</v>
      </c>
      <c r="D8267" s="1">
        <v>44324</v>
      </c>
      <c r="E8267">
        <v>8</v>
      </c>
      <c r="F8267" t="s">
        <v>962</v>
      </c>
      <c r="G8267" t="str">
        <f>"04-M01-06"</f>
        <v>04-M01-06</v>
      </c>
      <c r="H8267">
        <v>3.5308999999999999</v>
      </c>
      <c r="I8267" t="s">
        <v>5881</v>
      </c>
      <c r="J8267" t="s">
        <v>14</v>
      </c>
      <c r="K8267" t="str">
        <f>"7T8"</f>
        <v>7T8</v>
      </c>
      <c r="L8267" t="s">
        <v>15</v>
      </c>
    </row>
    <row r="8268" spans="1:12" x14ac:dyDescent="0.25">
      <c r="A8268" t="str">
        <f>"6410011278"</f>
        <v>6410011278</v>
      </c>
      <c r="B8268" t="str">
        <f t="shared" si="371"/>
        <v>89301000</v>
      </c>
      <c r="C8268" s="1">
        <v>44243</v>
      </c>
      <c r="D8268" s="1">
        <v>44279</v>
      </c>
      <c r="E8268">
        <v>5</v>
      </c>
      <c r="F8268" t="s">
        <v>1764</v>
      </c>
      <c r="G8268" t="str">
        <f>"00-M03-04"</f>
        <v>00-M03-04</v>
      </c>
      <c r="H8268">
        <v>24.823799999999999</v>
      </c>
      <c r="I8268" t="s">
        <v>5882</v>
      </c>
      <c r="J8268" t="s">
        <v>14</v>
      </c>
      <c r="K8268" t="str">
        <f>"2T9"</f>
        <v>2T9</v>
      </c>
      <c r="L8268" t="s">
        <v>15</v>
      </c>
    </row>
    <row r="8269" spans="1:12" x14ac:dyDescent="0.25">
      <c r="A8269" t="str">
        <f>"6410040769"</f>
        <v>6410040769</v>
      </c>
      <c r="B8269" t="str">
        <f t="shared" si="371"/>
        <v>89301000</v>
      </c>
      <c r="C8269" s="1">
        <v>44240</v>
      </c>
      <c r="D8269" s="1">
        <v>44249</v>
      </c>
      <c r="E8269">
        <v>1</v>
      </c>
      <c r="F8269" t="s">
        <v>1553</v>
      </c>
      <c r="G8269" t="str">
        <f>"04-K05-03"</f>
        <v>04-K05-03</v>
      </c>
      <c r="H8269">
        <v>0.74980000000000002</v>
      </c>
      <c r="I8269" t="s">
        <v>5883</v>
      </c>
      <c r="J8269" t="s">
        <v>14</v>
      </c>
      <c r="K8269" t="str">
        <f>"1F1"</f>
        <v>1F1</v>
      </c>
      <c r="L8269" t="s">
        <v>15</v>
      </c>
    </row>
    <row r="8270" spans="1:12" x14ac:dyDescent="0.25">
      <c r="A8270" t="str">
        <f>"6410082261"</f>
        <v>6410082261</v>
      </c>
      <c r="B8270" t="str">
        <f t="shared" si="371"/>
        <v>89301000</v>
      </c>
      <c r="C8270" s="1">
        <v>44263</v>
      </c>
      <c r="D8270" s="1">
        <v>44264</v>
      </c>
      <c r="E8270">
        <v>1</v>
      </c>
      <c r="F8270" t="s">
        <v>4196</v>
      </c>
      <c r="G8270" t="str">
        <f>"08-M03-05"</f>
        <v>08-M03-05</v>
      </c>
      <c r="H8270">
        <v>0.51759999999999995</v>
      </c>
      <c r="I8270" t="s">
        <v>5884</v>
      </c>
      <c r="J8270" t="s">
        <v>14</v>
      </c>
      <c r="K8270" t="str">
        <f>"6F6"</f>
        <v>6F6</v>
      </c>
      <c r="L8270" t="s">
        <v>15</v>
      </c>
    </row>
    <row r="8271" spans="1:12" x14ac:dyDescent="0.25">
      <c r="A8271" t="str">
        <f>"6410161758"</f>
        <v>6410161758</v>
      </c>
      <c r="B8271" t="str">
        <f t="shared" si="371"/>
        <v>89301000</v>
      </c>
      <c r="C8271" s="1">
        <v>44477</v>
      </c>
      <c r="D8271" s="1">
        <v>44481</v>
      </c>
      <c r="E8271">
        <v>5</v>
      </c>
      <c r="F8271" t="s">
        <v>208</v>
      </c>
      <c r="G8271" t="str">
        <f>"08-I03-05"</f>
        <v>08-I03-05</v>
      </c>
      <c r="H8271">
        <v>3.4518</v>
      </c>
      <c r="I8271" t="s">
        <v>5885</v>
      </c>
      <c r="J8271" t="s">
        <v>17</v>
      </c>
      <c r="K8271" t="str">
        <f>"5F6"</f>
        <v>5F6</v>
      </c>
      <c r="L8271" t="s">
        <v>15</v>
      </c>
    </row>
    <row r="8272" spans="1:12" x14ac:dyDescent="0.25">
      <c r="A8272" t="str">
        <f>"6410181019"</f>
        <v>6410181019</v>
      </c>
      <c r="B8272" t="str">
        <f t="shared" si="371"/>
        <v>89301000</v>
      </c>
      <c r="C8272" s="1">
        <v>44500</v>
      </c>
      <c r="D8272" s="1">
        <v>44515</v>
      </c>
      <c r="E8272">
        <v>1</v>
      </c>
      <c r="F8272" t="s">
        <v>2360</v>
      </c>
      <c r="G8272" t="str">
        <f>"06-I12-03"</f>
        <v>06-I12-03</v>
      </c>
      <c r="H8272">
        <v>2.0331000000000001</v>
      </c>
      <c r="I8272" t="s">
        <v>5886</v>
      </c>
      <c r="J8272" t="s">
        <v>14</v>
      </c>
      <c r="K8272" t="str">
        <f>"5F1"</f>
        <v>5F1</v>
      </c>
      <c r="L8272" t="s">
        <v>15</v>
      </c>
    </row>
    <row r="8273" spans="1:12" x14ac:dyDescent="0.25">
      <c r="A8273" t="str">
        <f>"6410200247"</f>
        <v>6410200247</v>
      </c>
      <c r="B8273" t="str">
        <f t="shared" si="371"/>
        <v>89301000</v>
      </c>
      <c r="C8273" s="1">
        <v>44518</v>
      </c>
      <c r="D8273" s="1">
        <v>44524</v>
      </c>
      <c r="E8273">
        <v>1</v>
      </c>
      <c r="F8273" t="s">
        <v>2585</v>
      </c>
      <c r="G8273" t="str">
        <f>"12-I02-01"</f>
        <v>12-I02-01</v>
      </c>
      <c r="H8273">
        <v>3.1240999999999999</v>
      </c>
      <c r="J8273" t="s">
        <v>14</v>
      </c>
      <c r="K8273" t="str">
        <f>"7F6"</f>
        <v>7F6</v>
      </c>
      <c r="L8273" t="s">
        <v>15</v>
      </c>
    </row>
    <row r="8274" spans="1:12" x14ac:dyDescent="0.25">
      <c r="A8274" t="str">
        <f>"6410211247"</f>
        <v>6410211247</v>
      </c>
      <c r="B8274" t="str">
        <f t="shared" si="371"/>
        <v>89301000</v>
      </c>
      <c r="C8274" s="1">
        <v>44495</v>
      </c>
      <c r="D8274" s="1">
        <v>44496</v>
      </c>
      <c r="E8274">
        <v>1</v>
      </c>
      <c r="F8274" t="s">
        <v>2457</v>
      </c>
      <c r="G8274" t="str">
        <f>"05-D01-08"</f>
        <v>05-D01-08</v>
      </c>
      <c r="H8274">
        <v>0.4093</v>
      </c>
      <c r="I8274" t="s">
        <v>1959</v>
      </c>
      <c r="J8274" t="s">
        <v>14</v>
      </c>
      <c r="K8274" t="str">
        <f>"1F7"</f>
        <v>1F7</v>
      </c>
      <c r="L8274" t="s">
        <v>15</v>
      </c>
    </row>
    <row r="8275" spans="1:12" x14ac:dyDescent="0.25">
      <c r="A8275" t="str">
        <f>"6410211269"</f>
        <v>6410211269</v>
      </c>
      <c r="B8275" t="str">
        <f t="shared" si="371"/>
        <v>89301000</v>
      </c>
      <c r="C8275" s="1">
        <v>44322</v>
      </c>
      <c r="D8275" s="1">
        <v>44328</v>
      </c>
      <c r="E8275">
        <v>1</v>
      </c>
      <c r="F8275" t="s">
        <v>2585</v>
      </c>
      <c r="G8275" t="str">
        <f>"12-I02-01"</f>
        <v>12-I02-01</v>
      </c>
      <c r="H8275">
        <v>3.1240999999999999</v>
      </c>
      <c r="I8275" t="s">
        <v>5887</v>
      </c>
      <c r="J8275" t="s">
        <v>14</v>
      </c>
      <c r="K8275" t="str">
        <f>"7F6"</f>
        <v>7F6</v>
      </c>
      <c r="L8275" t="s">
        <v>15</v>
      </c>
    </row>
    <row r="8276" spans="1:12" x14ac:dyDescent="0.25">
      <c r="A8276" t="str">
        <f>"6410212127"</f>
        <v>6410212127</v>
      </c>
      <c r="B8276" t="str">
        <f t="shared" si="371"/>
        <v>89301000</v>
      </c>
      <c r="C8276" s="1">
        <v>44424</v>
      </c>
      <c r="D8276" s="1">
        <v>44427</v>
      </c>
      <c r="E8276">
        <v>1</v>
      </c>
      <c r="F8276" t="s">
        <v>2407</v>
      </c>
      <c r="G8276" t="str">
        <f>"08-I22-02"</f>
        <v>08-I22-02</v>
      </c>
      <c r="H8276">
        <v>1.1049</v>
      </c>
      <c r="I8276" t="s">
        <v>489</v>
      </c>
      <c r="J8276" t="s">
        <v>17</v>
      </c>
      <c r="K8276" t="str">
        <f>"6F6"</f>
        <v>6F6</v>
      </c>
      <c r="L8276" t="s">
        <v>15</v>
      </c>
    </row>
    <row r="8277" spans="1:12" x14ac:dyDescent="0.25">
      <c r="A8277" t="str">
        <f>"6410221543"</f>
        <v>6410221543</v>
      </c>
      <c r="B8277" t="str">
        <f t="shared" si="371"/>
        <v>89301000</v>
      </c>
      <c r="C8277" s="1">
        <v>44405</v>
      </c>
      <c r="D8277" s="1">
        <v>44407</v>
      </c>
      <c r="E8277">
        <v>1</v>
      </c>
      <c r="F8277" t="s">
        <v>772</v>
      </c>
      <c r="G8277" t="str">
        <f>"08-I17-02"</f>
        <v>08-I17-02</v>
      </c>
      <c r="H8277">
        <v>0.98309999999999997</v>
      </c>
      <c r="I8277" t="s">
        <v>381</v>
      </c>
      <c r="J8277" t="s">
        <v>14</v>
      </c>
      <c r="K8277" t="str">
        <f>"5F3"</f>
        <v>5F3</v>
      </c>
      <c r="L8277" t="s">
        <v>15</v>
      </c>
    </row>
    <row r="8278" spans="1:12" x14ac:dyDescent="0.25">
      <c r="A8278" t="str">
        <f>"6410221565"</f>
        <v>6410221565</v>
      </c>
      <c r="B8278" t="str">
        <f t="shared" si="371"/>
        <v>89301000</v>
      </c>
      <c r="C8278" s="1">
        <v>44265</v>
      </c>
      <c r="D8278" s="1">
        <v>44273</v>
      </c>
      <c r="E8278">
        <v>3</v>
      </c>
      <c r="F8278" t="s">
        <v>67</v>
      </c>
      <c r="G8278" t="str">
        <f>"01-C02-02"</f>
        <v>01-C02-02</v>
      </c>
      <c r="H8278">
        <v>1.4877</v>
      </c>
      <c r="I8278" t="s">
        <v>5888</v>
      </c>
      <c r="J8278" t="s">
        <v>14</v>
      </c>
      <c r="K8278" t="str">
        <f>"2F9"</f>
        <v>2F9</v>
      </c>
      <c r="L8278" t="s">
        <v>15</v>
      </c>
    </row>
    <row r="8279" spans="1:12" x14ac:dyDescent="0.25">
      <c r="A8279" t="str">
        <f>"6410221565"</f>
        <v>6410221565</v>
      </c>
      <c r="B8279" t="str">
        <f t="shared" si="371"/>
        <v>89301000</v>
      </c>
      <c r="C8279" s="1">
        <v>44283</v>
      </c>
      <c r="D8279" s="1">
        <v>44284</v>
      </c>
      <c r="E8279">
        <v>5</v>
      </c>
      <c r="F8279" t="s">
        <v>5889</v>
      </c>
      <c r="G8279" t="str">
        <f>"01-K10-01"</f>
        <v>01-K10-01</v>
      </c>
      <c r="H8279">
        <v>1.046</v>
      </c>
      <c r="I8279" t="s">
        <v>5890</v>
      </c>
      <c r="J8279" t="s">
        <v>14</v>
      </c>
      <c r="K8279" t="str">
        <f>"1F6"</f>
        <v>1F6</v>
      </c>
      <c r="L8279" t="s">
        <v>15</v>
      </c>
    </row>
    <row r="8280" spans="1:12" x14ac:dyDescent="0.25">
      <c r="A8280" t="str">
        <f>"6410221565"</f>
        <v>6410221565</v>
      </c>
      <c r="B8280" t="str">
        <f t="shared" si="371"/>
        <v>89301000</v>
      </c>
      <c r="C8280" s="1">
        <v>44273</v>
      </c>
      <c r="D8280" s="1">
        <v>44283</v>
      </c>
      <c r="E8280">
        <v>3</v>
      </c>
      <c r="F8280" t="s">
        <v>109</v>
      </c>
      <c r="G8280" t="str">
        <f>"24-M06-02"</f>
        <v>24-M06-02</v>
      </c>
      <c r="H8280">
        <v>1.0233000000000001</v>
      </c>
      <c r="I8280" t="s">
        <v>5891</v>
      </c>
      <c r="J8280" t="s">
        <v>14</v>
      </c>
      <c r="K8280" t="str">
        <f>"2F1"</f>
        <v>2F1</v>
      </c>
      <c r="L8280" t="s">
        <v>15</v>
      </c>
    </row>
    <row r="8281" spans="1:12" x14ac:dyDescent="0.25">
      <c r="A8281" t="str">
        <f>"6410311831"</f>
        <v>6410311831</v>
      </c>
      <c r="B8281" t="str">
        <f t="shared" si="371"/>
        <v>89301000</v>
      </c>
      <c r="C8281" s="1">
        <v>44235</v>
      </c>
      <c r="D8281" s="1">
        <v>44244</v>
      </c>
      <c r="E8281">
        <v>1</v>
      </c>
      <c r="F8281" t="s">
        <v>2109</v>
      </c>
      <c r="G8281" t="str">
        <f>"07-K01-02"</f>
        <v>07-K01-02</v>
      </c>
      <c r="H8281">
        <v>0.93010000000000004</v>
      </c>
      <c r="I8281" t="s">
        <v>5892</v>
      </c>
      <c r="J8281" t="s">
        <v>14</v>
      </c>
      <c r="K8281" t="str">
        <f>"1F1"</f>
        <v>1F1</v>
      </c>
      <c r="L8281" t="s">
        <v>15</v>
      </c>
    </row>
    <row r="8282" spans="1:12" x14ac:dyDescent="0.25">
      <c r="A8282" t="str">
        <f>"6410311831"</f>
        <v>6410311831</v>
      </c>
      <c r="B8282" t="str">
        <f t="shared" si="371"/>
        <v>89301000</v>
      </c>
      <c r="C8282" s="1">
        <v>44225</v>
      </c>
      <c r="D8282" s="1">
        <v>44229</v>
      </c>
      <c r="E8282">
        <v>1</v>
      </c>
      <c r="F8282" t="s">
        <v>2109</v>
      </c>
      <c r="G8282" t="str">
        <f>"07-M02-03"</f>
        <v>07-M02-03</v>
      </c>
      <c r="H8282">
        <v>1.2850999999999999</v>
      </c>
      <c r="I8282" t="s">
        <v>5893</v>
      </c>
      <c r="J8282" t="s">
        <v>17</v>
      </c>
      <c r="K8282" t="str">
        <f>"1F5"</f>
        <v>1F5</v>
      </c>
      <c r="L8282" t="s">
        <v>15</v>
      </c>
    </row>
    <row r="8283" spans="1:12" x14ac:dyDescent="0.25">
      <c r="A8283" t="str">
        <f>"6410311831"</f>
        <v>6410311831</v>
      </c>
      <c r="B8283" t="str">
        <f t="shared" si="371"/>
        <v>89301000</v>
      </c>
      <c r="C8283" s="1">
        <v>44305</v>
      </c>
      <c r="D8283" s="1">
        <v>44312</v>
      </c>
      <c r="E8283">
        <v>1</v>
      </c>
      <c r="F8283" t="s">
        <v>593</v>
      </c>
      <c r="G8283" t="str">
        <f>"07-I10-04"</f>
        <v>07-I10-04</v>
      </c>
      <c r="H8283">
        <v>1.4336</v>
      </c>
      <c r="J8283" t="s">
        <v>17</v>
      </c>
      <c r="K8283" t="str">
        <f>"5F1"</f>
        <v>5F1</v>
      </c>
      <c r="L8283" t="s">
        <v>15</v>
      </c>
    </row>
    <row r="8284" spans="1:12" x14ac:dyDescent="0.25">
      <c r="A8284" t="str">
        <f>"6411051812"</f>
        <v>6411051812</v>
      </c>
      <c r="B8284" t="str">
        <f t="shared" si="371"/>
        <v>89301000</v>
      </c>
      <c r="C8284" s="1">
        <v>44307</v>
      </c>
      <c r="D8284" s="1">
        <v>44315</v>
      </c>
      <c r="E8284">
        <v>1</v>
      </c>
      <c r="F8284" t="s">
        <v>544</v>
      </c>
      <c r="G8284" t="str">
        <f>"09-K02-00"</f>
        <v>09-K02-00</v>
      </c>
      <c r="H8284">
        <v>1.1361000000000001</v>
      </c>
      <c r="I8284" t="s">
        <v>2496</v>
      </c>
      <c r="J8284" t="s">
        <v>14</v>
      </c>
      <c r="K8284" t="str">
        <f>"4F4"</f>
        <v>4F4</v>
      </c>
      <c r="L8284" t="s">
        <v>15</v>
      </c>
    </row>
    <row r="8285" spans="1:12" x14ac:dyDescent="0.25">
      <c r="A8285" t="str">
        <f>"6411120892"</f>
        <v>6411120892</v>
      </c>
      <c r="B8285" t="str">
        <f t="shared" si="371"/>
        <v>89301000</v>
      </c>
      <c r="C8285" s="1">
        <v>44536</v>
      </c>
      <c r="D8285" s="1">
        <v>44540</v>
      </c>
      <c r="E8285">
        <v>1</v>
      </c>
      <c r="F8285" t="s">
        <v>217</v>
      </c>
      <c r="G8285" t="str">
        <f>"04-K02-04"</f>
        <v>04-K02-04</v>
      </c>
      <c r="H8285">
        <v>0.82469999999999999</v>
      </c>
      <c r="I8285" t="s">
        <v>274</v>
      </c>
      <c r="J8285" t="s">
        <v>14</v>
      </c>
      <c r="K8285" t="str">
        <f>"5F1"</f>
        <v>5F1</v>
      </c>
      <c r="L8285" t="s">
        <v>15</v>
      </c>
    </row>
    <row r="8286" spans="1:12" x14ac:dyDescent="0.25">
      <c r="A8286" t="str">
        <f>"6411150944"</f>
        <v>6411150944</v>
      </c>
      <c r="B8286" t="str">
        <f t="shared" si="371"/>
        <v>89301000</v>
      </c>
      <c r="C8286" s="1">
        <v>44478</v>
      </c>
      <c r="D8286" s="1">
        <v>44485</v>
      </c>
      <c r="E8286">
        <v>1</v>
      </c>
      <c r="F8286" t="s">
        <v>1928</v>
      </c>
      <c r="G8286" t="str">
        <f>"11-I08-03"</f>
        <v>11-I08-03</v>
      </c>
      <c r="H8286">
        <v>2.0676999999999999</v>
      </c>
      <c r="I8286" t="s">
        <v>5894</v>
      </c>
      <c r="J8286" t="s">
        <v>17</v>
      </c>
      <c r="K8286" t="str">
        <f>"7F6"</f>
        <v>7F6</v>
      </c>
      <c r="L8286" t="s">
        <v>15</v>
      </c>
    </row>
    <row r="8287" spans="1:12" x14ac:dyDescent="0.25">
      <c r="A8287" t="str">
        <f>"6411150944"</f>
        <v>6411150944</v>
      </c>
      <c r="B8287" t="str">
        <f t="shared" si="371"/>
        <v>89301000</v>
      </c>
      <c r="C8287" s="1">
        <v>44522</v>
      </c>
      <c r="D8287" s="1">
        <v>44533</v>
      </c>
      <c r="E8287">
        <v>1</v>
      </c>
      <c r="F8287" t="s">
        <v>3799</v>
      </c>
      <c r="G8287" t="str">
        <f>"11-M02-05"</f>
        <v>11-M02-05</v>
      </c>
      <c r="H8287">
        <v>1.6351</v>
      </c>
      <c r="I8287" t="s">
        <v>5895</v>
      </c>
      <c r="J8287" t="s">
        <v>14</v>
      </c>
      <c r="K8287" t="str">
        <f>"1F1"</f>
        <v>1F1</v>
      </c>
      <c r="L8287" t="s">
        <v>15</v>
      </c>
    </row>
    <row r="8288" spans="1:12" x14ac:dyDescent="0.25">
      <c r="A8288" t="str">
        <f>"6411151054"</f>
        <v>6411151054</v>
      </c>
      <c r="B8288" t="str">
        <f t="shared" si="371"/>
        <v>89301000</v>
      </c>
      <c r="C8288" s="1">
        <v>44211</v>
      </c>
      <c r="D8288" s="1">
        <v>44212</v>
      </c>
      <c r="E8288">
        <v>1</v>
      </c>
      <c r="F8288" t="s">
        <v>1557</v>
      </c>
      <c r="G8288" t="str">
        <f>"05-M06-08"</f>
        <v>05-M06-08</v>
      </c>
      <c r="H8288">
        <v>1.4719</v>
      </c>
      <c r="I8288" t="s">
        <v>2183</v>
      </c>
      <c r="J8288" t="s">
        <v>17</v>
      </c>
      <c r="K8288" t="str">
        <f>"1F1"</f>
        <v>1F1</v>
      </c>
      <c r="L8288" t="s">
        <v>15</v>
      </c>
    </row>
    <row r="8289" spans="1:12" x14ac:dyDescent="0.25">
      <c r="A8289" t="str">
        <f>"6411240550"</f>
        <v>6411240550</v>
      </c>
      <c r="B8289" t="str">
        <f t="shared" si="371"/>
        <v>89301000</v>
      </c>
      <c r="C8289" s="1">
        <v>44202</v>
      </c>
      <c r="D8289" s="1">
        <v>44214</v>
      </c>
      <c r="E8289">
        <v>5</v>
      </c>
      <c r="F8289" t="s">
        <v>217</v>
      </c>
      <c r="G8289" t="str">
        <f>"00-M01-04"</f>
        <v>00-M01-04</v>
      </c>
      <c r="H8289">
        <v>6.85</v>
      </c>
      <c r="I8289" t="s">
        <v>5896</v>
      </c>
      <c r="J8289" t="s">
        <v>14</v>
      </c>
      <c r="K8289" t="str">
        <f>"5F1"</f>
        <v>5F1</v>
      </c>
      <c r="L8289" t="s">
        <v>15</v>
      </c>
    </row>
    <row r="8290" spans="1:12" x14ac:dyDescent="0.25">
      <c r="A8290" t="str">
        <f>"6411250648"</f>
        <v>6411250648</v>
      </c>
      <c r="B8290" t="str">
        <f t="shared" si="371"/>
        <v>89301000</v>
      </c>
      <c r="C8290" s="1">
        <v>44388</v>
      </c>
      <c r="D8290" s="1">
        <v>44389</v>
      </c>
      <c r="E8290">
        <v>1</v>
      </c>
      <c r="F8290" t="s">
        <v>208</v>
      </c>
      <c r="G8290" t="str">
        <f>"08-K11-02"</f>
        <v>08-K11-02</v>
      </c>
      <c r="H8290">
        <v>0.62390000000000001</v>
      </c>
      <c r="I8290" t="s">
        <v>381</v>
      </c>
      <c r="J8290" t="s">
        <v>14</v>
      </c>
      <c r="K8290" t="str">
        <f>"5F3"</f>
        <v>5F3</v>
      </c>
      <c r="L8290" t="s">
        <v>15</v>
      </c>
    </row>
    <row r="8291" spans="1:12" x14ac:dyDescent="0.25">
      <c r="A8291" t="str">
        <f>"6411300577"</f>
        <v>6411300577</v>
      </c>
      <c r="B8291" t="str">
        <f t="shared" si="371"/>
        <v>89301000</v>
      </c>
      <c r="C8291" s="1">
        <v>44414</v>
      </c>
      <c r="D8291" s="1">
        <v>44417</v>
      </c>
      <c r="E8291">
        <v>1</v>
      </c>
      <c r="F8291" t="s">
        <v>16</v>
      </c>
      <c r="G8291" t="str">
        <f>"08-I04-03"</f>
        <v>08-I04-03</v>
      </c>
      <c r="H8291">
        <v>1.331</v>
      </c>
      <c r="I8291" t="s">
        <v>5897</v>
      </c>
      <c r="J8291" t="s">
        <v>17</v>
      </c>
      <c r="K8291" t="str">
        <f>"5F6"</f>
        <v>5F6</v>
      </c>
      <c r="L8291" t="s">
        <v>15</v>
      </c>
    </row>
    <row r="8292" spans="1:12" x14ac:dyDescent="0.25">
      <c r="A8292" t="str">
        <f>"6412070830"</f>
        <v>6412070830</v>
      </c>
      <c r="B8292" t="str">
        <f t="shared" si="371"/>
        <v>89301000</v>
      </c>
      <c r="C8292" s="1">
        <v>44208</v>
      </c>
      <c r="D8292" s="1">
        <v>44209</v>
      </c>
      <c r="E8292">
        <v>1</v>
      </c>
      <c r="F8292" t="s">
        <v>2474</v>
      </c>
      <c r="G8292" t="str">
        <f>"11-C01-02"</f>
        <v>11-C01-02</v>
      </c>
      <c r="H8292">
        <v>0.26300000000000001</v>
      </c>
      <c r="I8292" t="s">
        <v>5898</v>
      </c>
      <c r="J8292" t="s">
        <v>14</v>
      </c>
      <c r="K8292" t="str">
        <f>"4F2"</f>
        <v>4F2</v>
      </c>
      <c r="L8292" t="s">
        <v>15</v>
      </c>
    </row>
    <row r="8293" spans="1:12" x14ac:dyDescent="0.25">
      <c r="A8293" t="str">
        <f>"6412070830"</f>
        <v>6412070830</v>
      </c>
      <c r="B8293" t="str">
        <f t="shared" si="371"/>
        <v>89301000</v>
      </c>
      <c r="C8293" s="1">
        <v>44312</v>
      </c>
      <c r="D8293" s="1">
        <v>44320</v>
      </c>
      <c r="E8293">
        <v>1</v>
      </c>
      <c r="F8293" t="s">
        <v>2474</v>
      </c>
      <c r="G8293" t="str">
        <f>"11-K08-02"</f>
        <v>11-K08-02</v>
      </c>
      <c r="H8293">
        <v>0.47949999999999998</v>
      </c>
      <c r="I8293" t="s">
        <v>5899</v>
      </c>
      <c r="J8293" t="s">
        <v>14</v>
      </c>
      <c r="K8293" t="str">
        <f>"4F2"</f>
        <v>4F2</v>
      </c>
      <c r="L8293" t="s">
        <v>15</v>
      </c>
    </row>
    <row r="8294" spans="1:12" x14ac:dyDescent="0.25">
      <c r="A8294" t="str">
        <f>"6412070830"</f>
        <v>6412070830</v>
      </c>
      <c r="B8294" t="str">
        <f t="shared" si="371"/>
        <v>89301000</v>
      </c>
      <c r="C8294" s="1">
        <v>44236</v>
      </c>
      <c r="D8294" s="1">
        <v>44263</v>
      </c>
      <c r="E8294">
        <v>1</v>
      </c>
      <c r="F8294" t="s">
        <v>2474</v>
      </c>
      <c r="G8294" t="str">
        <f>"11-M04-02"</f>
        <v>11-M04-02</v>
      </c>
      <c r="H8294">
        <v>2.7673000000000001</v>
      </c>
      <c r="I8294" t="s">
        <v>5900</v>
      </c>
      <c r="J8294" t="s">
        <v>14</v>
      </c>
      <c r="K8294" t="str">
        <f>"4F2"</f>
        <v>4F2</v>
      </c>
      <c r="L8294" t="s">
        <v>15</v>
      </c>
    </row>
    <row r="8295" spans="1:12" x14ac:dyDescent="0.25">
      <c r="A8295" t="str">
        <f>"6412070830"</f>
        <v>6412070830</v>
      </c>
      <c r="B8295" t="str">
        <f t="shared" si="371"/>
        <v>89301000</v>
      </c>
      <c r="C8295" s="1">
        <v>44292</v>
      </c>
      <c r="D8295" s="1">
        <v>44301</v>
      </c>
      <c r="E8295">
        <v>1</v>
      </c>
      <c r="F8295" t="s">
        <v>2474</v>
      </c>
      <c r="G8295" t="str">
        <f>"11-C01-02"</f>
        <v>11-C01-02</v>
      </c>
      <c r="H8295">
        <v>0.4375</v>
      </c>
      <c r="I8295" t="s">
        <v>541</v>
      </c>
      <c r="J8295" t="s">
        <v>14</v>
      </c>
      <c r="K8295" t="str">
        <f>"4F2"</f>
        <v>4F2</v>
      </c>
      <c r="L8295" t="s">
        <v>15</v>
      </c>
    </row>
    <row r="8296" spans="1:12" x14ac:dyDescent="0.25">
      <c r="A8296" t="str">
        <f>"6412070830"</f>
        <v>6412070830</v>
      </c>
      <c r="B8296" t="str">
        <f t="shared" si="371"/>
        <v>89301000</v>
      </c>
      <c r="C8296" s="1">
        <v>44272</v>
      </c>
      <c r="D8296" s="1">
        <v>44286</v>
      </c>
      <c r="E8296">
        <v>1</v>
      </c>
      <c r="F8296" t="s">
        <v>2368</v>
      </c>
      <c r="G8296" t="str">
        <f>"08-C03-02"</f>
        <v>08-C03-02</v>
      </c>
      <c r="H8296">
        <v>1.4908999999999999</v>
      </c>
      <c r="I8296" t="s">
        <v>5901</v>
      </c>
      <c r="J8296" t="s">
        <v>14</v>
      </c>
      <c r="K8296" t="str">
        <f>"4F2"</f>
        <v>4F2</v>
      </c>
      <c r="L8296" t="s">
        <v>15</v>
      </c>
    </row>
    <row r="8297" spans="1:12" x14ac:dyDescent="0.25">
      <c r="A8297" t="str">
        <f>"6412100970"</f>
        <v>6412100970</v>
      </c>
      <c r="B8297" t="str">
        <f t="shared" si="371"/>
        <v>89301000</v>
      </c>
      <c r="C8297" s="1">
        <v>44530</v>
      </c>
      <c r="D8297" s="1">
        <v>44533</v>
      </c>
      <c r="E8297">
        <v>5</v>
      </c>
      <c r="F8297" t="s">
        <v>2729</v>
      </c>
      <c r="G8297" t="str">
        <f>"04-K15-03"</f>
        <v>04-K15-03</v>
      </c>
      <c r="H8297">
        <v>0.49009999999999998</v>
      </c>
      <c r="I8297" t="s">
        <v>5902</v>
      </c>
      <c r="J8297" t="s">
        <v>14</v>
      </c>
      <c r="K8297" t="str">
        <f>"2F5"</f>
        <v>2F5</v>
      </c>
      <c r="L8297" t="s">
        <v>15</v>
      </c>
    </row>
    <row r="8298" spans="1:12" x14ac:dyDescent="0.25">
      <c r="A8298" t="str">
        <f>"6412220276"</f>
        <v>6412220276</v>
      </c>
      <c r="B8298" t="str">
        <f t="shared" si="371"/>
        <v>89301000</v>
      </c>
      <c r="C8298" s="1">
        <v>44378</v>
      </c>
      <c r="D8298" s="1">
        <v>44379</v>
      </c>
      <c r="E8298">
        <v>1</v>
      </c>
      <c r="F8298" t="s">
        <v>41</v>
      </c>
      <c r="G8298" t="str">
        <f>"01-D01-03"</f>
        <v>01-D01-03</v>
      </c>
      <c r="H8298">
        <v>0.158</v>
      </c>
      <c r="I8298" t="s">
        <v>489</v>
      </c>
      <c r="J8298" t="s">
        <v>14</v>
      </c>
      <c r="K8298" t="str">
        <f>"2F5"</f>
        <v>2F5</v>
      </c>
      <c r="L8298" t="s">
        <v>15</v>
      </c>
    </row>
    <row r="8299" spans="1:12" x14ac:dyDescent="0.25">
      <c r="A8299" t="str">
        <f>"6451030025"</f>
        <v>6451030025</v>
      </c>
      <c r="B8299" t="str">
        <f t="shared" si="371"/>
        <v>89301000</v>
      </c>
      <c r="C8299" s="1">
        <v>44480</v>
      </c>
      <c r="D8299" s="1">
        <v>44484</v>
      </c>
      <c r="E8299">
        <v>1</v>
      </c>
      <c r="F8299" t="s">
        <v>903</v>
      </c>
      <c r="G8299" t="str">
        <f>"06-I22-02"</f>
        <v>06-I22-02</v>
      </c>
      <c r="H8299">
        <v>0.436</v>
      </c>
      <c r="I8299" t="s">
        <v>2411</v>
      </c>
      <c r="J8299" t="s">
        <v>14</v>
      </c>
      <c r="K8299" t="str">
        <f>"5F1"</f>
        <v>5F1</v>
      </c>
      <c r="L8299" t="s">
        <v>15</v>
      </c>
    </row>
    <row r="8300" spans="1:12" x14ac:dyDescent="0.25">
      <c r="A8300" t="str">
        <f>"6451100755"</f>
        <v>6451100755</v>
      </c>
      <c r="B8300" t="str">
        <f t="shared" si="371"/>
        <v>89301000</v>
      </c>
      <c r="C8300" s="1">
        <v>44236</v>
      </c>
      <c r="D8300" s="1">
        <v>44237</v>
      </c>
      <c r="E8300">
        <v>1</v>
      </c>
      <c r="F8300" t="s">
        <v>3236</v>
      </c>
      <c r="G8300" t="str">
        <f>"13-I19-00"</f>
        <v>13-I19-00</v>
      </c>
      <c r="H8300">
        <v>0.24679999999999999</v>
      </c>
      <c r="J8300" t="s">
        <v>14</v>
      </c>
      <c r="K8300" t="str">
        <f>"6F3"</f>
        <v>6F3</v>
      </c>
      <c r="L8300" t="s">
        <v>15</v>
      </c>
    </row>
    <row r="8301" spans="1:12" x14ac:dyDescent="0.25">
      <c r="A8301" t="str">
        <f>"6451110798"</f>
        <v>6451110798</v>
      </c>
      <c r="B8301" t="str">
        <f t="shared" si="371"/>
        <v>89301000</v>
      </c>
      <c r="C8301" s="1">
        <v>44462</v>
      </c>
      <c r="D8301" s="1">
        <v>44464</v>
      </c>
      <c r="E8301">
        <v>1</v>
      </c>
      <c r="F8301" t="s">
        <v>215</v>
      </c>
      <c r="G8301" t="str">
        <f>"08-I15-03"</f>
        <v>08-I15-03</v>
      </c>
      <c r="H8301">
        <v>1.1838</v>
      </c>
      <c r="I8301" t="s">
        <v>5903</v>
      </c>
      <c r="J8301" t="s">
        <v>17</v>
      </c>
      <c r="K8301" t="str">
        <f>"5F3"</f>
        <v>5F3</v>
      </c>
      <c r="L8301" t="s">
        <v>15</v>
      </c>
    </row>
    <row r="8302" spans="1:12" x14ac:dyDescent="0.25">
      <c r="A8302" t="str">
        <f>"6451280781"</f>
        <v>6451280781</v>
      </c>
      <c r="B8302" t="str">
        <f t="shared" si="371"/>
        <v>89301000</v>
      </c>
      <c r="C8302" s="1">
        <v>44445</v>
      </c>
      <c r="D8302" s="1">
        <v>44456</v>
      </c>
      <c r="E8302">
        <v>1</v>
      </c>
      <c r="F8302" t="s">
        <v>1574</v>
      </c>
      <c r="G8302" t="str">
        <f>"05-M04-01"</f>
        <v>05-M04-01</v>
      </c>
      <c r="H8302">
        <v>4.9264000000000001</v>
      </c>
      <c r="I8302" t="s">
        <v>5904</v>
      </c>
      <c r="J8302" t="s">
        <v>17</v>
      </c>
      <c r="K8302" t="str">
        <f>"5F1"</f>
        <v>5F1</v>
      </c>
      <c r="L8302" t="s">
        <v>15</v>
      </c>
    </row>
    <row r="8303" spans="1:12" x14ac:dyDescent="0.25">
      <c r="A8303" t="str">
        <f>"6452041871"</f>
        <v>6452041871</v>
      </c>
      <c r="B8303" t="str">
        <f t="shared" si="371"/>
        <v>89301000</v>
      </c>
      <c r="C8303" s="1">
        <v>44468</v>
      </c>
      <c r="D8303" s="1">
        <v>44475</v>
      </c>
      <c r="E8303">
        <v>3</v>
      </c>
      <c r="F8303" t="s">
        <v>3331</v>
      </c>
      <c r="G8303" t="str">
        <f>"01-I06-04"</f>
        <v>01-I06-04</v>
      </c>
      <c r="H8303">
        <v>3.6231</v>
      </c>
      <c r="J8303" t="s">
        <v>17</v>
      </c>
      <c r="K8303" t="str">
        <f>"5F6"</f>
        <v>5F6</v>
      </c>
      <c r="L8303" t="s">
        <v>15</v>
      </c>
    </row>
    <row r="8304" spans="1:12" x14ac:dyDescent="0.25">
      <c r="A8304" t="str">
        <f>"6452041871"</f>
        <v>6452041871</v>
      </c>
      <c r="B8304" t="str">
        <f t="shared" si="371"/>
        <v>89301000</v>
      </c>
      <c r="C8304" s="1">
        <v>44475</v>
      </c>
      <c r="D8304" s="1">
        <v>44498</v>
      </c>
      <c r="E8304">
        <v>1</v>
      </c>
      <c r="F8304" t="s">
        <v>109</v>
      </c>
      <c r="G8304" t="str">
        <f>"24-M08-01"</f>
        <v>24-M08-01</v>
      </c>
      <c r="H8304">
        <v>2.5592999999999999</v>
      </c>
      <c r="I8304" t="s">
        <v>5905</v>
      </c>
      <c r="J8304" t="s">
        <v>14</v>
      </c>
      <c r="K8304" t="str">
        <f>"2F1"</f>
        <v>2F1</v>
      </c>
      <c r="L8304" t="s">
        <v>15</v>
      </c>
    </row>
    <row r="8305" spans="1:12" x14ac:dyDescent="0.25">
      <c r="A8305" t="str">
        <f>"6452051771"</f>
        <v>6452051771</v>
      </c>
      <c r="B8305" t="str">
        <f t="shared" si="371"/>
        <v>89301000</v>
      </c>
      <c r="C8305" s="1">
        <v>44501</v>
      </c>
      <c r="D8305" s="1">
        <v>44508</v>
      </c>
      <c r="E8305">
        <v>1</v>
      </c>
      <c r="F8305" t="s">
        <v>217</v>
      </c>
      <c r="G8305" t="str">
        <f>"04-K02-04"</f>
        <v>04-K02-04</v>
      </c>
      <c r="H8305">
        <v>0.82469999999999999</v>
      </c>
      <c r="I8305" t="s">
        <v>5906</v>
      </c>
      <c r="J8305" t="s">
        <v>14</v>
      </c>
      <c r="K8305" t="str">
        <f>"1F1"</f>
        <v>1F1</v>
      </c>
      <c r="L8305" t="s">
        <v>15</v>
      </c>
    </row>
    <row r="8306" spans="1:12" x14ac:dyDescent="0.25">
      <c r="A8306" t="str">
        <f t="shared" ref="A8306:A8312" si="372">"6452111919"</f>
        <v>6452111919</v>
      </c>
      <c r="B8306" t="str">
        <f t="shared" si="371"/>
        <v>89301000</v>
      </c>
      <c r="C8306" s="1">
        <v>44336</v>
      </c>
      <c r="D8306" s="1">
        <v>44349</v>
      </c>
      <c r="E8306">
        <v>1</v>
      </c>
      <c r="F8306" t="s">
        <v>5270</v>
      </c>
      <c r="G8306" t="str">
        <f>"17-C05-04"</f>
        <v>17-C05-04</v>
      </c>
      <c r="H8306">
        <v>0.996</v>
      </c>
      <c r="I8306" t="s">
        <v>5907</v>
      </c>
      <c r="J8306" t="s">
        <v>14</v>
      </c>
      <c r="K8306" t="str">
        <f t="shared" ref="K8306:K8312" si="373">"2F2"</f>
        <v>2F2</v>
      </c>
      <c r="L8306" t="s">
        <v>15</v>
      </c>
    </row>
    <row r="8307" spans="1:12" x14ac:dyDescent="0.25">
      <c r="A8307" t="str">
        <f t="shared" si="372"/>
        <v>6452111919</v>
      </c>
      <c r="B8307" t="str">
        <f t="shared" si="371"/>
        <v>89301000</v>
      </c>
      <c r="C8307" s="1">
        <v>44314</v>
      </c>
      <c r="D8307" s="1">
        <v>44328</v>
      </c>
      <c r="E8307">
        <v>1</v>
      </c>
      <c r="F8307" t="s">
        <v>5270</v>
      </c>
      <c r="G8307" t="str">
        <f>"17-C05-04"</f>
        <v>17-C05-04</v>
      </c>
      <c r="H8307">
        <v>1.071</v>
      </c>
      <c r="I8307" t="s">
        <v>5908</v>
      </c>
      <c r="J8307" t="s">
        <v>14</v>
      </c>
      <c r="K8307" t="str">
        <f t="shared" si="373"/>
        <v>2F2</v>
      </c>
      <c r="L8307" t="s">
        <v>15</v>
      </c>
    </row>
    <row r="8308" spans="1:12" x14ac:dyDescent="0.25">
      <c r="A8308" t="str">
        <f t="shared" si="372"/>
        <v>6452111919</v>
      </c>
      <c r="B8308" t="str">
        <f t="shared" ref="B8308:B8371" si="374">"89301000"</f>
        <v>89301000</v>
      </c>
      <c r="C8308" s="1">
        <v>44293</v>
      </c>
      <c r="D8308" s="1">
        <v>44308</v>
      </c>
      <c r="E8308">
        <v>1</v>
      </c>
      <c r="F8308" t="s">
        <v>5270</v>
      </c>
      <c r="G8308" t="str">
        <f>"17-C05-08"</f>
        <v>17-C05-08</v>
      </c>
      <c r="H8308">
        <v>1.3433999999999999</v>
      </c>
      <c r="I8308" t="s">
        <v>5909</v>
      </c>
      <c r="J8308" t="s">
        <v>14</v>
      </c>
      <c r="K8308" t="str">
        <f t="shared" si="373"/>
        <v>2F2</v>
      </c>
      <c r="L8308" t="s">
        <v>15</v>
      </c>
    </row>
    <row r="8309" spans="1:12" x14ac:dyDescent="0.25">
      <c r="A8309" t="str">
        <f t="shared" si="372"/>
        <v>6452111919</v>
      </c>
      <c r="B8309" t="str">
        <f t="shared" si="374"/>
        <v>89301000</v>
      </c>
      <c r="C8309" s="1">
        <v>44362</v>
      </c>
      <c r="D8309" s="1">
        <v>44371</v>
      </c>
      <c r="E8309">
        <v>1</v>
      </c>
      <c r="F8309" t="s">
        <v>5270</v>
      </c>
      <c r="G8309" t="str">
        <f>"17-K05-02"</f>
        <v>17-K05-02</v>
      </c>
      <c r="H8309">
        <v>0.94220000000000004</v>
      </c>
      <c r="I8309" t="s">
        <v>5910</v>
      </c>
      <c r="J8309" t="s">
        <v>14</v>
      </c>
      <c r="K8309" t="str">
        <f t="shared" si="373"/>
        <v>2F2</v>
      </c>
      <c r="L8309" t="s">
        <v>15</v>
      </c>
    </row>
    <row r="8310" spans="1:12" x14ac:dyDescent="0.25">
      <c r="A8310" t="str">
        <f t="shared" si="372"/>
        <v>6452111919</v>
      </c>
      <c r="B8310" t="str">
        <f t="shared" si="374"/>
        <v>89301000</v>
      </c>
      <c r="C8310" s="1">
        <v>44236</v>
      </c>
      <c r="D8310" s="1">
        <v>44259</v>
      </c>
      <c r="E8310">
        <v>1</v>
      </c>
      <c r="F8310" t="s">
        <v>5270</v>
      </c>
      <c r="G8310" t="str">
        <f>"17-K05-01"</f>
        <v>17-K05-01</v>
      </c>
      <c r="H8310">
        <v>2.7469000000000001</v>
      </c>
      <c r="I8310" t="s">
        <v>5911</v>
      </c>
      <c r="J8310" t="s">
        <v>14</v>
      </c>
      <c r="K8310" t="str">
        <f t="shared" si="373"/>
        <v>2F2</v>
      </c>
      <c r="L8310" t="s">
        <v>15</v>
      </c>
    </row>
    <row r="8311" spans="1:12" x14ac:dyDescent="0.25">
      <c r="A8311" t="str">
        <f t="shared" si="372"/>
        <v>6452111919</v>
      </c>
      <c r="B8311" t="str">
        <f t="shared" si="374"/>
        <v>89301000</v>
      </c>
      <c r="C8311" s="1">
        <v>44209</v>
      </c>
      <c r="D8311" s="1">
        <v>44229</v>
      </c>
      <c r="E8311">
        <v>1</v>
      </c>
      <c r="F8311" t="s">
        <v>5912</v>
      </c>
      <c r="G8311" t="str">
        <f>"17-C05-08"</f>
        <v>17-C05-08</v>
      </c>
      <c r="H8311">
        <v>1.7044999999999999</v>
      </c>
      <c r="I8311" t="s">
        <v>5913</v>
      </c>
      <c r="J8311" t="s">
        <v>14</v>
      </c>
      <c r="K8311" t="str">
        <f t="shared" si="373"/>
        <v>2F2</v>
      </c>
      <c r="L8311" t="s">
        <v>15</v>
      </c>
    </row>
    <row r="8312" spans="1:12" x14ac:dyDescent="0.25">
      <c r="A8312" t="str">
        <f t="shared" si="372"/>
        <v>6452111919</v>
      </c>
      <c r="B8312" t="str">
        <f t="shared" si="374"/>
        <v>89301000</v>
      </c>
      <c r="C8312" s="1">
        <v>44186</v>
      </c>
      <c r="D8312" s="1">
        <v>44200</v>
      </c>
      <c r="E8312">
        <v>1</v>
      </c>
      <c r="F8312" t="s">
        <v>5270</v>
      </c>
      <c r="G8312" t="str">
        <f>"17-K05-01"</f>
        <v>17-K05-01</v>
      </c>
      <c r="H8312">
        <v>2.6164999999999998</v>
      </c>
      <c r="I8312" t="s">
        <v>5914</v>
      </c>
      <c r="J8312" t="s">
        <v>14</v>
      </c>
      <c r="K8312" t="str">
        <f t="shared" si="373"/>
        <v>2F2</v>
      </c>
      <c r="L8312" t="s">
        <v>15</v>
      </c>
    </row>
    <row r="8313" spans="1:12" x14ac:dyDescent="0.25">
      <c r="A8313" t="str">
        <f>"6452196564"</f>
        <v>6452196564</v>
      </c>
      <c r="B8313" t="str">
        <f t="shared" si="374"/>
        <v>89301000</v>
      </c>
      <c r="C8313" s="1">
        <v>44479</v>
      </c>
      <c r="D8313" s="1">
        <v>44486</v>
      </c>
      <c r="E8313">
        <v>1</v>
      </c>
      <c r="F8313" t="s">
        <v>3462</v>
      </c>
      <c r="G8313" t="str">
        <f>"06-I17-03"</f>
        <v>06-I17-03</v>
      </c>
      <c r="H8313">
        <v>0.86760000000000004</v>
      </c>
      <c r="J8313" t="s">
        <v>17</v>
      </c>
      <c r="K8313" t="str">
        <f>"5F1"</f>
        <v>5F1</v>
      </c>
      <c r="L8313" t="s">
        <v>15</v>
      </c>
    </row>
    <row r="8314" spans="1:12" x14ac:dyDescent="0.25">
      <c r="A8314" t="str">
        <f>"6452210721"</f>
        <v>6452210721</v>
      </c>
      <c r="B8314" t="str">
        <f t="shared" si="374"/>
        <v>89301000</v>
      </c>
      <c r="C8314" s="1">
        <v>44244</v>
      </c>
      <c r="D8314" s="1">
        <v>44247</v>
      </c>
      <c r="E8314">
        <v>1</v>
      </c>
      <c r="F8314" t="s">
        <v>1551</v>
      </c>
      <c r="G8314" t="str">
        <f>"09-I06-04"</f>
        <v>09-I06-04</v>
      </c>
      <c r="H8314">
        <v>0.98829999999999996</v>
      </c>
      <c r="J8314" t="s">
        <v>17</v>
      </c>
      <c r="K8314" t="str">
        <f>"5F1"</f>
        <v>5F1</v>
      </c>
      <c r="L8314" t="s">
        <v>15</v>
      </c>
    </row>
    <row r="8315" spans="1:12" x14ac:dyDescent="0.25">
      <c r="A8315" t="str">
        <f>"6453010696"</f>
        <v>6453010696</v>
      </c>
      <c r="B8315" t="str">
        <f t="shared" si="374"/>
        <v>89301000</v>
      </c>
      <c r="C8315" s="1">
        <v>44475</v>
      </c>
      <c r="D8315" s="1">
        <v>44476</v>
      </c>
      <c r="E8315">
        <v>1</v>
      </c>
      <c r="F8315" t="s">
        <v>186</v>
      </c>
      <c r="G8315" t="str">
        <f>"05-M05-03"</f>
        <v>05-M05-03</v>
      </c>
      <c r="H8315">
        <v>1.9991000000000001</v>
      </c>
      <c r="J8315" t="s">
        <v>24</v>
      </c>
      <c r="K8315" t="str">
        <f>"1F1"</f>
        <v>1F1</v>
      </c>
      <c r="L8315" t="s">
        <v>15</v>
      </c>
    </row>
    <row r="8316" spans="1:12" x14ac:dyDescent="0.25">
      <c r="A8316" t="str">
        <f>"6453011675"</f>
        <v>6453011675</v>
      </c>
      <c r="B8316" t="str">
        <f t="shared" si="374"/>
        <v>89301000</v>
      </c>
      <c r="C8316" s="1">
        <v>44264</v>
      </c>
      <c r="D8316" s="1">
        <v>44267</v>
      </c>
      <c r="E8316">
        <v>1</v>
      </c>
      <c r="F8316" t="s">
        <v>217</v>
      </c>
      <c r="G8316" t="str">
        <f>"04-K02-04"</f>
        <v>04-K02-04</v>
      </c>
      <c r="H8316">
        <v>0.82469999999999999</v>
      </c>
      <c r="I8316" t="s">
        <v>5915</v>
      </c>
      <c r="J8316" t="s">
        <v>14</v>
      </c>
      <c r="K8316" t="str">
        <f>"5F1"</f>
        <v>5F1</v>
      </c>
      <c r="L8316" t="s">
        <v>15</v>
      </c>
    </row>
    <row r="8317" spans="1:12" x14ac:dyDescent="0.25">
      <c r="A8317" t="str">
        <f>"6453070866"</f>
        <v>6453070866</v>
      </c>
      <c r="B8317" t="str">
        <f t="shared" si="374"/>
        <v>89301000</v>
      </c>
      <c r="C8317" s="1">
        <v>44398</v>
      </c>
      <c r="D8317" s="1">
        <v>44402</v>
      </c>
      <c r="E8317">
        <v>1</v>
      </c>
      <c r="F8317" t="s">
        <v>377</v>
      </c>
      <c r="G8317" t="str">
        <f>"01-I06-05"</f>
        <v>01-I06-05</v>
      </c>
      <c r="H8317">
        <v>2.6736</v>
      </c>
      <c r="J8317" t="s">
        <v>17</v>
      </c>
      <c r="K8317" t="str">
        <f>"5F6"</f>
        <v>5F6</v>
      </c>
      <c r="L8317" t="s">
        <v>15</v>
      </c>
    </row>
    <row r="8318" spans="1:12" x14ac:dyDescent="0.25">
      <c r="A8318" t="str">
        <f t="shared" ref="A8318:A8330" si="375">"6453100940"</f>
        <v>6453100940</v>
      </c>
      <c r="B8318" t="str">
        <f t="shared" si="374"/>
        <v>89301000</v>
      </c>
      <c r="C8318" s="1">
        <v>44474</v>
      </c>
      <c r="D8318" s="1">
        <v>44476</v>
      </c>
      <c r="E8318">
        <v>1</v>
      </c>
      <c r="F8318" t="s">
        <v>2910</v>
      </c>
      <c r="G8318" t="str">
        <f>"06-C02-01"</f>
        <v>06-C02-01</v>
      </c>
      <c r="H8318">
        <v>0.27229999999999999</v>
      </c>
      <c r="I8318" t="s">
        <v>5916</v>
      </c>
      <c r="J8318" t="s">
        <v>14</v>
      </c>
      <c r="K8318" t="str">
        <f t="shared" ref="K8318:K8330" si="376">"4F2"</f>
        <v>4F2</v>
      </c>
      <c r="L8318" t="s">
        <v>15</v>
      </c>
    </row>
    <row r="8319" spans="1:12" x14ac:dyDescent="0.25">
      <c r="A8319" t="str">
        <f t="shared" si="375"/>
        <v>6453100940</v>
      </c>
      <c r="B8319" t="str">
        <f t="shared" si="374"/>
        <v>89301000</v>
      </c>
      <c r="C8319" s="1">
        <v>44488</v>
      </c>
      <c r="D8319" s="1">
        <v>44490</v>
      </c>
      <c r="E8319">
        <v>1</v>
      </c>
      <c r="F8319" t="s">
        <v>5917</v>
      </c>
      <c r="G8319" t="str">
        <f>"17-C06-02"</f>
        <v>17-C06-02</v>
      </c>
      <c r="H8319">
        <v>0.3826</v>
      </c>
      <c r="I8319" t="s">
        <v>5918</v>
      </c>
      <c r="J8319" t="s">
        <v>14</v>
      </c>
      <c r="K8319" t="str">
        <f t="shared" si="376"/>
        <v>4F2</v>
      </c>
      <c r="L8319" t="s">
        <v>15</v>
      </c>
    </row>
    <row r="8320" spans="1:12" x14ac:dyDescent="0.25">
      <c r="A8320" t="str">
        <f t="shared" si="375"/>
        <v>6453100940</v>
      </c>
      <c r="B8320" t="str">
        <f t="shared" si="374"/>
        <v>89301000</v>
      </c>
      <c r="C8320" s="1">
        <v>44502</v>
      </c>
      <c r="D8320" s="1">
        <v>44504</v>
      </c>
      <c r="E8320">
        <v>1</v>
      </c>
      <c r="F8320" t="s">
        <v>2553</v>
      </c>
      <c r="G8320" t="str">
        <f>"17-C06-02"</f>
        <v>17-C06-02</v>
      </c>
      <c r="H8320">
        <v>0.3826</v>
      </c>
      <c r="I8320" t="s">
        <v>5918</v>
      </c>
      <c r="J8320" t="s">
        <v>14</v>
      </c>
      <c r="K8320" t="str">
        <f t="shared" si="376"/>
        <v>4F2</v>
      </c>
      <c r="L8320" t="s">
        <v>15</v>
      </c>
    </row>
    <row r="8321" spans="1:12" x14ac:dyDescent="0.25">
      <c r="A8321" t="str">
        <f t="shared" si="375"/>
        <v>6453100940</v>
      </c>
      <c r="B8321" t="str">
        <f t="shared" si="374"/>
        <v>89301000</v>
      </c>
      <c r="C8321" s="1">
        <v>44358</v>
      </c>
      <c r="D8321" s="1">
        <v>44361</v>
      </c>
      <c r="E8321">
        <v>1</v>
      </c>
      <c r="F8321" t="s">
        <v>5917</v>
      </c>
      <c r="G8321" t="str">
        <f>"17-C06-02"</f>
        <v>17-C06-02</v>
      </c>
      <c r="H8321">
        <v>0.3826</v>
      </c>
      <c r="I8321" t="s">
        <v>5918</v>
      </c>
      <c r="J8321" t="s">
        <v>14</v>
      </c>
      <c r="K8321" t="str">
        <f t="shared" si="376"/>
        <v>4F2</v>
      </c>
      <c r="L8321" t="s">
        <v>15</v>
      </c>
    </row>
    <row r="8322" spans="1:12" x14ac:dyDescent="0.25">
      <c r="A8322" t="str">
        <f t="shared" si="375"/>
        <v>6453100940</v>
      </c>
      <c r="B8322" t="str">
        <f t="shared" si="374"/>
        <v>89301000</v>
      </c>
      <c r="C8322" s="1">
        <v>44378</v>
      </c>
      <c r="D8322" s="1">
        <v>44381</v>
      </c>
      <c r="E8322">
        <v>1</v>
      </c>
      <c r="F8322" t="s">
        <v>2910</v>
      </c>
      <c r="G8322" t="str">
        <f t="shared" ref="G8322:G8328" si="377">"06-C02-01"</f>
        <v>06-C02-01</v>
      </c>
      <c r="H8322">
        <v>0.27229999999999999</v>
      </c>
      <c r="I8322" t="s">
        <v>5916</v>
      </c>
      <c r="J8322" t="s">
        <v>14</v>
      </c>
      <c r="K8322" t="str">
        <f t="shared" si="376"/>
        <v>4F2</v>
      </c>
      <c r="L8322" t="s">
        <v>15</v>
      </c>
    </row>
    <row r="8323" spans="1:12" x14ac:dyDescent="0.25">
      <c r="A8323" t="str">
        <f t="shared" si="375"/>
        <v>6453100940</v>
      </c>
      <c r="B8323" t="str">
        <f t="shared" si="374"/>
        <v>89301000</v>
      </c>
      <c r="C8323" s="1">
        <v>44403</v>
      </c>
      <c r="D8323" s="1">
        <v>44405</v>
      </c>
      <c r="E8323">
        <v>1</v>
      </c>
      <c r="F8323" t="s">
        <v>2910</v>
      </c>
      <c r="G8323" t="str">
        <f t="shared" si="377"/>
        <v>06-C02-01</v>
      </c>
      <c r="H8323">
        <v>0.27229999999999999</v>
      </c>
      <c r="I8323" t="s">
        <v>5916</v>
      </c>
      <c r="J8323" t="s">
        <v>14</v>
      </c>
      <c r="K8323" t="str">
        <f t="shared" si="376"/>
        <v>4F2</v>
      </c>
      <c r="L8323" t="s">
        <v>15</v>
      </c>
    </row>
    <row r="8324" spans="1:12" x14ac:dyDescent="0.25">
      <c r="A8324" t="str">
        <f t="shared" si="375"/>
        <v>6453100940</v>
      </c>
      <c r="B8324" t="str">
        <f t="shared" si="374"/>
        <v>89301000</v>
      </c>
      <c r="C8324" s="1">
        <v>44417</v>
      </c>
      <c r="D8324" s="1">
        <v>44420</v>
      </c>
      <c r="E8324">
        <v>1</v>
      </c>
      <c r="F8324" t="s">
        <v>2910</v>
      </c>
      <c r="G8324" t="str">
        <f t="shared" si="377"/>
        <v>06-C02-01</v>
      </c>
      <c r="H8324">
        <v>0.27229999999999999</v>
      </c>
      <c r="I8324" t="s">
        <v>5916</v>
      </c>
      <c r="J8324" t="s">
        <v>14</v>
      </c>
      <c r="K8324" t="str">
        <f t="shared" si="376"/>
        <v>4F2</v>
      </c>
      <c r="L8324" t="s">
        <v>15</v>
      </c>
    </row>
    <row r="8325" spans="1:12" x14ac:dyDescent="0.25">
      <c r="A8325" t="str">
        <f t="shared" si="375"/>
        <v>6453100940</v>
      </c>
      <c r="B8325" t="str">
        <f t="shared" si="374"/>
        <v>89301000</v>
      </c>
      <c r="C8325" s="1">
        <v>44432</v>
      </c>
      <c r="D8325" s="1">
        <v>44434</v>
      </c>
      <c r="E8325">
        <v>1</v>
      </c>
      <c r="F8325" t="s">
        <v>2910</v>
      </c>
      <c r="G8325" t="str">
        <f t="shared" si="377"/>
        <v>06-C02-01</v>
      </c>
      <c r="H8325">
        <v>0.27229999999999999</v>
      </c>
      <c r="I8325" t="s">
        <v>5919</v>
      </c>
      <c r="J8325" t="s">
        <v>14</v>
      </c>
      <c r="K8325" t="str">
        <f t="shared" si="376"/>
        <v>4F2</v>
      </c>
      <c r="L8325" t="s">
        <v>15</v>
      </c>
    </row>
    <row r="8326" spans="1:12" x14ac:dyDescent="0.25">
      <c r="A8326" t="str">
        <f t="shared" si="375"/>
        <v>6453100940</v>
      </c>
      <c r="B8326" t="str">
        <f t="shared" si="374"/>
        <v>89301000</v>
      </c>
      <c r="C8326" s="1">
        <v>44446</v>
      </c>
      <c r="D8326" s="1">
        <v>44448</v>
      </c>
      <c r="E8326">
        <v>1</v>
      </c>
      <c r="F8326" t="s">
        <v>2910</v>
      </c>
      <c r="G8326" t="str">
        <f t="shared" si="377"/>
        <v>06-C02-01</v>
      </c>
      <c r="H8326">
        <v>0.27229999999999999</v>
      </c>
      <c r="I8326" t="s">
        <v>5919</v>
      </c>
      <c r="J8326" t="s">
        <v>14</v>
      </c>
      <c r="K8326" t="str">
        <f t="shared" si="376"/>
        <v>4F2</v>
      </c>
      <c r="L8326" t="s">
        <v>15</v>
      </c>
    </row>
    <row r="8327" spans="1:12" x14ac:dyDescent="0.25">
      <c r="A8327" t="str">
        <f t="shared" si="375"/>
        <v>6453100940</v>
      </c>
      <c r="B8327" t="str">
        <f t="shared" si="374"/>
        <v>89301000</v>
      </c>
      <c r="C8327" s="1">
        <v>44460</v>
      </c>
      <c r="D8327" s="1">
        <v>44462</v>
      </c>
      <c r="E8327">
        <v>1</v>
      </c>
      <c r="F8327" t="s">
        <v>2910</v>
      </c>
      <c r="G8327" t="str">
        <f t="shared" si="377"/>
        <v>06-C02-01</v>
      </c>
      <c r="H8327">
        <v>0.27229999999999999</v>
      </c>
      <c r="I8327" t="s">
        <v>541</v>
      </c>
      <c r="J8327" t="s">
        <v>14</v>
      </c>
      <c r="K8327" t="str">
        <f t="shared" si="376"/>
        <v>4F2</v>
      </c>
      <c r="L8327" t="s">
        <v>15</v>
      </c>
    </row>
    <row r="8328" spans="1:12" x14ac:dyDescent="0.25">
      <c r="A8328" t="str">
        <f t="shared" si="375"/>
        <v>6453100940</v>
      </c>
      <c r="B8328" t="str">
        <f t="shared" si="374"/>
        <v>89301000</v>
      </c>
      <c r="C8328" s="1">
        <v>44544</v>
      </c>
      <c r="D8328" s="1">
        <v>44546</v>
      </c>
      <c r="E8328">
        <v>1</v>
      </c>
      <c r="F8328" t="s">
        <v>2910</v>
      </c>
      <c r="G8328" t="str">
        <f t="shared" si="377"/>
        <v>06-C02-01</v>
      </c>
      <c r="H8328">
        <v>0.27229999999999999</v>
      </c>
      <c r="I8328" t="s">
        <v>5920</v>
      </c>
      <c r="J8328" t="s">
        <v>14</v>
      </c>
      <c r="K8328" t="str">
        <f t="shared" si="376"/>
        <v>4F2</v>
      </c>
      <c r="L8328" t="s">
        <v>15</v>
      </c>
    </row>
    <row r="8329" spans="1:12" x14ac:dyDescent="0.25">
      <c r="A8329" t="str">
        <f t="shared" si="375"/>
        <v>6453100940</v>
      </c>
      <c r="B8329" t="str">
        <f t="shared" si="374"/>
        <v>89301000</v>
      </c>
      <c r="C8329" s="1">
        <v>44530</v>
      </c>
      <c r="D8329" s="1">
        <v>44532</v>
      </c>
      <c r="E8329">
        <v>1</v>
      </c>
      <c r="F8329" t="s">
        <v>5917</v>
      </c>
      <c r="G8329" t="str">
        <f>"17-C06-01"</f>
        <v>17-C06-01</v>
      </c>
      <c r="H8329">
        <v>0.99070000000000003</v>
      </c>
      <c r="I8329" t="s">
        <v>5921</v>
      </c>
      <c r="J8329" t="s">
        <v>14</v>
      </c>
      <c r="K8329" t="str">
        <f t="shared" si="376"/>
        <v>4F2</v>
      </c>
      <c r="L8329" t="s">
        <v>15</v>
      </c>
    </row>
    <row r="8330" spans="1:12" x14ac:dyDescent="0.25">
      <c r="A8330" t="str">
        <f t="shared" si="375"/>
        <v>6453100940</v>
      </c>
      <c r="B8330" t="str">
        <f t="shared" si="374"/>
        <v>89301000</v>
      </c>
      <c r="C8330" s="1">
        <v>44507</v>
      </c>
      <c r="D8330" s="1">
        <v>44516</v>
      </c>
      <c r="E8330">
        <v>1</v>
      </c>
      <c r="F8330" t="s">
        <v>175</v>
      </c>
      <c r="G8330" t="str">
        <f>"05-K13-01"</f>
        <v>05-K13-01</v>
      </c>
      <c r="H8330">
        <v>1.2979000000000001</v>
      </c>
      <c r="I8330" t="s">
        <v>5922</v>
      </c>
      <c r="J8330" t="s">
        <v>14</v>
      </c>
      <c r="K8330" t="str">
        <f t="shared" si="376"/>
        <v>4F2</v>
      </c>
      <c r="L8330" t="s">
        <v>15</v>
      </c>
    </row>
    <row r="8331" spans="1:12" x14ac:dyDescent="0.25">
      <c r="A8331" t="str">
        <f>"6453211050"</f>
        <v>6453211050</v>
      </c>
      <c r="B8331" t="str">
        <f t="shared" si="374"/>
        <v>89301000</v>
      </c>
      <c r="C8331" s="1">
        <v>44530</v>
      </c>
      <c r="D8331" s="1">
        <v>44532</v>
      </c>
      <c r="E8331">
        <v>1</v>
      </c>
      <c r="F8331" t="s">
        <v>3294</v>
      </c>
      <c r="G8331" t="str">
        <f>"03-I19-03"</f>
        <v>03-I19-03</v>
      </c>
      <c r="H8331">
        <v>0.60699999999999998</v>
      </c>
      <c r="I8331" t="s">
        <v>5923</v>
      </c>
      <c r="J8331" t="s">
        <v>14</v>
      </c>
      <c r="K8331" t="str">
        <f>"6F5"</f>
        <v>6F5</v>
      </c>
      <c r="L8331" t="s">
        <v>15</v>
      </c>
    </row>
    <row r="8332" spans="1:12" x14ac:dyDescent="0.25">
      <c r="A8332" t="str">
        <f>"6453270934"</f>
        <v>6453270934</v>
      </c>
      <c r="B8332" t="str">
        <f t="shared" si="374"/>
        <v>89301000</v>
      </c>
      <c r="C8332" s="1">
        <v>44342</v>
      </c>
      <c r="D8332" s="1">
        <v>44345</v>
      </c>
      <c r="E8332">
        <v>1</v>
      </c>
      <c r="F8332" t="s">
        <v>5924</v>
      </c>
      <c r="G8332" t="str">
        <f>"08-I25-02"</f>
        <v>08-I25-02</v>
      </c>
      <c r="H8332">
        <v>0.5746</v>
      </c>
      <c r="I8332" t="s">
        <v>5925</v>
      </c>
      <c r="J8332" t="s">
        <v>14</v>
      </c>
      <c r="K8332" t="str">
        <f>"6F6"</f>
        <v>6F6</v>
      </c>
      <c r="L8332" t="s">
        <v>15</v>
      </c>
    </row>
    <row r="8333" spans="1:12" x14ac:dyDescent="0.25">
      <c r="A8333" t="str">
        <f>"6454031991"</f>
        <v>6454031991</v>
      </c>
      <c r="B8333" t="str">
        <f t="shared" si="374"/>
        <v>89301000</v>
      </c>
      <c r="C8333" s="1">
        <v>44503</v>
      </c>
      <c r="D8333" s="1">
        <v>44507</v>
      </c>
      <c r="E8333">
        <v>1</v>
      </c>
      <c r="F8333" t="s">
        <v>81</v>
      </c>
      <c r="G8333" t="str">
        <f>"10-I13-02"</f>
        <v>10-I13-02</v>
      </c>
      <c r="H8333">
        <v>1.1468</v>
      </c>
      <c r="J8333" t="s">
        <v>24</v>
      </c>
      <c r="K8333" t="str">
        <f>"5F1"</f>
        <v>5F1</v>
      </c>
      <c r="L8333" t="s">
        <v>15</v>
      </c>
    </row>
    <row r="8334" spans="1:12" x14ac:dyDescent="0.25">
      <c r="A8334" t="str">
        <f t="shared" ref="A8334:A8340" si="378">"6454041869"</f>
        <v>6454041869</v>
      </c>
      <c r="B8334" t="str">
        <f t="shared" si="374"/>
        <v>89301000</v>
      </c>
      <c r="C8334" s="1">
        <v>44451</v>
      </c>
      <c r="D8334" s="1">
        <v>44491</v>
      </c>
      <c r="E8334">
        <v>4</v>
      </c>
      <c r="F8334" t="s">
        <v>3381</v>
      </c>
      <c r="G8334" t="str">
        <f>"09-K08-01"</f>
        <v>09-K08-01</v>
      </c>
      <c r="H8334">
        <v>3.3944999999999999</v>
      </c>
      <c r="I8334" t="s">
        <v>5926</v>
      </c>
      <c r="J8334" t="s">
        <v>14</v>
      </c>
      <c r="K8334" t="str">
        <f>"4F2"</f>
        <v>4F2</v>
      </c>
      <c r="L8334" t="s">
        <v>15</v>
      </c>
    </row>
    <row r="8335" spans="1:12" x14ac:dyDescent="0.25">
      <c r="A8335" t="str">
        <f t="shared" si="378"/>
        <v>6454041869</v>
      </c>
      <c r="B8335" t="str">
        <f t="shared" si="374"/>
        <v>89301000</v>
      </c>
      <c r="C8335" s="1">
        <v>44411</v>
      </c>
      <c r="D8335" s="1">
        <v>44425</v>
      </c>
      <c r="E8335">
        <v>3</v>
      </c>
      <c r="F8335" t="s">
        <v>3381</v>
      </c>
      <c r="G8335" t="str">
        <f>"09-K08-02"</f>
        <v>09-K08-02</v>
      </c>
      <c r="H8335">
        <v>0.73660000000000003</v>
      </c>
      <c r="I8335" t="s">
        <v>5927</v>
      </c>
      <c r="J8335" t="s">
        <v>14</v>
      </c>
      <c r="K8335" t="str">
        <f>"4F2"</f>
        <v>4F2</v>
      </c>
      <c r="L8335" t="s">
        <v>15</v>
      </c>
    </row>
    <row r="8336" spans="1:12" x14ac:dyDescent="0.25">
      <c r="A8336" t="str">
        <f t="shared" si="378"/>
        <v>6454041869</v>
      </c>
      <c r="B8336" t="str">
        <f t="shared" si="374"/>
        <v>89301000</v>
      </c>
      <c r="C8336" s="1">
        <v>44389</v>
      </c>
      <c r="D8336" s="1">
        <v>44397</v>
      </c>
      <c r="E8336">
        <v>1</v>
      </c>
      <c r="F8336" t="s">
        <v>3381</v>
      </c>
      <c r="G8336" t="str">
        <f>"09-K08-02"</f>
        <v>09-K08-02</v>
      </c>
      <c r="H8336">
        <v>0.54849999999999999</v>
      </c>
      <c r="I8336" t="s">
        <v>5928</v>
      </c>
      <c r="J8336" t="s">
        <v>14</v>
      </c>
      <c r="K8336" t="str">
        <f>"4F2"</f>
        <v>4F2</v>
      </c>
      <c r="L8336" t="s">
        <v>15</v>
      </c>
    </row>
    <row r="8337" spans="1:12" x14ac:dyDescent="0.25">
      <c r="A8337" t="str">
        <f t="shared" si="378"/>
        <v>6454041869</v>
      </c>
      <c r="B8337" t="str">
        <f t="shared" si="374"/>
        <v>89301000</v>
      </c>
      <c r="C8337" s="1">
        <v>44357</v>
      </c>
      <c r="D8337" s="1">
        <v>44372</v>
      </c>
      <c r="E8337">
        <v>3</v>
      </c>
      <c r="F8337" t="s">
        <v>5929</v>
      </c>
      <c r="G8337" t="str">
        <f>"08-I03-02"</f>
        <v>08-I03-02</v>
      </c>
      <c r="H8337">
        <v>7.0648999999999997</v>
      </c>
      <c r="J8337" t="s">
        <v>17</v>
      </c>
      <c r="K8337" t="str">
        <f>"5F6"</f>
        <v>5F6</v>
      </c>
      <c r="L8337" t="s">
        <v>15</v>
      </c>
    </row>
    <row r="8338" spans="1:12" x14ac:dyDescent="0.25">
      <c r="A8338" t="str">
        <f t="shared" si="378"/>
        <v>6454041869</v>
      </c>
      <c r="B8338" t="str">
        <f t="shared" si="374"/>
        <v>89301000</v>
      </c>
      <c r="C8338" s="1">
        <v>44425</v>
      </c>
      <c r="D8338" s="1">
        <v>44435</v>
      </c>
      <c r="E8338">
        <v>1</v>
      </c>
      <c r="F8338" t="s">
        <v>109</v>
      </c>
      <c r="G8338" t="str">
        <f>"24-M06-01"</f>
        <v>24-M06-01</v>
      </c>
      <c r="H8338">
        <v>1.1548</v>
      </c>
      <c r="I8338" t="s">
        <v>5930</v>
      </c>
      <c r="J8338" t="s">
        <v>14</v>
      </c>
      <c r="K8338" t="str">
        <f>"2F1"</f>
        <v>2F1</v>
      </c>
      <c r="L8338" t="s">
        <v>15</v>
      </c>
    </row>
    <row r="8339" spans="1:12" x14ac:dyDescent="0.25">
      <c r="A8339" t="str">
        <f t="shared" si="378"/>
        <v>6454041869</v>
      </c>
      <c r="B8339" t="str">
        <f t="shared" si="374"/>
        <v>89301000</v>
      </c>
      <c r="C8339" s="1">
        <v>44372</v>
      </c>
      <c r="D8339" s="1">
        <v>44389</v>
      </c>
      <c r="E8339">
        <v>3</v>
      </c>
      <c r="F8339" t="s">
        <v>109</v>
      </c>
      <c r="G8339" t="str">
        <f>"24-M07-01"</f>
        <v>24-M07-01</v>
      </c>
      <c r="H8339">
        <v>1.7399</v>
      </c>
      <c r="I8339" t="s">
        <v>5931</v>
      </c>
      <c r="J8339" t="s">
        <v>14</v>
      </c>
      <c r="K8339" t="str">
        <f>"2F1"</f>
        <v>2F1</v>
      </c>
      <c r="L8339" t="s">
        <v>15</v>
      </c>
    </row>
    <row r="8340" spans="1:12" x14ac:dyDescent="0.25">
      <c r="A8340" t="str">
        <f t="shared" si="378"/>
        <v>6454041869</v>
      </c>
      <c r="B8340" t="str">
        <f t="shared" si="374"/>
        <v>89301000</v>
      </c>
      <c r="C8340" s="1">
        <v>44328</v>
      </c>
      <c r="D8340" s="1">
        <v>44337</v>
      </c>
      <c r="E8340">
        <v>1</v>
      </c>
      <c r="F8340" t="s">
        <v>3381</v>
      </c>
      <c r="G8340" t="str">
        <f>"09-K08-02"</f>
        <v>09-K08-02</v>
      </c>
      <c r="H8340">
        <v>0.54849999999999999</v>
      </c>
      <c r="I8340" t="s">
        <v>5928</v>
      </c>
      <c r="J8340" t="s">
        <v>14</v>
      </c>
      <c r="K8340" t="str">
        <f>"4F2"</f>
        <v>4F2</v>
      </c>
      <c r="L8340" t="s">
        <v>15</v>
      </c>
    </row>
    <row r="8341" spans="1:12" x14ac:dyDescent="0.25">
      <c r="A8341" t="str">
        <f>"6454052077"</f>
        <v>6454052077</v>
      </c>
      <c r="B8341" t="str">
        <f t="shared" si="374"/>
        <v>89301000</v>
      </c>
      <c r="C8341" s="1">
        <v>44424</v>
      </c>
      <c r="D8341" s="1">
        <v>44428</v>
      </c>
      <c r="E8341">
        <v>1</v>
      </c>
      <c r="F8341" t="s">
        <v>609</v>
      </c>
      <c r="G8341" t="str">
        <f>"08-K13-02"</f>
        <v>08-K13-02</v>
      </c>
      <c r="H8341">
        <v>0.47210000000000002</v>
      </c>
      <c r="I8341" t="s">
        <v>381</v>
      </c>
      <c r="J8341" t="s">
        <v>14</v>
      </c>
      <c r="K8341" t="str">
        <f>"5F3"</f>
        <v>5F3</v>
      </c>
      <c r="L8341" t="s">
        <v>15</v>
      </c>
    </row>
    <row r="8342" spans="1:12" x14ac:dyDescent="0.25">
      <c r="A8342" t="str">
        <f>"6454052077"</f>
        <v>6454052077</v>
      </c>
      <c r="B8342" t="str">
        <f t="shared" si="374"/>
        <v>89301000</v>
      </c>
      <c r="C8342" s="1">
        <v>44445</v>
      </c>
      <c r="D8342" s="1">
        <v>44470</v>
      </c>
      <c r="E8342">
        <v>1</v>
      </c>
      <c r="F8342" t="s">
        <v>109</v>
      </c>
      <c r="G8342" t="str">
        <f>"24-M08-02"</f>
        <v>24-M08-02</v>
      </c>
      <c r="H8342">
        <v>2.3557000000000001</v>
      </c>
      <c r="I8342" t="s">
        <v>5753</v>
      </c>
      <c r="J8342" t="s">
        <v>14</v>
      </c>
      <c r="K8342" t="str">
        <f>"2F1"</f>
        <v>2F1</v>
      </c>
      <c r="L8342" t="s">
        <v>15</v>
      </c>
    </row>
    <row r="8343" spans="1:12" x14ac:dyDescent="0.25">
      <c r="A8343" t="str">
        <f>"6454071734"</f>
        <v>6454071734</v>
      </c>
      <c r="B8343" t="str">
        <f t="shared" si="374"/>
        <v>89301000</v>
      </c>
      <c r="C8343" s="1">
        <v>44417</v>
      </c>
      <c r="D8343" s="1">
        <v>44418</v>
      </c>
      <c r="E8343">
        <v>1</v>
      </c>
      <c r="F8343" t="s">
        <v>2853</v>
      </c>
      <c r="G8343" t="str">
        <f>"11-I17-03"</f>
        <v>11-I17-03</v>
      </c>
      <c r="H8343">
        <v>0.50609999999999999</v>
      </c>
      <c r="J8343" t="s">
        <v>14</v>
      </c>
      <c r="K8343" t="str">
        <f>"7F6"</f>
        <v>7F6</v>
      </c>
      <c r="L8343" t="s">
        <v>15</v>
      </c>
    </row>
    <row r="8344" spans="1:12" x14ac:dyDescent="0.25">
      <c r="A8344" t="str">
        <f>"6454102446"</f>
        <v>6454102446</v>
      </c>
      <c r="B8344" t="str">
        <f t="shared" si="374"/>
        <v>89301000</v>
      </c>
      <c r="C8344" s="1">
        <v>44252</v>
      </c>
      <c r="D8344" s="1">
        <v>44255</v>
      </c>
      <c r="E8344">
        <v>1</v>
      </c>
      <c r="F8344" t="s">
        <v>696</v>
      </c>
      <c r="G8344" t="str">
        <f>"08-I23-02"</f>
        <v>08-I23-02</v>
      </c>
      <c r="H8344">
        <v>0.93840000000000001</v>
      </c>
      <c r="I8344" t="s">
        <v>937</v>
      </c>
      <c r="J8344" t="s">
        <v>17</v>
      </c>
      <c r="K8344" t="str">
        <f>"6F6"</f>
        <v>6F6</v>
      </c>
      <c r="L8344" t="s">
        <v>15</v>
      </c>
    </row>
    <row r="8345" spans="1:12" x14ac:dyDescent="0.25">
      <c r="A8345" t="str">
        <f>"6454202480"</f>
        <v>6454202480</v>
      </c>
      <c r="B8345" t="str">
        <f t="shared" si="374"/>
        <v>89301000</v>
      </c>
      <c r="C8345" s="1">
        <v>44238</v>
      </c>
      <c r="D8345" s="1">
        <v>44242</v>
      </c>
      <c r="E8345">
        <v>1</v>
      </c>
      <c r="F8345" t="s">
        <v>3894</v>
      </c>
      <c r="G8345" t="str">
        <f>"08-M03-05"</f>
        <v>08-M03-05</v>
      </c>
      <c r="H8345">
        <v>0.51759999999999995</v>
      </c>
      <c r="I8345" t="s">
        <v>5932</v>
      </c>
      <c r="J8345" t="s">
        <v>14</v>
      </c>
      <c r="K8345" t="str">
        <f>"6F6"</f>
        <v>6F6</v>
      </c>
      <c r="L8345" t="s">
        <v>15</v>
      </c>
    </row>
    <row r="8346" spans="1:12" x14ac:dyDescent="0.25">
      <c r="A8346" t="str">
        <f>"6454202480"</f>
        <v>6454202480</v>
      </c>
      <c r="B8346" t="str">
        <f t="shared" si="374"/>
        <v>89301000</v>
      </c>
      <c r="C8346" s="1">
        <v>44243</v>
      </c>
      <c r="D8346" s="1">
        <v>44257</v>
      </c>
      <c r="E8346">
        <v>1</v>
      </c>
      <c r="F8346" t="s">
        <v>109</v>
      </c>
      <c r="G8346" t="str">
        <f>"24-M06-02"</f>
        <v>24-M06-02</v>
      </c>
      <c r="H8346">
        <v>1.0233000000000001</v>
      </c>
      <c r="I8346" t="s">
        <v>5933</v>
      </c>
      <c r="J8346" t="s">
        <v>14</v>
      </c>
      <c r="K8346" t="str">
        <f>"2F1"</f>
        <v>2F1</v>
      </c>
      <c r="L8346" t="s">
        <v>15</v>
      </c>
    </row>
    <row r="8347" spans="1:12" x14ac:dyDescent="0.25">
      <c r="A8347" t="str">
        <f>"6454280701"</f>
        <v>6454280701</v>
      </c>
      <c r="B8347" t="str">
        <f t="shared" si="374"/>
        <v>89301000</v>
      </c>
      <c r="C8347" s="1">
        <v>44237</v>
      </c>
      <c r="D8347" s="1">
        <v>44239</v>
      </c>
      <c r="E8347">
        <v>1</v>
      </c>
      <c r="F8347" t="s">
        <v>194</v>
      </c>
      <c r="G8347" t="str">
        <f>"01-K07-03"</f>
        <v>01-K07-03</v>
      </c>
      <c r="H8347">
        <v>0.4642</v>
      </c>
      <c r="I8347" t="s">
        <v>5934</v>
      </c>
      <c r="J8347" t="s">
        <v>14</v>
      </c>
      <c r="K8347" t="str">
        <f>"2F9"</f>
        <v>2F9</v>
      </c>
      <c r="L8347" t="s">
        <v>15</v>
      </c>
    </row>
    <row r="8348" spans="1:12" x14ac:dyDescent="0.25">
      <c r="A8348" t="str">
        <f>"6454290513"</f>
        <v>6454290513</v>
      </c>
      <c r="B8348" t="str">
        <f t="shared" si="374"/>
        <v>89301000</v>
      </c>
      <c r="C8348" s="1">
        <v>44282</v>
      </c>
      <c r="D8348" s="1">
        <v>44286</v>
      </c>
      <c r="E8348">
        <v>1</v>
      </c>
      <c r="F8348" t="s">
        <v>96</v>
      </c>
      <c r="G8348" t="str">
        <f>"11-K01-03"</f>
        <v>11-K01-03</v>
      </c>
      <c r="H8348">
        <v>0.59489999999999998</v>
      </c>
      <c r="I8348" t="s">
        <v>5935</v>
      </c>
      <c r="J8348" t="s">
        <v>14</v>
      </c>
      <c r="K8348" t="str">
        <f>"1F1"</f>
        <v>1F1</v>
      </c>
      <c r="L8348" t="s">
        <v>15</v>
      </c>
    </row>
    <row r="8349" spans="1:12" x14ac:dyDescent="0.25">
      <c r="A8349" t="str">
        <f>"6454292361"</f>
        <v>6454292361</v>
      </c>
      <c r="B8349" t="str">
        <f t="shared" si="374"/>
        <v>89301000</v>
      </c>
      <c r="C8349" s="1">
        <v>44243</v>
      </c>
      <c r="D8349" s="1">
        <v>44243</v>
      </c>
      <c r="E8349">
        <v>1</v>
      </c>
      <c r="F8349" t="s">
        <v>2603</v>
      </c>
      <c r="G8349" t="str">
        <f>"05-D01-08"</f>
        <v>05-D01-08</v>
      </c>
      <c r="H8349">
        <v>0.21890000000000001</v>
      </c>
      <c r="I8349" t="s">
        <v>5936</v>
      </c>
      <c r="J8349" t="s">
        <v>14</v>
      </c>
      <c r="K8349" t="str">
        <f>"1F7"</f>
        <v>1F7</v>
      </c>
      <c r="L8349" t="s">
        <v>15</v>
      </c>
    </row>
    <row r="8350" spans="1:12" x14ac:dyDescent="0.25">
      <c r="A8350" t="str">
        <f>"6455080357"</f>
        <v>6455080357</v>
      </c>
      <c r="B8350" t="str">
        <f t="shared" si="374"/>
        <v>89301000</v>
      </c>
      <c r="C8350" s="1">
        <v>44413</v>
      </c>
      <c r="D8350" s="1">
        <v>44419</v>
      </c>
      <c r="E8350">
        <v>1</v>
      </c>
      <c r="F8350" t="s">
        <v>3018</v>
      </c>
      <c r="G8350" t="str">
        <f>"10-I11-00"</f>
        <v>10-I11-00</v>
      </c>
      <c r="H8350">
        <v>1.8462000000000001</v>
      </c>
      <c r="I8350" t="s">
        <v>5937</v>
      </c>
      <c r="J8350" t="s">
        <v>24</v>
      </c>
      <c r="K8350" t="str">
        <f>"7F6"</f>
        <v>7F6</v>
      </c>
      <c r="L8350" t="s">
        <v>15</v>
      </c>
    </row>
    <row r="8351" spans="1:12" x14ac:dyDescent="0.25">
      <c r="A8351" t="str">
        <f>"6455091511"</f>
        <v>6455091511</v>
      </c>
      <c r="B8351" t="str">
        <f t="shared" si="374"/>
        <v>89301000</v>
      </c>
      <c r="C8351" s="1">
        <v>44475</v>
      </c>
      <c r="D8351" s="1">
        <v>44476</v>
      </c>
      <c r="E8351">
        <v>1</v>
      </c>
      <c r="F8351" t="s">
        <v>1557</v>
      </c>
      <c r="G8351" t="str">
        <f>"05-M06-04"</f>
        <v>05-M06-04</v>
      </c>
      <c r="H8351">
        <v>2.1958000000000002</v>
      </c>
      <c r="I8351" t="s">
        <v>5938</v>
      </c>
      <c r="J8351" t="s">
        <v>17</v>
      </c>
      <c r="K8351" t="str">
        <f>"1F1"</f>
        <v>1F1</v>
      </c>
      <c r="L8351" t="s">
        <v>15</v>
      </c>
    </row>
    <row r="8352" spans="1:12" x14ac:dyDescent="0.25">
      <c r="A8352" t="str">
        <f>"6455092193"</f>
        <v>6455092193</v>
      </c>
      <c r="B8352" t="str">
        <f t="shared" si="374"/>
        <v>89301000</v>
      </c>
      <c r="C8352" s="1">
        <v>44349</v>
      </c>
      <c r="D8352" s="1">
        <v>44352</v>
      </c>
      <c r="E8352">
        <v>1</v>
      </c>
      <c r="F8352" t="s">
        <v>63</v>
      </c>
      <c r="G8352" t="str">
        <f>"08-I21-02"</f>
        <v>08-I21-02</v>
      </c>
      <c r="H8352">
        <v>1.3371999999999999</v>
      </c>
      <c r="J8352" t="s">
        <v>17</v>
      </c>
      <c r="K8352" t="str">
        <f>"6F6"</f>
        <v>6F6</v>
      </c>
      <c r="L8352" t="s">
        <v>15</v>
      </c>
    </row>
    <row r="8353" spans="1:12" x14ac:dyDescent="0.25">
      <c r="A8353" t="str">
        <f>"6455270536"</f>
        <v>6455270536</v>
      </c>
      <c r="B8353" t="str">
        <f t="shared" si="374"/>
        <v>89301000</v>
      </c>
      <c r="C8353" s="1">
        <v>44286</v>
      </c>
      <c r="D8353" s="1">
        <v>44287</v>
      </c>
      <c r="E8353">
        <v>1</v>
      </c>
      <c r="F8353" t="s">
        <v>41</v>
      </c>
      <c r="G8353" t="str">
        <f>"01-I11-01"</f>
        <v>01-I11-01</v>
      </c>
      <c r="H8353">
        <v>0.99990000000000001</v>
      </c>
      <c r="I8353" t="s">
        <v>168</v>
      </c>
      <c r="J8353" t="s">
        <v>17</v>
      </c>
      <c r="K8353" t="str">
        <f>"7F1"</f>
        <v>7F1</v>
      </c>
      <c r="L8353" t="s">
        <v>15</v>
      </c>
    </row>
    <row r="8354" spans="1:12" x14ac:dyDescent="0.25">
      <c r="A8354" t="str">
        <f>"6455300313"</f>
        <v>6455300313</v>
      </c>
      <c r="B8354" t="str">
        <f t="shared" si="374"/>
        <v>89301000</v>
      </c>
      <c r="C8354" s="1">
        <v>44378</v>
      </c>
      <c r="D8354" s="1">
        <v>44381</v>
      </c>
      <c r="E8354">
        <v>1</v>
      </c>
      <c r="F8354" t="s">
        <v>2311</v>
      </c>
      <c r="G8354" t="str">
        <f>"08-I03-08"</f>
        <v>08-I03-08</v>
      </c>
      <c r="H8354">
        <v>2.0605000000000002</v>
      </c>
      <c r="I8354" t="s">
        <v>475</v>
      </c>
      <c r="J8354" t="s">
        <v>17</v>
      </c>
      <c r="K8354" t="str">
        <f>"5F6"</f>
        <v>5F6</v>
      </c>
      <c r="L8354" t="s">
        <v>15</v>
      </c>
    </row>
    <row r="8355" spans="1:12" x14ac:dyDescent="0.25">
      <c r="A8355" t="str">
        <f>"6456011848"</f>
        <v>6456011848</v>
      </c>
      <c r="B8355" t="str">
        <f t="shared" si="374"/>
        <v>89301000</v>
      </c>
      <c r="C8355" s="1">
        <v>44250</v>
      </c>
      <c r="D8355" s="1">
        <v>44273</v>
      </c>
      <c r="E8355">
        <v>1</v>
      </c>
      <c r="F8355" t="s">
        <v>109</v>
      </c>
      <c r="G8355" t="str">
        <f>"24-M07-01"</f>
        <v>24-M07-01</v>
      </c>
      <c r="H8355">
        <v>1.7399</v>
      </c>
      <c r="I8355" t="s">
        <v>5939</v>
      </c>
      <c r="J8355" t="s">
        <v>14</v>
      </c>
      <c r="K8355" t="str">
        <f>"2F1"</f>
        <v>2F1</v>
      </c>
      <c r="L8355" t="s">
        <v>15</v>
      </c>
    </row>
    <row r="8356" spans="1:12" x14ac:dyDescent="0.25">
      <c r="A8356" t="str">
        <f>"6456011848"</f>
        <v>6456011848</v>
      </c>
      <c r="B8356" t="str">
        <f t="shared" si="374"/>
        <v>89301000</v>
      </c>
      <c r="C8356" s="1">
        <v>44508</v>
      </c>
      <c r="D8356" s="1">
        <v>44519</v>
      </c>
      <c r="E8356">
        <v>1</v>
      </c>
      <c r="F8356" t="s">
        <v>109</v>
      </c>
      <c r="G8356" t="str">
        <f>"24-M06-01"</f>
        <v>24-M06-01</v>
      </c>
      <c r="H8356">
        <v>1.1548</v>
      </c>
      <c r="I8356" t="s">
        <v>5940</v>
      </c>
      <c r="J8356" t="s">
        <v>14</v>
      </c>
      <c r="K8356" t="str">
        <f>"2F1"</f>
        <v>2F1</v>
      </c>
      <c r="L8356" t="s">
        <v>15</v>
      </c>
    </row>
    <row r="8357" spans="1:12" x14ac:dyDescent="0.25">
      <c r="A8357" t="str">
        <f>"6456041416"</f>
        <v>6456041416</v>
      </c>
      <c r="B8357" t="str">
        <f t="shared" si="374"/>
        <v>89301000</v>
      </c>
      <c r="C8357" s="1">
        <v>44221</v>
      </c>
      <c r="D8357" s="1">
        <v>44223</v>
      </c>
      <c r="E8357">
        <v>1</v>
      </c>
      <c r="F8357" t="s">
        <v>1551</v>
      </c>
      <c r="G8357" t="str">
        <f>"09-I06-04"</f>
        <v>09-I06-04</v>
      </c>
      <c r="H8357">
        <v>0.98829999999999996</v>
      </c>
      <c r="I8357" t="s">
        <v>489</v>
      </c>
      <c r="J8357" t="s">
        <v>17</v>
      </c>
      <c r="K8357" t="str">
        <f>"5F1"</f>
        <v>5F1</v>
      </c>
      <c r="L8357" t="s">
        <v>15</v>
      </c>
    </row>
    <row r="8358" spans="1:12" x14ac:dyDescent="0.25">
      <c r="A8358" t="str">
        <f>"6456131066"</f>
        <v>6456131066</v>
      </c>
      <c r="B8358" t="str">
        <f t="shared" si="374"/>
        <v>89301000</v>
      </c>
      <c r="C8358" s="1">
        <v>44473</v>
      </c>
      <c r="D8358" s="1">
        <v>44476</v>
      </c>
      <c r="E8358">
        <v>1</v>
      </c>
      <c r="F8358" t="s">
        <v>2407</v>
      </c>
      <c r="G8358" t="str">
        <f>"08-I22-02"</f>
        <v>08-I22-02</v>
      </c>
      <c r="H8358">
        <v>1.1049</v>
      </c>
      <c r="J8358" t="s">
        <v>17</v>
      </c>
      <c r="K8358" t="str">
        <f>"6F6"</f>
        <v>6F6</v>
      </c>
      <c r="L8358" t="s">
        <v>15</v>
      </c>
    </row>
    <row r="8359" spans="1:12" x14ac:dyDescent="0.25">
      <c r="A8359" t="str">
        <f>"6456132320"</f>
        <v>6456132320</v>
      </c>
      <c r="B8359" t="str">
        <f t="shared" si="374"/>
        <v>89301000</v>
      </c>
      <c r="C8359" s="1">
        <v>44454</v>
      </c>
      <c r="D8359" s="1">
        <v>44455</v>
      </c>
      <c r="E8359">
        <v>1</v>
      </c>
      <c r="F8359" t="s">
        <v>1557</v>
      </c>
      <c r="G8359" t="str">
        <f>"05-M06-08"</f>
        <v>05-M06-08</v>
      </c>
      <c r="H8359">
        <v>1.4719</v>
      </c>
      <c r="I8359" t="s">
        <v>5941</v>
      </c>
      <c r="J8359" t="s">
        <v>17</v>
      </c>
      <c r="K8359" t="str">
        <f>"1F1"</f>
        <v>1F1</v>
      </c>
      <c r="L8359" t="s">
        <v>15</v>
      </c>
    </row>
    <row r="8360" spans="1:12" x14ac:dyDescent="0.25">
      <c r="A8360" t="str">
        <f>"6456132320"</f>
        <v>6456132320</v>
      </c>
      <c r="B8360" t="str">
        <f t="shared" si="374"/>
        <v>89301000</v>
      </c>
      <c r="C8360" s="1">
        <v>44411</v>
      </c>
      <c r="D8360" s="1">
        <v>44414</v>
      </c>
      <c r="E8360">
        <v>1</v>
      </c>
      <c r="F8360" t="s">
        <v>38</v>
      </c>
      <c r="G8360" t="str">
        <f>"05-M06-06"</f>
        <v>05-M06-06</v>
      </c>
      <c r="H8360">
        <v>1.7652000000000001</v>
      </c>
      <c r="J8360" t="s">
        <v>17</v>
      </c>
      <c r="K8360" t="str">
        <f>"1F7"</f>
        <v>1F7</v>
      </c>
      <c r="L8360" t="s">
        <v>15</v>
      </c>
    </row>
    <row r="8361" spans="1:12" x14ac:dyDescent="0.25">
      <c r="A8361" t="str">
        <f>"6456201818"</f>
        <v>6456201818</v>
      </c>
      <c r="B8361" t="str">
        <f t="shared" si="374"/>
        <v>89301000</v>
      </c>
      <c r="C8361" s="1">
        <v>44451</v>
      </c>
      <c r="D8361" s="1">
        <v>44460</v>
      </c>
      <c r="E8361">
        <v>1</v>
      </c>
      <c r="F8361" t="s">
        <v>2350</v>
      </c>
      <c r="G8361" t="str">
        <f>"01-I09-02"</f>
        <v>01-I09-02</v>
      </c>
      <c r="H8361">
        <v>1.5302</v>
      </c>
      <c r="I8361" t="s">
        <v>5942</v>
      </c>
      <c r="J8361" t="s">
        <v>17</v>
      </c>
      <c r="K8361" t="str">
        <f>"5F1"</f>
        <v>5F1</v>
      </c>
      <c r="L8361" t="s">
        <v>15</v>
      </c>
    </row>
    <row r="8362" spans="1:12" x14ac:dyDescent="0.25">
      <c r="A8362" t="str">
        <f>"6456240219"</f>
        <v>6456240219</v>
      </c>
      <c r="B8362" t="str">
        <f t="shared" si="374"/>
        <v>89301000</v>
      </c>
      <c r="C8362" s="1">
        <v>44343</v>
      </c>
      <c r="D8362" s="1">
        <v>44345</v>
      </c>
      <c r="E8362">
        <v>1</v>
      </c>
      <c r="F8362" t="s">
        <v>5943</v>
      </c>
      <c r="G8362" t="str">
        <f>"08-M03-05"</f>
        <v>08-M03-05</v>
      </c>
      <c r="H8362">
        <v>0.51759999999999995</v>
      </c>
      <c r="I8362" t="s">
        <v>381</v>
      </c>
      <c r="J8362" t="s">
        <v>14</v>
      </c>
      <c r="K8362" t="str">
        <f>"5F3"</f>
        <v>5F3</v>
      </c>
      <c r="L8362" t="s">
        <v>15</v>
      </c>
    </row>
    <row r="8363" spans="1:12" x14ac:dyDescent="0.25">
      <c r="A8363" t="str">
        <f>"6456282041"</f>
        <v>6456282041</v>
      </c>
      <c r="B8363" t="str">
        <f t="shared" si="374"/>
        <v>89301000</v>
      </c>
      <c r="C8363" s="1">
        <v>44551</v>
      </c>
      <c r="D8363" s="1">
        <v>44554</v>
      </c>
      <c r="E8363">
        <v>1</v>
      </c>
      <c r="F8363" t="s">
        <v>67</v>
      </c>
      <c r="G8363" t="str">
        <f>"01-K10-03"</f>
        <v>01-K10-03</v>
      </c>
      <c r="H8363">
        <v>1.0016</v>
      </c>
      <c r="J8363" t="s">
        <v>14</v>
      </c>
      <c r="K8363" t="str">
        <f>"2F9"</f>
        <v>2F9</v>
      </c>
      <c r="L8363" t="s">
        <v>15</v>
      </c>
    </row>
    <row r="8364" spans="1:12" x14ac:dyDescent="0.25">
      <c r="A8364" t="str">
        <f>"6457011836"</f>
        <v>6457011836</v>
      </c>
      <c r="B8364" t="str">
        <f t="shared" si="374"/>
        <v>89301000</v>
      </c>
      <c r="C8364" s="1">
        <v>44285</v>
      </c>
      <c r="D8364" s="1">
        <v>44286</v>
      </c>
      <c r="E8364">
        <v>1</v>
      </c>
      <c r="F8364" t="s">
        <v>2573</v>
      </c>
      <c r="G8364" t="str">
        <f>"13-I19-00"</f>
        <v>13-I19-00</v>
      </c>
      <c r="H8364">
        <v>0.24679999999999999</v>
      </c>
      <c r="J8364" t="s">
        <v>14</v>
      </c>
      <c r="K8364" t="str">
        <f>"6F3"</f>
        <v>6F3</v>
      </c>
      <c r="L8364" t="s">
        <v>15</v>
      </c>
    </row>
    <row r="8365" spans="1:12" x14ac:dyDescent="0.25">
      <c r="A8365" t="str">
        <f>"6457061578"</f>
        <v>6457061578</v>
      </c>
      <c r="B8365" t="str">
        <f t="shared" si="374"/>
        <v>89301000</v>
      </c>
      <c r="C8365" s="1">
        <v>44405</v>
      </c>
      <c r="D8365" s="1">
        <v>44406</v>
      </c>
      <c r="E8365">
        <v>1</v>
      </c>
      <c r="F8365" t="s">
        <v>197</v>
      </c>
      <c r="G8365" t="str">
        <f>"03-K02-03"</f>
        <v>03-K02-03</v>
      </c>
      <c r="H8365">
        <v>0.33960000000000001</v>
      </c>
      <c r="I8365" t="s">
        <v>407</v>
      </c>
      <c r="J8365" t="s">
        <v>14</v>
      </c>
      <c r="K8365" t="str">
        <f>"6F5"</f>
        <v>6F5</v>
      </c>
      <c r="L8365" t="s">
        <v>15</v>
      </c>
    </row>
    <row r="8366" spans="1:12" x14ac:dyDescent="0.25">
      <c r="A8366" t="str">
        <f>"6457091454"</f>
        <v>6457091454</v>
      </c>
      <c r="B8366" t="str">
        <f t="shared" si="374"/>
        <v>89301000</v>
      </c>
      <c r="C8366" s="1">
        <v>44257</v>
      </c>
      <c r="D8366" s="1">
        <v>44263</v>
      </c>
      <c r="E8366">
        <v>1</v>
      </c>
      <c r="F8366" t="s">
        <v>271</v>
      </c>
      <c r="G8366" t="str">
        <f>"20-K03-03"</f>
        <v>20-K03-03</v>
      </c>
      <c r="H8366">
        <v>1.0109999999999999</v>
      </c>
      <c r="I8366" t="s">
        <v>5944</v>
      </c>
      <c r="J8366" t="s">
        <v>14</v>
      </c>
      <c r="K8366" t="str">
        <f>"3F5"</f>
        <v>3F5</v>
      </c>
      <c r="L8366" t="s">
        <v>15</v>
      </c>
    </row>
    <row r="8367" spans="1:12" x14ac:dyDescent="0.25">
      <c r="A8367" t="str">
        <f>"6457131010"</f>
        <v>6457131010</v>
      </c>
      <c r="B8367" t="str">
        <f t="shared" si="374"/>
        <v>89301000</v>
      </c>
      <c r="C8367" s="1">
        <v>44313</v>
      </c>
      <c r="D8367" s="1">
        <v>44316</v>
      </c>
      <c r="E8367">
        <v>1</v>
      </c>
      <c r="F8367" t="s">
        <v>3568</v>
      </c>
      <c r="G8367" t="str">
        <f>"08-I03-08"</f>
        <v>08-I03-08</v>
      </c>
      <c r="H8367">
        <v>2.0605000000000002</v>
      </c>
      <c r="I8367" t="s">
        <v>3569</v>
      </c>
      <c r="J8367" t="s">
        <v>17</v>
      </c>
      <c r="K8367" t="str">
        <f>"5F6"</f>
        <v>5F6</v>
      </c>
      <c r="L8367" t="s">
        <v>15</v>
      </c>
    </row>
    <row r="8368" spans="1:12" x14ac:dyDescent="0.25">
      <c r="A8368" t="str">
        <f>"6457161051"</f>
        <v>6457161051</v>
      </c>
      <c r="B8368" t="str">
        <f t="shared" si="374"/>
        <v>89301000</v>
      </c>
      <c r="C8368" s="1">
        <v>44496</v>
      </c>
      <c r="D8368" s="1">
        <v>44501</v>
      </c>
      <c r="E8368">
        <v>1</v>
      </c>
      <c r="F8368" t="s">
        <v>2637</v>
      </c>
      <c r="G8368" t="str">
        <f>"23-K05-01"</f>
        <v>23-K05-01</v>
      </c>
      <c r="H8368">
        <v>0.57099999999999995</v>
      </c>
      <c r="I8368" t="s">
        <v>2638</v>
      </c>
      <c r="J8368" t="s">
        <v>14</v>
      </c>
      <c r="K8368" t="str">
        <f>"4F7"</f>
        <v>4F7</v>
      </c>
      <c r="L8368" t="s">
        <v>15</v>
      </c>
    </row>
    <row r="8369" spans="1:12" x14ac:dyDescent="0.25">
      <c r="A8369" t="str">
        <f>"6457180510"</f>
        <v>6457180510</v>
      </c>
      <c r="B8369" t="str">
        <f t="shared" si="374"/>
        <v>89301000</v>
      </c>
      <c r="C8369" s="1">
        <v>44482</v>
      </c>
      <c r="D8369" s="1">
        <v>44486</v>
      </c>
      <c r="E8369">
        <v>1</v>
      </c>
      <c r="F8369" t="s">
        <v>3462</v>
      </c>
      <c r="G8369" t="str">
        <f>"06-I17-02"</f>
        <v>06-I17-02</v>
      </c>
      <c r="H8369">
        <v>0.97919999999999996</v>
      </c>
      <c r="J8369" t="s">
        <v>17</v>
      </c>
      <c r="K8369" t="str">
        <f>"5F1"</f>
        <v>5F1</v>
      </c>
      <c r="L8369" t="s">
        <v>15</v>
      </c>
    </row>
    <row r="8370" spans="1:12" x14ac:dyDescent="0.25">
      <c r="A8370" t="str">
        <f>"6457251053"</f>
        <v>6457251053</v>
      </c>
      <c r="B8370" t="str">
        <f t="shared" si="374"/>
        <v>89301000</v>
      </c>
      <c r="C8370" s="1">
        <v>44244</v>
      </c>
      <c r="D8370" s="1">
        <v>44247</v>
      </c>
      <c r="E8370">
        <v>1</v>
      </c>
      <c r="F8370" t="s">
        <v>1551</v>
      </c>
      <c r="G8370" t="str">
        <f>"09-I06-04"</f>
        <v>09-I06-04</v>
      </c>
      <c r="H8370">
        <v>0.98829999999999996</v>
      </c>
      <c r="I8370" t="s">
        <v>489</v>
      </c>
      <c r="J8370" t="s">
        <v>17</v>
      </c>
      <c r="K8370" t="str">
        <f>"5F1"</f>
        <v>5F1</v>
      </c>
      <c r="L8370" t="s">
        <v>15</v>
      </c>
    </row>
    <row r="8371" spans="1:12" x14ac:dyDescent="0.25">
      <c r="A8371" t="str">
        <f>"6458051347"</f>
        <v>6458051347</v>
      </c>
      <c r="B8371" t="str">
        <f t="shared" si="374"/>
        <v>89301000</v>
      </c>
      <c r="C8371" s="1">
        <v>44446</v>
      </c>
      <c r="D8371" s="1">
        <v>44455</v>
      </c>
      <c r="E8371">
        <v>4</v>
      </c>
      <c r="F8371" t="s">
        <v>1968</v>
      </c>
      <c r="G8371" t="str">
        <f>"08-I05-04"</f>
        <v>08-I05-04</v>
      </c>
      <c r="H8371">
        <v>2.4581</v>
      </c>
      <c r="I8371" t="s">
        <v>5945</v>
      </c>
      <c r="J8371" t="s">
        <v>17</v>
      </c>
      <c r="K8371" t="str">
        <f>"6F6"</f>
        <v>6F6</v>
      </c>
      <c r="L8371" t="s">
        <v>15</v>
      </c>
    </row>
    <row r="8372" spans="1:12" x14ac:dyDescent="0.25">
      <c r="A8372" t="str">
        <f>"6458061027"</f>
        <v>6458061027</v>
      </c>
      <c r="B8372" t="str">
        <f t="shared" ref="B8372:B8435" si="379">"89301000"</f>
        <v>89301000</v>
      </c>
      <c r="C8372" s="1">
        <v>44235</v>
      </c>
      <c r="D8372" s="1">
        <v>44242</v>
      </c>
      <c r="E8372">
        <v>1</v>
      </c>
      <c r="F8372" t="s">
        <v>1721</v>
      </c>
      <c r="G8372" t="str">
        <f>"11-K02-03"</f>
        <v>11-K02-03</v>
      </c>
      <c r="H8372">
        <v>0.79790000000000005</v>
      </c>
      <c r="I8372" t="s">
        <v>5946</v>
      </c>
      <c r="J8372" t="s">
        <v>14</v>
      </c>
      <c r="K8372" t="str">
        <f>"1F1"</f>
        <v>1F1</v>
      </c>
      <c r="L8372" t="s">
        <v>15</v>
      </c>
    </row>
    <row r="8373" spans="1:12" x14ac:dyDescent="0.25">
      <c r="A8373" t="str">
        <f t="shared" ref="A8373:A8378" si="380">"6458191410"</f>
        <v>6458191410</v>
      </c>
      <c r="B8373" t="str">
        <f t="shared" si="379"/>
        <v>89301000</v>
      </c>
      <c r="C8373" s="1">
        <v>44455</v>
      </c>
      <c r="D8373" s="1">
        <v>44456</v>
      </c>
      <c r="E8373">
        <v>1</v>
      </c>
      <c r="F8373" t="s">
        <v>4491</v>
      </c>
      <c r="G8373" t="str">
        <f t="shared" ref="G8373:G8378" si="381">"01-K01-02"</f>
        <v>01-K01-02</v>
      </c>
      <c r="H8373">
        <v>0.50700000000000001</v>
      </c>
      <c r="I8373" t="s">
        <v>5947</v>
      </c>
      <c r="J8373" t="s">
        <v>14</v>
      </c>
      <c r="K8373" t="str">
        <f t="shared" ref="K8373:K8378" si="382">"2F9"</f>
        <v>2F9</v>
      </c>
      <c r="L8373" t="s">
        <v>15</v>
      </c>
    </row>
    <row r="8374" spans="1:12" x14ac:dyDescent="0.25">
      <c r="A8374" t="str">
        <f t="shared" si="380"/>
        <v>6458191410</v>
      </c>
      <c r="B8374" t="str">
        <f t="shared" si="379"/>
        <v>89301000</v>
      </c>
      <c r="C8374" s="1">
        <v>44420</v>
      </c>
      <c r="D8374" s="1">
        <v>44421</v>
      </c>
      <c r="E8374">
        <v>1</v>
      </c>
      <c r="F8374" t="s">
        <v>4491</v>
      </c>
      <c r="G8374" t="str">
        <f t="shared" si="381"/>
        <v>01-K01-02</v>
      </c>
      <c r="H8374">
        <v>0.50700000000000001</v>
      </c>
      <c r="I8374" t="s">
        <v>5947</v>
      </c>
      <c r="J8374" t="s">
        <v>14</v>
      </c>
      <c r="K8374" t="str">
        <f t="shared" si="382"/>
        <v>2F9</v>
      </c>
      <c r="L8374" t="s">
        <v>15</v>
      </c>
    </row>
    <row r="8375" spans="1:12" x14ac:dyDescent="0.25">
      <c r="A8375" t="str">
        <f t="shared" si="380"/>
        <v>6458191410</v>
      </c>
      <c r="B8375" t="str">
        <f t="shared" si="379"/>
        <v>89301000</v>
      </c>
      <c r="C8375" s="1">
        <v>44384</v>
      </c>
      <c r="D8375" s="1">
        <v>44385</v>
      </c>
      <c r="E8375">
        <v>1</v>
      </c>
      <c r="F8375" t="s">
        <v>4491</v>
      </c>
      <c r="G8375" t="str">
        <f t="shared" si="381"/>
        <v>01-K01-02</v>
      </c>
      <c r="H8375">
        <v>0.50700000000000001</v>
      </c>
      <c r="I8375" t="s">
        <v>5813</v>
      </c>
      <c r="J8375" t="s">
        <v>14</v>
      </c>
      <c r="K8375" t="str">
        <f t="shared" si="382"/>
        <v>2F9</v>
      </c>
      <c r="L8375" t="s">
        <v>15</v>
      </c>
    </row>
    <row r="8376" spans="1:12" x14ac:dyDescent="0.25">
      <c r="A8376" t="str">
        <f t="shared" si="380"/>
        <v>6458191410</v>
      </c>
      <c r="B8376" t="str">
        <f t="shared" si="379"/>
        <v>89301000</v>
      </c>
      <c r="C8376" s="1">
        <v>44328</v>
      </c>
      <c r="D8376" s="1">
        <v>44329</v>
      </c>
      <c r="E8376">
        <v>1</v>
      </c>
      <c r="F8376" t="s">
        <v>4491</v>
      </c>
      <c r="G8376" t="str">
        <f t="shared" si="381"/>
        <v>01-K01-02</v>
      </c>
      <c r="H8376">
        <v>0.50700000000000001</v>
      </c>
      <c r="I8376" t="s">
        <v>5947</v>
      </c>
      <c r="J8376" t="s">
        <v>14</v>
      </c>
      <c r="K8376" t="str">
        <f t="shared" si="382"/>
        <v>2F9</v>
      </c>
      <c r="L8376" t="s">
        <v>15</v>
      </c>
    </row>
    <row r="8377" spans="1:12" x14ac:dyDescent="0.25">
      <c r="A8377" t="str">
        <f t="shared" si="380"/>
        <v>6458191410</v>
      </c>
      <c r="B8377" t="str">
        <f t="shared" si="379"/>
        <v>89301000</v>
      </c>
      <c r="C8377" s="1">
        <v>44518</v>
      </c>
      <c r="D8377" s="1">
        <v>44519</v>
      </c>
      <c r="E8377">
        <v>1</v>
      </c>
      <c r="F8377" t="s">
        <v>4491</v>
      </c>
      <c r="G8377" t="str">
        <f t="shared" si="381"/>
        <v>01-K01-02</v>
      </c>
      <c r="H8377">
        <v>0.50700000000000001</v>
      </c>
      <c r="I8377" t="s">
        <v>5948</v>
      </c>
      <c r="J8377" t="s">
        <v>14</v>
      </c>
      <c r="K8377" t="str">
        <f t="shared" si="382"/>
        <v>2F9</v>
      </c>
      <c r="L8377" t="s">
        <v>15</v>
      </c>
    </row>
    <row r="8378" spans="1:12" x14ac:dyDescent="0.25">
      <c r="A8378" t="str">
        <f t="shared" si="380"/>
        <v>6458191410</v>
      </c>
      <c r="B8378" t="str">
        <f t="shared" si="379"/>
        <v>89301000</v>
      </c>
      <c r="C8378" s="1">
        <v>44393</v>
      </c>
      <c r="D8378" s="1">
        <v>44398</v>
      </c>
      <c r="E8378">
        <v>1</v>
      </c>
      <c r="F8378" t="s">
        <v>4491</v>
      </c>
      <c r="G8378" t="str">
        <f t="shared" si="381"/>
        <v>01-K01-02</v>
      </c>
      <c r="H8378">
        <v>0.50700000000000001</v>
      </c>
      <c r="J8378" t="s">
        <v>14</v>
      </c>
      <c r="K8378" t="str">
        <f t="shared" si="382"/>
        <v>2F9</v>
      </c>
      <c r="L8378" t="s">
        <v>15</v>
      </c>
    </row>
    <row r="8379" spans="1:12" x14ac:dyDescent="0.25">
      <c r="A8379" t="str">
        <f>"6458212101"</f>
        <v>6458212101</v>
      </c>
      <c r="B8379" t="str">
        <f t="shared" si="379"/>
        <v>89301000</v>
      </c>
      <c r="C8379" s="1">
        <v>44351</v>
      </c>
      <c r="D8379" s="1">
        <v>44354</v>
      </c>
      <c r="E8379">
        <v>1</v>
      </c>
      <c r="F8379" t="s">
        <v>831</v>
      </c>
      <c r="G8379" t="str">
        <f>"02-I06-03"</f>
        <v>02-I06-03</v>
      </c>
      <c r="H8379">
        <v>0.63690000000000002</v>
      </c>
      <c r="I8379" t="s">
        <v>2202</v>
      </c>
      <c r="J8379" t="s">
        <v>17</v>
      </c>
      <c r="K8379" t="str">
        <f>"7F5"</f>
        <v>7F5</v>
      </c>
      <c r="L8379" t="s">
        <v>15</v>
      </c>
    </row>
    <row r="8380" spans="1:12" x14ac:dyDescent="0.25">
      <c r="A8380" t="str">
        <f>"6458251228"</f>
        <v>6458251228</v>
      </c>
      <c r="B8380" t="str">
        <f t="shared" si="379"/>
        <v>89301000</v>
      </c>
      <c r="C8380" s="1">
        <v>44312</v>
      </c>
      <c r="D8380" s="1">
        <v>44313</v>
      </c>
      <c r="E8380">
        <v>1</v>
      </c>
      <c r="F8380" t="s">
        <v>1340</v>
      </c>
      <c r="G8380" t="str">
        <f>"16-K02-03"</f>
        <v>16-K02-03</v>
      </c>
      <c r="H8380">
        <v>0.5302</v>
      </c>
      <c r="I8380" t="s">
        <v>5949</v>
      </c>
      <c r="J8380" t="s">
        <v>14</v>
      </c>
      <c r="K8380" t="str">
        <f>"1F1"</f>
        <v>1F1</v>
      </c>
      <c r="L8380" t="s">
        <v>15</v>
      </c>
    </row>
    <row r="8381" spans="1:12" x14ac:dyDescent="0.25">
      <c r="A8381" t="str">
        <f>"6458261777"</f>
        <v>6458261777</v>
      </c>
      <c r="B8381" t="str">
        <f t="shared" si="379"/>
        <v>89301000</v>
      </c>
      <c r="C8381" s="1">
        <v>44377</v>
      </c>
      <c r="D8381" s="1">
        <v>44391</v>
      </c>
      <c r="E8381">
        <v>1</v>
      </c>
      <c r="F8381" t="s">
        <v>2910</v>
      </c>
      <c r="G8381" t="str">
        <f>"06-C02-03"</f>
        <v>06-C02-03</v>
      </c>
      <c r="H8381">
        <v>0.67490000000000006</v>
      </c>
      <c r="I8381" t="s">
        <v>5950</v>
      </c>
      <c r="J8381" t="s">
        <v>14</v>
      </c>
      <c r="K8381" t="str">
        <f>"4F2"</f>
        <v>4F2</v>
      </c>
      <c r="L8381" t="s">
        <v>15</v>
      </c>
    </row>
    <row r="8382" spans="1:12" x14ac:dyDescent="0.25">
      <c r="A8382" t="str">
        <f>"6458261777"</f>
        <v>6458261777</v>
      </c>
      <c r="B8382" t="str">
        <f t="shared" si="379"/>
        <v>89301000</v>
      </c>
      <c r="C8382" s="1">
        <v>44397</v>
      </c>
      <c r="D8382" s="1">
        <v>44406</v>
      </c>
      <c r="E8382">
        <v>1</v>
      </c>
      <c r="F8382" t="s">
        <v>2910</v>
      </c>
      <c r="G8382" t="str">
        <f>"06-K14-01"</f>
        <v>06-K14-01</v>
      </c>
      <c r="H8382">
        <v>1.17</v>
      </c>
      <c r="I8382" t="s">
        <v>5951</v>
      </c>
      <c r="J8382" t="s">
        <v>14</v>
      </c>
      <c r="K8382" t="str">
        <f>"4F2"</f>
        <v>4F2</v>
      </c>
      <c r="L8382" t="s">
        <v>15</v>
      </c>
    </row>
    <row r="8383" spans="1:12" x14ac:dyDescent="0.25">
      <c r="A8383" t="str">
        <f>"6458261777"</f>
        <v>6458261777</v>
      </c>
      <c r="B8383" t="str">
        <f t="shared" si="379"/>
        <v>89301000</v>
      </c>
      <c r="C8383" s="1">
        <v>44413</v>
      </c>
      <c r="D8383" s="1">
        <v>44418</v>
      </c>
      <c r="E8383">
        <v>1</v>
      </c>
      <c r="F8383" t="s">
        <v>2910</v>
      </c>
      <c r="G8383" t="str">
        <f>"06-K14-02"</f>
        <v>06-K14-02</v>
      </c>
      <c r="H8383">
        <v>0.57279999999999998</v>
      </c>
      <c r="I8383" t="s">
        <v>5952</v>
      </c>
      <c r="J8383" t="s">
        <v>14</v>
      </c>
      <c r="K8383" t="str">
        <f>"4F2"</f>
        <v>4F2</v>
      </c>
      <c r="L8383" t="s">
        <v>15</v>
      </c>
    </row>
    <row r="8384" spans="1:12" x14ac:dyDescent="0.25">
      <c r="A8384" t="str">
        <f>"6458261777"</f>
        <v>6458261777</v>
      </c>
      <c r="B8384" t="str">
        <f t="shared" si="379"/>
        <v>89301000</v>
      </c>
      <c r="C8384" s="1">
        <v>44466</v>
      </c>
      <c r="D8384" s="1">
        <v>44477</v>
      </c>
      <c r="E8384">
        <v>1</v>
      </c>
      <c r="F8384" t="s">
        <v>2910</v>
      </c>
      <c r="G8384" t="str">
        <f>"06-R01-05"</f>
        <v>06-R01-05</v>
      </c>
      <c r="H8384">
        <v>2.2970000000000002</v>
      </c>
      <c r="I8384" t="s">
        <v>5953</v>
      </c>
      <c r="J8384" t="s">
        <v>14</v>
      </c>
      <c r="K8384" t="str">
        <f>"4F2"</f>
        <v>4F2</v>
      </c>
      <c r="L8384" t="s">
        <v>15</v>
      </c>
    </row>
    <row r="8385" spans="1:12" x14ac:dyDescent="0.25">
      <c r="A8385" t="str">
        <f>"6458261777"</f>
        <v>6458261777</v>
      </c>
      <c r="B8385" t="str">
        <f t="shared" si="379"/>
        <v>89301000</v>
      </c>
      <c r="C8385" s="1">
        <v>44361</v>
      </c>
      <c r="D8385" s="1">
        <v>44371</v>
      </c>
      <c r="E8385">
        <v>1</v>
      </c>
      <c r="F8385" t="s">
        <v>2910</v>
      </c>
      <c r="G8385" t="str">
        <f>"06-C02-03"</f>
        <v>06-C02-03</v>
      </c>
      <c r="H8385">
        <v>0.54459999999999997</v>
      </c>
      <c r="I8385" t="s">
        <v>5954</v>
      </c>
      <c r="J8385" t="s">
        <v>14</v>
      </c>
      <c r="K8385" t="str">
        <f>"4F2"</f>
        <v>4F2</v>
      </c>
      <c r="L8385" t="s">
        <v>15</v>
      </c>
    </row>
    <row r="8386" spans="1:12" x14ac:dyDescent="0.25">
      <c r="A8386" t="str">
        <f>"6458300915"</f>
        <v>6458300915</v>
      </c>
      <c r="B8386" t="str">
        <f t="shared" si="379"/>
        <v>89301000</v>
      </c>
      <c r="C8386" s="1">
        <v>44255</v>
      </c>
      <c r="D8386" s="1">
        <v>44258</v>
      </c>
      <c r="E8386">
        <v>1</v>
      </c>
      <c r="F8386" t="s">
        <v>81</v>
      </c>
      <c r="G8386" t="str">
        <f>"10-I13-02"</f>
        <v>10-I13-02</v>
      </c>
      <c r="H8386">
        <v>1.1468</v>
      </c>
      <c r="J8386" t="s">
        <v>24</v>
      </c>
      <c r="K8386" t="str">
        <f>"5F1"</f>
        <v>5F1</v>
      </c>
      <c r="L8386" t="s">
        <v>15</v>
      </c>
    </row>
    <row r="8387" spans="1:12" x14ac:dyDescent="0.25">
      <c r="A8387" t="str">
        <f>"6458300915"</f>
        <v>6458300915</v>
      </c>
      <c r="B8387" t="str">
        <f t="shared" si="379"/>
        <v>89301000</v>
      </c>
      <c r="C8387" s="1">
        <v>44284</v>
      </c>
      <c r="D8387" s="1">
        <v>44293</v>
      </c>
      <c r="E8387">
        <v>1</v>
      </c>
      <c r="F8387" t="s">
        <v>79</v>
      </c>
      <c r="G8387" t="str">
        <f>"10-R02-01"</f>
        <v>10-R02-01</v>
      </c>
      <c r="H8387">
        <v>0.9698</v>
      </c>
      <c r="I8387" t="s">
        <v>80</v>
      </c>
      <c r="J8387" t="s">
        <v>24</v>
      </c>
      <c r="K8387" t="str">
        <f>"4F7"</f>
        <v>4F7</v>
      </c>
      <c r="L8387" t="s">
        <v>15</v>
      </c>
    </row>
    <row r="8388" spans="1:12" x14ac:dyDescent="0.25">
      <c r="A8388" t="str">
        <f>"6459021041"</f>
        <v>6459021041</v>
      </c>
      <c r="B8388" t="str">
        <f t="shared" si="379"/>
        <v>89301000</v>
      </c>
      <c r="C8388" s="1">
        <v>44202</v>
      </c>
      <c r="D8388" s="1">
        <v>44204</v>
      </c>
      <c r="E8388">
        <v>1</v>
      </c>
      <c r="F8388" t="s">
        <v>3371</v>
      </c>
      <c r="G8388" t="str">
        <f>"08-M03-02"</f>
        <v>08-M03-02</v>
      </c>
      <c r="H8388">
        <v>0.86970000000000003</v>
      </c>
      <c r="I8388" t="s">
        <v>30</v>
      </c>
      <c r="J8388" t="s">
        <v>14</v>
      </c>
      <c r="K8388" t="str">
        <f>"6F6"</f>
        <v>6F6</v>
      </c>
      <c r="L8388" t="s">
        <v>15</v>
      </c>
    </row>
    <row r="8389" spans="1:12" x14ac:dyDescent="0.25">
      <c r="A8389" t="str">
        <f>"6459091760"</f>
        <v>6459091760</v>
      </c>
      <c r="B8389" t="str">
        <f t="shared" si="379"/>
        <v>89301000</v>
      </c>
      <c r="C8389" s="1">
        <v>44356</v>
      </c>
      <c r="D8389" s="1">
        <v>44364</v>
      </c>
      <c r="E8389">
        <v>1</v>
      </c>
      <c r="F8389" t="s">
        <v>1321</v>
      </c>
      <c r="G8389" t="str">
        <f>"09-K01-02"</f>
        <v>09-K01-02</v>
      </c>
      <c r="H8389">
        <v>1.0527</v>
      </c>
      <c r="I8389" t="s">
        <v>5955</v>
      </c>
      <c r="J8389" t="s">
        <v>14</v>
      </c>
      <c r="K8389" t="str">
        <f>"1F1"</f>
        <v>1F1</v>
      </c>
      <c r="L8389" t="s">
        <v>15</v>
      </c>
    </row>
    <row r="8390" spans="1:12" x14ac:dyDescent="0.25">
      <c r="A8390" t="str">
        <f>"6459091760"</f>
        <v>6459091760</v>
      </c>
      <c r="B8390" t="str">
        <f t="shared" si="379"/>
        <v>89301000</v>
      </c>
      <c r="C8390" s="1">
        <v>44299</v>
      </c>
      <c r="D8390" s="1">
        <v>44309</v>
      </c>
      <c r="E8390">
        <v>1</v>
      </c>
      <c r="F8390" t="s">
        <v>876</v>
      </c>
      <c r="G8390" t="str">
        <f>"11-I11-01"</f>
        <v>11-I11-01</v>
      </c>
      <c r="H8390">
        <v>2.7764000000000002</v>
      </c>
      <c r="I8390" t="s">
        <v>5956</v>
      </c>
      <c r="J8390" t="s">
        <v>14</v>
      </c>
      <c r="K8390" t="str">
        <f>"7F6"</f>
        <v>7F6</v>
      </c>
      <c r="L8390" t="s">
        <v>15</v>
      </c>
    </row>
    <row r="8391" spans="1:12" x14ac:dyDescent="0.25">
      <c r="A8391" t="str">
        <f>"6459091760"</f>
        <v>6459091760</v>
      </c>
      <c r="B8391" t="str">
        <f t="shared" si="379"/>
        <v>89301000</v>
      </c>
      <c r="C8391" s="1">
        <v>44250</v>
      </c>
      <c r="D8391" s="1">
        <v>44260</v>
      </c>
      <c r="E8391">
        <v>1</v>
      </c>
      <c r="F8391" t="s">
        <v>479</v>
      </c>
      <c r="G8391" t="str">
        <f>"18-K01-04"</f>
        <v>18-K01-04</v>
      </c>
      <c r="H8391">
        <v>2.4565000000000001</v>
      </c>
      <c r="I8391" t="s">
        <v>5957</v>
      </c>
      <c r="J8391" t="s">
        <v>14</v>
      </c>
      <c r="K8391" t="str">
        <f>"1F1"</f>
        <v>1F1</v>
      </c>
      <c r="L8391" t="s">
        <v>15</v>
      </c>
    </row>
    <row r="8392" spans="1:12" x14ac:dyDescent="0.25">
      <c r="A8392" t="str">
        <f>"6459152007"</f>
        <v>6459152007</v>
      </c>
      <c r="B8392" t="str">
        <f t="shared" si="379"/>
        <v>89301000</v>
      </c>
      <c r="C8392" s="1">
        <v>44448</v>
      </c>
      <c r="D8392" s="1">
        <v>44449</v>
      </c>
      <c r="E8392">
        <v>1</v>
      </c>
      <c r="F8392" t="s">
        <v>1545</v>
      </c>
      <c r="G8392" t="str">
        <f>"05-D01-06"</f>
        <v>05-D01-06</v>
      </c>
      <c r="H8392">
        <v>0.7611</v>
      </c>
      <c r="I8392" t="s">
        <v>1892</v>
      </c>
      <c r="J8392" t="s">
        <v>14</v>
      </c>
      <c r="K8392" t="str">
        <f>"1F1"</f>
        <v>1F1</v>
      </c>
      <c r="L8392" t="s">
        <v>15</v>
      </c>
    </row>
    <row r="8393" spans="1:12" x14ac:dyDescent="0.25">
      <c r="A8393" t="str">
        <f>"6459152007"</f>
        <v>6459152007</v>
      </c>
      <c r="B8393" t="str">
        <f t="shared" si="379"/>
        <v>89301000</v>
      </c>
      <c r="C8393" s="1">
        <v>44462</v>
      </c>
      <c r="D8393" s="1">
        <v>44463</v>
      </c>
      <c r="E8393">
        <v>1</v>
      </c>
      <c r="F8393" t="s">
        <v>1545</v>
      </c>
      <c r="G8393" t="str">
        <f>"05-I14-04"</f>
        <v>05-I14-04</v>
      </c>
      <c r="H8393">
        <v>5.4002999999999997</v>
      </c>
      <c r="I8393" t="s">
        <v>1602</v>
      </c>
      <c r="J8393" t="s">
        <v>14</v>
      </c>
      <c r="K8393" t="str">
        <f>"1F1"</f>
        <v>1F1</v>
      </c>
      <c r="L8393" t="s">
        <v>15</v>
      </c>
    </row>
    <row r="8394" spans="1:12" x14ac:dyDescent="0.25">
      <c r="A8394" t="str">
        <f>"6459191849"</f>
        <v>6459191849</v>
      </c>
      <c r="B8394" t="str">
        <f t="shared" si="379"/>
        <v>89301000</v>
      </c>
      <c r="C8394" s="1">
        <v>44238</v>
      </c>
      <c r="D8394" s="1">
        <v>44238</v>
      </c>
      <c r="E8394">
        <v>1</v>
      </c>
      <c r="F8394" t="s">
        <v>1557</v>
      </c>
      <c r="G8394" t="str">
        <f>"05-D01-08"</f>
        <v>05-D01-08</v>
      </c>
      <c r="H8394">
        <v>0.21890000000000001</v>
      </c>
      <c r="I8394" t="s">
        <v>5958</v>
      </c>
      <c r="J8394" t="s">
        <v>14</v>
      </c>
      <c r="K8394" t="str">
        <f>"1F7"</f>
        <v>1F7</v>
      </c>
      <c r="L8394" t="s">
        <v>15</v>
      </c>
    </row>
    <row r="8395" spans="1:12" x14ac:dyDescent="0.25">
      <c r="A8395" t="str">
        <f>"6459191849"</f>
        <v>6459191849</v>
      </c>
      <c r="B8395" t="str">
        <f t="shared" si="379"/>
        <v>89301000</v>
      </c>
      <c r="C8395" s="1">
        <v>44249</v>
      </c>
      <c r="D8395" s="1">
        <v>44258</v>
      </c>
      <c r="E8395">
        <v>1</v>
      </c>
      <c r="F8395" t="s">
        <v>1557</v>
      </c>
      <c r="G8395" t="str">
        <f>"05-I16-06"</f>
        <v>05-I16-06</v>
      </c>
      <c r="H8395">
        <v>5.2988</v>
      </c>
      <c r="J8395" t="s">
        <v>17</v>
      </c>
      <c r="K8395" t="str">
        <f>"5F5"</f>
        <v>5F5</v>
      </c>
      <c r="L8395" t="s">
        <v>15</v>
      </c>
    </row>
    <row r="8396" spans="1:12" x14ac:dyDescent="0.25">
      <c r="A8396" t="str">
        <f>"6460190077"</f>
        <v>6460190077</v>
      </c>
      <c r="B8396" t="str">
        <f t="shared" si="379"/>
        <v>89301000</v>
      </c>
      <c r="C8396" s="1">
        <v>44500</v>
      </c>
      <c r="D8396" s="1">
        <v>44503</v>
      </c>
      <c r="E8396">
        <v>1</v>
      </c>
      <c r="F8396" t="s">
        <v>496</v>
      </c>
      <c r="G8396" t="str">
        <f>"08-M03-05"</f>
        <v>08-M03-05</v>
      </c>
      <c r="H8396">
        <v>0.51759999999999995</v>
      </c>
      <c r="I8396" t="s">
        <v>5959</v>
      </c>
      <c r="J8396" t="s">
        <v>14</v>
      </c>
      <c r="K8396" t="str">
        <f>"6F6"</f>
        <v>6F6</v>
      </c>
      <c r="L8396" t="s">
        <v>15</v>
      </c>
    </row>
    <row r="8397" spans="1:12" x14ac:dyDescent="0.25">
      <c r="A8397" t="str">
        <f>"6461111591"</f>
        <v>6461111591</v>
      </c>
      <c r="B8397" t="str">
        <f t="shared" si="379"/>
        <v>89301000</v>
      </c>
      <c r="C8397" s="1">
        <v>44338</v>
      </c>
      <c r="D8397" s="1">
        <v>44343</v>
      </c>
      <c r="E8397">
        <v>1</v>
      </c>
      <c r="F8397" t="s">
        <v>2683</v>
      </c>
      <c r="G8397" t="str">
        <f>"08-I16-03"</f>
        <v>08-I16-03</v>
      </c>
      <c r="H8397">
        <v>1.3984000000000001</v>
      </c>
      <c r="I8397" t="s">
        <v>512</v>
      </c>
      <c r="J8397" t="s">
        <v>17</v>
      </c>
      <c r="K8397" t="str">
        <f>"5F3"</f>
        <v>5F3</v>
      </c>
      <c r="L8397" t="s">
        <v>15</v>
      </c>
    </row>
    <row r="8398" spans="1:12" x14ac:dyDescent="0.25">
      <c r="A8398" t="str">
        <f>"6461120732"</f>
        <v>6461120732</v>
      </c>
      <c r="B8398" t="str">
        <f t="shared" si="379"/>
        <v>89301000</v>
      </c>
      <c r="C8398" s="1">
        <v>44529</v>
      </c>
      <c r="D8398" s="1">
        <v>44553</v>
      </c>
      <c r="E8398">
        <v>1</v>
      </c>
      <c r="F8398" t="s">
        <v>217</v>
      </c>
      <c r="G8398" t="str">
        <f>"00-M01-04"</f>
        <v>00-M01-04</v>
      </c>
      <c r="H8398">
        <v>6.85</v>
      </c>
      <c r="I8398" t="s">
        <v>5960</v>
      </c>
      <c r="J8398" t="s">
        <v>14</v>
      </c>
      <c r="K8398" t="str">
        <f>"2F5"</f>
        <v>2F5</v>
      </c>
      <c r="L8398" t="s">
        <v>15</v>
      </c>
    </row>
    <row r="8399" spans="1:12" x14ac:dyDescent="0.25">
      <c r="A8399" t="str">
        <f>"6461240951"</f>
        <v>6461240951</v>
      </c>
      <c r="B8399" t="str">
        <f t="shared" si="379"/>
        <v>89301000</v>
      </c>
      <c r="C8399" s="1">
        <v>44250</v>
      </c>
      <c r="D8399" s="1">
        <v>44252</v>
      </c>
      <c r="E8399">
        <v>1</v>
      </c>
      <c r="F8399" t="s">
        <v>2303</v>
      </c>
      <c r="G8399" t="str">
        <f>"13-I19-00"</f>
        <v>13-I19-00</v>
      </c>
      <c r="H8399">
        <v>0.24679999999999999</v>
      </c>
      <c r="J8399" t="s">
        <v>14</v>
      </c>
      <c r="K8399" t="str">
        <f>"6F3"</f>
        <v>6F3</v>
      </c>
      <c r="L8399" t="s">
        <v>15</v>
      </c>
    </row>
    <row r="8400" spans="1:12" x14ac:dyDescent="0.25">
      <c r="A8400" t="str">
        <f>"6461240951"</f>
        <v>6461240951</v>
      </c>
      <c r="B8400" t="str">
        <f t="shared" si="379"/>
        <v>89301000</v>
      </c>
      <c r="C8400" s="1">
        <v>44389</v>
      </c>
      <c r="D8400" s="1">
        <v>44403</v>
      </c>
      <c r="E8400">
        <v>1</v>
      </c>
      <c r="F8400" t="s">
        <v>453</v>
      </c>
      <c r="G8400" t="str">
        <f>"19-K04-02"</f>
        <v>19-K04-02</v>
      </c>
      <c r="H8400">
        <v>1.4597</v>
      </c>
      <c r="I8400" t="s">
        <v>5961</v>
      </c>
      <c r="J8400" t="s">
        <v>27</v>
      </c>
      <c r="K8400" t="str">
        <f>"3F5"</f>
        <v>3F5</v>
      </c>
      <c r="L8400" t="s">
        <v>15</v>
      </c>
    </row>
    <row r="8401" spans="1:12" x14ac:dyDescent="0.25">
      <c r="A8401" t="str">
        <f>"6461251038"</f>
        <v>6461251038</v>
      </c>
      <c r="B8401" t="str">
        <f t="shared" si="379"/>
        <v>89301000</v>
      </c>
      <c r="C8401" s="1">
        <v>44393</v>
      </c>
      <c r="D8401" s="1">
        <v>44394</v>
      </c>
      <c r="E8401">
        <v>1</v>
      </c>
      <c r="F8401" t="s">
        <v>489</v>
      </c>
      <c r="G8401" t="str">
        <f>"05-D01-08"</f>
        <v>05-D01-08</v>
      </c>
      <c r="H8401">
        <v>0.4093</v>
      </c>
      <c r="I8401" t="s">
        <v>1892</v>
      </c>
      <c r="J8401" t="s">
        <v>14</v>
      </c>
      <c r="K8401" t="str">
        <f>"1F7"</f>
        <v>1F7</v>
      </c>
      <c r="L8401" t="s">
        <v>15</v>
      </c>
    </row>
    <row r="8402" spans="1:12" x14ac:dyDescent="0.25">
      <c r="A8402" t="str">
        <f>"6462020708"</f>
        <v>6462020708</v>
      </c>
      <c r="B8402" t="str">
        <f t="shared" si="379"/>
        <v>89301000</v>
      </c>
      <c r="C8402" s="1">
        <v>44425</v>
      </c>
      <c r="D8402" s="1">
        <v>44427</v>
      </c>
      <c r="E8402">
        <v>1</v>
      </c>
      <c r="F8402" t="s">
        <v>144</v>
      </c>
      <c r="G8402" t="str">
        <f>"04-K10-02"</f>
        <v>04-K10-02</v>
      </c>
      <c r="H8402">
        <v>0.38879999999999998</v>
      </c>
      <c r="I8402" t="s">
        <v>5962</v>
      </c>
      <c r="J8402" t="s">
        <v>14</v>
      </c>
      <c r="K8402" t="str">
        <f>"2F5"</f>
        <v>2F5</v>
      </c>
      <c r="L8402" t="s">
        <v>15</v>
      </c>
    </row>
    <row r="8403" spans="1:12" x14ac:dyDescent="0.25">
      <c r="A8403" t="str">
        <f>"6462020708"</f>
        <v>6462020708</v>
      </c>
      <c r="B8403" t="str">
        <f t="shared" si="379"/>
        <v>89301000</v>
      </c>
      <c r="C8403" s="1">
        <v>44455</v>
      </c>
      <c r="D8403" s="1">
        <v>44459</v>
      </c>
      <c r="E8403">
        <v>1</v>
      </c>
      <c r="F8403" t="s">
        <v>144</v>
      </c>
      <c r="G8403" t="str">
        <f>"04-K10-02"</f>
        <v>04-K10-02</v>
      </c>
      <c r="H8403">
        <v>0.38879999999999998</v>
      </c>
      <c r="I8403" t="s">
        <v>5963</v>
      </c>
      <c r="J8403" t="s">
        <v>14</v>
      </c>
      <c r="K8403" t="str">
        <f>"2F5"</f>
        <v>2F5</v>
      </c>
      <c r="L8403" t="s">
        <v>15</v>
      </c>
    </row>
    <row r="8404" spans="1:12" x14ac:dyDescent="0.25">
      <c r="A8404" t="str">
        <f>"6462100865"</f>
        <v>6462100865</v>
      </c>
      <c r="B8404" t="str">
        <f t="shared" si="379"/>
        <v>89301000</v>
      </c>
      <c r="C8404" s="1">
        <v>44241</v>
      </c>
      <c r="D8404" s="1">
        <v>44245</v>
      </c>
      <c r="E8404">
        <v>1</v>
      </c>
      <c r="F8404" t="s">
        <v>2068</v>
      </c>
      <c r="G8404" t="str">
        <f>"02-I06-02"</f>
        <v>02-I06-02</v>
      </c>
      <c r="H8404">
        <v>0.90300000000000002</v>
      </c>
      <c r="I8404" t="s">
        <v>5964</v>
      </c>
      <c r="J8404" t="s">
        <v>17</v>
      </c>
      <c r="K8404" t="str">
        <f>"7F5"</f>
        <v>7F5</v>
      </c>
      <c r="L8404" t="s">
        <v>15</v>
      </c>
    </row>
    <row r="8405" spans="1:12" x14ac:dyDescent="0.25">
      <c r="A8405" t="str">
        <f>"6462311559"</f>
        <v>6462311559</v>
      </c>
      <c r="B8405" t="str">
        <f t="shared" si="379"/>
        <v>89301000</v>
      </c>
      <c r="C8405" s="1">
        <v>44227</v>
      </c>
      <c r="D8405" s="1">
        <v>44230</v>
      </c>
      <c r="E8405">
        <v>1</v>
      </c>
      <c r="F8405" t="s">
        <v>81</v>
      </c>
      <c r="G8405" t="str">
        <f>"10-I13-02"</f>
        <v>10-I13-02</v>
      </c>
      <c r="H8405">
        <v>1.1468</v>
      </c>
      <c r="J8405" t="s">
        <v>24</v>
      </c>
      <c r="K8405" t="str">
        <f>"5F5"</f>
        <v>5F5</v>
      </c>
      <c r="L8405" t="s">
        <v>15</v>
      </c>
    </row>
    <row r="8406" spans="1:12" x14ac:dyDescent="0.25">
      <c r="A8406" t="str">
        <f>"6501010780"</f>
        <v>6501010780</v>
      </c>
      <c r="B8406" t="str">
        <f t="shared" si="379"/>
        <v>89301000</v>
      </c>
      <c r="C8406" s="1">
        <v>44290</v>
      </c>
      <c r="D8406" s="1">
        <v>44300</v>
      </c>
      <c r="E8406">
        <v>8</v>
      </c>
      <c r="F8406" t="s">
        <v>979</v>
      </c>
      <c r="G8406" t="str">
        <f>"00-M01-04"</f>
        <v>00-M01-04</v>
      </c>
      <c r="H8406">
        <v>6.85</v>
      </c>
      <c r="I8406" t="s">
        <v>5965</v>
      </c>
      <c r="J8406" t="s">
        <v>14</v>
      </c>
      <c r="K8406" t="str">
        <f>"1T1"</f>
        <v>1T1</v>
      </c>
      <c r="L8406" t="s">
        <v>15</v>
      </c>
    </row>
    <row r="8407" spans="1:12" x14ac:dyDescent="0.25">
      <c r="A8407" t="str">
        <f>"6501050809"</f>
        <v>6501050809</v>
      </c>
      <c r="B8407" t="str">
        <f t="shared" si="379"/>
        <v>89301000</v>
      </c>
      <c r="C8407" s="1">
        <v>44419</v>
      </c>
      <c r="D8407" s="1">
        <v>44420</v>
      </c>
      <c r="E8407">
        <v>1</v>
      </c>
      <c r="F8407" t="s">
        <v>41</v>
      </c>
      <c r="G8407" t="str">
        <f>"01-D01-03"</f>
        <v>01-D01-03</v>
      </c>
      <c r="H8407">
        <v>0.158</v>
      </c>
      <c r="J8407" t="s">
        <v>14</v>
      </c>
      <c r="K8407" t="str">
        <f>"2F5"</f>
        <v>2F5</v>
      </c>
      <c r="L8407" t="s">
        <v>15</v>
      </c>
    </row>
    <row r="8408" spans="1:12" x14ac:dyDescent="0.25">
      <c r="A8408" t="str">
        <f>"6501080157"</f>
        <v>6501080157</v>
      </c>
      <c r="B8408" t="str">
        <f t="shared" si="379"/>
        <v>89301000</v>
      </c>
      <c r="C8408" s="1">
        <v>44420</v>
      </c>
      <c r="D8408" s="1">
        <v>44427</v>
      </c>
      <c r="E8408">
        <v>1</v>
      </c>
      <c r="F8408" t="s">
        <v>4557</v>
      </c>
      <c r="G8408" t="str">
        <f>"20-K03-03"</f>
        <v>20-K03-03</v>
      </c>
      <c r="H8408">
        <v>1.0109999999999999</v>
      </c>
      <c r="I8408" t="s">
        <v>5966</v>
      </c>
      <c r="J8408" t="s">
        <v>14</v>
      </c>
      <c r="K8408" t="str">
        <f>"3F5"</f>
        <v>3F5</v>
      </c>
      <c r="L8408" t="s">
        <v>15</v>
      </c>
    </row>
    <row r="8409" spans="1:12" x14ac:dyDescent="0.25">
      <c r="A8409" t="str">
        <f>"6501120439"</f>
        <v>6501120439</v>
      </c>
      <c r="B8409" t="str">
        <f t="shared" si="379"/>
        <v>89301000</v>
      </c>
      <c r="C8409" s="1">
        <v>44348</v>
      </c>
      <c r="D8409" s="1">
        <v>44349</v>
      </c>
      <c r="E8409">
        <v>1</v>
      </c>
      <c r="F8409" t="s">
        <v>1606</v>
      </c>
      <c r="G8409" t="str">
        <f>"05-D01-06"</f>
        <v>05-D01-06</v>
      </c>
      <c r="H8409">
        <v>0.7611</v>
      </c>
      <c r="I8409" t="s">
        <v>489</v>
      </c>
      <c r="J8409" t="s">
        <v>14</v>
      </c>
      <c r="K8409" t="str">
        <f>"1F1"</f>
        <v>1F1</v>
      </c>
      <c r="L8409" t="s">
        <v>15</v>
      </c>
    </row>
    <row r="8410" spans="1:12" x14ac:dyDescent="0.25">
      <c r="A8410" t="str">
        <f>"6501120439"</f>
        <v>6501120439</v>
      </c>
      <c r="B8410" t="str">
        <f t="shared" si="379"/>
        <v>89301000</v>
      </c>
      <c r="C8410" s="1">
        <v>44472</v>
      </c>
      <c r="D8410" s="1">
        <v>44474</v>
      </c>
      <c r="E8410">
        <v>1</v>
      </c>
      <c r="F8410" t="s">
        <v>1548</v>
      </c>
      <c r="G8410" t="str">
        <f>"05-I14-04"</f>
        <v>05-I14-04</v>
      </c>
      <c r="H8410">
        <v>5.4002999999999997</v>
      </c>
      <c r="I8410" t="s">
        <v>5967</v>
      </c>
      <c r="J8410" t="s">
        <v>14</v>
      </c>
      <c r="K8410" t="str">
        <f>"1F1"</f>
        <v>1F1</v>
      </c>
      <c r="L8410" t="s">
        <v>15</v>
      </c>
    </row>
    <row r="8411" spans="1:12" x14ac:dyDescent="0.25">
      <c r="A8411" t="str">
        <f>"6501120439"</f>
        <v>6501120439</v>
      </c>
      <c r="B8411" t="str">
        <f t="shared" si="379"/>
        <v>89301000</v>
      </c>
      <c r="C8411" s="1">
        <v>44458</v>
      </c>
      <c r="D8411" s="1">
        <v>44459</v>
      </c>
      <c r="E8411">
        <v>1</v>
      </c>
      <c r="F8411" t="s">
        <v>1548</v>
      </c>
      <c r="G8411" t="str">
        <f>"05-K07-05"</f>
        <v>05-K07-05</v>
      </c>
      <c r="H8411">
        <v>0.54400000000000004</v>
      </c>
      <c r="I8411" t="s">
        <v>1240</v>
      </c>
      <c r="J8411" t="s">
        <v>14</v>
      </c>
      <c r="K8411" t="str">
        <f>"1F7"</f>
        <v>1F7</v>
      </c>
      <c r="L8411" t="s">
        <v>15</v>
      </c>
    </row>
    <row r="8412" spans="1:12" x14ac:dyDescent="0.25">
      <c r="A8412" t="str">
        <f>"6501120439"</f>
        <v>6501120439</v>
      </c>
      <c r="B8412" t="str">
        <f t="shared" si="379"/>
        <v>89301000</v>
      </c>
      <c r="C8412" s="1">
        <v>44445</v>
      </c>
      <c r="D8412" s="1">
        <v>44451</v>
      </c>
      <c r="E8412">
        <v>1</v>
      </c>
      <c r="F8412" t="s">
        <v>1875</v>
      </c>
      <c r="G8412" t="str">
        <f>"05-I15-00"</f>
        <v>05-I15-00</v>
      </c>
      <c r="H8412">
        <v>8.7135999999999996</v>
      </c>
      <c r="J8412" t="s">
        <v>14</v>
      </c>
      <c r="K8412" t="str">
        <f>"5F5"</f>
        <v>5F5</v>
      </c>
      <c r="L8412" t="s">
        <v>15</v>
      </c>
    </row>
    <row r="8413" spans="1:12" x14ac:dyDescent="0.25">
      <c r="A8413" t="str">
        <f>"6501140228"</f>
        <v>6501140228</v>
      </c>
      <c r="B8413" t="str">
        <f t="shared" si="379"/>
        <v>89301000</v>
      </c>
      <c r="C8413" s="1">
        <v>44313</v>
      </c>
      <c r="D8413" s="1">
        <v>44319</v>
      </c>
      <c r="E8413">
        <v>1</v>
      </c>
      <c r="F8413" t="s">
        <v>4100</v>
      </c>
      <c r="G8413" t="str">
        <f>"09-K02-00"</f>
        <v>09-K02-00</v>
      </c>
      <c r="H8413">
        <v>1.1361000000000001</v>
      </c>
      <c r="I8413" t="s">
        <v>489</v>
      </c>
      <c r="J8413" t="s">
        <v>14</v>
      </c>
      <c r="K8413" t="str">
        <f>"4F4"</f>
        <v>4F4</v>
      </c>
      <c r="L8413" t="s">
        <v>15</v>
      </c>
    </row>
    <row r="8414" spans="1:12" x14ac:dyDescent="0.25">
      <c r="A8414" t="str">
        <f>"6501140855"</f>
        <v>6501140855</v>
      </c>
      <c r="B8414" t="str">
        <f t="shared" si="379"/>
        <v>89301000</v>
      </c>
      <c r="C8414" s="1">
        <v>44454</v>
      </c>
      <c r="D8414" s="1">
        <v>44456</v>
      </c>
      <c r="E8414">
        <v>1</v>
      </c>
      <c r="F8414" t="s">
        <v>5659</v>
      </c>
      <c r="G8414" t="str">
        <f>"08-M03-05"</f>
        <v>08-M03-05</v>
      </c>
      <c r="H8414">
        <v>0.51759999999999995</v>
      </c>
      <c r="I8414" t="s">
        <v>5968</v>
      </c>
      <c r="J8414" t="s">
        <v>14</v>
      </c>
      <c r="K8414" t="str">
        <f>"5F3"</f>
        <v>5F3</v>
      </c>
      <c r="L8414" t="s">
        <v>15</v>
      </c>
    </row>
    <row r="8415" spans="1:12" x14ac:dyDescent="0.25">
      <c r="A8415" t="str">
        <f>"6501160622"</f>
        <v>6501160622</v>
      </c>
      <c r="B8415" t="str">
        <f t="shared" si="379"/>
        <v>89301000</v>
      </c>
      <c r="C8415" s="1">
        <v>44348</v>
      </c>
      <c r="D8415" s="1">
        <v>44350</v>
      </c>
      <c r="E8415">
        <v>1</v>
      </c>
      <c r="F8415" t="s">
        <v>3258</v>
      </c>
      <c r="G8415" t="str">
        <f>"02-M01-02"</f>
        <v>02-M01-02</v>
      </c>
      <c r="H8415">
        <v>0.58299999999999996</v>
      </c>
      <c r="J8415" t="s">
        <v>14</v>
      </c>
      <c r="K8415" t="str">
        <f>"7F5"</f>
        <v>7F5</v>
      </c>
      <c r="L8415" t="s">
        <v>15</v>
      </c>
    </row>
    <row r="8416" spans="1:12" x14ac:dyDescent="0.25">
      <c r="A8416" t="str">
        <f>"6501160622"</f>
        <v>6501160622</v>
      </c>
      <c r="B8416" t="str">
        <f t="shared" si="379"/>
        <v>89301000</v>
      </c>
      <c r="C8416" s="1">
        <v>44231</v>
      </c>
      <c r="D8416" s="1">
        <v>44235</v>
      </c>
      <c r="E8416">
        <v>1</v>
      </c>
      <c r="F8416" t="s">
        <v>2366</v>
      </c>
      <c r="G8416" t="str">
        <f>"02-I09-03"</f>
        <v>02-I09-03</v>
      </c>
      <c r="H8416">
        <v>0.92979999999999996</v>
      </c>
      <c r="J8416" t="s">
        <v>14</v>
      </c>
      <c r="K8416" t="str">
        <f>"7F5"</f>
        <v>7F5</v>
      </c>
      <c r="L8416" t="s">
        <v>15</v>
      </c>
    </row>
    <row r="8417" spans="1:12" x14ac:dyDescent="0.25">
      <c r="A8417" t="str">
        <f>"6501170907"</f>
        <v>6501170907</v>
      </c>
      <c r="B8417" t="str">
        <f t="shared" si="379"/>
        <v>89301000</v>
      </c>
      <c r="C8417" s="1">
        <v>44225</v>
      </c>
      <c r="D8417" s="1">
        <v>44225</v>
      </c>
      <c r="E8417">
        <v>1</v>
      </c>
      <c r="F8417" t="s">
        <v>1557</v>
      </c>
      <c r="G8417" t="str">
        <f>"05-D01-08"</f>
        <v>05-D01-08</v>
      </c>
      <c r="H8417">
        <v>0.21890000000000001</v>
      </c>
      <c r="I8417" t="s">
        <v>489</v>
      </c>
      <c r="J8417" t="s">
        <v>14</v>
      </c>
      <c r="K8417" t="str">
        <f>"1F7"</f>
        <v>1F7</v>
      </c>
      <c r="L8417" t="s">
        <v>15</v>
      </c>
    </row>
    <row r="8418" spans="1:12" x14ac:dyDescent="0.25">
      <c r="A8418" t="str">
        <f>"6501171897"</f>
        <v>6501171897</v>
      </c>
      <c r="B8418" t="str">
        <f t="shared" si="379"/>
        <v>89301000</v>
      </c>
      <c r="C8418" s="1">
        <v>44510</v>
      </c>
      <c r="D8418" s="1">
        <v>44511</v>
      </c>
      <c r="E8418">
        <v>1</v>
      </c>
      <c r="F8418" t="s">
        <v>2931</v>
      </c>
      <c r="G8418" t="str">
        <f>"07-K04-03"</f>
        <v>07-K04-03</v>
      </c>
      <c r="H8418">
        <v>0.74419999999999997</v>
      </c>
      <c r="I8418" t="s">
        <v>5969</v>
      </c>
      <c r="J8418" t="s">
        <v>14</v>
      </c>
      <c r="K8418" t="str">
        <f>"1F5"</f>
        <v>1F5</v>
      </c>
      <c r="L8418" t="s">
        <v>15</v>
      </c>
    </row>
    <row r="8419" spans="1:12" x14ac:dyDescent="0.25">
      <c r="A8419" t="str">
        <f>"6501171897"</f>
        <v>6501171897</v>
      </c>
      <c r="B8419" t="str">
        <f t="shared" si="379"/>
        <v>89301000</v>
      </c>
      <c r="C8419" s="1">
        <v>44532</v>
      </c>
      <c r="D8419" s="1">
        <v>44533</v>
      </c>
      <c r="E8419">
        <v>1</v>
      </c>
      <c r="F8419" t="s">
        <v>5970</v>
      </c>
      <c r="G8419" t="str">
        <f>"06-M01-05"</f>
        <v>06-M01-05</v>
      </c>
      <c r="H8419">
        <v>0.41710000000000003</v>
      </c>
      <c r="I8419" t="s">
        <v>5971</v>
      </c>
      <c r="J8419" t="s">
        <v>14</v>
      </c>
      <c r="K8419" t="str">
        <f>"1F5"</f>
        <v>1F5</v>
      </c>
      <c r="L8419" t="s">
        <v>15</v>
      </c>
    </row>
    <row r="8420" spans="1:12" x14ac:dyDescent="0.25">
      <c r="A8420" t="str">
        <f>"6502140887"</f>
        <v>6502140887</v>
      </c>
      <c r="B8420" t="str">
        <f t="shared" si="379"/>
        <v>89301000</v>
      </c>
      <c r="C8420" s="1">
        <v>44316</v>
      </c>
      <c r="D8420" s="1">
        <v>44316</v>
      </c>
      <c r="E8420">
        <v>1</v>
      </c>
      <c r="F8420" t="s">
        <v>1842</v>
      </c>
      <c r="G8420" t="str">
        <f>"05-I14-04"</f>
        <v>05-I14-04</v>
      </c>
      <c r="H8420">
        <v>5.1692</v>
      </c>
      <c r="I8420" t="s">
        <v>5972</v>
      </c>
      <c r="J8420" t="s">
        <v>14</v>
      </c>
      <c r="K8420" t="str">
        <f>"1F1"</f>
        <v>1F1</v>
      </c>
      <c r="L8420" t="s">
        <v>15</v>
      </c>
    </row>
    <row r="8421" spans="1:12" x14ac:dyDescent="0.25">
      <c r="A8421" t="str">
        <f>"6502192048"</f>
        <v>6502192048</v>
      </c>
      <c r="B8421" t="str">
        <f t="shared" si="379"/>
        <v>89301000</v>
      </c>
      <c r="C8421" s="1">
        <v>44441</v>
      </c>
      <c r="D8421" s="1">
        <v>44447</v>
      </c>
      <c r="E8421">
        <v>1</v>
      </c>
      <c r="F8421" t="s">
        <v>328</v>
      </c>
      <c r="G8421" t="str">
        <f>"05-K13-02"</f>
        <v>05-K13-02</v>
      </c>
      <c r="H8421">
        <v>0.60950000000000004</v>
      </c>
      <c r="I8421" t="s">
        <v>5973</v>
      </c>
      <c r="J8421" t="s">
        <v>14</v>
      </c>
      <c r="K8421" t="str">
        <f>"1F1"</f>
        <v>1F1</v>
      </c>
      <c r="L8421" t="s">
        <v>15</v>
      </c>
    </row>
    <row r="8422" spans="1:12" x14ac:dyDescent="0.25">
      <c r="A8422" t="str">
        <f>"6502210055"</f>
        <v>6502210055</v>
      </c>
      <c r="B8422" t="str">
        <f t="shared" si="379"/>
        <v>89301000</v>
      </c>
      <c r="C8422" s="1">
        <v>44342</v>
      </c>
      <c r="D8422" s="1">
        <v>44344</v>
      </c>
      <c r="E8422">
        <v>1</v>
      </c>
      <c r="F8422" t="s">
        <v>39</v>
      </c>
      <c r="G8422" t="str">
        <f>"03-I19-03"</f>
        <v>03-I19-03</v>
      </c>
      <c r="H8422">
        <v>0.60699999999999998</v>
      </c>
      <c r="I8422" t="s">
        <v>5974</v>
      </c>
      <c r="J8422" t="s">
        <v>14</v>
      </c>
      <c r="K8422" t="str">
        <f>"6F5"</f>
        <v>6F5</v>
      </c>
      <c r="L8422" t="s">
        <v>15</v>
      </c>
    </row>
    <row r="8423" spans="1:12" x14ac:dyDescent="0.25">
      <c r="A8423" t="str">
        <f>"6502212101"</f>
        <v>6502212101</v>
      </c>
      <c r="B8423" t="str">
        <f t="shared" si="379"/>
        <v>89301000</v>
      </c>
      <c r="C8423" s="1">
        <v>44219</v>
      </c>
      <c r="D8423" s="1">
        <v>44221</v>
      </c>
      <c r="E8423">
        <v>1</v>
      </c>
      <c r="F8423" t="s">
        <v>2079</v>
      </c>
      <c r="G8423" t="str">
        <f>"01-K03-08"</f>
        <v>01-K03-08</v>
      </c>
      <c r="H8423">
        <v>0.34789999999999999</v>
      </c>
      <c r="I8423" t="s">
        <v>5975</v>
      </c>
      <c r="J8423" t="s">
        <v>14</v>
      </c>
      <c r="K8423" t="str">
        <f>"2F9"</f>
        <v>2F9</v>
      </c>
      <c r="L8423" t="s">
        <v>15</v>
      </c>
    </row>
    <row r="8424" spans="1:12" x14ac:dyDescent="0.25">
      <c r="A8424" t="str">
        <f>"6502260512"</f>
        <v>6502260512</v>
      </c>
      <c r="B8424" t="str">
        <f t="shared" si="379"/>
        <v>89301000</v>
      </c>
      <c r="C8424" s="1">
        <v>44446</v>
      </c>
      <c r="D8424" s="1">
        <v>44447</v>
      </c>
      <c r="E8424">
        <v>1</v>
      </c>
      <c r="F8424" t="s">
        <v>5976</v>
      </c>
      <c r="G8424" t="str">
        <f>"05-K05-05"</f>
        <v>05-K05-05</v>
      </c>
      <c r="H8424">
        <v>0.37819999999999998</v>
      </c>
      <c r="I8424" t="s">
        <v>489</v>
      </c>
      <c r="J8424" t="s">
        <v>14</v>
      </c>
      <c r="K8424" t="str">
        <f>"1F1"</f>
        <v>1F1</v>
      </c>
      <c r="L8424" t="s">
        <v>15</v>
      </c>
    </row>
    <row r="8425" spans="1:12" x14ac:dyDescent="0.25">
      <c r="A8425" t="str">
        <f>"6502270863"</f>
        <v>6502270863</v>
      </c>
      <c r="B8425" t="str">
        <f t="shared" si="379"/>
        <v>89301000</v>
      </c>
      <c r="C8425" s="1">
        <v>44329</v>
      </c>
      <c r="D8425" s="1">
        <v>44332</v>
      </c>
      <c r="E8425">
        <v>1</v>
      </c>
      <c r="F8425" t="s">
        <v>1683</v>
      </c>
      <c r="G8425" t="str">
        <f>"05-M06-06"</f>
        <v>05-M06-06</v>
      </c>
      <c r="H8425">
        <v>1.7652000000000001</v>
      </c>
      <c r="I8425" t="s">
        <v>1959</v>
      </c>
      <c r="J8425" t="s">
        <v>17</v>
      </c>
      <c r="K8425" t="str">
        <f>"1F7"</f>
        <v>1F7</v>
      </c>
      <c r="L8425" t="s">
        <v>15</v>
      </c>
    </row>
    <row r="8426" spans="1:12" x14ac:dyDescent="0.25">
      <c r="A8426" t="str">
        <f>"6503010228"</f>
        <v>6503010228</v>
      </c>
      <c r="B8426" t="str">
        <f t="shared" si="379"/>
        <v>89301000</v>
      </c>
      <c r="C8426" s="1">
        <v>44285</v>
      </c>
      <c r="D8426" s="1">
        <v>44287</v>
      </c>
      <c r="E8426">
        <v>1</v>
      </c>
      <c r="F8426" t="s">
        <v>1553</v>
      </c>
      <c r="G8426" t="str">
        <f>"04-K05-03"</f>
        <v>04-K05-03</v>
      </c>
      <c r="H8426">
        <v>0.74980000000000002</v>
      </c>
      <c r="I8426" t="s">
        <v>5977</v>
      </c>
      <c r="J8426" t="s">
        <v>14</v>
      </c>
      <c r="K8426" t="str">
        <f>"1F5"</f>
        <v>1F5</v>
      </c>
      <c r="L8426" t="s">
        <v>15</v>
      </c>
    </row>
    <row r="8427" spans="1:12" x14ac:dyDescent="0.25">
      <c r="A8427" t="str">
        <f>"6503020480"</f>
        <v>6503020480</v>
      </c>
      <c r="B8427" t="str">
        <f t="shared" si="379"/>
        <v>89301000</v>
      </c>
      <c r="C8427" s="1">
        <v>44370</v>
      </c>
      <c r="D8427" s="1">
        <v>44375</v>
      </c>
      <c r="E8427">
        <v>1</v>
      </c>
      <c r="F8427" t="s">
        <v>2049</v>
      </c>
      <c r="G8427" t="str">
        <f>"06-M01-02"</f>
        <v>06-M01-02</v>
      </c>
      <c r="H8427">
        <v>1.2363999999999999</v>
      </c>
      <c r="J8427" t="s">
        <v>14</v>
      </c>
      <c r="K8427" t="str">
        <f>"1F5"</f>
        <v>1F5</v>
      </c>
      <c r="L8427" t="s">
        <v>15</v>
      </c>
    </row>
    <row r="8428" spans="1:12" x14ac:dyDescent="0.25">
      <c r="A8428" t="str">
        <f>"6503070827"</f>
        <v>6503070827</v>
      </c>
      <c r="B8428" t="str">
        <f t="shared" si="379"/>
        <v>89301000</v>
      </c>
      <c r="C8428" s="1">
        <v>44400</v>
      </c>
      <c r="D8428" s="1">
        <v>44404</v>
      </c>
      <c r="E8428">
        <v>1</v>
      </c>
      <c r="F8428" t="s">
        <v>16</v>
      </c>
      <c r="G8428" t="str">
        <f>"08-I04-03"</f>
        <v>08-I04-03</v>
      </c>
      <c r="H8428">
        <v>1.331</v>
      </c>
      <c r="I8428" t="s">
        <v>489</v>
      </c>
      <c r="J8428" t="s">
        <v>17</v>
      </c>
      <c r="K8428" t="str">
        <f>"5F6"</f>
        <v>5F6</v>
      </c>
      <c r="L8428" t="s">
        <v>15</v>
      </c>
    </row>
    <row r="8429" spans="1:12" x14ac:dyDescent="0.25">
      <c r="A8429" t="str">
        <f>"6503082124"</f>
        <v>6503082124</v>
      </c>
      <c r="B8429" t="str">
        <f t="shared" si="379"/>
        <v>89301000</v>
      </c>
      <c r="C8429" s="1">
        <v>44460</v>
      </c>
      <c r="D8429" s="1">
        <v>44463</v>
      </c>
      <c r="E8429">
        <v>1</v>
      </c>
      <c r="F8429" t="s">
        <v>3744</v>
      </c>
      <c r="G8429" t="str">
        <f>"08-I25-02"</f>
        <v>08-I25-02</v>
      </c>
      <c r="H8429">
        <v>0.67620000000000002</v>
      </c>
      <c r="J8429" t="s">
        <v>14</v>
      </c>
      <c r="K8429" t="str">
        <f>"6F6"</f>
        <v>6F6</v>
      </c>
      <c r="L8429" t="s">
        <v>15</v>
      </c>
    </row>
    <row r="8430" spans="1:12" x14ac:dyDescent="0.25">
      <c r="A8430" t="str">
        <f>"6503086667"</f>
        <v>6503086667</v>
      </c>
      <c r="B8430" t="str">
        <f t="shared" si="379"/>
        <v>89301000</v>
      </c>
      <c r="C8430" s="1">
        <v>44198</v>
      </c>
      <c r="D8430" s="1">
        <v>44201</v>
      </c>
      <c r="E8430">
        <v>1</v>
      </c>
      <c r="F8430" t="s">
        <v>38</v>
      </c>
      <c r="G8430" t="str">
        <f>"05-M06-06"</f>
        <v>05-M06-06</v>
      </c>
      <c r="H8430">
        <v>1.7652000000000001</v>
      </c>
      <c r="I8430" t="s">
        <v>5978</v>
      </c>
      <c r="J8430" t="s">
        <v>17</v>
      </c>
      <c r="K8430" t="str">
        <f>"1F1"</f>
        <v>1F1</v>
      </c>
      <c r="L8430" t="s">
        <v>15</v>
      </c>
    </row>
    <row r="8431" spans="1:12" x14ac:dyDescent="0.25">
      <c r="A8431" t="str">
        <f>"6503100824"</f>
        <v>6503100824</v>
      </c>
      <c r="B8431" t="str">
        <f t="shared" si="379"/>
        <v>89301000</v>
      </c>
      <c r="C8431" s="1">
        <v>44295</v>
      </c>
      <c r="D8431" s="1">
        <v>44296</v>
      </c>
      <c r="E8431">
        <v>1</v>
      </c>
      <c r="F8431" t="s">
        <v>41</v>
      </c>
      <c r="G8431" t="str">
        <f>"01-D01-03"</f>
        <v>01-D01-03</v>
      </c>
      <c r="H8431">
        <v>0.158</v>
      </c>
      <c r="J8431" t="s">
        <v>14</v>
      </c>
      <c r="K8431" t="str">
        <f>"2F5"</f>
        <v>2F5</v>
      </c>
      <c r="L8431" t="s">
        <v>15</v>
      </c>
    </row>
    <row r="8432" spans="1:12" x14ac:dyDescent="0.25">
      <c r="A8432" t="str">
        <f>"6503100824"</f>
        <v>6503100824</v>
      </c>
      <c r="B8432" t="str">
        <f t="shared" si="379"/>
        <v>89301000</v>
      </c>
      <c r="C8432" s="1">
        <v>44259</v>
      </c>
      <c r="D8432" s="1">
        <v>44260</v>
      </c>
      <c r="E8432">
        <v>1</v>
      </c>
      <c r="F8432" t="s">
        <v>41</v>
      </c>
      <c r="G8432" t="str">
        <f>"01-D01-03"</f>
        <v>01-D01-03</v>
      </c>
      <c r="H8432">
        <v>0.158</v>
      </c>
      <c r="J8432" t="s">
        <v>14</v>
      </c>
      <c r="K8432" t="str">
        <f>"2F5"</f>
        <v>2F5</v>
      </c>
      <c r="L8432" t="s">
        <v>15</v>
      </c>
    </row>
    <row r="8433" spans="1:12" x14ac:dyDescent="0.25">
      <c r="A8433" t="str">
        <f>"6503170619"</f>
        <v>6503170619</v>
      </c>
      <c r="B8433" t="str">
        <f t="shared" si="379"/>
        <v>89301000</v>
      </c>
      <c r="C8433" s="1">
        <v>44501</v>
      </c>
      <c r="D8433" s="1">
        <v>44505</v>
      </c>
      <c r="E8433">
        <v>1</v>
      </c>
      <c r="F8433" t="s">
        <v>217</v>
      </c>
      <c r="G8433" t="str">
        <f>"04-K02-04"</f>
        <v>04-K02-04</v>
      </c>
      <c r="H8433">
        <v>0.82469999999999999</v>
      </c>
      <c r="I8433" t="s">
        <v>274</v>
      </c>
      <c r="J8433" t="s">
        <v>14</v>
      </c>
      <c r="K8433" t="str">
        <f>"1F1"</f>
        <v>1F1</v>
      </c>
      <c r="L8433" t="s">
        <v>15</v>
      </c>
    </row>
    <row r="8434" spans="1:12" x14ac:dyDescent="0.25">
      <c r="A8434" t="str">
        <f>"6503201606"</f>
        <v>6503201606</v>
      </c>
      <c r="B8434" t="str">
        <f t="shared" si="379"/>
        <v>89301000</v>
      </c>
      <c r="C8434" s="1">
        <v>44266</v>
      </c>
      <c r="D8434" s="1">
        <v>44267</v>
      </c>
      <c r="E8434">
        <v>1</v>
      </c>
      <c r="F8434" t="s">
        <v>41</v>
      </c>
      <c r="G8434" t="str">
        <f>"01-D01-03"</f>
        <v>01-D01-03</v>
      </c>
      <c r="H8434">
        <v>0.158</v>
      </c>
      <c r="I8434" t="s">
        <v>2032</v>
      </c>
      <c r="J8434" t="s">
        <v>14</v>
      </c>
      <c r="K8434" t="str">
        <f>"2F5"</f>
        <v>2F5</v>
      </c>
      <c r="L8434" t="s">
        <v>15</v>
      </c>
    </row>
    <row r="8435" spans="1:12" x14ac:dyDescent="0.25">
      <c r="A8435" t="str">
        <f>"6503221593"</f>
        <v>6503221593</v>
      </c>
      <c r="B8435" t="str">
        <f t="shared" si="379"/>
        <v>89301000</v>
      </c>
      <c r="C8435" s="1">
        <v>44508</v>
      </c>
      <c r="D8435" s="1">
        <v>44512</v>
      </c>
      <c r="E8435">
        <v>1</v>
      </c>
      <c r="F8435" t="s">
        <v>5979</v>
      </c>
      <c r="G8435" t="str">
        <f>"03-K04-01"</f>
        <v>03-K04-01</v>
      </c>
      <c r="H8435">
        <v>0.46660000000000001</v>
      </c>
      <c r="I8435" t="s">
        <v>5980</v>
      </c>
      <c r="J8435" t="s">
        <v>14</v>
      </c>
      <c r="K8435" t="str">
        <f>"2F9"</f>
        <v>2F9</v>
      </c>
      <c r="L8435" t="s">
        <v>15</v>
      </c>
    </row>
    <row r="8436" spans="1:12" x14ac:dyDescent="0.25">
      <c r="A8436" t="str">
        <f>"6503271126"</f>
        <v>6503271126</v>
      </c>
      <c r="B8436" t="str">
        <f t="shared" ref="B8436:B8496" si="383">"89301000"</f>
        <v>89301000</v>
      </c>
      <c r="C8436" s="1">
        <v>44551</v>
      </c>
      <c r="D8436" s="1">
        <v>44554</v>
      </c>
      <c r="E8436">
        <v>1</v>
      </c>
      <c r="F8436" t="s">
        <v>167</v>
      </c>
      <c r="G8436" t="str">
        <f>"08-M03-04"</f>
        <v>08-M03-04</v>
      </c>
      <c r="H8436">
        <v>0.8609</v>
      </c>
      <c r="I8436" t="s">
        <v>5981</v>
      </c>
      <c r="J8436" t="s">
        <v>14</v>
      </c>
      <c r="K8436" t="str">
        <f>"6F6"</f>
        <v>6F6</v>
      </c>
      <c r="L8436" t="s">
        <v>15</v>
      </c>
    </row>
    <row r="8437" spans="1:12" x14ac:dyDescent="0.25">
      <c r="A8437" t="str">
        <f>"6503312079"</f>
        <v>6503312079</v>
      </c>
      <c r="B8437" t="str">
        <f t="shared" si="383"/>
        <v>89301000</v>
      </c>
      <c r="C8437" s="1">
        <v>44445</v>
      </c>
      <c r="D8437" s="1">
        <v>44470</v>
      </c>
      <c r="E8437">
        <v>1</v>
      </c>
      <c r="F8437" t="s">
        <v>109</v>
      </c>
      <c r="G8437" t="str">
        <f>"24-M08-02"</f>
        <v>24-M08-02</v>
      </c>
      <c r="H8437">
        <v>2.3557000000000001</v>
      </c>
      <c r="I8437" t="s">
        <v>5982</v>
      </c>
      <c r="J8437" t="s">
        <v>14</v>
      </c>
      <c r="K8437" t="str">
        <f>"2F1"</f>
        <v>2F1</v>
      </c>
      <c r="L8437" t="s">
        <v>15</v>
      </c>
    </row>
    <row r="8438" spans="1:12" x14ac:dyDescent="0.25">
      <c r="A8438" t="str">
        <f>"6503312079"</f>
        <v>6503312079</v>
      </c>
      <c r="B8438" t="str">
        <f t="shared" si="383"/>
        <v>89301000</v>
      </c>
      <c r="C8438" s="1">
        <v>44368</v>
      </c>
      <c r="D8438" s="1">
        <v>44421</v>
      </c>
      <c r="E8438">
        <v>1</v>
      </c>
      <c r="F8438" t="s">
        <v>5983</v>
      </c>
      <c r="G8438" t="str">
        <f>"08-I14-01"</f>
        <v>08-I14-01</v>
      </c>
      <c r="H8438">
        <v>5.8846999999999996</v>
      </c>
      <c r="I8438" t="s">
        <v>5984</v>
      </c>
      <c r="J8438" t="s">
        <v>17</v>
      </c>
      <c r="K8438" t="str">
        <f>"5F3"</f>
        <v>5F3</v>
      </c>
      <c r="L8438" t="s">
        <v>15</v>
      </c>
    </row>
    <row r="8439" spans="1:12" x14ac:dyDescent="0.25">
      <c r="A8439" t="str">
        <f>"6504032161"</f>
        <v>6504032161</v>
      </c>
      <c r="B8439" t="str">
        <f t="shared" si="383"/>
        <v>89301000</v>
      </c>
      <c r="C8439" s="1">
        <v>44557</v>
      </c>
      <c r="D8439" s="1">
        <v>44561</v>
      </c>
      <c r="E8439">
        <v>1</v>
      </c>
      <c r="F8439" t="s">
        <v>1679</v>
      </c>
      <c r="G8439" t="str">
        <f>"11-M06-03"</f>
        <v>11-M06-03</v>
      </c>
      <c r="H8439">
        <v>0.67149999999999999</v>
      </c>
      <c r="I8439" t="s">
        <v>489</v>
      </c>
      <c r="J8439" t="s">
        <v>17</v>
      </c>
      <c r="K8439" t="str">
        <f>"7F6"</f>
        <v>7F6</v>
      </c>
      <c r="L8439" t="s">
        <v>15</v>
      </c>
    </row>
    <row r="8440" spans="1:12" x14ac:dyDescent="0.25">
      <c r="A8440" t="str">
        <f>"6504032161"</f>
        <v>6504032161</v>
      </c>
      <c r="B8440" t="str">
        <f t="shared" si="383"/>
        <v>89301000</v>
      </c>
      <c r="C8440" s="1">
        <v>44518</v>
      </c>
      <c r="D8440" s="1">
        <v>44522</v>
      </c>
      <c r="E8440">
        <v>1</v>
      </c>
      <c r="F8440" t="s">
        <v>2264</v>
      </c>
      <c r="G8440" t="str">
        <f>"11-M06-03"</f>
        <v>11-M06-03</v>
      </c>
      <c r="H8440">
        <v>0.61519999999999997</v>
      </c>
      <c r="I8440" t="s">
        <v>489</v>
      </c>
      <c r="J8440" t="s">
        <v>17</v>
      </c>
      <c r="K8440" t="str">
        <f>"7F6"</f>
        <v>7F6</v>
      </c>
      <c r="L8440" t="s">
        <v>15</v>
      </c>
    </row>
    <row r="8441" spans="1:12" x14ac:dyDescent="0.25">
      <c r="A8441" t="str">
        <f>"6504060805"</f>
        <v>6504060805</v>
      </c>
      <c r="B8441" t="str">
        <f t="shared" si="383"/>
        <v>89301000</v>
      </c>
      <c r="C8441" s="1">
        <v>44250</v>
      </c>
      <c r="D8441" s="1">
        <v>44265</v>
      </c>
      <c r="E8441">
        <v>8</v>
      </c>
      <c r="F8441" t="s">
        <v>926</v>
      </c>
      <c r="G8441" t="str">
        <f>"04-M01-05"</f>
        <v>04-M01-05</v>
      </c>
      <c r="H8441">
        <v>6.2100999999999997</v>
      </c>
      <c r="I8441" t="s">
        <v>5985</v>
      </c>
      <c r="J8441" t="s">
        <v>14</v>
      </c>
      <c r="K8441" t="str">
        <f>"1T1"</f>
        <v>1T1</v>
      </c>
      <c r="L8441" t="s">
        <v>15</v>
      </c>
    </row>
    <row r="8442" spans="1:12" x14ac:dyDescent="0.25">
      <c r="A8442" t="str">
        <f>"6504061861"</f>
        <v>6504061861</v>
      </c>
      <c r="B8442" t="str">
        <f t="shared" si="383"/>
        <v>89301000</v>
      </c>
      <c r="C8442" s="1">
        <v>44483</v>
      </c>
      <c r="D8442" s="1">
        <v>44488</v>
      </c>
      <c r="E8442">
        <v>1</v>
      </c>
      <c r="F8442" t="s">
        <v>2133</v>
      </c>
      <c r="G8442" t="str">
        <f>"04-K06-02"</f>
        <v>04-K06-02</v>
      </c>
      <c r="H8442">
        <v>1.0042</v>
      </c>
      <c r="I8442" t="s">
        <v>5986</v>
      </c>
      <c r="J8442" t="s">
        <v>14</v>
      </c>
      <c r="K8442" t="str">
        <f>"2F5"</f>
        <v>2F5</v>
      </c>
      <c r="L8442" t="s">
        <v>15</v>
      </c>
    </row>
    <row r="8443" spans="1:12" x14ac:dyDescent="0.25">
      <c r="A8443" t="str">
        <f>"6504072828"</f>
        <v>6504072828</v>
      </c>
      <c r="B8443" t="str">
        <f t="shared" si="383"/>
        <v>89301000</v>
      </c>
      <c r="C8443" s="1">
        <v>44270</v>
      </c>
      <c r="D8443" s="1">
        <v>44285</v>
      </c>
      <c r="E8443">
        <v>1</v>
      </c>
      <c r="F8443" t="s">
        <v>5987</v>
      </c>
      <c r="G8443" t="str">
        <f>"19-K03-03"</f>
        <v>19-K03-03</v>
      </c>
      <c r="H8443">
        <v>0.93169999999999997</v>
      </c>
      <c r="I8443" t="s">
        <v>5988</v>
      </c>
      <c r="J8443" t="s">
        <v>27</v>
      </c>
      <c r="K8443" t="str">
        <f>"3F5"</f>
        <v>3F5</v>
      </c>
      <c r="L8443" t="s">
        <v>15</v>
      </c>
    </row>
    <row r="8444" spans="1:12" x14ac:dyDescent="0.25">
      <c r="A8444" t="str">
        <f>"6504101791"</f>
        <v>6504101791</v>
      </c>
      <c r="B8444" t="str">
        <f t="shared" si="383"/>
        <v>89301000</v>
      </c>
      <c r="C8444" s="1">
        <v>44327</v>
      </c>
      <c r="D8444" s="1">
        <v>44329</v>
      </c>
      <c r="E8444">
        <v>1</v>
      </c>
      <c r="F8444" t="s">
        <v>41</v>
      </c>
      <c r="G8444" t="str">
        <f>"01-D01-03"</f>
        <v>01-D01-03</v>
      </c>
      <c r="H8444">
        <v>0.158</v>
      </c>
      <c r="I8444" t="s">
        <v>1959</v>
      </c>
      <c r="J8444" t="s">
        <v>14</v>
      </c>
      <c r="K8444" t="str">
        <f>"2F5"</f>
        <v>2F5</v>
      </c>
      <c r="L8444" t="s">
        <v>15</v>
      </c>
    </row>
    <row r="8445" spans="1:12" x14ac:dyDescent="0.25">
      <c r="A8445" t="str">
        <f>"6504120293"</f>
        <v>6504120293</v>
      </c>
      <c r="B8445" t="str">
        <f t="shared" si="383"/>
        <v>89301000</v>
      </c>
      <c r="C8445" s="1">
        <v>44239</v>
      </c>
      <c r="D8445" s="1">
        <v>44253</v>
      </c>
      <c r="E8445">
        <v>1</v>
      </c>
      <c r="F8445" t="s">
        <v>979</v>
      </c>
      <c r="G8445" t="str">
        <f>"04-K02-04"</f>
        <v>04-K02-04</v>
      </c>
      <c r="H8445">
        <v>0.83220000000000005</v>
      </c>
      <c r="I8445" t="s">
        <v>5989</v>
      </c>
      <c r="J8445" t="s">
        <v>14</v>
      </c>
      <c r="K8445" t="str">
        <f>"2F5"</f>
        <v>2F5</v>
      </c>
      <c r="L8445" t="s">
        <v>15</v>
      </c>
    </row>
    <row r="8446" spans="1:12" x14ac:dyDescent="0.25">
      <c r="A8446" t="str">
        <f>"6504120293"</f>
        <v>6504120293</v>
      </c>
      <c r="B8446" t="str">
        <f t="shared" si="383"/>
        <v>89301000</v>
      </c>
      <c r="C8446" s="1">
        <v>44264</v>
      </c>
      <c r="D8446" s="1">
        <v>44274</v>
      </c>
      <c r="E8446">
        <v>5</v>
      </c>
      <c r="F8446" t="s">
        <v>5990</v>
      </c>
      <c r="G8446" t="str">
        <f>"04-K02-04"</f>
        <v>04-K02-04</v>
      </c>
      <c r="H8446">
        <v>0.91269999999999996</v>
      </c>
      <c r="I8446" t="s">
        <v>5991</v>
      </c>
      <c r="J8446" t="s">
        <v>14</v>
      </c>
      <c r="K8446" t="str">
        <f>"2F5"</f>
        <v>2F5</v>
      </c>
      <c r="L8446" t="s">
        <v>15</v>
      </c>
    </row>
    <row r="8447" spans="1:12" x14ac:dyDescent="0.25">
      <c r="A8447" t="str">
        <f>"6504182267"</f>
        <v>6504182267</v>
      </c>
      <c r="B8447" t="str">
        <f t="shared" si="383"/>
        <v>89301000</v>
      </c>
      <c r="C8447" s="1">
        <v>44476</v>
      </c>
      <c r="D8447" s="1">
        <v>44478</v>
      </c>
      <c r="E8447">
        <v>1</v>
      </c>
      <c r="F8447" t="s">
        <v>173</v>
      </c>
      <c r="G8447" t="str">
        <f>"08-I32-02"</f>
        <v>08-I32-02</v>
      </c>
      <c r="H8447">
        <v>0.4143</v>
      </c>
      <c r="J8447" t="s">
        <v>14</v>
      </c>
      <c r="K8447" t="str">
        <f>"5F3"</f>
        <v>5F3</v>
      </c>
      <c r="L8447" t="s">
        <v>15</v>
      </c>
    </row>
    <row r="8448" spans="1:12" x14ac:dyDescent="0.25">
      <c r="A8448" t="str">
        <f>"6504212341"</f>
        <v>6504212341</v>
      </c>
      <c r="B8448" t="str">
        <f t="shared" si="383"/>
        <v>89301000</v>
      </c>
      <c r="C8448" s="1">
        <v>44493</v>
      </c>
      <c r="D8448" s="1">
        <v>44498</v>
      </c>
      <c r="E8448">
        <v>1</v>
      </c>
      <c r="F8448" t="s">
        <v>217</v>
      </c>
      <c r="G8448" t="str">
        <f>"04-K02-04"</f>
        <v>04-K02-04</v>
      </c>
      <c r="H8448">
        <v>0.82469999999999999</v>
      </c>
      <c r="I8448" t="s">
        <v>274</v>
      </c>
      <c r="J8448" t="s">
        <v>14</v>
      </c>
      <c r="K8448" t="str">
        <f>"1F1"</f>
        <v>1F1</v>
      </c>
      <c r="L8448" t="s">
        <v>15</v>
      </c>
    </row>
    <row r="8449" spans="1:12" x14ac:dyDescent="0.25">
      <c r="A8449" t="str">
        <f>"6505012338"</f>
        <v>6505012338</v>
      </c>
      <c r="B8449" t="str">
        <f t="shared" si="383"/>
        <v>89301000</v>
      </c>
      <c r="C8449" s="1">
        <v>44281</v>
      </c>
      <c r="D8449" s="1">
        <v>44282</v>
      </c>
      <c r="E8449">
        <v>1</v>
      </c>
      <c r="F8449" t="s">
        <v>5992</v>
      </c>
      <c r="G8449" t="str">
        <f>"06-M01-02"</f>
        <v>06-M01-02</v>
      </c>
      <c r="H8449">
        <v>1.2191000000000001</v>
      </c>
      <c r="J8449" t="s">
        <v>14</v>
      </c>
      <c r="K8449" t="str">
        <f>"5F1"</f>
        <v>5F1</v>
      </c>
      <c r="L8449" t="s">
        <v>15</v>
      </c>
    </row>
    <row r="8450" spans="1:12" x14ac:dyDescent="0.25">
      <c r="A8450" t="str">
        <f>"6505012338"</f>
        <v>6505012338</v>
      </c>
      <c r="B8450" t="str">
        <f t="shared" si="383"/>
        <v>89301000</v>
      </c>
      <c r="C8450" s="1">
        <v>44319</v>
      </c>
      <c r="D8450" s="1">
        <v>44334</v>
      </c>
      <c r="E8450">
        <v>1</v>
      </c>
      <c r="F8450" t="s">
        <v>3758</v>
      </c>
      <c r="G8450" t="str">
        <f>"06-I03-00"</f>
        <v>06-I03-00</v>
      </c>
      <c r="H8450">
        <v>6.4255000000000004</v>
      </c>
      <c r="I8450" t="s">
        <v>5993</v>
      </c>
      <c r="J8450" t="s">
        <v>24</v>
      </c>
      <c r="K8450" t="str">
        <f>"5F1"</f>
        <v>5F1</v>
      </c>
      <c r="L8450" t="s">
        <v>15</v>
      </c>
    </row>
    <row r="8451" spans="1:12" x14ac:dyDescent="0.25">
      <c r="A8451" t="str">
        <f>"6505042225"</f>
        <v>6505042225</v>
      </c>
      <c r="B8451" t="str">
        <f t="shared" si="383"/>
        <v>89301000</v>
      </c>
      <c r="C8451" s="1">
        <v>44493</v>
      </c>
      <c r="D8451" s="1">
        <v>44498</v>
      </c>
      <c r="E8451">
        <v>1</v>
      </c>
      <c r="F8451" t="s">
        <v>5994</v>
      </c>
      <c r="G8451" t="str">
        <f>"12-I05-00"</f>
        <v>12-I05-00</v>
      </c>
      <c r="H8451">
        <v>1.7736000000000001</v>
      </c>
      <c r="I8451" t="s">
        <v>5995</v>
      </c>
      <c r="J8451" t="s">
        <v>17</v>
      </c>
      <c r="K8451" t="str">
        <f>"7F6"</f>
        <v>7F6</v>
      </c>
      <c r="L8451" t="s">
        <v>15</v>
      </c>
    </row>
    <row r="8452" spans="1:12" x14ac:dyDescent="0.25">
      <c r="A8452" t="str">
        <f>"6505042225"</f>
        <v>6505042225</v>
      </c>
      <c r="B8452" t="str">
        <f t="shared" si="383"/>
        <v>89301000</v>
      </c>
      <c r="C8452" s="1">
        <v>44529</v>
      </c>
      <c r="D8452" s="1">
        <v>44531</v>
      </c>
      <c r="E8452">
        <v>1</v>
      </c>
      <c r="F8452" t="s">
        <v>5994</v>
      </c>
      <c r="G8452" t="str">
        <f>"12-I05-00"</f>
        <v>12-I05-00</v>
      </c>
      <c r="H8452">
        <v>1.7736000000000001</v>
      </c>
      <c r="I8452" t="s">
        <v>5996</v>
      </c>
      <c r="J8452" t="s">
        <v>17</v>
      </c>
      <c r="K8452" t="str">
        <f>"7F6"</f>
        <v>7F6</v>
      </c>
      <c r="L8452" t="s">
        <v>15</v>
      </c>
    </row>
    <row r="8453" spans="1:12" x14ac:dyDescent="0.25">
      <c r="A8453" t="str">
        <f>"6505062861"</f>
        <v>6505062861</v>
      </c>
      <c r="B8453" t="str">
        <f t="shared" si="383"/>
        <v>89301000</v>
      </c>
      <c r="C8453" s="1">
        <v>44543</v>
      </c>
      <c r="D8453" s="1">
        <v>44545</v>
      </c>
      <c r="E8453">
        <v>1</v>
      </c>
      <c r="F8453" t="s">
        <v>4307</v>
      </c>
      <c r="G8453" t="str">
        <f>"03-R01-08"</f>
        <v>03-R01-08</v>
      </c>
      <c r="H8453">
        <v>0.94930000000000003</v>
      </c>
      <c r="I8453" t="s">
        <v>5997</v>
      </c>
      <c r="J8453" t="s">
        <v>14</v>
      </c>
      <c r="K8453" t="str">
        <f>"4F2"</f>
        <v>4F2</v>
      </c>
      <c r="L8453" t="s">
        <v>15</v>
      </c>
    </row>
    <row r="8454" spans="1:12" x14ac:dyDescent="0.25">
      <c r="A8454" t="str">
        <f>"6505081011"</f>
        <v>6505081011</v>
      </c>
      <c r="B8454" t="str">
        <f t="shared" si="383"/>
        <v>89301000</v>
      </c>
      <c r="C8454" s="1">
        <v>44417</v>
      </c>
      <c r="D8454" s="1">
        <v>44420</v>
      </c>
      <c r="E8454">
        <v>1</v>
      </c>
      <c r="F8454" t="s">
        <v>2839</v>
      </c>
      <c r="G8454" t="str">
        <f>"08-K01-01"</f>
        <v>08-K01-01</v>
      </c>
      <c r="H8454">
        <v>1.4826999999999999</v>
      </c>
      <c r="I8454" t="s">
        <v>5998</v>
      </c>
      <c r="J8454" t="s">
        <v>14</v>
      </c>
      <c r="K8454" t="str">
        <f>"1F9"</f>
        <v>1F9</v>
      </c>
      <c r="L8454" t="s">
        <v>15</v>
      </c>
    </row>
    <row r="8455" spans="1:12" x14ac:dyDescent="0.25">
      <c r="A8455" t="str">
        <f>"6505081011"</f>
        <v>6505081011</v>
      </c>
      <c r="B8455" t="str">
        <f t="shared" si="383"/>
        <v>89301000</v>
      </c>
      <c r="C8455" s="1">
        <v>44347</v>
      </c>
      <c r="D8455" s="1">
        <v>44362</v>
      </c>
      <c r="E8455">
        <v>1</v>
      </c>
      <c r="F8455" t="s">
        <v>2839</v>
      </c>
      <c r="G8455" t="str">
        <f>"08-K01-01"</f>
        <v>08-K01-01</v>
      </c>
      <c r="H8455">
        <v>1.4826999999999999</v>
      </c>
      <c r="I8455" t="s">
        <v>5999</v>
      </c>
      <c r="J8455" t="s">
        <v>14</v>
      </c>
      <c r="K8455" t="str">
        <f>"1F9"</f>
        <v>1F9</v>
      </c>
      <c r="L8455" t="s">
        <v>15</v>
      </c>
    </row>
    <row r="8456" spans="1:12" x14ac:dyDescent="0.25">
      <c r="A8456" t="str">
        <f>"6505140807"</f>
        <v>6505140807</v>
      </c>
      <c r="B8456" t="str">
        <f t="shared" si="383"/>
        <v>89301000</v>
      </c>
      <c r="C8456" s="1">
        <v>44545</v>
      </c>
      <c r="D8456" s="1">
        <v>44546</v>
      </c>
      <c r="E8456">
        <v>1</v>
      </c>
      <c r="F8456" t="s">
        <v>41</v>
      </c>
      <c r="G8456" t="str">
        <f>"01-D01-03"</f>
        <v>01-D01-03</v>
      </c>
      <c r="H8456">
        <v>0.158</v>
      </c>
      <c r="I8456" t="s">
        <v>6000</v>
      </c>
      <c r="J8456" t="s">
        <v>14</v>
      </c>
      <c r="K8456" t="str">
        <f>"2F5"</f>
        <v>2F5</v>
      </c>
      <c r="L8456" t="s">
        <v>15</v>
      </c>
    </row>
    <row r="8457" spans="1:12" x14ac:dyDescent="0.25">
      <c r="A8457" t="str">
        <f>"6505232283"</f>
        <v>6505232283</v>
      </c>
      <c r="B8457" t="str">
        <f t="shared" si="383"/>
        <v>89301000</v>
      </c>
      <c r="C8457" s="1">
        <v>44530</v>
      </c>
      <c r="D8457" s="1">
        <v>44532</v>
      </c>
      <c r="E8457">
        <v>1</v>
      </c>
      <c r="F8457" t="s">
        <v>3260</v>
      </c>
      <c r="G8457" t="str">
        <f>"09-I13-04"</f>
        <v>09-I13-04</v>
      </c>
      <c r="H8457">
        <v>0.57730000000000004</v>
      </c>
      <c r="I8457" t="s">
        <v>517</v>
      </c>
      <c r="J8457" t="s">
        <v>14</v>
      </c>
      <c r="K8457" t="str">
        <f>"6F1"</f>
        <v>6F1</v>
      </c>
      <c r="L8457" t="s">
        <v>15</v>
      </c>
    </row>
    <row r="8458" spans="1:12" x14ac:dyDescent="0.25">
      <c r="A8458" t="str">
        <f>"6505301704"</f>
        <v>6505301704</v>
      </c>
      <c r="B8458" t="str">
        <f t="shared" si="383"/>
        <v>89301000</v>
      </c>
      <c r="C8458" s="1">
        <v>44322</v>
      </c>
      <c r="D8458" s="1">
        <v>44323</v>
      </c>
      <c r="E8458">
        <v>1</v>
      </c>
      <c r="F8458" t="s">
        <v>41</v>
      </c>
      <c r="G8458" t="str">
        <f>"01-D01-03"</f>
        <v>01-D01-03</v>
      </c>
      <c r="H8458">
        <v>0.158</v>
      </c>
      <c r="J8458" t="s">
        <v>14</v>
      </c>
      <c r="K8458" t="str">
        <f>"2F5"</f>
        <v>2F5</v>
      </c>
      <c r="L8458" t="s">
        <v>15</v>
      </c>
    </row>
    <row r="8459" spans="1:12" x14ac:dyDescent="0.25">
      <c r="A8459" t="str">
        <f>"6506042125"</f>
        <v>6506042125</v>
      </c>
      <c r="B8459" t="str">
        <f t="shared" si="383"/>
        <v>89301000</v>
      </c>
      <c r="C8459" s="1">
        <v>44341</v>
      </c>
      <c r="D8459" s="1">
        <v>44346</v>
      </c>
      <c r="E8459">
        <v>1</v>
      </c>
      <c r="F8459" t="s">
        <v>2585</v>
      </c>
      <c r="G8459" t="str">
        <f>"12-I03-01"</f>
        <v>12-I03-01</v>
      </c>
      <c r="H8459">
        <v>2.6785999999999999</v>
      </c>
      <c r="J8459" t="s">
        <v>14</v>
      </c>
      <c r="K8459" t="str">
        <f>"7F6"</f>
        <v>7F6</v>
      </c>
      <c r="L8459" t="s">
        <v>15</v>
      </c>
    </row>
    <row r="8460" spans="1:12" x14ac:dyDescent="0.25">
      <c r="A8460" t="str">
        <f>"6506080482"</f>
        <v>6506080482</v>
      </c>
      <c r="B8460" t="str">
        <f t="shared" si="383"/>
        <v>89301000</v>
      </c>
      <c r="C8460" s="1">
        <v>44412</v>
      </c>
      <c r="D8460" s="1">
        <v>44415</v>
      </c>
      <c r="E8460">
        <v>1</v>
      </c>
      <c r="F8460" t="s">
        <v>3145</v>
      </c>
      <c r="G8460" t="str">
        <f>"10-I13-02"</f>
        <v>10-I13-02</v>
      </c>
      <c r="H8460">
        <v>1.1468</v>
      </c>
      <c r="I8460" t="s">
        <v>489</v>
      </c>
      <c r="J8460" t="s">
        <v>24</v>
      </c>
      <c r="K8460" t="str">
        <f>"5F1"</f>
        <v>5F1</v>
      </c>
      <c r="L8460" t="s">
        <v>15</v>
      </c>
    </row>
    <row r="8461" spans="1:12" x14ac:dyDescent="0.25">
      <c r="A8461" t="str">
        <f>"6506080647"</f>
        <v>6506080647</v>
      </c>
      <c r="B8461" t="str">
        <f t="shared" si="383"/>
        <v>89301000</v>
      </c>
      <c r="C8461" s="1">
        <v>44230</v>
      </c>
      <c r="D8461" s="1">
        <v>44233</v>
      </c>
      <c r="E8461">
        <v>1</v>
      </c>
      <c r="F8461" t="s">
        <v>3371</v>
      </c>
      <c r="G8461" t="str">
        <f>"08-M03-02"</f>
        <v>08-M03-02</v>
      </c>
      <c r="H8461">
        <v>0.86970000000000003</v>
      </c>
      <c r="I8461" t="s">
        <v>6001</v>
      </c>
      <c r="J8461" t="s">
        <v>14</v>
      </c>
      <c r="K8461" t="str">
        <f>"6F6"</f>
        <v>6F6</v>
      </c>
      <c r="L8461" t="s">
        <v>15</v>
      </c>
    </row>
    <row r="8462" spans="1:12" x14ac:dyDescent="0.25">
      <c r="A8462" t="str">
        <f>"6506112525"</f>
        <v>6506112525</v>
      </c>
      <c r="B8462" t="str">
        <f t="shared" si="383"/>
        <v>89301000</v>
      </c>
      <c r="C8462" s="1">
        <v>44483</v>
      </c>
      <c r="D8462" s="1">
        <v>44484</v>
      </c>
      <c r="E8462">
        <v>1</v>
      </c>
      <c r="F8462" t="s">
        <v>457</v>
      </c>
      <c r="G8462" t="str">
        <f>"08-I16-04"</f>
        <v>08-I16-04</v>
      </c>
      <c r="H8462">
        <v>0.92159999999999997</v>
      </c>
      <c r="I8462" t="s">
        <v>244</v>
      </c>
      <c r="J8462" t="s">
        <v>17</v>
      </c>
      <c r="K8462" t="str">
        <f>"5F3"</f>
        <v>5F3</v>
      </c>
      <c r="L8462" t="s">
        <v>15</v>
      </c>
    </row>
    <row r="8463" spans="1:12" x14ac:dyDescent="0.25">
      <c r="A8463" t="str">
        <f>"6506150167"</f>
        <v>6506150167</v>
      </c>
      <c r="B8463" t="str">
        <f t="shared" si="383"/>
        <v>89301000</v>
      </c>
      <c r="C8463" s="1">
        <v>44482</v>
      </c>
      <c r="D8463" s="1">
        <v>44484</v>
      </c>
      <c r="E8463">
        <v>1</v>
      </c>
      <c r="F8463" t="s">
        <v>4096</v>
      </c>
      <c r="G8463" t="str">
        <f>"08-I26-03"</f>
        <v>08-I26-03</v>
      </c>
      <c r="H8463">
        <v>0.45679999999999998</v>
      </c>
      <c r="I8463" t="s">
        <v>6002</v>
      </c>
      <c r="J8463" t="s">
        <v>14</v>
      </c>
      <c r="K8463" t="str">
        <f>"5F3"</f>
        <v>5F3</v>
      </c>
      <c r="L8463" t="s">
        <v>15</v>
      </c>
    </row>
    <row r="8464" spans="1:12" x14ac:dyDescent="0.25">
      <c r="A8464" t="str">
        <f>"6506210227"</f>
        <v>6506210227</v>
      </c>
      <c r="B8464" t="str">
        <f t="shared" si="383"/>
        <v>89301000</v>
      </c>
      <c r="C8464" s="1">
        <v>44491</v>
      </c>
      <c r="D8464" s="1">
        <v>44524</v>
      </c>
      <c r="E8464">
        <v>1</v>
      </c>
      <c r="F8464" t="s">
        <v>1780</v>
      </c>
      <c r="G8464" t="str">
        <f>"05-I06-02"</f>
        <v>05-I06-02</v>
      </c>
      <c r="H8464">
        <v>12.088699999999999</v>
      </c>
      <c r="I8464" t="s">
        <v>6003</v>
      </c>
      <c r="J8464" t="s">
        <v>17</v>
      </c>
      <c r="K8464" t="str">
        <f>"5F5"</f>
        <v>5F5</v>
      </c>
      <c r="L8464" t="s">
        <v>15</v>
      </c>
    </row>
    <row r="8465" spans="1:12" x14ac:dyDescent="0.25">
      <c r="A8465" t="str">
        <f>"6506210227"</f>
        <v>6506210227</v>
      </c>
      <c r="B8465" t="str">
        <f t="shared" si="383"/>
        <v>89301000</v>
      </c>
      <c r="C8465" s="1">
        <v>44446</v>
      </c>
      <c r="D8465" s="1">
        <v>44449</v>
      </c>
      <c r="E8465">
        <v>1</v>
      </c>
      <c r="F8465" t="s">
        <v>1780</v>
      </c>
      <c r="G8465" t="str">
        <f>"05-D01-06"</f>
        <v>05-D01-06</v>
      </c>
      <c r="H8465">
        <v>0.7611</v>
      </c>
      <c r="I8465" t="s">
        <v>3362</v>
      </c>
      <c r="J8465" t="s">
        <v>14</v>
      </c>
      <c r="K8465" t="str">
        <f>"1F7"</f>
        <v>1F7</v>
      </c>
      <c r="L8465" t="s">
        <v>15</v>
      </c>
    </row>
    <row r="8466" spans="1:12" x14ac:dyDescent="0.25">
      <c r="A8466" t="str">
        <f>"6506282079"</f>
        <v>6506282079</v>
      </c>
      <c r="B8466" t="str">
        <f t="shared" si="383"/>
        <v>89301000</v>
      </c>
      <c r="C8466" s="1">
        <v>44461</v>
      </c>
      <c r="D8466" s="1">
        <v>44470</v>
      </c>
      <c r="E8466">
        <v>1</v>
      </c>
      <c r="F8466" t="s">
        <v>1822</v>
      </c>
      <c r="G8466" t="str">
        <f>"08-K01-02"</f>
        <v>08-K01-02</v>
      </c>
      <c r="H8466">
        <v>1.1327</v>
      </c>
      <c r="I8466" t="s">
        <v>6004</v>
      </c>
      <c r="J8466" t="s">
        <v>14</v>
      </c>
      <c r="K8466" t="str">
        <f>"1F9"</f>
        <v>1F9</v>
      </c>
      <c r="L8466" t="s">
        <v>15</v>
      </c>
    </row>
    <row r="8467" spans="1:12" x14ac:dyDescent="0.25">
      <c r="A8467" t="str">
        <f>"6506282079"</f>
        <v>6506282079</v>
      </c>
      <c r="B8467" t="str">
        <f t="shared" si="383"/>
        <v>89301000</v>
      </c>
      <c r="C8467" s="1">
        <v>44502</v>
      </c>
      <c r="D8467" s="1">
        <v>44503</v>
      </c>
      <c r="E8467">
        <v>1</v>
      </c>
      <c r="F8467" t="s">
        <v>1822</v>
      </c>
      <c r="G8467" t="str">
        <f>"08-K01-03"</f>
        <v>08-K01-03</v>
      </c>
      <c r="H8467">
        <v>0.65310000000000001</v>
      </c>
      <c r="J8467" t="s">
        <v>14</v>
      </c>
      <c r="K8467" t="str">
        <f>"1F9"</f>
        <v>1F9</v>
      </c>
      <c r="L8467" t="s">
        <v>15</v>
      </c>
    </row>
    <row r="8468" spans="1:12" x14ac:dyDescent="0.25">
      <c r="A8468" t="str">
        <f>"6506282079"</f>
        <v>6506282079</v>
      </c>
      <c r="B8468" t="str">
        <f t="shared" si="383"/>
        <v>89301000</v>
      </c>
      <c r="C8468" s="1">
        <v>44399</v>
      </c>
      <c r="D8468" s="1">
        <v>44405</v>
      </c>
      <c r="E8468">
        <v>1</v>
      </c>
      <c r="F8468" t="s">
        <v>6005</v>
      </c>
      <c r="G8468" t="str">
        <f>"08-K04-01"</f>
        <v>08-K04-01</v>
      </c>
      <c r="H8468">
        <v>1.0062</v>
      </c>
      <c r="I8468" t="s">
        <v>6006</v>
      </c>
      <c r="J8468" t="s">
        <v>14</v>
      </c>
      <c r="K8468" t="str">
        <f>"1F9"</f>
        <v>1F9</v>
      </c>
      <c r="L8468" t="s">
        <v>15</v>
      </c>
    </row>
    <row r="8469" spans="1:12" x14ac:dyDescent="0.25">
      <c r="A8469" t="str">
        <f>"6506291770"</f>
        <v>6506291770</v>
      </c>
      <c r="B8469" t="str">
        <f t="shared" si="383"/>
        <v>89301000</v>
      </c>
      <c r="C8469" s="1">
        <v>44246</v>
      </c>
      <c r="D8469" s="1">
        <v>44252</v>
      </c>
      <c r="E8469">
        <v>1</v>
      </c>
      <c r="F8469" t="s">
        <v>201</v>
      </c>
      <c r="G8469" t="str">
        <f>"04-K02-04"</f>
        <v>04-K02-04</v>
      </c>
      <c r="H8469">
        <v>0.82469999999999999</v>
      </c>
      <c r="I8469" t="s">
        <v>6007</v>
      </c>
      <c r="J8469" t="s">
        <v>14</v>
      </c>
      <c r="K8469" t="str">
        <f>"1F1"</f>
        <v>1F1</v>
      </c>
      <c r="L8469" t="s">
        <v>15</v>
      </c>
    </row>
    <row r="8470" spans="1:12" x14ac:dyDescent="0.25">
      <c r="A8470" t="str">
        <f>"6507030827"</f>
        <v>6507030827</v>
      </c>
      <c r="B8470" t="str">
        <f t="shared" si="383"/>
        <v>89301000</v>
      </c>
      <c r="C8470" s="1">
        <v>44483</v>
      </c>
      <c r="D8470" s="1">
        <v>44484</v>
      </c>
      <c r="E8470">
        <v>1</v>
      </c>
      <c r="F8470" t="s">
        <v>1557</v>
      </c>
      <c r="G8470" t="str">
        <f>"05-M06-08"</f>
        <v>05-M06-08</v>
      </c>
      <c r="H8470">
        <v>1.4719</v>
      </c>
      <c r="I8470" t="s">
        <v>3851</v>
      </c>
      <c r="J8470" t="s">
        <v>17</v>
      </c>
      <c r="K8470" t="str">
        <f>"1F1"</f>
        <v>1F1</v>
      </c>
      <c r="L8470" t="s">
        <v>15</v>
      </c>
    </row>
    <row r="8471" spans="1:12" x14ac:dyDescent="0.25">
      <c r="A8471" t="str">
        <f>"6507041860"</f>
        <v>6507041860</v>
      </c>
      <c r="B8471" t="str">
        <f t="shared" si="383"/>
        <v>89301000</v>
      </c>
      <c r="C8471" s="1">
        <v>44292</v>
      </c>
      <c r="D8471" s="1">
        <v>44299</v>
      </c>
      <c r="E8471">
        <v>1</v>
      </c>
      <c r="F8471" t="s">
        <v>6008</v>
      </c>
      <c r="G8471" t="str">
        <f>"08-K02-03"</f>
        <v>08-K02-03</v>
      </c>
      <c r="H8471">
        <v>0.73560000000000003</v>
      </c>
      <c r="I8471" t="s">
        <v>6009</v>
      </c>
      <c r="J8471" t="s">
        <v>14</v>
      </c>
      <c r="K8471" t="str">
        <f>"1F1"</f>
        <v>1F1</v>
      </c>
      <c r="L8471" t="s">
        <v>15</v>
      </c>
    </row>
    <row r="8472" spans="1:12" x14ac:dyDescent="0.25">
      <c r="A8472" t="str">
        <f t="shared" ref="A8472:A8485" si="384">"6507181329"</f>
        <v>6507181329</v>
      </c>
      <c r="B8472" t="str">
        <f t="shared" si="383"/>
        <v>89301000</v>
      </c>
      <c r="C8472" s="1">
        <v>44544</v>
      </c>
      <c r="D8472" s="1">
        <v>44546</v>
      </c>
      <c r="E8472">
        <v>1</v>
      </c>
      <c r="F8472" t="s">
        <v>2910</v>
      </c>
      <c r="G8472" t="str">
        <f>"06-C02-01"</f>
        <v>06-C02-01</v>
      </c>
      <c r="H8472">
        <v>0.27229999999999999</v>
      </c>
      <c r="I8472" t="s">
        <v>2556</v>
      </c>
      <c r="J8472" t="s">
        <v>14</v>
      </c>
      <c r="K8472" t="str">
        <f>"4F2"</f>
        <v>4F2</v>
      </c>
      <c r="L8472" t="s">
        <v>15</v>
      </c>
    </row>
    <row r="8473" spans="1:12" x14ac:dyDescent="0.25">
      <c r="A8473" t="str">
        <f t="shared" si="384"/>
        <v>6507181329</v>
      </c>
      <c r="B8473" t="str">
        <f t="shared" si="383"/>
        <v>89301000</v>
      </c>
      <c r="C8473" s="1">
        <v>44529</v>
      </c>
      <c r="D8473" s="1">
        <v>44532</v>
      </c>
      <c r="E8473">
        <v>1</v>
      </c>
      <c r="F8473" t="s">
        <v>2910</v>
      </c>
      <c r="G8473" t="str">
        <f>"06-C02-01"</f>
        <v>06-C02-01</v>
      </c>
      <c r="H8473">
        <v>0.27229999999999999</v>
      </c>
      <c r="I8473" t="s">
        <v>6010</v>
      </c>
      <c r="J8473" t="s">
        <v>14</v>
      </c>
      <c r="K8473" t="str">
        <f>"4F2"</f>
        <v>4F2</v>
      </c>
      <c r="L8473" t="s">
        <v>15</v>
      </c>
    </row>
    <row r="8474" spans="1:12" x14ac:dyDescent="0.25">
      <c r="A8474" t="str">
        <f t="shared" si="384"/>
        <v>6507181329</v>
      </c>
      <c r="B8474" t="str">
        <f t="shared" si="383"/>
        <v>89301000</v>
      </c>
      <c r="C8474" s="1">
        <v>44510</v>
      </c>
      <c r="D8474" s="1">
        <v>44516</v>
      </c>
      <c r="E8474">
        <v>1</v>
      </c>
      <c r="F8474" t="s">
        <v>3625</v>
      </c>
      <c r="G8474" t="str">
        <f>"88-I06-00"</f>
        <v>88-I06-00</v>
      </c>
      <c r="H8474">
        <v>0.11459999999999999</v>
      </c>
      <c r="J8474" t="s">
        <v>14</v>
      </c>
      <c r="K8474" t="str">
        <f>"5F1"</f>
        <v>5F1</v>
      </c>
      <c r="L8474" t="s">
        <v>15</v>
      </c>
    </row>
    <row r="8475" spans="1:12" x14ac:dyDescent="0.25">
      <c r="A8475" t="str">
        <f t="shared" si="384"/>
        <v>6507181329</v>
      </c>
      <c r="B8475" t="str">
        <f t="shared" si="383"/>
        <v>89301000</v>
      </c>
      <c r="C8475" s="1">
        <v>44461</v>
      </c>
      <c r="D8475" s="1">
        <v>44463</v>
      </c>
      <c r="E8475">
        <v>1</v>
      </c>
      <c r="F8475" t="s">
        <v>2910</v>
      </c>
      <c r="G8475" t="str">
        <f t="shared" ref="G8475:G8481" si="385">"06-C02-03"</f>
        <v>06-C02-03</v>
      </c>
      <c r="H8475">
        <v>0.25769999999999998</v>
      </c>
      <c r="I8475" t="s">
        <v>541</v>
      </c>
      <c r="J8475" t="s">
        <v>14</v>
      </c>
      <c r="K8475" t="str">
        <f t="shared" ref="K8475:K8482" si="386">"4F2"</f>
        <v>4F2</v>
      </c>
      <c r="L8475" t="s">
        <v>15</v>
      </c>
    </row>
    <row r="8476" spans="1:12" x14ac:dyDescent="0.25">
      <c r="A8476" t="str">
        <f t="shared" si="384"/>
        <v>6507181329</v>
      </c>
      <c r="B8476" t="str">
        <f t="shared" si="383"/>
        <v>89301000</v>
      </c>
      <c r="C8476" s="1">
        <v>44447</v>
      </c>
      <c r="D8476" s="1">
        <v>44449</v>
      </c>
      <c r="E8476">
        <v>1</v>
      </c>
      <c r="F8476" t="s">
        <v>2910</v>
      </c>
      <c r="G8476" t="str">
        <f t="shared" si="385"/>
        <v>06-C02-03</v>
      </c>
      <c r="H8476">
        <v>0.25769999999999998</v>
      </c>
      <c r="I8476" t="s">
        <v>541</v>
      </c>
      <c r="J8476" t="s">
        <v>14</v>
      </c>
      <c r="K8476" t="str">
        <f t="shared" si="386"/>
        <v>4F2</v>
      </c>
      <c r="L8476" t="s">
        <v>15</v>
      </c>
    </row>
    <row r="8477" spans="1:12" x14ac:dyDescent="0.25">
      <c r="A8477" t="str">
        <f t="shared" si="384"/>
        <v>6507181329</v>
      </c>
      <c r="B8477" t="str">
        <f t="shared" si="383"/>
        <v>89301000</v>
      </c>
      <c r="C8477" s="1">
        <v>44433</v>
      </c>
      <c r="D8477" s="1">
        <v>44435</v>
      </c>
      <c r="E8477">
        <v>1</v>
      </c>
      <c r="F8477" t="s">
        <v>2910</v>
      </c>
      <c r="G8477" t="str">
        <f t="shared" si="385"/>
        <v>06-C02-03</v>
      </c>
      <c r="H8477">
        <v>0.25769999999999998</v>
      </c>
      <c r="I8477" t="s">
        <v>541</v>
      </c>
      <c r="J8477" t="s">
        <v>14</v>
      </c>
      <c r="K8477" t="str">
        <f t="shared" si="386"/>
        <v>4F2</v>
      </c>
      <c r="L8477" t="s">
        <v>15</v>
      </c>
    </row>
    <row r="8478" spans="1:12" x14ac:dyDescent="0.25">
      <c r="A8478" t="str">
        <f t="shared" si="384"/>
        <v>6507181329</v>
      </c>
      <c r="B8478" t="str">
        <f t="shared" si="383"/>
        <v>89301000</v>
      </c>
      <c r="C8478" s="1">
        <v>44419</v>
      </c>
      <c r="D8478" s="1">
        <v>44421</v>
      </c>
      <c r="E8478">
        <v>1</v>
      </c>
      <c r="F8478" t="s">
        <v>2910</v>
      </c>
      <c r="G8478" t="str">
        <f t="shared" si="385"/>
        <v>06-C02-03</v>
      </c>
      <c r="H8478">
        <v>0.25769999999999998</v>
      </c>
      <c r="I8478" t="s">
        <v>3317</v>
      </c>
      <c r="J8478" t="s">
        <v>14</v>
      </c>
      <c r="K8478" t="str">
        <f t="shared" si="386"/>
        <v>4F2</v>
      </c>
      <c r="L8478" t="s">
        <v>15</v>
      </c>
    </row>
    <row r="8479" spans="1:12" x14ac:dyDescent="0.25">
      <c r="A8479" t="str">
        <f t="shared" si="384"/>
        <v>6507181329</v>
      </c>
      <c r="B8479" t="str">
        <f t="shared" si="383"/>
        <v>89301000</v>
      </c>
      <c r="C8479" s="1">
        <v>44405</v>
      </c>
      <c r="D8479" s="1">
        <v>44407</v>
      </c>
      <c r="E8479">
        <v>1</v>
      </c>
      <c r="F8479" t="s">
        <v>2910</v>
      </c>
      <c r="G8479" t="str">
        <f t="shared" si="385"/>
        <v>06-C02-03</v>
      </c>
      <c r="H8479">
        <v>0.25769999999999998</v>
      </c>
      <c r="I8479" t="s">
        <v>3317</v>
      </c>
      <c r="J8479" t="s">
        <v>14</v>
      </c>
      <c r="K8479" t="str">
        <f t="shared" si="386"/>
        <v>4F2</v>
      </c>
      <c r="L8479" t="s">
        <v>15</v>
      </c>
    </row>
    <row r="8480" spans="1:12" x14ac:dyDescent="0.25">
      <c r="A8480" t="str">
        <f t="shared" si="384"/>
        <v>6507181329</v>
      </c>
      <c r="B8480" t="str">
        <f t="shared" si="383"/>
        <v>89301000</v>
      </c>
      <c r="C8480" s="1">
        <v>44377</v>
      </c>
      <c r="D8480" s="1">
        <v>44379</v>
      </c>
      <c r="E8480">
        <v>1</v>
      </c>
      <c r="F8480" t="s">
        <v>2910</v>
      </c>
      <c r="G8480" t="str">
        <f t="shared" si="385"/>
        <v>06-C02-03</v>
      </c>
      <c r="H8480">
        <v>0.25769999999999998</v>
      </c>
      <c r="I8480" t="s">
        <v>6011</v>
      </c>
      <c r="J8480" t="s">
        <v>14</v>
      </c>
      <c r="K8480" t="str">
        <f t="shared" si="386"/>
        <v>4F2</v>
      </c>
      <c r="L8480" t="s">
        <v>15</v>
      </c>
    </row>
    <row r="8481" spans="1:12" x14ac:dyDescent="0.25">
      <c r="A8481" t="str">
        <f t="shared" si="384"/>
        <v>6507181329</v>
      </c>
      <c r="B8481" t="str">
        <f t="shared" si="383"/>
        <v>89301000</v>
      </c>
      <c r="C8481" s="1">
        <v>44363</v>
      </c>
      <c r="D8481" s="1">
        <v>44365</v>
      </c>
      <c r="E8481">
        <v>1</v>
      </c>
      <c r="F8481" t="s">
        <v>2910</v>
      </c>
      <c r="G8481" t="str">
        <f t="shared" si="385"/>
        <v>06-C02-03</v>
      </c>
      <c r="H8481">
        <v>0.25769999999999998</v>
      </c>
      <c r="I8481" t="s">
        <v>541</v>
      </c>
      <c r="J8481" t="s">
        <v>14</v>
      </c>
      <c r="K8481" t="str">
        <f t="shared" si="386"/>
        <v>4F2</v>
      </c>
      <c r="L8481" t="s">
        <v>15</v>
      </c>
    </row>
    <row r="8482" spans="1:12" x14ac:dyDescent="0.25">
      <c r="A8482" t="str">
        <f t="shared" si="384"/>
        <v>6507181329</v>
      </c>
      <c r="B8482" t="str">
        <f t="shared" si="383"/>
        <v>89301000</v>
      </c>
      <c r="C8482" s="1">
        <v>44347</v>
      </c>
      <c r="D8482" s="1">
        <v>44355</v>
      </c>
      <c r="E8482">
        <v>1</v>
      </c>
      <c r="F8482" t="s">
        <v>2910</v>
      </c>
      <c r="G8482" t="str">
        <f>"06-K14-01"</f>
        <v>06-K14-01</v>
      </c>
      <c r="H8482">
        <v>1.17</v>
      </c>
      <c r="I8482" t="s">
        <v>6012</v>
      </c>
      <c r="J8482" t="s">
        <v>14</v>
      </c>
      <c r="K8482" t="str">
        <f t="shared" si="386"/>
        <v>4F2</v>
      </c>
      <c r="L8482" t="s">
        <v>15</v>
      </c>
    </row>
    <row r="8483" spans="1:12" x14ac:dyDescent="0.25">
      <c r="A8483" t="str">
        <f t="shared" si="384"/>
        <v>6507181329</v>
      </c>
      <c r="B8483" t="str">
        <f t="shared" si="383"/>
        <v>89301000</v>
      </c>
      <c r="C8483" s="1">
        <v>44313</v>
      </c>
      <c r="D8483" s="1">
        <v>44320</v>
      </c>
      <c r="E8483">
        <v>1</v>
      </c>
      <c r="F8483" t="s">
        <v>2910</v>
      </c>
      <c r="G8483" t="str">
        <f>"06-I13-02"</f>
        <v>06-I13-02</v>
      </c>
      <c r="H8483">
        <v>2.0766</v>
      </c>
      <c r="I8483" t="s">
        <v>6013</v>
      </c>
      <c r="J8483" t="s">
        <v>14</v>
      </c>
      <c r="K8483" t="str">
        <f>"5F1"</f>
        <v>5F1</v>
      </c>
      <c r="L8483" t="s">
        <v>15</v>
      </c>
    </row>
    <row r="8484" spans="1:12" x14ac:dyDescent="0.25">
      <c r="A8484" t="str">
        <f t="shared" si="384"/>
        <v>6507181329</v>
      </c>
      <c r="B8484" t="str">
        <f t="shared" si="383"/>
        <v>89301000</v>
      </c>
      <c r="C8484" s="1">
        <v>44306</v>
      </c>
      <c r="D8484" s="1">
        <v>44308</v>
      </c>
      <c r="E8484">
        <v>1</v>
      </c>
      <c r="F8484" t="s">
        <v>3625</v>
      </c>
      <c r="G8484" t="str">
        <f>"06-K14-02"</f>
        <v>06-K14-02</v>
      </c>
      <c r="H8484">
        <v>0.57279999999999998</v>
      </c>
      <c r="J8484" t="s">
        <v>14</v>
      </c>
      <c r="K8484" t="str">
        <f>"5F1"</f>
        <v>5F1</v>
      </c>
      <c r="L8484" t="s">
        <v>15</v>
      </c>
    </row>
    <row r="8485" spans="1:12" x14ac:dyDescent="0.25">
      <c r="A8485" t="str">
        <f t="shared" si="384"/>
        <v>6507181329</v>
      </c>
      <c r="B8485" t="str">
        <f t="shared" si="383"/>
        <v>89301000</v>
      </c>
      <c r="C8485" s="1">
        <v>44391</v>
      </c>
      <c r="D8485" s="1">
        <v>44393</v>
      </c>
      <c r="E8485">
        <v>1</v>
      </c>
      <c r="F8485" t="s">
        <v>2910</v>
      </c>
      <c r="G8485" t="str">
        <f>"06-C02-03"</f>
        <v>06-C02-03</v>
      </c>
      <c r="H8485">
        <v>0.25769999999999998</v>
      </c>
      <c r="I8485" t="s">
        <v>541</v>
      </c>
      <c r="J8485" t="s">
        <v>14</v>
      </c>
      <c r="K8485" t="str">
        <f>"4F2"</f>
        <v>4F2</v>
      </c>
      <c r="L8485" t="s">
        <v>15</v>
      </c>
    </row>
    <row r="8486" spans="1:12" x14ac:dyDescent="0.25">
      <c r="A8486" t="str">
        <f>"6507200722"</f>
        <v>6507200722</v>
      </c>
      <c r="B8486" t="str">
        <f t="shared" si="383"/>
        <v>89301000</v>
      </c>
      <c r="C8486" s="1">
        <v>44551</v>
      </c>
      <c r="D8486" s="1">
        <v>44553</v>
      </c>
      <c r="E8486">
        <v>1</v>
      </c>
      <c r="F8486" t="s">
        <v>2549</v>
      </c>
      <c r="G8486" t="str">
        <f>"10-I08-02"</f>
        <v>10-I08-02</v>
      </c>
      <c r="H8486">
        <v>0.85609999999999997</v>
      </c>
      <c r="I8486" t="s">
        <v>6014</v>
      </c>
      <c r="J8486" t="s">
        <v>14</v>
      </c>
      <c r="K8486" t="str">
        <f>"1F1"</f>
        <v>1F1</v>
      </c>
      <c r="L8486" t="s">
        <v>15</v>
      </c>
    </row>
    <row r="8487" spans="1:12" x14ac:dyDescent="0.25">
      <c r="A8487" t="str">
        <f>"6507240795"</f>
        <v>6507240795</v>
      </c>
      <c r="B8487" t="str">
        <f t="shared" si="383"/>
        <v>89301000</v>
      </c>
      <c r="C8487" s="1">
        <v>44278</v>
      </c>
      <c r="D8487" s="1">
        <v>44280</v>
      </c>
      <c r="E8487">
        <v>1</v>
      </c>
      <c r="F8487" t="s">
        <v>2111</v>
      </c>
      <c r="G8487" t="str">
        <f>"10-K15-02"</f>
        <v>10-K15-02</v>
      </c>
      <c r="H8487">
        <v>0.77639999999999998</v>
      </c>
      <c r="I8487" t="s">
        <v>6015</v>
      </c>
      <c r="J8487" t="s">
        <v>14</v>
      </c>
      <c r="K8487" t="str">
        <f>"2F5"</f>
        <v>2F5</v>
      </c>
      <c r="L8487" t="s">
        <v>15</v>
      </c>
    </row>
    <row r="8488" spans="1:12" x14ac:dyDescent="0.25">
      <c r="A8488" t="str">
        <f>"6507260419"</f>
        <v>6507260419</v>
      </c>
      <c r="B8488" t="str">
        <f t="shared" si="383"/>
        <v>89301000</v>
      </c>
      <c r="C8488" s="1">
        <v>44291</v>
      </c>
      <c r="D8488" s="1">
        <v>44295</v>
      </c>
      <c r="E8488">
        <v>5</v>
      </c>
      <c r="F8488" t="s">
        <v>962</v>
      </c>
      <c r="G8488" t="str">
        <f>"04-M01-06"</f>
        <v>04-M01-06</v>
      </c>
      <c r="H8488">
        <v>3.5308999999999999</v>
      </c>
      <c r="I8488" t="s">
        <v>6016</v>
      </c>
      <c r="J8488" t="s">
        <v>14</v>
      </c>
      <c r="K8488" t="str">
        <f>"7T8"</f>
        <v>7T8</v>
      </c>
      <c r="L8488" t="s">
        <v>15</v>
      </c>
    </row>
    <row r="8489" spans="1:12" x14ac:dyDescent="0.25">
      <c r="A8489" t="str">
        <f>"6507261046"</f>
        <v>6507261046</v>
      </c>
      <c r="B8489" t="str">
        <f t="shared" si="383"/>
        <v>89301000</v>
      </c>
      <c r="C8489" s="1">
        <v>44459</v>
      </c>
      <c r="D8489" s="1">
        <v>44462</v>
      </c>
      <c r="E8489">
        <v>1</v>
      </c>
      <c r="F8489" t="s">
        <v>16</v>
      </c>
      <c r="G8489" t="str">
        <f>"08-I04-03"</f>
        <v>08-I04-03</v>
      </c>
      <c r="H8489">
        <v>1.331</v>
      </c>
      <c r="J8489" t="s">
        <v>17</v>
      </c>
      <c r="K8489" t="str">
        <f>"5F6"</f>
        <v>5F6</v>
      </c>
      <c r="L8489" t="s">
        <v>15</v>
      </c>
    </row>
    <row r="8490" spans="1:12" x14ac:dyDescent="0.25">
      <c r="A8490" t="str">
        <f>"6508121323"</f>
        <v>6508121323</v>
      </c>
      <c r="B8490" t="str">
        <f t="shared" si="383"/>
        <v>89301000</v>
      </c>
      <c r="C8490" s="1">
        <v>44364</v>
      </c>
      <c r="D8490" s="1">
        <v>44367</v>
      </c>
      <c r="E8490">
        <v>1</v>
      </c>
      <c r="F8490" t="s">
        <v>12</v>
      </c>
      <c r="G8490" t="str">
        <f>"03-I14-02"</f>
        <v>03-I14-02</v>
      </c>
      <c r="H8490">
        <v>1.1086</v>
      </c>
      <c r="I8490" t="s">
        <v>6017</v>
      </c>
      <c r="J8490" t="s">
        <v>14</v>
      </c>
      <c r="K8490" t="str">
        <f>"7F1"</f>
        <v>7F1</v>
      </c>
      <c r="L8490" t="s">
        <v>15</v>
      </c>
    </row>
    <row r="8491" spans="1:12" x14ac:dyDescent="0.25">
      <c r="A8491" t="str">
        <f>"6508131289"</f>
        <v>6508131289</v>
      </c>
      <c r="B8491" t="str">
        <f t="shared" si="383"/>
        <v>89301000</v>
      </c>
      <c r="C8491" s="1">
        <v>44234</v>
      </c>
      <c r="D8491" s="1">
        <v>44237</v>
      </c>
      <c r="E8491">
        <v>1</v>
      </c>
      <c r="F8491" t="s">
        <v>1545</v>
      </c>
      <c r="G8491" t="str">
        <f>"05-I14-03"</f>
        <v>05-I14-03</v>
      </c>
      <c r="H8491">
        <v>6.1292</v>
      </c>
      <c r="I8491" t="s">
        <v>6018</v>
      </c>
      <c r="J8491" t="s">
        <v>14</v>
      </c>
      <c r="K8491" t="str">
        <f>"1F1"</f>
        <v>1F1</v>
      </c>
      <c r="L8491" t="s">
        <v>15</v>
      </c>
    </row>
    <row r="8492" spans="1:12" x14ac:dyDescent="0.25">
      <c r="A8492" t="str">
        <f>"6508281263"</f>
        <v>6508281263</v>
      </c>
      <c r="B8492" t="str">
        <f t="shared" si="383"/>
        <v>89301000</v>
      </c>
      <c r="C8492" s="1">
        <v>44304</v>
      </c>
      <c r="D8492" s="1">
        <v>44306</v>
      </c>
      <c r="E8492">
        <v>1</v>
      </c>
      <c r="F8492" t="s">
        <v>622</v>
      </c>
      <c r="G8492" t="str">
        <f>"02-I11-02"</f>
        <v>02-I11-02</v>
      </c>
      <c r="H8492">
        <v>0.64790000000000003</v>
      </c>
      <c r="I8492" t="s">
        <v>842</v>
      </c>
      <c r="J8492" t="s">
        <v>17</v>
      </c>
      <c r="K8492" t="str">
        <f>"7F5"</f>
        <v>7F5</v>
      </c>
      <c r="L8492" t="s">
        <v>15</v>
      </c>
    </row>
    <row r="8493" spans="1:12" x14ac:dyDescent="0.25">
      <c r="A8493" t="str">
        <f>"6509010035"</f>
        <v>6509010035</v>
      </c>
      <c r="B8493" t="str">
        <f t="shared" si="383"/>
        <v>89301000</v>
      </c>
      <c r="C8493" s="1">
        <v>44370</v>
      </c>
      <c r="D8493" s="1">
        <v>44371</v>
      </c>
      <c r="E8493">
        <v>1</v>
      </c>
      <c r="F8493" t="s">
        <v>2068</v>
      </c>
      <c r="G8493" t="str">
        <f>"02-I06-02"</f>
        <v>02-I06-02</v>
      </c>
      <c r="H8493">
        <v>0.90300000000000002</v>
      </c>
      <c r="I8493" t="s">
        <v>6019</v>
      </c>
      <c r="J8493" t="s">
        <v>17</v>
      </c>
      <c r="K8493" t="str">
        <f>"7F5"</f>
        <v>7F5</v>
      </c>
      <c r="L8493" t="s">
        <v>15</v>
      </c>
    </row>
    <row r="8494" spans="1:12" x14ac:dyDescent="0.25">
      <c r="A8494" t="str">
        <f>"6509041946"</f>
        <v>6509041946</v>
      </c>
      <c r="B8494" t="str">
        <f t="shared" si="383"/>
        <v>89301000</v>
      </c>
      <c r="C8494" s="1">
        <v>44309</v>
      </c>
      <c r="D8494" s="1">
        <v>44314</v>
      </c>
      <c r="E8494">
        <v>8</v>
      </c>
      <c r="F8494" t="s">
        <v>1914</v>
      </c>
      <c r="G8494" t="str">
        <f>"04-K09-02"</f>
        <v>04-K09-02</v>
      </c>
      <c r="H8494">
        <v>1.2861</v>
      </c>
      <c r="I8494" t="s">
        <v>6020</v>
      </c>
      <c r="J8494" t="s">
        <v>14</v>
      </c>
      <c r="K8494" t="str">
        <f>"2F5"</f>
        <v>2F5</v>
      </c>
      <c r="L8494" t="s">
        <v>15</v>
      </c>
    </row>
    <row r="8495" spans="1:12" x14ac:dyDescent="0.25">
      <c r="A8495" t="str">
        <f>"6509041946"</f>
        <v>6509041946</v>
      </c>
      <c r="B8495" t="str">
        <f t="shared" si="383"/>
        <v>89301000</v>
      </c>
      <c r="C8495" s="1">
        <v>44273</v>
      </c>
      <c r="D8495" s="1">
        <v>44277</v>
      </c>
      <c r="E8495">
        <v>1</v>
      </c>
      <c r="F8495" t="s">
        <v>1914</v>
      </c>
      <c r="G8495" t="str">
        <f>"04-C02-02"</f>
        <v>04-C02-02</v>
      </c>
      <c r="H8495">
        <v>0.3589</v>
      </c>
      <c r="I8495" t="s">
        <v>2945</v>
      </c>
      <c r="J8495" t="s">
        <v>14</v>
      </c>
      <c r="K8495" t="str">
        <f>"2F5"</f>
        <v>2F5</v>
      </c>
      <c r="L8495" t="s">
        <v>15</v>
      </c>
    </row>
    <row r="8496" spans="1:12" x14ac:dyDescent="0.25">
      <c r="A8496" t="str">
        <f>"6509041946"</f>
        <v>6509041946</v>
      </c>
      <c r="B8496" t="str">
        <f t="shared" si="383"/>
        <v>89301000</v>
      </c>
      <c r="C8496" s="1">
        <v>44252</v>
      </c>
      <c r="D8496" s="1">
        <v>44255</v>
      </c>
      <c r="E8496">
        <v>1</v>
      </c>
      <c r="F8496" t="s">
        <v>1914</v>
      </c>
      <c r="G8496" t="str">
        <f>"04-C02-02"</f>
        <v>04-C02-02</v>
      </c>
      <c r="H8496">
        <v>0.3589</v>
      </c>
      <c r="I8496" t="s">
        <v>6021</v>
      </c>
      <c r="J8496" t="s">
        <v>14</v>
      </c>
      <c r="K8496" t="str">
        <f>"2F5"</f>
        <v>2F5</v>
      </c>
      <c r="L8496" t="s">
        <v>15</v>
      </c>
    </row>
    <row r="8497" spans="1:12" x14ac:dyDescent="0.25">
      <c r="A8497" t="str">
        <f>"6509041946"</f>
        <v>6509041946</v>
      </c>
      <c r="B8497" t="str">
        <f t="shared" ref="B8497:B8559" si="387">"89301000"</f>
        <v>89301000</v>
      </c>
      <c r="C8497" s="1">
        <v>44200</v>
      </c>
      <c r="D8497" s="1">
        <v>44215</v>
      </c>
      <c r="E8497">
        <v>1</v>
      </c>
      <c r="F8497" t="s">
        <v>1914</v>
      </c>
      <c r="G8497" t="str">
        <f>"04-C02-02"</f>
        <v>04-C02-02</v>
      </c>
      <c r="H8497">
        <v>0.68879999999999997</v>
      </c>
      <c r="I8497" t="s">
        <v>6022</v>
      </c>
      <c r="J8497" t="s">
        <v>14</v>
      </c>
      <c r="K8497" t="str">
        <f>"2F5"</f>
        <v>2F5</v>
      </c>
      <c r="L8497" t="s">
        <v>15</v>
      </c>
    </row>
    <row r="8498" spans="1:12" x14ac:dyDescent="0.25">
      <c r="A8498" t="str">
        <f>"6509041946"</f>
        <v>6509041946</v>
      </c>
      <c r="B8498" t="str">
        <f t="shared" si="387"/>
        <v>89301000</v>
      </c>
      <c r="C8498" s="1">
        <v>44231</v>
      </c>
      <c r="D8498" s="1">
        <v>44235</v>
      </c>
      <c r="E8498">
        <v>1</v>
      </c>
      <c r="F8498" t="s">
        <v>1914</v>
      </c>
      <c r="G8498" t="str">
        <f>"04-C02-02"</f>
        <v>04-C02-02</v>
      </c>
      <c r="H8498">
        <v>0.3589</v>
      </c>
      <c r="I8498" t="s">
        <v>6021</v>
      </c>
      <c r="J8498" t="s">
        <v>14</v>
      </c>
      <c r="K8498" t="str">
        <f>"2F5"</f>
        <v>2F5</v>
      </c>
      <c r="L8498" t="s">
        <v>15</v>
      </c>
    </row>
    <row r="8499" spans="1:12" x14ac:dyDescent="0.25">
      <c r="A8499" t="str">
        <f>"6509147337"</f>
        <v>6509147337</v>
      </c>
      <c r="B8499" t="str">
        <f t="shared" si="387"/>
        <v>89301000</v>
      </c>
      <c r="C8499" s="1">
        <v>44301</v>
      </c>
      <c r="D8499" s="1">
        <v>44313</v>
      </c>
      <c r="E8499">
        <v>8</v>
      </c>
      <c r="F8499" t="s">
        <v>217</v>
      </c>
      <c r="G8499" t="str">
        <f>"00-M02-04"</f>
        <v>00-M02-04</v>
      </c>
      <c r="H8499">
        <v>12.071199999999999</v>
      </c>
      <c r="I8499" t="s">
        <v>6023</v>
      </c>
      <c r="J8499" t="s">
        <v>14</v>
      </c>
      <c r="K8499" t="str">
        <f>"7T8"</f>
        <v>7T8</v>
      </c>
      <c r="L8499" t="s">
        <v>15</v>
      </c>
    </row>
    <row r="8500" spans="1:12" x14ac:dyDescent="0.25">
      <c r="A8500" t="str">
        <f>"6509182196"</f>
        <v>6509182196</v>
      </c>
      <c r="B8500" t="str">
        <f t="shared" si="387"/>
        <v>89301000</v>
      </c>
      <c r="C8500" s="1">
        <v>44333</v>
      </c>
      <c r="D8500" s="1">
        <v>44338</v>
      </c>
      <c r="E8500">
        <v>1</v>
      </c>
      <c r="F8500" t="s">
        <v>2232</v>
      </c>
      <c r="G8500" t="str">
        <f>"11-I07-01"</f>
        <v>11-I07-01</v>
      </c>
      <c r="H8500">
        <v>2.5975999999999999</v>
      </c>
      <c r="I8500" t="s">
        <v>6024</v>
      </c>
      <c r="J8500" t="s">
        <v>14</v>
      </c>
      <c r="K8500" t="str">
        <f>"7F6"</f>
        <v>7F6</v>
      </c>
      <c r="L8500" t="s">
        <v>15</v>
      </c>
    </row>
    <row r="8501" spans="1:12" x14ac:dyDescent="0.25">
      <c r="A8501" t="str">
        <f>"6509192316"</f>
        <v>6509192316</v>
      </c>
      <c r="B8501" t="str">
        <f t="shared" si="387"/>
        <v>89301000</v>
      </c>
      <c r="C8501" s="1">
        <v>44417</v>
      </c>
      <c r="D8501" s="1">
        <v>44419</v>
      </c>
      <c r="E8501">
        <v>1</v>
      </c>
      <c r="F8501" t="s">
        <v>6025</v>
      </c>
      <c r="G8501" t="str">
        <f>"10-K01-02"</f>
        <v>10-K01-02</v>
      </c>
      <c r="H8501">
        <v>0.63170000000000004</v>
      </c>
      <c r="I8501" t="s">
        <v>6026</v>
      </c>
      <c r="J8501" t="s">
        <v>14</v>
      </c>
      <c r="K8501" t="str">
        <f>"2F9"</f>
        <v>2F9</v>
      </c>
      <c r="L8501" t="s">
        <v>15</v>
      </c>
    </row>
    <row r="8502" spans="1:12" x14ac:dyDescent="0.25">
      <c r="A8502" t="str">
        <f>"6509192316"</f>
        <v>6509192316</v>
      </c>
      <c r="B8502" t="str">
        <f t="shared" si="387"/>
        <v>89301000</v>
      </c>
      <c r="C8502" s="1">
        <v>44186</v>
      </c>
      <c r="D8502" s="1">
        <v>44200</v>
      </c>
      <c r="E8502">
        <v>1</v>
      </c>
      <c r="F8502" t="s">
        <v>5707</v>
      </c>
      <c r="G8502" t="str">
        <f>"20-K03-03"</f>
        <v>20-K03-03</v>
      </c>
      <c r="H8502">
        <v>1.0109999999999999</v>
      </c>
      <c r="I8502" t="s">
        <v>6027</v>
      </c>
      <c r="J8502" t="s">
        <v>14</v>
      </c>
      <c r="K8502" t="str">
        <f>"3F5"</f>
        <v>3F5</v>
      </c>
      <c r="L8502" t="s">
        <v>15</v>
      </c>
    </row>
    <row r="8503" spans="1:12" x14ac:dyDescent="0.25">
      <c r="A8503" t="str">
        <f>"6509211181"</f>
        <v>6509211181</v>
      </c>
      <c r="B8503" t="str">
        <f t="shared" si="387"/>
        <v>89301000</v>
      </c>
      <c r="C8503" s="1">
        <v>44265</v>
      </c>
      <c r="D8503" s="1">
        <v>44268</v>
      </c>
      <c r="E8503">
        <v>1</v>
      </c>
      <c r="F8503" t="s">
        <v>1551</v>
      </c>
      <c r="G8503" t="str">
        <f>"09-I06-04"</f>
        <v>09-I06-04</v>
      </c>
      <c r="H8503">
        <v>0.98829999999999996</v>
      </c>
      <c r="J8503" t="s">
        <v>17</v>
      </c>
      <c r="K8503" t="str">
        <f>"5F1"</f>
        <v>5F1</v>
      </c>
      <c r="L8503" t="s">
        <v>15</v>
      </c>
    </row>
    <row r="8504" spans="1:12" x14ac:dyDescent="0.25">
      <c r="A8504" t="str">
        <f>"6509221565"</f>
        <v>6509221565</v>
      </c>
      <c r="B8504" t="str">
        <f t="shared" si="387"/>
        <v>89301000</v>
      </c>
      <c r="C8504" s="1">
        <v>44375</v>
      </c>
      <c r="D8504" s="1">
        <v>44377</v>
      </c>
      <c r="E8504">
        <v>1</v>
      </c>
      <c r="F8504" t="s">
        <v>6028</v>
      </c>
      <c r="G8504" t="str">
        <f>"08-K10-00"</f>
        <v>08-K10-00</v>
      </c>
      <c r="H8504">
        <v>0.81889999999999996</v>
      </c>
      <c r="J8504" t="s">
        <v>14</v>
      </c>
      <c r="K8504" t="str">
        <f>"6F1"</f>
        <v>6F1</v>
      </c>
      <c r="L8504" t="s">
        <v>15</v>
      </c>
    </row>
    <row r="8505" spans="1:12" x14ac:dyDescent="0.25">
      <c r="A8505" t="str">
        <f>"6509241805"</f>
        <v>6509241805</v>
      </c>
      <c r="B8505" t="str">
        <f t="shared" si="387"/>
        <v>89301000</v>
      </c>
      <c r="C8505" s="1">
        <v>44254</v>
      </c>
      <c r="D8505" s="1">
        <v>44256</v>
      </c>
      <c r="E8505">
        <v>1</v>
      </c>
      <c r="F8505" t="s">
        <v>1683</v>
      </c>
      <c r="G8505" t="str">
        <f>"05-D01-06"</f>
        <v>05-D01-06</v>
      </c>
      <c r="H8505">
        <v>0.7611</v>
      </c>
      <c r="I8505" t="s">
        <v>2428</v>
      </c>
      <c r="J8505" t="s">
        <v>14</v>
      </c>
      <c r="K8505" t="str">
        <f>"1F1"</f>
        <v>1F1</v>
      </c>
      <c r="L8505" t="s">
        <v>15</v>
      </c>
    </row>
    <row r="8506" spans="1:12" x14ac:dyDescent="0.25">
      <c r="A8506" t="str">
        <f>"6510020297"</f>
        <v>6510020297</v>
      </c>
      <c r="B8506" t="str">
        <f t="shared" si="387"/>
        <v>89301000</v>
      </c>
      <c r="C8506" s="1">
        <v>44480</v>
      </c>
      <c r="D8506" s="1">
        <v>44482</v>
      </c>
      <c r="E8506">
        <v>1</v>
      </c>
      <c r="F8506" t="s">
        <v>1991</v>
      </c>
      <c r="G8506" t="str">
        <f>"12-M02-02"</f>
        <v>12-M02-02</v>
      </c>
      <c r="H8506">
        <v>0.995</v>
      </c>
      <c r="J8506" t="s">
        <v>24</v>
      </c>
      <c r="K8506" t="str">
        <f>"7F6"</f>
        <v>7F6</v>
      </c>
      <c r="L8506" t="s">
        <v>15</v>
      </c>
    </row>
    <row r="8507" spans="1:12" x14ac:dyDescent="0.25">
      <c r="A8507" t="str">
        <f>"6510041978"</f>
        <v>6510041978</v>
      </c>
      <c r="B8507" t="str">
        <f t="shared" si="387"/>
        <v>89301000</v>
      </c>
      <c r="C8507" s="1">
        <v>44548</v>
      </c>
      <c r="D8507" s="1">
        <v>44550</v>
      </c>
      <c r="E8507">
        <v>5</v>
      </c>
      <c r="F8507" t="s">
        <v>2391</v>
      </c>
      <c r="G8507" t="str">
        <f>"05-K05-02"</f>
        <v>05-K05-02</v>
      </c>
      <c r="H8507">
        <v>0.90600000000000003</v>
      </c>
      <c r="I8507" t="s">
        <v>6029</v>
      </c>
      <c r="J8507" t="s">
        <v>14</v>
      </c>
      <c r="K8507" t="str">
        <f>"1F1"</f>
        <v>1F1</v>
      </c>
      <c r="L8507" t="s">
        <v>15</v>
      </c>
    </row>
    <row r="8508" spans="1:12" x14ac:dyDescent="0.25">
      <c r="A8508" t="str">
        <f>"6510061140"</f>
        <v>6510061140</v>
      </c>
      <c r="B8508" t="str">
        <f t="shared" si="387"/>
        <v>89301000</v>
      </c>
      <c r="C8508" s="1">
        <v>44504</v>
      </c>
      <c r="D8508" s="1">
        <v>44505</v>
      </c>
      <c r="E8508">
        <v>1</v>
      </c>
      <c r="F8508" t="s">
        <v>2111</v>
      </c>
      <c r="G8508" t="str">
        <f>"10-K15-02"</f>
        <v>10-K15-02</v>
      </c>
      <c r="H8508">
        <v>0.51819999999999999</v>
      </c>
      <c r="I8508" t="s">
        <v>6030</v>
      </c>
      <c r="J8508" t="s">
        <v>14</v>
      </c>
      <c r="K8508" t="str">
        <f>"2F5"</f>
        <v>2F5</v>
      </c>
      <c r="L8508" t="s">
        <v>15</v>
      </c>
    </row>
    <row r="8509" spans="1:12" x14ac:dyDescent="0.25">
      <c r="A8509" t="str">
        <f>"6510081633"</f>
        <v>6510081633</v>
      </c>
      <c r="B8509" t="str">
        <f t="shared" si="387"/>
        <v>89301000</v>
      </c>
      <c r="C8509" s="1">
        <v>44480</v>
      </c>
      <c r="D8509" s="1">
        <v>44482</v>
      </c>
      <c r="E8509">
        <v>1</v>
      </c>
      <c r="F8509" t="s">
        <v>5805</v>
      </c>
      <c r="G8509" t="str">
        <f>"03-I19-03"</f>
        <v>03-I19-03</v>
      </c>
      <c r="H8509">
        <v>0.60699999999999998</v>
      </c>
      <c r="I8509" t="s">
        <v>6031</v>
      </c>
      <c r="J8509" t="s">
        <v>14</v>
      </c>
      <c r="K8509" t="str">
        <f>"6F5"</f>
        <v>6F5</v>
      </c>
      <c r="L8509" t="s">
        <v>15</v>
      </c>
    </row>
    <row r="8510" spans="1:12" x14ac:dyDescent="0.25">
      <c r="A8510" t="str">
        <f>"6510090312"</f>
        <v>6510090312</v>
      </c>
      <c r="B8510" t="str">
        <f t="shared" si="387"/>
        <v>89301000</v>
      </c>
      <c r="C8510" s="1">
        <v>44298</v>
      </c>
      <c r="D8510" s="1">
        <v>44316</v>
      </c>
      <c r="E8510">
        <v>1</v>
      </c>
      <c r="F8510" t="s">
        <v>352</v>
      </c>
      <c r="G8510" t="str">
        <f>"21-M01-00"</f>
        <v>21-M01-00</v>
      </c>
      <c r="H8510">
        <v>3.8576000000000001</v>
      </c>
      <c r="I8510" t="s">
        <v>6032</v>
      </c>
      <c r="J8510" t="s">
        <v>14</v>
      </c>
      <c r="K8510" t="str">
        <f>"1F1"</f>
        <v>1F1</v>
      </c>
      <c r="L8510" t="s">
        <v>15</v>
      </c>
    </row>
    <row r="8511" spans="1:12" x14ac:dyDescent="0.25">
      <c r="A8511" t="str">
        <f>"6510090928"</f>
        <v>6510090928</v>
      </c>
      <c r="B8511" t="str">
        <f t="shared" si="387"/>
        <v>89301000</v>
      </c>
      <c r="C8511" s="1">
        <v>44515</v>
      </c>
      <c r="D8511" s="1">
        <v>44547</v>
      </c>
      <c r="E8511">
        <v>1</v>
      </c>
      <c r="F8511" t="s">
        <v>3509</v>
      </c>
      <c r="G8511" t="str">
        <f>"19-K08-02"</f>
        <v>19-K08-02</v>
      </c>
      <c r="H8511">
        <v>4.1917</v>
      </c>
      <c r="J8511" t="s">
        <v>27</v>
      </c>
      <c r="K8511" t="str">
        <f>"3F5"</f>
        <v>3F5</v>
      </c>
      <c r="L8511" t="s">
        <v>15</v>
      </c>
    </row>
    <row r="8512" spans="1:12" x14ac:dyDescent="0.25">
      <c r="A8512" t="str">
        <f>"6510111069"</f>
        <v>6510111069</v>
      </c>
      <c r="B8512" t="str">
        <f t="shared" si="387"/>
        <v>89301000</v>
      </c>
      <c r="C8512" s="1">
        <v>44442</v>
      </c>
      <c r="D8512" s="1">
        <v>44445</v>
      </c>
      <c r="E8512">
        <v>1</v>
      </c>
      <c r="F8512" t="s">
        <v>1925</v>
      </c>
      <c r="G8512" t="str">
        <f>"05-M06-08"</f>
        <v>05-M06-08</v>
      </c>
      <c r="H8512">
        <v>1.4719</v>
      </c>
      <c r="I8512" t="s">
        <v>2428</v>
      </c>
      <c r="J8512" t="s">
        <v>17</v>
      </c>
      <c r="K8512" t="str">
        <f>"1F1"</f>
        <v>1F1</v>
      </c>
      <c r="L8512" t="s">
        <v>15</v>
      </c>
    </row>
    <row r="8513" spans="1:12" x14ac:dyDescent="0.25">
      <c r="A8513" t="str">
        <f>"6510271152"</f>
        <v>6510271152</v>
      </c>
      <c r="B8513" t="str">
        <f t="shared" si="387"/>
        <v>89301000</v>
      </c>
      <c r="C8513" s="1">
        <v>44431</v>
      </c>
      <c r="D8513" s="1">
        <v>44432</v>
      </c>
      <c r="E8513">
        <v>1</v>
      </c>
      <c r="F8513" t="s">
        <v>174</v>
      </c>
      <c r="G8513" t="str">
        <f>"12-I14-00"</f>
        <v>12-I14-00</v>
      </c>
      <c r="H8513">
        <v>0.44350000000000001</v>
      </c>
      <c r="I8513" t="s">
        <v>6033</v>
      </c>
      <c r="J8513" t="s">
        <v>14</v>
      </c>
      <c r="K8513" t="str">
        <f>"7F6"</f>
        <v>7F6</v>
      </c>
      <c r="L8513" t="s">
        <v>15</v>
      </c>
    </row>
    <row r="8514" spans="1:12" x14ac:dyDescent="0.25">
      <c r="A8514" t="str">
        <f>"6510290941"</f>
        <v>6510290941</v>
      </c>
      <c r="B8514" t="str">
        <f t="shared" si="387"/>
        <v>89301000</v>
      </c>
      <c r="C8514" s="1">
        <v>44465</v>
      </c>
      <c r="D8514" s="1">
        <v>44470</v>
      </c>
      <c r="E8514">
        <v>1</v>
      </c>
      <c r="F8514" t="s">
        <v>6034</v>
      </c>
      <c r="G8514" t="str">
        <f>"02-K01-02"</f>
        <v>02-K01-02</v>
      </c>
      <c r="H8514">
        <v>0.77749999999999997</v>
      </c>
      <c r="I8514" t="s">
        <v>6035</v>
      </c>
      <c r="J8514" t="s">
        <v>14</v>
      </c>
      <c r="K8514" t="str">
        <f>"7F5"</f>
        <v>7F5</v>
      </c>
      <c r="L8514" t="s">
        <v>15</v>
      </c>
    </row>
    <row r="8515" spans="1:12" x14ac:dyDescent="0.25">
      <c r="A8515" t="str">
        <f>"6511040107"</f>
        <v>6511040107</v>
      </c>
      <c r="B8515" t="str">
        <f t="shared" si="387"/>
        <v>89301000</v>
      </c>
      <c r="C8515" s="1">
        <v>44440</v>
      </c>
      <c r="D8515" s="1">
        <v>44441</v>
      </c>
      <c r="E8515">
        <v>1</v>
      </c>
      <c r="F8515" t="s">
        <v>41</v>
      </c>
      <c r="G8515" t="str">
        <f>"01-D01-03"</f>
        <v>01-D01-03</v>
      </c>
      <c r="H8515">
        <v>0.158</v>
      </c>
      <c r="J8515" t="s">
        <v>14</v>
      </c>
      <c r="K8515" t="str">
        <f>"2F5"</f>
        <v>2F5</v>
      </c>
      <c r="L8515" t="s">
        <v>15</v>
      </c>
    </row>
    <row r="8516" spans="1:12" x14ac:dyDescent="0.25">
      <c r="A8516" t="str">
        <f>"6511100926"</f>
        <v>6511100926</v>
      </c>
      <c r="B8516" t="str">
        <f t="shared" si="387"/>
        <v>89301000</v>
      </c>
      <c r="C8516" s="1">
        <v>44516</v>
      </c>
      <c r="D8516" s="1">
        <v>44525</v>
      </c>
      <c r="E8516">
        <v>1</v>
      </c>
      <c r="F8516" t="s">
        <v>217</v>
      </c>
      <c r="G8516" t="str">
        <f>"04-K02-03"</f>
        <v>04-K02-03</v>
      </c>
      <c r="H8516">
        <v>1.2859</v>
      </c>
      <c r="I8516" t="s">
        <v>6036</v>
      </c>
      <c r="J8516" t="s">
        <v>14</v>
      </c>
      <c r="K8516" t="str">
        <f>"5F1"</f>
        <v>5F1</v>
      </c>
      <c r="L8516" t="s">
        <v>15</v>
      </c>
    </row>
    <row r="8517" spans="1:12" x14ac:dyDescent="0.25">
      <c r="A8517" t="str">
        <f>"6511190180"</f>
        <v>6511190180</v>
      </c>
      <c r="B8517" t="str">
        <f t="shared" si="387"/>
        <v>89301000</v>
      </c>
      <c r="C8517" s="1">
        <v>44245</v>
      </c>
      <c r="D8517" s="1">
        <v>44246</v>
      </c>
      <c r="E8517">
        <v>1</v>
      </c>
      <c r="F8517" t="s">
        <v>2360</v>
      </c>
      <c r="G8517" t="str">
        <f>"06-M01-02"</f>
        <v>06-M01-02</v>
      </c>
      <c r="H8517">
        <v>1.2191000000000001</v>
      </c>
      <c r="I8517" t="s">
        <v>168</v>
      </c>
      <c r="J8517" t="s">
        <v>14</v>
      </c>
      <c r="K8517" t="str">
        <f>"1F1"</f>
        <v>1F1</v>
      </c>
      <c r="L8517" t="s">
        <v>15</v>
      </c>
    </row>
    <row r="8518" spans="1:12" x14ac:dyDescent="0.25">
      <c r="A8518" t="str">
        <f>"6511200498"</f>
        <v>6511200498</v>
      </c>
      <c r="B8518" t="str">
        <f t="shared" si="387"/>
        <v>89301000</v>
      </c>
      <c r="C8518" s="1">
        <v>44488</v>
      </c>
      <c r="D8518" s="1">
        <v>44512</v>
      </c>
      <c r="E8518">
        <v>1</v>
      </c>
      <c r="F8518" t="s">
        <v>6037</v>
      </c>
      <c r="G8518" t="str">
        <f>"17-C03-03"</f>
        <v>17-C03-03</v>
      </c>
      <c r="H8518">
        <v>2.3929999999999998</v>
      </c>
      <c r="I8518" t="s">
        <v>541</v>
      </c>
      <c r="J8518" t="s">
        <v>14</v>
      </c>
      <c r="K8518" t="str">
        <f>"2F2"</f>
        <v>2F2</v>
      </c>
      <c r="L8518" t="s">
        <v>15</v>
      </c>
    </row>
    <row r="8519" spans="1:12" x14ac:dyDescent="0.25">
      <c r="A8519" t="str">
        <f>"6511200498"</f>
        <v>6511200498</v>
      </c>
      <c r="B8519" t="str">
        <f t="shared" si="387"/>
        <v>89301000</v>
      </c>
      <c r="C8519" s="1">
        <v>44319</v>
      </c>
      <c r="D8519" s="1">
        <v>44358</v>
      </c>
      <c r="E8519">
        <v>1</v>
      </c>
      <c r="F8519" t="s">
        <v>6037</v>
      </c>
      <c r="G8519" t="str">
        <f>"17-C01-02"</f>
        <v>17-C01-02</v>
      </c>
      <c r="H8519">
        <v>11.111800000000001</v>
      </c>
      <c r="I8519" t="s">
        <v>6038</v>
      </c>
      <c r="J8519" t="s">
        <v>14</v>
      </c>
      <c r="K8519" t="str">
        <f>"2F2"</f>
        <v>2F2</v>
      </c>
      <c r="L8519" t="s">
        <v>15</v>
      </c>
    </row>
    <row r="8520" spans="1:12" x14ac:dyDescent="0.25">
      <c r="A8520" t="str">
        <f>"6511200498"</f>
        <v>6511200498</v>
      </c>
      <c r="B8520" t="str">
        <f t="shared" si="387"/>
        <v>89301000</v>
      </c>
      <c r="C8520" s="1">
        <v>44377</v>
      </c>
      <c r="D8520" s="1">
        <v>44397</v>
      </c>
      <c r="E8520">
        <v>1</v>
      </c>
      <c r="F8520" t="s">
        <v>6037</v>
      </c>
      <c r="G8520" t="str">
        <f>"17-C03-03"</f>
        <v>17-C03-03</v>
      </c>
      <c r="H8520">
        <v>2.0508999999999999</v>
      </c>
      <c r="I8520" t="s">
        <v>6039</v>
      </c>
      <c r="J8520" t="s">
        <v>14</v>
      </c>
      <c r="K8520" t="str">
        <f>"2F2"</f>
        <v>2F2</v>
      </c>
      <c r="L8520" t="s">
        <v>15</v>
      </c>
    </row>
    <row r="8521" spans="1:12" x14ac:dyDescent="0.25">
      <c r="A8521" t="str">
        <f>"6511200498"</f>
        <v>6511200498</v>
      </c>
      <c r="B8521" t="str">
        <f t="shared" si="387"/>
        <v>89301000</v>
      </c>
      <c r="C8521" s="1">
        <v>44432</v>
      </c>
      <c r="D8521" s="1">
        <v>44457</v>
      </c>
      <c r="E8521">
        <v>1</v>
      </c>
      <c r="F8521" t="s">
        <v>6037</v>
      </c>
      <c r="G8521" t="str">
        <f>"17-C03-03"</f>
        <v>17-C03-03</v>
      </c>
      <c r="H8521">
        <v>2.4784999999999999</v>
      </c>
      <c r="I8521" t="s">
        <v>541</v>
      </c>
      <c r="J8521" t="s">
        <v>14</v>
      </c>
      <c r="K8521" t="str">
        <f>"2F2"</f>
        <v>2F2</v>
      </c>
      <c r="L8521" t="s">
        <v>15</v>
      </c>
    </row>
    <row r="8522" spans="1:12" x14ac:dyDescent="0.25">
      <c r="A8522" t="str">
        <f>"6512070763"</f>
        <v>6512070763</v>
      </c>
      <c r="B8522" t="str">
        <f t="shared" si="387"/>
        <v>89301000</v>
      </c>
      <c r="C8522" s="1">
        <v>44497</v>
      </c>
      <c r="D8522" s="1">
        <v>44505</v>
      </c>
      <c r="E8522">
        <v>1</v>
      </c>
      <c r="F8522" t="s">
        <v>217</v>
      </c>
      <c r="G8522" t="str">
        <f>"04-K02-04"</f>
        <v>04-K02-04</v>
      </c>
      <c r="H8522">
        <v>0.82469999999999999</v>
      </c>
      <c r="I8522" t="s">
        <v>274</v>
      </c>
      <c r="J8522" t="s">
        <v>14</v>
      </c>
      <c r="K8522" t="str">
        <f>"1F1"</f>
        <v>1F1</v>
      </c>
      <c r="L8522" t="s">
        <v>15</v>
      </c>
    </row>
    <row r="8523" spans="1:12" x14ac:dyDescent="0.25">
      <c r="A8523" t="str">
        <f>"6512080575"</f>
        <v>6512080575</v>
      </c>
      <c r="B8523" t="str">
        <f t="shared" si="387"/>
        <v>89301000</v>
      </c>
      <c r="C8523" s="1">
        <v>44356</v>
      </c>
      <c r="D8523" s="1">
        <v>44362</v>
      </c>
      <c r="E8523">
        <v>5</v>
      </c>
      <c r="F8523" t="s">
        <v>316</v>
      </c>
      <c r="G8523" t="str">
        <f>"01-I08-04"</f>
        <v>01-I08-04</v>
      </c>
      <c r="H8523">
        <v>1.6155999999999999</v>
      </c>
      <c r="I8523" t="s">
        <v>1701</v>
      </c>
      <c r="J8523" t="s">
        <v>17</v>
      </c>
      <c r="K8523" t="str">
        <f>"5F6"</f>
        <v>5F6</v>
      </c>
      <c r="L8523" t="s">
        <v>15</v>
      </c>
    </row>
    <row r="8524" spans="1:12" x14ac:dyDescent="0.25">
      <c r="A8524" t="str">
        <f>"6512080575"</f>
        <v>6512080575</v>
      </c>
      <c r="B8524" t="str">
        <f t="shared" si="387"/>
        <v>89301000</v>
      </c>
      <c r="C8524" s="1">
        <v>44345</v>
      </c>
      <c r="D8524" s="1">
        <v>44351</v>
      </c>
      <c r="E8524">
        <v>1</v>
      </c>
      <c r="F8524" t="s">
        <v>780</v>
      </c>
      <c r="G8524" t="str">
        <f>"25-K01-02"</f>
        <v>25-K01-02</v>
      </c>
      <c r="H8524">
        <v>2.6412</v>
      </c>
      <c r="I8524" t="s">
        <v>6040</v>
      </c>
      <c r="J8524" t="s">
        <v>17</v>
      </c>
      <c r="K8524" t="str">
        <f>"5F6"</f>
        <v>5F6</v>
      </c>
      <c r="L8524" t="s">
        <v>15</v>
      </c>
    </row>
    <row r="8525" spans="1:12" x14ac:dyDescent="0.25">
      <c r="A8525" t="str">
        <f>"6512181104"</f>
        <v>6512181104</v>
      </c>
      <c r="B8525" t="str">
        <f t="shared" si="387"/>
        <v>89301000</v>
      </c>
      <c r="C8525" s="1">
        <v>44245</v>
      </c>
      <c r="D8525" s="1">
        <v>44248</v>
      </c>
      <c r="E8525">
        <v>1</v>
      </c>
      <c r="F8525" t="s">
        <v>496</v>
      </c>
      <c r="G8525" t="str">
        <f>"08-M03-05"</f>
        <v>08-M03-05</v>
      </c>
      <c r="H8525">
        <v>0.51759999999999995</v>
      </c>
      <c r="I8525" t="s">
        <v>6041</v>
      </c>
      <c r="J8525" t="s">
        <v>14</v>
      </c>
      <c r="K8525" t="str">
        <f>"6F6"</f>
        <v>6F6</v>
      </c>
      <c r="L8525" t="s">
        <v>15</v>
      </c>
    </row>
    <row r="8526" spans="1:12" x14ac:dyDescent="0.25">
      <c r="A8526" t="str">
        <f>"6512230978"</f>
        <v>6512230978</v>
      </c>
      <c r="B8526" t="str">
        <f t="shared" si="387"/>
        <v>89301000</v>
      </c>
      <c r="C8526" s="1">
        <v>44407</v>
      </c>
      <c r="D8526" s="1">
        <v>44410</v>
      </c>
      <c r="E8526">
        <v>1</v>
      </c>
      <c r="F8526" t="s">
        <v>447</v>
      </c>
      <c r="G8526" t="str">
        <f>"11-I12-00"</f>
        <v>11-I12-00</v>
      </c>
      <c r="H8526">
        <v>1.7518</v>
      </c>
      <c r="J8526" t="s">
        <v>17</v>
      </c>
      <c r="K8526" t="str">
        <f>"7F6"</f>
        <v>7F6</v>
      </c>
      <c r="L8526" t="s">
        <v>15</v>
      </c>
    </row>
    <row r="8527" spans="1:12" x14ac:dyDescent="0.25">
      <c r="A8527" t="str">
        <f>"6551016802"</f>
        <v>6551016802</v>
      </c>
      <c r="B8527" t="str">
        <f t="shared" si="387"/>
        <v>89301000</v>
      </c>
      <c r="C8527" s="1">
        <v>44410</v>
      </c>
      <c r="D8527" s="1">
        <v>44411</v>
      </c>
      <c r="E8527">
        <v>1</v>
      </c>
      <c r="F8527" t="s">
        <v>2600</v>
      </c>
      <c r="G8527" t="str">
        <f>"05-D01-06"</f>
        <v>05-D01-06</v>
      </c>
      <c r="H8527">
        <v>0.7611</v>
      </c>
      <c r="J8527" t="s">
        <v>14</v>
      </c>
      <c r="K8527" t="str">
        <f>"1F7"</f>
        <v>1F7</v>
      </c>
      <c r="L8527" t="s">
        <v>15</v>
      </c>
    </row>
    <row r="8528" spans="1:12" x14ac:dyDescent="0.25">
      <c r="A8528" t="str">
        <f>"6551020520"</f>
        <v>6551020520</v>
      </c>
      <c r="B8528" t="str">
        <f t="shared" si="387"/>
        <v>89301000</v>
      </c>
      <c r="C8528" s="1">
        <v>44430</v>
      </c>
      <c r="D8528" s="1">
        <v>44439</v>
      </c>
      <c r="E8528">
        <v>1</v>
      </c>
      <c r="F8528" t="s">
        <v>3462</v>
      </c>
      <c r="G8528" t="str">
        <f>"06-I17-04"</f>
        <v>06-I17-04</v>
      </c>
      <c r="H8528">
        <v>0.79859999999999998</v>
      </c>
      <c r="I8528" t="s">
        <v>241</v>
      </c>
      <c r="J8528" t="s">
        <v>17</v>
      </c>
      <c r="K8528" t="str">
        <f>"5F1"</f>
        <v>5F1</v>
      </c>
      <c r="L8528" t="s">
        <v>15</v>
      </c>
    </row>
    <row r="8529" spans="1:12" x14ac:dyDescent="0.25">
      <c r="A8529" t="str">
        <f>"6551070207"</f>
        <v>6551070207</v>
      </c>
      <c r="B8529" t="str">
        <f t="shared" si="387"/>
        <v>89301000</v>
      </c>
      <c r="C8529" s="1">
        <v>44344</v>
      </c>
      <c r="D8529" s="1">
        <v>44347</v>
      </c>
      <c r="E8529">
        <v>1</v>
      </c>
      <c r="F8529" t="s">
        <v>41</v>
      </c>
      <c r="G8529" t="str">
        <f>"01-D01-03"</f>
        <v>01-D01-03</v>
      </c>
      <c r="H8529">
        <v>0.2054</v>
      </c>
      <c r="I8529" t="s">
        <v>6042</v>
      </c>
      <c r="J8529" t="s">
        <v>14</v>
      </c>
      <c r="K8529" t="str">
        <f>"2F5"</f>
        <v>2F5</v>
      </c>
      <c r="L8529" t="s">
        <v>15</v>
      </c>
    </row>
    <row r="8530" spans="1:12" x14ac:dyDescent="0.25">
      <c r="A8530" t="str">
        <f>"6551070207"</f>
        <v>6551070207</v>
      </c>
      <c r="B8530" t="str">
        <f t="shared" si="387"/>
        <v>89301000</v>
      </c>
      <c r="C8530" s="1">
        <v>44280</v>
      </c>
      <c r="D8530" s="1">
        <v>44281</v>
      </c>
      <c r="E8530">
        <v>1</v>
      </c>
      <c r="F8530" t="s">
        <v>41</v>
      </c>
      <c r="G8530" t="str">
        <f>"01-D01-03"</f>
        <v>01-D01-03</v>
      </c>
      <c r="H8530">
        <v>0.158</v>
      </c>
      <c r="I8530" t="s">
        <v>6043</v>
      </c>
      <c r="J8530" t="s">
        <v>14</v>
      </c>
      <c r="K8530" t="str">
        <f>"2F5"</f>
        <v>2F5</v>
      </c>
      <c r="L8530" t="s">
        <v>15</v>
      </c>
    </row>
    <row r="8531" spans="1:12" x14ac:dyDescent="0.25">
      <c r="A8531" t="str">
        <f>"6551121137"</f>
        <v>6551121137</v>
      </c>
      <c r="B8531" t="str">
        <f t="shared" si="387"/>
        <v>89301000</v>
      </c>
      <c r="C8531" s="1">
        <v>44502</v>
      </c>
      <c r="D8531" s="1">
        <v>44503</v>
      </c>
      <c r="E8531">
        <v>1</v>
      </c>
      <c r="F8531" t="s">
        <v>3236</v>
      </c>
      <c r="G8531" t="str">
        <f>"13-I19-00"</f>
        <v>13-I19-00</v>
      </c>
      <c r="H8531">
        <v>0.24679999999999999</v>
      </c>
      <c r="J8531" t="s">
        <v>14</v>
      </c>
      <c r="K8531" t="str">
        <f>"6F3"</f>
        <v>6F3</v>
      </c>
      <c r="L8531" t="s">
        <v>15</v>
      </c>
    </row>
    <row r="8532" spans="1:12" x14ac:dyDescent="0.25">
      <c r="A8532" t="str">
        <f>"6551200557"</f>
        <v>6551200557</v>
      </c>
      <c r="B8532" t="str">
        <f t="shared" si="387"/>
        <v>89301000</v>
      </c>
      <c r="C8532" s="1">
        <v>44385</v>
      </c>
      <c r="D8532" s="1">
        <v>44391</v>
      </c>
      <c r="E8532">
        <v>1</v>
      </c>
      <c r="F8532" t="s">
        <v>1555</v>
      </c>
      <c r="G8532" t="str">
        <f>"05-I24-04"</f>
        <v>05-I24-04</v>
      </c>
      <c r="H8532">
        <v>2.3247</v>
      </c>
      <c r="I8532" t="s">
        <v>6044</v>
      </c>
      <c r="J8532" t="s">
        <v>14</v>
      </c>
      <c r="K8532" t="str">
        <f>"5F1"</f>
        <v>5F1</v>
      </c>
      <c r="L8532" t="s">
        <v>15</v>
      </c>
    </row>
    <row r="8533" spans="1:12" x14ac:dyDescent="0.25">
      <c r="A8533" t="str">
        <f>"6551260969"</f>
        <v>6551260969</v>
      </c>
      <c r="B8533" t="str">
        <f t="shared" si="387"/>
        <v>89301000</v>
      </c>
      <c r="C8533" s="1">
        <v>44249</v>
      </c>
      <c r="D8533" s="1">
        <v>44253</v>
      </c>
      <c r="E8533">
        <v>1</v>
      </c>
      <c r="F8533" t="s">
        <v>2350</v>
      </c>
      <c r="G8533" t="str">
        <f>"01-I09-02"</f>
        <v>01-I09-02</v>
      </c>
      <c r="H8533">
        <v>1.5302</v>
      </c>
      <c r="I8533" t="s">
        <v>1959</v>
      </c>
      <c r="J8533" t="s">
        <v>17</v>
      </c>
      <c r="K8533" t="str">
        <f>"5F1"</f>
        <v>5F1</v>
      </c>
      <c r="L8533" t="s">
        <v>15</v>
      </c>
    </row>
    <row r="8534" spans="1:12" x14ac:dyDescent="0.25">
      <c r="A8534" t="str">
        <f>"6552071790"</f>
        <v>6552071790</v>
      </c>
      <c r="B8534" t="str">
        <f t="shared" si="387"/>
        <v>89301000</v>
      </c>
      <c r="C8534" s="1">
        <v>44394</v>
      </c>
      <c r="D8534" s="1">
        <v>44400</v>
      </c>
      <c r="E8534">
        <v>1</v>
      </c>
      <c r="F8534" t="s">
        <v>3475</v>
      </c>
      <c r="G8534" t="str">
        <f>"06-I12-03"</f>
        <v>06-I12-03</v>
      </c>
      <c r="H8534">
        <v>1.8894</v>
      </c>
      <c r="I8534" t="s">
        <v>6045</v>
      </c>
      <c r="J8534" t="s">
        <v>14</v>
      </c>
      <c r="K8534" t="str">
        <f>"5F1"</f>
        <v>5F1</v>
      </c>
      <c r="L8534" t="s">
        <v>15</v>
      </c>
    </row>
    <row r="8535" spans="1:12" x14ac:dyDescent="0.25">
      <c r="A8535" t="str">
        <f>"6552161968"</f>
        <v>6552161968</v>
      </c>
      <c r="B8535" t="str">
        <f t="shared" si="387"/>
        <v>89301000</v>
      </c>
      <c r="C8535" s="1">
        <v>44222</v>
      </c>
      <c r="D8535" s="1">
        <v>44223</v>
      </c>
      <c r="E8535">
        <v>5</v>
      </c>
      <c r="F8535" t="s">
        <v>2239</v>
      </c>
      <c r="G8535" t="str">
        <f>"05-D01-06"</f>
        <v>05-D01-06</v>
      </c>
      <c r="H8535">
        <v>0.7611</v>
      </c>
      <c r="I8535" t="s">
        <v>6046</v>
      </c>
      <c r="J8535" t="s">
        <v>14</v>
      </c>
      <c r="K8535" t="str">
        <f>"1F7"</f>
        <v>1F7</v>
      </c>
      <c r="L8535" t="s">
        <v>15</v>
      </c>
    </row>
    <row r="8536" spans="1:12" x14ac:dyDescent="0.25">
      <c r="A8536" t="str">
        <f>"6552161968"</f>
        <v>6552161968</v>
      </c>
      <c r="B8536" t="str">
        <f t="shared" si="387"/>
        <v>89301000</v>
      </c>
      <c r="C8536" s="1">
        <v>44266</v>
      </c>
      <c r="D8536" s="1">
        <v>44266</v>
      </c>
      <c r="E8536">
        <v>1</v>
      </c>
      <c r="F8536" t="s">
        <v>6047</v>
      </c>
      <c r="G8536" t="str">
        <f>"05-K05-05"</f>
        <v>05-K05-05</v>
      </c>
      <c r="H8536">
        <v>1.1380999999999999</v>
      </c>
      <c r="I8536" t="s">
        <v>489</v>
      </c>
      <c r="J8536" t="s">
        <v>14</v>
      </c>
      <c r="K8536" t="str">
        <f>"1F1"</f>
        <v>1F1</v>
      </c>
      <c r="L8536" t="s">
        <v>15</v>
      </c>
    </row>
    <row r="8537" spans="1:12" x14ac:dyDescent="0.25">
      <c r="A8537" t="str">
        <f>"6552161968"</f>
        <v>6552161968</v>
      </c>
      <c r="B8537" t="str">
        <f t="shared" si="387"/>
        <v>89301000</v>
      </c>
      <c r="C8537" s="1">
        <v>44546</v>
      </c>
      <c r="D8537" s="1">
        <v>44546</v>
      </c>
      <c r="E8537">
        <v>1</v>
      </c>
      <c r="F8537" t="s">
        <v>1579</v>
      </c>
      <c r="G8537" t="str">
        <f>"05-I25-03"</f>
        <v>05-I25-03</v>
      </c>
      <c r="H8537">
        <v>1.2622</v>
      </c>
      <c r="I8537" t="s">
        <v>6048</v>
      </c>
      <c r="J8537" t="s">
        <v>17</v>
      </c>
      <c r="K8537" t="str">
        <f>"1F1"</f>
        <v>1F1</v>
      </c>
      <c r="L8537" t="s">
        <v>15</v>
      </c>
    </row>
    <row r="8538" spans="1:12" x14ac:dyDescent="0.25">
      <c r="A8538" t="str">
        <f>"6552162012"</f>
        <v>6552162012</v>
      </c>
      <c r="B8538" t="str">
        <f t="shared" si="387"/>
        <v>89301000</v>
      </c>
      <c r="C8538" s="1">
        <v>44350</v>
      </c>
      <c r="D8538" s="1">
        <v>44353</v>
      </c>
      <c r="E8538">
        <v>1</v>
      </c>
      <c r="F8538" t="s">
        <v>496</v>
      </c>
      <c r="G8538" t="str">
        <f>"08-M03-04"</f>
        <v>08-M03-04</v>
      </c>
      <c r="H8538">
        <v>0.8609</v>
      </c>
      <c r="I8538" t="s">
        <v>524</v>
      </c>
      <c r="J8538" t="s">
        <v>14</v>
      </c>
      <c r="K8538" t="str">
        <f>"6F6"</f>
        <v>6F6</v>
      </c>
      <c r="L8538" t="s">
        <v>15</v>
      </c>
    </row>
    <row r="8539" spans="1:12" x14ac:dyDescent="0.25">
      <c r="A8539" t="str">
        <f>"6552202349"</f>
        <v>6552202349</v>
      </c>
      <c r="B8539" t="str">
        <f t="shared" si="387"/>
        <v>89301000</v>
      </c>
      <c r="C8539" s="1">
        <v>44376</v>
      </c>
      <c r="D8539" s="1">
        <v>44377</v>
      </c>
      <c r="E8539">
        <v>1</v>
      </c>
      <c r="F8539" t="s">
        <v>1584</v>
      </c>
      <c r="G8539" t="str">
        <f>"07-M02-04"</f>
        <v>07-M02-04</v>
      </c>
      <c r="H8539">
        <v>0.9819</v>
      </c>
      <c r="I8539" t="s">
        <v>168</v>
      </c>
      <c r="J8539" t="s">
        <v>17</v>
      </c>
      <c r="K8539" t="str">
        <f>"1F5"</f>
        <v>1F5</v>
      </c>
      <c r="L8539" t="s">
        <v>15</v>
      </c>
    </row>
    <row r="8540" spans="1:12" x14ac:dyDescent="0.25">
      <c r="A8540" t="str">
        <f>"6552202349"</f>
        <v>6552202349</v>
      </c>
      <c r="B8540" t="str">
        <f t="shared" si="387"/>
        <v>89301000</v>
      </c>
      <c r="C8540" s="1">
        <v>44439</v>
      </c>
      <c r="D8540" s="1">
        <v>44440</v>
      </c>
      <c r="E8540">
        <v>1</v>
      </c>
      <c r="F8540" t="s">
        <v>550</v>
      </c>
      <c r="G8540" t="str">
        <f>"07-M02-04"</f>
        <v>07-M02-04</v>
      </c>
      <c r="H8540">
        <v>1.0314000000000001</v>
      </c>
      <c r="I8540" t="s">
        <v>168</v>
      </c>
      <c r="J8540" t="s">
        <v>17</v>
      </c>
      <c r="K8540" t="str">
        <f>"1F5"</f>
        <v>1F5</v>
      </c>
      <c r="L8540" t="s">
        <v>15</v>
      </c>
    </row>
    <row r="8541" spans="1:12" x14ac:dyDescent="0.25">
      <c r="A8541" t="str">
        <f>"6552202349"</f>
        <v>6552202349</v>
      </c>
      <c r="B8541" t="str">
        <f t="shared" si="387"/>
        <v>89301000</v>
      </c>
      <c r="C8541" s="1">
        <v>44315</v>
      </c>
      <c r="D8541" s="1">
        <v>44316</v>
      </c>
      <c r="E8541">
        <v>1</v>
      </c>
      <c r="F8541" t="s">
        <v>1584</v>
      </c>
      <c r="G8541" t="str">
        <f>"07-M02-04"</f>
        <v>07-M02-04</v>
      </c>
      <c r="H8541">
        <v>1.0101</v>
      </c>
      <c r="I8541" t="s">
        <v>168</v>
      </c>
      <c r="J8541" t="s">
        <v>17</v>
      </c>
      <c r="K8541" t="str">
        <f>"1F5"</f>
        <v>1F5</v>
      </c>
      <c r="L8541" t="s">
        <v>15</v>
      </c>
    </row>
    <row r="8542" spans="1:12" x14ac:dyDescent="0.25">
      <c r="A8542" t="str">
        <f>"6552202349"</f>
        <v>6552202349</v>
      </c>
      <c r="B8542" t="str">
        <f t="shared" si="387"/>
        <v>89301000</v>
      </c>
      <c r="C8542" s="1">
        <v>44281</v>
      </c>
      <c r="D8542" s="1">
        <v>44282</v>
      </c>
      <c r="E8542">
        <v>1</v>
      </c>
      <c r="F8542" t="s">
        <v>1584</v>
      </c>
      <c r="G8542" t="str">
        <f>"07-M02-04"</f>
        <v>07-M02-04</v>
      </c>
      <c r="H8542">
        <v>0.89259999999999995</v>
      </c>
      <c r="J8542" t="s">
        <v>17</v>
      </c>
      <c r="K8542" t="str">
        <f>"1F1"</f>
        <v>1F1</v>
      </c>
      <c r="L8542" t="s">
        <v>15</v>
      </c>
    </row>
    <row r="8543" spans="1:12" x14ac:dyDescent="0.25">
      <c r="A8543" t="str">
        <f>"6552251101"</f>
        <v>6552251101</v>
      </c>
      <c r="B8543" t="str">
        <f t="shared" si="387"/>
        <v>89301000</v>
      </c>
      <c r="C8543" s="1">
        <v>44305</v>
      </c>
      <c r="D8543" s="1">
        <v>44311</v>
      </c>
      <c r="E8543">
        <v>1</v>
      </c>
      <c r="F8543" t="s">
        <v>132</v>
      </c>
      <c r="G8543" t="str">
        <f>"03-I23-00"</f>
        <v>03-I23-00</v>
      </c>
      <c r="H8543">
        <v>0.54769999999999996</v>
      </c>
      <c r="I8543" t="s">
        <v>6049</v>
      </c>
      <c r="J8543" t="s">
        <v>14</v>
      </c>
      <c r="K8543" t="str">
        <f>"6F5"</f>
        <v>6F5</v>
      </c>
      <c r="L8543" t="s">
        <v>15</v>
      </c>
    </row>
    <row r="8544" spans="1:12" x14ac:dyDescent="0.25">
      <c r="A8544" t="str">
        <f>"6552282165"</f>
        <v>6552282165</v>
      </c>
      <c r="B8544" t="str">
        <f t="shared" si="387"/>
        <v>89301000</v>
      </c>
      <c r="C8544" s="1">
        <v>44519</v>
      </c>
      <c r="D8544" s="1">
        <v>44520</v>
      </c>
      <c r="E8544">
        <v>1</v>
      </c>
      <c r="F8544" t="s">
        <v>1548</v>
      </c>
      <c r="G8544" t="str">
        <f>"05-D01-06"</f>
        <v>05-D01-06</v>
      </c>
      <c r="H8544">
        <v>0.7611</v>
      </c>
      <c r="J8544" t="s">
        <v>14</v>
      </c>
      <c r="K8544" t="str">
        <f>"1F7"</f>
        <v>1F7</v>
      </c>
      <c r="L8544" t="s">
        <v>15</v>
      </c>
    </row>
    <row r="8545" spans="1:12" x14ac:dyDescent="0.25">
      <c r="A8545" t="str">
        <f>"6553040318"</f>
        <v>6553040318</v>
      </c>
      <c r="B8545" t="str">
        <f t="shared" si="387"/>
        <v>89301000</v>
      </c>
      <c r="C8545" s="1">
        <v>44339</v>
      </c>
      <c r="D8545" s="1">
        <v>44344</v>
      </c>
      <c r="E8545">
        <v>1</v>
      </c>
      <c r="F8545" t="s">
        <v>81</v>
      </c>
      <c r="G8545" t="str">
        <f>"10-I13-02"</f>
        <v>10-I13-02</v>
      </c>
      <c r="H8545">
        <v>1.1468</v>
      </c>
      <c r="J8545" t="s">
        <v>24</v>
      </c>
      <c r="K8545" t="str">
        <f>"5F1"</f>
        <v>5F1</v>
      </c>
      <c r="L8545" t="s">
        <v>15</v>
      </c>
    </row>
    <row r="8546" spans="1:12" x14ac:dyDescent="0.25">
      <c r="A8546" t="str">
        <f>"6553182108"</f>
        <v>6553182108</v>
      </c>
      <c r="B8546" t="str">
        <f t="shared" si="387"/>
        <v>89301000</v>
      </c>
      <c r="C8546" s="1">
        <v>44529</v>
      </c>
      <c r="D8546" s="1">
        <v>44531</v>
      </c>
      <c r="E8546">
        <v>1</v>
      </c>
      <c r="F8546" t="s">
        <v>1551</v>
      </c>
      <c r="G8546" t="str">
        <f>"09-I06-04"</f>
        <v>09-I06-04</v>
      </c>
      <c r="H8546">
        <v>0.98829999999999996</v>
      </c>
      <c r="J8546" t="s">
        <v>17</v>
      </c>
      <c r="K8546" t="str">
        <f>"5F1"</f>
        <v>5F1</v>
      </c>
      <c r="L8546" t="s">
        <v>15</v>
      </c>
    </row>
    <row r="8547" spans="1:12" x14ac:dyDescent="0.25">
      <c r="A8547" t="str">
        <f>"6553182108"</f>
        <v>6553182108</v>
      </c>
      <c r="B8547" t="str">
        <f t="shared" si="387"/>
        <v>89301000</v>
      </c>
      <c r="C8547" s="1">
        <v>44550</v>
      </c>
      <c r="D8547" s="1">
        <v>44554</v>
      </c>
      <c r="E8547">
        <v>1</v>
      </c>
      <c r="F8547" t="s">
        <v>1551</v>
      </c>
      <c r="G8547" t="str">
        <f>"09-I10-02"</f>
        <v>09-I10-02</v>
      </c>
      <c r="H8547">
        <v>0.98380000000000001</v>
      </c>
      <c r="J8547" t="s">
        <v>17</v>
      </c>
      <c r="K8547" t="str">
        <f>"5F1"</f>
        <v>5F1</v>
      </c>
      <c r="L8547" t="s">
        <v>15</v>
      </c>
    </row>
    <row r="8548" spans="1:12" x14ac:dyDescent="0.25">
      <c r="A8548" t="str">
        <f>"6553232136"</f>
        <v>6553232136</v>
      </c>
      <c r="B8548" t="str">
        <f t="shared" si="387"/>
        <v>89301000</v>
      </c>
      <c r="C8548" s="1">
        <v>44397</v>
      </c>
      <c r="D8548" s="1">
        <v>44407</v>
      </c>
      <c r="E8548">
        <v>1</v>
      </c>
      <c r="F8548" t="s">
        <v>109</v>
      </c>
      <c r="G8548" t="str">
        <f>"24-M06-02"</f>
        <v>24-M06-02</v>
      </c>
      <c r="H8548">
        <v>1.0233000000000001</v>
      </c>
      <c r="I8548" t="s">
        <v>6050</v>
      </c>
      <c r="J8548" t="s">
        <v>14</v>
      </c>
      <c r="K8548" t="str">
        <f>"2F1"</f>
        <v>2F1</v>
      </c>
      <c r="L8548" t="s">
        <v>15</v>
      </c>
    </row>
    <row r="8549" spans="1:12" x14ac:dyDescent="0.25">
      <c r="A8549" t="str">
        <f>"6554051141"</f>
        <v>6554051141</v>
      </c>
      <c r="B8549" t="str">
        <f t="shared" si="387"/>
        <v>89301000</v>
      </c>
      <c r="C8549" s="1">
        <v>44447</v>
      </c>
      <c r="D8549" s="1">
        <v>44448</v>
      </c>
      <c r="E8549">
        <v>1</v>
      </c>
      <c r="F8549" t="s">
        <v>1557</v>
      </c>
      <c r="G8549" t="str">
        <f>"05-M06-07"</f>
        <v>05-M06-07</v>
      </c>
      <c r="H8549">
        <v>1.8717999999999999</v>
      </c>
      <c r="I8549" t="s">
        <v>3692</v>
      </c>
      <c r="J8549" t="s">
        <v>17</v>
      </c>
      <c r="K8549" t="str">
        <f>"1F1"</f>
        <v>1F1</v>
      </c>
      <c r="L8549" t="s">
        <v>15</v>
      </c>
    </row>
    <row r="8550" spans="1:12" x14ac:dyDescent="0.25">
      <c r="A8550" t="str">
        <f>"6554082249"</f>
        <v>6554082249</v>
      </c>
      <c r="B8550" t="str">
        <f t="shared" si="387"/>
        <v>89301000</v>
      </c>
      <c r="C8550" s="1">
        <v>44238</v>
      </c>
      <c r="D8550" s="1">
        <v>44243</v>
      </c>
      <c r="E8550">
        <v>5</v>
      </c>
      <c r="F8550" t="s">
        <v>1557</v>
      </c>
      <c r="G8550" t="str">
        <f>"05-D01-04"</f>
        <v>05-D01-04</v>
      </c>
      <c r="H8550">
        <v>2.0049000000000001</v>
      </c>
      <c r="I8550" t="s">
        <v>6051</v>
      </c>
      <c r="J8550" t="s">
        <v>14</v>
      </c>
      <c r="K8550" t="str">
        <f>"1F1"</f>
        <v>1F1</v>
      </c>
      <c r="L8550" t="s">
        <v>15</v>
      </c>
    </row>
    <row r="8551" spans="1:12" x14ac:dyDescent="0.25">
      <c r="A8551" t="str">
        <f>"6554090983"</f>
        <v>6554090983</v>
      </c>
      <c r="B8551" t="str">
        <f t="shared" si="387"/>
        <v>89301000</v>
      </c>
      <c r="C8551" s="1">
        <v>44376</v>
      </c>
      <c r="D8551" s="1">
        <v>44380</v>
      </c>
      <c r="E8551">
        <v>1</v>
      </c>
      <c r="F8551" t="s">
        <v>31</v>
      </c>
      <c r="G8551" t="str">
        <f>"08-I04-03"</f>
        <v>08-I04-03</v>
      </c>
      <c r="H8551">
        <v>1.331</v>
      </c>
      <c r="I8551" t="s">
        <v>937</v>
      </c>
      <c r="J8551" t="s">
        <v>17</v>
      </c>
      <c r="K8551" t="str">
        <f>"5F6"</f>
        <v>5F6</v>
      </c>
      <c r="L8551" t="s">
        <v>15</v>
      </c>
    </row>
    <row r="8552" spans="1:12" x14ac:dyDescent="0.25">
      <c r="A8552" t="str">
        <f>"6554091203"</f>
        <v>6554091203</v>
      </c>
      <c r="B8552" t="str">
        <f t="shared" si="387"/>
        <v>89301000</v>
      </c>
      <c r="C8552" s="1">
        <v>44446</v>
      </c>
      <c r="D8552" s="1">
        <v>44447</v>
      </c>
      <c r="E8552">
        <v>1</v>
      </c>
      <c r="F8552" t="s">
        <v>1558</v>
      </c>
      <c r="G8552" t="str">
        <f>"05-D01-06"</f>
        <v>05-D01-06</v>
      </c>
      <c r="H8552">
        <v>0.7611</v>
      </c>
      <c r="I8552" t="s">
        <v>489</v>
      </c>
      <c r="J8552" t="s">
        <v>14</v>
      </c>
      <c r="K8552" t="str">
        <f>"1F7"</f>
        <v>1F7</v>
      </c>
      <c r="L8552" t="s">
        <v>15</v>
      </c>
    </row>
    <row r="8553" spans="1:12" x14ac:dyDescent="0.25">
      <c r="A8553" t="str">
        <f>"6554091203"</f>
        <v>6554091203</v>
      </c>
      <c r="B8553" t="str">
        <f t="shared" si="387"/>
        <v>89301000</v>
      </c>
      <c r="C8553" s="1">
        <v>44473</v>
      </c>
      <c r="D8553" s="1">
        <v>44480</v>
      </c>
      <c r="E8553">
        <v>1</v>
      </c>
      <c r="F8553" t="s">
        <v>1558</v>
      </c>
      <c r="G8553" t="str">
        <f>"05-I12-03"</f>
        <v>05-I12-03</v>
      </c>
      <c r="H8553">
        <v>6.4964000000000004</v>
      </c>
      <c r="J8553" t="s">
        <v>17</v>
      </c>
      <c r="K8553" t="str">
        <f>"5F5"</f>
        <v>5F5</v>
      </c>
      <c r="L8553" t="s">
        <v>15</v>
      </c>
    </row>
    <row r="8554" spans="1:12" x14ac:dyDescent="0.25">
      <c r="A8554" t="str">
        <f t="shared" ref="A8554:A8562" si="388">"6554140329"</f>
        <v>6554140329</v>
      </c>
      <c r="B8554" t="str">
        <f t="shared" si="387"/>
        <v>89301000</v>
      </c>
      <c r="C8554" s="1">
        <v>44481</v>
      </c>
      <c r="D8554" s="1">
        <v>44482</v>
      </c>
      <c r="E8554">
        <v>1</v>
      </c>
      <c r="F8554" t="s">
        <v>2497</v>
      </c>
      <c r="G8554" t="str">
        <f>"13-C01-02"</f>
        <v>13-C01-02</v>
      </c>
      <c r="H8554">
        <v>0.2349</v>
      </c>
      <c r="I8554" t="s">
        <v>3317</v>
      </c>
      <c r="J8554" t="s">
        <v>14</v>
      </c>
      <c r="K8554" t="str">
        <f>"4F2"</f>
        <v>4F2</v>
      </c>
      <c r="L8554" t="s">
        <v>15</v>
      </c>
    </row>
    <row r="8555" spans="1:12" x14ac:dyDescent="0.25">
      <c r="A8555" t="str">
        <f t="shared" si="388"/>
        <v>6554140329</v>
      </c>
      <c r="B8555" t="str">
        <f t="shared" si="387"/>
        <v>89301000</v>
      </c>
      <c r="C8555" s="1">
        <v>44419</v>
      </c>
      <c r="D8555" s="1">
        <v>44420</v>
      </c>
      <c r="E8555">
        <v>1</v>
      </c>
      <c r="F8555" t="s">
        <v>2497</v>
      </c>
      <c r="G8555" t="str">
        <f>"13-C01-02"</f>
        <v>13-C01-02</v>
      </c>
      <c r="H8555">
        <v>0.2349</v>
      </c>
      <c r="I8555" t="s">
        <v>3317</v>
      </c>
      <c r="J8555" t="s">
        <v>14</v>
      </c>
      <c r="K8555" t="str">
        <f>"4F2"</f>
        <v>4F2</v>
      </c>
      <c r="L8555" t="s">
        <v>15</v>
      </c>
    </row>
    <row r="8556" spans="1:12" x14ac:dyDescent="0.25">
      <c r="A8556" t="str">
        <f t="shared" si="388"/>
        <v>6554140329</v>
      </c>
      <c r="B8556" t="str">
        <f t="shared" si="387"/>
        <v>89301000</v>
      </c>
      <c r="C8556" s="1">
        <v>44252</v>
      </c>
      <c r="D8556" s="1">
        <v>44258</v>
      </c>
      <c r="E8556">
        <v>1</v>
      </c>
      <c r="F8556" t="s">
        <v>2648</v>
      </c>
      <c r="G8556" t="str">
        <f>"06-I12-03"</f>
        <v>06-I12-03</v>
      </c>
      <c r="H8556">
        <v>1.8894</v>
      </c>
      <c r="I8556" t="s">
        <v>2497</v>
      </c>
      <c r="J8556" t="s">
        <v>14</v>
      </c>
      <c r="K8556" t="str">
        <f>"5F1"</f>
        <v>5F1</v>
      </c>
      <c r="L8556" t="s">
        <v>15</v>
      </c>
    </row>
    <row r="8557" spans="1:12" x14ac:dyDescent="0.25">
      <c r="A8557" t="str">
        <f t="shared" si="388"/>
        <v>6554140329</v>
      </c>
      <c r="B8557" t="str">
        <f t="shared" si="387"/>
        <v>89301000</v>
      </c>
      <c r="C8557" s="1">
        <v>44487</v>
      </c>
      <c r="D8557" s="1">
        <v>44491</v>
      </c>
      <c r="E8557">
        <v>1</v>
      </c>
      <c r="F8557" t="s">
        <v>2553</v>
      </c>
      <c r="G8557" t="str">
        <f>"17-K08-00"</f>
        <v>17-K08-00</v>
      </c>
      <c r="H8557">
        <v>0.65380000000000005</v>
      </c>
      <c r="I8557" t="s">
        <v>6052</v>
      </c>
      <c r="J8557" t="s">
        <v>14</v>
      </c>
      <c r="K8557" t="str">
        <f t="shared" ref="K8557:K8562" si="389">"4F2"</f>
        <v>4F2</v>
      </c>
      <c r="L8557" t="s">
        <v>15</v>
      </c>
    </row>
    <row r="8558" spans="1:12" x14ac:dyDescent="0.25">
      <c r="A8558" t="str">
        <f t="shared" si="388"/>
        <v>6554140329</v>
      </c>
      <c r="B8558" t="str">
        <f t="shared" si="387"/>
        <v>89301000</v>
      </c>
      <c r="C8558" s="1">
        <v>44441</v>
      </c>
      <c r="D8558" s="1">
        <v>44442</v>
      </c>
      <c r="E8558">
        <v>1</v>
      </c>
      <c r="F8558" t="s">
        <v>2497</v>
      </c>
      <c r="G8558" t="str">
        <f>"13-C01-02"</f>
        <v>13-C01-02</v>
      </c>
      <c r="H8558">
        <v>0.2349</v>
      </c>
      <c r="I8558" t="s">
        <v>3317</v>
      </c>
      <c r="J8558" t="s">
        <v>14</v>
      </c>
      <c r="K8558" t="str">
        <f t="shared" si="389"/>
        <v>4F2</v>
      </c>
      <c r="L8558" t="s">
        <v>15</v>
      </c>
    </row>
    <row r="8559" spans="1:12" x14ac:dyDescent="0.25">
      <c r="A8559" t="str">
        <f t="shared" si="388"/>
        <v>6554140329</v>
      </c>
      <c r="B8559" t="str">
        <f t="shared" si="387"/>
        <v>89301000</v>
      </c>
      <c r="C8559" s="1">
        <v>44452</v>
      </c>
      <c r="D8559" s="1">
        <v>44453</v>
      </c>
      <c r="E8559">
        <v>1</v>
      </c>
      <c r="F8559" t="s">
        <v>2497</v>
      </c>
      <c r="G8559" t="str">
        <f>"13-C01-02"</f>
        <v>13-C01-02</v>
      </c>
      <c r="H8559">
        <v>0.2349</v>
      </c>
      <c r="I8559" t="s">
        <v>541</v>
      </c>
      <c r="J8559" t="s">
        <v>14</v>
      </c>
      <c r="K8559" t="str">
        <f t="shared" si="389"/>
        <v>4F2</v>
      </c>
      <c r="L8559" t="s">
        <v>15</v>
      </c>
    </row>
    <row r="8560" spans="1:12" x14ac:dyDescent="0.25">
      <c r="A8560" t="str">
        <f t="shared" si="388"/>
        <v>6554140329</v>
      </c>
      <c r="B8560" t="str">
        <f t="shared" ref="B8560:B8623" si="390">"89301000"</f>
        <v>89301000</v>
      </c>
      <c r="C8560" s="1">
        <v>44459</v>
      </c>
      <c r="D8560" s="1">
        <v>44460</v>
      </c>
      <c r="E8560">
        <v>1</v>
      </c>
      <c r="F8560" t="s">
        <v>2497</v>
      </c>
      <c r="G8560" t="str">
        <f>"13-C01-02"</f>
        <v>13-C01-02</v>
      </c>
      <c r="H8560">
        <v>0.2349</v>
      </c>
      <c r="I8560" t="s">
        <v>3317</v>
      </c>
      <c r="J8560" t="s">
        <v>14</v>
      </c>
      <c r="K8560" t="str">
        <f t="shared" si="389"/>
        <v>4F2</v>
      </c>
      <c r="L8560" t="s">
        <v>15</v>
      </c>
    </row>
    <row r="8561" spans="1:12" x14ac:dyDescent="0.25">
      <c r="A8561" t="str">
        <f t="shared" si="388"/>
        <v>6554140329</v>
      </c>
      <c r="B8561" t="str">
        <f t="shared" si="390"/>
        <v>89301000</v>
      </c>
      <c r="C8561" s="1">
        <v>44466</v>
      </c>
      <c r="D8561" s="1">
        <v>44469</v>
      </c>
      <c r="E8561">
        <v>1</v>
      </c>
      <c r="F8561" t="s">
        <v>2497</v>
      </c>
      <c r="G8561" t="str">
        <f>"13-C01-02"</f>
        <v>13-C01-02</v>
      </c>
      <c r="H8561">
        <v>0.2349</v>
      </c>
      <c r="I8561" t="s">
        <v>3317</v>
      </c>
      <c r="J8561" t="s">
        <v>14</v>
      </c>
      <c r="K8561" t="str">
        <f t="shared" si="389"/>
        <v>4F2</v>
      </c>
      <c r="L8561" t="s">
        <v>15</v>
      </c>
    </row>
    <row r="8562" spans="1:12" x14ac:dyDescent="0.25">
      <c r="A8562" t="str">
        <f t="shared" si="388"/>
        <v>6554140329</v>
      </c>
      <c r="B8562" t="str">
        <f t="shared" si="390"/>
        <v>89301000</v>
      </c>
      <c r="C8562" s="1">
        <v>44427</v>
      </c>
      <c r="D8562" s="1">
        <v>44428</v>
      </c>
      <c r="E8562">
        <v>1</v>
      </c>
      <c r="F8562" t="s">
        <v>2553</v>
      </c>
      <c r="G8562" t="str">
        <f>"17-C06-02"</f>
        <v>17-C06-02</v>
      </c>
      <c r="H8562">
        <v>0.3826</v>
      </c>
      <c r="I8562" t="s">
        <v>6053</v>
      </c>
      <c r="J8562" t="s">
        <v>14</v>
      </c>
      <c r="K8562" t="str">
        <f t="shared" si="389"/>
        <v>4F2</v>
      </c>
      <c r="L8562" t="s">
        <v>15</v>
      </c>
    </row>
    <row r="8563" spans="1:12" x14ac:dyDescent="0.25">
      <c r="A8563" t="str">
        <f>"6554171371"</f>
        <v>6554171371</v>
      </c>
      <c r="B8563" t="str">
        <f t="shared" si="390"/>
        <v>89301000</v>
      </c>
      <c r="C8563" s="1">
        <v>44193</v>
      </c>
      <c r="D8563" s="1">
        <v>44203</v>
      </c>
      <c r="E8563">
        <v>1</v>
      </c>
      <c r="F8563" t="s">
        <v>994</v>
      </c>
      <c r="G8563" t="str">
        <f>"01-I07-01"</f>
        <v>01-I07-01</v>
      </c>
      <c r="H8563">
        <v>8.0469000000000008</v>
      </c>
      <c r="I8563" t="s">
        <v>489</v>
      </c>
      <c r="J8563" t="s">
        <v>17</v>
      </c>
      <c r="K8563" t="str">
        <f>"5F6"</f>
        <v>5F6</v>
      </c>
      <c r="L8563" t="s">
        <v>15</v>
      </c>
    </row>
    <row r="8564" spans="1:12" x14ac:dyDescent="0.25">
      <c r="A8564" t="str">
        <f>"6554171371"</f>
        <v>6554171371</v>
      </c>
      <c r="B8564" t="str">
        <f t="shared" si="390"/>
        <v>89301000</v>
      </c>
      <c r="C8564" s="1">
        <v>44208</v>
      </c>
      <c r="D8564" s="1">
        <v>44210</v>
      </c>
      <c r="E8564">
        <v>1</v>
      </c>
      <c r="F8564" t="s">
        <v>994</v>
      </c>
      <c r="G8564" t="str">
        <f>"01-I07-03"</f>
        <v>01-I07-03</v>
      </c>
      <c r="H8564">
        <v>1.8429</v>
      </c>
      <c r="I8564" t="s">
        <v>2301</v>
      </c>
      <c r="J8564" t="s">
        <v>17</v>
      </c>
      <c r="K8564" t="str">
        <f>"5F6"</f>
        <v>5F6</v>
      </c>
      <c r="L8564" t="s">
        <v>15</v>
      </c>
    </row>
    <row r="8565" spans="1:12" x14ac:dyDescent="0.25">
      <c r="A8565" t="str">
        <f>"6555171535"</f>
        <v>6555171535</v>
      </c>
      <c r="B8565" t="str">
        <f t="shared" si="390"/>
        <v>89301000</v>
      </c>
      <c r="C8565" s="1">
        <v>44294</v>
      </c>
      <c r="D8565" s="1">
        <v>44295</v>
      </c>
      <c r="E8565">
        <v>1</v>
      </c>
      <c r="F8565" t="s">
        <v>341</v>
      </c>
      <c r="G8565" t="str">
        <f>"06-K21-03"</f>
        <v>06-K21-03</v>
      </c>
      <c r="H8565">
        <v>0.44429999999999997</v>
      </c>
      <c r="I8565" t="s">
        <v>6054</v>
      </c>
      <c r="J8565" t="s">
        <v>14</v>
      </c>
      <c r="K8565" t="str">
        <f>"1F5"</f>
        <v>1F5</v>
      </c>
      <c r="L8565" t="s">
        <v>15</v>
      </c>
    </row>
    <row r="8566" spans="1:12" x14ac:dyDescent="0.25">
      <c r="A8566" t="str">
        <f>"6555212081"</f>
        <v>6555212081</v>
      </c>
      <c r="B8566" t="str">
        <f t="shared" si="390"/>
        <v>89301000</v>
      </c>
      <c r="C8566" s="1">
        <v>44469</v>
      </c>
      <c r="D8566" s="1">
        <v>44472</v>
      </c>
      <c r="E8566">
        <v>1</v>
      </c>
      <c r="F8566" t="s">
        <v>173</v>
      </c>
      <c r="G8566" t="str">
        <f>"08-I32-02"</f>
        <v>08-I32-02</v>
      </c>
      <c r="H8566">
        <v>0.4143</v>
      </c>
      <c r="J8566" t="s">
        <v>14</v>
      </c>
      <c r="K8566" t="str">
        <f>"5F3"</f>
        <v>5F3</v>
      </c>
      <c r="L8566" t="s">
        <v>15</v>
      </c>
    </row>
    <row r="8567" spans="1:12" x14ac:dyDescent="0.25">
      <c r="A8567" t="str">
        <f>"6555241033"</f>
        <v>6555241033</v>
      </c>
      <c r="B8567" t="str">
        <f t="shared" si="390"/>
        <v>89301000</v>
      </c>
      <c r="C8567" s="1">
        <v>44472</v>
      </c>
      <c r="D8567" s="1">
        <v>44474</v>
      </c>
      <c r="E8567">
        <v>1</v>
      </c>
      <c r="F8567" t="s">
        <v>173</v>
      </c>
      <c r="G8567" t="str">
        <f>"08-I32-02"</f>
        <v>08-I32-02</v>
      </c>
      <c r="H8567">
        <v>0.4143</v>
      </c>
      <c r="J8567" t="s">
        <v>14</v>
      </c>
      <c r="K8567" t="str">
        <f>"6F6"</f>
        <v>6F6</v>
      </c>
      <c r="L8567" t="s">
        <v>15</v>
      </c>
    </row>
    <row r="8568" spans="1:12" x14ac:dyDescent="0.25">
      <c r="A8568" t="str">
        <f>"6555251098"</f>
        <v>6555251098</v>
      </c>
      <c r="B8568" t="str">
        <f t="shared" si="390"/>
        <v>89301000</v>
      </c>
      <c r="C8568" s="1">
        <v>44428</v>
      </c>
      <c r="D8568" s="1">
        <v>44430</v>
      </c>
      <c r="E8568">
        <v>1</v>
      </c>
      <c r="F8568" t="s">
        <v>2457</v>
      </c>
      <c r="G8568" t="str">
        <f>"05-D01-08"</f>
        <v>05-D01-08</v>
      </c>
      <c r="H8568">
        <v>0.4093</v>
      </c>
      <c r="I8568" t="s">
        <v>1586</v>
      </c>
      <c r="J8568" t="s">
        <v>14</v>
      </c>
      <c r="K8568" t="str">
        <f>"1F1"</f>
        <v>1F1</v>
      </c>
      <c r="L8568" t="s">
        <v>15</v>
      </c>
    </row>
    <row r="8569" spans="1:12" x14ac:dyDescent="0.25">
      <c r="A8569" t="str">
        <f>"6555261768"</f>
        <v>6555261768</v>
      </c>
      <c r="B8569" t="str">
        <f t="shared" si="390"/>
        <v>89301000</v>
      </c>
      <c r="C8569" s="1">
        <v>44263</v>
      </c>
      <c r="D8569" s="1">
        <v>44265</v>
      </c>
      <c r="E8569">
        <v>1</v>
      </c>
      <c r="F8569" t="s">
        <v>4080</v>
      </c>
      <c r="G8569" t="str">
        <f>"04-K07-03"</f>
        <v>04-K07-03</v>
      </c>
      <c r="H8569">
        <v>0.66259999999999997</v>
      </c>
      <c r="I8569" t="s">
        <v>6055</v>
      </c>
      <c r="J8569" t="s">
        <v>14</v>
      </c>
      <c r="K8569" t="str">
        <f>"2F5"</f>
        <v>2F5</v>
      </c>
      <c r="L8569" t="s">
        <v>15</v>
      </c>
    </row>
    <row r="8570" spans="1:12" x14ac:dyDescent="0.25">
      <c r="A8570" t="str">
        <f>"6555261768"</f>
        <v>6555261768</v>
      </c>
      <c r="B8570" t="str">
        <f t="shared" si="390"/>
        <v>89301000</v>
      </c>
      <c r="C8570" s="1">
        <v>44413</v>
      </c>
      <c r="D8570" s="1">
        <v>44418</v>
      </c>
      <c r="E8570">
        <v>1</v>
      </c>
      <c r="F8570" t="s">
        <v>4346</v>
      </c>
      <c r="G8570" t="str">
        <f>"04-M02-04"</f>
        <v>04-M02-04</v>
      </c>
      <c r="H8570">
        <v>0.7238</v>
      </c>
      <c r="I8570" t="s">
        <v>6056</v>
      </c>
      <c r="J8570" t="s">
        <v>14</v>
      </c>
      <c r="K8570" t="str">
        <f>"2F5"</f>
        <v>2F5</v>
      </c>
      <c r="L8570" t="s">
        <v>15</v>
      </c>
    </row>
    <row r="8571" spans="1:12" x14ac:dyDescent="0.25">
      <c r="A8571" t="str">
        <f>"6556011748"</f>
        <v>6556011748</v>
      </c>
      <c r="B8571" t="str">
        <f t="shared" si="390"/>
        <v>89301000</v>
      </c>
      <c r="C8571" s="1">
        <v>44501</v>
      </c>
      <c r="D8571" s="1">
        <v>44503</v>
      </c>
      <c r="E8571">
        <v>1</v>
      </c>
      <c r="F8571" t="s">
        <v>6057</v>
      </c>
      <c r="G8571" t="str">
        <f>"08-I10-02"</f>
        <v>08-I10-02</v>
      </c>
      <c r="H8571">
        <v>1.0232000000000001</v>
      </c>
      <c r="J8571" t="s">
        <v>17</v>
      </c>
      <c r="K8571" t="str">
        <f>"6F6"</f>
        <v>6F6</v>
      </c>
      <c r="L8571" t="s">
        <v>15</v>
      </c>
    </row>
    <row r="8572" spans="1:12" x14ac:dyDescent="0.25">
      <c r="A8572" t="str">
        <f>"6556032494"</f>
        <v>6556032494</v>
      </c>
      <c r="B8572" t="str">
        <f t="shared" si="390"/>
        <v>89301000</v>
      </c>
      <c r="C8572" s="1">
        <v>44243</v>
      </c>
      <c r="D8572" s="1">
        <v>44244</v>
      </c>
      <c r="E8572">
        <v>1</v>
      </c>
      <c r="F8572" t="s">
        <v>4545</v>
      </c>
      <c r="G8572" t="str">
        <f>"13-I13-02"</f>
        <v>13-I13-02</v>
      </c>
      <c r="H8572">
        <v>0.98650000000000004</v>
      </c>
      <c r="I8572" t="s">
        <v>6058</v>
      </c>
      <c r="J8572" t="s">
        <v>17</v>
      </c>
      <c r="K8572" t="str">
        <f>"6F3"</f>
        <v>6F3</v>
      </c>
      <c r="L8572" t="s">
        <v>15</v>
      </c>
    </row>
    <row r="8573" spans="1:12" x14ac:dyDescent="0.25">
      <c r="A8573" t="str">
        <f>"6556051194"</f>
        <v>6556051194</v>
      </c>
      <c r="B8573" t="str">
        <f t="shared" si="390"/>
        <v>89301000</v>
      </c>
      <c r="C8573" s="1">
        <v>44369</v>
      </c>
      <c r="D8573" s="1">
        <v>44376</v>
      </c>
      <c r="E8573">
        <v>4</v>
      </c>
      <c r="F8573" t="s">
        <v>1280</v>
      </c>
      <c r="G8573" t="str">
        <f>"04-K02-04"</f>
        <v>04-K02-04</v>
      </c>
      <c r="H8573">
        <v>0.82469999999999999</v>
      </c>
      <c r="I8573" t="s">
        <v>6059</v>
      </c>
      <c r="J8573" t="s">
        <v>14</v>
      </c>
      <c r="K8573" t="str">
        <f>"1F5"</f>
        <v>1F5</v>
      </c>
      <c r="L8573" t="s">
        <v>15</v>
      </c>
    </row>
    <row r="8574" spans="1:12" x14ac:dyDescent="0.25">
      <c r="A8574" t="str">
        <f>"6556051194"</f>
        <v>6556051194</v>
      </c>
      <c r="B8574" t="str">
        <f t="shared" si="390"/>
        <v>89301000</v>
      </c>
      <c r="C8574" s="1">
        <v>44559</v>
      </c>
      <c r="D8574" s="1">
        <v>44561</v>
      </c>
      <c r="E8574">
        <v>4</v>
      </c>
      <c r="F8574" t="s">
        <v>1201</v>
      </c>
      <c r="G8574" t="str">
        <f>"04-K03-03"</f>
        <v>04-K03-03</v>
      </c>
      <c r="H8574">
        <v>0.53180000000000005</v>
      </c>
      <c r="J8574" t="s">
        <v>14</v>
      </c>
      <c r="K8574" t="str">
        <f>"1F1"</f>
        <v>1F1</v>
      </c>
      <c r="L8574" t="s">
        <v>15</v>
      </c>
    </row>
    <row r="8575" spans="1:12" x14ac:dyDescent="0.25">
      <c r="A8575" t="str">
        <f>"6556061116"</f>
        <v>6556061116</v>
      </c>
      <c r="B8575" t="str">
        <f t="shared" si="390"/>
        <v>89301000</v>
      </c>
      <c r="C8575" s="1">
        <v>44384</v>
      </c>
      <c r="D8575" s="1">
        <v>44386</v>
      </c>
      <c r="E8575">
        <v>1</v>
      </c>
      <c r="F8575" t="s">
        <v>1567</v>
      </c>
      <c r="G8575" t="str">
        <f>"05-I25-03"</f>
        <v>05-I25-03</v>
      </c>
      <c r="H8575">
        <v>1.5508</v>
      </c>
      <c r="I8575" t="s">
        <v>2428</v>
      </c>
      <c r="J8575" t="s">
        <v>17</v>
      </c>
      <c r="K8575" t="str">
        <f>"1F1"</f>
        <v>1F1</v>
      </c>
      <c r="L8575" t="s">
        <v>15</v>
      </c>
    </row>
    <row r="8576" spans="1:12" x14ac:dyDescent="0.25">
      <c r="A8576" t="str">
        <f>"6556061116"</f>
        <v>6556061116</v>
      </c>
      <c r="B8576" t="str">
        <f t="shared" si="390"/>
        <v>89301000</v>
      </c>
      <c r="C8576" s="1">
        <v>44362</v>
      </c>
      <c r="D8576" s="1">
        <v>44365</v>
      </c>
      <c r="E8576">
        <v>1</v>
      </c>
      <c r="F8576" t="s">
        <v>1602</v>
      </c>
      <c r="G8576" t="str">
        <f>"05-K07-05"</f>
        <v>05-K07-05</v>
      </c>
      <c r="H8576">
        <v>0.83420000000000005</v>
      </c>
      <c r="I8576" t="s">
        <v>6060</v>
      </c>
      <c r="J8576" t="s">
        <v>14</v>
      </c>
      <c r="K8576" t="str">
        <f>"1F5"</f>
        <v>1F5</v>
      </c>
      <c r="L8576" t="s">
        <v>15</v>
      </c>
    </row>
    <row r="8577" spans="1:12" x14ac:dyDescent="0.25">
      <c r="A8577" t="str">
        <f>"6556151558"</f>
        <v>6556151558</v>
      </c>
      <c r="B8577" t="str">
        <f t="shared" si="390"/>
        <v>89301000</v>
      </c>
      <c r="C8577" s="1">
        <v>44217</v>
      </c>
      <c r="D8577" s="1">
        <v>44221</v>
      </c>
      <c r="E8577">
        <v>1</v>
      </c>
      <c r="F8577" t="s">
        <v>413</v>
      </c>
      <c r="G8577" t="str">
        <f>"09-I08-02"</f>
        <v>09-I08-02</v>
      </c>
      <c r="H8577">
        <v>1.2474000000000001</v>
      </c>
      <c r="I8577" t="s">
        <v>6061</v>
      </c>
      <c r="J8577" t="s">
        <v>24</v>
      </c>
      <c r="K8577" t="str">
        <f>"6F1"</f>
        <v>6F1</v>
      </c>
      <c r="L8577" t="s">
        <v>15</v>
      </c>
    </row>
    <row r="8578" spans="1:12" x14ac:dyDescent="0.25">
      <c r="A8578" t="str">
        <f>"6556231759"</f>
        <v>6556231759</v>
      </c>
      <c r="B8578" t="str">
        <f t="shared" si="390"/>
        <v>89301000</v>
      </c>
      <c r="C8578" s="1">
        <v>44229</v>
      </c>
      <c r="D8578" s="1">
        <v>44232</v>
      </c>
      <c r="E8578">
        <v>1</v>
      </c>
      <c r="F8578" t="s">
        <v>3744</v>
      </c>
      <c r="G8578" t="str">
        <f>"08-I23-02"</f>
        <v>08-I23-02</v>
      </c>
      <c r="H8578">
        <v>1.0557000000000001</v>
      </c>
      <c r="I8578" t="s">
        <v>6062</v>
      </c>
      <c r="J8578" t="s">
        <v>17</v>
      </c>
      <c r="K8578" t="str">
        <f>"6F6"</f>
        <v>6F6</v>
      </c>
      <c r="L8578" t="s">
        <v>15</v>
      </c>
    </row>
    <row r="8579" spans="1:12" x14ac:dyDescent="0.25">
      <c r="A8579" t="str">
        <f>"6556270897"</f>
        <v>6556270897</v>
      </c>
      <c r="B8579" t="str">
        <f t="shared" si="390"/>
        <v>89301000</v>
      </c>
      <c r="C8579" s="1">
        <v>44287</v>
      </c>
      <c r="D8579" s="1">
        <v>44292</v>
      </c>
      <c r="E8579">
        <v>1</v>
      </c>
      <c r="F8579" t="s">
        <v>2311</v>
      </c>
      <c r="G8579" t="str">
        <f>"08-I03-08"</f>
        <v>08-I03-08</v>
      </c>
      <c r="H8579">
        <v>2.0605000000000002</v>
      </c>
      <c r="I8579" t="s">
        <v>1892</v>
      </c>
      <c r="J8579" t="s">
        <v>17</v>
      </c>
      <c r="K8579" t="str">
        <f>"5F6"</f>
        <v>5F6</v>
      </c>
      <c r="L8579" t="s">
        <v>15</v>
      </c>
    </row>
    <row r="8580" spans="1:12" x14ac:dyDescent="0.25">
      <c r="A8580" t="str">
        <f>"6557021878"</f>
        <v>6557021878</v>
      </c>
      <c r="B8580" t="str">
        <f t="shared" si="390"/>
        <v>89301000</v>
      </c>
      <c r="C8580" s="1">
        <v>44332</v>
      </c>
      <c r="D8580" s="1">
        <v>44337</v>
      </c>
      <c r="E8580">
        <v>1</v>
      </c>
      <c r="F8580" t="s">
        <v>81</v>
      </c>
      <c r="G8580" t="str">
        <f>"10-I13-04"</f>
        <v>10-I13-04</v>
      </c>
      <c r="H8580">
        <v>0.66120000000000001</v>
      </c>
      <c r="I8580" t="s">
        <v>2900</v>
      </c>
      <c r="J8580" t="s">
        <v>24</v>
      </c>
      <c r="K8580" t="str">
        <f>"5F1"</f>
        <v>5F1</v>
      </c>
      <c r="L8580" t="s">
        <v>15</v>
      </c>
    </row>
    <row r="8581" spans="1:12" x14ac:dyDescent="0.25">
      <c r="A8581" t="str">
        <f>"6557072214"</f>
        <v>6557072214</v>
      </c>
      <c r="B8581" t="str">
        <f t="shared" si="390"/>
        <v>89301000</v>
      </c>
      <c r="C8581" s="1">
        <v>44357</v>
      </c>
      <c r="D8581" s="1">
        <v>44360</v>
      </c>
      <c r="E8581">
        <v>1</v>
      </c>
      <c r="F8581" t="s">
        <v>4196</v>
      </c>
      <c r="G8581" t="str">
        <f>"08-M03-05"</f>
        <v>08-M03-05</v>
      </c>
      <c r="H8581">
        <v>0.51759999999999995</v>
      </c>
      <c r="I8581" t="s">
        <v>6063</v>
      </c>
      <c r="J8581" t="s">
        <v>14</v>
      </c>
      <c r="K8581" t="str">
        <f>"6F6"</f>
        <v>6F6</v>
      </c>
      <c r="L8581" t="s">
        <v>15</v>
      </c>
    </row>
    <row r="8582" spans="1:12" x14ac:dyDescent="0.25">
      <c r="A8582" t="str">
        <f>"6557110560"</f>
        <v>6557110560</v>
      </c>
      <c r="B8582" t="str">
        <f t="shared" si="390"/>
        <v>89301000</v>
      </c>
      <c r="C8582" s="1">
        <v>44217</v>
      </c>
      <c r="D8582" s="1">
        <v>44220</v>
      </c>
      <c r="E8582">
        <v>1</v>
      </c>
      <c r="F8582" t="s">
        <v>81</v>
      </c>
      <c r="G8582" t="str">
        <f>"10-I13-02"</f>
        <v>10-I13-02</v>
      </c>
      <c r="H8582">
        <v>1.1468</v>
      </c>
      <c r="J8582" t="s">
        <v>24</v>
      </c>
      <c r="K8582" t="str">
        <f>"5F5"</f>
        <v>5F5</v>
      </c>
      <c r="L8582" t="s">
        <v>15</v>
      </c>
    </row>
    <row r="8583" spans="1:12" x14ac:dyDescent="0.25">
      <c r="A8583" t="str">
        <f>"6557121538"</f>
        <v>6557121538</v>
      </c>
      <c r="B8583" t="str">
        <f t="shared" si="390"/>
        <v>89301000</v>
      </c>
      <c r="C8583" s="1">
        <v>44319</v>
      </c>
      <c r="D8583" s="1">
        <v>44322</v>
      </c>
      <c r="E8583">
        <v>1</v>
      </c>
      <c r="F8583" t="s">
        <v>1797</v>
      </c>
      <c r="G8583" t="str">
        <f>"11-I17-03"</f>
        <v>11-I17-03</v>
      </c>
      <c r="H8583">
        <v>0.50609999999999999</v>
      </c>
      <c r="I8583" t="s">
        <v>6064</v>
      </c>
      <c r="J8583" t="s">
        <v>14</v>
      </c>
      <c r="K8583" t="str">
        <f>"7F6"</f>
        <v>7F6</v>
      </c>
      <c r="L8583" t="s">
        <v>15</v>
      </c>
    </row>
    <row r="8584" spans="1:12" x14ac:dyDescent="0.25">
      <c r="A8584" t="str">
        <f>"6557152019"</f>
        <v>6557152019</v>
      </c>
      <c r="B8584" t="str">
        <f t="shared" si="390"/>
        <v>89301000</v>
      </c>
      <c r="C8584" s="1">
        <v>44258</v>
      </c>
      <c r="D8584" s="1">
        <v>44260</v>
      </c>
      <c r="E8584">
        <v>1</v>
      </c>
      <c r="F8584" t="s">
        <v>387</v>
      </c>
      <c r="G8584" t="str">
        <f>"08-I19-03"</f>
        <v>08-I19-03</v>
      </c>
      <c r="H8584">
        <v>0.61250000000000004</v>
      </c>
      <c r="I8584" t="s">
        <v>21</v>
      </c>
      <c r="J8584" t="s">
        <v>17</v>
      </c>
      <c r="K8584" t="str">
        <f>"5F3"</f>
        <v>5F3</v>
      </c>
      <c r="L8584" t="s">
        <v>15</v>
      </c>
    </row>
    <row r="8585" spans="1:12" x14ac:dyDescent="0.25">
      <c r="A8585" t="str">
        <f>"6557152019"</f>
        <v>6557152019</v>
      </c>
      <c r="B8585" t="str">
        <f t="shared" si="390"/>
        <v>89301000</v>
      </c>
      <c r="C8585" s="1">
        <v>44210</v>
      </c>
      <c r="D8585" s="1">
        <v>44212</v>
      </c>
      <c r="E8585">
        <v>1</v>
      </c>
      <c r="F8585" t="s">
        <v>387</v>
      </c>
      <c r="G8585" t="str">
        <f>"08-M03-05"</f>
        <v>08-M03-05</v>
      </c>
      <c r="H8585">
        <v>0.51759999999999995</v>
      </c>
      <c r="I8585" t="s">
        <v>6065</v>
      </c>
      <c r="J8585" t="s">
        <v>14</v>
      </c>
      <c r="K8585" t="str">
        <f>"5F3"</f>
        <v>5F3</v>
      </c>
      <c r="L8585" t="s">
        <v>15</v>
      </c>
    </row>
    <row r="8586" spans="1:12" x14ac:dyDescent="0.25">
      <c r="A8586" t="str">
        <f>"6557260534"</f>
        <v>6557260534</v>
      </c>
      <c r="B8586" t="str">
        <f t="shared" si="390"/>
        <v>89301000</v>
      </c>
      <c r="C8586" s="1">
        <v>44460</v>
      </c>
      <c r="D8586" s="1">
        <v>44462</v>
      </c>
      <c r="E8586">
        <v>1</v>
      </c>
      <c r="F8586" t="s">
        <v>1805</v>
      </c>
      <c r="G8586" t="str">
        <f>"13-I19-00"</f>
        <v>13-I19-00</v>
      </c>
      <c r="H8586">
        <v>0.24679999999999999</v>
      </c>
      <c r="J8586" t="s">
        <v>14</v>
      </c>
      <c r="K8586" t="str">
        <f>"6F3"</f>
        <v>6F3</v>
      </c>
      <c r="L8586" t="s">
        <v>15</v>
      </c>
    </row>
    <row r="8587" spans="1:12" x14ac:dyDescent="0.25">
      <c r="A8587" t="str">
        <f t="shared" ref="A8587:A8593" si="391">"6557290575"</f>
        <v>6557290575</v>
      </c>
      <c r="B8587" t="str">
        <f t="shared" si="390"/>
        <v>89301000</v>
      </c>
      <c r="C8587" s="1">
        <v>44279</v>
      </c>
      <c r="D8587" s="1">
        <v>44282</v>
      </c>
      <c r="E8587">
        <v>1</v>
      </c>
      <c r="F8587" t="s">
        <v>3625</v>
      </c>
      <c r="G8587" t="str">
        <f>"06-C02-01"</f>
        <v>06-C02-01</v>
      </c>
      <c r="H8587">
        <v>0.27229999999999999</v>
      </c>
      <c r="I8587" t="s">
        <v>2946</v>
      </c>
      <c r="J8587" t="s">
        <v>14</v>
      </c>
      <c r="K8587" t="str">
        <f>"4F2"</f>
        <v>4F2</v>
      </c>
      <c r="L8587" t="s">
        <v>15</v>
      </c>
    </row>
    <row r="8588" spans="1:12" x14ac:dyDescent="0.25">
      <c r="A8588" t="str">
        <f t="shared" si="391"/>
        <v>6557290575</v>
      </c>
      <c r="B8588" t="str">
        <f t="shared" si="390"/>
        <v>89301000</v>
      </c>
      <c r="C8588" s="1">
        <v>44293</v>
      </c>
      <c r="D8588" s="1">
        <v>44296</v>
      </c>
      <c r="E8588">
        <v>1</v>
      </c>
      <c r="F8588" t="s">
        <v>3625</v>
      </c>
      <c r="G8588" t="str">
        <f>"06-C02-01"</f>
        <v>06-C02-01</v>
      </c>
      <c r="H8588">
        <v>0.27229999999999999</v>
      </c>
      <c r="I8588" t="s">
        <v>2946</v>
      </c>
      <c r="J8588" t="s">
        <v>14</v>
      </c>
      <c r="K8588" t="str">
        <f>"4F2"</f>
        <v>4F2</v>
      </c>
      <c r="L8588" t="s">
        <v>15</v>
      </c>
    </row>
    <row r="8589" spans="1:12" x14ac:dyDescent="0.25">
      <c r="A8589" t="str">
        <f t="shared" si="391"/>
        <v>6557290575</v>
      </c>
      <c r="B8589" t="str">
        <f t="shared" si="390"/>
        <v>89301000</v>
      </c>
      <c r="C8589" s="1">
        <v>44308</v>
      </c>
      <c r="D8589" s="1">
        <v>44310</v>
      </c>
      <c r="E8589">
        <v>1</v>
      </c>
      <c r="F8589" t="s">
        <v>3625</v>
      </c>
      <c r="G8589" t="str">
        <f>"06-C02-01"</f>
        <v>06-C02-01</v>
      </c>
      <c r="H8589">
        <v>0.27229999999999999</v>
      </c>
      <c r="I8589" t="s">
        <v>2946</v>
      </c>
      <c r="J8589" t="s">
        <v>14</v>
      </c>
      <c r="K8589" t="str">
        <f>"4F2"</f>
        <v>4F2</v>
      </c>
      <c r="L8589" t="s">
        <v>15</v>
      </c>
    </row>
    <row r="8590" spans="1:12" x14ac:dyDescent="0.25">
      <c r="A8590" t="str">
        <f t="shared" si="391"/>
        <v>6557290575</v>
      </c>
      <c r="B8590" t="str">
        <f t="shared" si="390"/>
        <v>89301000</v>
      </c>
      <c r="C8590" s="1">
        <v>44322</v>
      </c>
      <c r="D8590" s="1">
        <v>44324</v>
      </c>
      <c r="E8590">
        <v>1</v>
      </c>
      <c r="F8590" t="s">
        <v>3625</v>
      </c>
      <c r="G8590" t="str">
        <f>"06-C02-01"</f>
        <v>06-C02-01</v>
      </c>
      <c r="H8590">
        <v>0.27229999999999999</v>
      </c>
      <c r="I8590" t="s">
        <v>2946</v>
      </c>
      <c r="J8590" t="s">
        <v>14</v>
      </c>
      <c r="K8590" t="str">
        <f>"4F2"</f>
        <v>4F2</v>
      </c>
      <c r="L8590" t="s">
        <v>15</v>
      </c>
    </row>
    <row r="8591" spans="1:12" x14ac:dyDescent="0.25">
      <c r="A8591" t="str">
        <f t="shared" si="391"/>
        <v>6557290575</v>
      </c>
      <c r="B8591" t="str">
        <f t="shared" si="390"/>
        <v>89301000</v>
      </c>
      <c r="C8591" s="1">
        <v>44374</v>
      </c>
      <c r="D8591" s="1">
        <v>44381</v>
      </c>
      <c r="E8591">
        <v>1</v>
      </c>
      <c r="F8591" t="s">
        <v>1621</v>
      </c>
      <c r="G8591" t="str">
        <f>"07-I04-02"</f>
        <v>07-I04-02</v>
      </c>
      <c r="H8591">
        <v>2.0665</v>
      </c>
      <c r="I8591" t="s">
        <v>6066</v>
      </c>
      <c r="J8591" t="s">
        <v>17</v>
      </c>
      <c r="K8591" t="str">
        <f>"5F1"</f>
        <v>5F1</v>
      </c>
      <c r="L8591" t="s">
        <v>15</v>
      </c>
    </row>
    <row r="8592" spans="1:12" x14ac:dyDescent="0.25">
      <c r="A8592" t="str">
        <f t="shared" si="391"/>
        <v>6557290575</v>
      </c>
      <c r="B8592" t="str">
        <f t="shared" si="390"/>
        <v>89301000</v>
      </c>
      <c r="C8592" s="1">
        <v>44258</v>
      </c>
      <c r="D8592" s="1">
        <v>44261</v>
      </c>
      <c r="E8592">
        <v>1</v>
      </c>
      <c r="F8592" t="s">
        <v>3625</v>
      </c>
      <c r="G8592" t="str">
        <f>"06-C02-01"</f>
        <v>06-C02-01</v>
      </c>
      <c r="H8592">
        <v>0.27229999999999999</v>
      </c>
      <c r="I8592" t="s">
        <v>2946</v>
      </c>
      <c r="J8592" t="s">
        <v>14</v>
      </c>
      <c r="K8592" t="str">
        <f>"4F2"</f>
        <v>4F2</v>
      </c>
      <c r="L8592" t="s">
        <v>15</v>
      </c>
    </row>
    <row r="8593" spans="1:12" x14ac:dyDescent="0.25">
      <c r="A8593" t="str">
        <f t="shared" si="391"/>
        <v>6557290575</v>
      </c>
      <c r="B8593" t="str">
        <f t="shared" si="390"/>
        <v>89301000</v>
      </c>
      <c r="C8593" s="1">
        <v>44242</v>
      </c>
      <c r="D8593" s="1">
        <v>44243</v>
      </c>
      <c r="E8593">
        <v>1</v>
      </c>
      <c r="F8593" t="s">
        <v>3625</v>
      </c>
      <c r="G8593" t="str">
        <f>"06-C02-01"</f>
        <v>06-C02-01</v>
      </c>
      <c r="H8593">
        <v>0.27229999999999999</v>
      </c>
      <c r="I8593" t="s">
        <v>6067</v>
      </c>
      <c r="J8593" t="s">
        <v>14</v>
      </c>
      <c r="K8593" t="str">
        <f>"4F2"</f>
        <v>4F2</v>
      </c>
      <c r="L8593" t="s">
        <v>15</v>
      </c>
    </row>
    <row r="8594" spans="1:12" x14ac:dyDescent="0.25">
      <c r="A8594" t="str">
        <f>"6558020876"</f>
        <v>6558020876</v>
      </c>
      <c r="B8594" t="str">
        <f t="shared" si="390"/>
        <v>89301000</v>
      </c>
      <c r="C8594" s="1">
        <v>44523</v>
      </c>
      <c r="D8594" s="1">
        <v>44525</v>
      </c>
      <c r="E8594">
        <v>1</v>
      </c>
      <c r="F8594" t="s">
        <v>1567</v>
      </c>
      <c r="G8594" t="str">
        <f>"05-I25-04"</f>
        <v>05-I25-04</v>
      </c>
      <c r="H8594">
        <v>1.1757</v>
      </c>
      <c r="J8594" t="s">
        <v>17</v>
      </c>
      <c r="K8594" t="str">
        <f>"1F1"</f>
        <v>1F1</v>
      </c>
      <c r="L8594" t="s">
        <v>15</v>
      </c>
    </row>
    <row r="8595" spans="1:12" x14ac:dyDescent="0.25">
      <c r="A8595" t="str">
        <f>"6558131426"</f>
        <v>6558131426</v>
      </c>
      <c r="B8595" t="str">
        <f t="shared" si="390"/>
        <v>89301000</v>
      </c>
      <c r="C8595" s="1">
        <v>44213</v>
      </c>
      <c r="D8595" s="1">
        <v>44215</v>
      </c>
      <c r="E8595">
        <v>1</v>
      </c>
      <c r="F8595" t="s">
        <v>309</v>
      </c>
      <c r="G8595" t="str">
        <f>"08-M03-05"</f>
        <v>08-M03-05</v>
      </c>
      <c r="H8595">
        <v>0.51759999999999995</v>
      </c>
      <c r="J8595" t="s">
        <v>14</v>
      </c>
      <c r="K8595" t="str">
        <f>"6F6"</f>
        <v>6F6</v>
      </c>
      <c r="L8595" t="s">
        <v>15</v>
      </c>
    </row>
    <row r="8596" spans="1:12" x14ac:dyDescent="0.25">
      <c r="A8596" t="str">
        <f>"6558230789"</f>
        <v>6558230789</v>
      </c>
      <c r="B8596" t="str">
        <f t="shared" si="390"/>
        <v>89301000</v>
      </c>
      <c r="C8596" s="1">
        <v>44356</v>
      </c>
      <c r="D8596" s="1">
        <v>44358</v>
      </c>
      <c r="E8596">
        <v>1</v>
      </c>
      <c r="F8596" t="s">
        <v>3577</v>
      </c>
      <c r="G8596" t="str">
        <f>"03-I22-03"</f>
        <v>03-I22-03</v>
      </c>
      <c r="H8596">
        <v>0.49049999999999999</v>
      </c>
      <c r="I8596" t="s">
        <v>6068</v>
      </c>
      <c r="J8596" t="s">
        <v>14</v>
      </c>
      <c r="K8596" t="str">
        <f>"7F1"</f>
        <v>7F1</v>
      </c>
      <c r="L8596" t="s">
        <v>15</v>
      </c>
    </row>
    <row r="8597" spans="1:12" x14ac:dyDescent="0.25">
      <c r="A8597" t="str">
        <f>"6558230789"</f>
        <v>6558230789</v>
      </c>
      <c r="B8597" t="str">
        <f t="shared" si="390"/>
        <v>89301000</v>
      </c>
      <c r="C8597" s="1">
        <v>44237</v>
      </c>
      <c r="D8597" s="1">
        <v>44263</v>
      </c>
      <c r="E8597">
        <v>3</v>
      </c>
      <c r="F8597" t="s">
        <v>1121</v>
      </c>
      <c r="G8597" t="str">
        <f>"00-M02-04"</f>
        <v>00-M02-04</v>
      </c>
      <c r="H8597">
        <v>12.071199999999999</v>
      </c>
      <c r="I8597" t="s">
        <v>6069</v>
      </c>
      <c r="J8597" t="s">
        <v>14</v>
      </c>
      <c r="K8597" t="str">
        <f>"2F5"</f>
        <v>2F5</v>
      </c>
      <c r="L8597" t="s">
        <v>15</v>
      </c>
    </row>
    <row r="8598" spans="1:12" x14ac:dyDescent="0.25">
      <c r="A8598" t="str">
        <f>"6558230789"</f>
        <v>6558230789</v>
      </c>
      <c r="B8598" t="str">
        <f t="shared" si="390"/>
        <v>89301000</v>
      </c>
      <c r="C8598" s="1">
        <v>44263</v>
      </c>
      <c r="D8598" s="1">
        <v>44274</v>
      </c>
      <c r="E8598">
        <v>1</v>
      </c>
      <c r="F8598" t="s">
        <v>109</v>
      </c>
      <c r="G8598" t="str">
        <f>"24-M06-02"</f>
        <v>24-M06-02</v>
      </c>
      <c r="H8598">
        <v>1.0233000000000001</v>
      </c>
      <c r="I8598" t="s">
        <v>6070</v>
      </c>
      <c r="J8598" t="s">
        <v>14</v>
      </c>
      <c r="K8598" t="str">
        <f>"2F1"</f>
        <v>2F1</v>
      </c>
      <c r="L8598" t="s">
        <v>15</v>
      </c>
    </row>
    <row r="8599" spans="1:12" x14ac:dyDescent="0.25">
      <c r="A8599" t="str">
        <f>"6558241173"</f>
        <v>6558241173</v>
      </c>
      <c r="B8599" t="str">
        <f t="shared" si="390"/>
        <v>89301000</v>
      </c>
      <c r="C8599" s="1">
        <v>44354</v>
      </c>
      <c r="D8599" s="1">
        <v>44361</v>
      </c>
      <c r="E8599">
        <v>1</v>
      </c>
      <c r="F8599" t="s">
        <v>1955</v>
      </c>
      <c r="G8599" t="str">
        <f>"01-K04-02"</f>
        <v>01-K04-02</v>
      </c>
      <c r="H8599">
        <v>0.80059999999999998</v>
      </c>
      <c r="J8599" t="s">
        <v>14</v>
      </c>
      <c r="K8599" t="str">
        <f>"2F9"</f>
        <v>2F9</v>
      </c>
      <c r="L8599" t="s">
        <v>15</v>
      </c>
    </row>
    <row r="8600" spans="1:12" x14ac:dyDescent="0.25">
      <c r="A8600" t="str">
        <f>"6558270169"</f>
        <v>6558270169</v>
      </c>
      <c r="B8600" t="str">
        <f t="shared" si="390"/>
        <v>89301000</v>
      </c>
      <c r="C8600" s="1">
        <v>44357</v>
      </c>
      <c r="D8600" s="1">
        <v>44358</v>
      </c>
      <c r="E8600">
        <v>1</v>
      </c>
      <c r="F8600" t="s">
        <v>1766</v>
      </c>
      <c r="G8600" t="str">
        <f>"02-I13-02"</f>
        <v>02-I13-02</v>
      </c>
      <c r="H8600">
        <v>0.376</v>
      </c>
      <c r="I8600" t="s">
        <v>1950</v>
      </c>
      <c r="J8600" t="s">
        <v>14</v>
      </c>
      <c r="K8600" t="str">
        <f>"6F1"</f>
        <v>6F1</v>
      </c>
      <c r="L8600" t="s">
        <v>15</v>
      </c>
    </row>
    <row r="8601" spans="1:12" x14ac:dyDescent="0.25">
      <c r="A8601" t="str">
        <f>"6558281015"</f>
        <v>6558281015</v>
      </c>
      <c r="B8601" t="str">
        <f t="shared" si="390"/>
        <v>89301000</v>
      </c>
      <c r="C8601" s="1">
        <v>44309</v>
      </c>
      <c r="D8601" s="1">
        <v>44321</v>
      </c>
      <c r="E8601">
        <v>4</v>
      </c>
      <c r="F8601" t="s">
        <v>5250</v>
      </c>
      <c r="G8601" t="str">
        <f>"07-K02-01"</f>
        <v>07-K02-01</v>
      </c>
      <c r="H8601">
        <v>2.6396999999999999</v>
      </c>
      <c r="I8601" t="s">
        <v>6071</v>
      </c>
      <c r="J8601" t="s">
        <v>14</v>
      </c>
      <c r="K8601" t="str">
        <f>"1F5"</f>
        <v>1F5</v>
      </c>
      <c r="L8601" t="s">
        <v>15</v>
      </c>
    </row>
    <row r="8602" spans="1:12" x14ac:dyDescent="0.25">
      <c r="A8602" t="str">
        <f>"6558301277"</f>
        <v>6558301277</v>
      </c>
      <c r="B8602" t="str">
        <f t="shared" si="390"/>
        <v>89301000</v>
      </c>
      <c r="C8602" s="1">
        <v>44476</v>
      </c>
      <c r="D8602" s="1">
        <v>44479</v>
      </c>
      <c r="E8602">
        <v>1</v>
      </c>
      <c r="F8602" t="s">
        <v>938</v>
      </c>
      <c r="G8602" t="str">
        <f>"06-I17-04"</f>
        <v>06-I17-04</v>
      </c>
      <c r="H8602">
        <v>0.49940000000000001</v>
      </c>
      <c r="I8602" t="s">
        <v>632</v>
      </c>
      <c r="J8602" t="s">
        <v>17</v>
      </c>
      <c r="K8602" t="str">
        <f>"5F1"</f>
        <v>5F1</v>
      </c>
      <c r="L8602" t="s">
        <v>15</v>
      </c>
    </row>
    <row r="8603" spans="1:12" x14ac:dyDescent="0.25">
      <c r="A8603" t="str">
        <f>"6559020930"</f>
        <v>6559020930</v>
      </c>
      <c r="B8603" t="str">
        <f t="shared" si="390"/>
        <v>89301000</v>
      </c>
      <c r="C8603" s="1">
        <v>44539</v>
      </c>
      <c r="D8603" s="1">
        <v>44541</v>
      </c>
      <c r="E8603">
        <v>1</v>
      </c>
      <c r="F8603" t="s">
        <v>4491</v>
      </c>
      <c r="G8603" t="str">
        <f>"01-K01-02"</f>
        <v>01-K01-02</v>
      </c>
      <c r="H8603">
        <v>0.50700000000000001</v>
      </c>
      <c r="I8603" t="s">
        <v>6072</v>
      </c>
      <c r="J8603" t="s">
        <v>14</v>
      </c>
      <c r="K8603" t="str">
        <f>"2F9"</f>
        <v>2F9</v>
      </c>
      <c r="L8603" t="s">
        <v>15</v>
      </c>
    </row>
    <row r="8604" spans="1:12" x14ac:dyDescent="0.25">
      <c r="A8604" t="str">
        <f>"6559020930"</f>
        <v>6559020930</v>
      </c>
      <c r="B8604" t="str">
        <f t="shared" si="390"/>
        <v>89301000</v>
      </c>
      <c r="C8604" s="1">
        <v>44253</v>
      </c>
      <c r="D8604" s="1">
        <v>44255</v>
      </c>
      <c r="E8604">
        <v>1</v>
      </c>
      <c r="F8604" t="s">
        <v>4491</v>
      </c>
      <c r="G8604" t="str">
        <f>"01-K01-02"</f>
        <v>01-K01-02</v>
      </c>
      <c r="H8604">
        <v>0.50700000000000001</v>
      </c>
      <c r="I8604" t="s">
        <v>6073</v>
      </c>
      <c r="J8604" t="s">
        <v>14</v>
      </c>
      <c r="K8604" t="str">
        <f>"2F9"</f>
        <v>2F9</v>
      </c>
      <c r="L8604" t="s">
        <v>15</v>
      </c>
    </row>
    <row r="8605" spans="1:12" x14ac:dyDescent="0.25">
      <c r="A8605" t="str">
        <f>"6559020930"</f>
        <v>6559020930</v>
      </c>
      <c r="B8605" t="str">
        <f t="shared" si="390"/>
        <v>89301000</v>
      </c>
      <c r="C8605" s="1">
        <v>44349</v>
      </c>
      <c r="D8605" s="1">
        <v>44351</v>
      </c>
      <c r="E8605">
        <v>1</v>
      </c>
      <c r="F8605" t="s">
        <v>4491</v>
      </c>
      <c r="G8605" t="str">
        <f>"01-K01-02"</f>
        <v>01-K01-02</v>
      </c>
      <c r="H8605">
        <v>0.50700000000000001</v>
      </c>
      <c r="I8605" t="s">
        <v>6074</v>
      </c>
      <c r="J8605" t="s">
        <v>14</v>
      </c>
      <c r="K8605" t="str">
        <f>"2F9"</f>
        <v>2F9</v>
      </c>
      <c r="L8605" t="s">
        <v>15</v>
      </c>
    </row>
    <row r="8606" spans="1:12" x14ac:dyDescent="0.25">
      <c r="A8606" t="str">
        <f>"6559020930"</f>
        <v>6559020930</v>
      </c>
      <c r="B8606" t="str">
        <f t="shared" si="390"/>
        <v>89301000</v>
      </c>
      <c r="C8606" s="1">
        <v>44441</v>
      </c>
      <c r="D8606" s="1">
        <v>44443</v>
      </c>
      <c r="E8606">
        <v>1</v>
      </c>
      <c r="F8606" t="s">
        <v>4491</v>
      </c>
      <c r="G8606" t="str">
        <f>"01-K01-02"</f>
        <v>01-K01-02</v>
      </c>
      <c r="H8606">
        <v>0.50700000000000001</v>
      </c>
      <c r="J8606" t="s">
        <v>14</v>
      </c>
      <c r="K8606" t="str">
        <f>"2F9"</f>
        <v>2F9</v>
      </c>
      <c r="L8606" t="s">
        <v>15</v>
      </c>
    </row>
    <row r="8607" spans="1:12" x14ac:dyDescent="0.25">
      <c r="A8607" t="str">
        <f>"6559070914"</f>
        <v>6559070914</v>
      </c>
      <c r="B8607" t="str">
        <f t="shared" si="390"/>
        <v>89301000</v>
      </c>
      <c r="C8607" s="1">
        <v>44323</v>
      </c>
      <c r="D8607" s="1">
        <v>44372</v>
      </c>
      <c r="E8607">
        <v>1</v>
      </c>
      <c r="F8607" t="s">
        <v>850</v>
      </c>
      <c r="G8607" t="str">
        <f>"00-M03-02"</f>
        <v>00-M03-02</v>
      </c>
      <c r="H8607">
        <v>31.628599999999999</v>
      </c>
      <c r="I8607" t="s">
        <v>6075</v>
      </c>
      <c r="J8607" t="s">
        <v>14</v>
      </c>
      <c r="K8607" t="str">
        <f>"2F5"</f>
        <v>2F5</v>
      </c>
      <c r="L8607" t="s">
        <v>15</v>
      </c>
    </row>
    <row r="8608" spans="1:12" x14ac:dyDescent="0.25">
      <c r="A8608" t="str">
        <f>"6559111768"</f>
        <v>6559111768</v>
      </c>
      <c r="B8608" t="str">
        <f t="shared" si="390"/>
        <v>89301000</v>
      </c>
      <c r="C8608" s="1">
        <v>44544</v>
      </c>
      <c r="D8608" s="1">
        <v>44547</v>
      </c>
      <c r="E8608">
        <v>1</v>
      </c>
      <c r="F8608" t="s">
        <v>4545</v>
      </c>
      <c r="G8608" t="str">
        <f>"13-I13-02"</f>
        <v>13-I13-02</v>
      </c>
      <c r="H8608">
        <v>0.98650000000000004</v>
      </c>
      <c r="J8608" t="s">
        <v>17</v>
      </c>
      <c r="K8608" t="str">
        <f>"6F3"</f>
        <v>6F3</v>
      </c>
      <c r="L8608" t="s">
        <v>15</v>
      </c>
    </row>
    <row r="8609" spans="1:12" x14ac:dyDescent="0.25">
      <c r="A8609" t="str">
        <f>"6559171597"</f>
        <v>6559171597</v>
      </c>
      <c r="B8609" t="str">
        <f t="shared" si="390"/>
        <v>89301000</v>
      </c>
      <c r="C8609" s="1">
        <v>44302</v>
      </c>
      <c r="D8609" s="1">
        <v>44303</v>
      </c>
      <c r="E8609">
        <v>1</v>
      </c>
      <c r="F8609" t="s">
        <v>2303</v>
      </c>
      <c r="G8609" t="str">
        <f>"13-I19-00"</f>
        <v>13-I19-00</v>
      </c>
      <c r="H8609">
        <v>0.24679999999999999</v>
      </c>
      <c r="J8609" t="s">
        <v>14</v>
      </c>
      <c r="K8609" t="str">
        <f>"6F3"</f>
        <v>6F3</v>
      </c>
      <c r="L8609" t="s">
        <v>15</v>
      </c>
    </row>
    <row r="8610" spans="1:12" x14ac:dyDescent="0.25">
      <c r="A8610" t="str">
        <f>"6559291805"</f>
        <v>6559291805</v>
      </c>
      <c r="B8610" t="str">
        <f t="shared" si="390"/>
        <v>89301000</v>
      </c>
      <c r="C8610" s="1">
        <v>44397</v>
      </c>
      <c r="D8610" s="1">
        <v>44398</v>
      </c>
      <c r="E8610">
        <v>1</v>
      </c>
      <c r="F8610" t="s">
        <v>2853</v>
      </c>
      <c r="G8610" t="str">
        <f>"11-I17-03"</f>
        <v>11-I17-03</v>
      </c>
      <c r="H8610">
        <v>0.50609999999999999</v>
      </c>
      <c r="I8610" t="s">
        <v>937</v>
      </c>
      <c r="J8610" t="s">
        <v>14</v>
      </c>
      <c r="K8610" t="str">
        <f>"7F6"</f>
        <v>7F6</v>
      </c>
      <c r="L8610" t="s">
        <v>15</v>
      </c>
    </row>
    <row r="8611" spans="1:12" x14ac:dyDescent="0.25">
      <c r="A8611" t="str">
        <f>"6560101317"</f>
        <v>6560101317</v>
      </c>
      <c r="B8611" t="str">
        <f t="shared" si="390"/>
        <v>89301000</v>
      </c>
      <c r="C8611" s="1">
        <v>44360</v>
      </c>
      <c r="D8611" s="1">
        <v>44375</v>
      </c>
      <c r="E8611">
        <v>1</v>
      </c>
      <c r="F8611" t="s">
        <v>6076</v>
      </c>
      <c r="G8611" t="str">
        <f>"17-I04-01"</f>
        <v>17-I04-01</v>
      </c>
      <c r="H8611">
        <v>7.3259999999999996</v>
      </c>
      <c r="I8611" t="s">
        <v>6077</v>
      </c>
      <c r="J8611" t="s">
        <v>17</v>
      </c>
      <c r="K8611" t="str">
        <f>"5F1"</f>
        <v>5F1</v>
      </c>
      <c r="L8611" t="s">
        <v>15</v>
      </c>
    </row>
    <row r="8612" spans="1:12" x14ac:dyDescent="0.25">
      <c r="A8612" t="str">
        <f>"6560151664"</f>
        <v>6560151664</v>
      </c>
      <c r="B8612" t="str">
        <f t="shared" si="390"/>
        <v>89301000</v>
      </c>
      <c r="C8612" s="1">
        <v>44508</v>
      </c>
      <c r="D8612" s="1">
        <v>44511</v>
      </c>
      <c r="E8612">
        <v>1</v>
      </c>
      <c r="F8612" t="s">
        <v>496</v>
      </c>
      <c r="G8612" t="str">
        <f>"08-M03-05"</f>
        <v>08-M03-05</v>
      </c>
      <c r="H8612">
        <v>0.51759999999999995</v>
      </c>
      <c r="J8612" t="s">
        <v>14</v>
      </c>
      <c r="K8612" t="str">
        <f>"6F6"</f>
        <v>6F6</v>
      </c>
      <c r="L8612" t="s">
        <v>15</v>
      </c>
    </row>
    <row r="8613" spans="1:12" x14ac:dyDescent="0.25">
      <c r="A8613" t="str">
        <f>"6560181430"</f>
        <v>6560181430</v>
      </c>
      <c r="B8613" t="str">
        <f t="shared" si="390"/>
        <v>89301000</v>
      </c>
      <c r="C8613" s="1">
        <v>44333</v>
      </c>
      <c r="D8613" s="1">
        <v>44335</v>
      </c>
      <c r="E8613">
        <v>1</v>
      </c>
      <c r="F8613" t="s">
        <v>5705</v>
      </c>
      <c r="G8613" t="str">
        <f>"08-I25-02"</f>
        <v>08-I25-02</v>
      </c>
      <c r="H8613">
        <v>0.5746</v>
      </c>
      <c r="J8613" t="s">
        <v>14</v>
      </c>
      <c r="K8613" t="str">
        <f>"6F6"</f>
        <v>6F6</v>
      </c>
      <c r="L8613" t="s">
        <v>15</v>
      </c>
    </row>
    <row r="8614" spans="1:12" x14ac:dyDescent="0.25">
      <c r="A8614" t="str">
        <f>"6560181430"</f>
        <v>6560181430</v>
      </c>
      <c r="B8614" t="str">
        <f t="shared" si="390"/>
        <v>89301000</v>
      </c>
      <c r="C8614" s="1">
        <v>44459</v>
      </c>
      <c r="D8614" s="1">
        <v>44461</v>
      </c>
      <c r="E8614">
        <v>1</v>
      </c>
      <c r="F8614" t="s">
        <v>173</v>
      </c>
      <c r="G8614" t="str">
        <f>"08-I32-02"</f>
        <v>08-I32-02</v>
      </c>
      <c r="H8614">
        <v>0.4143</v>
      </c>
      <c r="J8614" t="s">
        <v>14</v>
      </c>
      <c r="K8614" t="str">
        <f>"6F6"</f>
        <v>6F6</v>
      </c>
      <c r="L8614" t="s">
        <v>15</v>
      </c>
    </row>
    <row r="8615" spans="1:12" x14ac:dyDescent="0.25">
      <c r="A8615" t="str">
        <f>"6560240984"</f>
        <v>6560240984</v>
      </c>
      <c r="B8615" t="str">
        <f t="shared" si="390"/>
        <v>89301000</v>
      </c>
      <c r="C8615" s="1">
        <v>44508</v>
      </c>
      <c r="D8615" s="1">
        <v>44511</v>
      </c>
      <c r="E8615">
        <v>1</v>
      </c>
      <c r="F8615" t="s">
        <v>1551</v>
      </c>
      <c r="G8615" t="str">
        <f>"09-I06-04"</f>
        <v>09-I06-04</v>
      </c>
      <c r="H8615">
        <v>0.98829999999999996</v>
      </c>
      <c r="J8615" t="s">
        <v>17</v>
      </c>
      <c r="K8615" t="str">
        <f>"5F1"</f>
        <v>5F1</v>
      </c>
      <c r="L8615" t="s">
        <v>15</v>
      </c>
    </row>
    <row r="8616" spans="1:12" x14ac:dyDescent="0.25">
      <c r="A8616" t="str">
        <f>"6560250642"</f>
        <v>6560250642</v>
      </c>
      <c r="B8616" t="str">
        <f t="shared" si="390"/>
        <v>89301000</v>
      </c>
      <c r="C8616" s="1">
        <v>44487</v>
      </c>
      <c r="D8616" s="1">
        <v>44489</v>
      </c>
      <c r="E8616">
        <v>1</v>
      </c>
      <c r="F8616" t="s">
        <v>31</v>
      </c>
      <c r="G8616" t="str">
        <f>"08-I04-03"</f>
        <v>08-I04-03</v>
      </c>
      <c r="H8616">
        <v>1.331</v>
      </c>
      <c r="J8616" t="s">
        <v>17</v>
      </c>
      <c r="K8616" t="str">
        <f>"5F6"</f>
        <v>5F6</v>
      </c>
      <c r="L8616" t="s">
        <v>15</v>
      </c>
    </row>
    <row r="8617" spans="1:12" x14ac:dyDescent="0.25">
      <c r="A8617" t="str">
        <f>"6560281508"</f>
        <v>6560281508</v>
      </c>
      <c r="B8617" t="str">
        <f t="shared" si="390"/>
        <v>89301000</v>
      </c>
      <c r="C8617" s="1">
        <v>44503</v>
      </c>
      <c r="D8617" s="1">
        <v>44504</v>
      </c>
      <c r="E8617">
        <v>1</v>
      </c>
      <c r="F8617" t="s">
        <v>2360</v>
      </c>
      <c r="G8617" t="str">
        <f>"06-M01-03"</f>
        <v>06-M01-03</v>
      </c>
      <c r="H8617">
        <v>0.82450000000000001</v>
      </c>
      <c r="I8617" t="s">
        <v>6078</v>
      </c>
      <c r="J8617" t="s">
        <v>14</v>
      </c>
      <c r="K8617" t="str">
        <f>"1F5"</f>
        <v>1F5</v>
      </c>
      <c r="L8617" t="s">
        <v>15</v>
      </c>
    </row>
    <row r="8618" spans="1:12" x14ac:dyDescent="0.25">
      <c r="A8618" t="str">
        <f>"6561051288"</f>
        <v>6561051288</v>
      </c>
      <c r="B8618" t="str">
        <f t="shared" si="390"/>
        <v>89301000</v>
      </c>
      <c r="C8618" s="1">
        <v>44470</v>
      </c>
      <c r="D8618" s="1">
        <v>44473</v>
      </c>
      <c r="E8618">
        <v>1</v>
      </c>
      <c r="F8618" t="s">
        <v>215</v>
      </c>
      <c r="G8618" t="str">
        <f>"08-I15-03"</f>
        <v>08-I15-03</v>
      </c>
      <c r="H8618">
        <v>1.1838</v>
      </c>
      <c r="I8618" t="s">
        <v>6079</v>
      </c>
      <c r="J8618" t="s">
        <v>17</v>
      </c>
      <c r="K8618" t="str">
        <f>"5F3"</f>
        <v>5F3</v>
      </c>
      <c r="L8618" t="s">
        <v>15</v>
      </c>
    </row>
    <row r="8619" spans="1:12" x14ac:dyDescent="0.25">
      <c r="A8619" t="str">
        <f>"6561210975"</f>
        <v>6561210975</v>
      </c>
      <c r="B8619" t="str">
        <f t="shared" si="390"/>
        <v>89301000</v>
      </c>
      <c r="C8619" s="1">
        <v>44224</v>
      </c>
      <c r="D8619" s="1">
        <v>44227</v>
      </c>
      <c r="E8619">
        <v>1</v>
      </c>
      <c r="F8619" t="s">
        <v>217</v>
      </c>
      <c r="G8619" t="str">
        <f>"04-K02-03"</f>
        <v>04-K02-03</v>
      </c>
      <c r="H8619">
        <v>1.2859</v>
      </c>
      <c r="I8619" t="s">
        <v>5135</v>
      </c>
      <c r="J8619" t="s">
        <v>14</v>
      </c>
      <c r="K8619" t="str">
        <f>"1F1"</f>
        <v>1F1</v>
      </c>
      <c r="L8619" t="s">
        <v>15</v>
      </c>
    </row>
    <row r="8620" spans="1:12" x14ac:dyDescent="0.25">
      <c r="A8620" t="str">
        <f>"6561241808"</f>
        <v>6561241808</v>
      </c>
      <c r="B8620" t="str">
        <f t="shared" si="390"/>
        <v>89301000</v>
      </c>
      <c r="C8620" s="1">
        <v>44471</v>
      </c>
      <c r="D8620" s="1">
        <v>44474</v>
      </c>
      <c r="E8620">
        <v>7</v>
      </c>
      <c r="F8620" t="s">
        <v>962</v>
      </c>
      <c r="G8620" t="str">
        <f>"04-M01-06"</f>
        <v>04-M01-06</v>
      </c>
      <c r="H8620">
        <v>3.9613999999999998</v>
      </c>
      <c r="I8620" t="s">
        <v>6080</v>
      </c>
      <c r="J8620" t="s">
        <v>14</v>
      </c>
      <c r="K8620" t="str">
        <f>"5T1"</f>
        <v>5T1</v>
      </c>
      <c r="L8620" t="s">
        <v>15</v>
      </c>
    </row>
    <row r="8621" spans="1:12" x14ac:dyDescent="0.25">
      <c r="A8621" t="str">
        <f>"6561246318"</f>
        <v>6561246318</v>
      </c>
      <c r="B8621" t="str">
        <f t="shared" si="390"/>
        <v>89301000</v>
      </c>
      <c r="C8621" s="1">
        <v>44479</v>
      </c>
      <c r="D8621" s="1">
        <v>44488</v>
      </c>
      <c r="E8621">
        <v>4</v>
      </c>
      <c r="F8621" t="s">
        <v>1968</v>
      </c>
      <c r="G8621" t="str">
        <f>"08-I05-04"</f>
        <v>08-I05-04</v>
      </c>
      <c r="H8621">
        <v>2.4581</v>
      </c>
      <c r="I8621" t="s">
        <v>348</v>
      </c>
      <c r="J8621" t="s">
        <v>17</v>
      </c>
      <c r="K8621" t="str">
        <f>"6F6"</f>
        <v>6F6</v>
      </c>
      <c r="L8621" t="s">
        <v>15</v>
      </c>
    </row>
    <row r="8622" spans="1:12" x14ac:dyDescent="0.25">
      <c r="A8622" t="str">
        <f>"6561260222"</f>
        <v>6561260222</v>
      </c>
      <c r="B8622" t="str">
        <f t="shared" si="390"/>
        <v>89301000</v>
      </c>
      <c r="C8622" s="1">
        <v>44258</v>
      </c>
      <c r="D8622" s="1">
        <v>44274</v>
      </c>
      <c r="E8622">
        <v>1</v>
      </c>
      <c r="F8622" t="s">
        <v>2488</v>
      </c>
      <c r="G8622" t="str">
        <f>"09-K07-01"</f>
        <v>09-K07-01</v>
      </c>
      <c r="H8622">
        <v>1.0827</v>
      </c>
      <c r="I8622" t="s">
        <v>6081</v>
      </c>
      <c r="J8622" t="s">
        <v>14</v>
      </c>
      <c r="K8622" t="str">
        <f>"4F2"</f>
        <v>4F2</v>
      </c>
      <c r="L8622" t="s">
        <v>15</v>
      </c>
    </row>
    <row r="8623" spans="1:12" x14ac:dyDescent="0.25">
      <c r="A8623" t="str">
        <f>"6562130256"</f>
        <v>6562130256</v>
      </c>
      <c r="B8623" t="str">
        <f t="shared" si="390"/>
        <v>89301000</v>
      </c>
      <c r="C8623" s="1">
        <v>44377</v>
      </c>
      <c r="D8623" s="1">
        <v>44381</v>
      </c>
      <c r="E8623">
        <v>1</v>
      </c>
      <c r="F8623" t="s">
        <v>81</v>
      </c>
      <c r="G8623" t="str">
        <f>"10-I13-02"</f>
        <v>10-I13-02</v>
      </c>
      <c r="H8623">
        <v>1.1468</v>
      </c>
      <c r="J8623" t="s">
        <v>24</v>
      </c>
      <c r="K8623" t="str">
        <f>"5F1"</f>
        <v>5F1</v>
      </c>
      <c r="L8623" t="s">
        <v>15</v>
      </c>
    </row>
    <row r="8624" spans="1:12" x14ac:dyDescent="0.25">
      <c r="A8624" t="str">
        <f>"6562130971"</f>
        <v>6562130971</v>
      </c>
      <c r="B8624" t="str">
        <f t="shared" ref="B8624:B8687" si="392">"89301000"</f>
        <v>89301000</v>
      </c>
      <c r="C8624" s="1">
        <v>44524</v>
      </c>
      <c r="D8624" s="1">
        <v>44545</v>
      </c>
      <c r="E8624">
        <v>1</v>
      </c>
      <c r="F8624" t="s">
        <v>6082</v>
      </c>
      <c r="G8624" t="str">
        <f>"19-K06-02"</f>
        <v>19-K06-02</v>
      </c>
      <c r="H8624">
        <v>2.4085000000000001</v>
      </c>
      <c r="J8624" t="s">
        <v>27</v>
      </c>
      <c r="K8624" t="str">
        <f>"3F5"</f>
        <v>3F5</v>
      </c>
      <c r="L8624" t="s">
        <v>15</v>
      </c>
    </row>
    <row r="8625" spans="1:12" x14ac:dyDescent="0.25">
      <c r="A8625" t="str">
        <f>"6562230862"</f>
        <v>6562230862</v>
      </c>
      <c r="B8625" t="str">
        <f t="shared" si="392"/>
        <v>89301000</v>
      </c>
      <c r="C8625" s="1">
        <v>44410</v>
      </c>
      <c r="D8625" s="1">
        <v>44413</v>
      </c>
      <c r="E8625">
        <v>1</v>
      </c>
      <c r="F8625" t="s">
        <v>1551</v>
      </c>
      <c r="G8625" t="str">
        <f>"09-I06-04"</f>
        <v>09-I06-04</v>
      </c>
      <c r="H8625">
        <v>0.98829999999999996</v>
      </c>
      <c r="J8625" t="s">
        <v>17</v>
      </c>
      <c r="K8625" t="str">
        <f>"5F1"</f>
        <v>5F1</v>
      </c>
      <c r="L8625" t="s">
        <v>15</v>
      </c>
    </row>
    <row r="8626" spans="1:12" x14ac:dyDescent="0.25">
      <c r="A8626" t="str">
        <f>"6562231060"</f>
        <v>6562231060</v>
      </c>
      <c r="B8626" t="str">
        <f t="shared" si="392"/>
        <v>89301000</v>
      </c>
      <c r="C8626" s="1">
        <v>44333</v>
      </c>
      <c r="D8626" s="1">
        <v>44335</v>
      </c>
      <c r="E8626">
        <v>1</v>
      </c>
      <c r="F8626" t="s">
        <v>84</v>
      </c>
      <c r="G8626" t="str">
        <f>"09-I13-03"</f>
        <v>09-I13-03</v>
      </c>
      <c r="H8626">
        <v>0.77380000000000004</v>
      </c>
      <c r="I8626" t="s">
        <v>3194</v>
      </c>
      <c r="J8626" t="s">
        <v>14</v>
      </c>
      <c r="K8626" t="str">
        <f>"5F1"</f>
        <v>5F1</v>
      </c>
      <c r="L8626" t="s">
        <v>15</v>
      </c>
    </row>
    <row r="8627" spans="1:12" x14ac:dyDescent="0.25">
      <c r="A8627" t="str">
        <f>"6562231060"</f>
        <v>6562231060</v>
      </c>
      <c r="B8627" t="str">
        <f t="shared" si="392"/>
        <v>89301000</v>
      </c>
      <c r="C8627" s="1">
        <v>44236</v>
      </c>
      <c r="D8627" s="1">
        <v>44239</v>
      </c>
      <c r="E8627">
        <v>1</v>
      </c>
      <c r="F8627" t="s">
        <v>260</v>
      </c>
      <c r="G8627" t="str">
        <f>"03-K06-01"</f>
        <v>03-K06-01</v>
      </c>
      <c r="H8627">
        <v>0.4718</v>
      </c>
      <c r="J8627" t="s">
        <v>14</v>
      </c>
      <c r="K8627" t="str">
        <f>"7F1"</f>
        <v>7F1</v>
      </c>
      <c r="L8627" t="s">
        <v>15</v>
      </c>
    </row>
    <row r="8628" spans="1:12" x14ac:dyDescent="0.25">
      <c r="A8628" t="str">
        <f>"6562231060"</f>
        <v>6562231060</v>
      </c>
      <c r="B8628" t="str">
        <f t="shared" si="392"/>
        <v>89301000</v>
      </c>
      <c r="C8628" s="1">
        <v>44393</v>
      </c>
      <c r="D8628" s="1">
        <v>44394</v>
      </c>
      <c r="E8628">
        <v>1</v>
      </c>
      <c r="F8628" t="s">
        <v>84</v>
      </c>
      <c r="G8628" t="str">
        <f>"09-I09-05"</f>
        <v>09-I09-05</v>
      </c>
      <c r="H8628">
        <v>0.47210000000000002</v>
      </c>
      <c r="J8628" t="s">
        <v>17</v>
      </c>
      <c r="K8628" t="str">
        <f>"5F1"</f>
        <v>5F1</v>
      </c>
      <c r="L8628" t="s">
        <v>15</v>
      </c>
    </row>
    <row r="8629" spans="1:12" x14ac:dyDescent="0.25">
      <c r="A8629" t="str">
        <f>"6601071290"</f>
        <v>6601071290</v>
      </c>
      <c r="B8629" t="str">
        <f t="shared" si="392"/>
        <v>89301000</v>
      </c>
      <c r="C8629" s="1">
        <v>44452</v>
      </c>
      <c r="D8629" s="1">
        <v>44453</v>
      </c>
      <c r="E8629">
        <v>1</v>
      </c>
      <c r="F8629" t="s">
        <v>1604</v>
      </c>
      <c r="G8629" t="str">
        <f>"05-I25-03"</f>
        <v>05-I25-03</v>
      </c>
      <c r="H8629">
        <v>1.5508</v>
      </c>
      <c r="I8629" t="s">
        <v>1892</v>
      </c>
      <c r="J8629" t="s">
        <v>17</v>
      </c>
      <c r="K8629" t="str">
        <f>"1F1"</f>
        <v>1F1</v>
      </c>
      <c r="L8629" t="s">
        <v>15</v>
      </c>
    </row>
    <row r="8630" spans="1:12" x14ac:dyDescent="0.25">
      <c r="A8630" t="str">
        <f>"6601141712"</f>
        <v>6601141712</v>
      </c>
      <c r="B8630" t="str">
        <f t="shared" si="392"/>
        <v>89301000</v>
      </c>
      <c r="C8630" s="1">
        <v>44423</v>
      </c>
      <c r="D8630" s="1">
        <v>44428</v>
      </c>
      <c r="E8630">
        <v>1</v>
      </c>
      <c r="F8630" t="s">
        <v>3320</v>
      </c>
      <c r="G8630" t="str">
        <f>"17-I09-01"</f>
        <v>17-I09-01</v>
      </c>
      <c r="H8630">
        <v>3.1913999999999998</v>
      </c>
      <c r="I8630" t="s">
        <v>6083</v>
      </c>
      <c r="J8630" t="s">
        <v>14</v>
      </c>
      <c r="K8630" t="str">
        <f>"7F1"</f>
        <v>7F1</v>
      </c>
      <c r="L8630" t="s">
        <v>15</v>
      </c>
    </row>
    <row r="8631" spans="1:12" x14ac:dyDescent="0.25">
      <c r="A8631" t="str">
        <f>"6601141712"</f>
        <v>6601141712</v>
      </c>
      <c r="B8631" t="str">
        <f t="shared" si="392"/>
        <v>89301000</v>
      </c>
      <c r="C8631" s="1">
        <v>44376</v>
      </c>
      <c r="D8631" s="1">
        <v>44389</v>
      </c>
      <c r="E8631">
        <v>1</v>
      </c>
      <c r="F8631" t="s">
        <v>3320</v>
      </c>
      <c r="G8631" t="str">
        <f>"17-I07-02"</f>
        <v>17-I07-02</v>
      </c>
      <c r="H8631">
        <v>2.1909999999999998</v>
      </c>
      <c r="I8631" t="s">
        <v>6084</v>
      </c>
      <c r="J8631" t="s">
        <v>17</v>
      </c>
      <c r="K8631" t="str">
        <f>"7F1"</f>
        <v>7F1</v>
      </c>
      <c r="L8631" t="s">
        <v>15</v>
      </c>
    </row>
    <row r="8632" spans="1:12" x14ac:dyDescent="0.25">
      <c r="A8632" t="str">
        <f>"6601171060"</f>
        <v>6601171060</v>
      </c>
      <c r="B8632" t="str">
        <f t="shared" si="392"/>
        <v>89301000</v>
      </c>
      <c r="C8632" s="1">
        <v>44448</v>
      </c>
      <c r="D8632" s="1">
        <v>44452</v>
      </c>
      <c r="E8632">
        <v>1</v>
      </c>
      <c r="F8632" t="s">
        <v>146</v>
      </c>
      <c r="G8632" t="str">
        <f>"17-C05-04"</f>
        <v>17-C05-04</v>
      </c>
      <c r="H8632">
        <v>0.7712</v>
      </c>
      <c r="I8632" t="s">
        <v>3439</v>
      </c>
      <c r="J8632" t="s">
        <v>14</v>
      </c>
      <c r="K8632" t="str">
        <f>"2F2"</f>
        <v>2F2</v>
      </c>
      <c r="L8632" t="s">
        <v>15</v>
      </c>
    </row>
    <row r="8633" spans="1:12" x14ac:dyDescent="0.25">
      <c r="A8633" t="str">
        <f>"6601171060"</f>
        <v>6601171060</v>
      </c>
      <c r="B8633" t="str">
        <f t="shared" si="392"/>
        <v>89301000</v>
      </c>
      <c r="C8633" s="1">
        <v>44426</v>
      </c>
      <c r="D8633" s="1">
        <v>44428</v>
      </c>
      <c r="E8633">
        <v>1</v>
      </c>
      <c r="F8633" t="s">
        <v>134</v>
      </c>
      <c r="G8633" t="str">
        <f>"16-I04-01"</f>
        <v>16-I04-01</v>
      </c>
      <c r="H8633">
        <v>1.0085999999999999</v>
      </c>
      <c r="I8633" t="s">
        <v>489</v>
      </c>
      <c r="J8633" t="s">
        <v>17</v>
      </c>
      <c r="K8633" t="str">
        <f>"6F5"</f>
        <v>6F5</v>
      </c>
      <c r="L8633" t="s">
        <v>15</v>
      </c>
    </row>
    <row r="8634" spans="1:12" x14ac:dyDescent="0.25">
      <c r="A8634" t="str">
        <f>"6601171060"</f>
        <v>6601171060</v>
      </c>
      <c r="B8634" t="str">
        <f t="shared" si="392"/>
        <v>89301000</v>
      </c>
      <c r="C8634" s="1">
        <v>44501</v>
      </c>
      <c r="D8634" s="1">
        <v>44516</v>
      </c>
      <c r="E8634">
        <v>1</v>
      </c>
      <c r="F8634" t="s">
        <v>146</v>
      </c>
      <c r="G8634" t="str">
        <f>"17-C05-04"</f>
        <v>17-C05-04</v>
      </c>
      <c r="H8634">
        <v>1.1458999999999999</v>
      </c>
      <c r="I8634" t="s">
        <v>6085</v>
      </c>
      <c r="J8634" t="s">
        <v>14</v>
      </c>
      <c r="K8634" t="str">
        <f>"2F2"</f>
        <v>2F2</v>
      </c>
      <c r="L8634" t="s">
        <v>15</v>
      </c>
    </row>
    <row r="8635" spans="1:12" x14ac:dyDescent="0.25">
      <c r="A8635" t="str">
        <f>"6601200859"</f>
        <v>6601200859</v>
      </c>
      <c r="B8635" t="str">
        <f t="shared" si="392"/>
        <v>89301000</v>
      </c>
      <c r="C8635" s="1">
        <v>44203</v>
      </c>
      <c r="D8635" s="1">
        <v>44221</v>
      </c>
      <c r="E8635">
        <v>1</v>
      </c>
      <c r="F8635" t="s">
        <v>575</v>
      </c>
      <c r="G8635" t="str">
        <f>"18-K02-01"</f>
        <v>18-K02-01</v>
      </c>
      <c r="H8635">
        <v>4.8760000000000003</v>
      </c>
      <c r="I8635" t="s">
        <v>6086</v>
      </c>
      <c r="J8635" t="s">
        <v>14</v>
      </c>
      <c r="K8635" t="str">
        <f>"5F5"</f>
        <v>5F5</v>
      </c>
      <c r="L8635" t="s">
        <v>15</v>
      </c>
    </row>
    <row r="8636" spans="1:12" x14ac:dyDescent="0.25">
      <c r="A8636" t="str">
        <f>"6601210308"</f>
        <v>6601210308</v>
      </c>
      <c r="B8636" t="str">
        <f t="shared" si="392"/>
        <v>89301000</v>
      </c>
      <c r="C8636" s="1">
        <v>44420</v>
      </c>
      <c r="D8636" s="1">
        <v>44421</v>
      </c>
      <c r="E8636">
        <v>1</v>
      </c>
      <c r="F8636" t="s">
        <v>41</v>
      </c>
      <c r="G8636" t="str">
        <f>"01-D01-03"</f>
        <v>01-D01-03</v>
      </c>
      <c r="H8636">
        <v>0.158</v>
      </c>
      <c r="I8636" t="s">
        <v>6087</v>
      </c>
      <c r="J8636" t="s">
        <v>14</v>
      </c>
      <c r="K8636" t="str">
        <f>"2F5"</f>
        <v>2F5</v>
      </c>
      <c r="L8636" t="s">
        <v>15</v>
      </c>
    </row>
    <row r="8637" spans="1:12" x14ac:dyDescent="0.25">
      <c r="A8637" t="str">
        <f>"6601210308"</f>
        <v>6601210308</v>
      </c>
      <c r="B8637" t="str">
        <f t="shared" si="392"/>
        <v>89301000</v>
      </c>
      <c r="C8637" s="1">
        <v>44319</v>
      </c>
      <c r="D8637" s="1">
        <v>44320</v>
      </c>
      <c r="E8637">
        <v>1</v>
      </c>
      <c r="F8637" t="s">
        <v>41</v>
      </c>
      <c r="G8637" t="str">
        <f>"01-D01-03"</f>
        <v>01-D01-03</v>
      </c>
      <c r="H8637">
        <v>0.158</v>
      </c>
      <c r="I8637" t="s">
        <v>6087</v>
      </c>
      <c r="J8637" t="s">
        <v>14</v>
      </c>
      <c r="K8637" t="str">
        <f>"2F5"</f>
        <v>2F5</v>
      </c>
      <c r="L8637" t="s">
        <v>15</v>
      </c>
    </row>
    <row r="8638" spans="1:12" x14ac:dyDescent="0.25">
      <c r="A8638" t="str">
        <f>"6601261920"</f>
        <v>6601261920</v>
      </c>
      <c r="B8638" t="str">
        <f t="shared" si="392"/>
        <v>89301000</v>
      </c>
      <c r="C8638" s="1">
        <v>44231</v>
      </c>
      <c r="D8638" s="1">
        <v>44235</v>
      </c>
      <c r="E8638">
        <v>1</v>
      </c>
      <c r="F8638" t="s">
        <v>4025</v>
      </c>
      <c r="G8638" t="str">
        <f>"08-I31-04"</f>
        <v>08-I31-04</v>
      </c>
      <c r="H8638">
        <v>0.50949999999999995</v>
      </c>
      <c r="I8638" t="s">
        <v>168</v>
      </c>
      <c r="J8638" t="s">
        <v>14</v>
      </c>
      <c r="K8638" t="str">
        <f>"6F6"</f>
        <v>6F6</v>
      </c>
      <c r="L8638" t="s">
        <v>15</v>
      </c>
    </row>
    <row r="8639" spans="1:12" x14ac:dyDescent="0.25">
      <c r="A8639" t="str">
        <f>"6601290861"</f>
        <v>6601290861</v>
      </c>
      <c r="B8639" t="str">
        <f t="shared" si="392"/>
        <v>89301000</v>
      </c>
      <c r="C8639" s="1">
        <v>44425</v>
      </c>
      <c r="D8639" s="1">
        <v>44426</v>
      </c>
      <c r="E8639">
        <v>1</v>
      </c>
      <c r="F8639" t="s">
        <v>6088</v>
      </c>
      <c r="G8639" t="str">
        <f>"21-K05-04"</f>
        <v>21-K05-04</v>
      </c>
      <c r="H8639">
        <v>0.2424</v>
      </c>
      <c r="I8639" t="s">
        <v>6089</v>
      </c>
      <c r="J8639" t="s">
        <v>14</v>
      </c>
      <c r="K8639" t="str">
        <f>"1F1"</f>
        <v>1F1</v>
      </c>
      <c r="L8639" t="s">
        <v>15</v>
      </c>
    </row>
    <row r="8640" spans="1:12" x14ac:dyDescent="0.25">
      <c r="A8640" t="str">
        <f>"6601290861"</f>
        <v>6601290861</v>
      </c>
      <c r="B8640" t="str">
        <f t="shared" si="392"/>
        <v>89301000</v>
      </c>
      <c r="C8640" s="1">
        <v>44503</v>
      </c>
      <c r="D8640" s="1">
        <v>44505</v>
      </c>
      <c r="E8640">
        <v>1</v>
      </c>
      <c r="F8640" t="s">
        <v>1193</v>
      </c>
      <c r="G8640" t="str">
        <f>"16-I04-01"</f>
        <v>16-I04-01</v>
      </c>
      <c r="H8640">
        <v>1.0085999999999999</v>
      </c>
      <c r="I8640" t="s">
        <v>6090</v>
      </c>
      <c r="J8640" t="s">
        <v>17</v>
      </c>
      <c r="K8640" t="str">
        <f>"7F1"</f>
        <v>7F1</v>
      </c>
      <c r="L8640" t="s">
        <v>15</v>
      </c>
    </row>
    <row r="8641" spans="1:12" x14ac:dyDescent="0.25">
      <c r="A8641" t="str">
        <f>"6602041743"</f>
        <v>6602041743</v>
      </c>
      <c r="B8641" t="str">
        <f t="shared" si="392"/>
        <v>89301000</v>
      </c>
      <c r="C8641" s="1">
        <v>44486</v>
      </c>
      <c r="D8641" s="1">
        <v>44490</v>
      </c>
      <c r="E8641">
        <v>1</v>
      </c>
      <c r="F8641" t="s">
        <v>3462</v>
      </c>
      <c r="G8641" t="str">
        <f>"06-I17-02"</f>
        <v>06-I17-02</v>
      </c>
      <c r="H8641">
        <v>0.97919999999999996</v>
      </c>
      <c r="J8641" t="s">
        <v>17</v>
      </c>
      <c r="K8641" t="str">
        <f>"5F1"</f>
        <v>5F1</v>
      </c>
      <c r="L8641" t="s">
        <v>15</v>
      </c>
    </row>
    <row r="8642" spans="1:12" x14ac:dyDescent="0.25">
      <c r="A8642" t="str">
        <f>"6602050147"</f>
        <v>6602050147</v>
      </c>
      <c r="B8642" t="str">
        <f t="shared" si="392"/>
        <v>89301000</v>
      </c>
      <c r="C8642" s="1">
        <v>44431</v>
      </c>
      <c r="D8642" s="1">
        <v>44440</v>
      </c>
      <c r="E8642">
        <v>1</v>
      </c>
      <c r="F8642" t="s">
        <v>6091</v>
      </c>
      <c r="G8642" t="str">
        <f>"17-C05-03"</f>
        <v>17-C05-03</v>
      </c>
      <c r="H8642">
        <v>0.79590000000000005</v>
      </c>
      <c r="I8642" t="s">
        <v>6092</v>
      </c>
      <c r="J8642" t="s">
        <v>14</v>
      </c>
      <c r="K8642" t="str">
        <f>"2F2"</f>
        <v>2F2</v>
      </c>
      <c r="L8642" t="s">
        <v>15</v>
      </c>
    </row>
    <row r="8643" spans="1:12" x14ac:dyDescent="0.25">
      <c r="A8643" t="str">
        <f>"6602050873"</f>
        <v>6602050873</v>
      </c>
      <c r="B8643" t="str">
        <f t="shared" si="392"/>
        <v>89301000</v>
      </c>
      <c r="C8643" s="1">
        <v>44400</v>
      </c>
      <c r="D8643" s="1">
        <v>44403</v>
      </c>
      <c r="E8643">
        <v>1</v>
      </c>
      <c r="F8643" t="s">
        <v>41</v>
      </c>
      <c r="G8643" t="str">
        <f>"01-D01-03"</f>
        <v>01-D01-03</v>
      </c>
      <c r="H8643">
        <v>0.2054</v>
      </c>
      <c r="I8643" t="s">
        <v>489</v>
      </c>
      <c r="J8643" t="s">
        <v>14</v>
      </c>
      <c r="K8643" t="str">
        <f>"2F5"</f>
        <v>2F5</v>
      </c>
      <c r="L8643" t="s">
        <v>15</v>
      </c>
    </row>
    <row r="8644" spans="1:12" x14ac:dyDescent="0.25">
      <c r="A8644" t="str">
        <f>"6602060531"</f>
        <v>6602060531</v>
      </c>
      <c r="B8644" t="str">
        <f t="shared" si="392"/>
        <v>89301000</v>
      </c>
      <c r="C8644" s="1">
        <v>44263</v>
      </c>
      <c r="D8644" s="1">
        <v>44269</v>
      </c>
      <c r="E8644">
        <v>1</v>
      </c>
      <c r="F8644" t="s">
        <v>2585</v>
      </c>
      <c r="G8644" t="str">
        <f>"12-I03-01"</f>
        <v>12-I03-01</v>
      </c>
      <c r="H8644">
        <v>2.6785999999999999</v>
      </c>
      <c r="I8644" t="s">
        <v>168</v>
      </c>
      <c r="J8644" t="s">
        <v>14</v>
      </c>
      <c r="K8644" t="str">
        <f>"7F6"</f>
        <v>7F6</v>
      </c>
      <c r="L8644" t="s">
        <v>15</v>
      </c>
    </row>
    <row r="8645" spans="1:12" x14ac:dyDescent="0.25">
      <c r="A8645" t="str">
        <f>"6602112341"</f>
        <v>6602112341</v>
      </c>
      <c r="B8645" t="str">
        <f t="shared" si="392"/>
        <v>89301000</v>
      </c>
      <c r="C8645" s="1">
        <v>44307</v>
      </c>
      <c r="D8645" s="1">
        <v>44309</v>
      </c>
      <c r="E8645">
        <v>1</v>
      </c>
      <c r="F8645" t="s">
        <v>2082</v>
      </c>
      <c r="G8645" t="str">
        <f>"03-I19-03"</f>
        <v>03-I19-03</v>
      </c>
      <c r="H8645">
        <v>0.60699999999999998</v>
      </c>
      <c r="I8645" t="s">
        <v>6093</v>
      </c>
      <c r="J8645" t="s">
        <v>14</v>
      </c>
      <c r="K8645" t="str">
        <f>"6F5"</f>
        <v>6F5</v>
      </c>
      <c r="L8645" t="s">
        <v>15</v>
      </c>
    </row>
    <row r="8646" spans="1:12" x14ac:dyDescent="0.25">
      <c r="A8646" t="str">
        <f>"6603021964"</f>
        <v>6603021964</v>
      </c>
      <c r="B8646" t="str">
        <f t="shared" si="392"/>
        <v>89301000</v>
      </c>
      <c r="C8646" s="1">
        <v>44300</v>
      </c>
      <c r="D8646" s="1">
        <v>44302</v>
      </c>
      <c r="E8646">
        <v>1</v>
      </c>
      <c r="F8646" t="s">
        <v>1847</v>
      </c>
      <c r="G8646" t="str">
        <f>"04-K07-03"</f>
        <v>04-K07-03</v>
      </c>
      <c r="H8646">
        <v>0.66259999999999997</v>
      </c>
      <c r="I8646" t="s">
        <v>6094</v>
      </c>
      <c r="J8646" t="s">
        <v>14</v>
      </c>
      <c r="K8646" t="str">
        <f>"2F5"</f>
        <v>2F5</v>
      </c>
      <c r="L8646" t="s">
        <v>15</v>
      </c>
    </row>
    <row r="8647" spans="1:12" x14ac:dyDescent="0.25">
      <c r="A8647" t="str">
        <f>"6603071200"</f>
        <v>6603071200</v>
      </c>
      <c r="B8647" t="str">
        <f t="shared" si="392"/>
        <v>89301000</v>
      </c>
      <c r="C8647" s="1">
        <v>44477</v>
      </c>
      <c r="D8647" s="1">
        <v>44478</v>
      </c>
      <c r="E8647">
        <v>1</v>
      </c>
      <c r="F8647" t="s">
        <v>1716</v>
      </c>
      <c r="G8647" t="str">
        <f>"11-M05-02"</f>
        <v>11-M05-02</v>
      </c>
      <c r="H8647">
        <v>0.65690000000000004</v>
      </c>
      <c r="I8647" t="s">
        <v>6095</v>
      </c>
      <c r="J8647" t="s">
        <v>17</v>
      </c>
      <c r="K8647" t="str">
        <f>"7F6"</f>
        <v>7F6</v>
      </c>
      <c r="L8647" t="s">
        <v>15</v>
      </c>
    </row>
    <row r="8648" spans="1:12" x14ac:dyDescent="0.25">
      <c r="A8648" t="str">
        <f>"6603162324"</f>
        <v>6603162324</v>
      </c>
      <c r="B8648" t="str">
        <f t="shared" si="392"/>
        <v>89301000</v>
      </c>
      <c r="C8648" s="1">
        <v>44472</v>
      </c>
      <c r="D8648" s="1">
        <v>44474</v>
      </c>
      <c r="E8648">
        <v>1</v>
      </c>
      <c r="F8648" t="s">
        <v>2242</v>
      </c>
      <c r="G8648" t="str">
        <f>"12-I13-02"</f>
        <v>12-I13-02</v>
      </c>
      <c r="H8648">
        <v>0.57240000000000002</v>
      </c>
      <c r="I8648" t="s">
        <v>6096</v>
      </c>
      <c r="J8648" t="s">
        <v>24</v>
      </c>
      <c r="K8648" t="str">
        <f>"7F6"</f>
        <v>7F6</v>
      </c>
      <c r="L8648" t="s">
        <v>15</v>
      </c>
    </row>
    <row r="8649" spans="1:12" x14ac:dyDescent="0.25">
      <c r="A8649" t="str">
        <f>"6603162324"</f>
        <v>6603162324</v>
      </c>
      <c r="B8649" t="str">
        <f t="shared" si="392"/>
        <v>89301000</v>
      </c>
      <c r="C8649" s="1">
        <v>44412</v>
      </c>
      <c r="D8649" s="1">
        <v>44414</v>
      </c>
      <c r="E8649">
        <v>1</v>
      </c>
      <c r="F8649" t="s">
        <v>390</v>
      </c>
      <c r="G8649" t="str">
        <f>"12-I13-02"</f>
        <v>12-I13-02</v>
      </c>
      <c r="H8649">
        <v>0.57240000000000002</v>
      </c>
      <c r="I8649" t="s">
        <v>3362</v>
      </c>
      <c r="J8649" t="s">
        <v>24</v>
      </c>
      <c r="K8649" t="str">
        <f>"7F6"</f>
        <v>7F6</v>
      </c>
      <c r="L8649" t="s">
        <v>15</v>
      </c>
    </row>
    <row r="8650" spans="1:12" x14ac:dyDescent="0.25">
      <c r="A8650" t="str">
        <f>"6603211549"</f>
        <v>6603211549</v>
      </c>
      <c r="B8650" t="str">
        <f t="shared" si="392"/>
        <v>89301000</v>
      </c>
      <c r="C8650" s="1">
        <v>44284</v>
      </c>
      <c r="D8650" s="1">
        <v>44287</v>
      </c>
      <c r="E8650">
        <v>1</v>
      </c>
      <c r="F8650" t="s">
        <v>41</v>
      </c>
      <c r="G8650" t="str">
        <f>"01-D01-03"</f>
        <v>01-D01-03</v>
      </c>
      <c r="H8650">
        <v>0.2054</v>
      </c>
      <c r="I8650" t="s">
        <v>3208</v>
      </c>
      <c r="J8650" t="s">
        <v>14</v>
      </c>
      <c r="K8650" t="str">
        <f>"2F5"</f>
        <v>2F5</v>
      </c>
      <c r="L8650" t="s">
        <v>15</v>
      </c>
    </row>
    <row r="8651" spans="1:12" x14ac:dyDescent="0.25">
      <c r="A8651" t="str">
        <f>"6604061090"</f>
        <v>6604061090</v>
      </c>
      <c r="B8651" t="str">
        <f t="shared" si="392"/>
        <v>89301000</v>
      </c>
      <c r="C8651" s="1">
        <v>44458</v>
      </c>
      <c r="D8651" s="1">
        <v>44460</v>
      </c>
      <c r="E8651">
        <v>1</v>
      </c>
      <c r="F8651" t="s">
        <v>31</v>
      </c>
      <c r="G8651" t="str">
        <f>"08-I04-03"</f>
        <v>08-I04-03</v>
      </c>
      <c r="H8651">
        <v>1.331</v>
      </c>
      <c r="I8651" t="s">
        <v>489</v>
      </c>
      <c r="J8651" t="s">
        <v>17</v>
      </c>
      <c r="K8651" t="str">
        <f>"5F6"</f>
        <v>5F6</v>
      </c>
      <c r="L8651" t="s">
        <v>15</v>
      </c>
    </row>
    <row r="8652" spans="1:12" x14ac:dyDescent="0.25">
      <c r="A8652" t="str">
        <f>"6604061090"</f>
        <v>6604061090</v>
      </c>
      <c r="B8652" t="str">
        <f t="shared" si="392"/>
        <v>89301000</v>
      </c>
      <c r="C8652" s="1">
        <v>44470</v>
      </c>
      <c r="D8652" s="1">
        <v>44474</v>
      </c>
      <c r="E8652">
        <v>1</v>
      </c>
      <c r="F8652" t="s">
        <v>31</v>
      </c>
      <c r="G8652" t="str">
        <f>"08-I04-03"</f>
        <v>08-I04-03</v>
      </c>
      <c r="H8652">
        <v>1.331</v>
      </c>
      <c r="I8652" t="s">
        <v>6097</v>
      </c>
      <c r="J8652" t="s">
        <v>17</v>
      </c>
      <c r="K8652" t="str">
        <f>"5F6"</f>
        <v>5F6</v>
      </c>
      <c r="L8652" t="s">
        <v>15</v>
      </c>
    </row>
    <row r="8653" spans="1:12" x14ac:dyDescent="0.25">
      <c r="A8653" t="str">
        <f>"6604091703"</f>
        <v>6604091703</v>
      </c>
      <c r="B8653" t="str">
        <f t="shared" si="392"/>
        <v>89301000</v>
      </c>
      <c r="C8653" s="1">
        <v>44307</v>
      </c>
      <c r="D8653" s="1">
        <v>44310</v>
      </c>
      <c r="E8653">
        <v>1</v>
      </c>
      <c r="F8653" t="s">
        <v>311</v>
      </c>
      <c r="G8653" t="str">
        <f>"03-I14-02"</f>
        <v>03-I14-02</v>
      </c>
      <c r="H8653">
        <v>1.1086</v>
      </c>
      <c r="I8653" t="s">
        <v>6098</v>
      </c>
      <c r="J8653" t="s">
        <v>14</v>
      </c>
      <c r="K8653" t="str">
        <f>"7F1"</f>
        <v>7F1</v>
      </c>
      <c r="L8653" t="s">
        <v>15</v>
      </c>
    </row>
    <row r="8654" spans="1:12" x14ac:dyDescent="0.25">
      <c r="A8654" t="str">
        <f>"6604122492"</f>
        <v>6604122492</v>
      </c>
      <c r="B8654" t="str">
        <f t="shared" si="392"/>
        <v>89301000</v>
      </c>
      <c r="C8654" s="1">
        <v>44357</v>
      </c>
      <c r="D8654" s="1">
        <v>44360</v>
      </c>
      <c r="E8654">
        <v>1</v>
      </c>
      <c r="F8654" t="s">
        <v>2595</v>
      </c>
      <c r="G8654" t="str">
        <f>"08-M03-05"</f>
        <v>08-M03-05</v>
      </c>
      <c r="H8654">
        <v>0.51759999999999995</v>
      </c>
      <c r="I8654" t="s">
        <v>6099</v>
      </c>
      <c r="J8654" t="s">
        <v>14</v>
      </c>
      <c r="K8654" t="str">
        <f>"6F6"</f>
        <v>6F6</v>
      </c>
      <c r="L8654" t="s">
        <v>15</v>
      </c>
    </row>
    <row r="8655" spans="1:12" x14ac:dyDescent="0.25">
      <c r="A8655" t="str">
        <f>"6604151961"</f>
        <v>6604151961</v>
      </c>
      <c r="B8655" t="str">
        <f t="shared" si="392"/>
        <v>89301000</v>
      </c>
      <c r="C8655" s="1">
        <v>44493</v>
      </c>
      <c r="D8655" s="1">
        <v>44497</v>
      </c>
      <c r="E8655">
        <v>1</v>
      </c>
      <c r="F8655" t="s">
        <v>2311</v>
      </c>
      <c r="G8655" t="str">
        <f>"08-I03-08"</f>
        <v>08-I03-08</v>
      </c>
      <c r="H8655">
        <v>2.0605000000000002</v>
      </c>
      <c r="I8655" t="s">
        <v>489</v>
      </c>
      <c r="J8655" t="s">
        <v>17</v>
      </c>
      <c r="K8655" t="str">
        <f>"5F6"</f>
        <v>5F6</v>
      </c>
      <c r="L8655" t="s">
        <v>15</v>
      </c>
    </row>
    <row r="8656" spans="1:12" x14ac:dyDescent="0.25">
      <c r="A8656" t="str">
        <f>"6604180429"</f>
        <v>6604180429</v>
      </c>
      <c r="B8656" t="str">
        <f t="shared" si="392"/>
        <v>89301000</v>
      </c>
      <c r="C8656" s="1">
        <v>44364</v>
      </c>
      <c r="D8656" s="1">
        <v>44367</v>
      </c>
      <c r="E8656">
        <v>1</v>
      </c>
      <c r="F8656" t="s">
        <v>496</v>
      </c>
      <c r="G8656" t="str">
        <f>"08-M03-05"</f>
        <v>08-M03-05</v>
      </c>
      <c r="H8656">
        <v>0.51759999999999995</v>
      </c>
      <c r="J8656" t="s">
        <v>14</v>
      </c>
      <c r="K8656" t="str">
        <f>"6F6"</f>
        <v>6F6</v>
      </c>
      <c r="L8656" t="s">
        <v>15</v>
      </c>
    </row>
    <row r="8657" spans="1:12" x14ac:dyDescent="0.25">
      <c r="A8657" t="str">
        <f>"6604221514"</f>
        <v>6604221514</v>
      </c>
      <c r="B8657" t="str">
        <f t="shared" si="392"/>
        <v>89301000</v>
      </c>
      <c r="C8657" s="1">
        <v>44228</v>
      </c>
      <c r="D8657" s="1">
        <v>44229</v>
      </c>
      <c r="E8657">
        <v>1</v>
      </c>
      <c r="F8657" t="s">
        <v>4478</v>
      </c>
      <c r="G8657" t="str">
        <f>"08-M03-04"</f>
        <v>08-M03-04</v>
      </c>
      <c r="H8657">
        <v>0.8609</v>
      </c>
      <c r="I8657" t="s">
        <v>4738</v>
      </c>
      <c r="J8657" t="s">
        <v>14</v>
      </c>
      <c r="K8657" t="str">
        <f>"6F6"</f>
        <v>6F6</v>
      </c>
      <c r="L8657" t="s">
        <v>15</v>
      </c>
    </row>
    <row r="8658" spans="1:12" x14ac:dyDescent="0.25">
      <c r="A8658" t="str">
        <f>"6604241479"</f>
        <v>6604241479</v>
      </c>
      <c r="B8658" t="str">
        <f t="shared" si="392"/>
        <v>89301000</v>
      </c>
      <c r="C8658" s="1">
        <v>44503</v>
      </c>
      <c r="D8658" s="1">
        <v>44515</v>
      </c>
      <c r="E8658">
        <v>1</v>
      </c>
      <c r="F8658" t="s">
        <v>199</v>
      </c>
      <c r="G8658" t="str">
        <f>"25-I02-02"</f>
        <v>25-I02-02</v>
      </c>
      <c r="H8658">
        <v>5.5951000000000004</v>
      </c>
      <c r="I8658" t="s">
        <v>6100</v>
      </c>
      <c r="J8658" t="s">
        <v>17</v>
      </c>
      <c r="K8658" t="str">
        <f>"5F3"</f>
        <v>5F3</v>
      </c>
      <c r="L8658" t="s">
        <v>15</v>
      </c>
    </row>
    <row r="8659" spans="1:12" x14ac:dyDescent="0.25">
      <c r="A8659" t="str">
        <f>"6605050782"</f>
        <v>6605050782</v>
      </c>
      <c r="B8659" t="str">
        <f t="shared" si="392"/>
        <v>89301000</v>
      </c>
      <c r="C8659" s="1">
        <v>44214</v>
      </c>
      <c r="D8659" s="1">
        <v>44221</v>
      </c>
      <c r="E8659">
        <v>1</v>
      </c>
      <c r="F8659" t="s">
        <v>3320</v>
      </c>
      <c r="G8659" t="str">
        <f>"17-I09-02"</f>
        <v>17-I09-02</v>
      </c>
      <c r="H8659">
        <v>1.2549999999999999</v>
      </c>
      <c r="J8659" t="s">
        <v>14</v>
      </c>
      <c r="K8659" t="str">
        <f>"7F1"</f>
        <v>7F1</v>
      </c>
      <c r="L8659" t="s">
        <v>15</v>
      </c>
    </row>
    <row r="8660" spans="1:12" x14ac:dyDescent="0.25">
      <c r="A8660" t="str">
        <f>"6605052388"</f>
        <v>6605052388</v>
      </c>
      <c r="B8660" t="str">
        <f t="shared" si="392"/>
        <v>89301000</v>
      </c>
      <c r="C8660" s="1">
        <v>44466</v>
      </c>
      <c r="D8660" s="1">
        <v>44470</v>
      </c>
      <c r="E8660">
        <v>1</v>
      </c>
      <c r="F8660" t="s">
        <v>16</v>
      </c>
      <c r="G8660" t="str">
        <f>"08-I04-03"</f>
        <v>08-I04-03</v>
      </c>
      <c r="H8660">
        <v>1.331</v>
      </c>
      <c r="I8660" t="s">
        <v>6101</v>
      </c>
      <c r="J8660" t="s">
        <v>17</v>
      </c>
      <c r="K8660" t="str">
        <f>"5F6"</f>
        <v>5F6</v>
      </c>
      <c r="L8660" t="s">
        <v>15</v>
      </c>
    </row>
    <row r="8661" spans="1:12" x14ac:dyDescent="0.25">
      <c r="A8661" t="str">
        <f>"6605081142"</f>
        <v>6605081142</v>
      </c>
      <c r="B8661" t="str">
        <f t="shared" si="392"/>
        <v>89301000</v>
      </c>
      <c r="C8661" s="1">
        <v>44463</v>
      </c>
      <c r="D8661" s="1">
        <v>44466</v>
      </c>
      <c r="E8661">
        <v>1</v>
      </c>
      <c r="F8661" t="s">
        <v>41</v>
      </c>
      <c r="G8661" t="str">
        <f>"01-D01-03"</f>
        <v>01-D01-03</v>
      </c>
      <c r="H8661">
        <v>0.2054</v>
      </c>
      <c r="I8661" t="s">
        <v>6102</v>
      </c>
      <c r="J8661" t="s">
        <v>14</v>
      </c>
      <c r="K8661" t="str">
        <f>"2F5"</f>
        <v>2F5</v>
      </c>
      <c r="L8661" t="s">
        <v>15</v>
      </c>
    </row>
    <row r="8662" spans="1:12" x14ac:dyDescent="0.25">
      <c r="A8662" t="str">
        <f>"6605150926"</f>
        <v>6605150926</v>
      </c>
      <c r="B8662" t="str">
        <f t="shared" si="392"/>
        <v>89301000</v>
      </c>
      <c r="C8662" s="1">
        <v>44482</v>
      </c>
      <c r="D8662" s="1">
        <v>44483</v>
      </c>
      <c r="E8662">
        <v>1</v>
      </c>
      <c r="F8662" t="s">
        <v>4537</v>
      </c>
      <c r="G8662" t="str">
        <f>"05-M03-00"</f>
        <v>05-M03-00</v>
      </c>
      <c r="H8662">
        <v>3.3506999999999998</v>
      </c>
      <c r="J8662" t="s">
        <v>24</v>
      </c>
      <c r="K8662" t="str">
        <f>"1F7"</f>
        <v>1F7</v>
      </c>
      <c r="L8662" t="s">
        <v>15</v>
      </c>
    </row>
    <row r="8663" spans="1:12" x14ac:dyDescent="0.25">
      <c r="A8663" t="str">
        <f>"6605150926"</f>
        <v>6605150926</v>
      </c>
      <c r="B8663" t="str">
        <f t="shared" si="392"/>
        <v>89301000</v>
      </c>
      <c r="C8663" s="1">
        <v>44342</v>
      </c>
      <c r="D8663" s="1">
        <v>44349</v>
      </c>
      <c r="E8663">
        <v>1</v>
      </c>
      <c r="F8663" t="s">
        <v>67</v>
      </c>
      <c r="G8663" t="str">
        <f>"01-C02-02"</f>
        <v>01-C02-02</v>
      </c>
      <c r="H8663">
        <v>1.4877</v>
      </c>
      <c r="I8663" t="s">
        <v>2321</v>
      </c>
      <c r="J8663" t="s">
        <v>14</v>
      </c>
      <c r="K8663" t="str">
        <f>"2F9"</f>
        <v>2F9</v>
      </c>
      <c r="L8663" t="s">
        <v>15</v>
      </c>
    </row>
    <row r="8664" spans="1:12" x14ac:dyDescent="0.25">
      <c r="A8664" t="str">
        <f>"6605212185"</f>
        <v>6605212185</v>
      </c>
      <c r="B8664" t="str">
        <f t="shared" si="392"/>
        <v>89301000</v>
      </c>
      <c r="C8664" s="1">
        <v>44205</v>
      </c>
      <c r="D8664" s="1">
        <v>44211</v>
      </c>
      <c r="E8664">
        <v>1</v>
      </c>
      <c r="F8664" t="s">
        <v>3746</v>
      </c>
      <c r="G8664" t="str">
        <f>"05-I24-04"</f>
        <v>05-I24-04</v>
      </c>
      <c r="H8664">
        <v>2.1857000000000002</v>
      </c>
      <c r="J8664" t="s">
        <v>14</v>
      </c>
      <c r="K8664" t="str">
        <f>"5F1"</f>
        <v>5F1</v>
      </c>
      <c r="L8664" t="s">
        <v>15</v>
      </c>
    </row>
    <row r="8665" spans="1:12" x14ac:dyDescent="0.25">
      <c r="A8665" t="str">
        <f>"6605212185"</f>
        <v>6605212185</v>
      </c>
      <c r="B8665" t="str">
        <f t="shared" si="392"/>
        <v>89301000</v>
      </c>
      <c r="C8665" s="1">
        <v>44235</v>
      </c>
      <c r="D8665" s="1">
        <v>44241</v>
      </c>
      <c r="E8665">
        <v>1</v>
      </c>
      <c r="F8665" t="s">
        <v>3746</v>
      </c>
      <c r="G8665" t="str">
        <f>"05-I24-02"</f>
        <v>05-I24-02</v>
      </c>
      <c r="H8665">
        <v>4.3616999999999999</v>
      </c>
      <c r="I8665" t="s">
        <v>1756</v>
      </c>
      <c r="J8665" t="s">
        <v>14</v>
      </c>
      <c r="K8665" t="str">
        <f>"5F1"</f>
        <v>5F1</v>
      </c>
      <c r="L8665" t="s">
        <v>15</v>
      </c>
    </row>
    <row r="8666" spans="1:12" x14ac:dyDescent="0.25">
      <c r="A8666" t="str">
        <f>"6605250652"</f>
        <v>6605250652</v>
      </c>
      <c r="B8666" t="str">
        <f t="shared" si="392"/>
        <v>89301000</v>
      </c>
      <c r="C8666" s="1">
        <v>44531</v>
      </c>
      <c r="D8666" s="1">
        <v>44531</v>
      </c>
      <c r="E8666">
        <v>1</v>
      </c>
      <c r="F8666" t="s">
        <v>1557</v>
      </c>
      <c r="G8666" t="str">
        <f>"05-M06-08"</f>
        <v>05-M06-08</v>
      </c>
      <c r="H8666">
        <v>1.1200000000000001</v>
      </c>
      <c r="J8666" t="s">
        <v>17</v>
      </c>
      <c r="K8666" t="str">
        <f>"1F1"</f>
        <v>1F1</v>
      </c>
      <c r="L8666" t="s">
        <v>15</v>
      </c>
    </row>
    <row r="8667" spans="1:12" x14ac:dyDescent="0.25">
      <c r="A8667" t="str">
        <f>"6605250652"</f>
        <v>6605250652</v>
      </c>
      <c r="B8667" t="str">
        <f t="shared" si="392"/>
        <v>89301000</v>
      </c>
      <c r="C8667" s="1">
        <v>44505</v>
      </c>
      <c r="D8667" s="1">
        <v>44506</v>
      </c>
      <c r="E8667">
        <v>1</v>
      </c>
      <c r="F8667" t="s">
        <v>1557</v>
      </c>
      <c r="G8667" t="str">
        <f>"05-M06-08"</f>
        <v>05-M06-08</v>
      </c>
      <c r="H8667">
        <v>1.4719</v>
      </c>
      <c r="I8667" t="s">
        <v>2428</v>
      </c>
      <c r="J8667" t="s">
        <v>17</v>
      </c>
      <c r="K8667" t="str">
        <f>"1F1"</f>
        <v>1F1</v>
      </c>
      <c r="L8667" t="s">
        <v>15</v>
      </c>
    </row>
    <row r="8668" spans="1:12" x14ac:dyDescent="0.25">
      <c r="A8668" t="str">
        <f>"6606101832"</f>
        <v>6606101832</v>
      </c>
      <c r="B8668" t="str">
        <f t="shared" si="392"/>
        <v>89301000</v>
      </c>
      <c r="C8668" s="1">
        <v>44465</v>
      </c>
      <c r="D8668" s="1">
        <v>44466</v>
      </c>
      <c r="E8668">
        <v>1</v>
      </c>
      <c r="F8668" t="s">
        <v>1557</v>
      </c>
      <c r="G8668" t="str">
        <f>"05-D01-08"</f>
        <v>05-D01-08</v>
      </c>
      <c r="H8668">
        <v>0.4093</v>
      </c>
      <c r="J8668" t="s">
        <v>14</v>
      </c>
      <c r="K8668" t="str">
        <f>"1F7"</f>
        <v>1F7</v>
      </c>
      <c r="L8668" t="s">
        <v>15</v>
      </c>
    </row>
    <row r="8669" spans="1:12" x14ac:dyDescent="0.25">
      <c r="A8669" t="str">
        <f>"6606251685"</f>
        <v>6606251685</v>
      </c>
      <c r="B8669" t="str">
        <f t="shared" si="392"/>
        <v>89301000</v>
      </c>
      <c r="C8669" s="1">
        <v>44271</v>
      </c>
      <c r="D8669" s="1">
        <v>44278</v>
      </c>
      <c r="E8669">
        <v>1</v>
      </c>
      <c r="F8669" t="s">
        <v>217</v>
      </c>
      <c r="G8669" t="str">
        <f>"04-K02-02"</f>
        <v>04-K02-02</v>
      </c>
      <c r="H8669">
        <v>2.5186000000000002</v>
      </c>
      <c r="I8669" t="s">
        <v>2516</v>
      </c>
      <c r="J8669" t="s">
        <v>14</v>
      </c>
      <c r="K8669" t="str">
        <f>"7F6"</f>
        <v>7F6</v>
      </c>
      <c r="L8669" t="s">
        <v>15</v>
      </c>
    </row>
    <row r="8670" spans="1:12" x14ac:dyDescent="0.25">
      <c r="A8670" t="str">
        <f>"6607220279"</f>
        <v>6607220279</v>
      </c>
      <c r="B8670" t="str">
        <f t="shared" si="392"/>
        <v>89301000</v>
      </c>
      <c r="C8670" s="1">
        <v>44481</v>
      </c>
      <c r="D8670" s="1">
        <v>44482</v>
      </c>
      <c r="E8670">
        <v>1</v>
      </c>
      <c r="F8670" t="s">
        <v>41</v>
      </c>
      <c r="G8670" t="str">
        <f>"01-D01-03"</f>
        <v>01-D01-03</v>
      </c>
      <c r="H8670">
        <v>0.158</v>
      </c>
      <c r="I8670" t="s">
        <v>489</v>
      </c>
      <c r="J8670" t="s">
        <v>14</v>
      </c>
      <c r="K8670" t="str">
        <f>"2F5"</f>
        <v>2F5</v>
      </c>
      <c r="L8670" t="s">
        <v>15</v>
      </c>
    </row>
    <row r="8671" spans="1:12" x14ac:dyDescent="0.25">
      <c r="A8671" t="str">
        <f>"6607231565"</f>
        <v>6607231565</v>
      </c>
      <c r="B8671" t="str">
        <f t="shared" si="392"/>
        <v>89301000</v>
      </c>
      <c r="C8671" s="1">
        <v>44425</v>
      </c>
      <c r="D8671" s="1">
        <v>44432</v>
      </c>
      <c r="E8671">
        <v>1</v>
      </c>
      <c r="F8671" t="s">
        <v>1581</v>
      </c>
      <c r="G8671" t="str">
        <f>"05-M08-00"</f>
        <v>05-M08-00</v>
      </c>
      <c r="H8671">
        <v>1.5616000000000001</v>
      </c>
      <c r="I8671" t="s">
        <v>2321</v>
      </c>
      <c r="J8671" t="s">
        <v>17</v>
      </c>
      <c r="K8671" t="str">
        <f>"5F1"</f>
        <v>5F1</v>
      </c>
      <c r="L8671" t="s">
        <v>15</v>
      </c>
    </row>
    <row r="8672" spans="1:12" x14ac:dyDescent="0.25">
      <c r="A8672" t="str">
        <f>"6607261012"</f>
        <v>6607261012</v>
      </c>
      <c r="B8672" t="str">
        <f t="shared" si="392"/>
        <v>89301000</v>
      </c>
      <c r="C8672" s="1">
        <v>44344</v>
      </c>
      <c r="D8672" s="1">
        <v>44350</v>
      </c>
      <c r="E8672">
        <v>4</v>
      </c>
      <c r="F8672" t="s">
        <v>2197</v>
      </c>
      <c r="G8672" t="str">
        <f>"04-K07-03"</f>
        <v>04-K07-03</v>
      </c>
      <c r="H8672">
        <v>0.66259999999999997</v>
      </c>
      <c r="I8672" t="s">
        <v>6103</v>
      </c>
      <c r="J8672" t="s">
        <v>14</v>
      </c>
      <c r="K8672" t="str">
        <f>"2F5"</f>
        <v>2F5</v>
      </c>
      <c r="L8672" t="s">
        <v>15</v>
      </c>
    </row>
    <row r="8673" spans="1:12" x14ac:dyDescent="0.25">
      <c r="A8673" t="str">
        <f>"6607261012"</f>
        <v>6607261012</v>
      </c>
      <c r="B8673" t="str">
        <f t="shared" si="392"/>
        <v>89301000</v>
      </c>
      <c r="C8673" s="1">
        <v>44257</v>
      </c>
      <c r="D8673" s="1">
        <v>44261</v>
      </c>
      <c r="E8673">
        <v>1</v>
      </c>
      <c r="F8673" t="s">
        <v>2197</v>
      </c>
      <c r="G8673" t="str">
        <f>"04-K07-03"</f>
        <v>04-K07-03</v>
      </c>
      <c r="H8673">
        <v>0.66259999999999997</v>
      </c>
      <c r="I8673" t="s">
        <v>6104</v>
      </c>
      <c r="J8673" t="s">
        <v>14</v>
      </c>
      <c r="K8673" t="str">
        <f>"2F5"</f>
        <v>2F5</v>
      </c>
      <c r="L8673" t="s">
        <v>15</v>
      </c>
    </row>
    <row r="8674" spans="1:12" x14ac:dyDescent="0.25">
      <c r="A8674" t="str">
        <f>"6607261012"</f>
        <v>6607261012</v>
      </c>
      <c r="B8674" t="str">
        <f t="shared" si="392"/>
        <v>89301000</v>
      </c>
      <c r="C8674" s="1">
        <v>44224</v>
      </c>
      <c r="D8674" s="1">
        <v>44226</v>
      </c>
      <c r="E8674">
        <v>1</v>
      </c>
      <c r="F8674" t="s">
        <v>2197</v>
      </c>
      <c r="G8674" t="str">
        <f>"04-K07-03"</f>
        <v>04-K07-03</v>
      </c>
      <c r="H8674">
        <v>0.66259999999999997</v>
      </c>
      <c r="I8674" t="s">
        <v>6105</v>
      </c>
      <c r="J8674" t="s">
        <v>14</v>
      </c>
      <c r="K8674" t="str">
        <f>"2F5"</f>
        <v>2F5</v>
      </c>
      <c r="L8674" t="s">
        <v>15</v>
      </c>
    </row>
    <row r="8675" spans="1:12" x14ac:dyDescent="0.25">
      <c r="A8675" t="str">
        <f>"6608061053"</f>
        <v>6608061053</v>
      </c>
      <c r="B8675" t="str">
        <f t="shared" si="392"/>
        <v>89301000</v>
      </c>
      <c r="C8675" s="1">
        <v>44299</v>
      </c>
      <c r="D8675" s="1">
        <v>44301</v>
      </c>
      <c r="E8675">
        <v>1</v>
      </c>
      <c r="F8675" t="s">
        <v>4237</v>
      </c>
      <c r="G8675" t="str">
        <f>"03-I23-00"</f>
        <v>03-I23-00</v>
      </c>
      <c r="H8675">
        <v>0.47639999999999999</v>
      </c>
      <c r="I8675" t="s">
        <v>5807</v>
      </c>
      <c r="J8675" t="s">
        <v>14</v>
      </c>
      <c r="K8675" t="str">
        <f>"6F5"</f>
        <v>6F5</v>
      </c>
      <c r="L8675" t="s">
        <v>15</v>
      </c>
    </row>
    <row r="8676" spans="1:12" x14ac:dyDescent="0.25">
      <c r="A8676" t="str">
        <f>"6608190116"</f>
        <v>6608190116</v>
      </c>
      <c r="B8676" t="str">
        <f t="shared" si="392"/>
        <v>89301000</v>
      </c>
      <c r="C8676" s="1">
        <v>44307</v>
      </c>
      <c r="D8676" s="1">
        <v>44312</v>
      </c>
      <c r="E8676">
        <v>1</v>
      </c>
      <c r="F8676" t="s">
        <v>2637</v>
      </c>
      <c r="G8676" t="str">
        <f>"23-K05-01"</f>
        <v>23-K05-01</v>
      </c>
      <c r="H8676">
        <v>0.56999999999999995</v>
      </c>
      <c r="I8676" t="s">
        <v>2638</v>
      </c>
      <c r="J8676" t="s">
        <v>14</v>
      </c>
      <c r="K8676" t="str">
        <f>"4F7"</f>
        <v>4F7</v>
      </c>
      <c r="L8676" t="s">
        <v>15</v>
      </c>
    </row>
    <row r="8677" spans="1:12" x14ac:dyDescent="0.25">
      <c r="A8677" t="str">
        <f>"6608211071"</f>
        <v>6608211071</v>
      </c>
      <c r="B8677" t="str">
        <f t="shared" si="392"/>
        <v>89301000</v>
      </c>
      <c r="C8677" s="1">
        <v>44246</v>
      </c>
      <c r="D8677" s="1">
        <v>44268</v>
      </c>
      <c r="E8677">
        <v>8</v>
      </c>
      <c r="F8677" t="s">
        <v>217</v>
      </c>
      <c r="G8677" t="str">
        <f>"00-M02-04"</f>
        <v>00-M02-04</v>
      </c>
      <c r="H8677">
        <v>12.071199999999999</v>
      </c>
      <c r="I8677" t="s">
        <v>6106</v>
      </c>
      <c r="J8677" t="s">
        <v>14</v>
      </c>
      <c r="K8677" t="str">
        <f>"1T1"</f>
        <v>1T1</v>
      </c>
      <c r="L8677" t="s">
        <v>15</v>
      </c>
    </row>
    <row r="8678" spans="1:12" x14ac:dyDescent="0.25">
      <c r="A8678" t="str">
        <f>"6608261044"</f>
        <v>6608261044</v>
      </c>
      <c r="B8678" t="str">
        <f t="shared" si="392"/>
        <v>89301000</v>
      </c>
      <c r="C8678" s="1">
        <v>44292</v>
      </c>
      <c r="D8678" s="1">
        <v>44312</v>
      </c>
      <c r="E8678">
        <v>1</v>
      </c>
      <c r="F8678" t="s">
        <v>6107</v>
      </c>
      <c r="G8678" t="str">
        <f>"11-M02-04"</f>
        <v>11-M02-04</v>
      </c>
      <c r="H8678">
        <v>5.9173999999999998</v>
      </c>
      <c r="I8678" t="s">
        <v>6108</v>
      </c>
      <c r="J8678" t="s">
        <v>14</v>
      </c>
      <c r="K8678" t="str">
        <f>"1F1"</f>
        <v>1F1</v>
      </c>
      <c r="L8678" t="s">
        <v>15</v>
      </c>
    </row>
    <row r="8679" spans="1:12" x14ac:dyDescent="0.25">
      <c r="A8679" t="str">
        <f>"6608261495"</f>
        <v>6608261495</v>
      </c>
      <c r="B8679" t="str">
        <f t="shared" si="392"/>
        <v>89301000</v>
      </c>
      <c r="C8679" s="1">
        <v>44446</v>
      </c>
      <c r="D8679" s="1">
        <v>44447</v>
      </c>
      <c r="E8679">
        <v>1</v>
      </c>
      <c r="F8679" t="s">
        <v>2068</v>
      </c>
      <c r="G8679" t="str">
        <f>"02-I06-02"</f>
        <v>02-I06-02</v>
      </c>
      <c r="H8679">
        <v>0.90300000000000002</v>
      </c>
      <c r="I8679" t="s">
        <v>489</v>
      </c>
      <c r="J8679" t="s">
        <v>17</v>
      </c>
      <c r="K8679" t="str">
        <f>"7F5"</f>
        <v>7F5</v>
      </c>
      <c r="L8679" t="s">
        <v>15</v>
      </c>
    </row>
    <row r="8680" spans="1:12" x14ac:dyDescent="0.25">
      <c r="A8680" t="str">
        <f>"6608261495"</f>
        <v>6608261495</v>
      </c>
      <c r="B8680" t="str">
        <f t="shared" si="392"/>
        <v>89301000</v>
      </c>
      <c r="C8680" s="1">
        <v>44332</v>
      </c>
      <c r="D8680" s="1">
        <v>44336</v>
      </c>
      <c r="E8680">
        <v>1</v>
      </c>
      <c r="F8680" t="s">
        <v>2068</v>
      </c>
      <c r="G8680" t="str">
        <f>"02-I06-02"</f>
        <v>02-I06-02</v>
      </c>
      <c r="H8680">
        <v>0.90300000000000002</v>
      </c>
      <c r="I8680" t="s">
        <v>6109</v>
      </c>
      <c r="J8680" t="s">
        <v>17</v>
      </c>
      <c r="K8680" t="str">
        <f>"7F5"</f>
        <v>7F5</v>
      </c>
      <c r="L8680" t="s">
        <v>15</v>
      </c>
    </row>
    <row r="8681" spans="1:12" x14ac:dyDescent="0.25">
      <c r="A8681" t="str">
        <f>"6609130418"</f>
        <v>6609130418</v>
      </c>
      <c r="B8681" t="str">
        <f t="shared" si="392"/>
        <v>89301000</v>
      </c>
      <c r="C8681" s="1">
        <v>44421</v>
      </c>
      <c r="D8681" s="1">
        <v>44422</v>
      </c>
      <c r="E8681">
        <v>1</v>
      </c>
      <c r="F8681" t="s">
        <v>174</v>
      </c>
      <c r="G8681" t="str">
        <f>"12-I14-00"</f>
        <v>12-I14-00</v>
      </c>
      <c r="H8681">
        <v>0.44350000000000001</v>
      </c>
      <c r="I8681" t="s">
        <v>1868</v>
      </c>
      <c r="J8681" t="s">
        <v>14</v>
      </c>
      <c r="K8681" t="str">
        <f>"7F6"</f>
        <v>7F6</v>
      </c>
      <c r="L8681" t="s">
        <v>15</v>
      </c>
    </row>
    <row r="8682" spans="1:12" x14ac:dyDescent="0.25">
      <c r="A8682" t="str">
        <f>"6609181513"</f>
        <v>6609181513</v>
      </c>
      <c r="B8682" t="str">
        <f t="shared" si="392"/>
        <v>89301000</v>
      </c>
      <c r="C8682" s="1">
        <v>44414</v>
      </c>
      <c r="D8682" s="1">
        <v>44425</v>
      </c>
      <c r="E8682">
        <v>2</v>
      </c>
      <c r="F8682" t="s">
        <v>828</v>
      </c>
      <c r="G8682" t="str">
        <f>"01-K03-05"</f>
        <v>01-K03-05</v>
      </c>
      <c r="H8682">
        <v>1.9289000000000001</v>
      </c>
      <c r="I8682" t="s">
        <v>6110</v>
      </c>
      <c r="J8682" t="s">
        <v>14</v>
      </c>
      <c r="K8682" t="str">
        <f>"2T9"</f>
        <v>2T9</v>
      </c>
      <c r="L8682" t="s">
        <v>15</v>
      </c>
    </row>
    <row r="8683" spans="1:12" x14ac:dyDescent="0.25">
      <c r="A8683" t="str">
        <f>"6609201324"</f>
        <v>6609201324</v>
      </c>
      <c r="B8683" t="str">
        <f t="shared" si="392"/>
        <v>89301000</v>
      </c>
      <c r="C8683" s="1">
        <v>44545</v>
      </c>
      <c r="D8683" s="1">
        <v>44547</v>
      </c>
      <c r="E8683">
        <v>1</v>
      </c>
      <c r="F8683" t="s">
        <v>6111</v>
      </c>
      <c r="G8683" t="str">
        <f>"08-I32-02"</f>
        <v>08-I32-02</v>
      </c>
      <c r="H8683">
        <v>0.4143</v>
      </c>
      <c r="J8683" t="s">
        <v>14</v>
      </c>
      <c r="K8683" t="str">
        <f>"6F6"</f>
        <v>6F6</v>
      </c>
      <c r="L8683" t="s">
        <v>15</v>
      </c>
    </row>
    <row r="8684" spans="1:12" x14ac:dyDescent="0.25">
      <c r="A8684" t="str">
        <f>"6610030867"</f>
        <v>6610030867</v>
      </c>
      <c r="B8684" t="str">
        <f t="shared" si="392"/>
        <v>89301000</v>
      </c>
      <c r="C8684" s="1">
        <v>44410</v>
      </c>
      <c r="D8684" s="1">
        <v>44414</v>
      </c>
      <c r="E8684">
        <v>5</v>
      </c>
      <c r="F8684" t="s">
        <v>3521</v>
      </c>
      <c r="G8684" t="str">
        <f>"01-I06-02"</f>
        <v>01-I06-02</v>
      </c>
      <c r="H8684">
        <v>5.1687000000000003</v>
      </c>
      <c r="I8684" t="s">
        <v>6112</v>
      </c>
      <c r="J8684" t="s">
        <v>17</v>
      </c>
      <c r="K8684" t="str">
        <f>"5T6"</f>
        <v>5T6</v>
      </c>
      <c r="L8684" t="s">
        <v>15</v>
      </c>
    </row>
    <row r="8685" spans="1:12" x14ac:dyDescent="0.25">
      <c r="A8685" t="str">
        <f>"6610031439"</f>
        <v>6610031439</v>
      </c>
      <c r="B8685" t="str">
        <f t="shared" si="392"/>
        <v>89301000</v>
      </c>
      <c r="C8685" s="1">
        <v>44358</v>
      </c>
      <c r="D8685" s="1">
        <v>44361</v>
      </c>
      <c r="E8685">
        <v>1</v>
      </c>
      <c r="F8685" t="s">
        <v>2111</v>
      </c>
      <c r="G8685" t="str">
        <f>"10-K15-02"</f>
        <v>10-K15-02</v>
      </c>
      <c r="H8685">
        <v>1.0346</v>
      </c>
      <c r="I8685" t="s">
        <v>2421</v>
      </c>
      <c r="J8685" t="s">
        <v>14</v>
      </c>
      <c r="K8685" t="str">
        <f>"2F5"</f>
        <v>2F5</v>
      </c>
      <c r="L8685" t="s">
        <v>15</v>
      </c>
    </row>
    <row r="8686" spans="1:12" x14ac:dyDescent="0.25">
      <c r="A8686" t="str">
        <f>"6610031439"</f>
        <v>6610031439</v>
      </c>
      <c r="B8686" t="str">
        <f t="shared" si="392"/>
        <v>89301000</v>
      </c>
      <c r="C8686" s="1">
        <v>44313</v>
      </c>
      <c r="D8686" s="1">
        <v>44314</v>
      </c>
      <c r="E8686">
        <v>1</v>
      </c>
      <c r="F8686" t="s">
        <v>2111</v>
      </c>
      <c r="G8686" t="str">
        <f>"10-K15-02"</f>
        <v>10-K15-02</v>
      </c>
      <c r="H8686">
        <v>0.51819999999999999</v>
      </c>
      <c r="I8686" t="s">
        <v>2421</v>
      </c>
      <c r="J8686" t="s">
        <v>14</v>
      </c>
      <c r="K8686" t="str">
        <f>"2F5"</f>
        <v>2F5</v>
      </c>
      <c r="L8686" t="s">
        <v>15</v>
      </c>
    </row>
    <row r="8687" spans="1:12" x14ac:dyDescent="0.25">
      <c r="A8687" t="str">
        <f>"6610031450"</f>
        <v>6610031450</v>
      </c>
      <c r="B8687" t="str">
        <f t="shared" si="392"/>
        <v>89301000</v>
      </c>
      <c r="C8687" s="1">
        <v>44278</v>
      </c>
      <c r="D8687" s="1">
        <v>44279</v>
      </c>
      <c r="E8687">
        <v>1</v>
      </c>
      <c r="F8687" t="s">
        <v>71</v>
      </c>
      <c r="G8687" t="str">
        <f>"08-M03-05"</f>
        <v>08-M03-05</v>
      </c>
      <c r="H8687">
        <v>0.51759999999999995</v>
      </c>
      <c r="I8687" t="s">
        <v>21</v>
      </c>
      <c r="J8687" t="s">
        <v>14</v>
      </c>
      <c r="K8687" t="str">
        <f>"5F3"</f>
        <v>5F3</v>
      </c>
      <c r="L8687" t="s">
        <v>15</v>
      </c>
    </row>
    <row r="8688" spans="1:12" x14ac:dyDescent="0.25">
      <c r="A8688" t="str">
        <f>"6610101641"</f>
        <v>6610101641</v>
      </c>
      <c r="B8688" t="str">
        <f t="shared" ref="B8688:B8751" si="393">"89301000"</f>
        <v>89301000</v>
      </c>
      <c r="C8688" s="1">
        <v>44229</v>
      </c>
      <c r="D8688" s="1">
        <v>44230</v>
      </c>
      <c r="E8688">
        <v>1</v>
      </c>
      <c r="F8688" t="s">
        <v>240</v>
      </c>
      <c r="G8688" t="str">
        <f>"03-K13-02"</f>
        <v>03-K13-02</v>
      </c>
      <c r="H8688">
        <v>0.2555</v>
      </c>
      <c r="J8688" t="s">
        <v>14</v>
      </c>
      <c r="K8688" t="str">
        <f>"2F5"</f>
        <v>2F5</v>
      </c>
      <c r="L8688" t="s">
        <v>15</v>
      </c>
    </row>
    <row r="8689" spans="1:12" x14ac:dyDescent="0.25">
      <c r="A8689" t="str">
        <f>"6610101817"</f>
        <v>6610101817</v>
      </c>
      <c r="B8689" t="str">
        <f t="shared" si="393"/>
        <v>89301000</v>
      </c>
      <c r="C8689" s="1">
        <v>44294</v>
      </c>
      <c r="D8689" s="1">
        <v>44306</v>
      </c>
      <c r="E8689">
        <v>1</v>
      </c>
      <c r="F8689" t="s">
        <v>6113</v>
      </c>
      <c r="G8689" t="str">
        <f>"06-I14-01"</f>
        <v>06-I14-01</v>
      </c>
      <c r="H8689">
        <v>3.5489999999999999</v>
      </c>
      <c r="I8689" t="s">
        <v>1124</v>
      </c>
      <c r="J8689" t="s">
        <v>14</v>
      </c>
      <c r="K8689" t="str">
        <f t="shared" ref="K8689:K8694" si="394">"5F1"</f>
        <v>5F1</v>
      </c>
      <c r="L8689" t="s">
        <v>15</v>
      </c>
    </row>
    <row r="8690" spans="1:12" x14ac:dyDescent="0.25">
      <c r="A8690" t="str">
        <f>"6610101817"</f>
        <v>6610101817</v>
      </c>
      <c r="B8690" t="str">
        <f t="shared" si="393"/>
        <v>89301000</v>
      </c>
      <c r="C8690" s="1">
        <v>44281</v>
      </c>
      <c r="D8690" s="1">
        <v>44288</v>
      </c>
      <c r="E8690">
        <v>1</v>
      </c>
      <c r="F8690" t="s">
        <v>43</v>
      </c>
      <c r="G8690" t="str">
        <f>"06-I18-05"</f>
        <v>06-I18-05</v>
      </c>
      <c r="H8690">
        <v>0.85550000000000004</v>
      </c>
      <c r="J8690" t="s">
        <v>24</v>
      </c>
      <c r="K8690" t="str">
        <f t="shared" si="394"/>
        <v>5F1</v>
      </c>
      <c r="L8690" t="s">
        <v>15</v>
      </c>
    </row>
    <row r="8691" spans="1:12" x14ac:dyDescent="0.25">
      <c r="A8691" t="str">
        <f>"6610160161"</f>
        <v>6610160161</v>
      </c>
      <c r="B8691" t="str">
        <f t="shared" si="393"/>
        <v>89301000</v>
      </c>
      <c r="C8691" s="1">
        <v>44370</v>
      </c>
      <c r="D8691" s="1">
        <v>44375</v>
      </c>
      <c r="E8691">
        <v>1</v>
      </c>
      <c r="F8691" t="s">
        <v>1555</v>
      </c>
      <c r="G8691" t="str">
        <f>"05-M07-06"</f>
        <v>05-M07-06</v>
      </c>
      <c r="H8691">
        <v>1.2513000000000001</v>
      </c>
      <c r="I8691" t="s">
        <v>6114</v>
      </c>
      <c r="J8691" t="s">
        <v>17</v>
      </c>
      <c r="K8691" t="str">
        <f t="shared" si="394"/>
        <v>5F1</v>
      </c>
      <c r="L8691" t="s">
        <v>15</v>
      </c>
    </row>
    <row r="8692" spans="1:12" x14ac:dyDescent="0.25">
      <c r="A8692" t="str">
        <f>"6610160161"</f>
        <v>6610160161</v>
      </c>
      <c r="B8692" t="str">
        <f t="shared" si="393"/>
        <v>89301000</v>
      </c>
      <c r="C8692" s="1">
        <v>44472</v>
      </c>
      <c r="D8692" s="1">
        <v>44480</v>
      </c>
      <c r="E8692">
        <v>1</v>
      </c>
      <c r="F8692" t="s">
        <v>1581</v>
      </c>
      <c r="G8692" t="str">
        <f>"05-M07-06"</f>
        <v>05-M07-06</v>
      </c>
      <c r="H8692">
        <v>1.4938</v>
      </c>
      <c r="I8692" t="s">
        <v>6115</v>
      </c>
      <c r="J8692" t="s">
        <v>17</v>
      </c>
      <c r="K8692" t="str">
        <f t="shared" si="394"/>
        <v>5F1</v>
      </c>
      <c r="L8692" t="s">
        <v>15</v>
      </c>
    </row>
    <row r="8693" spans="1:12" x14ac:dyDescent="0.25">
      <c r="A8693" t="str">
        <f>"6610211553"</f>
        <v>6610211553</v>
      </c>
      <c r="B8693" t="str">
        <f t="shared" si="393"/>
        <v>89301000</v>
      </c>
      <c r="C8693" s="1">
        <v>44343</v>
      </c>
      <c r="D8693" s="1">
        <v>44347</v>
      </c>
      <c r="E8693">
        <v>1</v>
      </c>
      <c r="F8693" t="s">
        <v>43</v>
      </c>
      <c r="G8693" t="str">
        <f>"06-I18-05"</f>
        <v>06-I18-05</v>
      </c>
      <c r="H8693">
        <v>0.85550000000000004</v>
      </c>
      <c r="J8693" t="s">
        <v>24</v>
      </c>
      <c r="K8693" t="str">
        <f t="shared" si="394"/>
        <v>5F1</v>
      </c>
      <c r="L8693" t="s">
        <v>15</v>
      </c>
    </row>
    <row r="8694" spans="1:12" x14ac:dyDescent="0.25">
      <c r="A8694" t="str">
        <f>"6611131252"</f>
        <v>6611131252</v>
      </c>
      <c r="B8694" t="str">
        <f t="shared" si="393"/>
        <v>89301000</v>
      </c>
      <c r="C8694" s="1">
        <v>44212</v>
      </c>
      <c r="D8694" s="1">
        <v>44215</v>
      </c>
      <c r="E8694">
        <v>1</v>
      </c>
      <c r="F8694" t="s">
        <v>43</v>
      </c>
      <c r="G8694" t="str">
        <f>"06-I18-05"</f>
        <v>06-I18-05</v>
      </c>
      <c r="H8694">
        <v>0.85550000000000004</v>
      </c>
      <c r="J8694" t="s">
        <v>24</v>
      </c>
      <c r="K8694" t="str">
        <f t="shared" si="394"/>
        <v>5F1</v>
      </c>
      <c r="L8694" t="s">
        <v>15</v>
      </c>
    </row>
    <row r="8695" spans="1:12" x14ac:dyDescent="0.25">
      <c r="A8695" t="str">
        <f>"6611161029"</f>
        <v>6611161029</v>
      </c>
      <c r="B8695" t="str">
        <f t="shared" si="393"/>
        <v>89301000</v>
      </c>
      <c r="C8695" s="1">
        <v>44273</v>
      </c>
      <c r="D8695" s="1">
        <v>44274</v>
      </c>
      <c r="E8695">
        <v>1</v>
      </c>
      <c r="F8695" t="s">
        <v>1567</v>
      </c>
      <c r="G8695" t="str">
        <f>"05-I25-04"</f>
        <v>05-I25-04</v>
      </c>
      <c r="H8695">
        <v>2.8066</v>
      </c>
      <c r="J8695" t="s">
        <v>17</v>
      </c>
      <c r="K8695" t="str">
        <f>"1F1"</f>
        <v>1F1</v>
      </c>
      <c r="L8695" t="s">
        <v>15</v>
      </c>
    </row>
    <row r="8696" spans="1:12" x14ac:dyDescent="0.25">
      <c r="A8696" t="str">
        <f>"6611220770"</f>
        <v>6611220770</v>
      </c>
      <c r="B8696" t="str">
        <f t="shared" si="393"/>
        <v>89301000</v>
      </c>
      <c r="C8696" s="1">
        <v>44489</v>
      </c>
      <c r="D8696" s="1">
        <v>44493</v>
      </c>
      <c r="E8696">
        <v>1</v>
      </c>
      <c r="F8696" t="s">
        <v>2407</v>
      </c>
      <c r="G8696" t="str">
        <f>"08-I22-02"</f>
        <v>08-I22-02</v>
      </c>
      <c r="H8696">
        <v>1.1049</v>
      </c>
      <c r="J8696" t="s">
        <v>17</v>
      </c>
      <c r="K8696" t="str">
        <f>"6F6"</f>
        <v>6F6</v>
      </c>
      <c r="L8696" t="s">
        <v>15</v>
      </c>
    </row>
    <row r="8697" spans="1:12" x14ac:dyDescent="0.25">
      <c r="A8697" t="str">
        <f>"6611241483"</f>
        <v>6611241483</v>
      </c>
      <c r="B8697" t="str">
        <f t="shared" si="393"/>
        <v>89301000</v>
      </c>
      <c r="C8697" s="1">
        <v>44369</v>
      </c>
      <c r="D8697" s="1">
        <v>44370</v>
      </c>
      <c r="E8697">
        <v>1</v>
      </c>
      <c r="F8697" t="s">
        <v>34</v>
      </c>
      <c r="G8697" t="str">
        <f>"08-I19-03"</f>
        <v>08-I19-03</v>
      </c>
      <c r="H8697">
        <v>0.61250000000000004</v>
      </c>
      <c r="I8697" t="s">
        <v>381</v>
      </c>
      <c r="J8697" t="s">
        <v>17</v>
      </c>
      <c r="K8697" t="str">
        <f>"5F3"</f>
        <v>5F3</v>
      </c>
      <c r="L8697" t="s">
        <v>15</v>
      </c>
    </row>
    <row r="8698" spans="1:12" x14ac:dyDescent="0.25">
      <c r="A8698" t="str">
        <f>"6611290433"</f>
        <v>6611290433</v>
      </c>
      <c r="B8698" t="str">
        <f t="shared" si="393"/>
        <v>89301000</v>
      </c>
      <c r="C8698" s="1">
        <v>44245</v>
      </c>
      <c r="D8698" s="1">
        <v>44246</v>
      </c>
      <c r="E8698">
        <v>1</v>
      </c>
      <c r="F8698" t="s">
        <v>2325</v>
      </c>
      <c r="G8698" t="str">
        <f>"09-I13-03"</f>
        <v>09-I13-03</v>
      </c>
      <c r="H8698">
        <v>0.77380000000000004</v>
      </c>
      <c r="I8698" t="s">
        <v>6116</v>
      </c>
      <c r="J8698" t="s">
        <v>14</v>
      </c>
      <c r="K8698" t="str">
        <f>"6F1"</f>
        <v>6F1</v>
      </c>
      <c r="L8698" t="s">
        <v>15</v>
      </c>
    </row>
    <row r="8699" spans="1:12" x14ac:dyDescent="0.25">
      <c r="A8699" t="str">
        <f>"6611300773"</f>
        <v>6611300773</v>
      </c>
      <c r="B8699" t="str">
        <f t="shared" si="393"/>
        <v>89301000</v>
      </c>
      <c r="C8699" s="1">
        <v>44314</v>
      </c>
      <c r="D8699" s="1">
        <v>44315</v>
      </c>
      <c r="E8699">
        <v>1</v>
      </c>
      <c r="F8699" t="s">
        <v>1950</v>
      </c>
      <c r="G8699" t="str">
        <f>"02-I13-02"</f>
        <v>02-I13-02</v>
      </c>
      <c r="H8699">
        <v>0.376</v>
      </c>
      <c r="I8699" t="s">
        <v>551</v>
      </c>
      <c r="J8699" t="s">
        <v>14</v>
      </c>
      <c r="K8699" t="str">
        <f>"7F5"</f>
        <v>7F5</v>
      </c>
      <c r="L8699" t="s">
        <v>15</v>
      </c>
    </row>
    <row r="8700" spans="1:12" x14ac:dyDescent="0.25">
      <c r="A8700" t="str">
        <f>"6612111495"</f>
        <v>6612111495</v>
      </c>
      <c r="B8700" t="str">
        <f t="shared" si="393"/>
        <v>89301000</v>
      </c>
      <c r="C8700" s="1">
        <v>44350</v>
      </c>
      <c r="D8700" s="1">
        <v>44353</v>
      </c>
      <c r="E8700">
        <v>1</v>
      </c>
      <c r="F8700" t="s">
        <v>2407</v>
      </c>
      <c r="G8700" t="str">
        <f>"08-I22-02"</f>
        <v>08-I22-02</v>
      </c>
      <c r="H8700">
        <v>1.1049</v>
      </c>
      <c r="I8700" t="s">
        <v>6117</v>
      </c>
      <c r="J8700" t="s">
        <v>17</v>
      </c>
      <c r="K8700" t="str">
        <f>"6F6"</f>
        <v>6F6</v>
      </c>
      <c r="L8700" t="s">
        <v>15</v>
      </c>
    </row>
    <row r="8701" spans="1:12" x14ac:dyDescent="0.25">
      <c r="A8701" t="str">
        <f>"6612131911"</f>
        <v>6612131911</v>
      </c>
      <c r="B8701" t="str">
        <f t="shared" si="393"/>
        <v>89301000</v>
      </c>
      <c r="C8701" s="1">
        <v>44284</v>
      </c>
      <c r="D8701" s="1">
        <v>44288</v>
      </c>
      <c r="E8701">
        <v>1</v>
      </c>
      <c r="F8701" t="s">
        <v>320</v>
      </c>
      <c r="G8701" t="str">
        <f>"03-I23-00"</f>
        <v>03-I23-00</v>
      </c>
      <c r="H8701">
        <v>0.47639999999999999</v>
      </c>
      <c r="I8701" t="s">
        <v>6118</v>
      </c>
      <c r="J8701" t="s">
        <v>14</v>
      </c>
      <c r="K8701" t="str">
        <f>"6F5"</f>
        <v>6F5</v>
      </c>
      <c r="L8701" t="s">
        <v>15</v>
      </c>
    </row>
    <row r="8702" spans="1:12" x14ac:dyDescent="0.25">
      <c r="A8702" t="str">
        <f>"6612170015"</f>
        <v>6612170015</v>
      </c>
      <c r="B8702" t="str">
        <f t="shared" si="393"/>
        <v>89301000</v>
      </c>
      <c r="C8702" s="1">
        <v>44258</v>
      </c>
      <c r="D8702" s="1">
        <v>44265</v>
      </c>
      <c r="E8702">
        <v>1</v>
      </c>
      <c r="F8702" t="s">
        <v>4557</v>
      </c>
      <c r="G8702" t="str">
        <f>"20-K03-03"</f>
        <v>20-K03-03</v>
      </c>
      <c r="H8702">
        <v>1.0109999999999999</v>
      </c>
      <c r="I8702" t="s">
        <v>6119</v>
      </c>
      <c r="J8702" t="s">
        <v>14</v>
      </c>
      <c r="K8702" t="str">
        <f>"3F5"</f>
        <v>3F5</v>
      </c>
      <c r="L8702" t="s">
        <v>15</v>
      </c>
    </row>
    <row r="8703" spans="1:12" x14ac:dyDescent="0.25">
      <c r="A8703" t="str">
        <f>"6651030166"</f>
        <v>6651030166</v>
      </c>
      <c r="B8703" t="str">
        <f t="shared" si="393"/>
        <v>89301000</v>
      </c>
      <c r="C8703" s="1">
        <v>44312</v>
      </c>
      <c r="D8703" s="1">
        <v>44315</v>
      </c>
      <c r="E8703">
        <v>1</v>
      </c>
      <c r="F8703" t="s">
        <v>749</v>
      </c>
      <c r="G8703" t="str">
        <f>"03-I14-02"</f>
        <v>03-I14-02</v>
      </c>
      <c r="H8703">
        <v>1.1086</v>
      </c>
      <c r="I8703" t="s">
        <v>6120</v>
      </c>
      <c r="J8703" t="s">
        <v>14</v>
      </c>
      <c r="K8703" t="str">
        <f>"7F1"</f>
        <v>7F1</v>
      </c>
      <c r="L8703" t="s">
        <v>15</v>
      </c>
    </row>
    <row r="8704" spans="1:12" x14ac:dyDescent="0.25">
      <c r="A8704" t="str">
        <f>"6651030166"</f>
        <v>6651030166</v>
      </c>
      <c r="B8704" t="str">
        <f t="shared" si="393"/>
        <v>89301000</v>
      </c>
      <c r="C8704" s="1">
        <v>44439</v>
      </c>
      <c r="D8704" s="1">
        <v>44442</v>
      </c>
      <c r="E8704">
        <v>1</v>
      </c>
      <c r="F8704" t="s">
        <v>689</v>
      </c>
      <c r="G8704" t="str">
        <f>"03-I14-02"</f>
        <v>03-I14-02</v>
      </c>
      <c r="H8704">
        <v>1.1086</v>
      </c>
      <c r="I8704" t="s">
        <v>500</v>
      </c>
      <c r="J8704" t="s">
        <v>14</v>
      </c>
      <c r="K8704" t="str">
        <f>"7F1"</f>
        <v>7F1</v>
      </c>
      <c r="L8704" t="s">
        <v>15</v>
      </c>
    </row>
    <row r="8705" spans="1:12" x14ac:dyDescent="0.25">
      <c r="A8705" t="str">
        <f>"6651182054"</f>
        <v>6651182054</v>
      </c>
      <c r="B8705" t="str">
        <f t="shared" si="393"/>
        <v>89301000</v>
      </c>
      <c r="C8705" s="1">
        <v>44473</v>
      </c>
      <c r="D8705" s="1">
        <v>44475</v>
      </c>
      <c r="E8705">
        <v>1</v>
      </c>
      <c r="F8705" t="s">
        <v>6121</v>
      </c>
      <c r="G8705" t="str">
        <f>"06-I21-03"</f>
        <v>06-I21-03</v>
      </c>
      <c r="H8705">
        <v>0.47820000000000001</v>
      </c>
      <c r="I8705" t="s">
        <v>6122</v>
      </c>
      <c r="J8705" t="s">
        <v>17</v>
      </c>
      <c r="K8705" t="str">
        <f>"5F1"</f>
        <v>5F1</v>
      </c>
      <c r="L8705" t="s">
        <v>15</v>
      </c>
    </row>
    <row r="8706" spans="1:12" x14ac:dyDescent="0.25">
      <c r="A8706" t="str">
        <f>"6651291680"</f>
        <v>6651291680</v>
      </c>
      <c r="B8706" t="str">
        <f t="shared" si="393"/>
        <v>89301000</v>
      </c>
      <c r="C8706" s="1">
        <v>44390</v>
      </c>
      <c r="D8706" s="1">
        <v>44393</v>
      </c>
      <c r="E8706">
        <v>1</v>
      </c>
      <c r="F8706" t="s">
        <v>318</v>
      </c>
      <c r="G8706" t="str">
        <f>"08-I23-02"</f>
        <v>08-I23-02</v>
      </c>
      <c r="H8706">
        <v>0.93840000000000001</v>
      </c>
      <c r="J8706" t="s">
        <v>17</v>
      </c>
      <c r="K8706" t="str">
        <f>"6F6"</f>
        <v>6F6</v>
      </c>
      <c r="L8706" t="s">
        <v>15</v>
      </c>
    </row>
    <row r="8707" spans="1:12" x14ac:dyDescent="0.25">
      <c r="A8707" t="str">
        <f>"6652050075"</f>
        <v>6652050075</v>
      </c>
      <c r="B8707" t="str">
        <f t="shared" si="393"/>
        <v>89301000</v>
      </c>
      <c r="C8707" s="1">
        <v>44191</v>
      </c>
      <c r="D8707" s="1">
        <v>44201</v>
      </c>
      <c r="E8707">
        <v>1</v>
      </c>
      <c r="F8707" t="s">
        <v>217</v>
      </c>
      <c r="G8707" t="str">
        <f>"04-K02-04"</f>
        <v>04-K02-04</v>
      </c>
      <c r="H8707">
        <v>0.82469999999999999</v>
      </c>
      <c r="I8707" t="s">
        <v>6123</v>
      </c>
      <c r="J8707" t="s">
        <v>14</v>
      </c>
      <c r="K8707" t="str">
        <f>"1F6"</f>
        <v>1F6</v>
      </c>
      <c r="L8707" t="s">
        <v>15</v>
      </c>
    </row>
    <row r="8708" spans="1:12" x14ac:dyDescent="0.25">
      <c r="A8708" t="str">
        <f>"6652101566"</f>
        <v>6652101566</v>
      </c>
      <c r="B8708" t="str">
        <f t="shared" si="393"/>
        <v>89301000</v>
      </c>
      <c r="C8708" s="1">
        <v>44524</v>
      </c>
      <c r="D8708" s="1">
        <v>44529</v>
      </c>
      <c r="E8708">
        <v>1</v>
      </c>
      <c r="F8708" t="s">
        <v>51</v>
      </c>
      <c r="G8708" t="str">
        <f>"13-I17-00"</f>
        <v>13-I17-00</v>
      </c>
      <c r="H8708">
        <v>0.74590000000000001</v>
      </c>
      <c r="J8708" t="s">
        <v>24</v>
      </c>
      <c r="K8708" t="str">
        <f>"6F3"</f>
        <v>6F3</v>
      </c>
      <c r="L8708" t="s">
        <v>15</v>
      </c>
    </row>
    <row r="8709" spans="1:12" x14ac:dyDescent="0.25">
      <c r="A8709" t="str">
        <f>"6652141133"</f>
        <v>6652141133</v>
      </c>
      <c r="B8709" t="str">
        <f t="shared" si="393"/>
        <v>89301000</v>
      </c>
      <c r="C8709" s="1">
        <v>44481</v>
      </c>
      <c r="D8709" s="1">
        <v>44483</v>
      </c>
      <c r="E8709">
        <v>1</v>
      </c>
      <c r="F8709" t="s">
        <v>2623</v>
      </c>
      <c r="G8709" t="str">
        <f>"17-K03-02"</f>
        <v>17-K03-02</v>
      </c>
      <c r="H8709">
        <v>0.89429999999999998</v>
      </c>
      <c r="I8709" t="s">
        <v>168</v>
      </c>
      <c r="J8709" t="s">
        <v>14</v>
      </c>
      <c r="K8709" t="str">
        <f>"2F2"</f>
        <v>2F2</v>
      </c>
      <c r="L8709" t="s">
        <v>15</v>
      </c>
    </row>
    <row r="8710" spans="1:12" x14ac:dyDescent="0.25">
      <c r="A8710" t="str">
        <f>"6652171240"</f>
        <v>6652171240</v>
      </c>
      <c r="B8710" t="str">
        <f t="shared" si="393"/>
        <v>89301000</v>
      </c>
      <c r="C8710" s="1">
        <v>44286</v>
      </c>
      <c r="D8710" s="1">
        <v>44288</v>
      </c>
      <c r="E8710">
        <v>1</v>
      </c>
      <c r="F8710" t="s">
        <v>173</v>
      </c>
      <c r="G8710" t="str">
        <f>"08-I32-02"</f>
        <v>08-I32-02</v>
      </c>
      <c r="H8710">
        <v>0.4143</v>
      </c>
      <c r="I8710" t="s">
        <v>168</v>
      </c>
      <c r="J8710" t="s">
        <v>14</v>
      </c>
      <c r="K8710" t="str">
        <f>"5F3"</f>
        <v>5F3</v>
      </c>
      <c r="L8710" t="s">
        <v>15</v>
      </c>
    </row>
    <row r="8711" spans="1:12" x14ac:dyDescent="0.25">
      <c r="A8711" t="str">
        <f t="shared" ref="A8711:A8718" si="395">"6653011640"</f>
        <v>6653011640</v>
      </c>
      <c r="B8711" t="str">
        <f t="shared" si="393"/>
        <v>89301000</v>
      </c>
      <c r="C8711" s="1">
        <v>44518</v>
      </c>
      <c r="D8711" s="1">
        <v>44520</v>
      </c>
      <c r="E8711">
        <v>1</v>
      </c>
      <c r="F8711" t="s">
        <v>5313</v>
      </c>
      <c r="G8711" t="str">
        <f>"09-C03-02"</f>
        <v>09-C03-02</v>
      </c>
      <c r="H8711">
        <v>0.378</v>
      </c>
      <c r="I8711" t="s">
        <v>6124</v>
      </c>
      <c r="J8711" t="s">
        <v>14</v>
      </c>
      <c r="K8711" t="str">
        <f>"4F2"</f>
        <v>4F2</v>
      </c>
      <c r="L8711" t="s">
        <v>15</v>
      </c>
    </row>
    <row r="8712" spans="1:12" x14ac:dyDescent="0.25">
      <c r="A8712" t="str">
        <f t="shared" si="395"/>
        <v>6653011640</v>
      </c>
      <c r="B8712" t="str">
        <f t="shared" si="393"/>
        <v>89301000</v>
      </c>
      <c r="C8712" s="1">
        <v>44503</v>
      </c>
      <c r="D8712" s="1">
        <v>44505</v>
      </c>
      <c r="E8712">
        <v>1</v>
      </c>
      <c r="F8712" t="s">
        <v>5313</v>
      </c>
      <c r="G8712" t="str">
        <f>"09-C03-02"</f>
        <v>09-C03-02</v>
      </c>
      <c r="H8712">
        <v>0.378</v>
      </c>
      <c r="I8712" t="s">
        <v>6125</v>
      </c>
      <c r="J8712" t="s">
        <v>14</v>
      </c>
      <c r="K8712" t="str">
        <f>"4F2"</f>
        <v>4F2</v>
      </c>
      <c r="L8712" t="s">
        <v>15</v>
      </c>
    </row>
    <row r="8713" spans="1:12" x14ac:dyDescent="0.25">
      <c r="A8713" t="str">
        <f t="shared" si="395"/>
        <v>6653011640</v>
      </c>
      <c r="B8713" t="str">
        <f t="shared" si="393"/>
        <v>89301000</v>
      </c>
      <c r="C8713" s="1">
        <v>44489</v>
      </c>
      <c r="D8713" s="1">
        <v>44492</v>
      </c>
      <c r="E8713">
        <v>1</v>
      </c>
      <c r="F8713" t="s">
        <v>5313</v>
      </c>
      <c r="G8713" t="str">
        <f>"09-C03-02"</f>
        <v>09-C03-02</v>
      </c>
      <c r="H8713">
        <v>0.378</v>
      </c>
      <c r="I8713" t="s">
        <v>6125</v>
      </c>
      <c r="J8713" t="s">
        <v>14</v>
      </c>
      <c r="K8713" t="str">
        <f>"4F2"</f>
        <v>4F2</v>
      </c>
      <c r="L8713" t="s">
        <v>15</v>
      </c>
    </row>
    <row r="8714" spans="1:12" x14ac:dyDescent="0.25">
      <c r="A8714" t="str">
        <f t="shared" si="395"/>
        <v>6653011640</v>
      </c>
      <c r="B8714" t="str">
        <f t="shared" si="393"/>
        <v>89301000</v>
      </c>
      <c r="C8714" s="1">
        <v>44475</v>
      </c>
      <c r="D8714" s="1">
        <v>44478</v>
      </c>
      <c r="E8714">
        <v>1</v>
      </c>
      <c r="F8714" t="s">
        <v>3625</v>
      </c>
      <c r="G8714" t="str">
        <f>"06-C02-03"</f>
        <v>06-C02-03</v>
      </c>
      <c r="H8714">
        <v>0.25769999999999998</v>
      </c>
      <c r="I8714" t="s">
        <v>541</v>
      </c>
      <c r="J8714" t="s">
        <v>14</v>
      </c>
      <c r="K8714" t="str">
        <f>"4F2"</f>
        <v>4F2</v>
      </c>
      <c r="L8714" t="s">
        <v>15</v>
      </c>
    </row>
    <row r="8715" spans="1:12" x14ac:dyDescent="0.25">
      <c r="A8715" t="str">
        <f t="shared" si="395"/>
        <v>6653011640</v>
      </c>
      <c r="B8715" t="str">
        <f t="shared" si="393"/>
        <v>89301000</v>
      </c>
      <c r="C8715" s="1">
        <v>44295</v>
      </c>
      <c r="D8715" s="1">
        <v>44299</v>
      </c>
      <c r="E8715">
        <v>1</v>
      </c>
      <c r="F8715" t="s">
        <v>1340</v>
      </c>
      <c r="G8715" t="str">
        <f>"16-K02-01"</f>
        <v>16-K02-01</v>
      </c>
      <c r="H8715">
        <v>1.2647999999999999</v>
      </c>
      <c r="I8715" t="s">
        <v>6126</v>
      </c>
      <c r="J8715" t="s">
        <v>14</v>
      </c>
      <c r="K8715" t="str">
        <f>"1F6"</f>
        <v>1F6</v>
      </c>
      <c r="L8715" t="s">
        <v>15</v>
      </c>
    </row>
    <row r="8716" spans="1:12" x14ac:dyDescent="0.25">
      <c r="A8716" t="str">
        <f t="shared" si="395"/>
        <v>6653011640</v>
      </c>
      <c r="B8716" t="str">
        <f t="shared" si="393"/>
        <v>89301000</v>
      </c>
      <c r="C8716" s="1">
        <v>44532</v>
      </c>
      <c r="D8716" s="1">
        <v>44534</v>
      </c>
      <c r="E8716">
        <v>1</v>
      </c>
      <c r="F8716" t="s">
        <v>2030</v>
      </c>
      <c r="G8716" t="str">
        <f>"06-C02-03"</f>
        <v>06-C02-03</v>
      </c>
      <c r="H8716">
        <v>0.25769999999999998</v>
      </c>
      <c r="I8716" t="s">
        <v>541</v>
      </c>
      <c r="J8716" t="s">
        <v>14</v>
      </c>
      <c r="K8716" t="str">
        <f>"4F2"</f>
        <v>4F2</v>
      </c>
      <c r="L8716" t="s">
        <v>15</v>
      </c>
    </row>
    <row r="8717" spans="1:12" x14ac:dyDescent="0.25">
      <c r="A8717" t="str">
        <f t="shared" si="395"/>
        <v>6653011640</v>
      </c>
      <c r="B8717" t="str">
        <f t="shared" si="393"/>
        <v>89301000</v>
      </c>
      <c r="C8717" s="1">
        <v>44427</v>
      </c>
      <c r="D8717" s="1">
        <v>44429</v>
      </c>
      <c r="E8717">
        <v>1</v>
      </c>
      <c r="F8717" t="s">
        <v>1551</v>
      </c>
      <c r="G8717" t="str">
        <f>"09-I06-04"</f>
        <v>09-I06-04</v>
      </c>
      <c r="H8717">
        <v>0.98829999999999996</v>
      </c>
      <c r="J8717" t="s">
        <v>17</v>
      </c>
      <c r="K8717" t="str">
        <f>"5F1"</f>
        <v>5F1</v>
      </c>
      <c r="L8717" t="s">
        <v>15</v>
      </c>
    </row>
    <row r="8718" spans="1:12" x14ac:dyDescent="0.25">
      <c r="A8718" t="str">
        <f t="shared" si="395"/>
        <v>6653011640</v>
      </c>
      <c r="B8718" t="str">
        <f t="shared" si="393"/>
        <v>89301000</v>
      </c>
      <c r="C8718" s="1">
        <v>44363</v>
      </c>
      <c r="D8718" s="1">
        <v>44371</v>
      </c>
      <c r="E8718">
        <v>1</v>
      </c>
      <c r="F8718" t="s">
        <v>3625</v>
      </c>
      <c r="G8718" t="str">
        <f>"06-I05-04"</f>
        <v>06-I05-04</v>
      </c>
      <c r="H8718">
        <v>3.3546</v>
      </c>
      <c r="J8718" t="s">
        <v>17</v>
      </c>
      <c r="K8718" t="str">
        <f>"5F1"</f>
        <v>5F1</v>
      </c>
      <c r="L8718" t="s">
        <v>15</v>
      </c>
    </row>
    <row r="8719" spans="1:12" x14ac:dyDescent="0.25">
      <c r="A8719" t="str">
        <f>"6653012410"</f>
        <v>6653012410</v>
      </c>
      <c r="B8719" t="str">
        <f t="shared" si="393"/>
        <v>89301000</v>
      </c>
      <c r="C8719" s="1">
        <v>44359</v>
      </c>
      <c r="D8719" s="1">
        <v>44362</v>
      </c>
      <c r="E8719">
        <v>1</v>
      </c>
      <c r="F8719" t="s">
        <v>43</v>
      </c>
      <c r="G8719" t="str">
        <f>"06-I18-05"</f>
        <v>06-I18-05</v>
      </c>
      <c r="H8719">
        <v>0.85550000000000004</v>
      </c>
      <c r="J8719" t="s">
        <v>24</v>
      </c>
      <c r="K8719" t="str">
        <f>"5F1"</f>
        <v>5F1</v>
      </c>
      <c r="L8719" t="s">
        <v>15</v>
      </c>
    </row>
    <row r="8720" spans="1:12" x14ac:dyDescent="0.25">
      <c r="A8720" t="str">
        <f>"6653130176"</f>
        <v>6653130176</v>
      </c>
      <c r="B8720" t="str">
        <f t="shared" si="393"/>
        <v>89301000</v>
      </c>
      <c r="C8720" s="1">
        <v>44510</v>
      </c>
      <c r="D8720" s="1">
        <v>44511</v>
      </c>
      <c r="E8720">
        <v>1</v>
      </c>
      <c r="F8720" t="s">
        <v>240</v>
      </c>
      <c r="G8720" t="str">
        <f>"03-K13-02"</f>
        <v>03-K13-02</v>
      </c>
      <c r="H8720">
        <v>0.2555</v>
      </c>
      <c r="I8720" t="s">
        <v>6127</v>
      </c>
      <c r="J8720" t="s">
        <v>14</v>
      </c>
      <c r="K8720" t="str">
        <f>"2F5"</f>
        <v>2F5</v>
      </c>
      <c r="L8720" t="s">
        <v>15</v>
      </c>
    </row>
    <row r="8721" spans="1:12" x14ac:dyDescent="0.25">
      <c r="A8721" t="str">
        <f>"6653191941"</f>
        <v>6653191941</v>
      </c>
      <c r="B8721" t="str">
        <f t="shared" si="393"/>
        <v>89301000</v>
      </c>
      <c r="C8721" s="1">
        <v>44502</v>
      </c>
      <c r="D8721" s="1">
        <v>44505</v>
      </c>
      <c r="E8721">
        <v>1</v>
      </c>
      <c r="F8721" t="s">
        <v>2576</v>
      </c>
      <c r="G8721" t="str">
        <f>"11-I14-02"</f>
        <v>11-I14-02</v>
      </c>
      <c r="H8721">
        <v>0.63060000000000005</v>
      </c>
      <c r="J8721" t="s">
        <v>24</v>
      </c>
      <c r="K8721" t="str">
        <f>"6F3"</f>
        <v>6F3</v>
      </c>
      <c r="L8721" t="s">
        <v>15</v>
      </c>
    </row>
    <row r="8722" spans="1:12" x14ac:dyDescent="0.25">
      <c r="A8722" t="str">
        <f>"6653191941"</f>
        <v>6653191941</v>
      </c>
      <c r="B8722" t="str">
        <f t="shared" si="393"/>
        <v>89301000</v>
      </c>
      <c r="C8722" s="1">
        <v>44540</v>
      </c>
      <c r="D8722" s="1">
        <v>44541</v>
      </c>
      <c r="E8722">
        <v>1</v>
      </c>
      <c r="F8722" t="s">
        <v>6128</v>
      </c>
      <c r="G8722" t="str">
        <f>"11-K05-00"</f>
        <v>11-K05-00</v>
      </c>
      <c r="H8722">
        <v>0.36730000000000002</v>
      </c>
      <c r="J8722" t="s">
        <v>14</v>
      </c>
      <c r="K8722" t="str">
        <f>"6F3"</f>
        <v>6F3</v>
      </c>
      <c r="L8722" t="s">
        <v>15</v>
      </c>
    </row>
    <row r="8723" spans="1:12" x14ac:dyDescent="0.25">
      <c r="A8723" t="str">
        <f>"6653191941"</f>
        <v>6653191941</v>
      </c>
      <c r="B8723" t="str">
        <f t="shared" si="393"/>
        <v>89301000</v>
      </c>
      <c r="C8723" s="1">
        <v>44356</v>
      </c>
      <c r="D8723" s="1">
        <v>44357</v>
      </c>
      <c r="E8723">
        <v>1</v>
      </c>
      <c r="F8723" t="s">
        <v>6129</v>
      </c>
      <c r="G8723" t="str">
        <f>"02-I13-02"</f>
        <v>02-I13-02</v>
      </c>
      <c r="H8723">
        <v>0.376</v>
      </c>
      <c r="J8723" t="s">
        <v>14</v>
      </c>
      <c r="K8723" t="str">
        <f>"7F5"</f>
        <v>7F5</v>
      </c>
      <c r="L8723" t="s">
        <v>15</v>
      </c>
    </row>
    <row r="8724" spans="1:12" x14ac:dyDescent="0.25">
      <c r="A8724" t="str">
        <f>"6653226921"</f>
        <v>6653226921</v>
      </c>
      <c r="B8724" t="str">
        <f t="shared" si="393"/>
        <v>89301000</v>
      </c>
      <c r="C8724" s="1">
        <v>44218</v>
      </c>
      <c r="D8724" s="1">
        <v>44219</v>
      </c>
      <c r="E8724">
        <v>1</v>
      </c>
      <c r="F8724" t="s">
        <v>6130</v>
      </c>
      <c r="G8724" t="str">
        <f>"13-I19-00"</f>
        <v>13-I19-00</v>
      </c>
      <c r="H8724">
        <v>0.24679999999999999</v>
      </c>
      <c r="I8724" t="s">
        <v>489</v>
      </c>
      <c r="J8724" t="s">
        <v>14</v>
      </c>
      <c r="K8724" t="str">
        <f>"6F3"</f>
        <v>6F3</v>
      </c>
      <c r="L8724" t="s">
        <v>15</v>
      </c>
    </row>
    <row r="8725" spans="1:12" x14ac:dyDescent="0.25">
      <c r="A8725" t="str">
        <f>"6653241496"</f>
        <v>6653241496</v>
      </c>
      <c r="B8725" t="str">
        <f t="shared" si="393"/>
        <v>89301000</v>
      </c>
      <c r="C8725" s="1">
        <v>44348</v>
      </c>
      <c r="D8725" s="1">
        <v>44356</v>
      </c>
      <c r="E8725">
        <v>1</v>
      </c>
      <c r="F8725" t="s">
        <v>2431</v>
      </c>
      <c r="G8725" t="str">
        <f>"06-I21-03"</f>
        <v>06-I21-03</v>
      </c>
      <c r="H8725">
        <v>0.62029999999999996</v>
      </c>
      <c r="I8725" t="s">
        <v>2374</v>
      </c>
      <c r="J8725" t="s">
        <v>17</v>
      </c>
      <c r="K8725" t="str">
        <f>"5F1"</f>
        <v>5F1</v>
      </c>
      <c r="L8725" t="s">
        <v>15</v>
      </c>
    </row>
    <row r="8726" spans="1:12" x14ac:dyDescent="0.25">
      <c r="A8726" t="str">
        <f>"6654060259"</f>
        <v>6654060259</v>
      </c>
      <c r="B8726" t="str">
        <f t="shared" si="393"/>
        <v>89301000</v>
      </c>
      <c r="C8726" s="1">
        <v>44444</v>
      </c>
      <c r="D8726" s="1">
        <v>44446</v>
      </c>
      <c r="E8726">
        <v>1</v>
      </c>
      <c r="F8726" t="s">
        <v>793</v>
      </c>
      <c r="G8726" t="str">
        <f>"06-I17-04"</f>
        <v>06-I17-04</v>
      </c>
      <c r="H8726">
        <v>0.49940000000000001</v>
      </c>
      <c r="I8726" t="s">
        <v>2769</v>
      </c>
      <c r="J8726" t="s">
        <v>17</v>
      </c>
      <c r="K8726" t="str">
        <f>"5F1"</f>
        <v>5F1</v>
      </c>
      <c r="L8726" t="s">
        <v>15</v>
      </c>
    </row>
    <row r="8727" spans="1:12" x14ac:dyDescent="0.25">
      <c r="A8727" t="str">
        <f>"6654060259"</f>
        <v>6654060259</v>
      </c>
      <c r="B8727" t="str">
        <f t="shared" si="393"/>
        <v>89301000</v>
      </c>
      <c r="C8727" s="1">
        <v>44508</v>
      </c>
      <c r="D8727" s="1">
        <v>44511</v>
      </c>
      <c r="E8727">
        <v>1</v>
      </c>
      <c r="F8727" t="s">
        <v>4196</v>
      </c>
      <c r="G8727" t="str">
        <f>"08-M03-05"</f>
        <v>08-M03-05</v>
      </c>
      <c r="H8727">
        <v>0.51759999999999995</v>
      </c>
      <c r="I8727" t="s">
        <v>6099</v>
      </c>
      <c r="J8727" t="s">
        <v>14</v>
      </c>
      <c r="K8727" t="str">
        <f>"6F6"</f>
        <v>6F6</v>
      </c>
      <c r="L8727" t="s">
        <v>15</v>
      </c>
    </row>
    <row r="8728" spans="1:12" x14ac:dyDescent="0.25">
      <c r="A8728" t="str">
        <f>"6654161569"</f>
        <v>6654161569</v>
      </c>
      <c r="B8728" t="str">
        <f t="shared" si="393"/>
        <v>89301000</v>
      </c>
      <c r="C8728" s="1">
        <v>44266</v>
      </c>
      <c r="D8728" s="1">
        <v>44273</v>
      </c>
      <c r="E8728">
        <v>1</v>
      </c>
      <c r="F8728" t="s">
        <v>1982</v>
      </c>
      <c r="G8728" t="str">
        <f>"07-M02-02"</f>
        <v>07-M02-02</v>
      </c>
      <c r="H8728">
        <v>2.1716000000000002</v>
      </c>
      <c r="I8728" t="s">
        <v>6131</v>
      </c>
      <c r="J8728" t="s">
        <v>17</v>
      </c>
      <c r="K8728" t="str">
        <f>"1F1"</f>
        <v>1F1</v>
      </c>
      <c r="L8728" t="s">
        <v>15</v>
      </c>
    </row>
    <row r="8729" spans="1:12" x14ac:dyDescent="0.25">
      <c r="A8729" t="str">
        <f>"6654161569"</f>
        <v>6654161569</v>
      </c>
      <c r="B8729" t="str">
        <f t="shared" si="393"/>
        <v>89301000</v>
      </c>
      <c r="C8729" s="1">
        <v>44229</v>
      </c>
      <c r="D8729" s="1">
        <v>44230</v>
      </c>
      <c r="E8729">
        <v>1</v>
      </c>
      <c r="F8729" t="s">
        <v>1953</v>
      </c>
      <c r="G8729" t="str">
        <f>"07-M02-03"</f>
        <v>07-M02-03</v>
      </c>
      <c r="H8729">
        <v>0.92300000000000004</v>
      </c>
      <c r="I8729" t="s">
        <v>6132</v>
      </c>
      <c r="J8729" t="s">
        <v>17</v>
      </c>
      <c r="K8729" t="str">
        <f>"4F2"</f>
        <v>4F2</v>
      </c>
      <c r="L8729" t="s">
        <v>15</v>
      </c>
    </row>
    <row r="8730" spans="1:12" x14ac:dyDescent="0.25">
      <c r="A8730" t="str">
        <f>"6654201752"</f>
        <v>6654201752</v>
      </c>
      <c r="B8730" t="str">
        <f t="shared" si="393"/>
        <v>89301000</v>
      </c>
      <c r="C8730" s="1">
        <v>44476</v>
      </c>
      <c r="D8730" s="1">
        <v>44480</v>
      </c>
      <c r="E8730">
        <v>1</v>
      </c>
      <c r="F8730" t="s">
        <v>1551</v>
      </c>
      <c r="G8730" t="str">
        <f>"09-I06-04"</f>
        <v>09-I06-04</v>
      </c>
      <c r="H8730">
        <v>0.98829999999999996</v>
      </c>
      <c r="J8730" t="s">
        <v>17</v>
      </c>
      <c r="K8730" t="str">
        <f>"5F1"</f>
        <v>5F1</v>
      </c>
      <c r="L8730" t="s">
        <v>15</v>
      </c>
    </row>
    <row r="8731" spans="1:12" x14ac:dyDescent="0.25">
      <c r="A8731" t="str">
        <f>"6654220397"</f>
        <v>6654220397</v>
      </c>
      <c r="B8731" t="str">
        <f t="shared" si="393"/>
        <v>89301000</v>
      </c>
      <c r="C8731" s="1">
        <v>44384</v>
      </c>
      <c r="D8731" s="1">
        <v>44386</v>
      </c>
      <c r="E8731">
        <v>1</v>
      </c>
      <c r="F8731" t="s">
        <v>1235</v>
      </c>
      <c r="G8731" t="str">
        <f>"01-I14-02"</f>
        <v>01-I14-02</v>
      </c>
      <c r="H8731">
        <v>1.1561999999999999</v>
      </c>
      <c r="J8731" t="s">
        <v>14</v>
      </c>
      <c r="K8731" t="str">
        <f>"5F6"</f>
        <v>5F6</v>
      </c>
      <c r="L8731" t="s">
        <v>15</v>
      </c>
    </row>
    <row r="8732" spans="1:12" x14ac:dyDescent="0.25">
      <c r="A8732" t="str">
        <f>"6654240318"</f>
        <v>6654240318</v>
      </c>
      <c r="B8732" t="str">
        <f t="shared" si="393"/>
        <v>89301000</v>
      </c>
      <c r="C8732" s="1">
        <v>44265</v>
      </c>
      <c r="D8732" s="1">
        <v>44270</v>
      </c>
      <c r="E8732">
        <v>4</v>
      </c>
      <c r="F8732" t="s">
        <v>217</v>
      </c>
      <c r="G8732" t="str">
        <f>"04-K02-04"</f>
        <v>04-K02-04</v>
      </c>
      <c r="H8732">
        <v>0.82469999999999999</v>
      </c>
      <c r="I8732" t="s">
        <v>6133</v>
      </c>
      <c r="J8732" t="s">
        <v>14</v>
      </c>
      <c r="K8732" t="str">
        <f>"1F6"</f>
        <v>1F6</v>
      </c>
      <c r="L8732" t="s">
        <v>15</v>
      </c>
    </row>
    <row r="8733" spans="1:12" x14ac:dyDescent="0.25">
      <c r="A8733" t="str">
        <f>"6654252209"</f>
        <v>6654252209</v>
      </c>
      <c r="B8733" t="str">
        <f t="shared" si="393"/>
        <v>89301000</v>
      </c>
      <c r="C8733" s="1">
        <v>44271</v>
      </c>
      <c r="D8733" s="1">
        <v>44273</v>
      </c>
      <c r="E8733">
        <v>1</v>
      </c>
      <c r="F8733" t="s">
        <v>4237</v>
      </c>
      <c r="G8733" t="str">
        <f>"03-I23-00"</f>
        <v>03-I23-00</v>
      </c>
      <c r="H8733">
        <v>0.47639999999999999</v>
      </c>
      <c r="I8733" t="s">
        <v>5807</v>
      </c>
      <c r="J8733" t="s">
        <v>14</v>
      </c>
      <c r="K8733" t="str">
        <f>"6F5"</f>
        <v>6F5</v>
      </c>
      <c r="L8733" t="s">
        <v>15</v>
      </c>
    </row>
    <row r="8734" spans="1:12" x14ac:dyDescent="0.25">
      <c r="A8734" t="str">
        <f>"6654260217"</f>
        <v>6654260217</v>
      </c>
      <c r="B8734" t="str">
        <f t="shared" si="393"/>
        <v>89301000</v>
      </c>
      <c r="C8734" s="1">
        <v>44465</v>
      </c>
      <c r="D8734" s="1">
        <v>44468</v>
      </c>
      <c r="E8734">
        <v>1</v>
      </c>
      <c r="F8734" t="s">
        <v>5386</v>
      </c>
      <c r="G8734" t="str">
        <f>"08-I17-02"</f>
        <v>08-I17-02</v>
      </c>
      <c r="H8734">
        <v>1.1416999999999999</v>
      </c>
      <c r="I8734" t="s">
        <v>818</v>
      </c>
      <c r="J8734" t="s">
        <v>14</v>
      </c>
      <c r="K8734" t="str">
        <f>"5F3"</f>
        <v>5F3</v>
      </c>
      <c r="L8734" t="s">
        <v>15</v>
      </c>
    </row>
    <row r="8735" spans="1:12" x14ac:dyDescent="0.25">
      <c r="A8735" t="str">
        <f>"6655020306"</f>
        <v>6655020306</v>
      </c>
      <c r="B8735" t="str">
        <f t="shared" si="393"/>
        <v>89301000</v>
      </c>
      <c r="C8735" s="1">
        <v>44321</v>
      </c>
      <c r="D8735" s="1">
        <v>44326</v>
      </c>
      <c r="E8735">
        <v>1</v>
      </c>
      <c r="F8735" t="s">
        <v>2008</v>
      </c>
      <c r="G8735" t="str">
        <f>"13-I11-03"</f>
        <v>13-I11-03</v>
      </c>
      <c r="H8735">
        <v>1.3809</v>
      </c>
      <c r="J8735" t="s">
        <v>24</v>
      </c>
      <c r="K8735" t="str">
        <f>"6F3"</f>
        <v>6F3</v>
      </c>
      <c r="L8735" t="s">
        <v>15</v>
      </c>
    </row>
    <row r="8736" spans="1:12" x14ac:dyDescent="0.25">
      <c r="A8736" t="str">
        <f>"6655080784"</f>
        <v>6655080784</v>
      </c>
      <c r="B8736" t="str">
        <f t="shared" si="393"/>
        <v>89301000</v>
      </c>
      <c r="C8736" s="1">
        <v>44475</v>
      </c>
      <c r="D8736" s="1">
        <v>44480</v>
      </c>
      <c r="E8736">
        <v>1</v>
      </c>
      <c r="F8736" t="s">
        <v>3454</v>
      </c>
      <c r="G8736" t="str">
        <f>"08-K02-03"</f>
        <v>08-K02-03</v>
      </c>
      <c r="H8736">
        <v>0.73560000000000003</v>
      </c>
      <c r="I8736" t="s">
        <v>6134</v>
      </c>
      <c r="J8736" t="s">
        <v>14</v>
      </c>
      <c r="K8736" t="str">
        <f>"1F9"</f>
        <v>1F9</v>
      </c>
      <c r="L8736" t="s">
        <v>15</v>
      </c>
    </row>
    <row r="8737" spans="1:12" x14ac:dyDescent="0.25">
      <c r="A8737" t="str">
        <f>"6655081037"</f>
        <v>6655081037</v>
      </c>
      <c r="B8737" t="str">
        <f t="shared" si="393"/>
        <v>89301000</v>
      </c>
      <c r="C8737" s="1">
        <v>44451</v>
      </c>
      <c r="D8737" s="1">
        <v>44455</v>
      </c>
      <c r="E8737">
        <v>1</v>
      </c>
      <c r="F8737" t="s">
        <v>81</v>
      </c>
      <c r="G8737" t="str">
        <f>"10-I13-02"</f>
        <v>10-I13-02</v>
      </c>
      <c r="H8737">
        <v>1.1468</v>
      </c>
      <c r="J8737" t="s">
        <v>24</v>
      </c>
      <c r="K8737" t="str">
        <f>"5F1"</f>
        <v>5F1</v>
      </c>
      <c r="L8737" t="s">
        <v>15</v>
      </c>
    </row>
    <row r="8738" spans="1:12" x14ac:dyDescent="0.25">
      <c r="A8738" t="str">
        <f>"6655100100"</f>
        <v>6655100100</v>
      </c>
      <c r="B8738" t="str">
        <f t="shared" si="393"/>
        <v>89301000</v>
      </c>
      <c r="C8738" s="1">
        <v>44474</v>
      </c>
      <c r="D8738" s="1">
        <v>44482</v>
      </c>
      <c r="E8738">
        <v>1</v>
      </c>
      <c r="F8738" t="s">
        <v>144</v>
      </c>
      <c r="G8738" t="str">
        <f>"04-I02-02"</f>
        <v>04-I02-02</v>
      </c>
      <c r="H8738">
        <v>4.8300999999999998</v>
      </c>
      <c r="I8738" t="s">
        <v>6135</v>
      </c>
      <c r="J8738" t="s">
        <v>106</v>
      </c>
      <c r="K8738" t="str">
        <f>"5F1"</f>
        <v>5F1</v>
      </c>
      <c r="L8738" t="s">
        <v>15</v>
      </c>
    </row>
    <row r="8739" spans="1:12" x14ac:dyDescent="0.25">
      <c r="A8739" t="str">
        <f>"6655111738"</f>
        <v>6655111738</v>
      </c>
      <c r="B8739" t="str">
        <f t="shared" si="393"/>
        <v>89301000</v>
      </c>
      <c r="C8739" s="1">
        <v>44462</v>
      </c>
      <c r="D8739" s="1">
        <v>44463</v>
      </c>
      <c r="E8739">
        <v>1</v>
      </c>
      <c r="F8739" t="s">
        <v>6136</v>
      </c>
      <c r="G8739" t="str">
        <f>"03-K10-01"</f>
        <v>03-K10-01</v>
      </c>
      <c r="H8739">
        <v>0.52380000000000004</v>
      </c>
      <c r="I8739" t="s">
        <v>875</v>
      </c>
      <c r="J8739" t="s">
        <v>14</v>
      </c>
      <c r="K8739" t="str">
        <f>"6F5"</f>
        <v>6F5</v>
      </c>
      <c r="L8739" t="s">
        <v>15</v>
      </c>
    </row>
    <row r="8740" spans="1:12" x14ac:dyDescent="0.25">
      <c r="A8740" t="str">
        <f>"6655150095"</f>
        <v>6655150095</v>
      </c>
      <c r="B8740" t="str">
        <f t="shared" si="393"/>
        <v>89301000</v>
      </c>
      <c r="C8740" s="1">
        <v>44201</v>
      </c>
      <c r="D8740" s="1">
        <v>44208</v>
      </c>
      <c r="E8740">
        <v>1</v>
      </c>
      <c r="F8740" t="s">
        <v>2665</v>
      </c>
      <c r="G8740" t="str">
        <f>"05-K13-02"</f>
        <v>05-K13-02</v>
      </c>
      <c r="H8740">
        <v>0.60950000000000004</v>
      </c>
      <c r="I8740" t="s">
        <v>489</v>
      </c>
      <c r="J8740" t="s">
        <v>14</v>
      </c>
      <c r="K8740" t="str">
        <f>"1F1"</f>
        <v>1F1</v>
      </c>
      <c r="L8740" t="s">
        <v>15</v>
      </c>
    </row>
    <row r="8741" spans="1:12" x14ac:dyDescent="0.25">
      <c r="A8741" t="str">
        <f>"6655170577"</f>
        <v>6655170577</v>
      </c>
      <c r="B8741" t="str">
        <f t="shared" si="393"/>
        <v>89301000</v>
      </c>
      <c r="C8741" s="1">
        <v>44356</v>
      </c>
      <c r="D8741" s="1">
        <v>44364</v>
      </c>
      <c r="E8741">
        <v>1</v>
      </c>
      <c r="F8741" t="s">
        <v>6137</v>
      </c>
      <c r="G8741" t="str">
        <f>"06-I13-02"</f>
        <v>06-I13-02</v>
      </c>
      <c r="H8741">
        <v>2.3839000000000001</v>
      </c>
      <c r="I8741" t="s">
        <v>241</v>
      </c>
      <c r="J8741" t="s">
        <v>14</v>
      </c>
      <c r="K8741" t="str">
        <f>"5F1"</f>
        <v>5F1</v>
      </c>
      <c r="L8741" t="s">
        <v>15</v>
      </c>
    </row>
    <row r="8742" spans="1:12" x14ac:dyDescent="0.25">
      <c r="A8742" t="str">
        <f>"6655310354"</f>
        <v>6655310354</v>
      </c>
      <c r="B8742" t="str">
        <f t="shared" si="393"/>
        <v>89301000</v>
      </c>
      <c r="C8742" s="1">
        <v>44538</v>
      </c>
      <c r="D8742" s="1">
        <v>44544</v>
      </c>
      <c r="E8742">
        <v>4</v>
      </c>
      <c r="F8742" t="s">
        <v>479</v>
      </c>
      <c r="G8742" t="str">
        <f>"18-K01-06"</f>
        <v>18-K01-06</v>
      </c>
      <c r="H8742">
        <v>1.4033</v>
      </c>
      <c r="I8742" t="s">
        <v>6138</v>
      </c>
      <c r="J8742" t="s">
        <v>14</v>
      </c>
      <c r="K8742" t="str">
        <f>"1F1"</f>
        <v>1F1</v>
      </c>
      <c r="L8742" t="s">
        <v>15</v>
      </c>
    </row>
    <row r="8743" spans="1:12" x14ac:dyDescent="0.25">
      <c r="A8743" t="str">
        <f>"6656040314"</f>
        <v>6656040314</v>
      </c>
      <c r="B8743" t="str">
        <f t="shared" si="393"/>
        <v>89301000</v>
      </c>
      <c r="C8743" s="1">
        <v>44350</v>
      </c>
      <c r="D8743" s="1">
        <v>44354</v>
      </c>
      <c r="E8743">
        <v>1</v>
      </c>
      <c r="F8743" t="s">
        <v>3214</v>
      </c>
      <c r="G8743" t="str">
        <f>"01-K16-05"</f>
        <v>01-K16-05</v>
      </c>
      <c r="H8743">
        <v>0.57979999999999998</v>
      </c>
      <c r="I8743" t="s">
        <v>6139</v>
      </c>
      <c r="J8743" t="s">
        <v>14</v>
      </c>
      <c r="K8743" t="str">
        <f>"5F3"</f>
        <v>5F3</v>
      </c>
      <c r="L8743" t="s">
        <v>15</v>
      </c>
    </row>
    <row r="8744" spans="1:12" x14ac:dyDescent="0.25">
      <c r="A8744" t="str">
        <f>"6656050093"</f>
        <v>6656050093</v>
      </c>
      <c r="B8744" t="str">
        <f t="shared" si="393"/>
        <v>89301000</v>
      </c>
      <c r="C8744" s="1">
        <v>44489</v>
      </c>
      <c r="D8744" s="1">
        <v>44491</v>
      </c>
      <c r="E8744">
        <v>1</v>
      </c>
      <c r="F8744" t="s">
        <v>4820</v>
      </c>
      <c r="G8744" t="str">
        <f>"08-I32-02"</f>
        <v>08-I32-02</v>
      </c>
      <c r="H8744">
        <v>0.4143</v>
      </c>
      <c r="J8744" t="s">
        <v>14</v>
      </c>
      <c r="K8744" t="str">
        <f>"6F6"</f>
        <v>6F6</v>
      </c>
      <c r="L8744" t="s">
        <v>15</v>
      </c>
    </row>
    <row r="8745" spans="1:12" x14ac:dyDescent="0.25">
      <c r="A8745" t="str">
        <f>"6656090155"</f>
        <v>6656090155</v>
      </c>
      <c r="B8745" t="str">
        <f t="shared" si="393"/>
        <v>89301000</v>
      </c>
      <c r="C8745" s="1">
        <v>44368</v>
      </c>
      <c r="D8745" s="1">
        <v>44378</v>
      </c>
      <c r="E8745">
        <v>1</v>
      </c>
      <c r="F8745" t="s">
        <v>109</v>
      </c>
      <c r="G8745" t="str">
        <f>"24-M06-02"</f>
        <v>24-M06-02</v>
      </c>
      <c r="H8745">
        <v>1.0233000000000001</v>
      </c>
      <c r="I8745" t="s">
        <v>6140</v>
      </c>
      <c r="J8745" t="s">
        <v>14</v>
      </c>
      <c r="K8745" t="str">
        <f>"2F1"</f>
        <v>2F1</v>
      </c>
      <c r="L8745" t="s">
        <v>15</v>
      </c>
    </row>
    <row r="8746" spans="1:12" x14ac:dyDescent="0.25">
      <c r="A8746" t="str">
        <f>"6656090155"</f>
        <v>6656090155</v>
      </c>
      <c r="B8746" t="str">
        <f t="shared" si="393"/>
        <v>89301000</v>
      </c>
      <c r="C8746" s="1">
        <v>44329</v>
      </c>
      <c r="D8746" s="1">
        <v>44335</v>
      </c>
      <c r="E8746">
        <v>1</v>
      </c>
      <c r="F8746" t="s">
        <v>2595</v>
      </c>
      <c r="G8746" t="str">
        <f>"08-I08-02"</f>
        <v>08-I08-02</v>
      </c>
      <c r="H8746">
        <v>3.5407999999999999</v>
      </c>
      <c r="I8746" t="s">
        <v>6141</v>
      </c>
      <c r="J8746" t="s">
        <v>17</v>
      </c>
      <c r="K8746" t="str">
        <f>"6F6"</f>
        <v>6F6</v>
      </c>
      <c r="L8746" t="s">
        <v>15</v>
      </c>
    </row>
    <row r="8747" spans="1:12" x14ac:dyDescent="0.25">
      <c r="A8747" t="str">
        <f>"6656091486"</f>
        <v>6656091486</v>
      </c>
      <c r="B8747" t="str">
        <f t="shared" si="393"/>
        <v>89301000</v>
      </c>
      <c r="C8747" s="1">
        <v>44390</v>
      </c>
      <c r="D8747" s="1">
        <v>44392</v>
      </c>
      <c r="E8747">
        <v>1</v>
      </c>
      <c r="F8747" t="s">
        <v>6142</v>
      </c>
      <c r="G8747" t="str">
        <f>"03-K08-00"</f>
        <v>03-K08-00</v>
      </c>
      <c r="H8747">
        <v>0.42749999999999999</v>
      </c>
      <c r="J8747" t="s">
        <v>14</v>
      </c>
      <c r="K8747" t="str">
        <f>"6F5"</f>
        <v>6F5</v>
      </c>
      <c r="L8747" t="s">
        <v>15</v>
      </c>
    </row>
    <row r="8748" spans="1:12" x14ac:dyDescent="0.25">
      <c r="A8748" t="str">
        <f>"6656111473"</f>
        <v>6656111473</v>
      </c>
      <c r="B8748" t="str">
        <f t="shared" si="393"/>
        <v>89301000</v>
      </c>
      <c r="C8748" s="1">
        <v>44551</v>
      </c>
      <c r="D8748" s="1">
        <v>44553</v>
      </c>
      <c r="E8748">
        <v>1</v>
      </c>
      <c r="F8748" t="s">
        <v>6143</v>
      </c>
      <c r="G8748" t="str">
        <f>"03-I19-02"</f>
        <v>03-I19-02</v>
      </c>
      <c r="H8748">
        <v>0.88829999999999998</v>
      </c>
      <c r="I8748" t="s">
        <v>6144</v>
      </c>
      <c r="J8748" t="s">
        <v>14</v>
      </c>
      <c r="K8748" t="str">
        <f>"6F5"</f>
        <v>6F5</v>
      </c>
      <c r="L8748" t="s">
        <v>15</v>
      </c>
    </row>
    <row r="8749" spans="1:12" x14ac:dyDescent="0.25">
      <c r="A8749" t="str">
        <f>"6656141602"</f>
        <v>6656141602</v>
      </c>
      <c r="B8749" t="str">
        <f t="shared" si="393"/>
        <v>89301000</v>
      </c>
      <c r="C8749" s="1">
        <v>44465</v>
      </c>
      <c r="D8749" s="1">
        <v>44472</v>
      </c>
      <c r="E8749">
        <v>1</v>
      </c>
      <c r="F8749" t="s">
        <v>5255</v>
      </c>
      <c r="G8749" t="str">
        <f>"08-I03-06"</f>
        <v>08-I03-06</v>
      </c>
      <c r="H8749">
        <v>3.3329</v>
      </c>
      <c r="I8749" t="s">
        <v>6145</v>
      </c>
      <c r="J8749" t="s">
        <v>17</v>
      </c>
      <c r="K8749" t="str">
        <f>"5F6"</f>
        <v>5F6</v>
      </c>
      <c r="L8749" t="s">
        <v>15</v>
      </c>
    </row>
    <row r="8750" spans="1:12" x14ac:dyDescent="0.25">
      <c r="A8750" t="str">
        <f>"6656192268"</f>
        <v>6656192268</v>
      </c>
      <c r="B8750" t="str">
        <f t="shared" si="393"/>
        <v>89301000</v>
      </c>
      <c r="C8750" s="1">
        <v>44319</v>
      </c>
      <c r="D8750" s="1">
        <v>44326</v>
      </c>
      <c r="E8750">
        <v>1</v>
      </c>
      <c r="F8750" t="s">
        <v>65</v>
      </c>
      <c r="G8750" t="str">
        <f>"21-K06-00"</f>
        <v>21-K06-00</v>
      </c>
      <c r="H8750">
        <v>0.49320000000000003</v>
      </c>
      <c r="I8750" t="s">
        <v>6146</v>
      </c>
      <c r="J8750" t="s">
        <v>14</v>
      </c>
      <c r="K8750" t="str">
        <f>"6F3"</f>
        <v>6F3</v>
      </c>
      <c r="L8750" t="s">
        <v>15</v>
      </c>
    </row>
    <row r="8751" spans="1:12" x14ac:dyDescent="0.25">
      <c r="A8751" t="str">
        <f>"6656192268"</f>
        <v>6656192268</v>
      </c>
      <c r="B8751" t="str">
        <f t="shared" si="393"/>
        <v>89301000</v>
      </c>
      <c r="C8751" s="1">
        <v>44300</v>
      </c>
      <c r="D8751" s="1">
        <v>44305</v>
      </c>
      <c r="E8751">
        <v>1</v>
      </c>
      <c r="F8751" t="s">
        <v>5837</v>
      </c>
      <c r="G8751" t="str">
        <f>"13-I11-03"</f>
        <v>13-I11-03</v>
      </c>
      <c r="H8751">
        <v>1.3809</v>
      </c>
      <c r="J8751" t="s">
        <v>24</v>
      </c>
      <c r="K8751" t="str">
        <f>"6F3"</f>
        <v>6F3</v>
      </c>
      <c r="L8751" t="s">
        <v>15</v>
      </c>
    </row>
    <row r="8752" spans="1:12" x14ac:dyDescent="0.25">
      <c r="A8752" t="str">
        <f>"6656192268"</f>
        <v>6656192268</v>
      </c>
      <c r="B8752" t="str">
        <f t="shared" ref="B8752:B8815" si="396">"89301000"</f>
        <v>89301000</v>
      </c>
      <c r="C8752" s="1">
        <v>44240</v>
      </c>
      <c r="D8752" s="1">
        <v>44241</v>
      </c>
      <c r="E8752">
        <v>1</v>
      </c>
      <c r="F8752" t="s">
        <v>1805</v>
      </c>
      <c r="G8752" t="str">
        <f>"13-I19-00"</f>
        <v>13-I19-00</v>
      </c>
      <c r="H8752">
        <v>0.24679999999999999</v>
      </c>
      <c r="J8752" t="s">
        <v>14</v>
      </c>
      <c r="K8752" t="str">
        <f>"6F3"</f>
        <v>6F3</v>
      </c>
      <c r="L8752" t="s">
        <v>15</v>
      </c>
    </row>
    <row r="8753" spans="1:12" x14ac:dyDescent="0.25">
      <c r="A8753" t="str">
        <f>"6656200221"</f>
        <v>6656200221</v>
      </c>
      <c r="B8753" t="str">
        <f t="shared" si="396"/>
        <v>89301000</v>
      </c>
      <c r="C8753" s="1">
        <v>44475</v>
      </c>
      <c r="D8753" s="1">
        <v>44477</v>
      </c>
      <c r="E8753">
        <v>1</v>
      </c>
      <c r="F8753" t="s">
        <v>173</v>
      </c>
      <c r="G8753" t="str">
        <f>"08-I32-02"</f>
        <v>08-I32-02</v>
      </c>
      <c r="H8753">
        <v>0.4143</v>
      </c>
      <c r="J8753" t="s">
        <v>14</v>
      </c>
      <c r="K8753" t="str">
        <f>"6F6"</f>
        <v>6F6</v>
      </c>
      <c r="L8753" t="s">
        <v>15</v>
      </c>
    </row>
    <row r="8754" spans="1:12" x14ac:dyDescent="0.25">
      <c r="A8754" t="str">
        <f>"6656237236"</f>
        <v>6656237236</v>
      </c>
      <c r="B8754" t="str">
        <f t="shared" si="396"/>
        <v>89301000</v>
      </c>
      <c r="C8754" s="1">
        <v>44522</v>
      </c>
      <c r="D8754" s="1">
        <v>44529</v>
      </c>
      <c r="E8754">
        <v>1</v>
      </c>
      <c r="F8754" t="s">
        <v>217</v>
      </c>
      <c r="G8754" t="str">
        <f>"04-K02-04"</f>
        <v>04-K02-04</v>
      </c>
      <c r="H8754">
        <v>0.82469999999999999</v>
      </c>
      <c r="I8754" t="s">
        <v>6147</v>
      </c>
      <c r="J8754" t="s">
        <v>14</v>
      </c>
      <c r="K8754" t="str">
        <f>"1F6"</f>
        <v>1F6</v>
      </c>
      <c r="L8754" t="s">
        <v>15</v>
      </c>
    </row>
    <row r="8755" spans="1:12" x14ac:dyDescent="0.25">
      <c r="A8755" t="str">
        <f>"6656240305"</f>
        <v>6656240305</v>
      </c>
      <c r="B8755" t="str">
        <f t="shared" si="396"/>
        <v>89301000</v>
      </c>
      <c r="C8755" s="1">
        <v>44447</v>
      </c>
      <c r="D8755" s="1">
        <v>44452</v>
      </c>
      <c r="E8755">
        <v>1</v>
      </c>
      <c r="F8755" t="s">
        <v>2527</v>
      </c>
      <c r="G8755" t="str">
        <f>"13-I14-03"</f>
        <v>13-I14-03</v>
      </c>
      <c r="H8755">
        <v>0.83199999999999996</v>
      </c>
      <c r="I8755" t="s">
        <v>2727</v>
      </c>
      <c r="J8755" t="s">
        <v>24</v>
      </c>
      <c r="K8755" t="str">
        <f>"6F3"</f>
        <v>6F3</v>
      </c>
      <c r="L8755" t="s">
        <v>15</v>
      </c>
    </row>
    <row r="8756" spans="1:12" x14ac:dyDescent="0.25">
      <c r="A8756" t="str">
        <f>"6656251118"</f>
        <v>6656251118</v>
      </c>
      <c r="B8756" t="str">
        <f t="shared" si="396"/>
        <v>89301000</v>
      </c>
      <c r="C8756" s="1">
        <v>44256</v>
      </c>
      <c r="D8756" s="1">
        <v>44263</v>
      </c>
      <c r="E8756">
        <v>4</v>
      </c>
      <c r="F8756" t="s">
        <v>1968</v>
      </c>
      <c r="G8756" t="str">
        <f>"08-I05-04"</f>
        <v>08-I05-04</v>
      </c>
      <c r="H8756">
        <v>2.4581</v>
      </c>
      <c r="I8756" t="s">
        <v>1969</v>
      </c>
      <c r="J8756" t="s">
        <v>17</v>
      </c>
      <c r="K8756" t="str">
        <f>"6F6"</f>
        <v>6F6</v>
      </c>
      <c r="L8756" t="s">
        <v>15</v>
      </c>
    </row>
    <row r="8757" spans="1:12" x14ac:dyDescent="0.25">
      <c r="A8757" t="str">
        <f>"6656291389"</f>
        <v>6656291389</v>
      </c>
      <c r="B8757" t="str">
        <f t="shared" si="396"/>
        <v>89301000</v>
      </c>
      <c r="C8757" s="1">
        <v>44446</v>
      </c>
      <c r="D8757" s="1">
        <v>44447</v>
      </c>
      <c r="E8757">
        <v>1</v>
      </c>
      <c r="F8757" t="s">
        <v>2576</v>
      </c>
      <c r="G8757" t="str">
        <f>"11-I14-02"</f>
        <v>11-I14-02</v>
      </c>
      <c r="H8757">
        <v>0.63060000000000005</v>
      </c>
      <c r="J8757" t="s">
        <v>24</v>
      </c>
      <c r="K8757" t="str">
        <f>"6F3"</f>
        <v>6F3</v>
      </c>
      <c r="L8757" t="s">
        <v>15</v>
      </c>
    </row>
    <row r="8758" spans="1:12" x14ac:dyDescent="0.25">
      <c r="A8758" t="str">
        <f>"6657031403"</f>
        <v>6657031403</v>
      </c>
      <c r="B8758" t="str">
        <f t="shared" si="396"/>
        <v>89301000</v>
      </c>
      <c r="C8758" s="1">
        <v>44300</v>
      </c>
      <c r="D8758" s="1">
        <v>44302</v>
      </c>
      <c r="E8758">
        <v>1</v>
      </c>
      <c r="F8758" t="s">
        <v>2576</v>
      </c>
      <c r="G8758" t="str">
        <f>"11-I14-02"</f>
        <v>11-I14-02</v>
      </c>
      <c r="H8758">
        <v>0.63060000000000005</v>
      </c>
      <c r="J8758" t="s">
        <v>24</v>
      </c>
      <c r="K8758" t="str">
        <f>"6F3"</f>
        <v>6F3</v>
      </c>
      <c r="L8758" t="s">
        <v>15</v>
      </c>
    </row>
    <row r="8759" spans="1:12" x14ac:dyDescent="0.25">
      <c r="A8759" t="str">
        <f>"6657250116"</f>
        <v>6657250116</v>
      </c>
      <c r="B8759" t="str">
        <f t="shared" si="396"/>
        <v>89301000</v>
      </c>
      <c r="C8759" s="1">
        <v>44201</v>
      </c>
      <c r="D8759" s="1">
        <v>44203</v>
      </c>
      <c r="E8759">
        <v>1</v>
      </c>
      <c r="F8759" t="s">
        <v>2049</v>
      </c>
      <c r="G8759" t="str">
        <f>"06-M01-02"</f>
        <v>06-M01-02</v>
      </c>
      <c r="H8759">
        <v>1.2191000000000001</v>
      </c>
      <c r="I8759" t="s">
        <v>351</v>
      </c>
      <c r="J8759" t="s">
        <v>14</v>
      </c>
      <c r="K8759" t="str">
        <f>"1F1"</f>
        <v>1F1</v>
      </c>
      <c r="L8759" t="s">
        <v>15</v>
      </c>
    </row>
    <row r="8760" spans="1:12" x14ac:dyDescent="0.25">
      <c r="A8760" t="str">
        <f>"6657310946"</f>
        <v>6657310946</v>
      </c>
      <c r="B8760" t="str">
        <f t="shared" si="396"/>
        <v>89301000</v>
      </c>
      <c r="C8760" s="1">
        <v>44393</v>
      </c>
      <c r="D8760" s="1">
        <v>44396</v>
      </c>
      <c r="E8760">
        <v>1</v>
      </c>
      <c r="F8760" t="s">
        <v>1683</v>
      </c>
      <c r="G8760" t="str">
        <f>"05-M06-06"</f>
        <v>05-M06-06</v>
      </c>
      <c r="H8760">
        <v>1.7652000000000001</v>
      </c>
      <c r="J8760" t="s">
        <v>17</v>
      </c>
      <c r="K8760" t="str">
        <f>"1F1"</f>
        <v>1F1</v>
      </c>
      <c r="L8760" t="s">
        <v>15</v>
      </c>
    </row>
    <row r="8761" spans="1:12" x14ac:dyDescent="0.25">
      <c r="A8761" t="str">
        <f>"6658050982"</f>
        <v>6658050982</v>
      </c>
      <c r="B8761" t="str">
        <f t="shared" si="396"/>
        <v>89301000</v>
      </c>
      <c r="C8761" s="1">
        <v>44265</v>
      </c>
      <c r="D8761" s="1">
        <v>44269</v>
      </c>
      <c r="E8761">
        <v>1</v>
      </c>
      <c r="F8761" t="s">
        <v>2232</v>
      </c>
      <c r="G8761" t="str">
        <f>"11-I08-03"</f>
        <v>11-I08-03</v>
      </c>
      <c r="H8761">
        <v>2.0676999999999999</v>
      </c>
      <c r="I8761" t="s">
        <v>6148</v>
      </c>
      <c r="J8761" t="s">
        <v>17</v>
      </c>
      <c r="K8761" t="str">
        <f>"7F6"</f>
        <v>7F6</v>
      </c>
      <c r="L8761" t="s">
        <v>15</v>
      </c>
    </row>
    <row r="8762" spans="1:12" x14ac:dyDescent="0.25">
      <c r="A8762" t="str">
        <f>"6658090142"</f>
        <v>6658090142</v>
      </c>
      <c r="B8762" t="str">
        <f t="shared" si="396"/>
        <v>89301000</v>
      </c>
      <c r="C8762" s="1">
        <v>44489</v>
      </c>
      <c r="D8762" s="1">
        <v>44492</v>
      </c>
      <c r="E8762">
        <v>1</v>
      </c>
      <c r="F8762" t="s">
        <v>407</v>
      </c>
      <c r="G8762" t="str">
        <f>"03-I19-02"</f>
        <v>03-I19-02</v>
      </c>
      <c r="H8762">
        <v>0.88829999999999998</v>
      </c>
      <c r="I8762" t="s">
        <v>6149</v>
      </c>
      <c r="J8762" t="s">
        <v>14</v>
      </c>
      <c r="K8762" t="str">
        <f>"6F5"</f>
        <v>6F5</v>
      </c>
      <c r="L8762" t="s">
        <v>15</v>
      </c>
    </row>
    <row r="8763" spans="1:12" x14ac:dyDescent="0.25">
      <c r="A8763" t="str">
        <f>"6658111504"</f>
        <v>6658111504</v>
      </c>
      <c r="B8763" t="str">
        <f t="shared" si="396"/>
        <v>89301000</v>
      </c>
      <c r="C8763" s="1">
        <v>44279</v>
      </c>
      <c r="D8763" s="1">
        <v>44281</v>
      </c>
      <c r="E8763">
        <v>1</v>
      </c>
      <c r="F8763" t="s">
        <v>1859</v>
      </c>
      <c r="G8763" t="str">
        <f>"03-I23-00"</f>
        <v>03-I23-00</v>
      </c>
      <c r="H8763">
        <v>0.47639999999999999</v>
      </c>
      <c r="J8763" t="s">
        <v>14</v>
      </c>
      <c r="K8763" t="str">
        <f>"6F5"</f>
        <v>6F5</v>
      </c>
      <c r="L8763" t="s">
        <v>15</v>
      </c>
    </row>
    <row r="8764" spans="1:12" x14ac:dyDescent="0.25">
      <c r="A8764" t="str">
        <f>"6658141523"</f>
        <v>6658141523</v>
      </c>
      <c r="B8764" t="str">
        <f t="shared" si="396"/>
        <v>89301000</v>
      </c>
      <c r="C8764" s="1">
        <v>44460</v>
      </c>
      <c r="D8764" s="1">
        <v>44463</v>
      </c>
      <c r="E8764">
        <v>1</v>
      </c>
      <c r="F8764" t="s">
        <v>71</v>
      </c>
      <c r="G8764" t="str">
        <f>"08-M03-05"</f>
        <v>08-M03-05</v>
      </c>
      <c r="H8764">
        <v>0.51759999999999995</v>
      </c>
      <c r="I8764" t="s">
        <v>30</v>
      </c>
      <c r="J8764" t="s">
        <v>14</v>
      </c>
      <c r="K8764" t="str">
        <f>"6F6"</f>
        <v>6F6</v>
      </c>
      <c r="L8764" t="s">
        <v>15</v>
      </c>
    </row>
    <row r="8765" spans="1:12" x14ac:dyDescent="0.25">
      <c r="A8765" t="str">
        <f>"6658180177"</f>
        <v>6658180177</v>
      </c>
      <c r="B8765" t="str">
        <f t="shared" si="396"/>
        <v>89301000</v>
      </c>
      <c r="C8765" s="1">
        <v>44283</v>
      </c>
      <c r="D8765" s="1">
        <v>44286</v>
      </c>
      <c r="E8765">
        <v>1</v>
      </c>
      <c r="F8765" t="s">
        <v>496</v>
      </c>
      <c r="G8765" t="str">
        <f>"08-M03-05"</f>
        <v>08-M03-05</v>
      </c>
      <c r="H8765">
        <v>0.51759999999999995</v>
      </c>
      <c r="J8765" t="s">
        <v>14</v>
      </c>
      <c r="K8765" t="str">
        <f>"6F6"</f>
        <v>6F6</v>
      </c>
      <c r="L8765" t="s">
        <v>15</v>
      </c>
    </row>
    <row r="8766" spans="1:12" x14ac:dyDescent="0.25">
      <c r="A8766" t="str">
        <f>"6658190231"</f>
        <v>6658190231</v>
      </c>
      <c r="B8766" t="str">
        <f t="shared" si="396"/>
        <v>89301000</v>
      </c>
      <c r="C8766" s="1">
        <v>44529</v>
      </c>
      <c r="D8766" s="1">
        <v>44534</v>
      </c>
      <c r="E8766">
        <v>1</v>
      </c>
      <c r="F8766" t="s">
        <v>217</v>
      </c>
      <c r="G8766" t="str">
        <f>"04-K02-04"</f>
        <v>04-K02-04</v>
      </c>
      <c r="H8766">
        <v>0.82469999999999999</v>
      </c>
      <c r="I8766" t="s">
        <v>6150</v>
      </c>
      <c r="J8766" t="s">
        <v>14</v>
      </c>
      <c r="K8766" t="str">
        <f>"5F1"</f>
        <v>5F1</v>
      </c>
      <c r="L8766" t="s">
        <v>15</v>
      </c>
    </row>
    <row r="8767" spans="1:12" x14ac:dyDescent="0.25">
      <c r="A8767" t="str">
        <f>"6658200373"</f>
        <v>6658200373</v>
      </c>
      <c r="B8767" t="str">
        <f t="shared" si="396"/>
        <v>89301000</v>
      </c>
      <c r="C8767" s="1">
        <v>44519</v>
      </c>
      <c r="D8767" s="1">
        <v>44533</v>
      </c>
      <c r="E8767">
        <v>1</v>
      </c>
      <c r="F8767" t="s">
        <v>217</v>
      </c>
      <c r="G8767" t="str">
        <f>"04-K02-03"</f>
        <v>04-K02-03</v>
      </c>
      <c r="H8767">
        <v>1.2859</v>
      </c>
      <c r="I8767" t="s">
        <v>6151</v>
      </c>
      <c r="J8767" t="s">
        <v>14</v>
      </c>
      <c r="K8767" t="str">
        <f>"1F6"</f>
        <v>1F6</v>
      </c>
      <c r="L8767" t="s">
        <v>15</v>
      </c>
    </row>
    <row r="8768" spans="1:12" x14ac:dyDescent="0.25">
      <c r="A8768" t="str">
        <f>"6658231327"</f>
        <v>6658231327</v>
      </c>
      <c r="B8768" t="str">
        <f t="shared" si="396"/>
        <v>89301000</v>
      </c>
      <c r="C8768" s="1">
        <v>44435</v>
      </c>
      <c r="D8768" s="1">
        <v>44438</v>
      </c>
      <c r="E8768">
        <v>1</v>
      </c>
      <c r="F8768" t="s">
        <v>2068</v>
      </c>
      <c r="G8768" t="str">
        <f>"02-I06-02"</f>
        <v>02-I06-02</v>
      </c>
      <c r="H8768">
        <v>0.90300000000000002</v>
      </c>
      <c r="I8768" t="s">
        <v>6152</v>
      </c>
      <c r="J8768" t="s">
        <v>17</v>
      </c>
      <c r="K8768" t="str">
        <f>"7F5"</f>
        <v>7F5</v>
      </c>
      <c r="L8768" t="s">
        <v>15</v>
      </c>
    </row>
    <row r="8769" spans="1:12" x14ac:dyDescent="0.25">
      <c r="A8769" t="str">
        <f>"6659011348"</f>
        <v>6659011348</v>
      </c>
      <c r="B8769" t="str">
        <f t="shared" si="396"/>
        <v>89301000</v>
      </c>
      <c r="C8769" s="1">
        <v>44329</v>
      </c>
      <c r="D8769" s="1">
        <v>44334</v>
      </c>
      <c r="E8769">
        <v>1</v>
      </c>
      <c r="F8769" t="s">
        <v>343</v>
      </c>
      <c r="G8769" t="str">
        <f>"11-M05-02"</f>
        <v>11-M05-02</v>
      </c>
      <c r="H8769">
        <v>0.65690000000000004</v>
      </c>
      <c r="I8769" t="s">
        <v>5262</v>
      </c>
      <c r="J8769" t="s">
        <v>17</v>
      </c>
      <c r="K8769" t="str">
        <f>"7F6"</f>
        <v>7F6</v>
      </c>
      <c r="L8769" t="s">
        <v>15</v>
      </c>
    </row>
    <row r="8770" spans="1:12" x14ac:dyDescent="0.25">
      <c r="A8770" t="str">
        <f>"6659090119"</f>
        <v>6659090119</v>
      </c>
      <c r="B8770" t="str">
        <f t="shared" si="396"/>
        <v>89301000</v>
      </c>
      <c r="C8770" s="1">
        <v>44252</v>
      </c>
      <c r="D8770" s="1">
        <v>44253</v>
      </c>
      <c r="E8770">
        <v>1</v>
      </c>
      <c r="F8770" t="s">
        <v>3852</v>
      </c>
      <c r="G8770" t="str">
        <f>"13-I19-00"</f>
        <v>13-I19-00</v>
      </c>
      <c r="H8770">
        <v>0.24679999999999999</v>
      </c>
      <c r="J8770" t="s">
        <v>14</v>
      </c>
      <c r="K8770" t="str">
        <f>"6F3"</f>
        <v>6F3</v>
      </c>
      <c r="L8770" t="s">
        <v>15</v>
      </c>
    </row>
    <row r="8771" spans="1:12" x14ac:dyDescent="0.25">
      <c r="A8771" t="str">
        <f>"6659111371"</f>
        <v>6659111371</v>
      </c>
      <c r="B8771" t="str">
        <f t="shared" si="396"/>
        <v>89301000</v>
      </c>
      <c r="C8771" s="1">
        <v>44452</v>
      </c>
      <c r="D8771" s="1">
        <v>44455</v>
      </c>
      <c r="E8771">
        <v>1</v>
      </c>
      <c r="F8771" t="s">
        <v>2390</v>
      </c>
      <c r="G8771" t="str">
        <f>"17-I10-02"</f>
        <v>17-I10-02</v>
      </c>
      <c r="H8771">
        <v>0.92959999999999998</v>
      </c>
      <c r="I8771" t="s">
        <v>6153</v>
      </c>
      <c r="J8771" t="s">
        <v>14</v>
      </c>
      <c r="K8771" t="str">
        <f>"5F1"</f>
        <v>5F1</v>
      </c>
      <c r="L8771" t="s">
        <v>15</v>
      </c>
    </row>
    <row r="8772" spans="1:12" x14ac:dyDescent="0.25">
      <c r="A8772" t="str">
        <f>"6659111371"</f>
        <v>6659111371</v>
      </c>
      <c r="B8772" t="str">
        <f t="shared" si="396"/>
        <v>89301000</v>
      </c>
      <c r="C8772" s="1">
        <v>44434</v>
      </c>
      <c r="D8772" s="1">
        <v>44438</v>
      </c>
      <c r="E8772">
        <v>1</v>
      </c>
      <c r="F8772" t="s">
        <v>1551</v>
      </c>
      <c r="G8772" t="str">
        <f>"09-I06-04"</f>
        <v>09-I06-04</v>
      </c>
      <c r="H8772">
        <v>0.98829999999999996</v>
      </c>
      <c r="I8772" t="s">
        <v>489</v>
      </c>
      <c r="J8772" t="s">
        <v>17</v>
      </c>
      <c r="K8772" t="str">
        <f>"5F1"</f>
        <v>5F1</v>
      </c>
      <c r="L8772" t="s">
        <v>15</v>
      </c>
    </row>
    <row r="8773" spans="1:12" x14ac:dyDescent="0.25">
      <c r="A8773" t="str">
        <f>"6659140015"</f>
        <v>6659140015</v>
      </c>
      <c r="B8773" t="str">
        <f t="shared" si="396"/>
        <v>89301000</v>
      </c>
      <c r="C8773" s="1">
        <v>44299</v>
      </c>
      <c r="D8773" s="1">
        <v>44299</v>
      </c>
      <c r="E8773">
        <v>1</v>
      </c>
      <c r="F8773" t="s">
        <v>1650</v>
      </c>
      <c r="G8773" t="str">
        <f>"05-D01-06"</f>
        <v>05-D01-06</v>
      </c>
      <c r="H8773">
        <v>0.40649999999999997</v>
      </c>
      <c r="I8773" t="s">
        <v>2183</v>
      </c>
      <c r="J8773" t="s">
        <v>14</v>
      </c>
      <c r="K8773" t="str">
        <f>"1F1"</f>
        <v>1F1</v>
      </c>
      <c r="L8773" t="s">
        <v>15</v>
      </c>
    </row>
    <row r="8774" spans="1:12" x14ac:dyDescent="0.25">
      <c r="A8774" t="str">
        <f>"6659290022"</f>
        <v>6659290022</v>
      </c>
      <c r="B8774" t="str">
        <f t="shared" si="396"/>
        <v>89301000</v>
      </c>
      <c r="C8774" s="1">
        <v>44353</v>
      </c>
      <c r="D8774" s="1">
        <v>44358</v>
      </c>
      <c r="E8774">
        <v>1</v>
      </c>
      <c r="F8774" t="s">
        <v>81</v>
      </c>
      <c r="G8774" t="str">
        <f>"10-I13-02"</f>
        <v>10-I13-02</v>
      </c>
      <c r="H8774">
        <v>1.1468</v>
      </c>
      <c r="I8774" t="s">
        <v>489</v>
      </c>
      <c r="J8774" t="s">
        <v>24</v>
      </c>
      <c r="K8774" t="str">
        <f>"5F1"</f>
        <v>5F1</v>
      </c>
      <c r="L8774" t="s">
        <v>15</v>
      </c>
    </row>
    <row r="8775" spans="1:12" x14ac:dyDescent="0.25">
      <c r="A8775" t="str">
        <f>"6660040057"</f>
        <v>6660040057</v>
      </c>
      <c r="B8775" t="str">
        <f t="shared" si="396"/>
        <v>89301000</v>
      </c>
      <c r="C8775" s="1">
        <v>44378</v>
      </c>
      <c r="D8775" s="1">
        <v>44379</v>
      </c>
      <c r="E8775">
        <v>1</v>
      </c>
      <c r="F8775" t="s">
        <v>563</v>
      </c>
      <c r="G8775" t="str">
        <f>"06-K22-03"</f>
        <v>06-K22-03</v>
      </c>
      <c r="H8775">
        <v>0.3165</v>
      </c>
      <c r="I8775" t="s">
        <v>2672</v>
      </c>
      <c r="J8775" t="s">
        <v>14</v>
      </c>
      <c r="K8775" t="str">
        <f>"1F1"</f>
        <v>1F1</v>
      </c>
      <c r="L8775" t="s">
        <v>15</v>
      </c>
    </row>
    <row r="8776" spans="1:12" x14ac:dyDescent="0.25">
      <c r="A8776" t="str">
        <f>"6660091603"</f>
        <v>6660091603</v>
      </c>
      <c r="B8776" t="str">
        <f t="shared" si="396"/>
        <v>89301000</v>
      </c>
      <c r="C8776" s="1">
        <v>44428</v>
      </c>
      <c r="D8776" s="1">
        <v>44431</v>
      </c>
      <c r="E8776">
        <v>1</v>
      </c>
      <c r="F8776" t="s">
        <v>16</v>
      </c>
      <c r="G8776" t="str">
        <f>"08-I04-03"</f>
        <v>08-I04-03</v>
      </c>
      <c r="H8776">
        <v>1.331</v>
      </c>
      <c r="J8776" t="s">
        <v>17</v>
      </c>
      <c r="K8776" t="str">
        <f>"5F6"</f>
        <v>5F6</v>
      </c>
      <c r="L8776" t="s">
        <v>15</v>
      </c>
    </row>
    <row r="8777" spans="1:12" x14ac:dyDescent="0.25">
      <c r="A8777" t="str">
        <f>"6660101954"</f>
        <v>6660101954</v>
      </c>
      <c r="B8777" t="str">
        <f t="shared" si="396"/>
        <v>89301000</v>
      </c>
      <c r="C8777" s="1">
        <v>44501</v>
      </c>
      <c r="D8777" s="1">
        <v>44502</v>
      </c>
      <c r="E8777">
        <v>1</v>
      </c>
      <c r="F8777" t="s">
        <v>396</v>
      </c>
      <c r="G8777" t="str">
        <f>"08-I16-02"</f>
        <v>08-I16-02</v>
      </c>
      <c r="H8777">
        <v>1.8051999999999999</v>
      </c>
      <c r="I8777" t="s">
        <v>381</v>
      </c>
      <c r="J8777" t="s">
        <v>17</v>
      </c>
      <c r="K8777" t="str">
        <f>"5F3"</f>
        <v>5F3</v>
      </c>
      <c r="L8777" t="s">
        <v>15</v>
      </c>
    </row>
    <row r="8778" spans="1:12" x14ac:dyDescent="0.25">
      <c r="A8778" t="str">
        <f>"6660161266"</f>
        <v>6660161266</v>
      </c>
      <c r="B8778" t="str">
        <f t="shared" si="396"/>
        <v>89301000</v>
      </c>
      <c r="C8778" s="1">
        <v>44508</v>
      </c>
      <c r="D8778" s="1">
        <v>44515</v>
      </c>
      <c r="E8778">
        <v>1</v>
      </c>
      <c r="F8778" t="s">
        <v>1557</v>
      </c>
      <c r="G8778" t="str">
        <f>"05-I16-06"</f>
        <v>05-I16-06</v>
      </c>
      <c r="H8778">
        <v>5.2988</v>
      </c>
      <c r="J8778" t="s">
        <v>17</v>
      </c>
      <c r="K8778" t="str">
        <f>"5F5"</f>
        <v>5F5</v>
      </c>
      <c r="L8778" t="s">
        <v>15</v>
      </c>
    </row>
    <row r="8779" spans="1:12" x14ac:dyDescent="0.25">
      <c r="A8779" t="str">
        <f>"6660161266"</f>
        <v>6660161266</v>
      </c>
      <c r="B8779" t="str">
        <f t="shared" si="396"/>
        <v>89301000</v>
      </c>
      <c r="C8779" s="1">
        <v>44228</v>
      </c>
      <c r="D8779" s="1">
        <v>44235</v>
      </c>
      <c r="E8779">
        <v>1</v>
      </c>
      <c r="F8779" t="s">
        <v>1555</v>
      </c>
      <c r="G8779" t="str">
        <f>"05-I24-04"</f>
        <v>05-I24-04</v>
      </c>
      <c r="H8779">
        <v>2.1857000000000002</v>
      </c>
      <c r="I8779" t="s">
        <v>4860</v>
      </c>
      <c r="J8779" t="s">
        <v>14</v>
      </c>
      <c r="K8779" t="str">
        <f>"5F1"</f>
        <v>5F1</v>
      </c>
      <c r="L8779" t="s">
        <v>15</v>
      </c>
    </row>
    <row r="8780" spans="1:12" x14ac:dyDescent="0.25">
      <c r="A8780" t="str">
        <f>"6660161266"</f>
        <v>6660161266</v>
      </c>
      <c r="B8780" t="str">
        <f t="shared" si="396"/>
        <v>89301000</v>
      </c>
      <c r="C8780" s="1">
        <v>44463</v>
      </c>
      <c r="D8780" s="1">
        <v>44466</v>
      </c>
      <c r="E8780">
        <v>1</v>
      </c>
      <c r="F8780" t="s">
        <v>1557</v>
      </c>
      <c r="G8780" t="str">
        <f>"05-D01-08"</f>
        <v>05-D01-08</v>
      </c>
      <c r="H8780">
        <v>0.4093</v>
      </c>
      <c r="I8780" t="s">
        <v>6154</v>
      </c>
      <c r="J8780" t="s">
        <v>14</v>
      </c>
      <c r="K8780" t="str">
        <f>"1F1"</f>
        <v>1F1</v>
      </c>
      <c r="L8780" t="s">
        <v>15</v>
      </c>
    </row>
    <row r="8781" spans="1:12" x14ac:dyDescent="0.25">
      <c r="A8781" t="str">
        <f>"6660230709"</f>
        <v>6660230709</v>
      </c>
      <c r="B8781" t="str">
        <f t="shared" si="396"/>
        <v>89301000</v>
      </c>
      <c r="C8781" s="1">
        <v>44333</v>
      </c>
      <c r="D8781" s="1">
        <v>44337</v>
      </c>
      <c r="E8781">
        <v>1</v>
      </c>
      <c r="F8781" t="s">
        <v>3180</v>
      </c>
      <c r="G8781" t="str">
        <f>"08-K02-03"</f>
        <v>08-K02-03</v>
      </c>
      <c r="H8781">
        <v>0.73560000000000003</v>
      </c>
      <c r="I8781" t="s">
        <v>6155</v>
      </c>
      <c r="J8781" t="s">
        <v>14</v>
      </c>
      <c r="K8781" t="str">
        <f>"1F1"</f>
        <v>1F1</v>
      </c>
      <c r="L8781" t="s">
        <v>15</v>
      </c>
    </row>
    <row r="8782" spans="1:12" x14ac:dyDescent="0.25">
      <c r="A8782" t="str">
        <f>"6660301945"</f>
        <v>6660301945</v>
      </c>
      <c r="B8782" t="str">
        <f t="shared" si="396"/>
        <v>89301000</v>
      </c>
      <c r="C8782" s="1">
        <v>44426</v>
      </c>
      <c r="D8782" s="1">
        <v>44432</v>
      </c>
      <c r="E8782">
        <v>1</v>
      </c>
      <c r="F8782" t="s">
        <v>479</v>
      </c>
      <c r="G8782" t="str">
        <f>"18-M01-03"</f>
        <v>18-M01-03</v>
      </c>
      <c r="H8782">
        <v>2.1097999999999999</v>
      </c>
      <c r="I8782" t="s">
        <v>6156</v>
      </c>
      <c r="J8782" t="s">
        <v>14</v>
      </c>
      <c r="K8782" t="str">
        <f>"1F1"</f>
        <v>1F1</v>
      </c>
      <c r="L8782" t="s">
        <v>15</v>
      </c>
    </row>
    <row r="8783" spans="1:12" x14ac:dyDescent="0.25">
      <c r="A8783" t="str">
        <f>"6661131686"</f>
        <v>6661131686</v>
      </c>
      <c r="B8783" t="str">
        <f t="shared" si="396"/>
        <v>89301000</v>
      </c>
      <c r="C8783" s="1">
        <v>44347</v>
      </c>
      <c r="D8783" s="1">
        <v>44354</v>
      </c>
      <c r="E8783">
        <v>5</v>
      </c>
      <c r="F8783" t="s">
        <v>2705</v>
      </c>
      <c r="G8783" t="str">
        <f>"00-M01-03"</f>
        <v>00-M01-03</v>
      </c>
      <c r="H8783">
        <v>9.7565000000000008</v>
      </c>
      <c r="I8783" t="s">
        <v>6157</v>
      </c>
      <c r="J8783" t="s">
        <v>14</v>
      </c>
      <c r="K8783" t="str">
        <f>"5T6"</f>
        <v>5T6</v>
      </c>
      <c r="L8783" t="s">
        <v>15</v>
      </c>
    </row>
    <row r="8784" spans="1:12" x14ac:dyDescent="0.25">
      <c r="A8784" t="str">
        <f>"6661161595"</f>
        <v>6661161595</v>
      </c>
      <c r="B8784" t="str">
        <f t="shared" si="396"/>
        <v>89301000</v>
      </c>
      <c r="C8784" s="1">
        <v>44455</v>
      </c>
      <c r="D8784" s="1">
        <v>44456</v>
      </c>
      <c r="E8784">
        <v>1</v>
      </c>
      <c r="F8784" t="s">
        <v>1599</v>
      </c>
      <c r="G8784" t="str">
        <f>"05-D01-06"</f>
        <v>05-D01-06</v>
      </c>
      <c r="H8784">
        <v>0.7611</v>
      </c>
      <c r="I8784" t="s">
        <v>2119</v>
      </c>
      <c r="J8784" t="s">
        <v>14</v>
      </c>
      <c r="K8784" t="str">
        <f>"1F7"</f>
        <v>1F7</v>
      </c>
      <c r="L8784" t="s">
        <v>15</v>
      </c>
    </row>
    <row r="8785" spans="1:12" x14ac:dyDescent="0.25">
      <c r="A8785" t="str">
        <f t="shared" ref="A8785:A8790" si="397">"6661230972"</f>
        <v>6661230972</v>
      </c>
      <c r="B8785" t="str">
        <f t="shared" si="396"/>
        <v>89301000</v>
      </c>
      <c r="C8785" s="1">
        <v>44469</v>
      </c>
      <c r="D8785" s="1">
        <v>44475</v>
      </c>
      <c r="E8785">
        <v>1</v>
      </c>
      <c r="F8785" t="s">
        <v>2497</v>
      </c>
      <c r="G8785" t="str">
        <f>"13-K07-02"</f>
        <v>13-K07-02</v>
      </c>
      <c r="H8785">
        <v>0.3805</v>
      </c>
      <c r="I8785" t="s">
        <v>6158</v>
      </c>
      <c r="J8785" t="s">
        <v>14</v>
      </c>
      <c r="K8785" t="str">
        <f>"4F2"</f>
        <v>4F2</v>
      </c>
      <c r="L8785" t="s">
        <v>15</v>
      </c>
    </row>
    <row r="8786" spans="1:12" x14ac:dyDescent="0.25">
      <c r="A8786" t="str">
        <f t="shared" si="397"/>
        <v>6661230972</v>
      </c>
      <c r="B8786" t="str">
        <f t="shared" si="396"/>
        <v>89301000</v>
      </c>
      <c r="C8786" s="1">
        <v>44502</v>
      </c>
      <c r="D8786" s="1">
        <v>44511</v>
      </c>
      <c r="E8786">
        <v>1</v>
      </c>
      <c r="F8786" t="s">
        <v>2497</v>
      </c>
      <c r="G8786" t="str">
        <f>"13-K07-01"</f>
        <v>13-K07-01</v>
      </c>
      <c r="H8786">
        <v>1.1558999999999999</v>
      </c>
      <c r="I8786" t="s">
        <v>6159</v>
      </c>
      <c r="J8786" t="s">
        <v>14</v>
      </c>
      <c r="K8786" t="str">
        <f>"4F2"</f>
        <v>4F2</v>
      </c>
      <c r="L8786" t="s">
        <v>15</v>
      </c>
    </row>
    <row r="8787" spans="1:12" x14ac:dyDescent="0.25">
      <c r="A8787" t="str">
        <f t="shared" si="397"/>
        <v>6661230972</v>
      </c>
      <c r="B8787" t="str">
        <f t="shared" si="396"/>
        <v>89301000</v>
      </c>
      <c r="C8787" s="1">
        <v>44261</v>
      </c>
      <c r="D8787" s="1">
        <v>44270</v>
      </c>
      <c r="E8787">
        <v>1</v>
      </c>
      <c r="F8787" t="s">
        <v>6160</v>
      </c>
      <c r="G8787" t="str">
        <f>"06-I12-03"</f>
        <v>06-I12-03</v>
      </c>
      <c r="H8787">
        <v>1.8894</v>
      </c>
      <c r="I8787" t="s">
        <v>6161</v>
      </c>
      <c r="J8787" t="s">
        <v>14</v>
      </c>
      <c r="K8787" t="str">
        <f>"5F1"</f>
        <v>5F1</v>
      </c>
      <c r="L8787" t="s">
        <v>15</v>
      </c>
    </row>
    <row r="8788" spans="1:12" x14ac:dyDescent="0.25">
      <c r="A8788" t="str">
        <f t="shared" si="397"/>
        <v>6661230972</v>
      </c>
      <c r="B8788" t="str">
        <f t="shared" si="396"/>
        <v>89301000</v>
      </c>
      <c r="C8788" s="1">
        <v>44387</v>
      </c>
      <c r="D8788" s="1">
        <v>44391</v>
      </c>
      <c r="E8788">
        <v>1</v>
      </c>
      <c r="F8788" t="s">
        <v>175</v>
      </c>
      <c r="G8788" t="str">
        <f>"05-K13-02"</f>
        <v>05-K13-02</v>
      </c>
      <c r="H8788">
        <v>0.60950000000000004</v>
      </c>
      <c r="I8788" t="s">
        <v>6162</v>
      </c>
      <c r="J8788" t="s">
        <v>14</v>
      </c>
      <c r="K8788" t="str">
        <f>"1F1"</f>
        <v>1F1</v>
      </c>
      <c r="L8788" t="s">
        <v>15</v>
      </c>
    </row>
    <row r="8789" spans="1:12" x14ac:dyDescent="0.25">
      <c r="A8789" t="str">
        <f t="shared" si="397"/>
        <v>6661230972</v>
      </c>
      <c r="B8789" t="str">
        <f t="shared" si="396"/>
        <v>89301000</v>
      </c>
      <c r="C8789" s="1">
        <v>44440</v>
      </c>
      <c r="D8789" s="1">
        <v>44442</v>
      </c>
      <c r="E8789">
        <v>1</v>
      </c>
      <c r="F8789" t="s">
        <v>2497</v>
      </c>
      <c r="G8789" t="str">
        <f>"13-C01-02"</f>
        <v>13-C01-02</v>
      </c>
      <c r="H8789">
        <v>0.2349</v>
      </c>
      <c r="I8789" t="s">
        <v>6163</v>
      </c>
      <c r="J8789" t="s">
        <v>14</v>
      </c>
      <c r="K8789" t="str">
        <f>"4F2"</f>
        <v>4F2</v>
      </c>
      <c r="L8789" t="s">
        <v>15</v>
      </c>
    </row>
    <row r="8790" spans="1:12" x14ac:dyDescent="0.25">
      <c r="A8790" t="str">
        <f t="shared" si="397"/>
        <v>6661230972</v>
      </c>
      <c r="B8790" t="str">
        <f t="shared" si="396"/>
        <v>89301000</v>
      </c>
      <c r="C8790" s="1">
        <v>44485</v>
      </c>
      <c r="D8790" s="1">
        <v>44490</v>
      </c>
      <c r="E8790">
        <v>1</v>
      </c>
      <c r="F8790" t="s">
        <v>2497</v>
      </c>
      <c r="G8790" t="str">
        <f>"13-K07-02"</f>
        <v>13-K07-02</v>
      </c>
      <c r="H8790">
        <v>0.3805</v>
      </c>
      <c r="I8790" t="s">
        <v>6164</v>
      </c>
      <c r="J8790" t="s">
        <v>14</v>
      </c>
      <c r="K8790" t="str">
        <f>"4F2"</f>
        <v>4F2</v>
      </c>
      <c r="L8790" t="s">
        <v>15</v>
      </c>
    </row>
    <row r="8791" spans="1:12" x14ac:dyDescent="0.25">
      <c r="A8791" t="str">
        <f>"6661241631"</f>
        <v>6661241631</v>
      </c>
      <c r="B8791" t="str">
        <f t="shared" si="396"/>
        <v>89301000</v>
      </c>
      <c r="C8791" s="1">
        <v>44349</v>
      </c>
      <c r="D8791" s="1">
        <v>44354</v>
      </c>
      <c r="E8791">
        <v>1</v>
      </c>
      <c r="F8791" t="s">
        <v>1148</v>
      </c>
      <c r="G8791" t="str">
        <f>"09-K01-04"</f>
        <v>09-K01-04</v>
      </c>
      <c r="H8791">
        <v>0.57820000000000005</v>
      </c>
      <c r="J8791" t="s">
        <v>14</v>
      </c>
      <c r="K8791" t="str">
        <f>"4F4"</f>
        <v>4F4</v>
      </c>
      <c r="L8791" t="s">
        <v>15</v>
      </c>
    </row>
    <row r="8792" spans="1:12" x14ac:dyDescent="0.25">
      <c r="A8792" t="str">
        <f>"6661270022"</f>
        <v>6661270022</v>
      </c>
      <c r="B8792" t="str">
        <f t="shared" si="396"/>
        <v>89301000</v>
      </c>
      <c r="C8792" s="1">
        <v>44248</v>
      </c>
      <c r="D8792" s="1">
        <v>44252</v>
      </c>
      <c r="E8792">
        <v>1</v>
      </c>
      <c r="F8792" t="s">
        <v>217</v>
      </c>
      <c r="G8792" t="str">
        <f>"04-K02-04"</f>
        <v>04-K02-04</v>
      </c>
      <c r="H8792">
        <v>0.82469999999999999</v>
      </c>
      <c r="I8792" t="s">
        <v>5610</v>
      </c>
      <c r="J8792" t="s">
        <v>14</v>
      </c>
      <c r="K8792" t="str">
        <f>"5F1"</f>
        <v>5F1</v>
      </c>
      <c r="L8792" t="s">
        <v>15</v>
      </c>
    </row>
    <row r="8793" spans="1:12" x14ac:dyDescent="0.25">
      <c r="A8793" t="str">
        <f>"6662030793"</f>
        <v>6662030793</v>
      </c>
      <c r="B8793" t="str">
        <f t="shared" si="396"/>
        <v>89301000</v>
      </c>
      <c r="C8793" s="1">
        <v>44335</v>
      </c>
      <c r="D8793" s="1">
        <v>44336</v>
      </c>
      <c r="E8793">
        <v>1</v>
      </c>
      <c r="F8793" t="s">
        <v>186</v>
      </c>
      <c r="G8793" t="str">
        <f>"05-M05-03"</f>
        <v>05-M05-03</v>
      </c>
      <c r="H8793">
        <v>1.9991000000000001</v>
      </c>
      <c r="I8793" t="s">
        <v>348</v>
      </c>
      <c r="J8793" t="s">
        <v>24</v>
      </c>
      <c r="K8793" t="str">
        <f>"1F7"</f>
        <v>1F7</v>
      </c>
      <c r="L8793" t="s">
        <v>15</v>
      </c>
    </row>
    <row r="8794" spans="1:12" x14ac:dyDescent="0.25">
      <c r="A8794" t="str">
        <f>"6662081228"</f>
        <v>6662081228</v>
      </c>
      <c r="B8794" t="str">
        <f t="shared" si="396"/>
        <v>89301000</v>
      </c>
      <c r="C8794" s="1">
        <v>44207</v>
      </c>
      <c r="D8794" s="1">
        <v>44216</v>
      </c>
      <c r="E8794">
        <v>1</v>
      </c>
      <c r="F8794" t="s">
        <v>25</v>
      </c>
      <c r="G8794" t="str">
        <f>"19-K03-03"</f>
        <v>19-K03-03</v>
      </c>
      <c r="H8794">
        <v>0.93169999999999997</v>
      </c>
      <c r="I8794" t="s">
        <v>6165</v>
      </c>
      <c r="J8794" t="s">
        <v>27</v>
      </c>
      <c r="K8794" t="str">
        <f>"3F5"</f>
        <v>3F5</v>
      </c>
      <c r="L8794" t="s">
        <v>15</v>
      </c>
    </row>
    <row r="8795" spans="1:12" x14ac:dyDescent="0.25">
      <c r="A8795" t="str">
        <f>"6662180723"</f>
        <v>6662180723</v>
      </c>
      <c r="B8795" t="str">
        <f t="shared" si="396"/>
        <v>89301000</v>
      </c>
      <c r="C8795" s="1">
        <v>44531</v>
      </c>
      <c r="D8795" s="1">
        <v>44532</v>
      </c>
      <c r="E8795">
        <v>1</v>
      </c>
      <c r="F8795" t="s">
        <v>217</v>
      </c>
      <c r="G8795" t="str">
        <f>"04-K02-04"</f>
        <v>04-K02-04</v>
      </c>
      <c r="H8795">
        <v>0.55769999999999997</v>
      </c>
      <c r="I8795" t="s">
        <v>274</v>
      </c>
      <c r="J8795" t="s">
        <v>14</v>
      </c>
      <c r="K8795" t="str">
        <f>"1F1"</f>
        <v>1F1</v>
      </c>
      <c r="L8795" t="s">
        <v>15</v>
      </c>
    </row>
    <row r="8796" spans="1:12" x14ac:dyDescent="0.25">
      <c r="A8796" t="str">
        <f>"6701020579"</f>
        <v>6701020579</v>
      </c>
      <c r="B8796" t="str">
        <f t="shared" si="396"/>
        <v>89301000</v>
      </c>
      <c r="C8796" s="1">
        <v>44273</v>
      </c>
      <c r="D8796" s="1">
        <v>44274</v>
      </c>
      <c r="E8796">
        <v>1</v>
      </c>
      <c r="F8796" t="s">
        <v>1557</v>
      </c>
      <c r="G8796" t="str">
        <f>"05-M06-08"</f>
        <v>05-M06-08</v>
      </c>
      <c r="H8796">
        <v>1.4719</v>
      </c>
      <c r="J8796" t="s">
        <v>17</v>
      </c>
      <c r="K8796" t="str">
        <f>"1F1"</f>
        <v>1F1</v>
      </c>
      <c r="L8796" t="s">
        <v>15</v>
      </c>
    </row>
    <row r="8797" spans="1:12" x14ac:dyDescent="0.25">
      <c r="A8797" t="str">
        <f>"6701020579"</f>
        <v>6701020579</v>
      </c>
      <c r="B8797" t="str">
        <f t="shared" si="396"/>
        <v>89301000</v>
      </c>
      <c r="C8797" s="1">
        <v>44312</v>
      </c>
      <c r="D8797" s="1">
        <v>44313</v>
      </c>
      <c r="E8797">
        <v>1</v>
      </c>
      <c r="F8797" t="s">
        <v>1557</v>
      </c>
      <c r="G8797" t="str">
        <f>"05-M06-08"</f>
        <v>05-M06-08</v>
      </c>
      <c r="H8797">
        <v>1.4719</v>
      </c>
      <c r="I8797" t="s">
        <v>1684</v>
      </c>
      <c r="J8797" t="s">
        <v>17</v>
      </c>
      <c r="K8797" t="str">
        <f>"1F1"</f>
        <v>1F1</v>
      </c>
      <c r="L8797" t="s">
        <v>15</v>
      </c>
    </row>
    <row r="8798" spans="1:12" x14ac:dyDescent="0.25">
      <c r="A8798" t="str">
        <f>"6701120657"</f>
        <v>6701120657</v>
      </c>
      <c r="B8798" t="str">
        <f t="shared" si="396"/>
        <v>89301000</v>
      </c>
      <c r="C8798" s="1">
        <v>44355</v>
      </c>
      <c r="D8798" s="1">
        <v>44362</v>
      </c>
      <c r="E8798">
        <v>1</v>
      </c>
      <c r="F8798" t="s">
        <v>324</v>
      </c>
      <c r="G8798" t="str">
        <f>"06-K01-02"</f>
        <v>06-K01-02</v>
      </c>
      <c r="H8798">
        <v>1.2551000000000001</v>
      </c>
      <c r="I8798" t="s">
        <v>6166</v>
      </c>
      <c r="J8798" t="s">
        <v>14</v>
      </c>
      <c r="K8798" t="str">
        <f>"1F1"</f>
        <v>1F1</v>
      </c>
      <c r="L8798" t="s">
        <v>15</v>
      </c>
    </row>
    <row r="8799" spans="1:12" x14ac:dyDescent="0.25">
      <c r="A8799" t="str">
        <f>"6701131107"</f>
        <v>6701131107</v>
      </c>
      <c r="B8799" t="str">
        <f t="shared" si="396"/>
        <v>89301000</v>
      </c>
      <c r="C8799" s="1">
        <v>44350</v>
      </c>
      <c r="D8799" s="1">
        <v>44362</v>
      </c>
      <c r="E8799">
        <v>1</v>
      </c>
      <c r="F8799" t="s">
        <v>6167</v>
      </c>
      <c r="G8799" t="str">
        <f>"06-I21-03"</f>
        <v>06-I21-03</v>
      </c>
      <c r="H8799">
        <v>0.90439999999999998</v>
      </c>
      <c r="J8799" t="s">
        <v>17</v>
      </c>
      <c r="K8799" t="str">
        <f>"5F1"</f>
        <v>5F1</v>
      </c>
      <c r="L8799" t="s">
        <v>15</v>
      </c>
    </row>
    <row r="8800" spans="1:12" x14ac:dyDescent="0.25">
      <c r="A8800" t="str">
        <f>"6701201100"</f>
        <v>6701201100</v>
      </c>
      <c r="B8800" t="str">
        <f t="shared" si="396"/>
        <v>89301000</v>
      </c>
      <c r="C8800" s="1">
        <v>44456</v>
      </c>
      <c r="D8800" s="1">
        <v>44457</v>
      </c>
      <c r="E8800">
        <v>1</v>
      </c>
      <c r="F8800" t="s">
        <v>1650</v>
      </c>
      <c r="G8800" t="str">
        <f>"05-D01-06"</f>
        <v>05-D01-06</v>
      </c>
      <c r="H8800">
        <v>1.0051000000000001</v>
      </c>
      <c r="J8800" t="s">
        <v>14</v>
      </c>
      <c r="K8800" t="str">
        <f>"1F1"</f>
        <v>1F1</v>
      </c>
      <c r="L8800" t="s">
        <v>15</v>
      </c>
    </row>
    <row r="8801" spans="1:12" x14ac:dyDescent="0.25">
      <c r="A8801" t="str">
        <f>"6701201100"</f>
        <v>6701201100</v>
      </c>
      <c r="B8801" t="str">
        <f t="shared" si="396"/>
        <v>89301000</v>
      </c>
      <c r="C8801" s="1">
        <v>44461</v>
      </c>
      <c r="D8801" s="1">
        <v>44463</v>
      </c>
      <c r="E8801">
        <v>1</v>
      </c>
      <c r="F8801" t="s">
        <v>1936</v>
      </c>
      <c r="G8801" t="str">
        <f>"05-I14-03"</f>
        <v>05-I14-03</v>
      </c>
      <c r="H8801">
        <v>6.1292</v>
      </c>
      <c r="I8801" t="s">
        <v>1602</v>
      </c>
      <c r="J8801" t="s">
        <v>14</v>
      </c>
      <c r="K8801" t="str">
        <f>"1F7"</f>
        <v>1F7</v>
      </c>
      <c r="L8801" t="s">
        <v>15</v>
      </c>
    </row>
    <row r="8802" spans="1:12" x14ac:dyDescent="0.25">
      <c r="A8802" t="str">
        <f>"6701241393"</f>
        <v>6701241393</v>
      </c>
      <c r="B8802" t="str">
        <f t="shared" si="396"/>
        <v>89301000</v>
      </c>
      <c r="C8802" s="1">
        <v>44228</v>
      </c>
      <c r="D8802" s="1">
        <v>44228</v>
      </c>
      <c r="E8802">
        <v>1</v>
      </c>
      <c r="F8802" t="s">
        <v>1557</v>
      </c>
      <c r="G8802" t="str">
        <f>"05-D01-08"</f>
        <v>05-D01-08</v>
      </c>
      <c r="H8802">
        <v>0.21890000000000001</v>
      </c>
      <c r="I8802" t="s">
        <v>6168</v>
      </c>
      <c r="J8802" t="s">
        <v>14</v>
      </c>
      <c r="K8802" t="str">
        <f>"1F7"</f>
        <v>1F7</v>
      </c>
      <c r="L8802" t="s">
        <v>15</v>
      </c>
    </row>
    <row r="8803" spans="1:12" x14ac:dyDescent="0.25">
      <c r="A8803" t="str">
        <f>"6702012130"</f>
        <v>6702012130</v>
      </c>
      <c r="B8803" t="str">
        <f t="shared" si="396"/>
        <v>89301000</v>
      </c>
      <c r="C8803" s="1">
        <v>44361</v>
      </c>
      <c r="D8803" s="1">
        <v>44368</v>
      </c>
      <c r="E8803">
        <v>1</v>
      </c>
      <c r="F8803" t="s">
        <v>31</v>
      </c>
      <c r="G8803" t="str">
        <f>"08-I03-06"</f>
        <v>08-I03-06</v>
      </c>
      <c r="H8803">
        <v>3.3738000000000001</v>
      </c>
      <c r="I8803" t="s">
        <v>6169</v>
      </c>
      <c r="J8803" t="s">
        <v>17</v>
      </c>
      <c r="K8803" t="str">
        <f>"5F6"</f>
        <v>5F6</v>
      </c>
      <c r="L8803" t="s">
        <v>15</v>
      </c>
    </row>
    <row r="8804" spans="1:12" x14ac:dyDescent="0.25">
      <c r="A8804" t="str">
        <f>"6702020303"</f>
        <v>6702020303</v>
      </c>
      <c r="B8804" t="str">
        <f t="shared" si="396"/>
        <v>89301000</v>
      </c>
      <c r="C8804" s="1">
        <v>44375</v>
      </c>
      <c r="D8804" s="1">
        <v>44376</v>
      </c>
      <c r="E8804">
        <v>1</v>
      </c>
      <c r="F8804" t="s">
        <v>41</v>
      </c>
      <c r="G8804" t="str">
        <f>"01-D01-03"</f>
        <v>01-D01-03</v>
      </c>
      <c r="H8804">
        <v>0.158</v>
      </c>
      <c r="I8804" t="s">
        <v>3449</v>
      </c>
      <c r="J8804" t="s">
        <v>14</v>
      </c>
      <c r="K8804" t="str">
        <f>"2F5"</f>
        <v>2F5</v>
      </c>
      <c r="L8804" t="s">
        <v>15</v>
      </c>
    </row>
    <row r="8805" spans="1:12" x14ac:dyDescent="0.25">
      <c r="A8805" t="str">
        <f>"6702020303"</f>
        <v>6702020303</v>
      </c>
      <c r="B8805" t="str">
        <f t="shared" si="396"/>
        <v>89301000</v>
      </c>
      <c r="C8805" s="1">
        <v>44243</v>
      </c>
      <c r="D8805" s="1">
        <v>44280</v>
      </c>
      <c r="E8805">
        <v>1</v>
      </c>
      <c r="F8805" t="s">
        <v>2977</v>
      </c>
      <c r="G8805" t="str">
        <f>"19-K07-02"</f>
        <v>19-K07-02</v>
      </c>
      <c r="H8805">
        <v>2.8759999999999999</v>
      </c>
      <c r="I8805" t="s">
        <v>6170</v>
      </c>
      <c r="J8805" t="s">
        <v>27</v>
      </c>
      <c r="K8805" t="str">
        <f>"3F5"</f>
        <v>3F5</v>
      </c>
      <c r="L8805" t="s">
        <v>15</v>
      </c>
    </row>
    <row r="8806" spans="1:12" x14ac:dyDescent="0.25">
      <c r="A8806" t="str">
        <f>"6702020303"</f>
        <v>6702020303</v>
      </c>
      <c r="B8806" t="str">
        <f t="shared" si="396"/>
        <v>89301000</v>
      </c>
      <c r="C8806" s="1">
        <v>44449</v>
      </c>
      <c r="D8806" s="1">
        <v>44452</v>
      </c>
      <c r="E8806">
        <v>1</v>
      </c>
      <c r="F8806" t="s">
        <v>41</v>
      </c>
      <c r="G8806" t="str">
        <f>"01-D01-03"</f>
        <v>01-D01-03</v>
      </c>
      <c r="H8806">
        <v>0.2054</v>
      </c>
      <c r="I8806" t="s">
        <v>6171</v>
      </c>
      <c r="J8806" t="s">
        <v>14</v>
      </c>
      <c r="K8806" t="str">
        <f>"2F5"</f>
        <v>2F5</v>
      </c>
      <c r="L8806" t="s">
        <v>15</v>
      </c>
    </row>
    <row r="8807" spans="1:12" x14ac:dyDescent="0.25">
      <c r="A8807" t="str">
        <f>"6702030093"</f>
        <v>6702030093</v>
      </c>
      <c r="B8807" t="str">
        <f t="shared" si="396"/>
        <v>89301000</v>
      </c>
      <c r="C8807" s="1">
        <v>44273</v>
      </c>
      <c r="D8807" s="1">
        <v>44276</v>
      </c>
      <c r="E8807">
        <v>1</v>
      </c>
      <c r="F8807" t="s">
        <v>496</v>
      </c>
      <c r="G8807" t="str">
        <f>"08-M03-05"</f>
        <v>08-M03-05</v>
      </c>
      <c r="H8807">
        <v>0.51759999999999995</v>
      </c>
      <c r="I8807" t="s">
        <v>2407</v>
      </c>
      <c r="J8807" t="s">
        <v>14</v>
      </c>
      <c r="K8807" t="str">
        <f>"6F6"</f>
        <v>6F6</v>
      </c>
      <c r="L8807" t="s">
        <v>15</v>
      </c>
    </row>
    <row r="8808" spans="1:12" x14ac:dyDescent="0.25">
      <c r="A8808" t="str">
        <f>"6702120106"</f>
        <v>6702120106</v>
      </c>
      <c r="B8808" t="str">
        <f t="shared" si="396"/>
        <v>89301000</v>
      </c>
      <c r="C8808" s="1">
        <v>44238</v>
      </c>
      <c r="D8808" s="1">
        <v>44250</v>
      </c>
      <c r="E8808">
        <v>4</v>
      </c>
      <c r="F8808" t="s">
        <v>406</v>
      </c>
      <c r="G8808" t="str">
        <f>"08-I13-02"</f>
        <v>08-I13-02</v>
      </c>
      <c r="H8808">
        <v>3.2195</v>
      </c>
      <c r="I8808" t="s">
        <v>6172</v>
      </c>
      <c r="J8808" t="s">
        <v>17</v>
      </c>
      <c r="K8808" t="str">
        <f>"5F3"</f>
        <v>5F3</v>
      </c>
      <c r="L8808" t="s">
        <v>15</v>
      </c>
    </row>
    <row r="8809" spans="1:12" x14ac:dyDescent="0.25">
      <c r="A8809" t="str">
        <f>"6702236376"</f>
        <v>6702236376</v>
      </c>
      <c r="B8809" t="str">
        <f t="shared" si="396"/>
        <v>89301000</v>
      </c>
      <c r="C8809" s="1">
        <v>44346</v>
      </c>
      <c r="D8809" s="1">
        <v>44348</v>
      </c>
      <c r="E8809">
        <v>1</v>
      </c>
      <c r="F8809" t="s">
        <v>6173</v>
      </c>
      <c r="G8809" t="str">
        <f>"03-I22-03"</f>
        <v>03-I22-03</v>
      </c>
      <c r="H8809">
        <v>0.49049999999999999</v>
      </c>
      <c r="I8809" t="s">
        <v>334</v>
      </c>
      <c r="J8809" t="s">
        <v>14</v>
      </c>
      <c r="K8809" t="str">
        <f>"7F1"</f>
        <v>7F1</v>
      </c>
      <c r="L8809" t="s">
        <v>15</v>
      </c>
    </row>
    <row r="8810" spans="1:12" x14ac:dyDescent="0.25">
      <c r="A8810" t="str">
        <f>"6702270168"</f>
        <v>6702270168</v>
      </c>
      <c r="B8810" t="str">
        <f t="shared" si="396"/>
        <v>89301000</v>
      </c>
      <c r="C8810" s="1">
        <v>44217</v>
      </c>
      <c r="D8810" s="1">
        <v>44218</v>
      </c>
      <c r="E8810">
        <v>1</v>
      </c>
      <c r="F8810" t="s">
        <v>6174</v>
      </c>
      <c r="G8810" t="str">
        <f>"88-I08-00"</f>
        <v>88-I08-00</v>
      </c>
      <c r="H8810">
        <v>0.11459999999999999</v>
      </c>
      <c r="I8810" t="s">
        <v>6175</v>
      </c>
      <c r="J8810" t="s">
        <v>14</v>
      </c>
      <c r="K8810" t="str">
        <f>"5F3"</f>
        <v>5F3</v>
      </c>
      <c r="L8810" t="s">
        <v>15</v>
      </c>
    </row>
    <row r="8811" spans="1:12" x14ac:dyDescent="0.25">
      <c r="A8811" t="str">
        <f>"6702270168"</f>
        <v>6702270168</v>
      </c>
      <c r="B8811" t="str">
        <f t="shared" si="396"/>
        <v>89301000</v>
      </c>
      <c r="C8811" s="1">
        <v>44347</v>
      </c>
      <c r="D8811" s="1">
        <v>44348</v>
      </c>
      <c r="E8811">
        <v>1</v>
      </c>
      <c r="F8811" t="s">
        <v>174</v>
      </c>
      <c r="G8811" t="str">
        <f>"12-I14-00"</f>
        <v>12-I14-00</v>
      </c>
      <c r="H8811">
        <v>0.44350000000000001</v>
      </c>
      <c r="I8811" t="s">
        <v>2202</v>
      </c>
      <c r="J8811" t="s">
        <v>14</v>
      </c>
      <c r="K8811" t="str">
        <f>"7F6"</f>
        <v>7F6</v>
      </c>
      <c r="L8811" t="s">
        <v>15</v>
      </c>
    </row>
    <row r="8812" spans="1:12" x14ac:dyDescent="0.25">
      <c r="A8812" t="str">
        <f>"6703050013"</f>
        <v>6703050013</v>
      </c>
      <c r="B8812" t="str">
        <f t="shared" si="396"/>
        <v>89301000</v>
      </c>
      <c r="C8812" s="1">
        <v>44482</v>
      </c>
      <c r="D8812" s="1">
        <v>44484</v>
      </c>
      <c r="E8812">
        <v>4</v>
      </c>
      <c r="F8812" t="s">
        <v>627</v>
      </c>
      <c r="G8812" t="str">
        <f>"04-K08-03"</f>
        <v>04-K08-03</v>
      </c>
      <c r="H8812">
        <v>1.5965</v>
      </c>
      <c r="I8812" t="s">
        <v>6176</v>
      </c>
      <c r="J8812" t="s">
        <v>14</v>
      </c>
      <c r="K8812" t="str">
        <f>"1F1"</f>
        <v>1F1</v>
      </c>
      <c r="L8812" t="s">
        <v>15</v>
      </c>
    </row>
    <row r="8813" spans="1:12" x14ac:dyDescent="0.25">
      <c r="A8813" t="str">
        <f>"6703050013"</f>
        <v>6703050013</v>
      </c>
      <c r="B8813" t="str">
        <f t="shared" si="396"/>
        <v>89301000</v>
      </c>
      <c r="C8813" s="1">
        <v>44431</v>
      </c>
      <c r="D8813" s="1">
        <v>44454</v>
      </c>
      <c r="E8813">
        <v>4</v>
      </c>
      <c r="F8813" t="s">
        <v>1643</v>
      </c>
      <c r="G8813" t="str">
        <f>"00-M01-03"</f>
        <v>00-M01-03</v>
      </c>
      <c r="H8813">
        <v>10.0288</v>
      </c>
      <c r="I8813" t="s">
        <v>6177</v>
      </c>
      <c r="J8813" t="s">
        <v>14</v>
      </c>
      <c r="K8813" t="str">
        <f>"5T1"</f>
        <v>5T1</v>
      </c>
      <c r="L8813" t="s">
        <v>15</v>
      </c>
    </row>
    <row r="8814" spans="1:12" x14ac:dyDescent="0.25">
      <c r="A8814" t="str">
        <f>"6703050420"</f>
        <v>6703050420</v>
      </c>
      <c r="B8814" t="str">
        <f t="shared" si="396"/>
        <v>89301000</v>
      </c>
      <c r="C8814" s="1">
        <v>44542</v>
      </c>
      <c r="D8814" s="1">
        <v>44547</v>
      </c>
      <c r="E8814">
        <v>1</v>
      </c>
      <c r="F8814" t="s">
        <v>3067</v>
      </c>
      <c r="G8814" t="str">
        <f>"10-K04-02"</f>
        <v>10-K04-02</v>
      </c>
      <c r="H8814">
        <v>1.6459999999999999</v>
      </c>
      <c r="I8814" t="s">
        <v>6178</v>
      </c>
      <c r="J8814" t="s">
        <v>14</v>
      </c>
      <c r="K8814" t="str">
        <f>"1F1"</f>
        <v>1F1</v>
      </c>
      <c r="L8814" t="s">
        <v>15</v>
      </c>
    </row>
    <row r="8815" spans="1:12" x14ac:dyDescent="0.25">
      <c r="A8815" t="str">
        <f>"6703061805"</f>
        <v>6703061805</v>
      </c>
      <c r="B8815" t="str">
        <f t="shared" si="396"/>
        <v>89301000</v>
      </c>
      <c r="C8815" s="1">
        <v>44308</v>
      </c>
      <c r="D8815" s="1">
        <v>44313</v>
      </c>
      <c r="E8815">
        <v>1</v>
      </c>
      <c r="F8815" t="s">
        <v>45</v>
      </c>
      <c r="G8815" t="str">
        <f>"05-D01-06"</f>
        <v>05-D01-06</v>
      </c>
      <c r="H8815">
        <v>0.7611</v>
      </c>
      <c r="J8815" t="s">
        <v>14</v>
      </c>
      <c r="K8815" t="str">
        <f>"1F7"</f>
        <v>1F7</v>
      </c>
      <c r="L8815" t="s">
        <v>15</v>
      </c>
    </row>
    <row r="8816" spans="1:12" x14ac:dyDescent="0.25">
      <c r="A8816" t="str">
        <f>"6703081759"</f>
        <v>6703081759</v>
      </c>
      <c r="B8816" t="str">
        <f t="shared" ref="B8816:B8879" si="398">"89301000"</f>
        <v>89301000</v>
      </c>
      <c r="C8816" s="1">
        <v>44482</v>
      </c>
      <c r="D8816" s="1">
        <v>44486</v>
      </c>
      <c r="E8816">
        <v>1</v>
      </c>
      <c r="F8816" t="s">
        <v>2407</v>
      </c>
      <c r="G8816" t="str">
        <f>"08-I22-02"</f>
        <v>08-I22-02</v>
      </c>
      <c r="H8816">
        <v>1.1049</v>
      </c>
      <c r="I8816" t="s">
        <v>6179</v>
      </c>
      <c r="J8816" t="s">
        <v>17</v>
      </c>
      <c r="K8816" t="str">
        <f>"6F6"</f>
        <v>6F6</v>
      </c>
      <c r="L8816" t="s">
        <v>15</v>
      </c>
    </row>
    <row r="8817" spans="1:12" x14ac:dyDescent="0.25">
      <c r="A8817" t="str">
        <f>"6703151895"</f>
        <v>6703151895</v>
      </c>
      <c r="B8817" t="str">
        <f t="shared" si="398"/>
        <v>89301000</v>
      </c>
      <c r="C8817" s="1">
        <v>44326</v>
      </c>
      <c r="D8817" s="1">
        <v>44327</v>
      </c>
      <c r="E8817">
        <v>1</v>
      </c>
      <c r="F8817" t="s">
        <v>5970</v>
      </c>
      <c r="G8817" t="str">
        <f>"06-M01-05"</f>
        <v>06-M01-05</v>
      </c>
      <c r="H8817">
        <v>0.41710000000000003</v>
      </c>
      <c r="I8817" t="s">
        <v>6180</v>
      </c>
      <c r="J8817" t="s">
        <v>14</v>
      </c>
      <c r="K8817" t="str">
        <f>"1F1"</f>
        <v>1F1</v>
      </c>
      <c r="L8817" t="s">
        <v>15</v>
      </c>
    </row>
    <row r="8818" spans="1:12" x14ac:dyDescent="0.25">
      <c r="A8818" t="str">
        <f>"6703151895"</f>
        <v>6703151895</v>
      </c>
      <c r="B8818" t="str">
        <f t="shared" si="398"/>
        <v>89301000</v>
      </c>
      <c r="C8818" s="1">
        <v>44279</v>
      </c>
      <c r="D8818" s="1">
        <v>44281</v>
      </c>
      <c r="E8818">
        <v>1</v>
      </c>
      <c r="F8818" t="s">
        <v>139</v>
      </c>
      <c r="G8818" t="str">
        <f>"07-K11-03"</f>
        <v>07-K11-03</v>
      </c>
      <c r="H8818">
        <v>0.41060000000000002</v>
      </c>
      <c r="I8818" t="s">
        <v>6181</v>
      </c>
      <c r="J8818" t="s">
        <v>14</v>
      </c>
      <c r="K8818" t="str">
        <f>"1F5"</f>
        <v>1F5</v>
      </c>
      <c r="L8818" t="s">
        <v>15</v>
      </c>
    </row>
    <row r="8819" spans="1:12" x14ac:dyDescent="0.25">
      <c r="A8819" t="str">
        <f>"6703151895"</f>
        <v>6703151895</v>
      </c>
      <c r="B8819" t="str">
        <f t="shared" si="398"/>
        <v>89301000</v>
      </c>
      <c r="C8819" s="1">
        <v>44501</v>
      </c>
      <c r="D8819" s="1">
        <v>44502</v>
      </c>
      <c r="E8819">
        <v>1</v>
      </c>
      <c r="F8819" t="s">
        <v>2931</v>
      </c>
      <c r="G8819" t="str">
        <f>"07-K04-03"</f>
        <v>07-K04-03</v>
      </c>
      <c r="H8819">
        <v>0.74419999999999997</v>
      </c>
      <c r="I8819" t="s">
        <v>6182</v>
      </c>
      <c r="J8819" t="s">
        <v>14</v>
      </c>
      <c r="K8819" t="str">
        <f>"1F1"</f>
        <v>1F1</v>
      </c>
      <c r="L8819" t="s">
        <v>15</v>
      </c>
    </row>
    <row r="8820" spans="1:12" x14ac:dyDescent="0.25">
      <c r="A8820" t="str">
        <f>"6703151895"</f>
        <v>6703151895</v>
      </c>
      <c r="B8820" t="str">
        <f t="shared" si="398"/>
        <v>89301000</v>
      </c>
      <c r="C8820" s="1">
        <v>44469</v>
      </c>
      <c r="D8820" s="1">
        <v>44470</v>
      </c>
      <c r="E8820">
        <v>1</v>
      </c>
      <c r="F8820" t="s">
        <v>2062</v>
      </c>
      <c r="G8820" t="str">
        <f>"06-M01-03"</f>
        <v>06-M01-03</v>
      </c>
      <c r="H8820">
        <v>0.82450000000000001</v>
      </c>
      <c r="I8820" t="s">
        <v>6183</v>
      </c>
      <c r="J8820" t="s">
        <v>14</v>
      </c>
      <c r="K8820" t="str">
        <f>"1F1"</f>
        <v>1F1</v>
      </c>
      <c r="L8820" t="s">
        <v>15</v>
      </c>
    </row>
    <row r="8821" spans="1:12" x14ac:dyDescent="0.25">
      <c r="A8821" t="str">
        <f>"6703180539"</f>
        <v>6703180539</v>
      </c>
      <c r="B8821" t="str">
        <f t="shared" si="398"/>
        <v>89301000</v>
      </c>
      <c r="C8821" s="1">
        <v>44529</v>
      </c>
      <c r="D8821" s="1">
        <v>44530</v>
      </c>
      <c r="E8821">
        <v>1</v>
      </c>
      <c r="F8821" t="s">
        <v>217</v>
      </c>
      <c r="G8821" t="str">
        <f>"04-K02-04"</f>
        <v>04-K02-04</v>
      </c>
      <c r="H8821">
        <v>0.55769999999999997</v>
      </c>
      <c r="I8821" t="s">
        <v>274</v>
      </c>
      <c r="J8821" t="s">
        <v>14</v>
      </c>
      <c r="K8821" t="str">
        <f>"1F1"</f>
        <v>1F1</v>
      </c>
      <c r="L8821" t="s">
        <v>15</v>
      </c>
    </row>
    <row r="8822" spans="1:12" x14ac:dyDescent="0.25">
      <c r="A8822" t="str">
        <f>"6703221503"</f>
        <v>6703221503</v>
      </c>
      <c r="B8822" t="str">
        <f t="shared" si="398"/>
        <v>89301000</v>
      </c>
      <c r="C8822" s="1">
        <v>44531</v>
      </c>
      <c r="D8822" s="1">
        <v>44532</v>
      </c>
      <c r="E8822">
        <v>1</v>
      </c>
      <c r="F8822" t="s">
        <v>41</v>
      </c>
      <c r="G8822" t="str">
        <f>"01-D01-03"</f>
        <v>01-D01-03</v>
      </c>
      <c r="H8822">
        <v>0.158</v>
      </c>
      <c r="I8822" t="s">
        <v>6184</v>
      </c>
      <c r="J8822" t="s">
        <v>14</v>
      </c>
      <c r="K8822" t="str">
        <f>"2F5"</f>
        <v>2F5</v>
      </c>
      <c r="L8822" t="s">
        <v>15</v>
      </c>
    </row>
    <row r="8823" spans="1:12" x14ac:dyDescent="0.25">
      <c r="A8823" t="str">
        <f>"6703221503"</f>
        <v>6703221503</v>
      </c>
      <c r="B8823" t="str">
        <f t="shared" si="398"/>
        <v>89301000</v>
      </c>
      <c r="C8823" s="1">
        <v>44546</v>
      </c>
      <c r="D8823" s="1">
        <v>44547</v>
      </c>
      <c r="E8823">
        <v>1</v>
      </c>
      <c r="F8823" t="s">
        <v>41</v>
      </c>
      <c r="G8823" t="str">
        <f>"01-D01-03"</f>
        <v>01-D01-03</v>
      </c>
      <c r="H8823">
        <v>0.158</v>
      </c>
      <c r="I8823" t="s">
        <v>6185</v>
      </c>
      <c r="J8823" t="s">
        <v>14</v>
      </c>
      <c r="K8823" t="str">
        <f>"2F5"</f>
        <v>2F5</v>
      </c>
      <c r="L8823" t="s">
        <v>15</v>
      </c>
    </row>
    <row r="8824" spans="1:12" x14ac:dyDescent="0.25">
      <c r="A8824" t="str">
        <f>"6703240027"</f>
        <v>6703240027</v>
      </c>
      <c r="B8824" t="str">
        <f t="shared" si="398"/>
        <v>89301000</v>
      </c>
      <c r="C8824" s="1">
        <v>44406</v>
      </c>
      <c r="D8824" s="1">
        <v>44413</v>
      </c>
      <c r="E8824">
        <v>1</v>
      </c>
      <c r="F8824" t="s">
        <v>2232</v>
      </c>
      <c r="G8824" t="str">
        <f>"11-K07-02"</f>
        <v>11-K07-02</v>
      </c>
      <c r="H8824">
        <v>0.4869</v>
      </c>
      <c r="I8824" t="s">
        <v>6186</v>
      </c>
      <c r="J8824" t="s">
        <v>14</v>
      </c>
      <c r="K8824" t="str">
        <f>"4F2"</f>
        <v>4F2</v>
      </c>
      <c r="L8824" t="s">
        <v>15</v>
      </c>
    </row>
    <row r="8825" spans="1:12" x14ac:dyDescent="0.25">
      <c r="A8825" t="str">
        <f>"6704010676"</f>
        <v>6704010676</v>
      </c>
      <c r="B8825" t="str">
        <f t="shared" si="398"/>
        <v>89301000</v>
      </c>
      <c r="C8825" s="1">
        <v>44238</v>
      </c>
      <c r="D8825" s="1">
        <v>44246</v>
      </c>
      <c r="E8825">
        <v>1</v>
      </c>
      <c r="F8825" t="s">
        <v>4908</v>
      </c>
      <c r="G8825" t="str">
        <f>"12-C01-01"</f>
        <v>12-C01-01</v>
      </c>
      <c r="H8825">
        <v>0.65110000000000001</v>
      </c>
      <c r="I8825" t="s">
        <v>541</v>
      </c>
      <c r="J8825" t="s">
        <v>14</v>
      </c>
      <c r="K8825" t="str">
        <f>"4F2"</f>
        <v>4F2</v>
      </c>
      <c r="L8825" t="s">
        <v>15</v>
      </c>
    </row>
    <row r="8826" spans="1:12" x14ac:dyDescent="0.25">
      <c r="A8826" t="str">
        <f>"6704010676"</f>
        <v>6704010676</v>
      </c>
      <c r="B8826" t="str">
        <f t="shared" si="398"/>
        <v>89301000</v>
      </c>
      <c r="C8826" s="1">
        <v>44202</v>
      </c>
      <c r="D8826" s="1">
        <v>44203</v>
      </c>
      <c r="E8826">
        <v>1</v>
      </c>
      <c r="F8826" t="s">
        <v>4908</v>
      </c>
      <c r="G8826" t="str">
        <f>"12-I08-03"</f>
        <v>12-I08-03</v>
      </c>
      <c r="H8826">
        <v>0.7036</v>
      </c>
      <c r="I8826" t="s">
        <v>168</v>
      </c>
      <c r="J8826" t="s">
        <v>14</v>
      </c>
      <c r="K8826" t="str">
        <f>"7F6"</f>
        <v>7F6</v>
      </c>
      <c r="L8826" t="s">
        <v>15</v>
      </c>
    </row>
    <row r="8827" spans="1:12" x14ac:dyDescent="0.25">
      <c r="A8827" t="str">
        <f>"6704190977"</f>
        <v>6704190977</v>
      </c>
      <c r="B8827" t="str">
        <f t="shared" si="398"/>
        <v>89301000</v>
      </c>
      <c r="C8827" s="1">
        <v>44228</v>
      </c>
      <c r="D8827" s="1">
        <v>44239</v>
      </c>
      <c r="E8827">
        <v>1</v>
      </c>
      <c r="F8827" t="s">
        <v>2055</v>
      </c>
      <c r="G8827" t="str">
        <f>"07-M02-04"</f>
        <v>07-M02-04</v>
      </c>
      <c r="H8827">
        <v>1.2878000000000001</v>
      </c>
      <c r="I8827" t="s">
        <v>6187</v>
      </c>
      <c r="J8827" t="s">
        <v>17</v>
      </c>
      <c r="K8827" t="str">
        <f>"1F5"</f>
        <v>1F5</v>
      </c>
      <c r="L8827" t="s">
        <v>15</v>
      </c>
    </row>
    <row r="8828" spans="1:12" x14ac:dyDescent="0.25">
      <c r="A8828" t="str">
        <f>"6704190977"</f>
        <v>6704190977</v>
      </c>
      <c r="B8828" t="str">
        <f t="shared" si="398"/>
        <v>89301000</v>
      </c>
      <c r="C8828" s="1">
        <v>44280</v>
      </c>
      <c r="D8828" s="1">
        <v>44285</v>
      </c>
      <c r="E8828">
        <v>1</v>
      </c>
      <c r="F8828" t="s">
        <v>1693</v>
      </c>
      <c r="G8828" t="str">
        <f>"07-M02-03"</f>
        <v>07-M02-03</v>
      </c>
      <c r="H8828">
        <v>1.2850999999999999</v>
      </c>
      <c r="I8828" t="s">
        <v>6188</v>
      </c>
      <c r="J8828" t="s">
        <v>17</v>
      </c>
      <c r="K8828" t="str">
        <f>"1F5"</f>
        <v>1F5</v>
      </c>
      <c r="L8828" t="s">
        <v>15</v>
      </c>
    </row>
    <row r="8829" spans="1:12" x14ac:dyDescent="0.25">
      <c r="A8829" t="str">
        <f>"6704190977"</f>
        <v>6704190977</v>
      </c>
      <c r="B8829" t="str">
        <f t="shared" si="398"/>
        <v>89301000</v>
      </c>
      <c r="C8829" s="1">
        <v>44314</v>
      </c>
      <c r="D8829" s="1">
        <v>44321</v>
      </c>
      <c r="E8829">
        <v>1</v>
      </c>
      <c r="F8829" t="s">
        <v>1693</v>
      </c>
      <c r="G8829" t="str">
        <f>"07-M02-03"</f>
        <v>07-M02-03</v>
      </c>
      <c r="H8829">
        <v>1.2850999999999999</v>
      </c>
      <c r="I8829" t="s">
        <v>6189</v>
      </c>
      <c r="J8829" t="s">
        <v>17</v>
      </c>
      <c r="K8829" t="str">
        <f>"1F1"</f>
        <v>1F1</v>
      </c>
      <c r="L8829" t="s">
        <v>15</v>
      </c>
    </row>
    <row r="8830" spans="1:12" x14ac:dyDescent="0.25">
      <c r="A8830" t="str">
        <f>"6704190977"</f>
        <v>6704190977</v>
      </c>
      <c r="B8830" t="str">
        <f t="shared" si="398"/>
        <v>89301000</v>
      </c>
      <c r="C8830" s="1">
        <v>44371</v>
      </c>
      <c r="D8830" s="1">
        <v>44383</v>
      </c>
      <c r="E8830">
        <v>1</v>
      </c>
      <c r="F8830" t="s">
        <v>1693</v>
      </c>
      <c r="G8830" t="str">
        <f>"07-M02-02"</f>
        <v>07-M02-02</v>
      </c>
      <c r="H8830">
        <v>2.3687</v>
      </c>
      <c r="I8830" t="s">
        <v>6190</v>
      </c>
      <c r="J8830" t="s">
        <v>17</v>
      </c>
      <c r="K8830" t="str">
        <f>"1F5"</f>
        <v>1F5</v>
      </c>
      <c r="L8830" t="s">
        <v>15</v>
      </c>
    </row>
    <row r="8831" spans="1:12" x14ac:dyDescent="0.25">
      <c r="A8831" t="str">
        <f>"6705090689"</f>
        <v>6705090689</v>
      </c>
      <c r="B8831" t="str">
        <f t="shared" si="398"/>
        <v>89301000</v>
      </c>
      <c r="C8831" s="1">
        <v>44545</v>
      </c>
      <c r="D8831" s="1">
        <v>44551</v>
      </c>
      <c r="E8831">
        <v>1</v>
      </c>
      <c r="F8831" t="s">
        <v>4311</v>
      </c>
      <c r="G8831" t="str">
        <f>"06-K15-02"</f>
        <v>06-K15-02</v>
      </c>
      <c r="H8831">
        <v>0.42970000000000003</v>
      </c>
      <c r="I8831" t="s">
        <v>6191</v>
      </c>
      <c r="J8831" t="s">
        <v>14</v>
      </c>
      <c r="K8831" t="str">
        <f>"1F5"</f>
        <v>1F5</v>
      </c>
      <c r="L8831" t="s">
        <v>15</v>
      </c>
    </row>
    <row r="8832" spans="1:12" x14ac:dyDescent="0.25">
      <c r="A8832" t="str">
        <f>"6705090689"</f>
        <v>6705090689</v>
      </c>
      <c r="B8832" t="str">
        <f t="shared" si="398"/>
        <v>89301000</v>
      </c>
      <c r="C8832" s="1">
        <v>44413</v>
      </c>
      <c r="D8832" s="1">
        <v>44416</v>
      </c>
      <c r="E8832">
        <v>1</v>
      </c>
      <c r="F8832" t="s">
        <v>3656</v>
      </c>
      <c r="G8832" t="str">
        <f>"06-M01-02"</f>
        <v>06-M01-02</v>
      </c>
      <c r="H8832">
        <v>1.2191000000000001</v>
      </c>
      <c r="J8832" t="s">
        <v>14</v>
      </c>
      <c r="K8832" t="str">
        <f>"1F5"</f>
        <v>1F5</v>
      </c>
      <c r="L8832" t="s">
        <v>15</v>
      </c>
    </row>
    <row r="8833" spans="1:12" x14ac:dyDescent="0.25">
      <c r="A8833" t="str">
        <f>"6705120191"</f>
        <v>6705120191</v>
      </c>
      <c r="B8833" t="str">
        <f t="shared" si="398"/>
        <v>89301000</v>
      </c>
      <c r="C8833" s="1">
        <v>44274</v>
      </c>
      <c r="D8833" s="1">
        <v>44284</v>
      </c>
      <c r="E8833">
        <v>1</v>
      </c>
      <c r="F8833" t="s">
        <v>874</v>
      </c>
      <c r="G8833" t="str">
        <f>"07-M02-02"</f>
        <v>07-M02-02</v>
      </c>
      <c r="H8833">
        <v>2.1716000000000002</v>
      </c>
      <c r="I8833" t="s">
        <v>6192</v>
      </c>
      <c r="J8833" t="s">
        <v>17</v>
      </c>
      <c r="K8833" t="str">
        <f>"1F1"</f>
        <v>1F1</v>
      </c>
      <c r="L8833" t="s">
        <v>15</v>
      </c>
    </row>
    <row r="8834" spans="1:12" x14ac:dyDescent="0.25">
      <c r="A8834" t="str">
        <f>"6705120191"</f>
        <v>6705120191</v>
      </c>
      <c r="B8834" t="str">
        <f t="shared" si="398"/>
        <v>89301000</v>
      </c>
      <c r="C8834" s="1">
        <v>44337</v>
      </c>
      <c r="D8834" s="1">
        <v>44340</v>
      </c>
      <c r="E8834">
        <v>1</v>
      </c>
      <c r="F8834" t="s">
        <v>874</v>
      </c>
      <c r="G8834" t="str">
        <f>"07-M02-04"</f>
        <v>07-M02-04</v>
      </c>
      <c r="H8834">
        <v>0.73929999999999996</v>
      </c>
      <c r="I8834" t="s">
        <v>6193</v>
      </c>
      <c r="J8834" t="s">
        <v>17</v>
      </c>
      <c r="K8834" t="str">
        <f>"1F5"</f>
        <v>1F5</v>
      </c>
      <c r="L8834" t="s">
        <v>15</v>
      </c>
    </row>
    <row r="8835" spans="1:12" x14ac:dyDescent="0.25">
      <c r="A8835" t="str">
        <f>"6705120191"</f>
        <v>6705120191</v>
      </c>
      <c r="B8835" t="str">
        <f t="shared" si="398"/>
        <v>89301000</v>
      </c>
      <c r="C8835" s="1">
        <v>44518</v>
      </c>
      <c r="D8835" s="1">
        <v>44519</v>
      </c>
      <c r="E8835">
        <v>1</v>
      </c>
      <c r="F8835" t="s">
        <v>334</v>
      </c>
      <c r="G8835" t="str">
        <f>"06-K03-02"</f>
        <v>06-K03-02</v>
      </c>
      <c r="H8835">
        <v>0.74839999999999995</v>
      </c>
      <c r="I8835" t="s">
        <v>6194</v>
      </c>
      <c r="J8835" t="s">
        <v>14</v>
      </c>
      <c r="K8835" t="str">
        <f>"1F5"</f>
        <v>1F5</v>
      </c>
      <c r="L8835" t="s">
        <v>15</v>
      </c>
    </row>
    <row r="8836" spans="1:12" x14ac:dyDescent="0.25">
      <c r="A8836" t="str">
        <f>"6705120191"</f>
        <v>6705120191</v>
      </c>
      <c r="B8836" t="str">
        <f t="shared" si="398"/>
        <v>89301000</v>
      </c>
      <c r="C8836" s="1">
        <v>44529</v>
      </c>
      <c r="D8836" s="1">
        <v>44532</v>
      </c>
      <c r="E8836">
        <v>1</v>
      </c>
      <c r="F8836" t="s">
        <v>874</v>
      </c>
      <c r="G8836" t="str">
        <f>"07-M02-04"</f>
        <v>07-M02-04</v>
      </c>
      <c r="H8836">
        <v>0.96830000000000005</v>
      </c>
      <c r="I8836" t="s">
        <v>6195</v>
      </c>
      <c r="J8836" t="s">
        <v>17</v>
      </c>
      <c r="K8836" t="str">
        <f>"1F5"</f>
        <v>1F5</v>
      </c>
      <c r="L8836" t="s">
        <v>15</v>
      </c>
    </row>
    <row r="8837" spans="1:12" x14ac:dyDescent="0.25">
      <c r="A8837" t="str">
        <f>"6705260573"</f>
        <v>6705260573</v>
      </c>
      <c r="B8837" t="str">
        <f t="shared" si="398"/>
        <v>89301000</v>
      </c>
      <c r="C8837" s="1">
        <v>44295</v>
      </c>
      <c r="D8837" s="1">
        <v>44301</v>
      </c>
      <c r="E8837">
        <v>1</v>
      </c>
      <c r="F8837" t="s">
        <v>1690</v>
      </c>
      <c r="G8837" t="str">
        <f>"07-M02-04"</f>
        <v>07-M02-04</v>
      </c>
      <c r="H8837">
        <v>0.79590000000000005</v>
      </c>
      <c r="I8837" t="s">
        <v>6196</v>
      </c>
      <c r="J8837" t="s">
        <v>17</v>
      </c>
      <c r="K8837" t="str">
        <f>"1F5"</f>
        <v>1F5</v>
      </c>
      <c r="L8837" t="s">
        <v>15</v>
      </c>
    </row>
    <row r="8838" spans="1:12" x14ac:dyDescent="0.25">
      <c r="A8838" t="str">
        <f>"6705260573"</f>
        <v>6705260573</v>
      </c>
      <c r="B8838" t="str">
        <f t="shared" si="398"/>
        <v>89301000</v>
      </c>
      <c r="C8838" s="1">
        <v>44514</v>
      </c>
      <c r="D8838" s="1">
        <v>44519</v>
      </c>
      <c r="E8838">
        <v>1</v>
      </c>
      <c r="F8838" t="s">
        <v>888</v>
      </c>
      <c r="G8838" t="str">
        <f>"07-M02-04"</f>
        <v>07-M02-04</v>
      </c>
      <c r="H8838">
        <v>0.87970000000000004</v>
      </c>
      <c r="I8838" t="s">
        <v>6197</v>
      </c>
      <c r="J8838" t="s">
        <v>17</v>
      </c>
      <c r="K8838" t="str">
        <f>"1F5"</f>
        <v>1F5</v>
      </c>
      <c r="L8838" t="s">
        <v>15</v>
      </c>
    </row>
    <row r="8839" spans="1:12" x14ac:dyDescent="0.25">
      <c r="A8839" t="str">
        <f>"6705270924"</f>
        <v>6705270924</v>
      </c>
      <c r="B8839" t="str">
        <f t="shared" si="398"/>
        <v>89301000</v>
      </c>
      <c r="C8839" s="1">
        <v>44298</v>
      </c>
      <c r="D8839" s="1">
        <v>44313</v>
      </c>
      <c r="E8839">
        <v>1</v>
      </c>
      <c r="F8839" t="s">
        <v>2232</v>
      </c>
      <c r="G8839" t="str">
        <f>"11-K07-01"</f>
        <v>11-K07-01</v>
      </c>
      <c r="H8839">
        <v>1.0079</v>
      </c>
      <c r="I8839" t="s">
        <v>6198</v>
      </c>
      <c r="J8839" t="s">
        <v>14</v>
      </c>
      <c r="K8839" t="str">
        <f>"4F2"</f>
        <v>4F2</v>
      </c>
      <c r="L8839" t="s">
        <v>15</v>
      </c>
    </row>
    <row r="8840" spans="1:12" x14ac:dyDescent="0.25">
      <c r="A8840" t="str">
        <f>"6705300162"</f>
        <v>6705300162</v>
      </c>
      <c r="B8840" t="str">
        <f t="shared" si="398"/>
        <v>89301000</v>
      </c>
      <c r="C8840" s="1">
        <v>44279</v>
      </c>
      <c r="D8840" s="1">
        <v>44286</v>
      </c>
      <c r="E8840">
        <v>1</v>
      </c>
      <c r="F8840" t="s">
        <v>2987</v>
      </c>
      <c r="G8840" t="str">
        <f>"19-K03-03"</f>
        <v>19-K03-03</v>
      </c>
      <c r="H8840">
        <v>0.93169999999999997</v>
      </c>
      <c r="I8840" t="s">
        <v>6199</v>
      </c>
      <c r="J8840" t="s">
        <v>27</v>
      </c>
      <c r="K8840" t="str">
        <f>"3F5"</f>
        <v>3F5</v>
      </c>
      <c r="L8840" t="s">
        <v>15</v>
      </c>
    </row>
    <row r="8841" spans="1:12" x14ac:dyDescent="0.25">
      <c r="A8841" t="str">
        <f>"6705300668"</f>
        <v>6705300668</v>
      </c>
      <c r="B8841" t="str">
        <f t="shared" si="398"/>
        <v>89301000</v>
      </c>
      <c r="C8841" s="1">
        <v>44320</v>
      </c>
      <c r="D8841" s="1">
        <v>44327</v>
      </c>
      <c r="E8841">
        <v>1</v>
      </c>
      <c r="F8841" t="s">
        <v>4912</v>
      </c>
      <c r="G8841" t="str">
        <f>"05-I17-00"</f>
        <v>05-I17-00</v>
      </c>
      <c r="H8841">
        <v>5.5561999999999996</v>
      </c>
      <c r="I8841" t="s">
        <v>6200</v>
      </c>
      <c r="J8841" t="s">
        <v>14</v>
      </c>
      <c r="K8841" t="str">
        <f>"5F5"</f>
        <v>5F5</v>
      </c>
      <c r="L8841" t="s">
        <v>15</v>
      </c>
    </row>
    <row r="8842" spans="1:12" x14ac:dyDescent="0.25">
      <c r="A8842" t="str">
        <f>"6705300668"</f>
        <v>6705300668</v>
      </c>
      <c r="B8842" t="str">
        <f t="shared" si="398"/>
        <v>89301000</v>
      </c>
      <c r="C8842" s="1">
        <v>44370</v>
      </c>
      <c r="D8842" s="1">
        <v>44373</v>
      </c>
      <c r="E8842">
        <v>1</v>
      </c>
      <c r="F8842" t="s">
        <v>1830</v>
      </c>
      <c r="G8842" t="str">
        <f>"16-K02-02"</f>
        <v>16-K02-02</v>
      </c>
      <c r="H8842">
        <v>0.77459999999999996</v>
      </c>
      <c r="I8842" t="s">
        <v>6201</v>
      </c>
      <c r="J8842" t="s">
        <v>14</v>
      </c>
      <c r="K8842" t="str">
        <f>"1F1"</f>
        <v>1F1</v>
      </c>
      <c r="L8842" t="s">
        <v>15</v>
      </c>
    </row>
    <row r="8843" spans="1:12" x14ac:dyDescent="0.25">
      <c r="A8843" t="str">
        <f>"6706010432"</f>
        <v>6706010432</v>
      </c>
      <c r="B8843" t="str">
        <f t="shared" si="398"/>
        <v>89301000</v>
      </c>
      <c r="C8843" s="1">
        <v>44262</v>
      </c>
      <c r="D8843" s="1">
        <v>44264</v>
      </c>
      <c r="E8843">
        <v>1</v>
      </c>
      <c r="F8843" t="s">
        <v>496</v>
      </c>
      <c r="G8843" t="str">
        <f>"08-M03-05"</f>
        <v>08-M03-05</v>
      </c>
      <c r="H8843">
        <v>0.51759999999999995</v>
      </c>
      <c r="I8843" t="s">
        <v>2407</v>
      </c>
      <c r="J8843" t="s">
        <v>14</v>
      </c>
      <c r="K8843" t="str">
        <f>"6F6"</f>
        <v>6F6</v>
      </c>
      <c r="L8843" t="s">
        <v>15</v>
      </c>
    </row>
    <row r="8844" spans="1:12" x14ac:dyDescent="0.25">
      <c r="A8844" t="str">
        <f>"6706120069"</f>
        <v>6706120069</v>
      </c>
      <c r="B8844" t="str">
        <f t="shared" si="398"/>
        <v>89301000</v>
      </c>
      <c r="C8844" s="1">
        <v>44274</v>
      </c>
      <c r="D8844" s="1">
        <v>44284</v>
      </c>
      <c r="E8844">
        <v>1</v>
      </c>
      <c r="F8844" t="s">
        <v>2120</v>
      </c>
      <c r="G8844" t="str">
        <f>"06-K07-02"</f>
        <v>06-K07-02</v>
      </c>
      <c r="H8844">
        <v>0.6099</v>
      </c>
      <c r="J8844" t="s">
        <v>14</v>
      </c>
      <c r="K8844" t="str">
        <f>"5F1"</f>
        <v>5F1</v>
      </c>
      <c r="L8844" t="s">
        <v>15</v>
      </c>
    </row>
    <row r="8845" spans="1:12" x14ac:dyDescent="0.25">
      <c r="A8845" t="str">
        <f>"6706260044"</f>
        <v>6706260044</v>
      </c>
      <c r="B8845" t="str">
        <f t="shared" si="398"/>
        <v>89301000</v>
      </c>
      <c r="C8845" s="1">
        <v>44370</v>
      </c>
      <c r="D8845" s="1">
        <v>44372</v>
      </c>
      <c r="E8845">
        <v>1</v>
      </c>
      <c r="F8845" t="s">
        <v>1688</v>
      </c>
      <c r="G8845" t="str">
        <f>"02-I06-03"</f>
        <v>02-I06-03</v>
      </c>
      <c r="H8845">
        <v>0.63690000000000002</v>
      </c>
      <c r="I8845" t="s">
        <v>6202</v>
      </c>
      <c r="J8845" t="s">
        <v>17</v>
      </c>
      <c r="K8845" t="str">
        <f>"7F5"</f>
        <v>7F5</v>
      </c>
      <c r="L8845" t="s">
        <v>15</v>
      </c>
    </row>
    <row r="8846" spans="1:12" x14ac:dyDescent="0.25">
      <c r="A8846" t="str">
        <f>"6706270098"</f>
        <v>6706270098</v>
      </c>
      <c r="B8846" t="str">
        <f t="shared" si="398"/>
        <v>89301000</v>
      </c>
      <c r="C8846" s="1">
        <v>44288</v>
      </c>
      <c r="D8846" s="1">
        <v>44293</v>
      </c>
      <c r="E8846">
        <v>1</v>
      </c>
      <c r="F8846" t="s">
        <v>6203</v>
      </c>
      <c r="G8846" t="str">
        <f>"06-I06-00"</f>
        <v>06-I06-00</v>
      </c>
      <c r="H8846">
        <v>6.0377999999999998</v>
      </c>
      <c r="I8846" t="s">
        <v>6204</v>
      </c>
      <c r="J8846" t="s">
        <v>17</v>
      </c>
      <c r="K8846" t="str">
        <f>"1F5"</f>
        <v>1F5</v>
      </c>
      <c r="L8846" t="s">
        <v>15</v>
      </c>
    </row>
    <row r="8847" spans="1:12" x14ac:dyDescent="0.25">
      <c r="A8847" t="str">
        <f>"6707010321"</f>
        <v>6707010321</v>
      </c>
      <c r="B8847" t="str">
        <f t="shared" si="398"/>
        <v>89301000</v>
      </c>
      <c r="C8847" s="1">
        <v>44350</v>
      </c>
      <c r="D8847" s="1">
        <v>44352</v>
      </c>
      <c r="E8847">
        <v>1</v>
      </c>
      <c r="F8847" t="s">
        <v>4196</v>
      </c>
      <c r="G8847" t="str">
        <f>"08-M03-02"</f>
        <v>08-M03-02</v>
      </c>
      <c r="H8847">
        <v>0.86970000000000003</v>
      </c>
      <c r="I8847" t="s">
        <v>6205</v>
      </c>
      <c r="J8847" t="s">
        <v>14</v>
      </c>
      <c r="K8847" t="str">
        <f>"6F6"</f>
        <v>6F6</v>
      </c>
      <c r="L8847" t="s">
        <v>15</v>
      </c>
    </row>
    <row r="8848" spans="1:12" x14ac:dyDescent="0.25">
      <c r="A8848" t="str">
        <f>"6707031881"</f>
        <v>6707031881</v>
      </c>
      <c r="B8848" t="str">
        <f t="shared" si="398"/>
        <v>89301000</v>
      </c>
      <c r="C8848" s="1">
        <v>44314</v>
      </c>
      <c r="D8848" s="1">
        <v>44314</v>
      </c>
      <c r="E8848">
        <v>1</v>
      </c>
      <c r="F8848" t="s">
        <v>1557</v>
      </c>
      <c r="G8848" t="str">
        <f>"05-M06-08"</f>
        <v>05-M06-08</v>
      </c>
      <c r="H8848">
        <v>1.1200000000000001</v>
      </c>
      <c r="I8848" t="s">
        <v>6206</v>
      </c>
      <c r="J8848" t="s">
        <v>17</v>
      </c>
      <c r="K8848" t="str">
        <f>"1F1"</f>
        <v>1F1</v>
      </c>
      <c r="L8848" t="s">
        <v>15</v>
      </c>
    </row>
    <row r="8849" spans="1:12" x14ac:dyDescent="0.25">
      <c r="A8849" t="str">
        <f>"6708020572"</f>
        <v>6708020572</v>
      </c>
      <c r="B8849" t="str">
        <f t="shared" si="398"/>
        <v>89301000</v>
      </c>
      <c r="C8849" s="1">
        <v>44406</v>
      </c>
      <c r="D8849" s="1">
        <v>44407</v>
      </c>
      <c r="E8849">
        <v>1</v>
      </c>
      <c r="F8849" t="s">
        <v>2360</v>
      </c>
      <c r="G8849" t="str">
        <f>"06-M01-02"</f>
        <v>06-M01-02</v>
      </c>
      <c r="H8849">
        <v>1.2191000000000001</v>
      </c>
      <c r="I8849" t="s">
        <v>1868</v>
      </c>
      <c r="J8849" t="s">
        <v>14</v>
      </c>
      <c r="K8849" t="str">
        <f>"1F5"</f>
        <v>1F5</v>
      </c>
      <c r="L8849" t="s">
        <v>15</v>
      </c>
    </row>
    <row r="8850" spans="1:12" x14ac:dyDescent="0.25">
      <c r="A8850" t="str">
        <f>"6708061393"</f>
        <v>6708061393</v>
      </c>
      <c r="B8850" t="str">
        <f t="shared" si="398"/>
        <v>89301000</v>
      </c>
      <c r="C8850" s="1">
        <v>44336</v>
      </c>
      <c r="D8850" s="1">
        <v>44338</v>
      </c>
      <c r="E8850">
        <v>1</v>
      </c>
      <c r="F8850" t="s">
        <v>6207</v>
      </c>
      <c r="G8850" t="str">
        <f>"12-I08-03"</f>
        <v>12-I08-03</v>
      </c>
      <c r="H8850">
        <v>0.7036</v>
      </c>
      <c r="I8850" t="s">
        <v>2202</v>
      </c>
      <c r="J8850" t="s">
        <v>14</v>
      </c>
      <c r="K8850" t="str">
        <f>"7F6"</f>
        <v>7F6</v>
      </c>
      <c r="L8850" t="s">
        <v>15</v>
      </c>
    </row>
    <row r="8851" spans="1:12" x14ac:dyDescent="0.25">
      <c r="A8851" t="str">
        <f>"6708131265"</f>
        <v>6708131265</v>
      </c>
      <c r="B8851" t="str">
        <f t="shared" si="398"/>
        <v>89301000</v>
      </c>
      <c r="C8851" s="1">
        <v>44277</v>
      </c>
      <c r="D8851" s="1">
        <v>44278</v>
      </c>
      <c r="E8851">
        <v>1</v>
      </c>
      <c r="F8851" t="s">
        <v>6208</v>
      </c>
      <c r="G8851" t="str">
        <f>"08-K11-03"</f>
        <v>08-K11-03</v>
      </c>
      <c r="H8851">
        <v>0.3881</v>
      </c>
      <c r="I8851" t="s">
        <v>6209</v>
      </c>
      <c r="J8851" t="s">
        <v>14</v>
      </c>
      <c r="K8851" t="str">
        <f>"5F3"</f>
        <v>5F3</v>
      </c>
      <c r="L8851" t="s">
        <v>15</v>
      </c>
    </row>
    <row r="8852" spans="1:12" x14ac:dyDescent="0.25">
      <c r="A8852" t="str">
        <f>"6708231365"</f>
        <v>6708231365</v>
      </c>
      <c r="B8852" t="str">
        <f t="shared" si="398"/>
        <v>89301000</v>
      </c>
      <c r="C8852" s="1">
        <v>44297</v>
      </c>
      <c r="D8852" s="1">
        <v>44302</v>
      </c>
      <c r="E8852">
        <v>1</v>
      </c>
      <c r="F8852" t="s">
        <v>2232</v>
      </c>
      <c r="G8852" t="str">
        <f>"11-I07-01"</f>
        <v>11-I07-01</v>
      </c>
      <c r="H8852">
        <v>2.5975999999999999</v>
      </c>
      <c r="I8852" t="s">
        <v>5371</v>
      </c>
      <c r="J8852" t="s">
        <v>14</v>
      </c>
      <c r="K8852" t="str">
        <f>"7F6"</f>
        <v>7F6</v>
      </c>
      <c r="L8852" t="s">
        <v>15</v>
      </c>
    </row>
    <row r="8853" spans="1:12" x14ac:dyDescent="0.25">
      <c r="A8853" t="str">
        <f>"6708271504"</f>
        <v>6708271504</v>
      </c>
      <c r="B8853" t="str">
        <f t="shared" si="398"/>
        <v>89301000</v>
      </c>
      <c r="C8853" s="1">
        <v>44482</v>
      </c>
      <c r="D8853" s="1">
        <v>44490</v>
      </c>
      <c r="E8853">
        <v>1</v>
      </c>
      <c r="F8853" t="s">
        <v>6210</v>
      </c>
      <c r="G8853" t="str">
        <f>"09-K01-04"</f>
        <v>09-K01-04</v>
      </c>
      <c r="H8853">
        <v>0.57820000000000005</v>
      </c>
      <c r="I8853" t="s">
        <v>6211</v>
      </c>
      <c r="J8853" t="s">
        <v>14</v>
      </c>
      <c r="K8853" t="str">
        <f>"4F4"</f>
        <v>4F4</v>
      </c>
      <c r="L8853" t="s">
        <v>15</v>
      </c>
    </row>
    <row r="8854" spans="1:12" x14ac:dyDescent="0.25">
      <c r="A8854" t="str">
        <f>"6708276190"</f>
        <v>6708276190</v>
      </c>
      <c r="B8854" t="str">
        <f t="shared" si="398"/>
        <v>89301000</v>
      </c>
      <c r="C8854" s="1">
        <v>44403</v>
      </c>
      <c r="D8854" s="1">
        <v>44404</v>
      </c>
      <c r="E8854">
        <v>1</v>
      </c>
      <c r="F8854" t="s">
        <v>41</v>
      </c>
      <c r="G8854" t="str">
        <f>"01-D01-03"</f>
        <v>01-D01-03</v>
      </c>
      <c r="H8854">
        <v>0.158</v>
      </c>
      <c r="J8854" t="s">
        <v>14</v>
      </c>
      <c r="K8854" t="str">
        <f>"2F5"</f>
        <v>2F5</v>
      </c>
      <c r="L8854" t="s">
        <v>15</v>
      </c>
    </row>
    <row r="8855" spans="1:12" x14ac:dyDescent="0.25">
      <c r="A8855" t="str">
        <f>"6708301655"</f>
        <v>6708301655</v>
      </c>
      <c r="B8855" t="str">
        <f t="shared" si="398"/>
        <v>89301000</v>
      </c>
      <c r="C8855" s="1">
        <v>44491</v>
      </c>
      <c r="D8855" s="1">
        <v>44494</v>
      </c>
      <c r="E8855">
        <v>1</v>
      </c>
      <c r="F8855" t="s">
        <v>41</v>
      </c>
      <c r="G8855" t="str">
        <f>"01-D01-03"</f>
        <v>01-D01-03</v>
      </c>
      <c r="H8855">
        <v>0.2054</v>
      </c>
      <c r="I8855" t="s">
        <v>3099</v>
      </c>
      <c r="J8855" t="s">
        <v>14</v>
      </c>
      <c r="K8855" t="str">
        <f>"2F5"</f>
        <v>2F5</v>
      </c>
      <c r="L8855" t="s">
        <v>15</v>
      </c>
    </row>
    <row r="8856" spans="1:12" x14ac:dyDescent="0.25">
      <c r="A8856" t="str">
        <f>"6708301655"</f>
        <v>6708301655</v>
      </c>
      <c r="B8856" t="str">
        <f t="shared" si="398"/>
        <v>89301000</v>
      </c>
      <c r="C8856" s="1">
        <v>44336</v>
      </c>
      <c r="D8856" s="1">
        <v>44337</v>
      </c>
      <c r="E8856">
        <v>1</v>
      </c>
      <c r="F8856" t="s">
        <v>41</v>
      </c>
      <c r="G8856" t="str">
        <f>"01-D01-03"</f>
        <v>01-D01-03</v>
      </c>
      <c r="H8856">
        <v>0.158</v>
      </c>
      <c r="I8856" t="s">
        <v>6212</v>
      </c>
      <c r="J8856" t="s">
        <v>14</v>
      </c>
      <c r="K8856" t="str">
        <f>"2F5"</f>
        <v>2F5</v>
      </c>
      <c r="L8856" t="s">
        <v>15</v>
      </c>
    </row>
    <row r="8857" spans="1:12" x14ac:dyDescent="0.25">
      <c r="A8857" t="str">
        <f>"6709020637"</f>
        <v>6709020637</v>
      </c>
      <c r="B8857" t="str">
        <f t="shared" si="398"/>
        <v>89301000</v>
      </c>
      <c r="C8857" s="1">
        <v>44510</v>
      </c>
      <c r="D8857" s="1">
        <v>44511</v>
      </c>
      <c r="E8857">
        <v>1</v>
      </c>
      <c r="F8857" t="s">
        <v>496</v>
      </c>
      <c r="G8857" t="str">
        <f>"08-M03-05"</f>
        <v>08-M03-05</v>
      </c>
      <c r="H8857">
        <v>0.51759999999999995</v>
      </c>
      <c r="J8857" t="s">
        <v>14</v>
      </c>
      <c r="K8857" t="str">
        <f>"6F6"</f>
        <v>6F6</v>
      </c>
      <c r="L8857" t="s">
        <v>15</v>
      </c>
    </row>
    <row r="8858" spans="1:12" x14ac:dyDescent="0.25">
      <c r="A8858" t="str">
        <f>"6709227228"</f>
        <v>6709227228</v>
      </c>
      <c r="B8858" t="str">
        <f t="shared" si="398"/>
        <v>89301000</v>
      </c>
      <c r="C8858" s="1">
        <v>44406</v>
      </c>
      <c r="D8858" s="1">
        <v>44410</v>
      </c>
      <c r="E8858">
        <v>1</v>
      </c>
      <c r="F8858" t="s">
        <v>1683</v>
      </c>
      <c r="G8858" t="str">
        <f>"05-M06-05"</f>
        <v>05-M06-05</v>
      </c>
      <c r="H8858">
        <v>2.3010000000000002</v>
      </c>
      <c r="J8858" t="s">
        <v>17</v>
      </c>
      <c r="K8858" t="str">
        <f>"1F7"</f>
        <v>1F7</v>
      </c>
      <c r="L8858" t="s">
        <v>15</v>
      </c>
    </row>
    <row r="8859" spans="1:12" x14ac:dyDescent="0.25">
      <c r="A8859" t="str">
        <f>"6709227228"</f>
        <v>6709227228</v>
      </c>
      <c r="B8859" t="str">
        <f t="shared" si="398"/>
        <v>89301000</v>
      </c>
      <c r="C8859" s="1">
        <v>44417</v>
      </c>
      <c r="D8859" s="1">
        <v>44419</v>
      </c>
      <c r="E8859">
        <v>1</v>
      </c>
      <c r="F8859" t="s">
        <v>1842</v>
      </c>
      <c r="G8859" t="str">
        <f>"05-I14-04"</f>
        <v>05-I14-04</v>
      </c>
      <c r="H8859">
        <v>5.4002999999999997</v>
      </c>
      <c r="I8859" t="s">
        <v>607</v>
      </c>
      <c r="J8859" t="s">
        <v>14</v>
      </c>
      <c r="K8859" t="str">
        <f>"1F1"</f>
        <v>1F1</v>
      </c>
      <c r="L8859" t="s">
        <v>15</v>
      </c>
    </row>
    <row r="8860" spans="1:12" x14ac:dyDescent="0.25">
      <c r="A8860" t="str">
        <f>"6709280545"</f>
        <v>6709280545</v>
      </c>
      <c r="B8860" t="str">
        <f t="shared" si="398"/>
        <v>89301000</v>
      </c>
      <c r="C8860" s="1">
        <v>44255</v>
      </c>
      <c r="D8860" s="1">
        <v>44262</v>
      </c>
      <c r="E8860">
        <v>1</v>
      </c>
      <c r="F8860" t="s">
        <v>2030</v>
      </c>
      <c r="G8860" t="str">
        <f>"06-I07-05"</f>
        <v>06-I07-05</v>
      </c>
      <c r="H8860">
        <v>2.8466999999999998</v>
      </c>
      <c r="I8860" t="s">
        <v>2478</v>
      </c>
      <c r="J8860" t="s">
        <v>17</v>
      </c>
      <c r="K8860" t="str">
        <f>"5F1"</f>
        <v>5F1</v>
      </c>
      <c r="L8860" t="s">
        <v>15</v>
      </c>
    </row>
    <row r="8861" spans="1:12" x14ac:dyDescent="0.25">
      <c r="A8861" t="str">
        <f>"6709300246"</f>
        <v>6709300246</v>
      </c>
      <c r="B8861" t="str">
        <f t="shared" si="398"/>
        <v>89301000</v>
      </c>
      <c r="C8861" s="1">
        <v>44245</v>
      </c>
      <c r="D8861" s="1">
        <v>44250</v>
      </c>
      <c r="E8861">
        <v>1</v>
      </c>
      <c r="F8861" t="s">
        <v>6213</v>
      </c>
      <c r="G8861" t="str">
        <f>"19-K02-03"</f>
        <v>19-K02-03</v>
      </c>
      <c r="H8861">
        <v>0.67269999999999996</v>
      </c>
      <c r="I8861" t="s">
        <v>6214</v>
      </c>
      <c r="J8861" t="s">
        <v>27</v>
      </c>
      <c r="K8861" t="str">
        <f>"3F5"</f>
        <v>3F5</v>
      </c>
      <c r="L8861" t="s">
        <v>15</v>
      </c>
    </row>
    <row r="8862" spans="1:12" x14ac:dyDescent="0.25">
      <c r="A8862" t="str">
        <f>"6710041338"</f>
        <v>6710041338</v>
      </c>
      <c r="B8862" t="str">
        <f t="shared" si="398"/>
        <v>89301000</v>
      </c>
      <c r="C8862" s="1">
        <v>44200</v>
      </c>
      <c r="D8862" s="1">
        <v>44203</v>
      </c>
      <c r="E8862">
        <v>1</v>
      </c>
      <c r="F8862" t="s">
        <v>496</v>
      </c>
      <c r="G8862" t="str">
        <f>"08-M03-05"</f>
        <v>08-M03-05</v>
      </c>
      <c r="H8862">
        <v>0.51759999999999995</v>
      </c>
      <c r="J8862" t="s">
        <v>14</v>
      </c>
      <c r="K8862" t="str">
        <f>"6F6"</f>
        <v>6F6</v>
      </c>
      <c r="L8862" t="s">
        <v>15</v>
      </c>
    </row>
    <row r="8863" spans="1:12" x14ac:dyDescent="0.25">
      <c r="A8863" t="str">
        <f>"6710100540"</f>
        <v>6710100540</v>
      </c>
      <c r="B8863" t="str">
        <f t="shared" si="398"/>
        <v>89301000</v>
      </c>
      <c r="C8863" s="1">
        <v>44405</v>
      </c>
      <c r="D8863" s="1">
        <v>44407</v>
      </c>
      <c r="E8863">
        <v>1</v>
      </c>
      <c r="F8863" t="s">
        <v>1606</v>
      </c>
      <c r="G8863" t="str">
        <f>"05-M05-02"</f>
        <v>05-M05-02</v>
      </c>
      <c r="H8863">
        <v>3.516</v>
      </c>
      <c r="J8863" t="s">
        <v>24</v>
      </c>
      <c r="K8863" t="str">
        <f>"1F7"</f>
        <v>1F7</v>
      </c>
      <c r="L8863" t="s">
        <v>15</v>
      </c>
    </row>
    <row r="8864" spans="1:12" x14ac:dyDescent="0.25">
      <c r="A8864" t="str">
        <f>"6710101673"</f>
        <v>6710101673</v>
      </c>
      <c r="B8864" t="str">
        <f t="shared" si="398"/>
        <v>89301000</v>
      </c>
      <c r="C8864" s="1">
        <v>44375</v>
      </c>
      <c r="D8864" s="1">
        <v>44378</v>
      </c>
      <c r="E8864">
        <v>4</v>
      </c>
      <c r="F8864" t="s">
        <v>210</v>
      </c>
      <c r="G8864" t="str">
        <f>"08-I15-03"</f>
        <v>08-I15-03</v>
      </c>
      <c r="H8864">
        <v>1.2342</v>
      </c>
      <c r="I8864" t="s">
        <v>410</v>
      </c>
      <c r="J8864" t="s">
        <v>17</v>
      </c>
      <c r="K8864" t="str">
        <f>"5F3"</f>
        <v>5F3</v>
      </c>
      <c r="L8864" t="s">
        <v>15</v>
      </c>
    </row>
    <row r="8865" spans="1:12" x14ac:dyDescent="0.25">
      <c r="A8865" t="str">
        <f>"6710160226"</f>
        <v>6710160226</v>
      </c>
      <c r="B8865" t="str">
        <f t="shared" si="398"/>
        <v>89301000</v>
      </c>
      <c r="C8865" s="1">
        <v>44298</v>
      </c>
      <c r="D8865" s="1">
        <v>44306</v>
      </c>
      <c r="E8865">
        <v>4</v>
      </c>
      <c r="F8865" t="s">
        <v>1643</v>
      </c>
      <c r="G8865" t="str">
        <f>"08-I05-05"</f>
        <v>08-I05-05</v>
      </c>
      <c r="H8865">
        <v>2.2932000000000001</v>
      </c>
      <c r="I8865" t="s">
        <v>3761</v>
      </c>
      <c r="J8865" t="s">
        <v>17</v>
      </c>
      <c r="K8865" t="str">
        <f>"6F6"</f>
        <v>6F6</v>
      </c>
      <c r="L8865" t="s">
        <v>15</v>
      </c>
    </row>
    <row r="8866" spans="1:12" x14ac:dyDescent="0.25">
      <c r="A8866" t="str">
        <f>"6710160226"</f>
        <v>6710160226</v>
      </c>
      <c r="B8866" t="str">
        <f t="shared" si="398"/>
        <v>89301000</v>
      </c>
      <c r="C8866" s="1">
        <v>44268</v>
      </c>
      <c r="D8866" s="1">
        <v>44272</v>
      </c>
      <c r="E8866">
        <v>2</v>
      </c>
      <c r="F8866" t="s">
        <v>217</v>
      </c>
      <c r="G8866" t="str">
        <f>"04-K02-03"</f>
        <v>04-K02-03</v>
      </c>
      <c r="H8866">
        <v>1.2859</v>
      </c>
      <c r="I8866" t="s">
        <v>6215</v>
      </c>
      <c r="J8866" t="s">
        <v>14</v>
      </c>
      <c r="K8866" t="str">
        <f>"7F6"</f>
        <v>7F6</v>
      </c>
      <c r="L8866" t="s">
        <v>15</v>
      </c>
    </row>
    <row r="8867" spans="1:12" x14ac:dyDescent="0.25">
      <c r="A8867" t="str">
        <f>"6711150545"</f>
        <v>6711150545</v>
      </c>
      <c r="B8867" t="str">
        <f t="shared" si="398"/>
        <v>89301000</v>
      </c>
      <c r="C8867" s="1">
        <v>44448</v>
      </c>
      <c r="D8867" s="1">
        <v>44450</v>
      </c>
      <c r="E8867">
        <v>1</v>
      </c>
      <c r="F8867" t="s">
        <v>6216</v>
      </c>
      <c r="G8867" t="str">
        <f>"08-I19-03"</f>
        <v>08-I19-03</v>
      </c>
      <c r="H8867">
        <v>0.61250000000000004</v>
      </c>
      <c r="I8867" t="s">
        <v>6217</v>
      </c>
      <c r="J8867" t="s">
        <v>17</v>
      </c>
      <c r="K8867" t="str">
        <f>"5F3"</f>
        <v>5F3</v>
      </c>
      <c r="L8867" t="s">
        <v>15</v>
      </c>
    </row>
    <row r="8868" spans="1:12" x14ac:dyDescent="0.25">
      <c r="A8868" t="str">
        <f>"6711230339"</f>
        <v>6711230339</v>
      </c>
      <c r="B8868" t="str">
        <f t="shared" si="398"/>
        <v>89301000</v>
      </c>
      <c r="C8868" s="1">
        <v>44208</v>
      </c>
      <c r="D8868" s="1">
        <v>44209</v>
      </c>
      <c r="E8868">
        <v>1</v>
      </c>
      <c r="F8868" t="s">
        <v>1679</v>
      </c>
      <c r="G8868" t="str">
        <f>"11-M06-03"</f>
        <v>11-M06-03</v>
      </c>
      <c r="H8868">
        <v>0.61519999999999997</v>
      </c>
      <c r="I8868" t="s">
        <v>1612</v>
      </c>
      <c r="J8868" t="s">
        <v>17</v>
      </c>
      <c r="K8868" t="str">
        <f>"7F6"</f>
        <v>7F6</v>
      </c>
      <c r="L8868" t="s">
        <v>15</v>
      </c>
    </row>
    <row r="8869" spans="1:12" x14ac:dyDescent="0.25">
      <c r="A8869" t="str">
        <f>"6712010393"</f>
        <v>6712010393</v>
      </c>
      <c r="B8869" t="str">
        <f t="shared" si="398"/>
        <v>89301000</v>
      </c>
      <c r="C8869" s="1">
        <v>44403</v>
      </c>
      <c r="D8869" s="1">
        <v>44425</v>
      </c>
      <c r="E8869">
        <v>2</v>
      </c>
      <c r="F8869" t="s">
        <v>2325</v>
      </c>
      <c r="G8869" t="str">
        <f>"09-K07-01"</f>
        <v>09-K07-01</v>
      </c>
      <c r="H8869">
        <v>1.1449</v>
      </c>
      <c r="I8869" t="s">
        <v>6218</v>
      </c>
      <c r="J8869" t="s">
        <v>14</v>
      </c>
      <c r="K8869" t="str">
        <f>"4F2"</f>
        <v>4F2</v>
      </c>
      <c r="L8869" t="s">
        <v>15</v>
      </c>
    </row>
    <row r="8870" spans="1:12" x14ac:dyDescent="0.25">
      <c r="A8870" t="str">
        <f>"6712161412"</f>
        <v>6712161412</v>
      </c>
      <c r="B8870" t="str">
        <f t="shared" si="398"/>
        <v>89301000</v>
      </c>
      <c r="C8870" s="1">
        <v>44241</v>
      </c>
      <c r="D8870" s="1">
        <v>44244</v>
      </c>
      <c r="E8870">
        <v>1</v>
      </c>
      <c r="F8870" t="s">
        <v>4196</v>
      </c>
      <c r="G8870" t="str">
        <f>"08-M03-05"</f>
        <v>08-M03-05</v>
      </c>
      <c r="H8870">
        <v>0.51759999999999995</v>
      </c>
      <c r="I8870" t="s">
        <v>309</v>
      </c>
      <c r="J8870" t="s">
        <v>14</v>
      </c>
      <c r="K8870" t="str">
        <f>"6F6"</f>
        <v>6F6</v>
      </c>
      <c r="L8870" t="s">
        <v>15</v>
      </c>
    </row>
    <row r="8871" spans="1:12" x14ac:dyDescent="0.25">
      <c r="A8871" t="str">
        <f>"6751040120"</f>
        <v>6751040120</v>
      </c>
      <c r="B8871" t="str">
        <f t="shared" si="398"/>
        <v>89301000</v>
      </c>
      <c r="C8871" s="1">
        <v>44298</v>
      </c>
      <c r="D8871" s="1">
        <v>44300</v>
      </c>
      <c r="E8871">
        <v>1</v>
      </c>
      <c r="F8871" t="s">
        <v>3799</v>
      </c>
      <c r="G8871" t="str">
        <f>"11-K03-02"</f>
        <v>11-K03-02</v>
      </c>
      <c r="H8871">
        <v>0.6008</v>
      </c>
      <c r="I8871" t="s">
        <v>6219</v>
      </c>
      <c r="J8871" t="s">
        <v>14</v>
      </c>
      <c r="K8871" t="str">
        <f>"1F1"</f>
        <v>1F1</v>
      </c>
      <c r="L8871" t="s">
        <v>15</v>
      </c>
    </row>
    <row r="8872" spans="1:12" x14ac:dyDescent="0.25">
      <c r="A8872" t="str">
        <f>"6751041451"</f>
        <v>6751041451</v>
      </c>
      <c r="B8872" t="str">
        <f t="shared" si="398"/>
        <v>89301000</v>
      </c>
      <c r="C8872" s="1">
        <v>44500</v>
      </c>
      <c r="D8872" s="1">
        <v>44502</v>
      </c>
      <c r="E8872">
        <v>1</v>
      </c>
      <c r="F8872" t="s">
        <v>328</v>
      </c>
      <c r="G8872" t="str">
        <f>"05-K13-02"</f>
        <v>05-K13-02</v>
      </c>
      <c r="H8872">
        <v>0.60950000000000004</v>
      </c>
      <c r="I8872" t="s">
        <v>4819</v>
      </c>
      <c r="J8872" t="s">
        <v>14</v>
      </c>
      <c r="K8872" t="str">
        <f>"1F1"</f>
        <v>1F1</v>
      </c>
      <c r="L8872" t="s">
        <v>15</v>
      </c>
    </row>
    <row r="8873" spans="1:12" x14ac:dyDescent="0.25">
      <c r="A8873" t="str">
        <f>"6751111664"</f>
        <v>6751111664</v>
      </c>
      <c r="B8873" t="str">
        <f t="shared" si="398"/>
        <v>89301000</v>
      </c>
      <c r="C8873" s="1">
        <v>44455</v>
      </c>
      <c r="D8873" s="1">
        <v>44456</v>
      </c>
      <c r="E8873">
        <v>1</v>
      </c>
      <c r="F8873" t="s">
        <v>41</v>
      </c>
      <c r="G8873" t="str">
        <f>"01-D01-03"</f>
        <v>01-D01-03</v>
      </c>
      <c r="H8873">
        <v>0.158</v>
      </c>
      <c r="I8873" t="s">
        <v>1959</v>
      </c>
      <c r="J8873" t="s">
        <v>14</v>
      </c>
      <c r="K8873" t="str">
        <f>"2F5"</f>
        <v>2F5</v>
      </c>
      <c r="L8873" t="s">
        <v>15</v>
      </c>
    </row>
    <row r="8874" spans="1:12" x14ac:dyDescent="0.25">
      <c r="A8874" t="str">
        <f>"6751111675"</f>
        <v>6751111675</v>
      </c>
      <c r="B8874" t="str">
        <f t="shared" si="398"/>
        <v>89301000</v>
      </c>
      <c r="C8874" s="1">
        <v>44410</v>
      </c>
      <c r="D8874" s="1">
        <v>44412</v>
      </c>
      <c r="E8874">
        <v>1</v>
      </c>
      <c r="F8874" t="s">
        <v>6220</v>
      </c>
      <c r="G8874" t="str">
        <f>"08-I24-02"</f>
        <v>08-I24-02</v>
      </c>
      <c r="H8874">
        <v>0.74470000000000003</v>
      </c>
      <c r="J8874" t="s">
        <v>14</v>
      </c>
      <c r="K8874" t="str">
        <f>"6F6"</f>
        <v>6F6</v>
      </c>
      <c r="L8874" t="s">
        <v>15</v>
      </c>
    </row>
    <row r="8875" spans="1:12" x14ac:dyDescent="0.25">
      <c r="A8875" t="str">
        <f>"6751250088"</f>
        <v>6751250088</v>
      </c>
      <c r="B8875" t="str">
        <f t="shared" si="398"/>
        <v>89301000</v>
      </c>
      <c r="C8875" s="1">
        <v>44239</v>
      </c>
      <c r="D8875" s="1">
        <v>44239</v>
      </c>
      <c r="E8875">
        <v>1</v>
      </c>
      <c r="F8875" t="s">
        <v>1962</v>
      </c>
      <c r="G8875" t="str">
        <f>"04-K15-03"</f>
        <v>04-K15-03</v>
      </c>
      <c r="H8875">
        <v>0.25090000000000001</v>
      </c>
      <c r="I8875" t="s">
        <v>6221</v>
      </c>
      <c r="J8875" t="s">
        <v>14</v>
      </c>
      <c r="K8875" t="str">
        <f>"1F1"</f>
        <v>1F1</v>
      </c>
      <c r="L8875" t="s">
        <v>15</v>
      </c>
    </row>
    <row r="8876" spans="1:12" x14ac:dyDescent="0.25">
      <c r="A8876" t="str">
        <f>"6751301183"</f>
        <v>6751301183</v>
      </c>
      <c r="B8876" t="str">
        <f t="shared" si="398"/>
        <v>89301000</v>
      </c>
      <c r="C8876" s="1">
        <v>44517</v>
      </c>
      <c r="D8876" s="1">
        <v>44524</v>
      </c>
      <c r="E8876">
        <v>1</v>
      </c>
      <c r="F8876" t="s">
        <v>254</v>
      </c>
      <c r="G8876" t="str">
        <f>"19-K03-03"</f>
        <v>19-K03-03</v>
      </c>
      <c r="H8876">
        <v>0.93169999999999997</v>
      </c>
      <c r="I8876" t="s">
        <v>168</v>
      </c>
      <c r="J8876" t="s">
        <v>27</v>
      </c>
      <c r="K8876" t="str">
        <f>"3F5"</f>
        <v>3F5</v>
      </c>
      <c r="L8876" t="s">
        <v>15</v>
      </c>
    </row>
    <row r="8877" spans="1:12" x14ac:dyDescent="0.25">
      <c r="A8877" t="str">
        <f>"6752021969"</f>
        <v>6752021969</v>
      </c>
      <c r="B8877" t="str">
        <f t="shared" si="398"/>
        <v>89301000</v>
      </c>
      <c r="C8877" s="1">
        <v>44349</v>
      </c>
      <c r="D8877" s="1">
        <v>44353</v>
      </c>
      <c r="E8877">
        <v>1</v>
      </c>
      <c r="F8877" t="s">
        <v>2900</v>
      </c>
      <c r="G8877" t="str">
        <f>"10-I13-04"</f>
        <v>10-I13-04</v>
      </c>
      <c r="H8877">
        <v>0.66120000000000001</v>
      </c>
      <c r="J8877" t="s">
        <v>24</v>
      </c>
      <c r="K8877" t="str">
        <f>"5F1"</f>
        <v>5F1</v>
      </c>
      <c r="L8877" t="s">
        <v>15</v>
      </c>
    </row>
    <row r="8878" spans="1:12" x14ac:dyDescent="0.25">
      <c r="A8878" t="str">
        <f>"6752040196"</f>
        <v>6752040196</v>
      </c>
      <c r="B8878" t="str">
        <f t="shared" si="398"/>
        <v>89301000</v>
      </c>
      <c r="C8878" s="1">
        <v>44389</v>
      </c>
      <c r="D8878" s="1">
        <v>44394</v>
      </c>
      <c r="E8878">
        <v>1</v>
      </c>
      <c r="F8878" t="s">
        <v>4491</v>
      </c>
      <c r="G8878" t="str">
        <f>"01-K01-02"</f>
        <v>01-K01-02</v>
      </c>
      <c r="H8878">
        <v>0.50700000000000001</v>
      </c>
      <c r="I8878" t="s">
        <v>6222</v>
      </c>
      <c r="J8878" t="s">
        <v>14</v>
      </c>
      <c r="K8878" t="str">
        <f>"2F9"</f>
        <v>2F9</v>
      </c>
      <c r="L8878" t="s">
        <v>15</v>
      </c>
    </row>
    <row r="8879" spans="1:12" x14ac:dyDescent="0.25">
      <c r="A8879" t="str">
        <f>"6752040196"</f>
        <v>6752040196</v>
      </c>
      <c r="B8879" t="str">
        <f t="shared" si="398"/>
        <v>89301000</v>
      </c>
      <c r="C8879" s="1">
        <v>44505</v>
      </c>
      <c r="D8879" s="1">
        <v>44510</v>
      </c>
      <c r="E8879">
        <v>1</v>
      </c>
      <c r="F8879" t="s">
        <v>4491</v>
      </c>
      <c r="G8879" t="str">
        <f>"01-K01-02"</f>
        <v>01-K01-02</v>
      </c>
      <c r="H8879">
        <v>0.50700000000000001</v>
      </c>
      <c r="I8879" t="s">
        <v>6223</v>
      </c>
      <c r="J8879" t="s">
        <v>14</v>
      </c>
      <c r="K8879" t="str">
        <f>"2F9"</f>
        <v>2F9</v>
      </c>
      <c r="L8879" t="s">
        <v>15</v>
      </c>
    </row>
    <row r="8880" spans="1:12" x14ac:dyDescent="0.25">
      <c r="A8880" t="str">
        <f>"6752040196"</f>
        <v>6752040196</v>
      </c>
      <c r="B8880" t="str">
        <f t="shared" ref="B8880:B8943" si="399">"89301000"</f>
        <v>89301000</v>
      </c>
      <c r="C8880" s="1">
        <v>44294</v>
      </c>
      <c r="D8880" s="1">
        <v>44299</v>
      </c>
      <c r="E8880">
        <v>1</v>
      </c>
      <c r="F8880" t="s">
        <v>4491</v>
      </c>
      <c r="G8880" t="str">
        <f>"01-K01-02"</f>
        <v>01-K01-02</v>
      </c>
      <c r="H8880">
        <v>0.50700000000000001</v>
      </c>
      <c r="J8880" t="s">
        <v>14</v>
      </c>
      <c r="K8880" t="str">
        <f>"2F9"</f>
        <v>2F9</v>
      </c>
      <c r="L8880" t="s">
        <v>15</v>
      </c>
    </row>
    <row r="8881" spans="1:12" x14ac:dyDescent="0.25">
      <c r="A8881" t="str">
        <f>"6752040196"</f>
        <v>6752040196</v>
      </c>
      <c r="B8881" t="str">
        <f t="shared" si="399"/>
        <v>89301000</v>
      </c>
      <c r="C8881" s="1">
        <v>44207</v>
      </c>
      <c r="D8881" s="1">
        <v>44212</v>
      </c>
      <c r="E8881">
        <v>1</v>
      </c>
      <c r="F8881" t="s">
        <v>4491</v>
      </c>
      <c r="G8881" t="str">
        <f>"01-K01-02"</f>
        <v>01-K01-02</v>
      </c>
      <c r="H8881">
        <v>0.50700000000000001</v>
      </c>
      <c r="I8881" t="s">
        <v>6224</v>
      </c>
      <c r="J8881" t="s">
        <v>14</v>
      </c>
      <c r="K8881" t="str">
        <f>"2F9"</f>
        <v>2F9</v>
      </c>
      <c r="L8881" t="s">
        <v>15</v>
      </c>
    </row>
    <row r="8882" spans="1:12" x14ac:dyDescent="0.25">
      <c r="A8882" t="str">
        <f>"6752041153"</f>
        <v>6752041153</v>
      </c>
      <c r="B8882" t="str">
        <f t="shared" si="399"/>
        <v>89301000</v>
      </c>
      <c r="C8882" s="1">
        <v>44349</v>
      </c>
      <c r="D8882" s="1">
        <v>44354</v>
      </c>
      <c r="E8882">
        <v>1</v>
      </c>
      <c r="F8882" t="s">
        <v>6225</v>
      </c>
      <c r="G8882" t="str">
        <f>"03-I10-02"</f>
        <v>03-I10-02</v>
      </c>
      <c r="H8882">
        <v>0.92820000000000003</v>
      </c>
      <c r="I8882" t="s">
        <v>5941</v>
      </c>
      <c r="J8882" t="s">
        <v>17</v>
      </c>
      <c r="K8882" t="str">
        <f>"6F5"</f>
        <v>6F5</v>
      </c>
      <c r="L8882" t="s">
        <v>15</v>
      </c>
    </row>
    <row r="8883" spans="1:12" x14ac:dyDescent="0.25">
      <c r="A8883" t="str">
        <f>"6752091797"</f>
        <v>6752091797</v>
      </c>
      <c r="B8883" t="str">
        <f t="shared" si="399"/>
        <v>89301000</v>
      </c>
      <c r="C8883" s="1">
        <v>44488</v>
      </c>
      <c r="D8883" s="1">
        <v>44539</v>
      </c>
      <c r="E8883">
        <v>4</v>
      </c>
      <c r="F8883" t="s">
        <v>1096</v>
      </c>
      <c r="G8883" t="str">
        <f>"00-M02-04"</f>
        <v>00-M02-04</v>
      </c>
      <c r="H8883">
        <v>16.534800000000001</v>
      </c>
      <c r="I8883" t="s">
        <v>6226</v>
      </c>
      <c r="J8883" t="s">
        <v>14</v>
      </c>
      <c r="K8883" t="str">
        <f>"1F1"</f>
        <v>1F1</v>
      </c>
      <c r="L8883" t="s">
        <v>15</v>
      </c>
    </row>
    <row r="8884" spans="1:12" x14ac:dyDescent="0.25">
      <c r="A8884" t="str">
        <f>"6752121321"</f>
        <v>6752121321</v>
      </c>
      <c r="B8884" t="str">
        <f t="shared" si="399"/>
        <v>89301000</v>
      </c>
      <c r="C8884" s="1">
        <v>44426</v>
      </c>
      <c r="D8884" s="1">
        <v>44431</v>
      </c>
      <c r="E8884">
        <v>1</v>
      </c>
      <c r="F8884" t="s">
        <v>81</v>
      </c>
      <c r="G8884" t="str">
        <f>"10-I13-02"</f>
        <v>10-I13-02</v>
      </c>
      <c r="H8884">
        <v>1.1795</v>
      </c>
      <c r="I8884" t="s">
        <v>6227</v>
      </c>
      <c r="J8884" t="s">
        <v>24</v>
      </c>
      <c r="K8884" t="str">
        <f>"7F1"</f>
        <v>7F1</v>
      </c>
      <c r="L8884" t="s">
        <v>15</v>
      </c>
    </row>
    <row r="8885" spans="1:12" x14ac:dyDescent="0.25">
      <c r="A8885" t="str">
        <f>"6752121354"</f>
        <v>6752121354</v>
      </c>
      <c r="B8885" t="str">
        <f t="shared" si="399"/>
        <v>89301000</v>
      </c>
      <c r="C8885" s="1">
        <v>44342</v>
      </c>
      <c r="D8885" s="1">
        <v>44343</v>
      </c>
      <c r="E8885">
        <v>1</v>
      </c>
      <c r="F8885" t="s">
        <v>413</v>
      </c>
      <c r="G8885" t="str">
        <f>"09-I04-02"</f>
        <v>09-I04-02</v>
      </c>
      <c r="H8885">
        <v>1.0098</v>
      </c>
      <c r="J8885" t="s">
        <v>17</v>
      </c>
      <c r="K8885" t="str">
        <f>"6F1"</f>
        <v>6F1</v>
      </c>
      <c r="L8885" t="s">
        <v>15</v>
      </c>
    </row>
    <row r="8886" spans="1:12" x14ac:dyDescent="0.25">
      <c r="A8886" t="str">
        <f>"6752191886"</f>
        <v>6752191886</v>
      </c>
      <c r="B8886" t="str">
        <f t="shared" si="399"/>
        <v>89301000</v>
      </c>
      <c r="C8886" s="1">
        <v>44329</v>
      </c>
      <c r="D8886" s="1">
        <v>44334</v>
      </c>
      <c r="E8886">
        <v>1</v>
      </c>
      <c r="F8886" t="s">
        <v>2600</v>
      </c>
      <c r="G8886" t="str">
        <f>"05-D01-06"</f>
        <v>05-D01-06</v>
      </c>
      <c r="H8886">
        <v>0.7611</v>
      </c>
      <c r="I8886" t="s">
        <v>6228</v>
      </c>
      <c r="J8886" t="s">
        <v>14</v>
      </c>
      <c r="K8886" t="str">
        <f>"1F7"</f>
        <v>1F7</v>
      </c>
      <c r="L8886" t="s">
        <v>15</v>
      </c>
    </row>
    <row r="8887" spans="1:12" x14ac:dyDescent="0.25">
      <c r="A8887" t="str">
        <f>"6753040404"</f>
        <v>6753040404</v>
      </c>
      <c r="B8887" t="str">
        <f t="shared" si="399"/>
        <v>89301000</v>
      </c>
      <c r="C8887" s="1">
        <v>44424</v>
      </c>
      <c r="D8887" s="1">
        <v>44427</v>
      </c>
      <c r="E8887">
        <v>1</v>
      </c>
      <c r="F8887" t="s">
        <v>607</v>
      </c>
      <c r="G8887" t="str">
        <f>"11-K03-01"</f>
        <v>11-K03-01</v>
      </c>
      <c r="H8887">
        <v>1.2428999999999999</v>
      </c>
      <c r="I8887" t="s">
        <v>6229</v>
      </c>
      <c r="J8887" t="s">
        <v>14</v>
      </c>
      <c r="K8887" t="str">
        <f>"1F1"</f>
        <v>1F1</v>
      </c>
      <c r="L8887" t="s">
        <v>15</v>
      </c>
    </row>
    <row r="8888" spans="1:12" x14ac:dyDescent="0.25">
      <c r="A8888" t="str">
        <f>"6753071204"</f>
        <v>6753071204</v>
      </c>
      <c r="B8888" t="str">
        <f t="shared" si="399"/>
        <v>89301000</v>
      </c>
      <c r="C8888" s="1">
        <v>44227</v>
      </c>
      <c r="D8888" s="1">
        <v>44231</v>
      </c>
      <c r="E8888">
        <v>1</v>
      </c>
      <c r="F8888" t="s">
        <v>1617</v>
      </c>
      <c r="G8888" t="str">
        <f>"05-K15-01"</f>
        <v>05-K15-01</v>
      </c>
      <c r="H8888">
        <v>0.83189999999999997</v>
      </c>
      <c r="I8888" t="s">
        <v>6230</v>
      </c>
      <c r="J8888" t="s">
        <v>14</v>
      </c>
      <c r="K8888" t="str">
        <f>"1F1"</f>
        <v>1F1</v>
      </c>
      <c r="L8888" t="s">
        <v>15</v>
      </c>
    </row>
    <row r="8889" spans="1:12" x14ac:dyDescent="0.25">
      <c r="A8889" t="str">
        <f>"6753122002"</f>
        <v>6753122002</v>
      </c>
      <c r="B8889" t="str">
        <f t="shared" si="399"/>
        <v>89301000</v>
      </c>
      <c r="C8889" s="1">
        <v>44395</v>
      </c>
      <c r="D8889" s="1">
        <v>44396</v>
      </c>
      <c r="E8889">
        <v>1</v>
      </c>
      <c r="F8889" t="s">
        <v>262</v>
      </c>
      <c r="G8889" t="str">
        <f>"21-K05-03"</f>
        <v>21-K05-03</v>
      </c>
      <c r="H8889">
        <v>0.46750000000000003</v>
      </c>
      <c r="I8889" t="s">
        <v>6231</v>
      </c>
      <c r="J8889" t="s">
        <v>14</v>
      </c>
      <c r="K8889" t="str">
        <f>"1F1"</f>
        <v>1F1</v>
      </c>
      <c r="L8889" t="s">
        <v>15</v>
      </c>
    </row>
    <row r="8890" spans="1:12" x14ac:dyDescent="0.25">
      <c r="A8890" t="str">
        <f>"6753171370"</f>
        <v>6753171370</v>
      </c>
      <c r="B8890" t="str">
        <f t="shared" si="399"/>
        <v>89301000</v>
      </c>
      <c r="C8890" s="1">
        <v>44426</v>
      </c>
      <c r="D8890" s="1">
        <v>44440</v>
      </c>
      <c r="E8890">
        <v>1</v>
      </c>
      <c r="F8890" t="s">
        <v>6232</v>
      </c>
      <c r="G8890" t="str">
        <f>"18-K01-06"</f>
        <v>18-K01-06</v>
      </c>
      <c r="H8890">
        <v>1.4033</v>
      </c>
      <c r="I8890" t="s">
        <v>6233</v>
      </c>
      <c r="J8890" t="s">
        <v>14</v>
      </c>
      <c r="K8890" t="str">
        <f>"1F9"</f>
        <v>1F9</v>
      </c>
      <c r="L8890" t="s">
        <v>15</v>
      </c>
    </row>
    <row r="8891" spans="1:12" x14ac:dyDescent="0.25">
      <c r="A8891" t="str">
        <f>"6753172019"</f>
        <v>6753172019</v>
      </c>
      <c r="B8891" t="str">
        <f t="shared" si="399"/>
        <v>89301000</v>
      </c>
      <c r="C8891" s="1">
        <v>44409</v>
      </c>
      <c r="D8891" s="1">
        <v>44411</v>
      </c>
      <c r="E8891">
        <v>1</v>
      </c>
      <c r="F8891" t="s">
        <v>457</v>
      </c>
      <c r="G8891" t="str">
        <f>"08-I16-04"</f>
        <v>08-I16-04</v>
      </c>
      <c r="H8891">
        <v>0.92159999999999997</v>
      </c>
      <c r="I8891" t="s">
        <v>6234</v>
      </c>
      <c r="J8891" t="s">
        <v>17</v>
      </c>
      <c r="K8891" t="str">
        <f>"5F3"</f>
        <v>5F3</v>
      </c>
      <c r="L8891" t="s">
        <v>15</v>
      </c>
    </row>
    <row r="8892" spans="1:12" x14ac:dyDescent="0.25">
      <c r="A8892" t="str">
        <f>"6753190444"</f>
        <v>6753190444</v>
      </c>
      <c r="B8892" t="str">
        <f t="shared" si="399"/>
        <v>89301000</v>
      </c>
      <c r="C8892" s="1">
        <v>44370</v>
      </c>
      <c r="D8892" s="1">
        <v>44372</v>
      </c>
      <c r="E8892">
        <v>1</v>
      </c>
      <c r="F8892" t="s">
        <v>1688</v>
      </c>
      <c r="G8892" t="str">
        <f>"02-I06-03"</f>
        <v>02-I06-03</v>
      </c>
      <c r="H8892">
        <v>0.63690000000000002</v>
      </c>
      <c r="I8892" t="s">
        <v>6235</v>
      </c>
      <c r="J8892" t="s">
        <v>17</v>
      </c>
      <c r="K8892" t="str">
        <f>"7F5"</f>
        <v>7F5</v>
      </c>
      <c r="L8892" t="s">
        <v>15</v>
      </c>
    </row>
    <row r="8893" spans="1:12" x14ac:dyDescent="0.25">
      <c r="A8893" t="str">
        <f>"6753190444"</f>
        <v>6753190444</v>
      </c>
      <c r="B8893" t="str">
        <f t="shared" si="399"/>
        <v>89301000</v>
      </c>
      <c r="C8893" s="1">
        <v>44278</v>
      </c>
      <c r="D8893" s="1">
        <v>44281</v>
      </c>
      <c r="E8893">
        <v>1</v>
      </c>
      <c r="F8893" t="s">
        <v>1688</v>
      </c>
      <c r="G8893" t="str">
        <f>"02-I06-03"</f>
        <v>02-I06-03</v>
      </c>
      <c r="H8893">
        <v>0.63690000000000002</v>
      </c>
      <c r="I8893" t="s">
        <v>6236</v>
      </c>
      <c r="J8893" t="s">
        <v>17</v>
      </c>
      <c r="K8893" t="str">
        <f>"7F5"</f>
        <v>7F5</v>
      </c>
      <c r="L8893" t="s">
        <v>15</v>
      </c>
    </row>
    <row r="8894" spans="1:12" x14ac:dyDescent="0.25">
      <c r="A8894" t="str">
        <f>"6753231540"</f>
        <v>6753231540</v>
      </c>
      <c r="B8894" t="str">
        <f t="shared" si="399"/>
        <v>89301000</v>
      </c>
      <c r="C8894" s="1">
        <v>44322</v>
      </c>
      <c r="D8894" s="1">
        <v>44323</v>
      </c>
      <c r="E8894">
        <v>1</v>
      </c>
      <c r="F8894" t="s">
        <v>496</v>
      </c>
      <c r="G8894" t="str">
        <f>"08-M03-05"</f>
        <v>08-M03-05</v>
      </c>
      <c r="H8894">
        <v>0.51759999999999995</v>
      </c>
      <c r="I8894" t="s">
        <v>5658</v>
      </c>
      <c r="J8894" t="s">
        <v>14</v>
      </c>
      <c r="K8894" t="str">
        <f>"6F6"</f>
        <v>6F6</v>
      </c>
      <c r="L8894" t="s">
        <v>15</v>
      </c>
    </row>
    <row r="8895" spans="1:12" x14ac:dyDescent="0.25">
      <c r="A8895" t="str">
        <f>"6753290390"</f>
        <v>6753290390</v>
      </c>
      <c r="B8895" t="str">
        <f t="shared" si="399"/>
        <v>89301000</v>
      </c>
      <c r="C8895" s="1">
        <v>44202</v>
      </c>
      <c r="D8895" s="1">
        <v>44205</v>
      </c>
      <c r="E8895">
        <v>1</v>
      </c>
      <c r="F8895" t="s">
        <v>6237</v>
      </c>
      <c r="G8895" t="str">
        <f>"03-I17-00"</f>
        <v>03-I17-00</v>
      </c>
      <c r="H8895">
        <v>0.84960000000000002</v>
      </c>
      <c r="I8895" t="s">
        <v>6238</v>
      </c>
      <c r="J8895" t="s">
        <v>24</v>
      </c>
      <c r="K8895" t="str">
        <f>"7F1"</f>
        <v>7F1</v>
      </c>
      <c r="L8895" t="s">
        <v>15</v>
      </c>
    </row>
    <row r="8896" spans="1:12" x14ac:dyDescent="0.25">
      <c r="A8896" t="str">
        <f>"6753290390"</f>
        <v>6753290390</v>
      </c>
      <c r="B8896" t="str">
        <f t="shared" si="399"/>
        <v>89301000</v>
      </c>
      <c r="C8896" s="1">
        <v>44384</v>
      </c>
      <c r="D8896" s="1">
        <v>44387</v>
      </c>
      <c r="E8896">
        <v>1</v>
      </c>
      <c r="F8896" t="s">
        <v>6237</v>
      </c>
      <c r="G8896" t="str">
        <f>"03-I18-02"</f>
        <v>03-I18-02</v>
      </c>
      <c r="H8896">
        <v>0.84370000000000001</v>
      </c>
      <c r="I8896" t="s">
        <v>6239</v>
      </c>
      <c r="J8896" t="s">
        <v>24</v>
      </c>
      <c r="K8896" t="str">
        <f>"7F1"</f>
        <v>7F1</v>
      </c>
      <c r="L8896" t="s">
        <v>15</v>
      </c>
    </row>
    <row r="8897" spans="1:12" x14ac:dyDescent="0.25">
      <c r="A8897" t="str">
        <f>"6754031592"</f>
        <v>6754031592</v>
      </c>
      <c r="B8897" t="str">
        <f t="shared" si="399"/>
        <v>89301000</v>
      </c>
      <c r="C8897" s="1">
        <v>44465</v>
      </c>
      <c r="D8897" s="1">
        <v>44467</v>
      </c>
      <c r="E8897">
        <v>1</v>
      </c>
      <c r="F8897" t="s">
        <v>609</v>
      </c>
      <c r="G8897" t="str">
        <f>"08-I16-03"</f>
        <v>08-I16-03</v>
      </c>
      <c r="H8897">
        <v>1.3984000000000001</v>
      </c>
      <c r="I8897" t="s">
        <v>30</v>
      </c>
      <c r="J8897" t="s">
        <v>17</v>
      </c>
      <c r="K8897" t="str">
        <f>"5F3"</f>
        <v>5F3</v>
      </c>
      <c r="L8897" t="s">
        <v>15</v>
      </c>
    </row>
    <row r="8898" spans="1:12" x14ac:dyDescent="0.25">
      <c r="A8898" t="str">
        <f>"6754040700"</f>
        <v>6754040700</v>
      </c>
      <c r="B8898" t="str">
        <f t="shared" si="399"/>
        <v>89301000</v>
      </c>
      <c r="C8898" s="1">
        <v>44536</v>
      </c>
      <c r="D8898" s="1">
        <v>44540</v>
      </c>
      <c r="E8898">
        <v>1</v>
      </c>
      <c r="F8898" t="s">
        <v>593</v>
      </c>
      <c r="G8898" t="str">
        <f>"07-I10-06"</f>
        <v>07-I10-06</v>
      </c>
      <c r="H8898">
        <v>0.9728</v>
      </c>
      <c r="J8898" t="s">
        <v>17</v>
      </c>
      <c r="K8898" t="str">
        <f>"5F1"</f>
        <v>5F1</v>
      </c>
      <c r="L8898" t="s">
        <v>15</v>
      </c>
    </row>
    <row r="8899" spans="1:12" x14ac:dyDescent="0.25">
      <c r="A8899" t="str">
        <f>"6754041338"</f>
        <v>6754041338</v>
      </c>
      <c r="B8899" t="str">
        <f t="shared" si="399"/>
        <v>89301000</v>
      </c>
      <c r="C8899" s="1">
        <v>44342</v>
      </c>
      <c r="D8899" s="1">
        <v>44363</v>
      </c>
      <c r="E8899">
        <v>1</v>
      </c>
      <c r="F8899" t="s">
        <v>5200</v>
      </c>
      <c r="G8899" t="str">
        <f>"21-K05-03"</f>
        <v>21-K05-03</v>
      </c>
      <c r="H8899">
        <v>1.3063</v>
      </c>
      <c r="I8899" t="s">
        <v>6240</v>
      </c>
      <c r="J8899" t="s">
        <v>14</v>
      </c>
      <c r="K8899" t="str">
        <f>"3F5"</f>
        <v>3F5</v>
      </c>
      <c r="L8899" t="s">
        <v>15</v>
      </c>
    </row>
    <row r="8900" spans="1:12" x14ac:dyDescent="0.25">
      <c r="A8900" t="str">
        <f>"6754041338"</f>
        <v>6754041338</v>
      </c>
      <c r="B8900" t="str">
        <f t="shared" si="399"/>
        <v>89301000</v>
      </c>
      <c r="C8900" s="1">
        <v>44305</v>
      </c>
      <c r="D8900" s="1">
        <v>44306</v>
      </c>
      <c r="E8900">
        <v>1</v>
      </c>
      <c r="F8900" t="s">
        <v>41</v>
      </c>
      <c r="G8900" t="str">
        <f>"01-D01-03"</f>
        <v>01-D01-03</v>
      </c>
      <c r="H8900">
        <v>0.158</v>
      </c>
      <c r="I8900" t="s">
        <v>4524</v>
      </c>
      <c r="J8900" t="s">
        <v>14</v>
      </c>
      <c r="K8900" t="str">
        <f>"2F5"</f>
        <v>2F5</v>
      </c>
      <c r="L8900" t="s">
        <v>15</v>
      </c>
    </row>
    <row r="8901" spans="1:12" x14ac:dyDescent="0.25">
      <c r="A8901" t="str">
        <f>"6754050072"</f>
        <v>6754050072</v>
      </c>
      <c r="B8901" t="str">
        <f t="shared" si="399"/>
        <v>89301000</v>
      </c>
      <c r="C8901" s="1">
        <v>44294</v>
      </c>
      <c r="D8901" s="1">
        <v>44299</v>
      </c>
      <c r="E8901">
        <v>1</v>
      </c>
      <c r="F8901" t="s">
        <v>1551</v>
      </c>
      <c r="G8901" t="str">
        <f>"09-I06-04"</f>
        <v>09-I06-04</v>
      </c>
      <c r="H8901">
        <v>0.98829999999999996</v>
      </c>
      <c r="J8901" t="s">
        <v>17</v>
      </c>
      <c r="K8901" t="str">
        <f>"5F1"</f>
        <v>5F1</v>
      </c>
      <c r="L8901" t="s">
        <v>15</v>
      </c>
    </row>
    <row r="8902" spans="1:12" x14ac:dyDescent="0.25">
      <c r="A8902" t="str">
        <f>"6754050545"</f>
        <v>6754050545</v>
      </c>
      <c r="B8902" t="str">
        <f t="shared" si="399"/>
        <v>89301000</v>
      </c>
      <c r="C8902" s="1">
        <v>44372</v>
      </c>
      <c r="D8902" s="1">
        <v>44373</v>
      </c>
      <c r="E8902">
        <v>1</v>
      </c>
      <c r="F8902" t="s">
        <v>6130</v>
      </c>
      <c r="G8902" t="str">
        <f>"13-I19-00"</f>
        <v>13-I19-00</v>
      </c>
      <c r="H8902">
        <v>0.24679999999999999</v>
      </c>
      <c r="J8902" t="s">
        <v>14</v>
      </c>
      <c r="K8902" t="str">
        <f>"6F3"</f>
        <v>6F3</v>
      </c>
      <c r="L8902" t="s">
        <v>15</v>
      </c>
    </row>
    <row r="8903" spans="1:12" x14ac:dyDescent="0.25">
      <c r="A8903" t="str">
        <f>"6754140767"</f>
        <v>6754140767</v>
      </c>
      <c r="B8903" t="str">
        <f t="shared" si="399"/>
        <v>89301000</v>
      </c>
      <c r="C8903" s="1">
        <v>44425</v>
      </c>
      <c r="D8903" s="1">
        <v>44427</v>
      </c>
      <c r="E8903">
        <v>1</v>
      </c>
      <c r="F8903" t="s">
        <v>6241</v>
      </c>
      <c r="G8903" t="str">
        <f>"01-K07-02"</f>
        <v>01-K07-02</v>
      </c>
      <c r="H8903">
        <v>0.59279999999999999</v>
      </c>
      <c r="J8903" t="s">
        <v>14</v>
      </c>
      <c r="K8903" t="str">
        <f>"2F9"</f>
        <v>2F9</v>
      </c>
      <c r="L8903" t="s">
        <v>15</v>
      </c>
    </row>
    <row r="8904" spans="1:12" x14ac:dyDescent="0.25">
      <c r="A8904" t="str">
        <f>"6754161106"</f>
        <v>6754161106</v>
      </c>
      <c r="B8904" t="str">
        <f t="shared" si="399"/>
        <v>89301000</v>
      </c>
      <c r="C8904" s="1">
        <v>44348</v>
      </c>
      <c r="D8904" s="1">
        <v>44356</v>
      </c>
      <c r="E8904">
        <v>1</v>
      </c>
      <c r="F8904" t="s">
        <v>1545</v>
      </c>
      <c r="G8904" t="str">
        <f>"05-I14-02"</f>
        <v>05-I14-02</v>
      </c>
      <c r="H8904">
        <v>7.2012999999999998</v>
      </c>
      <c r="I8904" t="s">
        <v>6242</v>
      </c>
      <c r="J8904" t="s">
        <v>14</v>
      </c>
      <c r="K8904" t="str">
        <f>"1F7"</f>
        <v>1F7</v>
      </c>
      <c r="L8904" t="s">
        <v>15</v>
      </c>
    </row>
    <row r="8905" spans="1:12" x14ac:dyDescent="0.25">
      <c r="A8905" t="str">
        <f>"6754200090"</f>
        <v>6754200090</v>
      </c>
      <c r="B8905" t="str">
        <f t="shared" si="399"/>
        <v>89301000</v>
      </c>
      <c r="C8905" s="1">
        <v>44501</v>
      </c>
      <c r="D8905" s="1">
        <v>44503</v>
      </c>
      <c r="E8905">
        <v>1</v>
      </c>
      <c r="F8905" t="s">
        <v>407</v>
      </c>
      <c r="G8905" t="str">
        <f>"03-I19-02"</f>
        <v>03-I19-02</v>
      </c>
      <c r="H8905">
        <v>0.88829999999999998</v>
      </c>
      <c r="I8905" t="s">
        <v>6243</v>
      </c>
      <c r="J8905" t="s">
        <v>14</v>
      </c>
      <c r="K8905" t="str">
        <f>"6F5"</f>
        <v>6F5</v>
      </c>
      <c r="L8905" t="s">
        <v>15</v>
      </c>
    </row>
    <row r="8906" spans="1:12" x14ac:dyDescent="0.25">
      <c r="A8906" t="str">
        <f>"6754200090"</f>
        <v>6754200090</v>
      </c>
      <c r="B8906" t="str">
        <f t="shared" si="399"/>
        <v>89301000</v>
      </c>
      <c r="C8906" s="1">
        <v>44266</v>
      </c>
      <c r="D8906" s="1">
        <v>44268</v>
      </c>
      <c r="E8906">
        <v>1</v>
      </c>
      <c r="F8906" t="s">
        <v>320</v>
      </c>
      <c r="G8906" t="str">
        <f>"03-I23-00"</f>
        <v>03-I23-00</v>
      </c>
      <c r="H8906">
        <v>0.47639999999999999</v>
      </c>
      <c r="I8906" t="s">
        <v>6244</v>
      </c>
      <c r="J8906" t="s">
        <v>14</v>
      </c>
      <c r="K8906" t="str">
        <f>"6F5"</f>
        <v>6F5</v>
      </c>
      <c r="L8906" t="s">
        <v>15</v>
      </c>
    </row>
    <row r="8907" spans="1:12" x14ac:dyDescent="0.25">
      <c r="A8907" t="str">
        <f>"6754290389"</f>
        <v>6754290389</v>
      </c>
      <c r="B8907" t="str">
        <f t="shared" si="399"/>
        <v>89301000</v>
      </c>
      <c r="C8907" s="1">
        <v>44397</v>
      </c>
      <c r="D8907" s="1">
        <v>44398</v>
      </c>
      <c r="E8907">
        <v>1</v>
      </c>
      <c r="F8907" t="s">
        <v>1558</v>
      </c>
      <c r="G8907" t="str">
        <f>"05-D01-06"</f>
        <v>05-D01-06</v>
      </c>
      <c r="H8907">
        <v>0.7611</v>
      </c>
      <c r="I8907" t="s">
        <v>489</v>
      </c>
      <c r="J8907" t="s">
        <v>14</v>
      </c>
      <c r="K8907" t="str">
        <f>"1F1"</f>
        <v>1F1</v>
      </c>
      <c r="L8907" t="s">
        <v>15</v>
      </c>
    </row>
    <row r="8908" spans="1:12" x14ac:dyDescent="0.25">
      <c r="A8908" t="str">
        <f>"6754290389"</f>
        <v>6754290389</v>
      </c>
      <c r="B8908" t="str">
        <f t="shared" si="399"/>
        <v>89301000</v>
      </c>
      <c r="C8908" s="1">
        <v>44424</v>
      </c>
      <c r="D8908" s="1">
        <v>44432</v>
      </c>
      <c r="E8908">
        <v>4</v>
      </c>
      <c r="F8908" t="s">
        <v>1558</v>
      </c>
      <c r="G8908" t="str">
        <f>"05-I12-03"</f>
        <v>05-I12-03</v>
      </c>
      <c r="H8908">
        <v>6.4964000000000004</v>
      </c>
      <c r="J8908" t="s">
        <v>17</v>
      </c>
      <c r="K8908" t="str">
        <f>"5F5"</f>
        <v>5F5</v>
      </c>
      <c r="L8908" t="s">
        <v>15</v>
      </c>
    </row>
    <row r="8909" spans="1:12" x14ac:dyDescent="0.25">
      <c r="A8909" t="str">
        <f>"6755020998"</f>
        <v>6755020998</v>
      </c>
      <c r="B8909" t="str">
        <f t="shared" si="399"/>
        <v>89301000</v>
      </c>
      <c r="C8909" s="1">
        <v>44414</v>
      </c>
      <c r="D8909" s="1">
        <v>44418</v>
      </c>
      <c r="E8909">
        <v>1</v>
      </c>
      <c r="F8909" t="s">
        <v>6245</v>
      </c>
      <c r="G8909" t="str">
        <f>"09-K01-04"</f>
        <v>09-K01-04</v>
      </c>
      <c r="H8909">
        <v>0.57820000000000005</v>
      </c>
      <c r="J8909" t="s">
        <v>14</v>
      </c>
      <c r="K8909" t="str">
        <f>"4F4"</f>
        <v>4F4</v>
      </c>
      <c r="L8909" t="s">
        <v>15</v>
      </c>
    </row>
    <row r="8910" spans="1:12" x14ac:dyDescent="0.25">
      <c r="A8910" t="str">
        <f>"6755051017"</f>
        <v>6755051017</v>
      </c>
      <c r="B8910" t="str">
        <f t="shared" si="399"/>
        <v>89301000</v>
      </c>
      <c r="C8910" s="1">
        <v>44405</v>
      </c>
      <c r="D8910" s="1">
        <v>44406</v>
      </c>
      <c r="E8910">
        <v>1</v>
      </c>
      <c r="F8910" t="s">
        <v>6246</v>
      </c>
      <c r="G8910" t="str">
        <f>"13-I19-00"</f>
        <v>13-I19-00</v>
      </c>
      <c r="H8910">
        <v>0.24679999999999999</v>
      </c>
      <c r="J8910" t="s">
        <v>14</v>
      </c>
      <c r="K8910" t="str">
        <f>"6F3"</f>
        <v>6F3</v>
      </c>
      <c r="L8910" t="s">
        <v>15</v>
      </c>
    </row>
    <row r="8911" spans="1:12" x14ac:dyDescent="0.25">
      <c r="A8911" t="str">
        <f>"6755080101"</f>
        <v>6755080101</v>
      </c>
      <c r="B8911" t="str">
        <f t="shared" si="399"/>
        <v>89301000</v>
      </c>
      <c r="C8911" s="1">
        <v>44384</v>
      </c>
      <c r="D8911" s="1">
        <v>44393</v>
      </c>
      <c r="E8911">
        <v>1</v>
      </c>
      <c r="F8911" t="s">
        <v>5226</v>
      </c>
      <c r="G8911" t="str">
        <f>"20-K03-03"</f>
        <v>20-K03-03</v>
      </c>
      <c r="H8911">
        <v>1.0109999999999999</v>
      </c>
      <c r="I8911" t="s">
        <v>6247</v>
      </c>
      <c r="J8911" t="s">
        <v>14</v>
      </c>
      <c r="K8911" t="str">
        <f>"3F5"</f>
        <v>3F5</v>
      </c>
      <c r="L8911" t="s">
        <v>15</v>
      </c>
    </row>
    <row r="8912" spans="1:12" x14ac:dyDescent="0.25">
      <c r="A8912" t="str">
        <f>"6755080101"</f>
        <v>6755080101</v>
      </c>
      <c r="B8912" t="str">
        <f t="shared" si="399"/>
        <v>89301000</v>
      </c>
      <c r="C8912" s="1">
        <v>44458</v>
      </c>
      <c r="D8912" s="1">
        <v>44473</v>
      </c>
      <c r="E8912">
        <v>1</v>
      </c>
      <c r="F8912" t="s">
        <v>5226</v>
      </c>
      <c r="G8912" t="str">
        <f>"20-K05-02"</f>
        <v>20-K05-02</v>
      </c>
      <c r="H8912">
        <v>1.9813000000000001</v>
      </c>
      <c r="I8912" t="s">
        <v>6248</v>
      </c>
      <c r="J8912" t="s">
        <v>14</v>
      </c>
      <c r="K8912" t="str">
        <f>"3F5"</f>
        <v>3F5</v>
      </c>
      <c r="L8912" t="s">
        <v>15</v>
      </c>
    </row>
    <row r="8913" spans="1:12" x14ac:dyDescent="0.25">
      <c r="A8913" t="str">
        <f>"6755110626"</f>
        <v>6755110626</v>
      </c>
      <c r="B8913" t="str">
        <f t="shared" si="399"/>
        <v>89301000</v>
      </c>
      <c r="C8913" s="1">
        <v>44463</v>
      </c>
      <c r="D8913" s="1">
        <v>44470</v>
      </c>
      <c r="E8913">
        <v>1</v>
      </c>
      <c r="F8913" t="s">
        <v>1660</v>
      </c>
      <c r="G8913" t="str">
        <f>"01-K12-01"</f>
        <v>01-K12-01</v>
      </c>
      <c r="H8913">
        <v>0.71289999999999998</v>
      </c>
      <c r="I8913" t="s">
        <v>6249</v>
      </c>
      <c r="J8913" t="s">
        <v>14</v>
      </c>
      <c r="K8913" t="str">
        <f>"2F9"</f>
        <v>2F9</v>
      </c>
      <c r="L8913" t="s">
        <v>15</v>
      </c>
    </row>
    <row r="8914" spans="1:12" x14ac:dyDescent="0.25">
      <c r="A8914" t="str">
        <f>"6755221583"</f>
        <v>6755221583</v>
      </c>
      <c r="B8914" t="str">
        <f t="shared" si="399"/>
        <v>89301000</v>
      </c>
      <c r="C8914" s="1">
        <v>44468</v>
      </c>
      <c r="D8914" s="1">
        <v>44471</v>
      </c>
      <c r="E8914">
        <v>1</v>
      </c>
      <c r="F8914" t="s">
        <v>496</v>
      </c>
      <c r="G8914" t="str">
        <f>"08-M03-05"</f>
        <v>08-M03-05</v>
      </c>
      <c r="H8914">
        <v>0.51759999999999995</v>
      </c>
      <c r="I8914" t="s">
        <v>524</v>
      </c>
      <c r="J8914" t="s">
        <v>14</v>
      </c>
      <c r="K8914" t="str">
        <f>"6F6"</f>
        <v>6F6</v>
      </c>
      <c r="L8914" t="s">
        <v>15</v>
      </c>
    </row>
    <row r="8915" spans="1:12" x14ac:dyDescent="0.25">
      <c r="A8915" t="str">
        <f>"6755311750"</f>
        <v>6755311750</v>
      </c>
      <c r="B8915" t="str">
        <f t="shared" si="399"/>
        <v>89301000</v>
      </c>
      <c r="C8915" s="1">
        <v>44518</v>
      </c>
      <c r="D8915" s="1">
        <v>44521</v>
      </c>
      <c r="E8915">
        <v>1</v>
      </c>
      <c r="F8915" t="s">
        <v>6167</v>
      </c>
      <c r="G8915" t="str">
        <f>"06-K11-00"</f>
        <v>06-K11-00</v>
      </c>
      <c r="H8915">
        <v>0.34810000000000002</v>
      </c>
      <c r="I8915" t="s">
        <v>6250</v>
      </c>
      <c r="J8915" t="s">
        <v>14</v>
      </c>
      <c r="K8915" t="str">
        <f>"5F1"</f>
        <v>5F1</v>
      </c>
      <c r="L8915" t="s">
        <v>15</v>
      </c>
    </row>
    <row r="8916" spans="1:12" x14ac:dyDescent="0.25">
      <c r="A8916" t="str">
        <f>"6756040676"</f>
        <v>6756040676</v>
      </c>
      <c r="B8916" t="str">
        <f t="shared" si="399"/>
        <v>89301000</v>
      </c>
      <c r="C8916" s="1">
        <v>44353</v>
      </c>
      <c r="D8916" s="1">
        <v>44358</v>
      </c>
      <c r="E8916">
        <v>1</v>
      </c>
      <c r="F8916" t="s">
        <v>3236</v>
      </c>
      <c r="G8916" t="str">
        <f>"13-I11-03"</f>
        <v>13-I11-03</v>
      </c>
      <c r="H8916">
        <v>1.3809</v>
      </c>
      <c r="I8916" t="s">
        <v>860</v>
      </c>
      <c r="J8916" t="s">
        <v>24</v>
      </c>
      <c r="K8916" t="str">
        <f>"6F3"</f>
        <v>6F3</v>
      </c>
      <c r="L8916" t="s">
        <v>15</v>
      </c>
    </row>
    <row r="8917" spans="1:12" x14ac:dyDescent="0.25">
      <c r="A8917" t="str">
        <f>"6757072036"</f>
        <v>6757072036</v>
      </c>
      <c r="B8917" t="str">
        <f t="shared" si="399"/>
        <v>89301000</v>
      </c>
      <c r="C8917" s="1">
        <v>44194</v>
      </c>
      <c r="D8917" s="1">
        <v>44203</v>
      </c>
      <c r="E8917">
        <v>1</v>
      </c>
      <c r="F8917" t="s">
        <v>96</v>
      </c>
      <c r="G8917" t="str">
        <f>"11-K01-02"</f>
        <v>11-K01-02</v>
      </c>
      <c r="H8917">
        <v>0.82289999999999996</v>
      </c>
      <c r="I8917" t="s">
        <v>6251</v>
      </c>
      <c r="J8917" t="s">
        <v>14</v>
      </c>
      <c r="K8917" t="str">
        <f>"7F6"</f>
        <v>7F6</v>
      </c>
      <c r="L8917" t="s">
        <v>15</v>
      </c>
    </row>
    <row r="8918" spans="1:12" x14ac:dyDescent="0.25">
      <c r="A8918" t="str">
        <f>"6757110041"</f>
        <v>6757110041</v>
      </c>
      <c r="B8918" t="str">
        <f t="shared" si="399"/>
        <v>89301000</v>
      </c>
      <c r="C8918" s="1">
        <v>44286</v>
      </c>
      <c r="D8918" s="1">
        <v>44289</v>
      </c>
      <c r="E8918">
        <v>1</v>
      </c>
      <c r="F8918" t="s">
        <v>6252</v>
      </c>
      <c r="G8918" t="str">
        <f>"08-M03-05"</f>
        <v>08-M03-05</v>
      </c>
      <c r="H8918">
        <v>0.51759999999999995</v>
      </c>
      <c r="J8918" t="s">
        <v>14</v>
      </c>
      <c r="K8918" t="str">
        <f>"6F6"</f>
        <v>6F6</v>
      </c>
      <c r="L8918" t="s">
        <v>15</v>
      </c>
    </row>
    <row r="8919" spans="1:12" x14ac:dyDescent="0.25">
      <c r="A8919" t="str">
        <f>"6757201715"</f>
        <v>6757201715</v>
      </c>
      <c r="B8919" t="str">
        <f t="shared" si="399"/>
        <v>89301000</v>
      </c>
      <c r="C8919" s="1">
        <v>44451</v>
      </c>
      <c r="D8919" s="1">
        <v>44453</v>
      </c>
      <c r="E8919">
        <v>1</v>
      </c>
      <c r="F8919" t="s">
        <v>1579</v>
      </c>
      <c r="G8919" t="str">
        <f>"05-I25-03"</f>
        <v>05-I25-03</v>
      </c>
      <c r="H8919">
        <v>1.5508</v>
      </c>
      <c r="J8919" t="s">
        <v>17</v>
      </c>
      <c r="K8919" t="str">
        <f>"1F1"</f>
        <v>1F1</v>
      </c>
      <c r="L8919" t="s">
        <v>15</v>
      </c>
    </row>
    <row r="8920" spans="1:12" x14ac:dyDescent="0.25">
      <c r="A8920" t="str">
        <f>"6757530516"</f>
        <v>6757530516</v>
      </c>
      <c r="B8920" t="str">
        <f t="shared" si="399"/>
        <v>89301000</v>
      </c>
      <c r="C8920" s="1">
        <v>44289</v>
      </c>
      <c r="D8920" s="1">
        <v>44306</v>
      </c>
      <c r="E8920">
        <v>5</v>
      </c>
      <c r="F8920" t="s">
        <v>67</v>
      </c>
      <c r="G8920" t="str">
        <f>"01-K10-03"</f>
        <v>01-K10-03</v>
      </c>
      <c r="H8920">
        <v>1.3409</v>
      </c>
      <c r="I8920" t="s">
        <v>2321</v>
      </c>
      <c r="J8920" t="s">
        <v>14</v>
      </c>
      <c r="K8920" t="str">
        <f>"2F9"</f>
        <v>2F9</v>
      </c>
      <c r="L8920" t="s">
        <v>15</v>
      </c>
    </row>
    <row r="8921" spans="1:12" x14ac:dyDescent="0.25">
      <c r="A8921" t="str">
        <f>"6757530516"</f>
        <v>6757530516</v>
      </c>
      <c r="B8921" t="str">
        <f t="shared" si="399"/>
        <v>89301000</v>
      </c>
      <c r="C8921" s="1">
        <v>44306</v>
      </c>
      <c r="D8921" s="1">
        <v>44320</v>
      </c>
      <c r="E8921">
        <v>4</v>
      </c>
      <c r="F8921" t="s">
        <v>109</v>
      </c>
      <c r="G8921" t="str">
        <f>"24-M07-01"</f>
        <v>24-M07-01</v>
      </c>
      <c r="H8921">
        <v>1.7399</v>
      </c>
      <c r="I8921" t="s">
        <v>6253</v>
      </c>
      <c r="J8921" t="s">
        <v>14</v>
      </c>
      <c r="K8921" t="str">
        <f>"2F1"</f>
        <v>2F1</v>
      </c>
      <c r="L8921" t="s">
        <v>15</v>
      </c>
    </row>
    <row r="8922" spans="1:12" x14ac:dyDescent="0.25">
      <c r="A8922" t="str">
        <f>"6758020126"</f>
        <v>6758020126</v>
      </c>
      <c r="B8922" t="str">
        <f t="shared" si="399"/>
        <v>89301000</v>
      </c>
      <c r="C8922" s="1">
        <v>44490</v>
      </c>
      <c r="D8922" s="1">
        <v>44491</v>
      </c>
      <c r="E8922">
        <v>1</v>
      </c>
      <c r="F8922" t="s">
        <v>1557</v>
      </c>
      <c r="G8922" t="str">
        <f>"05-M06-08"</f>
        <v>05-M06-08</v>
      </c>
      <c r="H8922">
        <v>1.4719</v>
      </c>
      <c r="I8922" t="s">
        <v>6254</v>
      </c>
      <c r="J8922" t="s">
        <v>17</v>
      </c>
      <c r="K8922" t="str">
        <f>"1F1"</f>
        <v>1F1</v>
      </c>
      <c r="L8922" t="s">
        <v>15</v>
      </c>
    </row>
    <row r="8923" spans="1:12" x14ac:dyDescent="0.25">
      <c r="A8923" t="str">
        <f>"6758110117"</f>
        <v>6758110117</v>
      </c>
      <c r="B8923" t="str">
        <f t="shared" si="399"/>
        <v>89301000</v>
      </c>
      <c r="C8923" s="1">
        <v>44339</v>
      </c>
      <c r="D8923" s="1">
        <v>44347</v>
      </c>
      <c r="E8923">
        <v>1</v>
      </c>
      <c r="F8923" t="s">
        <v>81</v>
      </c>
      <c r="G8923" t="str">
        <f>"10-I13-02"</f>
        <v>10-I13-02</v>
      </c>
      <c r="H8923">
        <v>1.1468</v>
      </c>
      <c r="J8923" t="s">
        <v>24</v>
      </c>
      <c r="K8923" t="str">
        <f>"5F1"</f>
        <v>5F1</v>
      </c>
      <c r="L8923" t="s">
        <v>15</v>
      </c>
    </row>
    <row r="8924" spans="1:12" x14ac:dyDescent="0.25">
      <c r="A8924" t="str">
        <f>"6758230479"</f>
        <v>6758230479</v>
      </c>
      <c r="B8924" t="str">
        <f t="shared" si="399"/>
        <v>89301000</v>
      </c>
      <c r="C8924" s="1">
        <v>44213</v>
      </c>
      <c r="D8924" s="1">
        <v>44214</v>
      </c>
      <c r="E8924">
        <v>1</v>
      </c>
      <c r="F8924" t="s">
        <v>2457</v>
      </c>
      <c r="G8924" t="str">
        <f>"05-D01-08"</f>
        <v>05-D01-08</v>
      </c>
      <c r="H8924">
        <v>0.4093</v>
      </c>
      <c r="I8924" t="s">
        <v>6255</v>
      </c>
      <c r="J8924" t="s">
        <v>14</v>
      </c>
      <c r="K8924" t="str">
        <f>"1F1"</f>
        <v>1F1</v>
      </c>
      <c r="L8924" t="s">
        <v>15</v>
      </c>
    </row>
    <row r="8925" spans="1:12" x14ac:dyDescent="0.25">
      <c r="A8925" t="str">
        <f>"6758250235"</f>
        <v>6758250235</v>
      </c>
      <c r="B8925" t="str">
        <f t="shared" si="399"/>
        <v>89301000</v>
      </c>
      <c r="C8925" s="1">
        <v>44440</v>
      </c>
      <c r="D8925" s="1">
        <v>44443</v>
      </c>
      <c r="E8925">
        <v>1</v>
      </c>
      <c r="F8925" t="s">
        <v>1927</v>
      </c>
      <c r="G8925" t="str">
        <f>"05-I24-04"</f>
        <v>05-I24-04</v>
      </c>
      <c r="H8925">
        <v>2.1857000000000002</v>
      </c>
      <c r="I8925" t="s">
        <v>6256</v>
      </c>
      <c r="J8925" t="s">
        <v>14</v>
      </c>
      <c r="K8925" t="str">
        <f>"5F1"</f>
        <v>5F1</v>
      </c>
      <c r="L8925" t="s">
        <v>15</v>
      </c>
    </row>
    <row r="8926" spans="1:12" x14ac:dyDescent="0.25">
      <c r="A8926" t="str">
        <f>"6758251797"</f>
        <v>6758251797</v>
      </c>
      <c r="B8926" t="str">
        <f t="shared" si="399"/>
        <v>89301000</v>
      </c>
      <c r="C8926" s="1">
        <v>44392</v>
      </c>
      <c r="D8926" s="1">
        <v>44400</v>
      </c>
      <c r="E8926">
        <v>1</v>
      </c>
      <c r="F8926" t="s">
        <v>6257</v>
      </c>
      <c r="G8926" t="str">
        <f>"06-K14-02"</f>
        <v>06-K14-02</v>
      </c>
      <c r="H8926">
        <v>0.57279999999999998</v>
      </c>
      <c r="I8926" t="s">
        <v>6258</v>
      </c>
      <c r="J8926" t="s">
        <v>14</v>
      </c>
      <c r="K8926" t="str">
        <f>"4F2"</f>
        <v>4F2</v>
      </c>
      <c r="L8926" t="s">
        <v>15</v>
      </c>
    </row>
    <row r="8927" spans="1:12" x14ac:dyDescent="0.25">
      <c r="A8927" t="str">
        <f>"6759020433"</f>
        <v>6759020433</v>
      </c>
      <c r="B8927" t="str">
        <f t="shared" si="399"/>
        <v>89301000</v>
      </c>
      <c r="C8927" s="1">
        <v>44301</v>
      </c>
      <c r="D8927" s="1">
        <v>44302</v>
      </c>
      <c r="E8927">
        <v>1</v>
      </c>
      <c r="F8927" t="s">
        <v>5970</v>
      </c>
      <c r="G8927" t="str">
        <f>"06-M01-01"</f>
        <v>06-M01-01</v>
      </c>
      <c r="H8927">
        <v>1.2332000000000001</v>
      </c>
      <c r="I8927" t="s">
        <v>6259</v>
      </c>
      <c r="J8927" t="s">
        <v>14</v>
      </c>
      <c r="K8927" t="str">
        <f>"1F5"</f>
        <v>1F5</v>
      </c>
      <c r="L8927" t="s">
        <v>15</v>
      </c>
    </row>
    <row r="8928" spans="1:12" x14ac:dyDescent="0.25">
      <c r="A8928" t="str">
        <f>"6759060462"</f>
        <v>6759060462</v>
      </c>
      <c r="B8928" t="str">
        <f t="shared" si="399"/>
        <v>89301000</v>
      </c>
      <c r="C8928" s="1">
        <v>44329</v>
      </c>
      <c r="D8928" s="1">
        <v>44333</v>
      </c>
      <c r="E8928">
        <v>1</v>
      </c>
      <c r="F8928" t="s">
        <v>1551</v>
      </c>
      <c r="G8928" t="str">
        <f>"09-I06-04"</f>
        <v>09-I06-04</v>
      </c>
      <c r="H8928">
        <v>0.98829999999999996</v>
      </c>
      <c r="J8928" t="s">
        <v>17</v>
      </c>
      <c r="K8928" t="str">
        <f>"5F1"</f>
        <v>5F1</v>
      </c>
      <c r="L8928" t="s">
        <v>15</v>
      </c>
    </row>
    <row r="8929" spans="1:12" x14ac:dyDescent="0.25">
      <c r="A8929" t="str">
        <f>"6759140520"</f>
        <v>6759140520</v>
      </c>
      <c r="B8929" t="str">
        <f t="shared" si="399"/>
        <v>89301000</v>
      </c>
      <c r="C8929" s="1">
        <v>44496</v>
      </c>
      <c r="D8929" s="1">
        <v>44497</v>
      </c>
      <c r="E8929">
        <v>1</v>
      </c>
      <c r="F8929" t="s">
        <v>2397</v>
      </c>
      <c r="G8929" t="str">
        <f>"05-K05-05"</f>
        <v>05-K05-05</v>
      </c>
      <c r="H8929">
        <v>1.3262</v>
      </c>
      <c r="J8929" t="s">
        <v>14</v>
      </c>
      <c r="K8929" t="str">
        <f>"1F7"</f>
        <v>1F7</v>
      </c>
      <c r="L8929" t="s">
        <v>15</v>
      </c>
    </row>
    <row r="8930" spans="1:12" x14ac:dyDescent="0.25">
      <c r="A8930" t="str">
        <f>"6759220897"</f>
        <v>6759220897</v>
      </c>
      <c r="B8930" t="str">
        <f t="shared" si="399"/>
        <v>89301000</v>
      </c>
      <c r="C8930" s="1">
        <v>44493</v>
      </c>
      <c r="D8930" s="1">
        <v>44504</v>
      </c>
      <c r="E8930">
        <v>1</v>
      </c>
      <c r="F8930" t="s">
        <v>630</v>
      </c>
      <c r="G8930" t="str">
        <f>"06-I18-01"</f>
        <v>06-I18-01</v>
      </c>
      <c r="H8930">
        <v>2.6661999999999999</v>
      </c>
      <c r="I8930" t="s">
        <v>5606</v>
      </c>
      <c r="J8930" t="s">
        <v>24</v>
      </c>
      <c r="K8930" t="str">
        <f>"5F1"</f>
        <v>5F1</v>
      </c>
      <c r="L8930" t="s">
        <v>15</v>
      </c>
    </row>
    <row r="8931" spans="1:12" x14ac:dyDescent="0.25">
      <c r="A8931" t="str">
        <f>"6759260156"</f>
        <v>6759260156</v>
      </c>
      <c r="B8931" t="str">
        <f t="shared" si="399"/>
        <v>89301000</v>
      </c>
      <c r="C8931" s="1">
        <v>44327</v>
      </c>
      <c r="D8931" s="1">
        <v>44329</v>
      </c>
      <c r="E8931">
        <v>1</v>
      </c>
      <c r="F8931" t="s">
        <v>6260</v>
      </c>
      <c r="G8931" t="str">
        <f>"01-K18-04"</f>
        <v>01-K18-04</v>
      </c>
      <c r="H8931">
        <v>0.49890000000000001</v>
      </c>
      <c r="I8931" t="s">
        <v>6261</v>
      </c>
      <c r="J8931" t="s">
        <v>14</v>
      </c>
      <c r="K8931" t="str">
        <f>"2F9"</f>
        <v>2F9</v>
      </c>
      <c r="L8931" t="s">
        <v>15</v>
      </c>
    </row>
    <row r="8932" spans="1:12" x14ac:dyDescent="0.25">
      <c r="A8932" t="str">
        <f>"6760050847"</f>
        <v>6760050847</v>
      </c>
      <c r="B8932" t="str">
        <f t="shared" si="399"/>
        <v>89301000</v>
      </c>
      <c r="C8932" s="1">
        <v>44204</v>
      </c>
      <c r="D8932" s="1">
        <v>44207</v>
      </c>
      <c r="E8932">
        <v>1</v>
      </c>
      <c r="F8932" t="s">
        <v>1553</v>
      </c>
      <c r="G8932" t="str">
        <f>"04-K05-02"</f>
        <v>04-K05-02</v>
      </c>
      <c r="H8932">
        <v>1.2657</v>
      </c>
      <c r="I8932" t="s">
        <v>979</v>
      </c>
      <c r="J8932" t="s">
        <v>14</v>
      </c>
      <c r="K8932" t="str">
        <f>"1F1"</f>
        <v>1F1</v>
      </c>
      <c r="L8932" t="s">
        <v>15</v>
      </c>
    </row>
    <row r="8933" spans="1:12" x14ac:dyDescent="0.25">
      <c r="A8933" t="str">
        <f>"6760051232"</f>
        <v>6760051232</v>
      </c>
      <c r="B8933" t="str">
        <f t="shared" si="399"/>
        <v>89301000</v>
      </c>
      <c r="C8933" s="1">
        <v>44355</v>
      </c>
      <c r="D8933" s="1">
        <v>44357</v>
      </c>
      <c r="E8933">
        <v>1</v>
      </c>
      <c r="F8933" t="s">
        <v>750</v>
      </c>
      <c r="G8933" t="str">
        <f>"11-I14-02"</f>
        <v>11-I14-02</v>
      </c>
      <c r="H8933">
        <v>0.63060000000000005</v>
      </c>
      <c r="I8933" t="s">
        <v>6262</v>
      </c>
      <c r="J8933" t="s">
        <v>24</v>
      </c>
      <c r="K8933" t="str">
        <f>"7F6"</f>
        <v>7F6</v>
      </c>
      <c r="L8933" t="s">
        <v>15</v>
      </c>
    </row>
    <row r="8934" spans="1:12" x14ac:dyDescent="0.25">
      <c r="A8934" t="str">
        <f>"6760080206"</f>
        <v>6760080206</v>
      </c>
      <c r="B8934" t="str">
        <f t="shared" si="399"/>
        <v>89301000</v>
      </c>
      <c r="C8934" s="1">
        <v>44396</v>
      </c>
      <c r="D8934" s="1">
        <v>44398</v>
      </c>
      <c r="E8934">
        <v>1</v>
      </c>
      <c r="F8934" t="s">
        <v>1679</v>
      </c>
      <c r="G8934" t="str">
        <f>"11-M06-03"</f>
        <v>11-M06-03</v>
      </c>
      <c r="H8934">
        <v>0.61519999999999997</v>
      </c>
      <c r="I8934" t="s">
        <v>5501</v>
      </c>
      <c r="J8934" t="s">
        <v>17</v>
      </c>
      <c r="K8934" t="str">
        <f>"7F6"</f>
        <v>7F6</v>
      </c>
      <c r="L8934" t="s">
        <v>15</v>
      </c>
    </row>
    <row r="8935" spans="1:12" x14ac:dyDescent="0.25">
      <c r="A8935" t="str">
        <f>"6760250222"</f>
        <v>6760250222</v>
      </c>
      <c r="B8935" t="str">
        <f t="shared" si="399"/>
        <v>89301000</v>
      </c>
      <c r="C8935" s="1">
        <v>44399</v>
      </c>
      <c r="D8935" s="1">
        <v>44419</v>
      </c>
      <c r="E8935">
        <v>1</v>
      </c>
      <c r="F8935" t="s">
        <v>4488</v>
      </c>
      <c r="G8935" t="str">
        <f>"09-K08-02"</f>
        <v>09-K08-02</v>
      </c>
      <c r="H8935">
        <v>1.1129</v>
      </c>
      <c r="I8935" t="s">
        <v>2897</v>
      </c>
      <c r="J8935" t="s">
        <v>14</v>
      </c>
      <c r="K8935" t="str">
        <f>"4F2"</f>
        <v>4F2</v>
      </c>
      <c r="L8935" t="s">
        <v>286</v>
      </c>
    </row>
    <row r="8936" spans="1:12" x14ac:dyDescent="0.25">
      <c r="A8936" t="str">
        <f>"6760250222"</f>
        <v>6760250222</v>
      </c>
      <c r="B8936" t="str">
        <f t="shared" si="399"/>
        <v>89301000</v>
      </c>
      <c r="C8936" s="1">
        <v>44452</v>
      </c>
      <c r="D8936" s="1">
        <v>44453</v>
      </c>
      <c r="E8936">
        <v>1</v>
      </c>
      <c r="F8936" t="s">
        <v>1762</v>
      </c>
      <c r="G8936" t="str">
        <f>"04-K09-03"</f>
        <v>04-K09-03</v>
      </c>
      <c r="H8936">
        <v>0.62749999999999995</v>
      </c>
      <c r="I8936" t="s">
        <v>6263</v>
      </c>
      <c r="J8936" t="s">
        <v>14</v>
      </c>
      <c r="K8936" t="str">
        <f>"2F5"</f>
        <v>2F5</v>
      </c>
      <c r="L8936" t="s">
        <v>15</v>
      </c>
    </row>
    <row r="8937" spans="1:12" x14ac:dyDescent="0.25">
      <c r="A8937" t="str">
        <f>"6760312053"</f>
        <v>6760312053</v>
      </c>
      <c r="B8937" t="str">
        <f t="shared" si="399"/>
        <v>89301000</v>
      </c>
      <c r="C8937" s="1">
        <v>44522</v>
      </c>
      <c r="D8937" s="1">
        <v>44523</v>
      </c>
      <c r="E8937">
        <v>1</v>
      </c>
      <c r="F8937" t="s">
        <v>71</v>
      </c>
      <c r="G8937" t="str">
        <f>"08-M03-06"</f>
        <v>08-M03-06</v>
      </c>
      <c r="H8937">
        <v>0.41899999999999998</v>
      </c>
      <c r="I8937" t="s">
        <v>233</v>
      </c>
      <c r="J8937" t="s">
        <v>14</v>
      </c>
      <c r="K8937" t="str">
        <f>"5F3"</f>
        <v>5F3</v>
      </c>
      <c r="L8937" t="s">
        <v>15</v>
      </c>
    </row>
    <row r="8938" spans="1:12" x14ac:dyDescent="0.25">
      <c r="A8938" t="str">
        <f>"6761100368"</f>
        <v>6761100368</v>
      </c>
      <c r="B8938" t="str">
        <f t="shared" si="399"/>
        <v>89301000</v>
      </c>
      <c r="C8938" s="1">
        <v>44483</v>
      </c>
      <c r="D8938" s="1">
        <v>44487</v>
      </c>
      <c r="E8938">
        <v>1</v>
      </c>
      <c r="F8938" t="s">
        <v>79</v>
      </c>
      <c r="G8938" t="str">
        <f>"10-I12-00"</f>
        <v>10-I12-00</v>
      </c>
      <c r="H8938">
        <v>1.6471</v>
      </c>
      <c r="I8938" t="s">
        <v>6264</v>
      </c>
      <c r="J8938" t="s">
        <v>17</v>
      </c>
      <c r="K8938" t="str">
        <f>"5F1"</f>
        <v>5F1</v>
      </c>
      <c r="L8938" t="s">
        <v>15</v>
      </c>
    </row>
    <row r="8939" spans="1:12" x14ac:dyDescent="0.25">
      <c r="A8939" t="str">
        <f>"6761100379"</f>
        <v>6761100379</v>
      </c>
      <c r="B8939" t="str">
        <f t="shared" si="399"/>
        <v>89301000</v>
      </c>
      <c r="C8939" s="1">
        <v>44198</v>
      </c>
      <c r="D8939" s="1">
        <v>44204</v>
      </c>
      <c r="E8939">
        <v>1</v>
      </c>
      <c r="F8939" t="s">
        <v>6265</v>
      </c>
      <c r="G8939" t="str">
        <f>"02-I08-02"</f>
        <v>02-I08-02</v>
      </c>
      <c r="H8939">
        <v>0.77329999999999999</v>
      </c>
      <c r="I8939" t="s">
        <v>6266</v>
      </c>
      <c r="J8939" t="s">
        <v>17</v>
      </c>
      <c r="K8939" t="str">
        <f>"7F5"</f>
        <v>7F5</v>
      </c>
      <c r="L8939" t="s">
        <v>15</v>
      </c>
    </row>
    <row r="8940" spans="1:12" x14ac:dyDescent="0.25">
      <c r="A8940" t="str">
        <f>"6761231070"</f>
        <v>6761231070</v>
      </c>
      <c r="B8940" t="str">
        <f t="shared" si="399"/>
        <v>89301000</v>
      </c>
      <c r="C8940" s="1">
        <v>44536</v>
      </c>
      <c r="D8940" s="1">
        <v>44538</v>
      </c>
      <c r="E8940">
        <v>1</v>
      </c>
      <c r="F8940" t="s">
        <v>5705</v>
      </c>
      <c r="G8940" t="str">
        <f>"08-I10-02"</f>
        <v>08-I10-02</v>
      </c>
      <c r="H8940">
        <v>1.0232000000000001</v>
      </c>
      <c r="J8940" t="s">
        <v>17</v>
      </c>
      <c r="K8940" t="str">
        <f>"6F6"</f>
        <v>6F6</v>
      </c>
      <c r="L8940" t="s">
        <v>15</v>
      </c>
    </row>
    <row r="8941" spans="1:12" x14ac:dyDescent="0.25">
      <c r="A8941" t="str">
        <f>"6761300986"</f>
        <v>6761300986</v>
      </c>
      <c r="B8941" t="str">
        <f t="shared" si="399"/>
        <v>89301000</v>
      </c>
      <c r="C8941" s="1">
        <v>44321</v>
      </c>
      <c r="D8941" s="1">
        <v>44323</v>
      </c>
      <c r="E8941">
        <v>1</v>
      </c>
      <c r="F8941" t="s">
        <v>71</v>
      </c>
      <c r="G8941" t="str">
        <f>"08-M03-05"</f>
        <v>08-M03-05</v>
      </c>
      <c r="H8941">
        <v>0.51759999999999995</v>
      </c>
      <c r="I8941" t="s">
        <v>6267</v>
      </c>
      <c r="J8941" t="s">
        <v>14</v>
      </c>
      <c r="K8941" t="str">
        <f>"6F6"</f>
        <v>6F6</v>
      </c>
      <c r="L8941" t="s">
        <v>15</v>
      </c>
    </row>
    <row r="8942" spans="1:12" x14ac:dyDescent="0.25">
      <c r="A8942" t="str">
        <f>"6762010178"</f>
        <v>6762010178</v>
      </c>
      <c r="B8942" t="str">
        <f t="shared" si="399"/>
        <v>89301000</v>
      </c>
      <c r="C8942" s="1">
        <v>44547</v>
      </c>
      <c r="D8942" s="1">
        <v>44554</v>
      </c>
      <c r="E8942">
        <v>1</v>
      </c>
      <c r="F8942" t="s">
        <v>1008</v>
      </c>
      <c r="G8942" t="str">
        <f>"18-K01-05"</f>
        <v>18-K01-05</v>
      </c>
      <c r="H8942">
        <v>1.6713</v>
      </c>
      <c r="I8942" t="s">
        <v>6268</v>
      </c>
      <c r="J8942" t="s">
        <v>14</v>
      </c>
      <c r="K8942" t="str">
        <f>"1F1"</f>
        <v>1F1</v>
      </c>
      <c r="L8942" t="s">
        <v>15</v>
      </c>
    </row>
    <row r="8943" spans="1:12" x14ac:dyDescent="0.25">
      <c r="A8943" t="str">
        <f>"6762041022"</f>
        <v>6762041022</v>
      </c>
      <c r="B8943" t="str">
        <f t="shared" si="399"/>
        <v>89301000</v>
      </c>
      <c r="C8943" s="1">
        <v>44454</v>
      </c>
      <c r="D8943" s="1">
        <v>44456</v>
      </c>
      <c r="E8943">
        <v>1</v>
      </c>
      <c r="F8943" t="s">
        <v>173</v>
      </c>
      <c r="G8943" t="str">
        <f>"08-I32-02"</f>
        <v>08-I32-02</v>
      </c>
      <c r="H8943">
        <v>0.4143</v>
      </c>
      <c r="J8943" t="s">
        <v>14</v>
      </c>
      <c r="K8943" t="str">
        <f>"5F3"</f>
        <v>5F3</v>
      </c>
      <c r="L8943" t="s">
        <v>15</v>
      </c>
    </row>
    <row r="8944" spans="1:12" x14ac:dyDescent="0.25">
      <c r="A8944" t="str">
        <f>"6762050174"</f>
        <v>6762050174</v>
      </c>
      <c r="B8944" t="str">
        <f t="shared" ref="B8944:B9006" si="400">"89301000"</f>
        <v>89301000</v>
      </c>
      <c r="C8944" s="1">
        <v>44392</v>
      </c>
      <c r="D8944" s="1">
        <v>44398</v>
      </c>
      <c r="E8944">
        <v>1</v>
      </c>
      <c r="F8944" t="s">
        <v>1764</v>
      </c>
      <c r="G8944" t="str">
        <f>"01-K08-02"</f>
        <v>01-K08-02</v>
      </c>
      <c r="H8944">
        <v>0.60519999999999996</v>
      </c>
      <c r="I8944" t="s">
        <v>6269</v>
      </c>
      <c r="J8944" t="s">
        <v>14</v>
      </c>
      <c r="K8944" t="str">
        <f>"2F9"</f>
        <v>2F9</v>
      </c>
      <c r="L8944" t="s">
        <v>15</v>
      </c>
    </row>
    <row r="8945" spans="1:12" x14ac:dyDescent="0.25">
      <c r="A8945" t="str">
        <f>"6762170140"</f>
        <v>6762170140</v>
      </c>
      <c r="B8945" t="str">
        <f t="shared" si="400"/>
        <v>89301000</v>
      </c>
      <c r="C8945" s="1">
        <v>44495</v>
      </c>
      <c r="D8945" s="1">
        <v>44499</v>
      </c>
      <c r="E8945">
        <v>1</v>
      </c>
      <c r="F8945" t="s">
        <v>318</v>
      </c>
      <c r="G8945" t="str">
        <f>"08-I23-02"</f>
        <v>08-I23-02</v>
      </c>
      <c r="H8945">
        <v>0.93840000000000001</v>
      </c>
      <c r="J8945" t="s">
        <v>17</v>
      </c>
      <c r="K8945" t="str">
        <f>"6F6"</f>
        <v>6F6</v>
      </c>
      <c r="L8945" t="s">
        <v>15</v>
      </c>
    </row>
    <row r="8946" spans="1:12" x14ac:dyDescent="0.25">
      <c r="A8946" t="str">
        <f>"6762300710"</f>
        <v>6762300710</v>
      </c>
      <c r="B8946" t="str">
        <f t="shared" si="400"/>
        <v>89301000</v>
      </c>
      <c r="C8946" s="1">
        <v>44447</v>
      </c>
      <c r="D8946" s="1">
        <v>44451</v>
      </c>
      <c r="E8946">
        <v>1</v>
      </c>
      <c r="F8946" t="s">
        <v>6270</v>
      </c>
      <c r="G8946" t="str">
        <f>"13-I11-03"</f>
        <v>13-I11-03</v>
      </c>
      <c r="H8946">
        <v>1.3809</v>
      </c>
      <c r="I8946" t="s">
        <v>4848</v>
      </c>
      <c r="J8946" t="s">
        <v>24</v>
      </c>
      <c r="K8946" t="str">
        <f>"6F3"</f>
        <v>6F3</v>
      </c>
      <c r="L8946" t="s">
        <v>15</v>
      </c>
    </row>
    <row r="8947" spans="1:12" x14ac:dyDescent="0.25">
      <c r="A8947" t="str">
        <f>"6801020699"</f>
        <v>6801020699</v>
      </c>
      <c r="B8947" t="str">
        <f t="shared" si="400"/>
        <v>89301000</v>
      </c>
      <c r="C8947" s="1">
        <v>44203</v>
      </c>
      <c r="D8947" s="1">
        <v>44209</v>
      </c>
      <c r="E8947">
        <v>1</v>
      </c>
      <c r="F8947" t="s">
        <v>1822</v>
      </c>
      <c r="G8947" t="str">
        <f>"08-K01-03"</f>
        <v>08-K01-03</v>
      </c>
      <c r="H8947">
        <v>0.81840000000000002</v>
      </c>
      <c r="I8947" t="s">
        <v>6271</v>
      </c>
      <c r="J8947" t="s">
        <v>14</v>
      </c>
      <c r="K8947" t="str">
        <f>"1F9"</f>
        <v>1F9</v>
      </c>
      <c r="L8947" t="s">
        <v>15</v>
      </c>
    </row>
    <row r="8948" spans="1:12" x14ac:dyDescent="0.25">
      <c r="A8948" t="str">
        <f>"6801080000"</f>
        <v>6801080000</v>
      </c>
      <c r="B8948" t="str">
        <f t="shared" si="400"/>
        <v>89301000</v>
      </c>
      <c r="C8948" s="1">
        <v>44223</v>
      </c>
      <c r="D8948" s="1">
        <v>44224</v>
      </c>
      <c r="E8948">
        <v>1</v>
      </c>
      <c r="F8948" t="s">
        <v>489</v>
      </c>
      <c r="G8948" t="str">
        <f>"05-K14-03"</f>
        <v>05-K14-03</v>
      </c>
      <c r="H8948">
        <v>0.44159999999999999</v>
      </c>
      <c r="I8948" t="s">
        <v>6272</v>
      </c>
      <c r="J8948" t="s">
        <v>14</v>
      </c>
      <c r="K8948" t="str">
        <f>"2F5"</f>
        <v>2F5</v>
      </c>
      <c r="L8948" t="s">
        <v>15</v>
      </c>
    </row>
    <row r="8949" spans="1:12" x14ac:dyDescent="0.25">
      <c r="A8949" t="str">
        <f>"6801110393"</f>
        <v>6801110393</v>
      </c>
      <c r="B8949" t="str">
        <f t="shared" si="400"/>
        <v>89301000</v>
      </c>
      <c r="C8949" s="1">
        <v>44267</v>
      </c>
      <c r="D8949" s="1">
        <v>44270</v>
      </c>
      <c r="E8949">
        <v>1</v>
      </c>
      <c r="F8949" t="s">
        <v>41</v>
      </c>
      <c r="G8949" t="str">
        <f>"01-D01-03"</f>
        <v>01-D01-03</v>
      </c>
      <c r="H8949">
        <v>0.2054</v>
      </c>
      <c r="I8949" t="s">
        <v>489</v>
      </c>
      <c r="J8949" t="s">
        <v>14</v>
      </c>
      <c r="K8949" t="str">
        <f>"2F5"</f>
        <v>2F5</v>
      </c>
      <c r="L8949" t="s">
        <v>15</v>
      </c>
    </row>
    <row r="8950" spans="1:12" x14ac:dyDescent="0.25">
      <c r="A8950" t="str">
        <f>"6801110393"</f>
        <v>6801110393</v>
      </c>
      <c r="B8950" t="str">
        <f t="shared" si="400"/>
        <v>89301000</v>
      </c>
      <c r="C8950" s="1">
        <v>44216</v>
      </c>
      <c r="D8950" s="1">
        <v>44217</v>
      </c>
      <c r="E8950">
        <v>1</v>
      </c>
      <c r="F8950" t="s">
        <v>41</v>
      </c>
      <c r="G8950" t="str">
        <f>"01-D01-03"</f>
        <v>01-D01-03</v>
      </c>
      <c r="H8950">
        <v>0.158</v>
      </c>
      <c r="I8950" t="s">
        <v>489</v>
      </c>
      <c r="J8950" t="s">
        <v>14</v>
      </c>
      <c r="K8950" t="str">
        <f>"2F5"</f>
        <v>2F5</v>
      </c>
      <c r="L8950" t="s">
        <v>15</v>
      </c>
    </row>
    <row r="8951" spans="1:12" x14ac:dyDescent="0.25">
      <c r="A8951" t="str">
        <f>"6801120326"</f>
        <v>6801120326</v>
      </c>
      <c r="B8951" t="str">
        <f t="shared" si="400"/>
        <v>89301000</v>
      </c>
      <c r="C8951" s="1">
        <v>44418</v>
      </c>
      <c r="D8951" s="1">
        <v>44421</v>
      </c>
      <c r="E8951">
        <v>1</v>
      </c>
      <c r="F8951" t="s">
        <v>2828</v>
      </c>
      <c r="G8951" t="str">
        <f>"08-I23-02"</f>
        <v>08-I23-02</v>
      </c>
      <c r="H8951">
        <v>0.98640000000000005</v>
      </c>
      <c r="J8951" t="s">
        <v>17</v>
      </c>
      <c r="K8951" t="str">
        <f>"6F6"</f>
        <v>6F6</v>
      </c>
      <c r="L8951" t="s">
        <v>15</v>
      </c>
    </row>
    <row r="8952" spans="1:12" x14ac:dyDescent="0.25">
      <c r="A8952" t="str">
        <f>"6801150543"</f>
        <v>6801150543</v>
      </c>
      <c r="B8952" t="str">
        <f t="shared" si="400"/>
        <v>89301000</v>
      </c>
      <c r="C8952" s="1">
        <v>44378</v>
      </c>
      <c r="D8952" s="1">
        <v>44383</v>
      </c>
      <c r="E8952">
        <v>1</v>
      </c>
      <c r="F8952" t="s">
        <v>132</v>
      </c>
      <c r="G8952" t="str">
        <f>"03-I19-02"</f>
        <v>03-I19-02</v>
      </c>
      <c r="H8952">
        <v>0.88829999999999998</v>
      </c>
      <c r="I8952" t="s">
        <v>6273</v>
      </c>
      <c r="J8952" t="s">
        <v>14</v>
      </c>
      <c r="K8952" t="str">
        <f>"6F5"</f>
        <v>6F5</v>
      </c>
      <c r="L8952" t="s">
        <v>15</v>
      </c>
    </row>
    <row r="8953" spans="1:12" x14ac:dyDescent="0.25">
      <c r="A8953" t="str">
        <f>"6801171454"</f>
        <v>6801171454</v>
      </c>
      <c r="B8953" t="str">
        <f t="shared" si="400"/>
        <v>89301000</v>
      </c>
      <c r="C8953" s="1">
        <v>44511</v>
      </c>
      <c r="D8953" s="1">
        <v>44513</v>
      </c>
      <c r="E8953">
        <v>1</v>
      </c>
      <c r="F8953" t="s">
        <v>4382</v>
      </c>
      <c r="G8953" t="str">
        <f>"05-I30-01"</f>
        <v>05-I30-01</v>
      </c>
      <c r="H8953">
        <v>0.64139999999999997</v>
      </c>
      <c r="I8953" t="s">
        <v>489</v>
      </c>
      <c r="J8953" t="s">
        <v>14</v>
      </c>
      <c r="K8953" t="str">
        <f>"5F1"</f>
        <v>5F1</v>
      </c>
      <c r="L8953" t="s">
        <v>15</v>
      </c>
    </row>
    <row r="8954" spans="1:12" x14ac:dyDescent="0.25">
      <c r="A8954" t="str">
        <f>"6801200450"</f>
        <v>6801200450</v>
      </c>
      <c r="B8954" t="str">
        <f t="shared" si="400"/>
        <v>89301000</v>
      </c>
      <c r="C8954" s="1">
        <v>44532</v>
      </c>
      <c r="D8954" s="1">
        <v>44533</v>
      </c>
      <c r="E8954">
        <v>1</v>
      </c>
      <c r="F8954" t="s">
        <v>2355</v>
      </c>
      <c r="G8954" t="str">
        <f>"04-K09-03"</f>
        <v>04-K09-03</v>
      </c>
      <c r="H8954">
        <v>0.62749999999999995</v>
      </c>
      <c r="I8954" t="s">
        <v>145</v>
      </c>
      <c r="J8954" t="s">
        <v>14</v>
      </c>
      <c r="K8954" t="str">
        <f>"2F5"</f>
        <v>2F5</v>
      </c>
      <c r="L8954" t="s">
        <v>15</v>
      </c>
    </row>
    <row r="8955" spans="1:12" x14ac:dyDescent="0.25">
      <c r="A8955" t="str">
        <f>"6801201418"</f>
        <v>6801201418</v>
      </c>
      <c r="B8955" t="str">
        <f t="shared" si="400"/>
        <v>89301000</v>
      </c>
      <c r="C8955" s="1">
        <v>44236</v>
      </c>
      <c r="D8955" s="1">
        <v>44237</v>
      </c>
      <c r="E8955">
        <v>1</v>
      </c>
      <c r="F8955" t="s">
        <v>240</v>
      </c>
      <c r="G8955" t="str">
        <f>"03-K13-02"</f>
        <v>03-K13-02</v>
      </c>
      <c r="H8955">
        <v>0.2555</v>
      </c>
      <c r="J8955" t="s">
        <v>14</v>
      </c>
      <c r="K8955" t="str">
        <f>"2F5"</f>
        <v>2F5</v>
      </c>
      <c r="L8955" t="s">
        <v>15</v>
      </c>
    </row>
    <row r="8956" spans="1:12" x14ac:dyDescent="0.25">
      <c r="A8956" t="str">
        <f>"6801212264"</f>
        <v>6801212264</v>
      </c>
      <c r="B8956" t="str">
        <f t="shared" si="400"/>
        <v>89301000</v>
      </c>
      <c r="C8956" s="1">
        <v>44326</v>
      </c>
      <c r="D8956" s="1">
        <v>44332</v>
      </c>
      <c r="E8956">
        <v>1</v>
      </c>
      <c r="F8956" t="s">
        <v>1875</v>
      </c>
      <c r="G8956" t="str">
        <f>"05-I15-00"</f>
        <v>05-I15-00</v>
      </c>
      <c r="H8956">
        <v>8.7135999999999996</v>
      </c>
      <c r="J8956" t="s">
        <v>14</v>
      </c>
      <c r="K8956" t="str">
        <f>"5F5"</f>
        <v>5F5</v>
      </c>
      <c r="L8956" t="s">
        <v>15</v>
      </c>
    </row>
    <row r="8957" spans="1:12" x14ac:dyDescent="0.25">
      <c r="A8957" t="str">
        <f>"6801232581"</f>
        <v>6801232581</v>
      </c>
      <c r="B8957" t="str">
        <f t="shared" si="400"/>
        <v>89301000</v>
      </c>
      <c r="C8957" s="1">
        <v>44314</v>
      </c>
      <c r="D8957" s="1">
        <v>44320</v>
      </c>
      <c r="E8957">
        <v>1</v>
      </c>
      <c r="F8957" t="s">
        <v>2616</v>
      </c>
      <c r="G8957" t="str">
        <f>"04-K14-03"</f>
        <v>04-K14-03</v>
      </c>
      <c r="H8957">
        <v>0.78710000000000002</v>
      </c>
      <c r="I8957" t="s">
        <v>6274</v>
      </c>
      <c r="J8957" t="s">
        <v>14</v>
      </c>
      <c r="K8957" t="str">
        <f>"2F5"</f>
        <v>2F5</v>
      </c>
      <c r="L8957" t="s">
        <v>15</v>
      </c>
    </row>
    <row r="8958" spans="1:12" x14ac:dyDescent="0.25">
      <c r="A8958" t="str">
        <f>"6801280563"</f>
        <v>6801280563</v>
      </c>
      <c r="B8958" t="str">
        <f t="shared" si="400"/>
        <v>89301000</v>
      </c>
      <c r="C8958" s="1">
        <v>44220</v>
      </c>
      <c r="D8958" s="1">
        <v>44222</v>
      </c>
      <c r="E8958">
        <v>1</v>
      </c>
      <c r="F8958" t="s">
        <v>71</v>
      </c>
      <c r="G8958" t="str">
        <f>"08-M03-05"</f>
        <v>08-M03-05</v>
      </c>
      <c r="H8958">
        <v>0.51759999999999995</v>
      </c>
      <c r="I8958" t="s">
        <v>5303</v>
      </c>
      <c r="J8958" t="s">
        <v>14</v>
      </c>
      <c r="K8958" t="str">
        <f>"6F6"</f>
        <v>6F6</v>
      </c>
      <c r="L8958" t="s">
        <v>15</v>
      </c>
    </row>
    <row r="8959" spans="1:12" x14ac:dyDescent="0.25">
      <c r="A8959" t="str">
        <f>"6802020599"</f>
        <v>6802020599</v>
      </c>
      <c r="B8959" t="str">
        <f t="shared" si="400"/>
        <v>89301000</v>
      </c>
      <c r="C8959" s="1">
        <v>44349</v>
      </c>
      <c r="D8959" s="1">
        <v>44354</v>
      </c>
      <c r="E8959">
        <v>1</v>
      </c>
      <c r="F8959" t="s">
        <v>5449</v>
      </c>
      <c r="G8959" t="str">
        <f>"17-I09-02"</f>
        <v>17-I09-02</v>
      </c>
      <c r="H8959">
        <v>1.2549999999999999</v>
      </c>
      <c r="I8959" t="s">
        <v>79</v>
      </c>
      <c r="J8959" t="s">
        <v>14</v>
      </c>
      <c r="K8959" t="str">
        <f>"5F1"</f>
        <v>5F1</v>
      </c>
      <c r="L8959" t="s">
        <v>15</v>
      </c>
    </row>
    <row r="8960" spans="1:12" x14ac:dyDescent="0.25">
      <c r="A8960" t="str">
        <f>"6802020643"</f>
        <v>6802020643</v>
      </c>
      <c r="B8960" t="str">
        <f t="shared" si="400"/>
        <v>89301000</v>
      </c>
      <c r="C8960" s="1">
        <v>44440</v>
      </c>
      <c r="D8960" s="1">
        <v>44445</v>
      </c>
      <c r="E8960">
        <v>1</v>
      </c>
      <c r="F8960" t="s">
        <v>114</v>
      </c>
      <c r="G8960" t="str">
        <f>"03-I17-00"</f>
        <v>03-I17-00</v>
      </c>
      <c r="H8960">
        <v>0.84960000000000002</v>
      </c>
      <c r="I8960" t="s">
        <v>6275</v>
      </c>
      <c r="J8960" t="s">
        <v>24</v>
      </c>
      <c r="K8960" t="str">
        <f>"7F1"</f>
        <v>7F1</v>
      </c>
      <c r="L8960" t="s">
        <v>15</v>
      </c>
    </row>
    <row r="8961" spans="1:12" x14ac:dyDescent="0.25">
      <c r="A8961" t="str">
        <f>"6802200372"</f>
        <v>6802200372</v>
      </c>
      <c r="B8961" t="str">
        <f t="shared" si="400"/>
        <v>89301000</v>
      </c>
      <c r="C8961" s="1">
        <v>44405</v>
      </c>
      <c r="D8961" s="1">
        <v>44411</v>
      </c>
      <c r="E8961">
        <v>1</v>
      </c>
      <c r="F8961" t="s">
        <v>5250</v>
      </c>
      <c r="G8961" t="str">
        <f>"07-K02-03"</f>
        <v>07-K02-03</v>
      </c>
      <c r="H8961">
        <v>0.7742</v>
      </c>
      <c r="I8961" t="s">
        <v>6276</v>
      </c>
      <c r="J8961" t="s">
        <v>14</v>
      </c>
      <c r="K8961" t="str">
        <f>"1F1"</f>
        <v>1F1</v>
      </c>
      <c r="L8961" t="s">
        <v>15</v>
      </c>
    </row>
    <row r="8962" spans="1:12" x14ac:dyDescent="0.25">
      <c r="A8962" t="str">
        <f>"6803041256"</f>
        <v>6803041256</v>
      </c>
      <c r="B8962" t="str">
        <f t="shared" si="400"/>
        <v>89301000</v>
      </c>
      <c r="C8962" s="1">
        <v>44280</v>
      </c>
      <c r="D8962" s="1">
        <v>44282</v>
      </c>
      <c r="E8962">
        <v>1</v>
      </c>
      <c r="F8962" t="s">
        <v>1928</v>
      </c>
      <c r="G8962" t="str">
        <f>"11-M02-07"</f>
        <v>11-M02-07</v>
      </c>
      <c r="H8962">
        <v>0.53769999999999996</v>
      </c>
      <c r="I8962" t="s">
        <v>2119</v>
      </c>
      <c r="J8962" t="s">
        <v>14</v>
      </c>
      <c r="K8962" t="str">
        <f>"5F5"</f>
        <v>5F5</v>
      </c>
      <c r="L8962" t="s">
        <v>15</v>
      </c>
    </row>
    <row r="8963" spans="1:12" x14ac:dyDescent="0.25">
      <c r="A8963" t="str">
        <f>"6803130389"</f>
        <v>6803130389</v>
      </c>
      <c r="B8963" t="str">
        <f t="shared" si="400"/>
        <v>89301000</v>
      </c>
      <c r="C8963" s="1">
        <v>44250</v>
      </c>
      <c r="D8963" s="1">
        <v>44251</v>
      </c>
      <c r="E8963">
        <v>1</v>
      </c>
      <c r="F8963" t="s">
        <v>41</v>
      </c>
      <c r="G8963" t="str">
        <f>"01-D01-03"</f>
        <v>01-D01-03</v>
      </c>
      <c r="H8963">
        <v>0.158</v>
      </c>
      <c r="J8963" t="s">
        <v>14</v>
      </c>
      <c r="K8963" t="str">
        <f>"2F5"</f>
        <v>2F5</v>
      </c>
      <c r="L8963" t="s">
        <v>15</v>
      </c>
    </row>
    <row r="8964" spans="1:12" x14ac:dyDescent="0.25">
      <c r="A8964" t="str">
        <f>"6803162091"</f>
        <v>6803162091</v>
      </c>
      <c r="B8964" t="str">
        <f t="shared" si="400"/>
        <v>89301000</v>
      </c>
      <c r="C8964" s="1">
        <v>44438</v>
      </c>
      <c r="D8964" s="1">
        <v>44439</v>
      </c>
      <c r="E8964">
        <v>1</v>
      </c>
      <c r="F8964" t="s">
        <v>41</v>
      </c>
      <c r="G8964" t="str">
        <f>"01-D01-03"</f>
        <v>01-D01-03</v>
      </c>
      <c r="H8964">
        <v>0.158</v>
      </c>
      <c r="I8964" t="s">
        <v>6277</v>
      </c>
      <c r="J8964" t="s">
        <v>14</v>
      </c>
      <c r="K8964" t="str">
        <f>"2F5"</f>
        <v>2F5</v>
      </c>
      <c r="L8964" t="s">
        <v>15</v>
      </c>
    </row>
    <row r="8965" spans="1:12" x14ac:dyDescent="0.25">
      <c r="A8965" t="str">
        <f>"6803162091"</f>
        <v>6803162091</v>
      </c>
      <c r="B8965" t="str">
        <f t="shared" si="400"/>
        <v>89301000</v>
      </c>
      <c r="C8965" s="1">
        <v>44505</v>
      </c>
      <c r="D8965" s="1">
        <v>44508</v>
      </c>
      <c r="E8965">
        <v>1</v>
      </c>
      <c r="F8965" t="s">
        <v>41</v>
      </c>
      <c r="G8965" t="str">
        <f>"01-D01-03"</f>
        <v>01-D01-03</v>
      </c>
      <c r="H8965">
        <v>0.2054</v>
      </c>
      <c r="I8965" t="s">
        <v>6278</v>
      </c>
      <c r="J8965" t="s">
        <v>14</v>
      </c>
      <c r="K8965" t="str">
        <f>"2F5"</f>
        <v>2F5</v>
      </c>
      <c r="L8965" t="s">
        <v>15</v>
      </c>
    </row>
    <row r="8966" spans="1:12" x14ac:dyDescent="0.25">
      <c r="A8966" t="str">
        <f>"6803181660"</f>
        <v>6803181660</v>
      </c>
      <c r="B8966" t="str">
        <f t="shared" si="400"/>
        <v>89301000</v>
      </c>
      <c r="C8966" s="1">
        <v>44503</v>
      </c>
      <c r="D8966" s="1">
        <v>44506</v>
      </c>
      <c r="E8966">
        <v>1</v>
      </c>
      <c r="F8966" t="s">
        <v>1679</v>
      </c>
      <c r="G8966" t="str">
        <f>"11-M06-03"</f>
        <v>11-M06-03</v>
      </c>
      <c r="H8966">
        <v>0.61519999999999997</v>
      </c>
      <c r="J8966" t="s">
        <v>17</v>
      </c>
      <c r="K8966" t="str">
        <f>"7F6"</f>
        <v>7F6</v>
      </c>
      <c r="L8966" t="s">
        <v>15</v>
      </c>
    </row>
    <row r="8967" spans="1:12" x14ac:dyDescent="0.25">
      <c r="A8967" t="str">
        <f>"6803280495"</f>
        <v>6803280495</v>
      </c>
      <c r="B8967" t="str">
        <f t="shared" si="400"/>
        <v>89301000</v>
      </c>
      <c r="C8967" s="1">
        <v>44472</v>
      </c>
      <c r="D8967" s="1">
        <v>44474</v>
      </c>
      <c r="E8967">
        <v>1</v>
      </c>
      <c r="F8967" t="s">
        <v>173</v>
      </c>
      <c r="G8967" t="str">
        <f>"08-I32-02"</f>
        <v>08-I32-02</v>
      </c>
      <c r="H8967">
        <v>0.4143</v>
      </c>
      <c r="J8967" t="s">
        <v>14</v>
      </c>
      <c r="K8967" t="str">
        <f>"6F6"</f>
        <v>6F6</v>
      </c>
      <c r="L8967" t="s">
        <v>15</v>
      </c>
    </row>
    <row r="8968" spans="1:12" x14ac:dyDescent="0.25">
      <c r="A8968" t="str">
        <f>"6804090205"</f>
        <v>6804090205</v>
      </c>
      <c r="B8968" t="str">
        <f t="shared" si="400"/>
        <v>89301000</v>
      </c>
      <c r="C8968" s="1">
        <v>44373</v>
      </c>
      <c r="D8968" s="1">
        <v>44375</v>
      </c>
      <c r="E8968">
        <v>1</v>
      </c>
      <c r="F8968" t="s">
        <v>6279</v>
      </c>
      <c r="G8968" t="str">
        <f>"08-I19-03"</f>
        <v>08-I19-03</v>
      </c>
      <c r="H8968">
        <v>0.61250000000000004</v>
      </c>
      <c r="I8968" t="s">
        <v>6280</v>
      </c>
      <c r="J8968" t="s">
        <v>17</v>
      </c>
      <c r="K8968" t="str">
        <f>"5F3"</f>
        <v>5F3</v>
      </c>
      <c r="L8968" t="s">
        <v>15</v>
      </c>
    </row>
    <row r="8969" spans="1:12" x14ac:dyDescent="0.25">
      <c r="A8969" t="str">
        <f>"6804132082"</f>
        <v>6804132082</v>
      </c>
      <c r="B8969" t="str">
        <f t="shared" si="400"/>
        <v>89301000</v>
      </c>
      <c r="C8969" s="1">
        <v>44490</v>
      </c>
      <c r="D8969" s="1">
        <v>44492</v>
      </c>
      <c r="E8969">
        <v>1</v>
      </c>
      <c r="F8969" t="s">
        <v>1842</v>
      </c>
      <c r="G8969" t="str">
        <f>"05-I14-04"</f>
        <v>05-I14-04</v>
      </c>
      <c r="H8969">
        <v>5.4002999999999997</v>
      </c>
      <c r="J8969" t="s">
        <v>14</v>
      </c>
      <c r="K8969" t="str">
        <f>"1F1"</f>
        <v>1F1</v>
      </c>
      <c r="L8969" t="s">
        <v>15</v>
      </c>
    </row>
    <row r="8970" spans="1:12" x14ac:dyDescent="0.25">
      <c r="A8970" t="str">
        <f>"6804132082"</f>
        <v>6804132082</v>
      </c>
      <c r="B8970" t="str">
        <f t="shared" si="400"/>
        <v>89301000</v>
      </c>
      <c r="C8970" s="1">
        <v>44482</v>
      </c>
      <c r="D8970" s="1">
        <v>44483</v>
      </c>
      <c r="E8970">
        <v>1</v>
      </c>
      <c r="F8970" t="s">
        <v>1683</v>
      </c>
      <c r="G8970" t="str">
        <f>"05-M06-06"</f>
        <v>05-M06-06</v>
      </c>
      <c r="H8970">
        <v>1.7652000000000001</v>
      </c>
      <c r="I8970" t="s">
        <v>6281</v>
      </c>
      <c r="J8970" t="s">
        <v>17</v>
      </c>
      <c r="K8970" t="str">
        <f>"1F1"</f>
        <v>1F1</v>
      </c>
      <c r="L8970" t="s">
        <v>15</v>
      </c>
    </row>
    <row r="8971" spans="1:12" x14ac:dyDescent="0.25">
      <c r="A8971" t="str">
        <f>"6804132082"</f>
        <v>6804132082</v>
      </c>
      <c r="B8971" t="str">
        <f t="shared" si="400"/>
        <v>89301000</v>
      </c>
      <c r="C8971" s="1">
        <v>44267</v>
      </c>
      <c r="D8971" s="1">
        <v>44277</v>
      </c>
      <c r="E8971">
        <v>1</v>
      </c>
      <c r="F8971" t="s">
        <v>1557</v>
      </c>
      <c r="G8971" t="str">
        <f>"05-I16-06"</f>
        <v>05-I16-06</v>
      </c>
      <c r="H8971">
        <v>5.2988</v>
      </c>
      <c r="J8971" t="s">
        <v>17</v>
      </c>
      <c r="K8971" t="str">
        <f>"5F5"</f>
        <v>5F5</v>
      </c>
      <c r="L8971" t="s">
        <v>15</v>
      </c>
    </row>
    <row r="8972" spans="1:12" x14ac:dyDescent="0.25">
      <c r="A8972" t="str">
        <f>"6804160055"</f>
        <v>6804160055</v>
      </c>
      <c r="B8972" t="str">
        <f t="shared" si="400"/>
        <v>89301000</v>
      </c>
      <c r="C8972" s="1">
        <v>44543</v>
      </c>
      <c r="D8972" s="1">
        <v>44545</v>
      </c>
      <c r="E8972">
        <v>1</v>
      </c>
      <c r="F8972" t="s">
        <v>2154</v>
      </c>
      <c r="G8972" t="str">
        <f>"10-K16-03"</f>
        <v>10-K16-03</v>
      </c>
      <c r="H8972">
        <v>0.37969999999999998</v>
      </c>
      <c r="I8972" t="s">
        <v>6282</v>
      </c>
      <c r="J8972" t="s">
        <v>14</v>
      </c>
      <c r="K8972" t="str">
        <f>"1F9"</f>
        <v>1F9</v>
      </c>
      <c r="L8972" t="s">
        <v>15</v>
      </c>
    </row>
    <row r="8973" spans="1:12" x14ac:dyDescent="0.25">
      <c r="A8973" t="str">
        <f>"6804190217"</f>
        <v>6804190217</v>
      </c>
      <c r="B8973" t="str">
        <f t="shared" si="400"/>
        <v>89301000</v>
      </c>
      <c r="C8973" s="1">
        <v>44214</v>
      </c>
      <c r="D8973" s="1">
        <v>44216</v>
      </c>
      <c r="E8973">
        <v>1</v>
      </c>
      <c r="F8973" t="s">
        <v>6283</v>
      </c>
      <c r="G8973" t="str">
        <f>"08-M03-05"</f>
        <v>08-M03-05</v>
      </c>
      <c r="H8973">
        <v>0.51759999999999995</v>
      </c>
      <c r="I8973" t="s">
        <v>6284</v>
      </c>
      <c r="J8973" t="s">
        <v>14</v>
      </c>
      <c r="K8973" t="str">
        <f>"6F6"</f>
        <v>6F6</v>
      </c>
      <c r="L8973" t="s">
        <v>15</v>
      </c>
    </row>
    <row r="8974" spans="1:12" x14ac:dyDescent="0.25">
      <c r="A8974" t="str">
        <f>"6804191801"</f>
        <v>6804191801</v>
      </c>
      <c r="B8974" t="str">
        <f t="shared" si="400"/>
        <v>89301000</v>
      </c>
      <c r="C8974" s="1">
        <v>44504</v>
      </c>
      <c r="D8974" s="1">
        <v>44505</v>
      </c>
      <c r="E8974">
        <v>1</v>
      </c>
      <c r="F8974" t="s">
        <v>114</v>
      </c>
      <c r="G8974" t="str">
        <f>"03-I22-03"</f>
        <v>03-I22-03</v>
      </c>
      <c r="H8974">
        <v>0.49049999999999999</v>
      </c>
      <c r="I8974" t="s">
        <v>6285</v>
      </c>
      <c r="J8974" t="s">
        <v>14</v>
      </c>
      <c r="K8974" t="str">
        <f>"7F1"</f>
        <v>7F1</v>
      </c>
      <c r="L8974" t="s">
        <v>15</v>
      </c>
    </row>
    <row r="8975" spans="1:12" x14ac:dyDescent="0.25">
      <c r="A8975" t="str">
        <f>"6804230576"</f>
        <v>6804230576</v>
      </c>
      <c r="B8975" t="str">
        <f t="shared" si="400"/>
        <v>89301000</v>
      </c>
      <c r="C8975" s="1">
        <v>44218</v>
      </c>
      <c r="D8975" s="1">
        <v>44221</v>
      </c>
      <c r="E8975">
        <v>1</v>
      </c>
      <c r="F8975" t="s">
        <v>41</v>
      </c>
      <c r="G8975" t="str">
        <f>"01-D01-03"</f>
        <v>01-D01-03</v>
      </c>
      <c r="H8975">
        <v>0.2054</v>
      </c>
      <c r="I8975" t="s">
        <v>6286</v>
      </c>
      <c r="J8975" t="s">
        <v>14</v>
      </c>
      <c r="K8975" t="str">
        <f>"2F5"</f>
        <v>2F5</v>
      </c>
      <c r="L8975" t="s">
        <v>15</v>
      </c>
    </row>
    <row r="8976" spans="1:12" x14ac:dyDescent="0.25">
      <c r="A8976" t="str">
        <f>"6804291945"</f>
        <v>6804291945</v>
      </c>
      <c r="B8976" t="str">
        <f t="shared" si="400"/>
        <v>89301000</v>
      </c>
      <c r="C8976" s="1">
        <v>44489</v>
      </c>
      <c r="D8976" s="1">
        <v>44490</v>
      </c>
      <c r="E8976">
        <v>1</v>
      </c>
      <c r="F8976" t="s">
        <v>1557</v>
      </c>
      <c r="G8976" t="str">
        <f>"05-M06-08"</f>
        <v>05-M06-08</v>
      </c>
      <c r="H8976">
        <v>1.4719</v>
      </c>
      <c r="I8976" t="s">
        <v>2183</v>
      </c>
      <c r="J8976" t="s">
        <v>17</v>
      </c>
      <c r="K8976" t="str">
        <f>"1F1"</f>
        <v>1F1</v>
      </c>
      <c r="L8976" t="s">
        <v>15</v>
      </c>
    </row>
    <row r="8977" spans="1:12" x14ac:dyDescent="0.25">
      <c r="A8977" t="str">
        <f>"6805032080"</f>
        <v>6805032080</v>
      </c>
      <c r="B8977" t="str">
        <f t="shared" si="400"/>
        <v>89301000</v>
      </c>
      <c r="C8977" s="1">
        <v>44344</v>
      </c>
      <c r="D8977" s="1">
        <v>44354</v>
      </c>
      <c r="E8977">
        <v>4</v>
      </c>
      <c r="F8977" t="s">
        <v>1557</v>
      </c>
      <c r="G8977" t="str">
        <f>"05-I16-04"</f>
        <v>05-I16-04</v>
      </c>
      <c r="H8977">
        <v>6.1497999999999999</v>
      </c>
      <c r="J8977" t="s">
        <v>17</v>
      </c>
      <c r="K8977" t="str">
        <f>"5F5"</f>
        <v>5F5</v>
      </c>
      <c r="L8977" t="s">
        <v>15</v>
      </c>
    </row>
    <row r="8978" spans="1:12" x14ac:dyDescent="0.25">
      <c r="A8978" t="str">
        <f>"6805041100"</f>
        <v>6805041100</v>
      </c>
      <c r="B8978" t="str">
        <f t="shared" si="400"/>
        <v>89301000</v>
      </c>
      <c r="C8978" s="1">
        <v>44195</v>
      </c>
      <c r="D8978" s="1">
        <v>44199</v>
      </c>
      <c r="E8978">
        <v>1</v>
      </c>
      <c r="F8978" t="s">
        <v>132</v>
      </c>
      <c r="G8978" t="str">
        <f>"03-I23-00"</f>
        <v>03-I23-00</v>
      </c>
      <c r="H8978">
        <v>0.47639999999999999</v>
      </c>
      <c r="I8978" t="s">
        <v>6287</v>
      </c>
      <c r="J8978" t="s">
        <v>14</v>
      </c>
      <c r="K8978" t="str">
        <f>"6F5"</f>
        <v>6F5</v>
      </c>
      <c r="L8978" t="s">
        <v>15</v>
      </c>
    </row>
    <row r="8979" spans="1:12" x14ac:dyDescent="0.25">
      <c r="A8979" t="str">
        <f>"6805050120"</f>
        <v>6805050120</v>
      </c>
      <c r="B8979" t="str">
        <f t="shared" si="400"/>
        <v>89301000</v>
      </c>
      <c r="C8979" s="1">
        <v>44398</v>
      </c>
      <c r="D8979" s="1">
        <v>44403</v>
      </c>
      <c r="E8979">
        <v>1</v>
      </c>
      <c r="F8979" t="s">
        <v>31</v>
      </c>
      <c r="G8979" t="str">
        <f>"08-I04-03"</f>
        <v>08-I04-03</v>
      </c>
      <c r="H8979">
        <v>1.331</v>
      </c>
      <c r="I8979" t="s">
        <v>1958</v>
      </c>
      <c r="J8979" t="s">
        <v>17</v>
      </c>
      <c r="K8979" t="str">
        <f>"5F6"</f>
        <v>5F6</v>
      </c>
      <c r="L8979" t="s">
        <v>15</v>
      </c>
    </row>
    <row r="8980" spans="1:12" x14ac:dyDescent="0.25">
      <c r="A8980" t="str">
        <f>"6805100335"</f>
        <v>6805100335</v>
      </c>
      <c r="B8980" t="str">
        <f t="shared" si="400"/>
        <v>89301000</v>
      </c>
      <c r="C8980" s="1">
        <v>44533</v>
      </c>
      <c r="D8980" s="1">
        <v>44536</v>
      </c>
      <c r="E8980">
        <v>1</v>
      </c>
      <c r="F8980" t="s">
        <v>320</v>
      </c>
      <c r="G8980" t="str">
        <f>"03-I19-03"</f>
        <v>03-I19-03</v>
      </c>
      <c r="H8980">
        <v>0.60699999999999998</v>
      </c>
      <c r="I8980" t="s">
        <v>6288</v>
      </c>
      <c r="J8980" t="s">
        <v>14</v>
      </c>
      <c r="K8980" t="str">
        <f>"6F5"</f>
        <v>6F5</v>
      </c>
      <c r="L8980" t="s">
        <v>15</v>
      </c>
    </row>
    <row r="8981" spans="1:12" x14ac:dyDescent="0.25">
      <c r="A8981" t="str">
        <f>"6805110983"</f>
        <v>6805110983</v>
      </c>
      <c r="B8981" t="str">
        <f t="shared" si="400"/>
        <v>89301000</v>
      </c>
      <c r="C8981" s="1">
        <v>44468</v>
      </c>
      <c r="D8981" s="1">
        <v>44470</v>
      </c>
      <c r="E8981">
        <v>1</v>
      </c>
      <c r="F8981" t="s">
        <v>41</v>
      </c>
      <c r="G8981" t="str">
        <f>"01-D01-03"</f>
        <v>01-D01-03</v>
      </c>
      <c r="H8981">
        <v>0.158</v>
      </c>
      <c r="I8981" t="s">
        <v>6289</v>
      </c>
      <c r="J8981" t="s">
        <v>14</v>
      </c>
      <c r="K8981" t="str">
        <f>"2F5"</f>
        <v>2F5</v>
      </c>
      <c r="L8981" t="s">
        <v>15</v>
      </c>
    </row>
    <row r="8982" spans="1:12" x14ac:dyDescent="0.25">
      <c r="A8982" t="str">
        <f>"6805151001"</f>
        <v>6805151001</v>
      </c>
      <c r="B8982" t="str">
        <f t="shared" si="400"/>
        <v>89301000</v>
      </c>
      <c r="C8982" s="1">
        <v>44531</v>
      </c>
      <c r="D8982" s="1">
        <v>44532</v>
      </c>
      <c r="E8982">
        <v>1</v>
      </c>
      <c r="F8982" t="s">
        <v>1780</v>
      </c>
      <c r="G8982" t="str">
        <f>"05-D01-06"</f>
        <v>05-D01-06</v>
      </c>
      <c r="H8982">
        <v>0.7611</v>
      </c>
      <c r="J8982" t="s">
        <v>14</v>
      </c>
      <c r="K8982" t="str">
        <f>"1F1"</f>
        <v>1F1</v>
      </c>
      <c r="L8982" t="s">
        <v>15</v>
      </c>
    </row>
    <row r="8983" spans="1:12" x14ac:dyDescent="0.25">
      <c r="A8983" t="str">
        <f>"6805160714"</f>
        <v>6805160714</v>
      </c>
      <c r="B8983" t="str">
        <f t="shared" si="400"/>
        <v>89301000</v>
      </c>
      <c r="C8983" s="1">
        <v>44342</v>
      </c>
      <c r="D8983" s="1">
        <v>44356</v>
      </c>
      <c r="E8983">
        <v>4</v>
      </c>
      <c r="F8983" t="s">
        <v>625</v>
      </c>
      <c r="G8983" t="str">
        <f>"04-M01-06"</f>
        <v>04-M01-06</v>
      </c>
      <c r="H8983">
        <v>3.5308999999999999</v>
      </c>
      <c r="I8983" t="s">
        <v>6290</v>
      </c>
      <c r="J8983" t="s">
        <v>14</v>
      </c>
      <c r="K8983" t="str">
        <f>"2F5"</f>
        <v>2F5</v>
      </c>
      <c r="L8983" t="s">
        <v>15</v>
      </c>
    </row>
    <row r="8984" spans="1:12" x14ac:dyDescent="0.25">
      <c r="A8984" t="str">
        <f>"6805160714"</f>
        <v>6805160714</v>
      </c>
      <c r="B8984" t="str">
        <f t="shared" si="400"/>
        <v>89301000</v>
      </c>
      <c r="C8984" s="1">
        <v>44375</v>
      </c>
      <c r="D8984" s="1">
        <v>44389</v>
      </c>
      <c r="E8984">
        <v>1</v>
      </c>
      <c r="F8984" t="s">
        <v>625</v>
      </c>
      <c r="G8984" t="str">
        <f>"04-M01-06"</f>
        <v>04-M01-06</v>
      </c>
      <c r="H8984">
        <v>3.5308999999999999</v>
      </c>
      <c r="I8984" t="s">
        <v>6291</v>
      </c>
      <c r="J8984" t="s">
        <v>14</v>
      </c>
      <c r="K8984" t="str">
        <f>"2F5"</f>
        <v>2F5</v>
      </c>
      <c r="L8984" t="s">
        <v>15</v>
      </c>
    </row>
    <row r="8985" spans="1:12" x14ac:dyDescent="0.25">
      <c r="A8985" t="str">
        <f>"6805200149"</f>
        <v>6805200149</v>
      </c>
      <c r="B8985" t="str">
        <f t="shared" si="400"/>
        <v>89301000</v>
      </c>
      <c r="C8985" s="1">
        <v>44210</v>
      </c>
      <c r="D8985" s="1">
        <v>44214</v>
      </c>
      <c r="E8985">
        <v>1</v>
      </c>
      <c r="F8985" t="s">
        <v>2020</v>
      </c>
      <c r="G8985" t="str">
        <f>"03-I18-02"</f>
        <v>03-I18-02</v>
      </c>
      <c r="H8985">
        <v>0.84370000000000001</v>
      </c>
      <c r="I8985" t="s">
        <v>6292</v>
      </c>
      <c r="J8985" t="s">
        <v>24</v>
      </c>
      <c r="K8985" t="str">
        <f>"7F1"</f>
        <v>7F1</v>
      </c>
      <c r="L8985" t="s">
        <v>15</v>
      </c>
    </row>
    <row r="8986" spans="1:12" x14ac:dyDescent="0.25">
      <c r="A8986" t="str">
        <f>"6805200149"</f>
        <v>6805200149</v>
      </c>
      <c r="B8986" t="str">
        <f t="shared" si="400"/>
        <v>89301000</v>
      </c>
      <c r="C8986" s="1">
        <v>44250</v>
      </c>
      <c r="D8986" s="1">
        <v>44251</v>
      </c>
      <c r="E8986">
        <v>1</v>
      </c>
      <c r="F8986" t="s">
        <v>1888</v>
      </c>
      <c r="G8986" t="str">
        <f>"09-I13-04"</f>
        <v>09-I13-04</v>
      </c>
      <c r="H8986">
        <v>0.57730000000000004</v>
      </c>
      <c r="I8986" t="s">
        <v>489</v>
      </c>
      <c r="J8986" t="s">
        <v>14</v>
      </c>
      <c r="K8986" t="str">
        <f>"6F1"</f>
        <v>6F1</v>
      </c>
      <c r="L8986" t="s">
        <v>15</v>
      </c>
    </row>
    <row r="8987" spans="1:12" x14ac:dyDescent="0.25">
      <c r="A8987" t="str">
        <f>"6805200149"</f>
        <v>6805200149</v>
      </c>
      <c r="B8987" t="str">
        <f t="shared" si="400"/>
        <v>89301000</v>
      </c>
      <c r="C8987" s="1">
        <v>44432</v>
      </c>
      <c r="D8987" s="1">
        <v>44434</v>
      </c>
      <c r="E8987">
        <v>1</v>
      </c>
      <c r="F8987" t="s">
        <v>1888</v>
      </c>
      <c r="G8987" t="str">
        <f>"09-K16-00"</f>
        <v>09-K16-00</v>
      </c>
      <c r="H8987">
        <v>0.58909999999999996</v>
      </c>
      <c r="I8987" t="s">
        <v>489</v>
      </c>
      <c r="J8987" t="s">
        <v>14</v>
      </c>
      <c r="K8987" t="str">
        <f>"6F1"</f>
        <v>6F1</v>
      </c>
      <c r="L8987" t="s">
        <v>15</v>
      </c>
    </row>
    <row r="8988" spans="1:12" x14ac:dyDescent="0.25">
      <c r="A8988" t="str">
        <f>"6805242246"</f>
        <v>6805242246</v>
      </c>
      <c r="B8988" t="str">
        <f t="shared" si="400"/>
        <v>89301000</v>
      </c>
      <c r="C8988" s="1">
        <v>44325</v>
      </c>
      <c r="D8988" s="1">
        <v>44336</v>
      </c>
      <c r="E8988">
        <v>1</v>
      </c>
      <c r="F8988" t="s">
        <v>589</v>
      </c>
      <c r="G8988" t="str">
        <f>"07-I11-02"</f>
        <v>07-I11-02</v>
      </c>
      <c r="H8988">
        <v>1.5150999999999999</v>
      </c>
      <c r="I8988" t="s">
        <v>6293</v>
      </c>
      <c r="J8988" t="s">
        <v>14</v>
      </c>
      <c r="K8988" t="str">
        <f>"5F1"</f>
        <v>5F1</v>
      </c>
      <c r="L8988" t="s">
        <v>15</v>
      </c>
    </row>
    <row r="8989" spans="1:12" x14ac:dyDescent="0.25">
      <c r="A8989" t="str">
        <f>"6805280867"</f>
        <v>6805280867</v>
      </c>
      <c r="B8989" t="str">
        <f t="shared" si="400"/>
        <v>89301000</v>
      </c>
      <c r="C8989" s="1">
        <v>44319</v>
      </c>
      <c r="D8989" s="1">
        <v>44327</v>
      </c>
      <c r="E8989">
        <v>4</v>
      </c>
      <c r="F8989" t="s">
        <v>31</v>
      </c>
      <c r="G8989" t="str">
        <f>"08-I03-04"</f>
        <v>08-I03-04</v>
      </c>
      <c r="H8989">
        <v>4.4958</v>
      </c>
      <c r="I8989" t="s">
        <v>489</v>
      </c>
      <c r="J8989" t="s">
        <v>17</v>
      </c>
      <c r="K8989" t="str">
        <f>"5F6"</f>
        <v>5F6</v>
      </c>
      <c r="L8989" t="s">
        <v>15</v>
      </c>
    </row>
    <row r="8990" spans="1:12" x14ac:dyDescent="0.25">
      <c r="A8990" t="str">
        <f>"6806030440"</f>
        <v>6806030440</v>
      </c>
      <c r="B8990" t="str">
        <f t="shared" si="400"/>
        <v>89301000</v>
      </c>
      <c r="C8990" s="1">
        <v>44340</v>
      </c>
      <c r="D8990" s="1">
        <v>44342</v>
      </c>
      <c r="E8990">
        <v>1</v>
      </c>
      <c r="F8990" t="s">
        <v>1764</v>
      </c>
      <c r="G8990" t="str">
        <f>"01-K08-02"</f>
        <v>01-K08-02</v>
      </c>
      <c r="H8990">
        <v>0.60519999999999996</v>
      </c>
      <c r="J8990" t="s">
        <v>14</v>
      </c>
      <c r="K8990" t="str">
        <f>"2F9"</f>
        <v>2F9</v>
      </c>
      <c r="L8990" t="s">
        <v>15</v>
      </c>
    </row>
    <row r="8991" spans="1:12" x14ac:dyDescent="0.25">
      <c r="A8991" t="str">
        <f>"6806080644"</f>
        <v>6806080644</v>
      </c>
      <c r="B8991" t="str">
        <f t="shared" si="400"/>
        <v>89301000</v>
      </c>
      <c r="C8991" s="1">
        <v>44495</v>
      </c>
      <c r="D8991" s="1">
        <v>44499</v>
      </c>
      <c r="E8991">
        <v>1</v>
      </c>
      <c r="F8991" t="s">
        <v>4196</v>
      </c>
      <c r="G8991" t="str">
        <f>"08-M03-01"</f>
        <v>08-M03-01</v>
      </c>
      <c r="H8991">
        <v>1.3706</v>
      </c>
      <c r="J8991" t="s">
        <v>14</v>
      </c>
      <c r="K8991" t="str">
        <f>"6F6"</f>
        <v>6F6</v>
      </c>
      <c r="L8991" t="s">
        <v>15</v>
      </c>
    </row>
    <row r="8992" spans="1:12" x14ac:dyDescent="0.25">
      <c r="A8992" t="str">
        <f>"6806120167"</f>
        <v>6806120167</v>
      </c>
      <c r="B8992" t="str">
        <f t="shared" si="400"/>
        <v>89301000</v>
      </c>
      <c r="C8992" s="1">
        <v>44487</v>
      </c>
      <c r="D8992" s="1">
        <v>44489</v>
      </c>
      <c r="E8992">
        <v>1</v>
      </c>
      <c r="F8992" t="s">
        <v>1606</v>
      </c>
      <c r="G8992" t="str">
        <f>"05-M05-02"</f>
        <v>05-M05-02</v>
      </c>
      <c r="H8992">
        <v>3.516</v>
      </c>
      <c r="J8992" t="s">
        <v>24</v>
      </c>
      <c r="K8992" t="str">
        <f>"1F7"</f>
        <v>1F7</v>
      </c>
      <c r="L8992" t="s">
        <v>15</v>
      </c>
    </row>
    <row r="8993" spans="1:12" x14ac:dyDescent="0.25">
      <c r="A8993" t="str">
        <f>"6807041153"</f>
        <v>6807041153</v>
      </c>
      <c r="B8993" t="str">
        <f t="shared" si="400"/>
        <v>89301000</v>
      </c>
      <c r="C8993" s="1">
        <v>44337</v>
      </c>
      <c r="D8993" s="1">
        <v>44340</v>
      </c>
      <c r="E8993">
        <v>1</v>
      </c>
      <c r="F8993" t="s">
        <v>38</v>
      </c>
      <c r="G8993" t="str">
        <f>"05-M06-06"</f>
        <v>05-M06-06</v>
      </c>
      <c r="H8993">
        <v>1.7652000000000001</v>
      </c>
      <c r="J8993" t="s">
        <v>17</v>
      </c>
      <c r="K8993" t="str">
        <f>"1F7"</f>
        <v>1F7</v>
      </c>
      <c r="L8993" t="s">
        <v>15</v>
      </c>
    </row>
    <row r="8994" spans="1:12" x14ac:dyDescent="0.25">
      <c r="A8994" t="str">
        <f>"6807041153"</f>
        <v>6807041153</v>
      </c>
      <c r="B8994" t="str">
        <f t="shared" si="400"/>
        <v>89301000</v>
      </c>
      <c r="C8994" s="1">
        <v>44360</v>
      </c>
      <c r="D8994" s="1">
        <v>44362</v>
      </c>
      <c r="E8994">
        <v>1</v>
      </c>
      <c r="F8994" t="s">
        <v>1842</v>
      </c>
      <c r="G8994" t="str">
        <f>"05-I14-04"</f>
        <v>05-I14-04</v>
      </c>
      <c r="H8994">
        <v>5.4002999999999997</v>
      </c>
      <c r="I8994" t="s">
        <v>1892</v>
      </c>
      <c r="J8994" t="s">
        <v>14</v>
      </c>
      <c r="K8994" t="str">
        <f>"1F1"</f>
        <v>1F1</v>
      </c>
      <c r="L8994" t="s">
        <v>15</v>
      </c>
    </row>
    <row r="8995" spans="1:12" x14ac:dyDescent="0.25">
      <c r="A8995" t="str">
        <f>"6807120892"</f>
        <v>6807120892</v>
      </c>
      <c r="B8995" t="str">
        <f t="shared" si="400"/>
        <v>89301000</v>
      </c>
      <c r="C8995" s="1">
        <v>44435</v>
      </c>
      <c r="D8995" s="1">
        <v>44453</v>
      </c>
      <c r="E8995">
        <v>1</v>
      </c>
      <c r="F8995" t="s">
        <v>217</v>
      </c>
      <c r="G8995" t="str">
        <f>"04-K02-03"</f>
        <v>04-K02-03</v>
      </c>
      <c r="H8995">
        <v>1.3180000000000001</v>
      </c>
      <c r="I8995" t="s">
        <v>6294</v>
      </c>
      <c r="J8995" t="s">
        <v>14</v>
      </c>
      <c r="K8995" t="str">
        <f>"2F5"</f>
        <v>2F5</v>
      </c>
      <c r="L8995" t="s">
        <v>15</v>
      </c>
    </row>
    <row r="8996" spans="1:12" x14ac:dyDescent="0.25">
      <c r="A8996" t="str">
        <f>"6807120892"</f>
        <v>6807120892</v>
      </c>
      <c r="B8996" t="str">
        <f t="shared" si="400"/>
        <v>89301000</v>
      </c>
      <c r="C8996" s="1">
        <v>44309</v>
      </c>
      <c r="D8996" s="1">
        <v>44318</v>
      </c>
      <c r="E8996">
        <v>1</v>
      </c>
      <c r="F8996" t="s">
        <v>217</v>
      </c>
      <c r="G8996" t="str">
        <f>"04-K02-03"</f>
        <v>04-K02-03</v>
      </c>
      <c r="H8996">
        <v>1.2859</v>
      </c>
      <c r="I8996" t="s">
        <v>6295</v>
      </c>
      <c r="J8996" t="s">
        <v>14</v>
      </c>
      <c r="K8996" t="str">
        <f>"1F1"</f>
        <v>1F1</v>
      </c>
      <c r="L8996" t="s">
        <v>15</v>
      </c>
    </row>
    <row r="8997" spans="1:12" x14ac:dyDescent="0.25">
      <c r="A8997" t="str">
        <f>"6807120892"</f>
        <v>6807120892</v>
      </c>
      <c r="B8997" t="str">
        <f t="shared" si="400"/>
        <v>89301000</v>
      </c>
      <c r="C8997" s="1">
        <v>44400</v>
      </c>
      <c r="D8997" s="1">
        <v>44412</v>
      </c>
      <c r="E8997">
        <v>1</v>
      </c>
      <c r="F8997" t="s">
        <v>979</v>
      </c>
      <c r="G8997" t="str">
        <f>"04-K02-03"</f>
        <v>04-K02-03</v>
      </c>
      <c r="H8997">
        <v>1.5559000000000001</v>
      </c>
      <c r="I8997" t="s">
        <v>6296</v>
      </c>
      <c r="J8997" t="s">
        <v>14</v>
      </c>
      <c r="K8997" t="str">
        <f>"2F5"</f>
        <v>2F5</v>
      </c>
      <c r="L8997" t="s">
        <v>15</v>
      </c>
    </row>
    <row r="8998" spans="1:12" x14ac:dyDescent="0.25">
      <c r="A8998" t="str">
        <f>"6807120892"</f>
        <v>6807120892</v>
      </c>
      <c r="B8998" t="str">
        <f t="shared" si="400"/>
        <v>89301000</v>
      </c>
      <c r="C8998" s="1">
        <v>44483</v>
      </c>
      <c r="D8998" s="1">
        <v>44505</v>
      </c>
      <c r="E8998">
        <v>1</v>
      </c>
      <c r="F8998" t="s">
        <v>217</v>
      </c>
      <c r="G8998" t="str">
        <f>"04-K02-04"</f>
        <v>04-K02-04</v>
      </c>
      <c r="H8998">
        <v>1.5952999999999999</v>
      </c>
      <c r="I8998" t="s">
        <v>1541</v>
      </c>
      <c r="J8998" t="s">
        <v>14</v>
      </c>
      <c r="K8998" t="str">
        <f>"1F1"</f>
        <v>1F1</v>
      </c>
      <c r="L8998" t="s">
        <v>15</v>
      </c>
    </row>
    <row r="8999" spans="1:12" x14ac:dyDescent="0.25">
      <c r="A8999" t="str">
        <f>"6807131782"</f>
        <v>6807131782</v>
      </c>
      <c r="B8999" t="str">
        <f t="shared" si="400"/>
        <v>89301000</v>
      </c>
      <c r="C8999" s="1">
        <v>44302</v>
      </c>
      <c r="D8999" s="1">
        <v>44303</v>
      </c>
      <c r="E8999">
        <v>1</v>
      </c>
      <c r="F8999" t="s">
        <v>41</v>
      </c>
      <c r="G8999" t="str">
        <f>"01-I11-01"</f>
        <v>01-I11-01</v>
      </c>
      <c r="H8999">
        <v>0.99990000000000001</v>
      </c>
      <c r="I8999" t="s">
        <v>168</v>
      </c>
      <c r="J8999" t="s">
        <v>17</v>
      </c>
      <c r="K8999" t="str">
        <f>"7F1"</f>
        <v>7F1</v>
      </c>
      <c r="L8999" t="s">
        <v>15</v>
      </c>
    </row>
    <row r="9000" spans="1:12" x14ac:dyDescent="0.25">
      <c r="A9000" t="str">
        <f>"6807291084"</f>
        <v>6807291084</v>
      </c>
      <c r="B9000" t="str">
        <f t="shared" si="400"/>
        <v>89301000</v>
      </c>
      <c r="C9000" s="1">
        <v>44229</v>
      </c>
      <c r="D9000" s="1">
        <v>44246</v>
      </c>
      <c r="E9000">
        <v>5</v>
      </c>
      <c r="F9000" t="s">
        <v>101</v>
      </c>
      <c r="G9000" t="str">
        <f>"00-M02-01"</f>
        <v>00-M02-01</v>
      </c>
      <c r="H9000">
        <v>21.331299999999999</v>
      </c>
      <c r="I9000" t="s">
        <v>6297</v>
      </c>
      <c r="J9000" t="s">
        <v>14</v>
      </c>
      <c r="K9000" t="str">
        <f>"5F1"</f>
        <v>5F1</v>
      </c>
      <c r="L9000" t="s">
        <v>15</v>
      </c>
    </row>
    <row r="9001" spans="1:12" x14ac:dyDescent="0.25">
      <c r="A9001" t="str">
        <f>"6807291084"</f>
        <v>6807291084</v>
      </c>
      <c r="B9001" t="str">
        <f t="shared" si="400"/>
        <v>89301000</v>
      </c>
      <c r="C9001" s="1">
        <v>44452</v>
      </c>
      <c r="D9001" s="1">
        <v>44460</v>
      </c>
      <c r="E9001">
        <v>1</v>
      </c>
      <c r="F9001" t="s">
        <v>2648</v>
      </c>
      <c r="G9001" t="str">
        <f>"06-I07-06"</f>
        <v>06-I07-06</v>
      </c>
      <c r="H9001">
        <v>2.3988</v>
      </c>
      <c r="I9001" t="s">
        <v>6298</v>
      </c>
      <c r="J9001" t="s">
        <v>17</v>
      </c>
      <c r="K9001" t="str">
        <f>"5F1"</f>
        <v>5F1</v>
      </c>
      <c r="L9001" t="s">
        <v>15</v>
      </c>
    </row>
    <row r="9002" spans="1:12" x14ac:dyDescent="0.25">
      <c r="A9002" t="str">
        <f>"6807300841"</f>
        <v>6807300841</v>
      </c>
      <c r="B9002" t="str">
        <f t="shared" si="400"/>
        <v>89301000</v>
      </c>
      <c r="C9002" s="1">
        <v>44479</v>
      </c>
      <c r="D9002" s="1">
        <v>44482</v>
      </c>
      <c r="E9002">
        <v>1</v>
      </c>
      <c r="F9002" t="s">
        <v>151</v>
      </c>
      <c r="G9002" t="str">
        <f>"06-I16-04"</f>
        <v>06-I16-04</v>
      </c>
      <c r="H9002">
        <v>0.67620000000000002</v>
      </c>
      <c r="J9002" t="s">
        <v>24</v>
      </c>
      <c r="K9002" t="str">
        <f>"5F1"</f>
        <v>5F1</v>
      </c>
      <c r="L9002" t="s">
        <v>15</v>
      </c>
    </row>
    <row r="9003" spans="1:12" x14ac:dyDescent="0.25">
      <c r="A9003" t="str">
        <f>"6807301457"</f>
        <v>6807301457</v>
      </c>
      <c r="B9003" t="str">
        <f t="shared" si="400"/>
        <v>89301000</v>
      </c>
      <c r="C9003" s="1">
        <v>44276</v>
      </c>
      <c r="D9003" s="1">
        <v>44277</v>
      </c>
      <c r="E9003">
        <v>1</v>
      </c>
      <c r="F9003" t="s">
        <v>4541</v>
      </c>
      <c r="G9003" t="str">
        <f>"03-K04-01"</f>
        <v>03-K04-01</v>
      </c>
      <c r="H9003">
        <v>0.46660000000000001</v>
      </c>
      <c r="I9003" t="s">
        <v>168</v>
      </c>
      <c r="J9003" t="s">
        <v>14</v>
      </c>
      <c r="K9003" t="str">
        <f>"7F1"</f>
        <v>7F1</v>
      </c>
      <c r="L9003" t="s">
        <v>15</v>
      </c>
    </row>
    <row r="9004" spans="1:12" x14ac:dyDescent="0.25">
      <c r="A9004" t="str">
        <f>"6808080730"</f>
        <v>6808080730</v>
      </c>
      <c r="B9004" t="str">
        <f t="shared" si="400"/>
        <v>89301000</v>
      </c>
      <c r="C9004" s="1">
        <v>44273</v>
      </c>
      <c r="D9004" s="1">
        <v>44274</v>
      </c>
      <c r="E9004">
        <v>1</v>
      </c>
      <c r="F9004" t="s">
        <v>2819</v>
      </c>
      <c r="G9004" t="str">
        <f>"09-I13-04"</f>
        <v>09-I13-04</v>
      </c>
      <c r="H9004">
        <v>0.57730000000000004</v>
      </c>
      <c r="I9004" t="s">
        <v>2321</v>
      </c>
      <c r="J9004" t="s">
        <v>14</v>
      </c>
      <c r="K9004" t="str">
        <f>"6F1"</f>
        <v>6F1</v>
      </c>
      <c r="L9004" t="s">
        <v>15</v>
      </c>
    </row>
    <row r="9005" spans="1:12" x14ac:dyDescent="0.25">
      <c r="A9005" t="str">
        <f>"6808141340"</f>
        <v>6808141340</v>
      </c>
      <c r="B9005" t="str">
        <f t="shared" si="400"/>
        <v>89301000</v>
      </c>
      <c r="C9005" s="1">
        <v>44314</v>
      </c>
      <c r="D9005" s="1">
        <v>44316</v>
      </c>
      <c r="E9005">
        <v>1</v>
      </c>
      <c r="F9005" t="s">
        <v>2242</v>
      </c>
      <c r="G9005" t="str">
        <f>"12-I13-02"</f>
        <v>12-I13-02</v>
      </c>
      <c r="H9005">
        <v>0.57240000000000002</v>
      </c>
      <c r="I9005" t="s">
        <v>937</v>
      </c>
      <c r="J9005" t="s">
        <v>24</v>
      </c>
      <c r="K9005" t="str">
        <f>"7F6"</f>
        <v>7F6</v>
      </c>
      <c r="L9005" t="s">
        <v>15</v>
      </c>
    </row>
    <row r="9006" spans="1:12" x14ac:dyDescent="0.25">
      <c r="A9006" t="str">
        <f>"6808150954"</f>
        <v>6808150954</v>
      </c>
      <c r="B9006" t="str">
        <f t="shared" si="400"/>
        <v>89301000</v>
      </c>
      <c r="C9006" s="1">
        <v>44522</v>
      </c>
      <c r="D9006" s="1">
        <v>44524</v>
      </c>
      <c r="E9006">
        <v>1</v>
      </c>
      <c r="F9006" t="s">
        <v>38</v>
      </c>
      <c r="G9006" t="str">
        <f>"05-M06-06"</f>
        <v>05-M06-06</v>
      </c>
      <c r="H9006">
        <v>1.7652000000000001</v>
      </c>
      <c r="J9006" t="s">
        <v>17</v>
      </c>
      <c r="K9006" t="str">
        <f>"1F1"</f>
        <v>1F1</v>
      </c>
      <c r="L9006" t="s">
        <v>15</v>
      </c>
    </row>
    <row r="9007" spans="1:12" x14ac:dyDescent="0.25">
      <c r="A9007" t="str">
        <f>"6808201191"</f>
        <v>6808201191</v>
      </c>
      <c r="B9007" t="str">
        <f t="shared" ref="B9007:B9068" si="401">"89301000"</f>
        <v>89301000</v>
      </c>
      <c r="C9007" s="1">
        <v>44305</v>
      </c>
      <c r="D9007" s="1">
        <v>44307</v>
      </c>
      <c r="E9007">
        <v>1</v>
      </c>
      <c r="F9007" t="s">
        <v>4096</v>
      </c>
      <c r="G9007" t="str">
        <f>"08-I26-03"</f>
        <v>08-I26-03</v>
      </c>
      <c r="H9007">
        <v>0.45679999999999998</v>
      </c>
      <c r="I9007" t="s">
        <v>168</v>
      </c>
      <c r="J9007" t="s">
        <v>14</v>
      </c>
      <c r="K9007" t="str">
        <f>"5F3"</f>
        <v>5F3</v>
      </c>
      <c r="L9007" t="s">
        <v>15</v>
      </c>
    </row>
    <row r="9008" spans="1:12" x14ac:dyDescent="0.25">
      <c r="A9008" t="str">
        <f>"6809010538"</f>
        <v>6809010538</v>
      </c>
      <c r="B9008" t="str">
        <f t="shared" si="401"/>
        <v>89301000</v>
      </c>
      <c r="C9008" s="1">
        <v>44486</v>
      </c>
      <c r="D9008" s="1">
        <v>44488</v>
      </c>
      <c r="E9008">
        <v>5</v>
      </c>
      <c r="F9008" t="s">
        <v>6299</v>
      </c>
      <c r="G9008" t="str">
        <f>"08-K13-02"</f>
        <v>08-K13-02</v>
      </c>
      <c r="H9008">
        <v>0.47210000000000002</v>
      </c>
      <c r="I9008" t="s">
        <v>6300</v>
      </c>
      <c r="J9008" t="s">
        <v>14</v>
      </c>
      <c r="K9008" t="str">
        <f>"5F3"</f>
        <v>5F3</v>
      </c>
      <c r="L9008" t="s">
        <v>15</v>
      </c>
    </row>
    <row r="9009" spans="1:12" x14ac:dyDescent="0.25">
      <c r="A9009" t="str">
        <f>"6809131054"</f>
        <v>6809131054</v>
      </c>
      <c r="B9009" t="str">
        <f t="shared" si="401"/>
        <v>89301000</v>
      </c>
      <c r="C9009" s="1">
        <v>44171</v>
      </c>
      <c r="D9009" s="1">
        <v>44197</v>
      </c>
      <c r="E9009">
        <v>1</v>
      </c>
      <c r="F9009" t="s">
        <v>3488</v>
      </c>
      <c r="G9009" t="str">
        <f>"19-K05-02"</f>
        <v>19-K05-02</v>
      </c>
      <c r="H9009">
        <v>1.8835999999999999</v>
      </c>
      <c r="I9009" t="s">
        <v>6301</v>
      </c>
      <c r="J9009" t="s">
        <v>27</v>
      </c>
      <c r="K9009" t="str">
        <f>"3F5"</f>
        <v>3F5</v>
      </c>
      <c r="L9009" t="s">
        <v>15</v>
      </c>
    </row>
    <row r="9010" spans="1:12" x14ac:dyDescent="0.25">
      <c r="A9010" t="str">
        <f>"6809131065"</f>
        <v>6809131065</v>
      </c>
      <c r="B9010" t="str">
        <f t="shared" si="401"/>
        <v>89301000</v>
      </c>
      <c r="C9010" s="1">
        <v>44392</v>
      </c>
      <c r="D9010" s="1">
        <v>44393</v>
      </c>
      <c r="E9010">
        <v>6</v>
      </c>
      <c r="F9010" t="s">
        <v>5527</v>
      </c>
      <c r="G9010" t="str">
        <f>"01-K18-04"</f>
        <v>01-K18-04</v>
      </c>
      <c r="H9010">
        <v>0.49890000000000001</v>
      </c>
      <c r="I9010" t="s">
        <v>4382</v>
      </c>
      <c r="J9010" t="s">
        <v>14</v>
      </c>
      <c r="K9010" t="str">
        <f>"2F9"</f>
        <v>2F9</v>
      </c>
      <c r="L9010" t="s">
        <v>15</v>
      </c>
    </row>
    <row r="9011" spans="1:12" x14ac:dyDescent="0.25">
      <c r="A9011" t="str">
        <f>"6809160798"</f>
        <v>6809160798</v>
      </c>
      <c r="B9011" t="str">
        <f t="shared" si="401"/>
        <v>89301000</v>
      </c>
      <c r="C9011" s="1">
        <v>44278</v>
      </c>
      <c r="D9011" s="1">
        <v>44280</v>
      </c>
      <c r="E9011">
        <v>1</v>
      </c>
      <c r="F9011" t="s">
        <v>3308</v>
      </c>
      <c r="G9011" t="str">
        <f>"11-K03-02"</f>
        <v>11-K03-02</v>
      </c>
      <c r="H9011">
        <v>0.6008</v>
      </c>
      <c r="I9011" t="s">
        <v>6302</v>
      </c>
      <c r="J9011" t="s">
        <v>14</v>
      </c>
      <c r="K9011" t="str">
        <f>"1F1"</f>
        <v>1F1</v>
      </c>
      <c r="L9011" t="s">
        <v>15</v>
      </c>
    </row>
    <row r="9012" spans="1:12" x14ac:dyDescent="0.25">
      <c r="A9012" t="str">
        <f>"6809160798"</f>
        <v>6809160798</v>
      </c>
      <c r="B9012" t="str">
        <f t="shared" si="401"/>
        <v>89301000</v>
      </c>
      <c r="C9012" s="1">
        <v>44243</v>
      </c>
      <c r="D9012" s="1">
        <v>44257</v>
      </c>
      <c r="E9012">
        <v>1</v>
      </c>
      <c r="F9012" t="s">
        <v>3799</v>
      </c>
      <c r="G9012" t="str">
        <f>"00-I05-02"</f>
        <v>00-I05-02</v>
      </c>
      <c r="H9012">
        <v>6.9043000000000001</v>
      </c>
      <c r="I9012" t="s">
        <v>6302</v>
      </c>
      <c r="J9012" t="s">
        <v>17</v>
      </c>
      <c r="K9012" t="str">
        <f>"1F1"</f>
        <v>1F1</v>
      </c>
      <c r="L9012" t="s">
        <v>15</v>
      </c>
    </row>
    <row r="9013" spans="1:12" x14ac:dyDescent="0.25">
      <c r="A9013" t="str">
        <f>"6809270457"</f>
        <v>6809270457</v>
      </c>
      <c r="B9013" t="str">
        <f t="shared" si="401"/>
        <v>89301000</v>
      </c>
      <c r="C9013" s="1">
        <v>44547</v>
      </c>
      <c r="D9013" s="1">
        <v>44550</v>
      </c>
      <c r="E9013">
        <v>1</v>
      </c>
      <c r="F9013" t="s">
        <v>217</v>
      </c>
      <c r="G9013" t="str">
        <f>"04-K02-04"</f>
        <v>04-K02-04</v>
      </c>
      <c r="H9013">
        <v>0.82469999999999999</v>
      </c>
      <c r="I9013" t="s">
        <v>6303</v>
      </c>
      <c r="J9013" t="s">
        <v>14</v>
      </c>
      <c r="K9013" t="str">
        <f>"1F1"</f>
        <v>1F1</v>
      </c>
      <c r="L9013" t="s">
        <v>15</v>
      </c>
    </row>
    <row r="9014" spans="1:12" x14ac:dyDescent="0.25">
      <c r="A9014" t="str">
        <f>"6809300641"</f>
        <v>6809300641</v>
      </c>
      <c r="B9014" t="str">
        <f t="shared" si="401"/>
        <v>89301000</v>
      </c>
      <c r="C9014" s="1">
        <v>44211</v>
      </c>
      <c r="D9014" s="1">
        <v>44214</v>
      </c>
      <c r="E9014">
        <v>1</v>
      </c>
      <c r="F9014" t="s">
        <v>2111</v>
      </c>
      <c r="G9014" t="str">
        <f>"10-K15-02"</f>
        <v>10-K15-02</v>
      </c>
      <c r="H9014">
        <v>1.0346</v>
      </c>
      <c r="I9014" t="s">
        <v>41</v>
      </c>
      <c r="J9014" t="s">
        <v>14</v>
      </c>
      <c r="K9014" t="str">
        <f>"2F5"</f>
        <v>2F5</v>
      </c>
      <c r="L9014" t="s">
        <v>15</v>
      </c>
    </row>
    <row r="9015" spans="1:12" x14ac:dyDescent="0.25">
      <c r="A9015" t="str">
        <f>"6810071114"</f>
        <v>6810071114</v>
      </c>
      <c r="B9015" t="str">
        <f t="shared" si="401"/>
        <v>89301000</v>
      </c>
      <c r="C9015" s="1">
        <v>44527</v>
      </c>
      <c r="D9015" s="1">
        <v>44553</v>
      </c>
      <c r="E9015">
        <v>1</v>
      </c>
      <c r="F9015" t="s">
        <v>217</v>
      </c>
      <c r="G9015" t="str">
        <f>"00-M02-04"</f>
        <v>00-M02-04</v>
      </c>
      <c r="H9015">
        <v>12.071199999999999</v>
      </c>
      <c r="I9015" t="s">
        <v>6304</v>
      </c>
      <c r="J9015" t="s">
        <v>14</v>
      </c>
      <c r="K9015" t="str">
        <f>"2F5"</f>
        <v>2F5</v>
      </c>
      <c r="L9015" t="s">
        <v>15</v>
      </c>
    </row>
    <row r="9016" spans="1:12" x14ac:dyDescent="0.25">
      <c r="A9016" t="str">
        <f>"6810091530"</f>
        <v>6810091530</v>
      </c>
      <c r="B9016" t="str">
        <f t="shared" si="401"/>
        <v>89301000</v>
      </c>
      <c r="C9016" s="1">
        <v>44318</v>
      </c>
      <c r="D9016" s="1">
        <v>44320</v>
      </c>
      <c r="E9016">
        <v>1</v>
      </c>
      <c r="F9016" t="s">
        <v>6305</v>
      </c>
      <c r="G9016" t="str">
        <f>"03-I22-03"</f>
        <v>03-I22-03</v>
      </c>
      <c r="H9016">
        <v>0.49049999999999999</v>
      </c>
      <c r="I9016" t="s">
        <v>6306</v>
      </c>
      <c r="J9016" t="s">
        <v>14</v>
      </c>
      <c r="K9016" t="str">
        <f>"7F1"</f>
        <v>7F1</v>
      </c>
      <c r="L9016" t="s">
        <v>15</v>
      </c>
    </row>
    <row r="9017" spans="1:12" x14ac:dyDescent="0.25">
      <c r="A9017" t="str">
        <f>"6810101155"</f>
        <v>6810101155</v>
      </c>
      <c r="B9017" t="str">
        <f t="shared" si="401"/>
        <v>89301000</v>
      </c>
      <c r="C9017" s="1">
        <v>44208</v>
      </c>
      <c r="D9017" s="1">
        <v>44208</v>
      </c>
      <c r="E9017">
        <v>1</v>
      </c>
      <c r="F9017" t="s">
        <v>1557</v>
      </c>
      <c r="G9017" t="str">
        <f>"05-D01-08"</f>
        <v>05-D01-08</v>
      </c>
      <c r="H9017">
        <v>0.21890000000000001</v>
      </c>
      <c r="I9017" t="s">
        <v>2428</v>
      </c>
      <c r="J9017" t="s">
        <v>14</v>
      </c>
      <c r="K9017" t="str">
        <f>"1F7"</f>
        <v>1F7</v>
      </c>
      <c r="L9017" t="s">
        <v>15</v>
      </c>
    </row>
    <row r="9018" spans="1:12" x14ac:dyDescent="0.25">
      <c r="A9018" t="str">
        <f>"6811090968"</f>
        <v>6811090968</v>
      </c>
      <c r="B9018" t="str">
        <f t="shared" si="401"/>
        <v>89301000</v>
      </c>
      <c r="C9018" s="1">
        <v>44417</v>
      </c>
      <c r="D9018" s="1">
        <v>44422</v>
      </c>
      <c r="E9018">
        <v>1</v>
      </c>
      <c r="F9018" t="s">
        <v>2232</v>
      </c>
      <c r="G9018" t="str">
        <f>"11-I07-01"</f>
        <v>11-I07-01</v>
      </c>
      <c r="H9018">
        <v>2.5975999999999999</v>
      </c>
      <c r="I9018" t="s">
        <v>6307</v>
      </c>
      <c r="J9018" t="s">
        <v>14</v>
      </c>
      <c r="K9018" t="str">
        <f>"7F6"</f>
        <v>7F6</v>
      </c>
      <c r="L9018" t="s">
        <v>15</v>
      </c>
    </row>
    <row r="9019" spans="1:12" x14ac:dyDescent="0.25">
      <c r="A9019" t="str">
        <f>"6811091936"</f>
        <v>6811091936</v>
      </c>
      <c r="B9019" t="str">
        <f t="shared" si="401"/>
        <v>89301000</v>
      </c>
      <c r="C9019" s="1">
        <v>44223</v>
      </c>
      <c r="D9019" s="1">
        <v>44229</v>
      </c>
      <c r="E9019">
        <v>1</v>
      </c>
      <c r="F9019" t="s">
        <v>2910</v>
      </c>
      <c r="G9019" t="str">
        <f>"06-K14-02"</f>
        <v>06-K14-02</v>
      </c>
      <c r="H9019">
        <v>0.57279999999999998</v>
      </c>
      <c r="I9019" t="s">
        <v>6308</v>
      </c>
      <c r="J9019" t="s">
        <v>14</v>
      </c>
      <c r="K9019" t="str">
        <f>"1F5"</f>
        <v>1F5</v>
      </c>
      <c r="L9019" t="s">
        <v>286</v>
      </c>
    </row>
    <row r="9020" spans="1:12" x14ac:dyDescent="0.25">
      <c r="A9020" t="str">
        <f>"6811091936"</f>
        <v>6811091936</v>
      </c>
      <c r="B9020" t="str">
        <f t="shared" si="401"/>
        <v>89301000</v>
      </c>
      <c r="C9020" s="1">
        <v>44269</v>
      </c>
      <c r="D9020" s="1">
        <v>44298</v>
      </c>
      <c r="E9020">
        <v>1</v>
      </c>
      <c r="F9020" t="s">
        <v>2910</v>
      </c>
      <c r="G9020" t="str">
        <f>"06-I05-02"</f>
        <v>06-I05-02</v>
      </c>
      <c r="H9020">
        <v>7.3201999999999998</v>
      </c>
      <c r="I9020" t="s">
        <v>1572</v>
      </c>
      <c r="J9020" t="s">
        <v>17</v>
      </c>
      <c r="K9020" t="str">
        <f>"5F1"</f>
        <v>5F1</v>
      </c>
      <c r="L9020" t="s">
        <v>286</v>
      </c>
    </row>
    <row r="9021" spans="1:12" x14ac:dyDescent="0.25">
      <c r="A9021" t="str">
        <f>"6811091936"</f>
        <v>6811091936</v>
      </c>
      <c r="B9021" t="str">
        <f t="shared" si="401"/>
        <v>89301000</v>
      </c>
      <c r="C9021" s="1">
        <v>44301</v>
      </c>
      <c r="D9021" s="1">
        <v>44316</v>
      </c>
      <c r="E9021">
        <v>1</v>
      </c>
      <c r="F9021" t="s">
        <v>1572</v>
      </c>
      <c r="G9021" t="str">
        <f>"06-I12-01"</f>
        <v>06-I12-01</v>
      </c>
      <c r="H9021">
        <v>4.6520000000000001</v>
      </c>
      <c r="I9021" t="s">
        <v>6309</v>
      </c>
      <c r="J9021" t="s">
        <v>14</v>
      </c>
      <c r="K9021" t="str">
        <f>"5F1"</f>
        <v>5F1</v>
      </c>
      <c r="L9021" t="s">
        <v>286</v>
      </c>
    </row>
    <row r="9022" spans="1:12" x14ac:dyDescent="0.25">
      <c r="A9022" t="str">
        <f>"6811091936"</f>
        <v>6811091936</v>
      </c>
      <c r="B9022" t="str">
        <f t="shared" si="401"/>
        <v>89301000</v>
      </c>
      <c r="C9022" s="1">
        <v>44347</v>
      </c>
      <c r="D9022" s="1">
        <v>44349</v>
      </c>
      <c r="E9022">
        <v>1</v>
      </c>
      <c r="F9022" t="s">
        <v>2910</v>
      </c>
      <c r="G9022" t="str">
        <f>"06-C02-03"</f>
        <v>06-C02-03</v>
      </c>
      <c r="H9022">
        <v>0.25769999999999998</v>
      </c>
      <c r="I9022" t="s">
        <v>5916</v>
      </c>
      <c r="J9022" t="s">
        <v>14</v>
      </c>
      <c r="K9022" t="str">
        <f>"4F2"</f>
        <v>4F2</v>
      </c>
      <c r="L9022" t="s">
        <v>286</v>
      </c>
    </row>
    <row r="9023" spans="1:12" x14ac:dyDescent="0.25">
      <c r="A9023" t="str">
        <f>"6812130930"</f>
        <v>6812130930</v>
      </c>
      <c r="B9023" t="str">
        <f t="shared" si="401"/>
        <v>89301000</v>
      </c>
      <c r="C9023" s="1">
        <v>44390</v>
      </c>
      <c r="D9023" s="1">
        <v>44395</v>
      </c>
      <c r="E9023">
        <v>1</v>
      </c>
      <c r="F9023" t="s">
        <v>6310</v>
      </c>
      <c r="G9023" t="str">
        <f>"03-K09-01"</f>
        <v>03-K09-01</v>
      </c>
      <c r="H9023">
        <v>0.59919999999999995</v>
      </c>
      <c r="I9023" t="s">
        <v>6311</v>
      </c>
      <c r="J9023" t="s">
        <v>14</v>
      </c>
      <c r="K9023" t="str">
        <f>"6F5"</f>
        <v>6F5</v>
      </c>
      <c r="L9023" t="s">
        <v>15</v>
      </c>
    </row>
    <row r="9024" spans="1:12" x14ac:dyDescent="0.25">
      <c r="A9024" t="str">
        <f>"6851120078"</f>
        <v>6851120078</v>
      </c>
      <c r="B9024" t="str">
        <f t="shared" si="401"/>
        <v>89301000</v>
      </c>
      <c r="C9024" s="1">
        <v>44480</v>
      </c>
      <c r="D9024" s="1">
        <v>44486</v>
      </c>
      <c r="E9024">
        <v>1</v>
      </c>
      <c r="F9024" t="s">
        <v>6312</v>
      </c>
      <c r="G9024" t="str">
        <f>"13-I16-00"</f>
        <v>13-I16-00</v>
      </c>
      <c r="H9024">
        <v>1.0505</v>
      </c>
      <c r="I9024" t="s">
        <v>2576</v>
      </c>
      <c r="J9024" t="s">
        <v>17</v>
      </c>
      <c r="K9024" t="str">
        <f>"6F3"</f>
        <v>6F3</v>
      </c>
      <c r="L9024" t="s">
        <v>15</v>
      </c>
    </row>
    <row r="9025" spans="1:12" x14ac:dyDescent="0.25">
      <c r="A9025" t="str">
        <f>"6852040085"</f>
        <v>6852040085</v>
      </c>
      <c r="B9025" t="str">
        <f t="shared" si="401"/>
        <v>89301000</v>
      </c>
      <c r="C9025" s="1">
        <v>44209</v>
      </c>
      <c r="D9025" s="1">
        <v>44211</v>
      </c>
      <c r="E9025">
        <v>1</v>
      </c>
      <c r="F9025" t="s">
        <v>1847</v>
      </c>
      <c r="G9025" t="str">
        <f>"04-M02-04"</f>
        <v>04-M02-04</v>
      </c>
      <c r="H9025">
        <v>0.7238</v>
      </c>
      <c r="I9025" t="s">
        <v>6313</v>
      </c>
      <c r="J9025" t="s">
        <v>14</v>
      </c>
      <c r="K9025" t="str">
        <f t="shared" ref="K9025:K9032" si="402">"2F5"</f>
        <v>2F5</v>
      </c>
      <c r="L9025" t="s">
        <v>15</v>
      </c>
    </row>
    <row r="9026" spans="1:12" x14ac:dyDescent="0.25">
      <c r="A9026" t="str">
        <f t="shared" ref="A9026:A9033" si="403">"6852170985"</f>
        <v>6852170985</v>
      </c>
      <c r="B9026" t="str">
        <f t="shared" si="401"/>
        <v>89301000</v>
      </c>
      <c r="C9026" s="1">
        <v>44445</v>
      </c>
      <c r="D9026" s="1">
        <v>44454</v>
      </c>
      <c r="E9026">
        <v>1</v>
      </c>
      <c r="F9026" t="s">
        <v>1008</v>
      </c>
      <c r="G9026" t="str">
        <f>"18-K01-04"</f>
        <v>18-K01-04</v>
      </c>
      <c r="H9026">
        <v>2.4565000000000001</v>
      </c>
      <c r="I9026" t="s">
        <v>6314</v>
      </c>
      <c r="J9026" t="s">
        <v>14</v>
      </c>
      <c r="K9026" t="str">
        <f t="shared" si="402"/>
        <v>2F5</v>
      </c>
      <c r="L9026" t="s">
        <v>15</v>
      </c>
    </row>
    <row r="9027" spans="1:12" x14ac:dyDescent="0.25">
      <c r="A9027" t="str">
        <f t="shared" si="403"/>
        <v>6852170985</v>
      </c>
      <c r="B9027" t="str">
        <f t="shared" si="401"/>
        <v>89301000</v>
      </c>
      <c r="C9027" s="1">
        <v>44467</v>
      </c>
      <c r="D9027" s="1">
        <v>44483</v>
      </c>
      <c r="E9027">
        <v>1</v>
      </c>
      <c r="F9027" t="s">
        <v>1008</v>
      </c>
      <c r="G9027" t="str">
        <f>"18-K01-05"</f>
        <v>18-K01-05</v>
      </c>
      <c r="H9027">
        <v>1.6713</v>
      </c>
      <c r="I9027" t="s">
        <v>6315</v>
      </c>
      <c r="J9027" t="s">
        <v>14</v>
      </c>
      <c r="K9027" t="str">
        <f t="shared" si="402"/>
        <v>2F5</v>
      </c>
      <c r="L9027" t="s">
        <v>15</v>
      </c>
    </row>
    <row r="9028" spans="1:12" x14ac:dyDescent="0.25">
      <c r="A9028" t="str">
        <f t="shared" si="403"/>
        <v>6852170985</v>
      </c>
      <c r="B9028" t="str">
        <f t="shared" si="401"/>
        <v>89301000</v>
      </c>
      <c r="C9028" s="1">
        <v>44411</v>
      </c>
      <c r="D9028" s="1">
        <v>44424</v>
      </c>
      <c r="E9028">
        <v>1</v>
      </c>
      <c r="F9028" t="s">
        <v>857</v>
      </c>
      <c r="G9028" t="str">
        <f>"16-C07-01"</f>
        <v>16-C07-01</v>
      </c>
      <c r="H9028">
        <v>1.863</v>
      </c>
      <c r="I9028" t="s">
        <v>6316</v>
      </c>
      <c r="J9028" t="s">
        <v>14</v>
      </c>
      <c r="K9028" t="str">
        <f t="shared" si="402"/>
        <v>2F5</v>
      </c>
      <c r="L9028" t="s">
        <v>15</v>
      </c>
    </row>
    <row r="9029" spans="1:12" x14ac:dyDescent="0.25">
      <c r="A9029" t="str">
        <f t="shared" si="403"/>
        <v>6852170985</v>
      </c>
      <c r="B9029" t="str">
        <f t="shared" si="401"/>
        <v>89301000</v>
      </c>
      <c r="C9029" s="1">
        <v>44393</v>
      </c>
      <c r="D9029" s="1">
        <v>44400</v>
      </c>
      <c r="E9029">
        <v>1</v>
      </c>
      <c r="F9029" t="s">
        <v>1240</v>
      </c>
      <c r="G9029" t="str">
        <f>"11-K01-02"</f>
        <v>11-K01-02</v>
      </c>
      <c r="H9029">
        <v>0.82289999999999996</v>
      </c>
      <c r="I9029" t="s">
        <v>6317</v>
      </c>
      <c r="J9029" t="s">
        <v>14</v>
      </c>
      <c r="K9029" t="str">
        <f t="shared" si="402"/>
        <v>2F5</v>
      </c>
      <c r="L9029" t="s">
        <v>15</v>
      </c>
    </row>
    <row r="9030" spans="1:12" x14ac:dyDescent="0.25">
      <c r="A9030" t="str">
        <f t="shared" si="403"/>
        <v>6852170985</v>
      </c>
      <c r="B9030" t="str">
        <f t="shared" si="401"/>
        <v>89301000</v>
      </c>
      <c r="C9030" s="1">
        <v>44340</v>
      </c>
      <c r="D9030" s="1">
        <v>44354</v>
      </c>
      <c r="E9030">
        <v>1</v>
      </c>
      <c r="F9030" t="s">
        <v>479</v>
      </c>
      <c r="G9030" t="str">
        <f>"18-K01-06"</f>
        <v>18-K01-06</v>
      </c>
      <c r="H9030">
        <v>1.4033</v>
      </c>
      <c r="I9030" t="s">
        <v>6318</v>
      </c>
      <c r="J9030" t="s">
        <v>14</v>
      </c>
      <c r="K9030" t="str">
        <f t="shared" si="402"/>
        <v>2F5</v>
      </c>
      <c r="L9030" t="s">
        <v>15</v>
      </c>
    </row>
    <row r="9031" spans="1:12" x14ac:dyDescent="0.25">
      <c r="A9031" t="str">
        <f t="shared" si="403"/>
        <v>6852170985</v>
      </c>
      <c r="B9031" t="str">
        <f t="shared" si="401"/>
        <v>89301000</v>
      </c>
      <c r="C9031" s="1">
        <v>44298</v>
      </c>
      <c r="D9031" s="1">
        <v>44299</v>
      </c>
      <c r="E9031">
        <v>1</v>
      </c>
      <c r="F9031" t="s">
        <v>2478</v>
      </c>
      <c r="G9031" t="str">
        <f>"23-K04-02"</f>
        <v>23-K04-02</v>
      </c>
      <c r="H9031">
        <v>0.38690000000000002</v>
      </c>
      <c r="I9031" t="s">
        <v>6319</v>
      </c>
      <c r="J9031" t="s">
        <v>14</v>
      </c>
      <c r="K9031" t="str">
        <f t="shared" si="402"/>
        <v>2F5</v>
      </c>
      <c r="L9031" t="s">
        <v>15</v>
      </c>
    </row>
    <row r="9032" spans="1:12" x14ac:dyDescent="0.25">
      <c r="A9032" t="str">
        <f t="shared" si="403"/>
        <v>6852170985</v>
      </c>
      <c r="B9032" t="str">
        <f t="shared" si="401"/>
        <v>89301000</v>
      </c>
      <c r="C9032" s="1">
        <v>44536</v>
      </c>
      <c r="D9032" s="1">
        <v>44551</v>
      </c>
      <c r="E9032">
        <v>1</v>
      </c>
      <c r="F9032" t="s">
        <v>6320</v>
      </c>
      <c r="G9032" t="str">
        <f>"09-K03-01"</f>
        <v>09-K03-01</v>
      </c>
      <c r="H9032">
        <v>1.4508000000000001</v>
      </c>
      <c r="I9032" t="s">
        <v>6321</v>
      </c>
      <c r="J9032" t="s">
        <v>14</v>
      </c>
      <c r="K9032" t="str">
        <f t="shared" si="402"/>
        <v>2F5</v>
      </c>
      <c r="L9032" t="s">
        <v>15</v>
      </c>
    </row>
    <row r="9033" spans="1:12" x14ac:dyDescent="0.25">
      <c r="A9033" t="str">
        <f t="shared" si="403"/>
        <v>6852170985</v>
      </c>
      <c r="B9033" t="str">
        <f t="shared" si="401"/>
        <v>89301000</v>
      </c>
      <c r="C9033" s="1">
        <v>44502</v>
      </c>
      <c r="D9033" s="1">
        <v>44518</v>
      </c>
      <c r="E9033">
        <v>5</v>
      </c>
      <c r="F9033" t="s">
        <v>1008</v>
      </c>
      <c r="G9033" t="str">
        <f>"18-K01-04"</f>
        <v>18-K01-04</v>
      </c>
      <c r="H9033">
        <v>2.4565000000000001</v>
      </c>
      <c r="I9033" t="s">
        <v>6322</v>
      </c>
      <c r="J9033" t="s">
        <v>14</v>
      </c>
      <c r="K9033" t="str">
        <f>"2F5"</f>
        <v>2F5</v>
      </c>
      <c r="L9033" t="s">
        <v>15</v>
      </c>
    </row>
    <row r="9034" spans="1:12" x14ac:dyDescent="0.25">
      <c r="A9034" t="str">
        <f>"6852206636"</f>
        <v>6852206636</v>
      </c>
      <c r="B9034" t="str">
        <f t="shared" si="401"/>
        <v>89301000</v>
      </c>
      <c r="C9034" s="1">
        <v>44433</v>
      </c>
      <c r="D9034" s="1">
        <v>44434</v>
      </c>
      <c r="E9034">
        <v>1</v>
      </c>
      <c r="F9034" t="s">
        <v>41</v>
      </c>
      <c r="G9034" t="str">
        <f>"01-D01-03"</f>
        <v>01-D01-03</v>
      </c>
      <c r="H9034">
        <v>0.158</v>
      </c>
      <c r="I9034" t="s">
        <v>6323</v>
      </c>
      <c r="J9034" t="s">
        <v>14</v>
      </c>
      <c r="K9034" t="str">
        <f>"2F5"</f>
        <v>2F5</v>
      </c>
      <c r="L9034" t="s">
        <v>15</v>
      </c>
    </row>
    <row r="9035" spans="1:12" x14ac:dyDescent="0.25">
      <c r="A9035" t="str">
        <f>"6852221145"</f>
        <v>6852221145</v>
      </c>
      <c r="B9035" t="str">
        <f t="shared" si="401"/>
        <v>89301000</v>
      </c>
      <c r="C9035" s="1">
        <v>44272</v>
      </c>
      <c r="D9035" s="1">
        <v>44275</v>
      </c>
      <c r="E9035">
        <v>1</v>
      </c>
      <c r="F9035" t="s">
        <v>3406</v>
      </c>
      <c r="G9035" t="str">
        <f>"10-I13-04"</f>
        <v>10-I13-04</v>
      </c>
      <c r="H9035">
        <v>0.66120000000000001</v>
      </c>
      <c r="J9035" t="s">
        <v>24</v>
      </c>
      <c r="K9035" t="str">
        <f>"5F5"</f>
        <v>5F5</v>
      </c>
      <c r="L9035" t="s">
        <v>15</v>
      </c>
    </row>
    <row r="9036" spans="1:12" x14ac:dyDescent="0.25">
      <c r="A9036" t="str">
        <f>"6852230957"</f>
        <v>6852230957</v>
      </c>
      <c r="B9036" t="str">
        <f t="shared" si="401"/>
        <v>89301000</v>
      </c>
      <c r="C9036" s="1">
        <v>44407</v>
      </c>
      <c r="D9036" s="1">
        <v>44410</v>
      </c>
      <c r="E9036">
        <v>1</v>
      </c>
      <c r="F9036" t="s">
        <v>2360</v>
      </c>
      <c r="G9036" t="str">
        <f>"06-M01-02"</f>
        <v>06-M01-02</v>
      </c>
      <c r="H9036">
        <v>1.2363999999999999</v>
      </c>
      <c r="I9036" t="s">
        <v>2357</v>
      </c>
      <c r="J9036" t="s">
        <v>14</v>
      </c>
      <c r="K9036" t="str">
        <f>"1F1"</f>
        <v>1F1</v>
      </c>
      <c r="L9036" t="s">
        <v>15</v>
      </c>
    </row>
    <row r="9037" spans="1:12" x14ac:dyDescent="0.25">
      <c r="A9037" t="str">
        <f>"6852280479"</f>
        <v>6852280479</v>
      </c>
      <c r="B9037" t="str">
        <f t="shared" si="401"/>
        <v>89301000</v>
      </c>
      <c r="C9037" s="1">
        <v>44375</v>
      </c>
      <c r="D9037" s="1">
        <v>44382</v>
      </c>
      <c r="E9037">
        <v>1</v>
      </c>
      <c r="F9037" t="s">
        <v>2495</v>
      </c>
      <c r="G9037" t="str">
        <f>"13-I11-02"</f>
        <v>13-I11-02</v>
      </c>
      <c r="H9037">
        <v>1.5619000000000001</v>
      </c>
      <c r="I9037" t="s">
        <v>788</v>
      </c>
      <c r="J9037" t="s">
        <v>24</v>
      </c>
      <c r="K9037" t="str">
        <f>"6F3"</f>
        <v>6F3</v>
      </c>
      <c r="L9037" t="s">
        <v>15</v>
      </c>
    </row>
    <row r="9038" spans="1:12" x14ac:dyDescent="0.25">
      <c r="A9038" t="str">
        <f>"6853011352"</f>
        <v>6853011352</v>
      </c>
      <c r="B9038" t="str">
        <f t="shared" si="401"/>
        <v>89301000</v>
      </c>
      <c r="C9038" s="1">
        <v>44377</v>
      </c>
      <c r="D9038" s="1">
        <v>44378</v>
      </c>
      <c r="E9038">
        <v>1</v>
      </c>
      <c r="F9038" t="s">
        <v>41</v>
      </c>
      <c r="G9038" t="str">
        <f>"01-D01-03"</f>
        <v>01-D01-03</v>
      </c>
      <c r="H9038">
        <v>0.158</v>
      </c>
      <c r="J9038" t="s">
        <v>14</v>
      </c>
      <c r="K9038" t="str">
        <f>"2F5"</f>
        <v>2F5</v>
      </c>
      <c r="L9038" t="s">
        <v>15</v>
      </c>
    </row>
    <row r="9039" spans="1:12" x14ac:dyDescent="0.25">
      <c r="A9039" t="str">
        <f>"6853011352"</f>
        <v>6853011352</v>
      </c>
      <c r="B9039" t="str">
        <f t="shared" si="401"/>
        <v>89301000</v>
      </c>
      <c r="C9039" s="1">
        <v>44477</v>
      </c>
      <c r="D9039" s="1">
        <v>44480</v>
      </c>
      <c r="E9039">
        <v>1</v>
      </c>
      <c r="F9039" t="s">
        <v>41</v>
      </c>
      <c r="G9039" t="str">
        <f>"01-D01-03"</f>
        <v>01-D01-03</v>
      </c>
      <c r="H9039">
        <v>0.2054</v>
      </c>
      <c r="I9039" t="s">
        <v>6324</v>
      </c>
      <c r="J9039" t="s">
        <v>14</v>
      </c>
      <c r="K9039" t="str">
        <f>"2F5"</f>
        <v>2F5</v>
      </c>
      <c r="L9039" t="s">
        <v>15</v>
      </c>
    </row>
    <row r="9040" spans="1:12" x14ac:dyDescent="0.25">
      <c r="A9040" t="str">
        <f>"6853081356"</f>
        <v>6853081356</v>
      </c>
      <c r="B9040" t="str">
        <f t="shared" si="401"/>
        <v>89301000</v>
      </c>
      <c r="C9040" s="1">
        <v>44453</v>
      </c>
      <c r="D9040" s="1">
        <v>44457</v>
      </c>
      <c r="E9040">
        <v>1</v>
      </c>
      <c r="F9040" t="s">
        <v>197</v>
      </c>
      <c r="G9040" t="str">
        <f>"03-I18-02"</f>
        <v>03-I18-02</v>
      </c>
      <c r="H9040">
        <v>0.84370000000000001</v>
      </c>
      <c r="I9040" t="s">
        <v>6325</v>
      </c>
      <c r="J9040" t="s">
        <v>24</v>
      </c>
      <c r="K9040" t="str">
        <f>"7F1"</f>
        <v>7F1</v>
      </c>
      <c r="L9040" t="s">
        <v>15</v>
      </c>
    </row>
    <row r="9041" spans="1:12" x14ac:dyDescent="0.25">
      <c r="A9041" t="str">
        <f>"6853120758"</f>
        <v>6853120758</v>
      </c>
      <c r="B9041" t="str">
        <f t="shared" si="401"/>
        <v>89301000</v>
      </c>
      <c r="C9041" s="1">
        <v>44351</v>
      </c>
      <c r="D9041" s="1">
        <v>44351</v>
      </c>
      <c r="E9041">
        <v>6</v>
      </c>
      <c r="F9041" t="s">
        <v>2573</v>
      </c>
      <c r="G9041" t="str">
        <f>"13-I19-00"</f>
        <v>13-I19-00</v>
      </c>
      <c r="H9041">
        <v>0.1235</v>
      </c>
      <c r="J9041" t="s">
        <v>14</v>
      </c>
      <c r="K9041" t="str">
        <f>"6F3"</f>
        <v>6F3</v>
      </c>
      <c r="L9041" t="s">
        <v>15</v>
      </c>
    </row>
    <row r="9042" spans="1:12" x14ac:dyDescent="0.25">
      <c r="A9042" t="str">
        <f>"6853126797"</f>
        <v>6853126797</v>
      </c>
      <c r="B9042" t="str">
        <f t="shared" si="401"/>
        <v>89301000</v>
      </c>
      <c r="C9042" s="1">
        <v>44242</v>
      </c>
      <c r="D9042" s="1">
        <v>44244</v>
      </c>
      <c r="E9042">
        <v>1</v>
      </c>
      <c r="F9042" t="s">
        <v>2111</v>
      </c>
      <c r="G9042" t="str">
        <f>"10-K15-02"</f>
        <v>10-K15-02</v>
      </c>
      <c r="H9042">
        <v>0.77639999999999998</v>
      </c>
      <c r="I9042" t="s">
        <v>6326</v>
      </c>
      <c r="J9042" t="s">
        <v>14</v>
      </c>
      <c r="K9042" t="str">
        <f>"2F5"</f>
        <v>2F5</v>
      </c>
      <c r="L9042" t="s">
        <v>15</v>
      </c>
    </row>
    <row r="9043" spans="1:12" x14ac:dyDescent="0.25">
      <c r="A9043" t="str">
        <f>"6853180103"</f>
        <v>6853180103</v>
      </c>
      <c r="B9043" t="str">
        <f t="shared" si="401"/>
        <v>89301000</v>
      </c>
      <c r="C9043" s="1">
        <v>44480</v>
      </c>
      <c r="D9043" s="1">
        <v>44482</v>
      </c>
      <c r="E9043">
        <v>1</v>
      </c>
      <c r="F9043" t="s">
        <v>41</v>
      </c>
      <c r="G9043" t="str">
        <f>"01-D01-03"</f>
        <v>01-D01-03</v>
      </c>
      <c r="H9043">
        <v>0.158</v>
      </c>
      <c r="I9043" t="s">
        <v>348</v>
      </c>
      <c r="J9043" t="s">
        <v>14</v>
      </c>
      <c r="K9043" t="str">
        <f>"2F5"</f>
        <v>2F5</v>
      </c>
      <c r="L9043" t="s">
        <v>15</v>
      </c>
    </row>
    <row r="9044" spans="1:12" x14ac:dyDescent="0.25">
      <c r="A9044" t="str">
        <f>"6853220088"</f>
        <v>6853220088</v>
      </c>
      <c r="B9044" t="str">
        <f t="shared" si="401"/>
        <v>89301000</v>
      </c>
      <c r="C9044" s="1">
        <v>44551</v>
      </c>
      <c r="D9044" s="1">
        <v>44554</v>
      </c>
      <c r="E9044">
        <v>1</v>
      </c>
      <c r="F9044" t="s">
        <v>43</v>
      </c>
      <c r="G9044" t="str">
        <f>"06-I18-05"</f>
        <v>06-I18-05</v>
      </c>
      <c r="H9044">
        <v>0.85550000000000004</v>
      </c>
      <c r="J9044" t="s">
        <v>24</v>
      </c>
      <c r="K9044" t="str">
        <f>"5F1"</f>
        <v>5F1</v>
      </c>
      <c r="L9044" t="s">
        <v>15</v>
      </c>
    </row>
    <row r="9045" spans="1:12" x14ac:dyDescent="0.25">
      <c r="A9045" t="str">
        <f>"6854010229"</f>
        <v>6854010229</v>
      </c>
      <c r="B9045" t="str">
        <f t="shared" si="401"/>
        <v>89301000</v>
      </c>
      <c r="C9045" s="1">
        <v>44469</v>
      </c>
      <c r="D9045" s="1">
        <v>44472</v>
      </c>
      <c r="E9045">
        <v>1</v>
      </c>
      <c r="F9045" t="s">
        <v>64</v>
      </c>
      <c r="G9045" t="str">
        <f>"08-M03-05"</f>
        <v>08-M03-05</v>
      </c>
      <c r="H9045">
        <v>0.51759999999999995</v>
      </c>
      <c r="I9045" t="s">
        <v>6327</v>
      </c>
      <c r="J9045" t="s">
        <v>14</v>
      </c>
      <c r="K9045" t="str">
        <f>"6F6"</f>
        <v>6F6</v>
      </c>
      <c r="L9045" t="s">
        <v>15</v>
      </c>
    </row>
    <row r="9046" spans="1:12" x14ac:dyDescent="0.25">
      <c r="A9046" t="str">
        <f>"6854230119"</f>
        <v>6854230119</v>
      </c>
      <c r="B9046" t="str">
        <f t="shared" si="401"/>
        <v>89301000</v>
      </c>
      <c r="C9046" s="1">
        <v>44531</v>
      </c>
      <c r="D9046" s="1">
        <v>44537</v>
      </c>
      <c r="E9046">
        <v>1</v>
      </c>
      <c r="F9046" t="s">
        <v>1802</v>
      </c>
      <c r="G9046" t="str">
        <f>"13-I04-01"</f>
        <v>13-I04-01</v>
      </c>
      <c r="H9046">
        <v>2.6413000000000002</v>
      </c>
      <c r="I9046" t="s">
        <v>6328</v>
      </c>
      <c r="J9046" t="s">
        <v>14</v>
      </c>
      <c r="K9046" t="str">
        <f>"6F3"</f>
        <v>6F3</v>
      </c>
      <c r="L9046" t="s">
        <v>15</v>
      </c>
    </row>
    <row r="9047" spans="1:12" x14ac:dyDescent="0.25">
      <c r="A9047" t="str">
        <f>"6854230119"</f>
        <v>6854230119</v>
      </c>
      <c r="B9047" t="str">
        <f t="shared" si="401"/>
        <v>89301000</v>
      </c>
      <c r="C9047" s="1">
        <v>44477</v>
      </c>
      <c r="D9047" s="1">
        <v>44478</v>
      </c>
      <c r="E9047">
        <v>1</v>
      </c>
      <c r="F9047" t="s">
        <v>6329</v>
      </c>
      <c r="G9047" t="str">
        <f>"13-I19-00"</f>
        <v>13-I19-00</v>
      </c>
      <c r="H9047">
        <v>0.24679999999999999</v>
      </c>
      <c r="J9047" t="s">
        <v>14</v>
      </c>
      <c r="K9047" t="str">
        <f>"6F3"</f>
        <v>6F3</v>
      </c>
      <c r="L9047" t="s">
        <v>15</v>
      </c>
    </row>
    <row r="9048" spans="1:12" x14ac:dyDescent="0.25">
      <c r="A9048" t="str">
        <f>"6854242153"</f>
        <v>6854242153</v>
      </c>
      <c r="B9048" t="str">
        <f t="shared" si="401"/>
        <v>89301000</v>
      </c>
      <c r="C9048" s="1">
        <v>44500</v>
      </c>
      <c r="D9048" s="1">
        <v>44502</v>
      </c>
      <c r="E9048">
        <v>1</v>
      </c>
      <c r="F9048" t="s">
        <v>659</v>
      </c>
      <c r="G9048" t="str">
        <f>"04-K03-02"</f>
        <v>04-K03-02</v>
      </c>
      <c r="H9048">
        <v>0.82599999999999996</v>
      </c>
      <c r="I9048" t="s">
        <v>274</v>
      </c>
      <c r="J9048" t="s">
        <v>14</v>
      </c>
      <c r="K9048" t="str">
        <f>"1F1"</f>
        <v>1F1</v>
      </c>
      <c r="L9048" t="s">
        <v>15</v>
      </c>
    </row>
    <row r="9049" spans="1:12" x14ac:dyDescent="0.25">
      <c r="A9049" t="str">
        <f>"6855016025"</f>
        <v>6855016025</v>
      </c>
      <c r="B9049" t="str">
        <f t="shared" si="401"/>
        <v>89301000</v>
      </c>
      <c r="C9049" s="1">
        <v>44526</v>
      </c>
      <c r="D9049" s="1">
        <v>44540</v>
      </c>
      <c r="E9049">
        <v>5</v>
      </c>
      <c r="F9049" t="s">
        <v>217</v>
      </c>
      <c r="G9049" t="str">
        <f>"00-M01-04"</f>
        <v>00-M01-04</v>
      </c>
      <c r="H9049">
        <v>6.85</v>
      </c>
      <c r="I9049" t="s">
        <v>6330</v>
      </c>
      <c r="J9049" t="s">
        <v>14</v>
      </c>
      <c r="K9049" t="str">
        <f>"7T8"</f>
        <v>7T8</v>
      </c>
      <c r="L9049" t="s">
        <v>15</v>
      </c>
    </row>
    <row r="9050" spans="1:12" x14ac:dyDescent="0.25">
      <c r="A9050" t="str">
        <f>"6855060135"</f>
        <v>6855060135</v>
      </c>
      <c r="B9050" t="str">
        <f t="shared" si="401"/>
        <v>89301000</v>
      </c>
      <c r="C9050" s="1">
        <v>44320</v>
      </c>
      <c r="D9050" s="1">
        <v>44336</v>
      </c>
      <c r="E9050">
        <v>1</v>
      </c>
      <c r="F9050" t="s">
        <v>5573</v>
      </c>
      <c r="G9050" t="str">
        <f>"19-K05-02"</f>
        <v>19-K05-02</v>
      </c>
      <c r="H9050">
        <v>1.8835999999999999</v>
      </c>
      <c r="I9050" t="s">
        <v>6331</v>
      </c>
      <c r="J9050" t="s">
        <v>27</v>
      </c>
      <c r="K9050" t="str">
        <f>"3F5"</f>
        <v>3F5</v>
      </c>
      <c r="L9050" t="s">
        <v>15</v>
      </c>
    </row>
    <row r="9051" spans="1:12" x14ac:dyDescent="0.25">
      <c r="A9051" t="str">
        <f>"6855081893"</f>
        <v>6855081893</v>
      </c>
      <c r="B9051" t="str">
        <f t="shared" si="401"/>
        <v>89301000</v>
      </c>
      <c r="C9051" s="1">
        <v>44348</v>
      </c>
      <c r="D9051" s="1">
        <v>44349</v>
      </c>
      <c r="E9051">
        <v>1</v>
      </c>
      <c r="F9051" t="s">
        <v>1950</v>
      </c>
      <c r="G9051" t="str">
        <f>"02-I13-02"</f>
        <v>02-I13-02</v>
      </c>
      <c r="H9051">
        <v>0.376</v>
      </c>
      <c r="J9051" t="s">
        <v>14</v>
      </c>
      <c r="K9051" t="str">
        <f>"7F5"</f>
        <v>7F5</v>
      </c>
      <c r="L9051" t="s">
        <v>15</v>
      </c>
    </row>
    <row r="9052" spans="1:12" x14ac:dyDescent="0.25">
      <c r="A9052" t="str">
        <f>"6855110977"</f>
        <v>6855110977</v>
      </c>
      <c r="B9052" t="str">
        <f t="shared" si="401"/>
        <v>89301000</v>
      </c>
      <c r="C9052" s="1">
        <v>44243</v>
      </c>
      <c r="D9052" s="1">
        <v>44246</v>
      </c>
      <c r="E9052">
        <v>1</v>
      </c>
      <c r="F9052" t="s">
        <v>6271</v>
      </c>
      <c r="G9052" t="str">
        <f>"08-K02-03"</f>
        <v>08-K02-03</v>
      </c>
      <c r="H9052">
        <v>0.73560000000000003</v>
      </c>
      <c r="I9052" t="s">
        <v>6332</v>
      </c>
      <c r="J9052" t="s">
        <v>14</v>
      </c>
      <c r="K9052" t="str">
        <f>"1F9"</f>
        <v>1F9</v>
      </c>
      <c r="L9052" t="s">
        <v>15</v>
      </c>
    </row>
    <row r="9053" spans="1:12" x14ac:dyDescent="0.25">
      <c r="A9053" t="str">
        <f>"6855120118"</f>
        <v>6855120118</v>
      </c>
      <c r="B9053" t="str">
        <f t="shared" si="401"/>
        <v>89301000</v>
      </c>
      <c r="C9053" s="1">
        <v>44473</v>
      </c>
      <c r="D9053" s="1">
        <v>44475</v>
      </c>
      <c r="E9053">
        <v>1</v>
      </c>
      <c r="F9053" t="s">
        <v>4382</v>
      </c>
      <c r="G9053" t="str">
        <f>"05-I30-02"</f>
        <v>05-I30-02</v>
      </c>
      <c r="H9053">
        <v>0.46729999999999999</v>
      </c>
      <c r="I9053" t="s">
        <v>6333</v>
      </c>
      <c r="J9053" t="s">
        <v>14</v>
      </c>
      <c r="K9053" t="str">
        <f>"5F1"</f>
        <v>5F1</v>
      </c>
      <c r="L9053" t="s">
        <v>15</v>
      </c>
    </row>
    <row r="9054" spans="1:12" x14ac:dyDescent="0.25">
      <c r="A9054" t="str">
        <f>"6855120118"</f>
        <v>6855120118</v>
      </c>
      <c r="B9054" t="str">
        <f t="shared" si="401"/>
        <v>89301000</v>
      </c>
      <c r="C9054" s="1">
        <v>44402</v>
      </c>
      <c r="D9054" s="1">
        <v>44404</v>
      </c>
      <c r="E9054">
        <v>1</v>
      </c>
      <c r="F9054" t="s">
        <v>4382</v>
      </c>
      <c r="G9054" t="str">
        <f>"05-I30-02"</f>
        <v>05-I30-02</v>
      </c>
      <c r="H9054">
        <v>0.46729999999999999</v>
      </c>
      <c r="I9054" t="s">
        <v>2411</v>
      </c>
      <c r="J9054" t="s">
        <v>14</v>
      </c>
      <c r="K9054" t="str">
        <f>"5F1"</f>
        <v>5F1</v>
      </c>
      <c r="L9054" t="s">
        <v>15</v>
      </c>
    </row>
    <row r="9055" spans="1:12" x14ac:dyDescent="0.25">
      <c r="A9055" t="str">
        <f>"6855311188"</f>
        <v>6855311188</v>
      </c>
      <c r="B9055" t="str">
        <f t="shared" si="401"/>
        <v>89301000</v>
      </c>
      <c r="C9055" s="1">
        <v>44217</v>
      </c>
      <c r="D9055" s="1">
        <v>44223</v>
      </c>
      <c r="E9055">
        <v>1</v>
      </c>
      <c r="F9055" t="s">
        <v>920</v>
      </c>
      <c r="G9055" t="str">
        <f>"01-I06-04"</f>
        <v>01-I06-04</v>
      </c>
      <c r="H9055">
        <v>3.6231</v>
      </c>
      <c r="J9055" t="s">
        <v>17</v>
      </c>
      <c r="K9055" t="str">
        <f>"5F6"</f>
        <v>5F6</v>
      </c>
      <c r="L9055" t="s">
        <v>15</v>
      </c>
    </row>
    <row r="9056" spans="1:12" x14ac:dyDescent="0.25">
      <c r="A9056" t="str">
        <f>"6856020160"</f>
        <v>6856020160</v>
      </c>
      <c r="B9056" t="str">
        <f t="shared" si="401"/>
        <v>89301000</v>
      </c>
      <c r="C9056" s="1">
        <v>44508</v>
      </c>
      <c r="D9056" s="1">
        <v>44512</v>
      </c>
      <c r="E9056">
        <v>1</v>
      </c>
      <c r="F9056" t="s">
        <v>1240</v>
      </c>
      <c r="G9056" t="str">
        <f>"11-K01-03"</f>
        <v>11-K01-03</v>
      </c>
      <c r="H9056">
        <v>0.59489999999999998</v>
      </c>
      <c r="I9056" t="s">
        <v>6334</v>
      </c>
      <c r="J9056" t="s">
        <v>14</v>
      </c>
      <c r="K9056" t="str">
        <f>"1F5"</f>
        <v>1F5</v>
      </c>
      <c r="L9056" t="s">
        <v>15</v>
      </c>
    </row>
    <row r="9057" spans="1:12" x14ac:dyDescent="0.25">
      <c r="A9057" t="str">
        <f>"6856106565"</f>
        <v>6856106565</v>
      </c>
      <c r="B9057" t="str">
        <f t="shared" si="401"/>
        <v>89301000</v>
      </c>
      <c r="C9057" s="1">
        <v>44532</v>
      </c>
      <c r="D9057" s="1">
        <v>44535</v>
      </c>
      <c r="E9057">
        <v>1</v>
      </c>
      <c r="F9057" t="s">
        <v>3567</v>
      </c>
      <c r="G9057" t="str">
        <f>"08-M03-05"</f>
        <v>08-M03-05</v>
      </c>
      <c r="H9057">
        <v>0.51759999999999995</v>
      </c>
      <c r="I9057" t="s">
        <v>6335</v>
      </c>
      <c r="J9057" t="s">
        <v>14</v>
      </c>
      <c r="K9057" t="str">
        <f>"6F6"</f>
        <v>6F6</v>
      </c>
      <c r="L9057" t="s">
        <v>15</v>
      </c>
    </row>
    <row r="9058" spans="1:12" x14ac:dyDescent="0.25">
      <c r="A9058" t="str">
        <f>"6856140775"</f>
        <v>6856140775</v>
      </c>
      <c r="B9058" t="str">
        <f t="shared" si="401"/>
        <v>89301000</v>
      </c>
      <c r="C9058" s="1">
        <v>44424</v>
      </c>
      <c r="D9058" s="1">
        <v>44431</v>
      </c>
      <c r="E9058">
        <v>1</v>
      </c>
      <c r="F9058" t="s">
        <v>2706</v>
      </c>
      <c r="G9058" t="str">
        <f>"09-K01-02"</f>
        <v>09-K01-02</v>
      </c>
      <c r="H9058">
        <v>1.0527</v>
      </c>
      <c r="I9058" t="s">
        <v>6336</v>
      </c>
      <c r="J9058" t="s">
        <v>14</v>
      </c>
      <c r="K9058" t="str">
        <f>"4F4"</f>
        <v>4F4</v>
      </c>
      <c r="L9058" t="s">
        <v>15</v>
      </c>
    </row>
    <row r="9059" spans="1:12" x14ac:dyDescent="0.25">
      <c r="A9059" t="str">
        <f>"6856150180"</f>
        <v>6856150180</v>
      </c>
      <c r="B9059" t="str">
        <f t="shared" si="401"/>
        <v>89301000</v>
      </c>
      <c r="C9059" s="1">
        <v>44216</v>
      </c>
      <c r="D9059" s="1">
        <v>44222</v>
      </c>
      <c r="E9059">
        <v>1</v>
      </c>
      <c r="F9059" t="s">
        <v>217</v>
      </c>
      <c r="G9059" t="str">
        <f>"04-K02-04"</f>
        <v>04-K02-04</v>
      </c>
      <c r="H9059">
        <v>0.82469999999999999</v>
      </c>
      <c r="I9059" t="s">
        <v>6337</v>
      </c>
      <c r="J9059" t="s">
        <v>14</v>
      </c>
      <c r="K9059" t="str">
        <f>"2F2"</f>
        <v>2F2</v>
      </c>
      <c r="L9059" t="s">
        <v>15</v>
      </c>
    </row>
    <row r="9060" spans="1:12" x14ac:dyDescent="0.25">
      <c r="A9060" t="str">
        <f>"6857150498"</f>
        <v>6857150498</v>
      </c>
      <c r="B9060" t="str">
        <f t="shared" si="401"/>
        <v>89301000</v>
      </c>
      <c r="C9060" s="1">
        <v>44522</v>
      </c>
      <c r="D9060" s="1">
        <v>44524</v>
      </c>
      <c r="E9060">
        <v>1</v>
      </c>
      <c r="F9060" t="s">
        <v>2495</v>
      </c>
      <c r="G9060" t="str">
        <f>"13-I11-03"</f>
        <v>13-I11-03</v>
      </c>
      <c r="H9060">
        <v>1.3809</v>
      </c>
      <c r="J9060" t="s">
        <v>24</v>
      </c>
      <c r="K9060" t="str">
        <f>"6F3"</f>
        <v>6F3</v>
      </c>
      <c r="L9060" t="s">
        <v>15</v>
      </c>
    </row>
    <row r="9061" spans="1:12" x14ac:dyDescent="0.25">
      <c r="A9061" t="str">
        <f>"6857240775"</f>
        <v>6857240775</v>
      </c>
      <c r="B9061" t="str">
        <f t="shared" si="401"/>
        <v>89301000</v>
      </c>
      <c r="C9061" s="1">
        <v>44313</v>
      </c>
      <c r="D9061" s="1">
        <v>44315</v>
      </c>
      <c r="E9061">
        <v>1</v>
      </c>
      <c r="F9061" t="s">
        <v>4196</v>
      </c>
      <c r="G9061" t="str">
        <f>"08-M03-03"</f>
        <v>08-M03-03</v>
      </c>
      <c r="H9061">
        <v>0.69450000000000001</v>
      </c>
      <c r="J9061" t="s">
        <v>14</v>
      </c>
      <c r="K9061" t="str">
        <f>"6F6"</f>
        <v>6F6</v>
      </c>
      <c r="L9061" t="s">
        <v>15</v>
      </c>
    </row>
    <row r="9062" spans="1:12" x14ac:dyDescent="0.25">
      <c r="A9062" t="str">
        <f>"6857302034"</f>
        <v>6857302034</v>
      </c>
      <c r="B9062" t="str">
        <f t="shared" si="401"/>
        <v>89301000</v>
      </c>
      <c r="C9062" s="1">
        <v>44318</v>
      </c>
      <c r="D9062" s="1">
        <v>44323</v>
      </c>
      <c r="E9062">
        <v>1</v>
      </c>
      <c r="F9062" t="s">
        <v>31</v>
      </c>
      <c r="G9062" t="str">
        <f>"08-I04-03"</f>
        <v>08-I04-03</v>
      </c>
      <c r="H9062">
        <v>1.331</v>
      </c>
      <c r="J9062" t="s">
        <v>17</v>
      </c>
      <c r="K9062" t="str">
        <f>"5F6"</f>
        <v>5F6</v>
      </c>
      <c r="L9062" t="s">
        <v>15</v>
      </c>
    </row>
    <row r="9063" spans="1:12" x14ac:dyDescent="0.25">
      <c r="A9063" t="str">
        <f>"6858111557"</f>
        <v>6858111557</v>
      </c>
      <c r="B9063" t="str">
        <f t="shared" si="401"/>
        <v>89301000</v>
      </c>
      <c r="C9063" s="1">
        <v>44266</v>
      </c>
      <c r="D9063" s="1">
        <v>44270</v>
      </c>
      <c r="E9063">
        <v>1</v>
      </c>
      <c r="F9063" t="s">
        <v>2311</v>
      </c>
      <c r="G9063" t="str">
        <f>"08-I03-08"</f>
        <v>08-I03-08</v>
      </c>
      <c r="H9063">
        <v>2.0605000000000002</v>
      </c>
      <c r="I9063" t="s">
        <v>1892</v>
      </c>
      <c r="J9063" t="s">
        <v>17</v>
      </c>
      <c r="K9063" t="str">
        <f>"5F6"</f>
        <v>5F6</v>
      </c>
      <c r="L9063" t="s">
        <v>15</v>
      </c>
    </row>
    <row r="9064" spans="1:12" x14ac:dyDescent="0.25">
      <c r="A9064" t="str">
        <f>"6858121424"</f>
        <v>6858121424</v>
      </c>
      <c r="B9064" t="str">
        <f t="shared" si="401"/>
        <v>89301000</v>
      </c>
      <c r="C9064" s="1">
        <v>44252</v>
      </c>
      <c r="D9064" s="1">
        <v>44256</v>
      </c>
      <c r="E9064">
        <v>1</v>
      </c>
      <c r="F9064" t="s">
        <v>189</v>
      </c>
      <c r="G9064" t="str">
        <f>"03-I15-00"</f>
        <v>03-I15-00</v>
      </c>
      <c r="H9064">
        <v>0.97689999999999999</v>
      </c>
      <c r="I9064" t="s">
        <v>168</v>
      </c>
      <c r="J9064" t="s">
        <v>24</v>
      </c>
      <c r="K9064" t="str">
        <f>"7F1"</f>
        <v>7F1</v>
      </c>
      <c r="L9064" t="s">
        <v>15</v>
      </c>
    </row>
    <row r="9065" spans="1:12" x14ac:dyDescent="0.25">
      <c r="A9065" t="str">
        <f>"6858161860"</f>
        <v>6858161860</v>
      </c>
      <c r="B9065" t="str">
        <f t="shared" si="401"/>
        <v>89301000</v>
      </c>
      <c r="C9065" s="1">
        <v>44253</v>
      </c>
      <c r="D9065" s="1">
        <v>44256</v>
      </c>
      <c r="E9065">
        <v>1</v>
      </c>
      <c r="F9065" t="s">
        <v>41</v>
      </c>
      <c r="G9065" t="str">
        <f>"01-D01-03"</f>
        <v>01-D01-03</v>
      </c>
      <c r="H9065">
        <v>0.2054</v>
      </c>
      <c r="I9065" t="s">
        <v>6338</v>
      </c>
      <c r="J9065" t="s">
        <v>14</v>
      </c>
      <c r="K9065" t="str">
        <f>"2F5"</f>
        <v>2F5</v>
      </c>
      <c r="L9065" t="s">
        <v>15</v>
      </c>
    </row>
    <row r="9066" spans="1:12" x14ac:dyDescent="0.25">
      <c r="A9066" t="str">
        <f>"6858201757"</f>
        <v>6858201757</v>
      </c>
      <c r="B9066" t="str">
        <f t="shared" si="401"/>
        <v>89301000</v>
      </c>
      <c r="C9066" s="1">
        <v>44466</v>
      </c>
      <c r="D9066" s="1">
        <v>44469</v>
      </c>
      <c r="E9066">
        <v>1</v>
      </c>
      <c r="F9066" t="s">
        <v>532</v>
      </c>
      <c r="G9066" t="str">
        <f>"06-K17-02"</f>
        <v>06-K17-02</v>
      </c>
      <c r="H9066">
        <v>0.29680000000000001</v>
      </c>
      <c r="I9066" t="s">
        <v>6339</v>
      </c>
      <c r="J9066" t="s">
        <v>14</v>
      </c>
      <c r="K9066" t="str">
        <f>"1F1"</f>
        <v>1F1</v>
      </c>
      <c r="L9066" t="s">
        <v>15</v>
      </c>
    </row>
    <row r="9067" spans="1:12" x14ac:dyDescent="0.25">
      <c r="A9067" t="str">
        <f>"6858310690"</f>
        <v>6858310690</v>
      </c>
      <c r="B9067" t="str">
        <f t="shared" si="401"/>
        <v>89301000</v>
      </c>
      <c r="C9067" s="1">
        <v>44404</v>
      </c>
      <c r="D9067" s="1">
        <v>44408</v>
      </c>
      <c r="E9067">
        <v>1</v>
      </c>
      <c r="F9067" t="s">
        <v>4491</v>
      </c>
      <c r="G9067" t="str">
        <f>"01-C01-02"</f>
        <v>01-C01-02</v>
      </c>
      <c r="H9067">
        <v>3.7069999999999999</v>
      </c>
      <c r="J9067" t="s">
        <v>14</v>
      </c>
      <c r="K9067" t="str">
        <f>"2F9"</f>
        <v>2F9</v>
      </c>
      <c r="L9067" t="s">
        <v>15</v>
      </c>
    </row>
    <row r="9068" spans="1:12" x14ac:dyDescent="0.25">
      <c r="A9068" t="str">
        <f>"6859081218"</f>
        <v>6859081218</v>
      </c>
      <c r="B9068" t="str">
        <f t="shared" si="401"/>
        <v>89301000</v>
      </c>
      <c r="C9068" s="1">
        <v>44462</v>
      </c>
      <c r="D9068" s="1">
        <v>44468</v>
      </c>
      <c r="E9068">
        <v>1</v>
      </c>
      <c r="F9068" t="s">
        <v>2527</v>
      </c>
      <c r="G9068" t="str">
        <f>"13-I14-03"</f>
        <v>13-I14-03</v>
      </c>
      <c r="H9068">
        <v>0.83199999999999996</v>
      </c>
      <c r="J9068" t="s">
        <v>24</v>
      </c>
      <c r="K9068" t="str">
        <f>"6F3"</f>
        <v>6F3</v>
      </c>
      <c r="L9068" t="s">
        <v>15</v>
      </c>
    </row>
    <row r="9069" spans="1:12" x14ac:dyDescent="0.25">
      <c r="A9069" t="str">
        <f>"6859161815"</f>
        <v>6859161815</v>
      </c>
      <c r="B9069" t="str">
        <f t="shared" ref="B9069:B9132" si="404">"89301000"</f>
        <v>89301000</v>
      </c>
      <c r="C9069" s="1">
        <v>44225</v>
      </c>
      <c r="D9069" s="1">
        <v>44228</v>
      </c>
      <c r="E9069">
        <v>1</v>
      </c>
      <c r="F9069" t="s">
        <v>2111</v>
      </c>
      <c r="G9069" t="str">
        <f>"10-K15-02"</f>
        <v>10-K15-02</v>
      </c>
      <c r="H9069">
        <v>1.0346</v>
      </c>
      <c r="I9069" t="s">
        <v>6340</v>
      </c>
      <c r="J9069" t="s">
        <v>14</v>
      </c>
      <c r="K9069" t="str">
        <f>"2F5"</f>
        <v>2F5</v>
      </c>
      <c r="L9069" t="s">
        <v>15</v>
      </c>
    </row>
    <row r="9070" spans="1:12" x14ac:dyDescent="0.25">
      <c r="A9070" t="str">
        <f>"6859212173"</f>
        <v>6859212173</v>
      </c>
      <c r="B9070" t="str">
        <f t="shared" si="404"/>
        <v>89301000</v>
      </c>
      <c r="C9070" s="1">
        <v>44388</v>
      </c>
      <c r="D9070" s="1">
        <v>44391</v>
      </c>
      <c r="E9070">
        <v>1</v>
      </c>
      <c r="F9070" t="s">
        <v>81</v>
      </c>
      <c r="G9070" t="str">
        <f>"10-I13-02"</f>
        <v>10-I13-02</v>
      </c>
      <c r="H9070">
        <v>1.1468</v>
      </c>
      <c r="I9070" t="s">
        <v>1959</v>
      </c>
      <c r="J9070" t="s">
        <v>24</v>
      </c>
      <c r="K9070" t="str">
        <f>"5F1"</f>
        <v>5F1</v>
      </c>
      <c r="L9070" t="s">
        <v>15</v>
      </c>
    </row>
    <row r="9071" spans="1:12" x14ac:dyDescent="0.25">
      <c r="A9071" t="str">
        <f>"6859220984"</f>
        <v>6859220984</v>
      </c>
      <c r="B9071" t="str">
        <f t="shared" si="404"/>
        <v>89301000</v>
      </c>
      <c r="C9071" s="1">
        <v>44487</v>
      </c>
      <c r="D9071" s="1">
        <v>44491</v>
      </c>
      <c r="E9071">
        <v>1</v>
      </c>
      <c r="F9071" t="s">
        <v>28</v>
      </c>
      <c r="G9071" t="str">
        <f>"03-I12-01"</f>
        <v>03-I12-01</v>
      </c>
      <c r="H9071">
        <v>1.7186999999999999</v>
      </c>
      <c r="I9071" t="s">
        <v>6341</v>
      </c>
      <c r="J9071" t="s">
        <v>17</v>
      </c>
      <c r="K9071" t="str">
        <f>"7F1"</f>
        <v>7F1</v>
      </c>
      <c r="L9071" t="s">
        <v>15</v>
      </c>
    </row>
    <row r="9072" spans="1:12" x14ac:dyDescent="0.25">
      <c r="A9072" t="str">
        <f>"6860012082"</f>
        <v>6860012082</v>
      </c>
      <c r="B9072" t="str">
        <f t="shared" si="404"/>
        <v>89301000</v>
      </c>
      <c r="C9072" s="1">
        <v>44245</v>
      </c>
      <c r="D9072" s="1">
        <v>44248</v>
      </c>
      <c r="E9072">
        <v>1</v>
      </c>
      <c r="F9072" t="s">
        <v>81</v>
      </c>
      <c r="G9072" t="str">
        <f>"10-I13-02"</f>
        <v>10-I13-02</v>
      </c>
      <c r="H9072">
        <v>1.1468</v>
      </c>
      <c r="J9072" t="s">
        <v>24</v>
      </c>
      <c r="K9072" t="str">
        <f>"5F1"</f>
        <v>5F1</v>
      </c>
      <c r="L9072" t="s">
        <v>15</v>
      </c>
    </row>
    <row r="9073" spans="1:12" x14ac:dyDescent="0.25">
      <c r="A9073" t="str">
        <f>"6860111764"</f>
        <v>6860111764</v>
      </c>
      <c r="B9073" t="str">
        <f t="shared" si="404"/>
        <v>89301000</v>
      </c>
      <c r="C9073" s="1">
        <v>44376</v>
      </c>
      <c r="D9073" s="1">
        <v>44379</v>
      </c>
      <c r="E9073">
        <v>1</v>
      </c>
      <c r="F9073" t="s">
        <v>328</v>
      </c>
      <c r="G9073" t="str">
        <f>"05-K13-02"</f>
        <v>05-K13-02</v>
      </c>
      <c r="H9073">
        <v>0.60950000000000004</v>
      </c>
      <c r="I9073" t="s">
        <v>6342</v>
      </c>
      <c r="J9073" t="s">
        <v>14</v>
      </c>
      <c r="K9073" t="str">
        <f>"1F1"</f>
        <v>1F1</v>
      </c>
      <c r="L9073" t="s">
        <v>15</v>
      </c>
    </row>
    <row r="9074" spans="1:12" x14ac:dyDescent="0.25">
      <c r="A9074" t="str">
        <f>"6860240145"</f>
        <v>6860240145</v>
      </c>
      <c r="B9074" t="str">
        <f t="shared" si="404"/>
        <v>89301000</v>
      </c>
      <c r="C9074" s="1">
        <v>44376</v>
      </c>
      <c r="D9074" s="1">
        <v>44379</v>
      </c>
      <c r="E9074">
        <v>1</v>
      </c>
      <c r="F9074" t="s">
        <v>5321</v>
      </c>
      <c r="G9074" t="str">
        <f>"01-K03-08"</f>
        <v>01-K03-08</v>
      </c>
      <c r="H9074">
        <v>0.34789999999999999</v>
      </c>
      <c r="I9074" t="s">
        <v>2283</v>
      </c>
      <c r="J9074" t="s">
        <v>14</v>
      </c>
      <c r="K9074" t="str">
        <f>"2F9"</f>
        <v>2F9</v>
      </c>
      <c r="L9074" t="s">
        <v>15</v>
      </c>
    </row>
    <row r="9075" spans="1:12" x14ac:dyDescent="0.25">
      <c r="A9075" t="str">
        <f>"6860240145"</f>
        <v>6860240145</v>
      </c>
      <c r="B9075" t="str">
        <f t="shared" si="404"/>
        <v>89301000</v>
      </c>
      <c r="C9075" s="1">
        <v>44307</v>
      </c>
      <c r="D9075" s="1">
        <v>44309</v>
      </c>
      <c r="E9075">
        <v>1</v>
      </c>
      <c r="F9075" t="s">
        <v>5947</v>
      </c>
      <c r="G9075" t="str">
        <f>"01-K07-02"</f>
        <v>01-K07-02</v>
      </c>
      <c r="H9075">
        <v>0.59279999999999999</v>
      </c>
      <c r="I9075" t="s">
        <v>6343</v>
      </c>
      <c r="J9075" t="s">
        <v>14</v>
      </c>
      <c r="K9075" t="str">
        <f>"2F9"</f>
        <v>2F9</v>
      </c>
      <c r="L9075" t="s">
        <v>15</v>
      </c>
    </row>
    <row r="9076" spans="1:12" x14ac:dyDescent="0.25">
      <c r="A9076" t="str">
        <f>"6860240893"</f>
        <v>6860240893</v>
      </c>
      <c r="B9076" t="str">
        <f t="shared" si="404"/>
        <v>89301000</v>
      </c>
      <c r="C9076" s="1">
        <v>44229</v>
      </c>
      <c r="D9076" s="1">
        <v>44230</v>
      </c>
      <c r="E9076">
        <v>1</v>
      </c>
      <c r="F9076" t="s">
        <v>1950</v>
      </c>
      <c r="G9076" t="str">
        <f>"02-I13-02"</f>
        <v>02-I13-02</v>
      </c>
      <c r="H9076">
        <v>0.376</v>
      </c>
      <c r="I9076" t="s">
        <v>6344</v>
      </c>
      <c r="J9076" t="s">
        <v>14</v>
      </c>
      <c r="K9076" t="str">
        <f>"7F5"</f>
        <v>7F5</v>
      </c>
      <c r="L9076" t="s">
        <v>15</v>
      </c>
    </row>
    <row r="9077" spans="1:12" x14ac:dyDescent="0.25">
      <c r="A9077" t="str">
        <f>"6860251101"</f>
        <v>6860251101</v>
      </c>
      <c r="B9077" t="str">
        <f t="shared" si="404"/>
        <v>89301000</v>
      </c>
      <c r="C9077" s="1">
        <v>44302</v>
      </c>
      <c r="D9077" s="1">
        <v>44303</v>
      </c>
      <c r="E9077">
        <v>1</v>
      </c>
      <c r="F9077" t="s">
        <v>6345</v>
      </c>
      <c r="G9077" t="str">
        <f>"09-I13-05"</f>
        <v>09-I13-05</v>
      </c>
      <c r="H9077">
        <v>0.43659999999999999</v>
      </c>
      <c r="J9077" t="s">
        <v>14</v>
      </c>
      <c r="K9077" t="str">
        <f>"6F5"</f>
        <v>6F5</v>
      </c>
      <c r="L9077" t="s">
        <v>15</v>
      </c>
    </row>
    <row r="9078" spans="1:12" x14ac:dyDescent="0.25">
      <c r="A9078" t="str">
        <f>"6860280768"</f>
        <v>6860280768</v>
      </c>
      <c r="B9078" t="str">
        <f t="shared" si="404"/>
        <v>89301000</v>
      </c>
      <c r="C9078" s="1">
        <v>44347</v>
      </c>
      <c r="D9078" s="1">
        <v>44349</v>
      </c>
      <c r="E9078">
        <v>1</v>
      </c>
      <c r="F9078" t="s">
        <v>1688</v>
      </c>
      <c r="G9078" t="str">
        <f>"02-I06-03"</f>
        <v>02-I06-03</v>
      </c>
      <c r="H9078">
        <v>0.63690000000000002</v>
      </c>
      <c r="I9078" t="s">
        <v>6346</v>
      </c>
      <c r="J9078" t="s">
        <v>17</v>
      </c>
      <c r="K9078" t="str">
        <f>"7F5"</f>
        <v>7F5</v>
      </c>
      <c r="L9078" t="s">
        <v>15</v>
      </c>
    </row>
    <row r="9079" spans="1:12" x14ac:dyDescent="0.25">
      <c r="A9079" t="str">
        <f>"6860302064"</f>
        <v>6860302064</v>
      </c>
      <c r="B9079" t="str">
        <f t="shared" si="404"/>
        <v>89301000</v>
      </c>
      <c r="C9079" s="1">
        <v>44336</v>
      </c>
      <c r="D9079" s="1">
        <v>44337</v>
      </c>
      <c r="E9079">
        <v>1</v>
      </c>
      <c r="F9079" t="s">
        <v>4573</v>
      </c>
      <c r="G9079" t="str">
        <f>"02-I08-02"</f>
        <v>02-I08-02</v>
      </c>
      <c r="H9079">
        <v>0.55269999999999997</v>
      </c>
      <c r="J9079" t="s">
        <v>17</v>
      </c>
      <c r="K9079" t="str">
        <f>"7F5"</f>
        <v>7F5</v>
      </c>
      <c r="L9079" t="s">
        <v>15</v>
      </c>
    </row>
    <row r="9080" spans="1:12" x14ac:dyDescent="0.25">
      <c r="A9080" t="str">
        <f>"6860311370"</f>
        <v>6860311370</v>
      </c>
      <c r="B9080" t="str">
        <f t="shared" si="404"/>
        <v>89301000</v>
      </c>
      <c r="C9080" s="1">
        <v>44249</v>
      </c>
      <c r="D9080" s="1">
        <v>44250</v>
      </c>
      <c r="E9080">
        <v>1</v>
      </c>
      <c r="F9080" t="s">
        <v>6347</v>
      </c>
      <c r="G9080" t="str">
        <f>"10-K08-00"</f>
        <v>10-K08-00</v>
      </c>
      <c r="H9080">
        <v>0.56910000000000005</v>
      </c>
      <c r="I9080" t="s">
        <v>6348</v>
      </c>
      <c r="J9080" t="s">
        <v>14</v>
      </c>
      <c r="K9080" t="str">
        <f>"1F1"</f>
        <v>1F1</v>
      </c>
      <c r="L9080" t="s">
        <v>15</v>
      </c>
    </row>
    <row r="9081" spans="1:12" x14ac:dyDescent="0.25">
      <c r="A9081" t="str">
        <f>"6861040813"</f>
        <v>6861040813</v>
      </c>
      <c r="B9081" t="str">
        <f t="shared" si="404"/>
        <v>89301000</v>
      </c>
      <c r="C9081" s="1">
        <v>44505</v>
      </c>
      <c r="D9081" s="1">
        <v>44509</v>
      </c>
      <c r="E9081">
        <v>1</v>
      </c>
      <c r="F9081" t="s">
        <v>217</v>
      </c>
      <c r="G9081" t="str">
        <f>"04-K02-03"</f>
        <v>04-K02-03</v>
      </c>
      <c r="H9081">
        <v>1.2859</v>
      </c>
      <c r="I9081" t="s">
        <v>6349</v>
      </c>
      <c r="J9081" t="s">
        <v>14</v>
      </c>
      <c r="K9081" t="str">
        <f>"1F1"</f>
        <v>1F1</v>
      </c>
      <c r="L9081" t="s">
        <v>15</v>
      </c>
    </row>
    <row r="9082" spans="1:12" x14ac:dyDescent="0.25">
      <c r="A9082" t="str">
        <f>"6861081667"</f>
        <v>6861081667</v>
      </c>
      <c r="B9082" t="str">
        <f t="shared" si="404"/>
        <v>89301000</v>
      </c>
      <c r="C9082" s="1">
        <v>44483</v>
      </c>
      <c r="D9082" s="1">
        <v>44488</v>
      </c>
      <c r="E9082">
        <v>1</v>
      </c>
      <c r="F9082" t="s">
        <v>67</v>
      </c>
      <c r="G9082" t="str">
        <f>"01-K10-03"</f>
        <v>01-K10-03</v>
      </c>
      <c r="H9082">
        <v>1.0016</v>
      </c>
      <c r="I9082" t="s">
        <v>6350</v>
      </c>
      <c r="J9082" t="s">
        <v>14</v>
      </c>
      <c r="K9082" t="str">
        <f>"2F9"</f>
        <v>2F9</v>
      </c>
      <c r="L9082" t="s">
        <v>15</v>
      </c>
    </row>
    <row r="9083" spans="1:12" x14ac:dyDescent="0.25">
      <c r="A9083" t="str">
        <f>"6861111741"</f>
        <v>6861111741</v>
      </c>
      <c r="B9083" t="str">
        <f t="shared" si="404"/>
        <v>89301000</v>
      </c>
      <c r="C9083" s="1">
        <v>44350</v>
      </c>
      <c r="D9083" s="1">
        <v>44351</v>
      </c>
      <c r="E9083">
        <v>1</v>
      </c>
      <c r="F9083" t="s">
        <v>40</v>
      </c>
      <c r="G9083" t="str">
        <f>"06-K03-03"</f>
        <v>06-K03-03</v>
      </c>
      <c r="H9083">
        <v>0.44019999999999998</v>
      </c>
      <c r="I9083" t="s">
        <v>2062</v>
      </c>
      <c r="J9083" t="s">
        <v>14</v>
      </c>
      <c r="K9083" t="str">
        <f>"1F5"</f>
        <v>1F5</v>
      </c>
      <c r="L9083" t="s">
        <v>15</v>
      </c>
    </row>
    <row r="9084" spans="1:12" x14ac:dyDescent="0.25">
      <c r="A9084" t="str">
        <f>"6861160900"</f>
        <v>6861160900</v>
      </c>
      <c r="B9084" t="str">
        <f t="shared" si="404"/>
        <v>89301000</v>
      </c>
      <c r="C9084" s="1">
        <v>44367</v>
      </c>
      <c r="D9084" s="1">
        <v>44375</v>
      </c>
      <c r="E9084">
        <v>4</v>
      </c>
      <c r="F9084" t="s">
        <v>1968</v>
      </c>
      <c r="G9084" t="str">
        <f>"08-I05-04"</f>
        <v>08-I05-04</v>
      </c>
      <c r="H9084">
        <v>2.4581</v>
      </c>
      <c r="I9084" t="s">
        <v>1969</v>
      </c>
      <c r="J9084" t="s">
        <v>17</v>
      </c>
      <c r="K9084" t="str">
        <f>"6F6"</f>
        <v>6F6</v>
      </c>
      <c r="L9084" t="s">
        <v>15</v>
      </c>
    </row>
    <row r="9085" spans="1:12" x14ac:dyDescent="0.25">
      <c r="A9085" t="str">
        <f>"6861291514"</f>
        <v>6861291514</v>
      </c>
      <c r="B9085" t="str">
        <f t="shared" si="404"/>
        <v>89301000</v>
      </c>
      <c r="C9085" s="1">
        <v>44304</v>
      </c>
      <c r="D9085" s="1">
        <v>44312</v>
      </c>
      <c r="E9085">
        <v>1</v>
      </c>
      <c r="F9085" t="s">
        <v>264</v>
      </c>
      <c r="G9085" t="str">
        <f>"01-K12-01"</f>
        <v>01-K12-01</v>
      </c>
      <c r="H9085">
        <v>0.71289999999999998</v>
      </c>
      <c r="I9085" t="s">
        <v>6351</v>
      </c>
      <c r="J9085" t="s">
        <v>14</v>
      </c>
      <c r="K9085" t="str">
        <f>"2F9"</f>
        <v>2F9</v>
      </c>
      <c r="L9085" t="s">
        <v>15</v>
      </c>
    </row>
    <row r="9086" spans="1:12" x14ac:dyDescent="0.25">
      <c r="A9086" t="str">
        <f>"6861301480"</f>
        <v>6861301480</v>
      </c>
      <c r="B9086" t="str">
        <f t="shared" si="404"/>
        <v>89301000</v>
      </c>
      <c r="C9086" s="1">
        <v>44517</v>
      </c>
      <c r="D9086" s="1">
        <v>44526</v>
      </c>
      <c r="E9086">
        <v>1</v>
      </c>
      <c r="F9086" t="s">
        <v>550</v>
      </c>
      <c r="G9086" t="str">
        <f>"07-M02-04"</f>
        <v>07-M02-04</v>
      </c>
      <c r="H9086">
        <v>0.94340000000000002</v>
      </c>
      <c r="I9086" t="s">
        <v>6352</v>
      </c>
      <c r="J9086" t="s">
        <v>17</v>
      </c>
      <c r="K9086" t="str">
        <f>"1F5"</f>
        <v>1F5</v>
      </c>
      <c r="L9086" t="s">
        <v>15</v>
      </c>
    </row>
    <row r="9087" spans="1:12" x14ac:dyDescent="0.25">
      <c r="A9087" t="str">
        <f>"6862071480"</f>
        <v>6862071480</v>
      </c>
      <c r="B9087" t="str">
        <f t="shared" si="404"/>
        <v>89301000</v>
      </c>
      <c r="C9087" s="1">
        <v>44270</v>
      </c>
      <c r="D9087" s="1">
        <v>44273</v>
      </c>
      <c r="E9087">
        <v>1</v>
      </c>
      <c r="F9087" t="s">
        <v>39</v>
      </c>
      <c r="G9087" t="str">
        <f>"03-I19-03"</f>
        <v>03-I19-03</v>
      </c>
      <c r="H9087">
        <v>0.60699999999999998</v>
      </c>
      <c r="J9087" t="s">
        <v>14</v>
      </c>
      <c r="K9087" t="str">
        <f>"6F5"</f>
        <v>6F5</v>
      </c>
      <c r="L9087" t="s">
        <v>15</v>
      </c>
    </row>
    <row r="9088" spans="1:12" x14ac:dyDescent="0.25">
      <c r="A9088" t="str">
        <f>"6862170799"</f>
        <v>6862170799</v>
      </c>
      <c r="B9088" t="str">
        <f t="shared" si="404"/>
        <v>89301000</v>
      </c>
      <c r="C9088" s="1">
        <v>44506</v>
      </c>
      <c r="D9088" s="1">
        <v>44512</v>
      </c>
      <c r="E9088">
        <v>1</v>
      </c>
      <c r="F9088" t="s">
        <v>300</v>
      </c>
      <c r="G9088" t="str">
        <f>"11-M05-02"</f>
        <v>11-M05-02</v>
      </c>
      <c r="H9088">
        <v>0.65690000000000004</v>
      </c>
      <c r="I9088" t="s">
        <v>6353</v>
      </c>
      <c r="J9088" t="s">
        <v>17</v>
      </c>
      <c r="K9088" t="str">
        <f>"7F6"</f>
        <v>7F6</v>
      </c>
      <c r="L9088" t="s">
        <v>15</v>
      </c>
    </row>
    <row r="9089" spans="1:12" x14ac:dyDescent="0.25">
      <c r="A9089" t="str">
        <f>"6862170810"</f>
        <v>6862170810</v>
      </c>
      <c r="B9089" t="str">
        <f t="shared" si="404"/>
        <v>89301000</v>
      </c>
      <c r="C9089" s="1">
        <v>44392</v>
      </c>
      <c r="D9089" s="1">
        <v>44393</v>
      </c>
      <c r="E9089">
        <v>1</v>
      </c>
      <c r="F9089" t="s">
        <v>1688</v>
      </c>
      <c r="G9089" t="str">
        <f>"02-I06-03"</f>
        <v>02-I06-03</v>
      </c>
      <c r="H9089">
        <v>0.63690000000000002</v>
      </c>
      <c r="I9089" t="s">
        <v>6354</v>
      </c>
      <c r="J9089" t="s">
        <v>17</v>
      </c>
      <c r="K9089" t="str">
        <f>"7F5"</f>
        <v>7F5</v>
      </c>
      <c r="L9089" t="s">
        <v>15</v>
      </c>
    </row>
    <row r="9090" spans="1:12" x14ac:dyDescent="0.25">
      <c r="A9090" t="str">
        <f>"6862170810"</f>
        <v>6862170810</v>
      </c>
      <c r="B9090" t="str">
        <f t="shared" si="404"/>
        <v>89301000</v>
      </c>
      <c r="C9090" s="1">
        <v>44322</v>
      </c>
      <c r="D9090" s="1">
        <v>44323</v>
      </c>
      <c r="E9090">
        <v>1</v>
      </c>
      <c r="F9090" t="s">
        <v>1688</v>
      </c>
      <c r="G9090" t="str">
        <f>"02-I06-03"</f>
        <v>02-I06-03</v>
      </c>
      <c r="H9090">
        <v>0.63690000000000002</v>
      </c>
      <c r="I9090" t="s">
        <v>6355</v>
      </c>
      <c r="J9090" t="s">
        <v>17</v>
      </c>
      <c r="K9090" t="str">
        <f>"7F5"</f>
        <v>7F5</v>
      </c>
      <c r="L9090" t="s">
        <v>15</v>
      </c>
    </row>
    <row r="9091" spans="1:12" x14ac:dyDescent="0.25">
      <c r="A9091" t="str">
        <f>"6862210751"</f>
        <v>6862210751</v>
      </c>
      <c r="B9091" t="str">
        <f t="shared" si="404"/>
        <v>89301000</v>
      </c>
      <c r="C9091" s="1">
        <v>44319</v>
      </c>
      <c r="D9091" s="1">
        <v>44320</v>
      </c>
      <c r="E9091">
        <v>1</v>
      </c>
      <c r="F9091" t="s">
        <v>41</v>
      </c>
      <c r="G9091" t="str">
        <f>"01-D01-03"</f>
        <v>01-D01-03</v>
      </c>
      <c r="H9091">
        <v>0.158</v>
      </c>
      <c r="I9091" t="s">
        <v>6356</v>
      </c>
      <c r="J9091" t="s">
        <v>14</v>
      </c>
      <c r="K9091" t="str">
        <f>"2F5"</f>
        <v>2F5</v>
      </c>
      <c r="L9091" t="s">
        <v>15</v>
      </c>
    </row>
    <row r="9092" spans="1:12" x14ac:dyDescent="0.25">
      <c r="A9092" t="str">
        <f>"6901154458"</f>
        <v>6901154458</v>
      </c>
      <c r="B9092" t="str">
        <f t="shared" si="404"/>
        <v>89301000</v>
      </c>
      <c r="C9092" s="1">
        <v>44232</v>
      </c>
      <c r="D9092" s="1">
        <v>44235</v>
      </c>
      <c r="E9092">
        <v>1</v>
      </c>
      <c r="F9092" t="s">
        <v>2111</v>
      </c>
      <c r="G9092" t="str">
        <f>"10-K15-02"</f>
        <v>10-K15-02</v>
      </c>
      <c r="H9092">
        <v>1.0346</v>
      </c>
      <c r="I9092" t="s">
        <v>41</v>
      </c>
      <c r="J9092" t="s">
        <v>14</v>
      </c>
      <c r="K9092" t="str">
        <f>"2F5"</f>
        <v>2F5</v>
      </c>
      <c r="L9092" t="s">
        <v>15</v>
      </c>
    </row>
    <row r="9093" spans="1:12" x14ac:dyDescent="0.25">
      <c r="A9093" t="str">
        <f>"6901154458"</f>
        <v>6901154458</v>
      </c>
      <c r="B9093" t="str">
        <f t="shared" si="404"/>
        <v>89301000</v>
      </c>
      <c r="C9093" s="1">
        <v>44210</v>
      </c>
      <c r="D9093" s="1">
        <v>44211</v>
      </c>
      <c r="E9093">
        <v>1</v>
      </c>
      <c r="F9093" t="s">
        <v>41</v>
      </c>
      <c r="G9093" t="str">
        <f>"01-D01-03"</f>
        <v>01-D01-03</v>
      </c>
      <c r="H9093">
        <v>0.158</v>
      </c>
      <c r="J9093" t="s">
        <v>14</v>
      </c>
      <c r="K9093" t="str">
        <f>"2F5"</f>
        <v>2F5</v>
      </c>
      <c r="L9093" t="s">
        <v>15</v>
      </c>
    </row>
    <row r="9094" spans="1:12" x14ac:dyDescent="0.25">
      <c r="A9094" t="str">
        <f>"6901165106"</f>
        <v>6901165106</v>
      </c>
      <c r="B9094" t="str">
        <f t="shared" si="404"/>
        <v>89301000</v>
      </c>
      <c r="C9094" s="1">
        <v>44341</v>
      </c>
      <c r="D9094" s="1">
        <v>44378</v>
      </c>
      <c r="E9094">
        <v>1</v>
      </c>
      <c r="F9094" t="s">
        <v>4668</v>
      </c>
      <c r="G9094" t="str">
        <f>"19-M01-00"</f>
        <v>19-M01-00</v>
      </c>
      <c r="H9094">
        <v>2.39</v>
      </c>
      <c r="I9094" t="s">
        <v>6357</v>
      </c>
      <c r="J9094" t="s">
        <v>27</v>
      </c>
      <c r="K9094" t="str">
        <f>"3F5"</f>
        <v>3F5</v>
      </c>
      <c r="L9094" t="s">
        <v>15</v>
      </c>
    </row>
    <row r="9095" spans="1:12" x14ac:dyDescent="0.25">
      <c r="A9095" t="str">
        <f>"6901295335"</f>
        <v>6901295335</v>
      </c>
      <c r="B9095" t="str">
        <f t="shared" si="404"/>
        <v>89301000</v>
      </c>
      <c r="C9095" s="1">
        <v>44362</v>
      </c>
      <c r="D9095" s="1">
        <v>44364</v>
      </c>
      <c r="E9095">
        <v>1</v>
      </c>
      <c r="F9095" t="s">
        <v>173</v>
      </c>
      <c r="G9095" t="str">
        <f>"08-I32-02"</f>
        <v>08-I32-02</v>
      </c>
      <c r="H9095">
        <v>0.4143</v>
      </c>
      <c r="J9095" t="s">
        <v>14</v>
      </c>
      <c r="K9095" t="str">
        <f>"5F3"</f>
        <v>5F3</v>
      </c>
      <c r="L9095" t="s">
        <v>15</v>
      </c>
    </row>
    <row r="9096" spans="1:12" x14ac:dyDescent="0.25">
      <c r="A9096" t="str">
        <f>"6902014867"</f>
        <v>6902014867</v>
      </c>
      <c r="B9096" t="str">
        <f t="shared" si="404"/>
        <v>89301000</v>
      </c>
      <c r="C9096" s="1">
        <v>44339</v>
      </c>
      <c r="D9096" s="1">
        <v>44342</v>
      </c>
      <c r="E9096">
        <v>1</v>
      </c>
      <c r="F9096" t="s">
        <v>4196</v>
      </c>
      <c r="G9096" t="str">
        <f>"08-M03-01"</f>
        <v>08-M03-01</v>
      </c>
      <c r="H9096">
        <v>1.0429999999999999</v>
      </c>
      <c r="I9096" t="s">
        <v>3567</v>
      </c>
      <c r="J9096" t="s">
        <v>14</v>
      </c>
      <c r="K9096" t="str">
        <f>"6F6"</f>
        <v>6F6</v>
      </c>
      <c r="L9096" t="s">
        <v>15</v>
      </c>
    </row>
    <row r="9097" spans="1:12" x14ac:dyDescent="0.25">
      <c r="A9097" t="str">
        <f>"6902034491"</f>
        <v>6902034491</v>
      </c>
      <c r="B9097" t="str">
        <f t="shared" si="404"/>
        <v>89301000</v>
      </c>
      <c r="C9097" s="1">
        <v>44311</v>
      </c>
      <c r="D9097" s="1">
        <v>44315</v>
      </c>
      <c r="E9097">
        <v>1</v>
      </c>
      <c r="F9097" t="s">
        <v>335</v>
      </c>
      <c r="G9097" t="str">
        <f>"07-I10-06"</f>
        <v>07-I10-06</v>
      </c>
      <c r="H9097">
        <v>0.9728</v>
      </c>
      <c r="J9097" t="s">
        <v>17</v>
      </c>
      <c r="K9097" t="str">
        <f>"5F1"</f>
        <v>5F1</v>
      </c>
      <c r="L9097" t="s">
        <v>15</v>
      </c>
    </row>
    <row r="9098" spans="1:12" x14ac:dyDescent="0.25">
      <c r="A9098" t="str">
        <f>"6902065313"</f>
        <v>6902065313</v>
      </c>
      <c r="B9098" t="str">
        <f t="shared" si="404"/>
        <v>89301000</v>
      </c>
      <c r="C9098" s="1">
        <v>44220</v>
      </c>
      <c r="D9098" s="1">
        <v>44224</v>
      </c>
      <c r="E9098">
        <v>1</v>
      </c>
      <c r="F9098" t="s">
        <v>217</v>
      </c>
      <c r="G9098" t="str">
        <f>"04-K02-03"</f>
        <v>04-K02-03</v>
      </c>
      <c r="H9098">
        <v>1.2859</v>
      </c>
      <c r="I9098" t="s">
        <v>6358</v>
      </c>
      <c r="J9098" t="s">
        <v>14</v>
      </c>
      <c r="K9098" t="str">
        <f>"5F1"</f>
        <v>5F1</v>
      </c>
      <c r="L9098" t="s">
        <v>15</v>
      </c>
    </row>
    <row r="9099" spans="1:12" x14ac:dyDescent="0.25">
      <c r="A9099" t="str">
        <f>"6902105353"</f>
        <v>6902105353</v>
      </c>
      <c r="B9099" t="str">
        <f t="shared" si="404"/>
        <v>89301000</v>
      </c>
      <c r="C9099" s="1">
        <v>44515</v>
      </c>
      <c r="D9099" s="1">
        <v>44516</v>
      </c>
      <c r="E9099">
        <v>1</v>
      </c>
      <c r="F9099" t="s">
        <v>3648</v>
      </c>
      <c r="G9099" t="str">
        <f>"08-I18-02"</f>
        <v>08-I18-02</v>
      </c>
      <c r="H9099">
        <v>0.68640000000000001</v>
      </c>
      <c r="I9099" t="s">
        <v>395</v>
      </c>
      <c r="J9099" t="s">
        <v>17</v>
      </c>
      <c r="K9099" t="str">
        <f>"5F3"</f>
        <v>5F3</v>
      </c>
      <c r="L9099" t="s">
        <v>15</v>
      </c>
    </row>
    <row r="9100" spans="1:12" x14ac:dyDescent="0.25">
      <c r="A9100" t="str">
        <f>"6902154468"</f>
        <v>6902154468</v>
      </c>
      <c r="B9100" t="str">
        <f t="shared" si="404"/>
        <v>89301000</v>
      </c>
      <c r="C9100" s="1">
        <v>44349</v>
      </c>
      <c r="D9100" s="1">
        <v>44352</v>
      </c>
      <c r="E9100">
        <v>1</v>
      </c>
      <c r="F9100" t="s">
        <v>132</v>
      </c>
      <c r="G9100" t="str">
        <f>"03-I23-00"</f>
        <v>03-I23-00</v>
      </c>
      <c r="H9100">
        <v>0.47639999999999999</v>
      </c>
      <c r="I9100" t="s">
        <v>320</v>
      </c>
      <c r="J9100" t="s">
        <v>14</v>
      </c>
      <c r="K9100" t="str">
        <f>"6F5"</f>
        <v>6F5</v>
      </c>
      <c r="L9100" t="s">
        <v>15</v>
      </c>
    </row>
    <row r="9101" spans="1:12" x14ac:dyDescent="0.25">
      <c r="A9101" t="str">
        <f>"6902184608"</f>
        <v>6902184608</v>
      </c>
      <c r="B9101" t="str">
        <f t="shared" si="404"/>
        <v>89301000</v>
      </c>
      <c r="C9101" s="1">
        <v>44208</v>
      </c>
      <c r="D9101" s="1">
        <v>44209</v>
      </c>
      <c r="E9101">
        <v>1</v>
      </c>
      <c r="F9101" t="s">
        <v>1955</v>
      </c>
      <c r="G9101" t="str">
        <f>"01-K04-02"</f>
        <v>01-K04-02</v>
      </c>
      <c r="H9101">
        <v>0.53510000000000002</v>
      </c>
      <c r="I9101" t="s">
        <v>6359</v>
      </c>
      <c r="J9101" t="s">
        <v>14</v>
      </c>
      <c r="K9101" t="str">
        <f>"2F9"</f>
        <v>2F9</v>
      </c>
      <c r="L9101" t="s">
        <v>15</v>
      </c>
    </row>
    <row r="9102" spans="1:12" x14ac:dyDescent="0.25">
      <c r="A9102" t="str">
        <f>"6902224406"</f>
        <v>6902224406</v>
      </c>
      <c r="B9102" t="str">
        <f t="shared" si="404"/>
        <v>89301000</v>
      </c>
      <c r="C9102" s="1">
        <v>44255</v>
      </c>
      <c r="D9102" s="1">
        <v>44259</v>
      </c>
      <c r="E9102">
        <v>1</v>
      </c>
      <c r="F9102" t="s">
        <v>6360</v>
      </c>
      <c r="G9102" t="str">
        <f>"08-I19-01"</f>
        <v>08-I19-01</v>
      </c>
      <c r="H9102">
        <v>1.0456000000000001</v>
      </c>
      <c r="I9102" t="s">
        <v>6361</v>
      </c>
      <c r="J9102" t="s">
        <v>17</v>
      </c>
      <c r="K9102" t="str">
        <f>"6F6"</f>
        <v>6F6</v>
      </c>
      <c r="L9102" t="s">
        <v>15</v>
      </c>
    </row>
    <row r="9103" spans="1:12" x14ac:dyDescent="0.25">
      <c r="A9103" t="str">
        <f>"6902225781"</f>
        <v>6902225781</v>
      </c>
      <c r="B9103" t="str">
        <f t="shared" si="404"/>
        <v>89301000</v>
      </c>
      <c r="C9103" s="1">
        <v>44200</v>
      </c>
      <c r="D9103" s="1">
        <v>44203</v>
      </c>
      <c r="E9103">
        <v>1</v>
      </c>
      <c r="F9103" t="s">
        <v>6362</v>
      </c>
      <c r="G9103" t="str">
        <f>"01-K18-03"</f>
        <v>01-K18-03</v>
      </c>
      <c r="H9103">
        <v>0.76180000000000003</v>
      </c>
      <c r="I9103" t="s">
        <v>6363</v>
      </c>
      <c r="J9103" t="s">
        <v>14</v>
      </c>
      <c r="K9103" t="str">
        <f>"2F9"</f>
        <v>2F9</v>
      </c>
      <c r="L9103" t="s">
        <v>15</v>
      </c>
    </row>
    <row r="9104" spans="1:12" x14ac:dyDescent="0.25">
      <c r="A9104" t="str">
        <f>"6902225781"</f>
        <v>6902225781</v>
      </c>
      <c r="B9104" t="str">
        <f t="shared" si="404"/>
        <v>89301000</v>
      </c>
      <c r="C9104" s="1">
        <v>44253</v>
      </c>
      <c r="D9104" s="1">
        <v>44266</v>
      </c>
      <c r="E9104">
        <v>4</v>
      </c>
      <c r="F9104" t="s">
        <v>109</v>
      </c>
      <c r="G9104" t="str">
        <f>"24-M07-01"</f>
        <v>24-M07-01</v>
      </c>
      <c r="H9104">
        <v>1.7399</v>
      </c>
      <c r="I9104" t="s">
        <v>6364</v>
      </c>
      <c r="J9104" t="s">
        <v>14</v>
      </c>
      <c r="K9104" t="str">
        <f>"2F1"</f>
        <v>2F1</v>
      </c>
      <c r="L9104" t="s">
        <v>15</v>
      </c>
    </row>
    <row r="9105" spans="1:12" x14ac:dyDescent="0.25">
      <c r="A9105" t="str">
        <f>"6902225781"</f>
        <v>6902225781</v>
      </c>
      <c r="B9105" t="str">
        <f t="shared" si="404"/>
        <v>89301000</v>
      </c>
      <c r="C9105" s="1">
        <v>44244</v>
      </c>
      <c r="D9105" s="1">
        <v>44251</v>
      </c>
      <c r="E9105">
        <v>1</v>
      </c>
      <c r="F9105" t="s">
        <v>6365</v>
      </c>
      <c r="G9105" t="str">
        <f>"01-K02-04"</f>
        <v>01-K02-04</v>
      </c>
      <c r="H9105">
        <v>1.1076999999999999</v>
      </c>
      <c r="I9105" t="s">
        <v>489</v>
      </c>
      <c r="J9105" t="s">
        <v>14</v>
      </c>
      <c r="K9105" t="str">
        <f>"2F9"</f>
        <v>2F9</v>
      </c>
      <c r="L9105" t="s">
        <v>15</v>
      </c>
    </row>
    <row r="9106" spans="1:12" x14ac:dyDescent="0.25">
      <c r="A9106" t="str">
        <f>"6902229928"</f>
        <v>6902229928</v>
      </c>
      <c r="B9106" t="str">
        <f t="shared" si="404"/>
        <v>89301000</v>
      </c>
      <c r="C9106" s="1">
        <v>44410</v>
      </c>
      <c r="D9106" s="1">
        <v>44411</v>
      </c>
      <c r="E9106">
        <v>1</v>
      </c>
      <c r="F9106" t="s">
        <v>6366</v>
      </c>
      <c r="G9106" t="str">
        <f>"08-K04-03"</f>
        <v>08-K04-03</v>
      </c>
      <c r="H9106">
        <v>0.45050000000000001</v>
      </c>
      <c r="J9106" t="s">
        <v>14</v>
      </c>
      <c r="K9106" t="str">
        <f>"6F6"</f>
        <v>6F6</v>
      </c>
      <c r="L9106" t="s">
        <v>15</v>
      </c>
    </row>
    <row r="9107" spans="1:12" x14ac:dyDescent="0.25">
      <c r="A9107" t="str">
        <f>"6902251576"</f>
        <v>6902251576</v>
      </c>
      <c r="B9107" t="str">
        <f t="shared" si="404"/>
        <v>89301000</v>
      </c>
      <c r="C9107" s="1">
        <v>44217</v>
      </c>
      <c r="D9107" s="1">
        <v>44218</v>
      </c>
      <c r="E9107">
        <v>1</v>
      </c>
      <c r="F9107" t="s">
        <v>208</v>
      </c>
      <c r="G9107" t="str">
        <f>"08-K11-02"</f>
        <v>08-K11-02</v>
      </c>
      <c r="H9107">
        <v>0.62390000000000001</v>
      </c>
      <c r="I9107" t="s">
        <v>6367</v>
      </c>
      <c r="J9107" t="s">
        <v>14</v>
      </c>
      <c r="K9107" t="str">
        <f>"5F6"</f>
        <v>5F6</v>
      </c>
      <c r="L9107" t="s">
        <v>15</v>
      </c>
    </row>
    <row r="9108" spans="1:12" x14ac:dyDescent="0.25">
      <c r="A9108" t="str">
        <f>"6903025789"</f>
        <v>6903025789</v>
      </c>
      <c r="B9108" t="str">
        <f t="shared" si="404"/>
        <v>89301000</v>
      </c>
      <c r="C9108" s="1">
        <v>44306</v>
      </c>
      <c r="D9108" s="1">
        <v>44307</v>
      </c>
      <c r="E9108">
        <v>5</v>
      </c>
      <c r="F9108" t="s">
        <v>1911</v>
      </c>
      <c r="G9108" t="str">
        <f>"05-K10-00"</f>
        <v>05-K10-00</v>
      </c>
      <c r="H9108">
        <v>0.52810000000000001</v>
      </c>
      <c r="I9108" t="s">
        <v>6368</v>
      </c>
      <c r="J9108" t="s">
        <v>14</v>
      </c>
      <c r="K9108" t="str">
        <f>"5T5"</f>
        <v>5T5</v>
      </c>
      <c r="L9108" t="s">
        <v>15</v>
      </c>
    </row>
    <row r="9109" spans="1:12" x14ac:dyDescent="0.25">
      <c r="A9109" t="str">
        <f>"6903054972"</f>
        <v>6903054972</v>
      </c>
      <c r="B9109" t="str">
        <f t="shared" si="404"/>
        <v>89301000</v>
      </c>
      <c r="C9109" s="1">
        <v>44428</v>
      </c>
      <c r="D9109" s="1">
        <v>44431</v>
      </c>
      <c r="E9109">
        <v>5</v>
      </c>
      <c r="F9109" t="s">
        <v>23</v>
      </c>
      <c r="G9109" t="str">
        <f>"06-I18-05"</f>
        <v>06-I18-05</v>
      </c>
      <c r="H9109">
        <v>0.85550000000000004</v>
      </c>
      <c r="J9109" t="s">
        <v>24</v>
      </c>
      <c r="K9109" t="str">
        <f>"5F1"</f>
        <v>5F1</v>
      </c>
      <c r="L9109" t="s">
        <v>15</v>
      </c>
    </row>
    <row r="9110" spans="1:12" x14ac:dyDescent="0.25">
      <c r="A9110" t="str">
        <f>"6903125339"</f>
        <v>6903125339</v>
      </c>
      <c r="B9110" t="str">
        <f t="shared" si="404"/>
        <v>89301000</v>
      </c>
      <c r="C9110" s="1">
        <v>44527</v>
      </c>
      <c r="D9110" s="1">
        <v>44533</v>
      </c>
      <c r="E9110">
        <v>1</v>
      </c>
      <c r="F9110" t="s">
        <v>2987</v>
      </c>
      <c r="G9110" t="str">
        <f>"19-K03-03"</f>
        <v>19-K03-03</v>
      </c>
      <c r="H9110">
        <v>0.93169999999999997</v>
      </c>
      <c r="I9110" t="s">
        <v>6369</v>
      </c>
      <c r="J9110" t="s">
        <v>27</v>
      </c>
      <c r="K9110" t="str">
        <f>"3F5"</f>
        <v>3F5</v>
      </c>
      <c r="L9110" t="s">
        <v>15</v>
      </c>
    </row>
    <row r="9111" spans="1:12" x14ac:dyDescent="0.25">
      <c r="A9111" t="str">
        <f>"6903315353"</f>
        <v>6903315353</v>
      </c>
      <c r="B9111" t="str">
        <f t="shared" si="404"/>
        <v>89301000</v>
      </c>
      <c r="C9111" s="1">
        <v>44406</v>
      </c>
      <c r="D9111" s="1">
        <v>44409</v>
      </c>
      <c r="E9111">
        <v>1</v>
      </c>
      <c r="F9111" t="s">
        <v>1619</v>
      </c>
      <c r="G9111" t="str">
        <f>"05-M06-06"</f>
        <v>05-M06-06</v>
      </c>
      <c r="H9111">
        <v>1.7652000000000001</v>
      </c>
      <c r="I9111" t="s">
        <v>1892</v>
      </c>
      <c r="J9111" t="s">
        <v>17</v>
      </c>
      <c r="K9111" t="str">
        <f>"1F7"</f>
        <v>1F7</v>
      </c>
      <c r="L9111" t="s">
        <v>15</v>
      </c>
    </row>
    <row r="9112" spans="1:12" x14ac:dyDescent="0.25">
      <c r="A9112" t="str">
        <f>"6903315353"</f>
        <v>6903315353</v>
      </c>
      <c r="B9112" t="str">
        <f t="shared" si="404"/>
        <v>89301000</v>
      </c>
      <c r="C9112" s="1">
        <v>44465</v>
      </c>
      <c r="D9112" s="1">
        <v>44466</v>
      </c>
      <c r="E9112">
        <v>1</v>
      </c>
      <c r="F9112" t="s">
        <v>1842</v>
      </c>
      <c r="G9112" t="str">
        <f>"05-I14-04"</f>
        <v>05-I14-04</v>
      </c>
      <c r="H9112">
        <v>5.4002999999999997</v>
      </c>
      <c r="J9112" t="s">
        <v>14</v>
      </c>
      <c r="K9112" t="str">
        <f>"1F1"</f>
        <v>1F1</v>
      </c>
      <c r="L9112" t="s">
        <v>15</v>
      </c>
    </row>
    <row r="9113" spans="1:12" x14ac:dyDescent="0.25">
      <c r="A9113" t="str">
        <f>"6904055851"</f>
        <v>6904055851</v>
      </c>
      <c r="B9113" t="str">
        <f t="shared" si="404"/>
        <v>89301000</v>
      </c>
      <c r="C9113" s="1">
        <v>44215</v>
      </c>
      <c r="D9113" s="1">
        <v>44216</v>
      </c>
      <c r="E9113">
        <v>1</v>
      </c>
      <c r="F9113" t="s">
        <v>41</v>
      </c>
      <c r="G9113" t="str">
        <f>"01-D01-03"</f>
        <v>01-D01-03</v>
      </c>
      <c r="H9113">
        <v>0.158</v>
      </c>
      <c r="I9113" t="s">
        <v>489</v>
      </c>
      <c r="J9113" t="s">
        <v>14</v>
      </c>
      <c r="K9113" t="str">
        <f>"2F5"</f>
        <v>2F5</v>
      </c>
      <c r="L9113" t="s">
        <v>15</v>
      </c>
    </row>
    <row r="9114" spans="1:12" x14ac:dyDescent="0.25">
      <c r="A9114" t="str">
        <f>"6904065311"</f>
        <v>6904065311</v>
      </c>
      <c r="B9114" t="str">
        <f t="shared" si="404"/>
        <v>89301000</v>
      </c>
      <c r="C9114" s="1">
        <v>44257</v>
      </c>
      <c r="D9114" s="1">
        <v>44260</v>
      </c>
      <c r="E9114">
        <v>1</v>
      </c>
      <c r="F9114" t="s">
        <v>320</v>
      </c>
      <c r="G9114" t="str">
        <f>"03-I23-00"</f>
        <v>03-I23-00</v>
      </c>
      <c r="H9114">
        <v>0.47639999999999999</v>
      </c>
      <c r="I9114" t="s">
        <v>489</v>
      </c>
      <c r="J9114" t="s">
        <v>14</v>
      </c>
      <c r="K9114" t="str">
        <f>"6F5"</f>
        <v>6F5</v>
      </c>
      <c r="L9114" t="s">
        <v>15</v>
      </c>
    </row>
    <row r="9115" spans="1:12" x14ac:dyDescent="0.25">
      <c r="A9115" t="str">
        <f>"6904074485"</f>
        <v>6904074485</v>
      </c>
      <c r="B9115" t="str">
        <f t="shared" si="404"/>
        <v>89301000</v>
      </c>
      <c r="C9115" s="1">
        <v>44398</v>
      </c>
      <c r="D9115" s="1">
        <v>44399</v>
      </c>
      <c r="E9115">
        <v>1</v>
      </c>
      <c r="F9115" t="s">
        <v>41</v>
      </c>
      <c r="G9115" t="str">
        <f>"01-D01-03"</f>
        <v>01-D01-03</v>
      </c>
      <c r="H9115">
        <v>0.158</v>
      </c>
      <c r="I9115" t="s">
        <v>489</v>
      </c>
      <c r="J9115" t="s">
        <v>14</v>
      </c>
      <c r="K9115" t="str">
        <f>"2F5"</f>
        <v>2F5</v>
      </c>
      <c r="L9115" t="s">
        <v>15</v>
      </c>
    </row>
    <row r="9116" spans="1:12" x14ac:dyDescent="0.25">
      <c r="A9116" t="str">
        <f>"6904074485"</f>
        <v>6904074485</v>
      </c>
      <c r="B9116" t="str">
        <f t="shared" si="404"/>
        <v>89301000</v>
      </c>
      <c r="C9116" s="1">
        <v>44484</v>
      </c>
      <c r="D9116" s="1">
        <v>44485</v>
      </c>
      <c r="E9116">
        <v>1</v>
      </c>
      <c r="F9116" t="s">
        <v>41</v>
      </c>
      <c r="G9116" t="str">
        <f>"01-K06-00"</f>
        <v>01-K06-00</v>
      </c>
      <c r="H9116">
        <v>0.1391</v>
      </c>
      <c r="I9116" t="s">
        <v>6370</v>
      </c>
      <c r="J9116" t="s">
        <v>14</v>
      </c>
      <c r="K9116" t="str">
        <f>"7F1"</f>
        <v>7F1</v>
      </c>
      <c r="L9116" t="s">
        <v>15</v>
      </c>
    </row>
    <row r="9117" spans="1:12" x14ac:dyDescent="0.25">
      <c r="A9117" t="str">
        <f>"6904094857"</f>
        <v>6904094857</v>
      </c>
      <c r="B9117" t="str">
        <f t="shared" si="404"/>
        <v>89301000</v>
      </c>
      <c r="C9117" s="1">
        <v>44293</v>
      </c>
      <c r="D9117" s="1">
        <v>44298</v>
      </c>
      <c r="E9117">
        <v>1</v>
      </c>
      <c r="F9117" t="s">
        <v>6371</v>
      </c>
      <c r="G9117" t="str">
        <f>"88-I08-00"</f>
        <v>88-I08-00</v>
      </c>
      <c r="H9117">
        <v>0.11459999999999999</v>
      </c>
      <c r="I9117" t="s">
        <v>5774</v>
      </c>
      <c r="J9117" t="s">
        <v>14</v>
      </c>
      <c r="K9117" t="str">
        <f>"5F3"</f>
        <v>5F3</v>
      </c>
      <c r="L9117" t="s">
        <v>15</v>
      </c>
    </row>
    <row r="9118" spans="1:12" x14ac:dyDescent="0.25">
      <c r="A9118" t="str">
        <f>"6904094857"</f>
        <v>6904094857</v>
      </c>
      <c r="B9118" t="str">
        <f t="shared" si="404"/>
        <v>89301000</v>
      </c>
      <c r="C9118" s="1">
        <v>44330</v>
      </c>
      <c r="D9118" s="1">
        <v>44347</v>
      </c>
      <c r="E9118">
        <v>1</v>
      </c>
      <c r="F9118" t="s">
        <v>575</v>
      </c>
      <c r="G9118" t="str">
        <f>"18-K02-03"</f>
        <v>18-K02-03</v>
      </c>
      <c r="H9118">
        <v>1.0354000000000001</v>
      </c>
      <c r="I9118" t="s">
        <v>6372</v>
      </c>
      <c r="J9118" t="s">
        <v>14</v>
      </c>
      <c r="K9118" t="str">
        <f>"5F3"</f>
        <v>5F3</v>
      </c>
      <c r="L9118" t="s">
        <v>15</v>
      </c>
    </row>
    <row r="9119" spans="1:12" x14ac:dyDescent="0.25">
      <c r="A9119" t="str">
        <f>"6904094857"</f>
        <v>6904094857</v>
      </c>
      <c r="B9119" t="str">
        <f t="shared" si="404"/>
        <v>89301000</v>
      </c>
      <c r="C9119" s="1">
        <v>44392</v>
      </c>
      <c r="D9119" s="1">
        <v>44396</v>
      </c>
      <c r="E9119">
        <v>1</v>
      </c>
      <c r="F9119" t="s">
        <v>6373</v>
      </c>
      <c r="G9119" t="str">
        <f>"08-I32-02"</f>
        <v>08-I32-02</v>
      </c>
      <c r="H9119">
        <v>0.4143</v>
      </c>
      <c r="J9119" t="s">
        <v>14</v>
      </c>
      <c r="K9119" t="str">
        <f>"5F3"</f>
        <v>5F3</v>
      </c>
      <c r="L9119" t="s">
        <v>15</v>
      </c>
    </row>
    <row r="9120" spans="1:12" x14ac:dyDescent="0.25">
      <c r="A9120" t="str">
        <f>"6904094857"</f>
        <v>6904094857</v>
      </c>
      <c r="B9120" t="str">
        <f t="shared" si="404"/>
        <v>89301000</v>
      </c>
      <c r="C9120" s="1">
        <v>44441</v>
      </c>
      <c r="D9120" s="1">
        <v>44445</v>
      </c>
      <c r="E9120">
        <v>1</v>
      </c>
      <c r="F9120" t="s">
        <v>366</v>
      </c>
      <c r="G9120" t="str">
        <f>"08-I23-01"</f>
        <v>08-I23-01</v>
      </c>
      <c r="H9120">
        <v>1.7242999999999999</v>
      </c>
      <c r="I9120" t="s">
        <v>6374</v>
      </c>
      <c r="J9120" t="s">
        <v>17</v>
      </c>
      <c r="K9120" t="str">
        <f>"5F3"</f>
        <v>5F3</v>
      </c>
      <c r="L9120" t="s">
        <v>15</v>
      </c>
    </row>
    <row r="9121" spans="1:12" x14ac:dyDescent="0.25">
      <c r="A9121" t="str">
        <f>"6904284684"</f>
        <v>6904284684</v>
      </c>
      <c r="B9121" t="str">
        <f t="shared" si="404"/>
        <v>89301000</v>
      </c>
      <c r="C9121" s="1">
        <v>44523</v>
      </c>
      <c r="D9121" s="1">
        <v>44524</v>
      </c>
      <c r="E9121">
        <v>1</v>
      </c>
      <c r="F9121" t="s">
        <v>1602</v>
      </c>
      <c r="G9121" t="str">
        <f>"05-D01-06"</f>
        <v>05-D01-06</v>
      </c>
      <c r="H9121">
        <v>0.7611</v>
      </c>
      <c r="I9121" t="s">
        <v>2428</v>
      </c>
      <c r="J9121" t="s">
        <v>14</v>
      </c>
      <c r="K9121" t="str">
        <f>"1F7"</f>
        <v>1F7</v>
      </c>
      <c r="L9121" t="s">
        <v>15</v>
      </c>
    </row>
    <row r="9122" spans="1:12" x14ac:dyDescent="0.25">
      <c r="A9122" t="str">
        <f>"6904284684"</f>
        <v>6904284684</v>
      </c>
      <c r="B9122" t="str">
        <f t="shared" si="404"/>
        <v>89301000</v>
      </c>
      <c r="C9122" s="1">
        <v>44228</v>
      </c>
      <c r="D9122" s="1">
        <v>44237</v>
      </c>
      <c r="E9122">
        <v>1</v>
      </c>
      <c r="F9122" t="s">
        <v>79</v>
      </c>
      <c r="G9122" t="str">
        <f>"10-R02-01"</f>
        <v>10-R02-01</v>
      </c>
      <c r="H9122">
        <v>0.9698</v>
      </c>
      <c r="I9122" t="s">
        <v>80</v>
      </c>
      <c r="J9122" t="s">
        <v>24</v>
      </c>
      <c r="K9122" t="str">
        <f>"4F7"</f>
        <v>4F7</v>
      </c>
      <c r="L9122" t="s">
        <v>15</v>
      </c>
    </row>
    <row r="9123" spans="1:12" x14ac:dyDescent="0.25">
      <c r="A9123" t="str">
        <f>"6904284684"</f>
        <v>6904284684</v>
      </c>
      <c r="B9123" t="str">
        <f t="shared" si="404"/>
        <v>89301000</v>
      </c>
      <c r="C9123" s="1">
        <v>44489</v>
      </c>
      <c r="D9123" s="1">
        <v>44494</v>
      </c>
      <c r="E9123">
        <v>1</v>
      </c>
      <c r="F9123" t="s">
        <v>2637</v>
      </c>
      <c r="G9123" t="str">
        <f>"23-K05-01"</f>
        <v>23-K05-01</v>
      </c>
      <c r="H9123">
        <v>0.57099999999999995</v>
      </c>
      <c r="I9123" t="s">
        <v>2638</v>
      </c>
      <c r="J9123" t="s">
        <v>14</v>
      </c>
      <c r="K9123" t="str">
        <f>"4F7"</f>
        <v>4F7</v>
      </c>
      <c r="L9123" t="s">
        <v>15</v>
      </c>
    </row>
    <row r="9124" spans="1:12" x14ac:dyDescent="0.25">
      <c r="A9124" t="str">
        <f>"6904285366"</f>
        <v>6904285366</v>
      </c>
      <c r="B9124" t="str">
        <f t="shared" si="404"/>
        <v>89301000</v>
      </c>
      <c r="C9124" s="1">
        <v>44452</v>
      </c>
      <c r="D9124" s="1">
        <v>44460</v>
      </c>
      <c r="E9124">
        <v>1</v>
      </c>
      <c r="F9124" t="s">
        <v>96</v>
      </c>
      <c r="G9124" t="str">
        <f>"11-K01-03"</f>
        <v>11-K01-03</v>
      </c>
      <c r="H9124">
        <v>0.59489999999999998</v>
      </c>
      <c r="I9124" t="s">
        <v>669</v>
      </c>
      <c r="J9124" t="s">
        <v>14</v>
      </c>
      <c r="K9124" t="str">
        <f>"7F6"</f>
        <v>7F6</v>
      </c>
      <c r="L9124" t="s">
        <v>15</v>
      </c>
    </row>
    <row r="9125" spans="1:12" x14ac:dyDescent="0.25">
      <c r="A9125" t="str">
        <f>"6904285366"</f>
        <v>6904285366</v>
      </c>
      <c r="B9125" t="str">
        <f t="shared" si="404"/>
        <v>89301000</v>
      </c>
      <c r="C9125" s="1">
        <v>44477</v>
      </c>
      <c r="D9125" s="1">
        <v>44482</v>
      </c>
      <c r="E9125">
        <v>1</v>
      </c>
      <c r="F9125" t="s">
        <v>96</v>
      </c>
      <c r="G9125" t="str">
        <f>"11-K01-03"</f>
        <v>11-K01-03</v>
      </c>
      <c r="H9125">
        <v>0.59489999999999998</v>
      </c>
      <c r="J9125" t="s">
        <v>14</v>
      </c>
      <c r="K9125" t="str">
        <f>"7F6"</f>
        <v>7F6</v>
      </c>
      <c r="L9125" t="s">
        <v>15</v>
      </c>
    </row>
    <row r="9126" spans="1:12" x14ac:dyDescent="0.25">
      <c r="A9126" t="str">
        <f>"6905015315"</f>
        <v>6905015315</v>
      </c>
      <c r="B9126" t="str">
        <f t="shared" si="404"/>
        <v>89301000</v>
      </c>
      <c r="C9126" s="1">
        <v>44268</v>
      </c>
      <c r="D9126" s="1">
        <v>44280</v>
      </c>
      <c r="E9126">
        <v>1</v>
      </c>
      <c r="F9126" t="s">
        <v>1557</v>
      </c>
      <c r="G9126" t="str">
        <f>"05-I16-04"</f>
        <v>05-I16-04</v>
      </c>
      <c r="H9126">
        <v>6.1497999999999999</v>
      </c>
      <c r="J9126" t="s">
        <v>17</v>
      </c>
      <c r="K9126" t="str">
        <f>"5F5"</f>
        <v>5F5</v>
      </c>
      <c r="L9126" t="s">
        <v>15</v>
      </c>
    </row>
    <row r="9127" spans="1:12" x14ac:dyDescent="0.25">
      <c r="A9127" t="str">
        <f>"6905084956"</f>
        <v>6905084956</v>
      </c>
      <c r="B9127" t="str">
        <f t="shared" si="404"/>
        <v>89301000</v>
      </c>
      <c r="C9127" s="1">
        <v>44312</v>
      </c>
      <c r="D9127" s="1">
        <v>44319</v>
      </c>
      <c r="E9127">
        <v>1</v>
      </c>
      <c r="F9127" t="s">
        <v>3200</v>
      </c>
      <c r="G9127" t="str">
        <f>"08-K01-03"</f>
        <v>08-K01-03</v>
      </c>
      <c r="H9127">
        <v>0.66249999999999998</v>
      </c>
      <c r="I9127" t="s">
        <v>6375</v>
      </c>
      <c r="J9127" t="s">
        <v>14</v>
      </c>
      <c r="K9127" t="str">
        <f>"1F9"</f>
        <v>1F9</v>
      </c>
      <c r="L9127" t="s">
        <v>15</v>
      </c>
    </row>
    <row r="9128" spans="1:12" x14ac:dyDescent="0.25">
      <c r="A9128" t="str">
        <f>"6905175321"</f>
        <v>6905175321</v>
      </c>
      <c r="B9128" t="str">
        <f t="shared" si="404"/>
        <v>89301000</v>
      </c>
      <c r="C9128" s="1">
        <v>44222</v>
      </c>
      <c r="D9128" s="1">
        <v>44228</v>
      </c>
      <c r="E9128">
        <v>1</v>
      </c>
      <c r="F9128" t="s">
        <v>2232</v>
      </c>
      <c r="G9128" t="str">
        <f>"11-I07-01"</f>
        <v>11-I07-01</v>
      </c>
      <c r="H9128">
        <v>2.5975999999999999</v>
      </c>
      <c r="I9128" t="s">
        <v>2288</v>
      </c>
      <c r="J9128" t="s">
        <v>14</v>
      </c>
      <c r="K9128" t="str">
        <f>"7F6"</f>
        <v>7F6</v>
      </c>
      <c r="L9128" t="s">
        <v>15</v>
      </c>
    </row>
    <row r="9129" spans="1:12" x14ac:dyDescent="0.25">
      <c r="A9129" t="str">
        <f>"6905254972"</f>
        <v>6905254972</v>
      </c>
      <c r="B9129" t="str">
        <f t="shared" si="404"/>
        <v>89301000</v>
      </c>
      <c r="C9129" s="1">
        <v>44201</v>
      </c>
      <c r="D9129" s="1">
        <v>44210</v>
      </c>
      <c r="E9129">
        <v>7</v>
      </c>
      <c r="F9129" t="s">
        <v>962</v>
      </c>
      <c r="G9129" t="str">
        <f>"04-M01-05"</f>
        <v>04-M01-05</v>
      </c>
      <c r="H9129">
        <v>6.2100999999999997</v>
      </c>
      <c r="I9129" t="s">
        <v>6376</v>
      </c>
      <c r="J9129" t="s">
        <v>14</v>
      </c>
      <c r="K9129" t="str">
        <f>"5T1"</f>
        <v>5T1</v>
      </c>
      <c r="L9129" t="s">
        <v>15</v>
      </c>
    </row>
    <row r="9130" spans="1:12" x14ac:dyDescent="0.25">
      <c r="A9130" t="str">
        <f>"6906025324"</f>
        <v>6906025324</v>
      </c>
      <c r="B9130" t="str">
        <f t="shared" si="404"/>
        <v>89301000</v>
      </c>
      <c r="C9130" s="1">
        <v>44552</v>
      </c>
      <c r="D9130" s="1">
        <v>44553</v>
      </c>
      <c r="E9130">
        <v>1</v>
      </c>
      <c r="F9130" t="s">
        <v>41</v>
      </c>
      <c r="G9130" t="str">
        <f>"01-D01-03"</f>
        <v>01-D01-03</v>
      </c>
      <c r="H9130">
        <v>0.158</v>
      </c>
      <c r="I9130" t="s">
        <v>6377</v>
      </c>
      <c r="J9130" t="s">
        <v>14</v>
      </c>
      <c r="K9130" t="str">
        <f>"2F5"</f>
        <v>2F5</v>
      </c>
      <c r="L9130" t="s">
        <v>15</v>
      </c>
    </row>
    <row r="9131" spans="1:12" x14ac:dyDescent="0.25">
      <c r="A9131" t="str">
        <f>"6906105349"</f>
        <v>6906105349</v>
      </c>
      <c r="B9131" t="str">
        <f t="shared" si="404"/>
        <v>89301000</v>
      </c>
      <c r="C9131" s="1">
        <v>44228</v>
      </c>
      <c r="D9131" s="1">
        <v>44231</v>
      </c>
      <c r="E9131">
        <v>1</v>
      </c>
      <c r="F9131" t="s">
        <v>496</v>
      </c>
      <c r="G9131" t="str">
        <f>"08-M03-05"</f>
        <v>08-M03-05</v>
      </c>
      <c r="H9131">
        <v>0.51759999999999995</v>
      </c>
      <c r="I9131" t="s">
        <v>2407</v>
      </c>
      <c r="J9131" t="s">
        <v>14</v>
      </c>
      <c r="K9131" t="str">
        <f>"6F6"</f>
        <v>6F6</v>
      </c>
      <c r="L9131" t="s">
        <v>15</v>
      </c>
    </row>
    <row r="9132" spans="1:12" x14ac:dyDescent="0.25">
      <c r="A9132" t="str">
        <f>"6906224292"</f>
        <v>6906224292</v>
      </c>
      <c r="B9132" t="str">
        <f t="shared" si="404"/>
        <v>89301000</v>
      </c>
      <c r="C9132" s="1">
        <v>44472</v>
      </c>
      <c r="D9132" s="1">
        <v>44478</v>
      </c>
      <c r="E9132">
        <v>1</v>
      </c>
      <c r="F9132" t="s">
        <v>2585</v>
      </c>
      <c r="G9132" t="str">
        <f>"12-I02-01"</f>
        <v>12-I02-01</v>
      </c>
      <c r="H9132">
        <v>3.1240999999999999</v>
      </c>
      <c r="I9132" t="s">
        <v>1959</v>
      </c>
      <c r="J9132" t="s">
        <v>14</v>
      </c>
      <c r="K9132" t="str">
        <f>"7F6"</f>
        <v>7F6</v>
      </c>
      <c r="L9132" t="s">
        <v>15</v>
      </c>
    </row>
    <row r="9133" spans="1:12" x14ac:dyDescent="0.25">
      <c r="A9133" t="str">
        <f>"6906224886"</f>
        <v>6906224886</v>
      </c>
      <c r="B9133" t="str">
        <f t="shared" ref="B9133:B9196" si="405">"89301000"</f>
        <v>89301000</v>
      </c>
      <c r="C9133" s="1">
        <v>44529</v>
      </c>
      <c r="D9133" s="1">
        <v>44530</v>
      </c>
      <c r="E9133">
        <v>1</v>
      </c>
      <c r="F9133" t="s">
        <v>215</v>
      </c>
      <c r="G9133" t="str">
        <f>"08-I15-03"</f>
        <v>08-I15-03</v>
      </c>
      <c r="H9133">
        <v>1.1838</v>
      </c>
      <c r="I9133" t="s">
        <v>640</v>
      </c>
      <c r="J9133" t="s">
        <v>17</v>
      </c>
      <c r="K9133" t="str">
        <f>"5F3"</f>
        <v>5F3</v>
      </c>
      <c r="L9133" t="s">
        <v>15</v>
      </c>
    </row>
    <row r="9134" spans="1:12" x14ac:dyDescent="0.25">
      <c r="A9134" t="str">
        <f>"6906254784"</f>
        <v>6906254784</v>
      </c>
      <c r="B9134" t="str">
        <f t="shared" si="405"/>
        <v>89301000</v>
      </c>
      <c r="C9134" s="1">
        <v>44522</v>
      </c>
      <c r="D9134" s="1">
        <v>44524</v>
      </c>
      <c r="E9134">
        <v>1</v>
      </c>
      <c r="F9134" t="s">
        <v>2026</v>
      </c>
      <c r="G9134" t="str">
        <f>"08-K08-00"</f>
        <v>08-K08-00</v>
      </c>
      <c r="H9134">
        <v>0.51670000000000005</v>
      </c>
      <c r="J9134" t="s">
        <v>14</v>
      </c>
      <c r="K9134" t="str">
        <f>"2F9"</f>
        <v>2F9</v>
      </c>
      <c r="L9134" t="s">
        <v>15</v>
      </c>
    </row>
    <row r="9135" spans="1:12" x14ac:dyDescent="0.25">
      <c r="A9135" t="str">
        <f>"6906255763"</f>
        <v>6906255763</v>
      </c>
      <c r="B9135" t="str">
        <f t="shared" si="405"/>
        <v>89301000</v>
      </c>
      <c r="C9135" s="1">
        <v>44262</v>
      </c>
      <c r="D9135" s="1">
        <v>44265</v>
      </c>
      <c r="E9135">
        <v>1</v>
      </c>
      <c r="F9135" t="s">
        <v>2004</v>
      </c>
      <c r="G9135" t="str">
        <f>"05-M06-06"</f>
        <v>05-M06-06</v>
      </c>
      <c r="H9135">
        <v>1.7652000000000001</v>
      </c>
      <c r="I9135" t="s">
        <v>1959</v>
      </c>
      <c r="J9135" t="s">
        <v>17</v>
      </c>
      <c r="K9135" t="str">
        <f>"1F1"</f>
        <v>1F1</v>
      </c>
      <c r="L9135" t="s">
        <v>15</v>
      </c>
    </row>
    <row r="9136" spans="1:12" x14ac:dyDescent="0.25">
      <c r="A9136" t="str">
        <f>"6907025037"</f>
        <v>6907025037</v>
      </c>
      <c r="B9136" t="str">
        <f t="shared" si="405"/>
        <v>89301000</v>
      </c>
      <c r="C9136" s="1">
        <v>44284</v>
      </c>
      <c r="D9136" s="1">
        <v>44299</v>
      </c>
      <c r="E9136">
        <v>1</v>
      </c>
      <c r="F9136" t="s">
        <v>2910</v>
      </c>
      <c r="G9136" t="str">
        <f>"06-I05-04"</f>
        <v>06-I05-04</v>
      </c>
      <c r="H9136">
        <v>3.3546</v>
      </c>
      <c r="I9136" t="s">
        <v>3475</v>
      </c>
      <c r="J9136" t="s">
        <v>17</v>
      </c>
      <c r="K9136" t="str">
        <f>"5F1"</f>
        <v>5F1</v>
      </c>
      <c r="L9136" t="s">
        <v>15</v>
      </c>
    </row>
    <row r="9137" spans="1:12" x14ac:dyDescent="0.25">
      <c r="A9137" t="str">
        <f>"6907065363"</f>
        <v>6907065363</v>
      </c>
      <c r="B9137" t="str">
        <f t="shared" si="405"/>
        <v>89301000</v>
      </c>
      <c r="C9137" s="1">
        <v>44454</v>
      </c>
      <c r="D9137" s="1">
        <v>44458</v>
      </c>
      <c r="E9137">
        <v>1</v>
      </c>
      <c r="F9137" t="s">
        <v>1561</v>
      </c>
      <c r="G9137" t="str">
        <f>"07-M02-01"</f>
        <v>07-M02-01</v>
      </c>
      <c r="H9137">
        <v>2.5634999999999999</v>
      </c>
      <c r="I9137" t="s">
        <v>6378</v>
      </c>
      <c r="J9137" t="s">
        <v>17</v>
      </c>
      <c r="K9137" t="str">
        <f>"1F5"</f>
        <v>1F5</v>
      </c>
      <c r="L9137" t="s">
        <v>15</v>
      </c>
    </row>
    <row r="9138" spans="1:12" x14ac:dyDescent="0.25">
      <c r="A9138" t="str">
        <f>"6907065363"</f>
        <v>6907065363</v>
      </c>
      <c r="B9138" t="str">
        <f t="shared" si="405"/>
        <v>89301000</v>
      </c>
      <c r="C9138" s="1">
        <v>44533</v>
      </c>
      <c r="D9138" s="1">
        <v>44538</v>
      </c>
      <c r="E9138">
        <v>1</v>
      </c>
      <c r="F9138" t="s">
        <v>6379</v>
      </c>
      <c r="G9138" t="str">
        <f>"07-K03-02"</f>
        <v>07-K03-02</v>
      </c>
      <c r="H9138">
        <v>0.53059999999999996</v>
      </c>
      <c r="I9138" t="s">
        <v>6380</v>
      </c>
      <c r="J9138" t="s">
        <v>14</v>
      </c>
      <c r="K9138" t="str">
        <f>"1F5"</f>
        <v>1F5</v>
      </c>
      <c r="L9138" t="s">
        <v>15</v>
      </c>
    </row>
    <row r="9139" spans="1:12" x14ac:dyDescent="0.25">
      <c r="A9139" t="str">
        <f>"6907065363"</f>
        <v>6907065363</v>
      </c>
      <c r="B9139" t="str">
        <f t="shared" si="405"/>
        <v>89301000</v>
      </c>
      <c r="C9139" s="1">
        <v>44405</v>
      </c>
      <c r="D9139" s="1">
        <v>44414</v>
      </c>
      <c r="E9139">
        <v>1</v>
      </c>
      <c r="F9139" t="s">
        <v>699</v>
      </c>
      <c r="G9139" t="str">
        <f>"16-K02-02"</f>
        <v>16-K02-02</v>
      </c>
      <c r="H9139">
        <v>0.77459999999999996</v>
      </c>
      <c r="I9139" t="s">
        <v>6381</v>
      </c>
      <c r="J9139" t="s">
        <v>14</v>
      </c>
      <c r="K9139" t="str">
        <f>"1F1"</f>
        <v>1F1</v>
      </c>
      <c r="L9139" t="s">
        <v>15</v>
      </c>
    </row>
    <row r="9140" spans="1:12" x14ac:dyDescent="0.25">
      <c r="A9140" t="str">
        <f>"6907065363"</f>
        <v>6907065363</v>
      </c>
      <c r="B9140" t="str">
        <f t="shared" si="405"/>
        <v>89301000</v>
      </c>
      <c r="C9140" s="1">
        <v>44273</v>
      </c>
      <c r="D9140" s="1">
        <v>44277</v>
      </c>
      <c r="E9140">
        <v>1</v>
      </c>
      <c r="F9140" t="s">
        <v>6379</v>
      </c>
      <c r="G9140" t="str">
        <f>"07-M02-04"</f>
        <v>07-M02-04</v>
      </c>
      <c r="H9140">
        <v>0.92069999999999996</v>
      </c>
      <c r="I9140" t="s">
        <v>6382</v>
      </c>
      <c r="J9140" t="s">
        <v>17</v>
      </c>
      <c r="K9140" t="str">
        <f>"1F5"</f>
        <v>1F5</v>
      </c>
      <c r="L9140" t="s">
        <v>15</v>
      </c>
    </row>
    <row r="9141" spans="1:12" x14ac:dyDescent="0.25">
      <c r="A9141" t="str">
        <f>"6907123135"</f>
        <v>6907123135</v>
      </c>
      <c r="B9141" t="str">
        <f t="shared" si="405"/>
        <v>89301000</v>
      </c>
      <c r="C9141" s="1">
        <v>44312</v>
      </c>
      <c r="D9141" s="1">
        <v>44316</v>
      </c>
      <c r="E9141">
        <v>1</v>
      </c>
      <c r="F9141" t="s">
        <v>2693</v>
      </c>
      <c r="G9141" t="str">
        <f>"04-K09-02"</f>
        <v>04-K09-02</v>
      </c>
      <c r="H9141">
        <v>1.2861</v>
      </c>
      <c r="I9141" t="s">
        <v>6383</v>
      </c>
      <c r="J9141" t="s">
        <v>14</v>
      </c>
      <c r="K9141" t="str">
        <f>"1F5"</f>
        <v>1F5</v>
      </c>
      <c r="L9141" t="s">
        <v>15</v>
      </c>
    </row>
    <row r="9142" spans="1:12" x14ac:dyDescent="0.25">
      <c r="A9142" t="str">
        <f>"6907123135"</f>
        <v>6907123135</v>
      </c>
      <c r="B9142" t="str">
        <f t="shared" si="405"/>
        <v>89301000</v>
      </c>
      <c r="C9142" s="1">
        <v>44278</v>
      </c>
      <c r="D9142" s="1">
        <v>44279</v>
      </c>
      <c r="E9142">
        <v>1</v>
      </c>
      <c r="F9142" t="s">
        <v>874</v>
      </c>
      <c r="G9142" t="str">
        <f>"07-M02-04"</f>
        <v>07-M02-04</v>
      </c>
      <c r="H9142">
        <v>0.73929999999999996</v>
      </c>
      <c r="I9142" t="s">
        <v>6384</v>
      </c>
      <c r="J9142" t="s">
        <v>17</v>
      </c>
      <c r="K9142" t="str">
        <f>"1F5"</f>
        <v>1F5</v>
      </c>
      <c r="L9142" t="s">
        <v>15</v>
      </c>
    </row>
    <row r="9143" spans="1:12" x14ac:dyDescent="0.25">
      <c r="A9143" t="str">
        <f>"6907145333"</f>
        <v>6907145333</v>
      </c>
      <c r="B9143" t="str">
        <f t="shared" si="405"/>
        <v>89301000</v>
      </c>
      <c r="C9143" s="1">
        <v>44494</v>
      </c>
      <c r="D9143" s="1">
        <v>44497</v>
      </c>
      <c r="E9143">
        <v>1</v>
      </c>
      <c r="F9143" t="s">
        <v>283</v>
      </c>
      <c r="G9143" t="str">
        <f>"16-K02-03"</f>
        <v>16-K02-03</v>
      </c>
      <c r="H9143">
        <v>0.5302</v>
      </c>
      <c r="I9143" t="s">
        <v>6385</v>
      </c>
      <c r="J9143" t="s">
        <v>14</v>
      </c>
      <c r="K9143" t="str">
        <f>"1F1"</f>
        <v>1F1</v>
      </c>
      <c r="L9143" t="s">
        <v>15</v>
      </c>
    </row>
    <row r="9144" spans="1:12" x14ac:dyDescent="0.25">
      <c r="A9144" t="str">
        <f>"6907255762"</f>
        <v>6907255762</v>
      </c>
      <c r="B9144" t="str">
        <f t="shared" si="405"/>
        <v>89301000</v>
      </c>
      <c r="C9144" s="1">
        <v>44480</v>
      </c>
      <c r="D9144" s="1">
        <v>44483</v>
      </c>
      <c r="E9144">
        <v>1</v>
      </c>
      <c r="F9144" t="s">
        <v>4382</v>
      </c>
      <c r="G9144" t="str">
        <f>"05-I30-01"</f>
        <v>05-I30-01</v>
      </c>
      <c r="H9144">
        <v>0.64139999999999997</v>
      </c>
      <c r="I9144" t="s">
        <v>6386</v>
      </c>
      <c r="J9144" t="s">
        <v>14</v>
      </c>
      <c r="K9144" t="str">
        <f>"5F1"</f>
        <v>5F1</v>
      </c>
      <c r="L9144" t="s">
        <v>15</v>
      </c>
    </row>
    <row r="9145" spans="1:12" x14ac:dyDescent="0.25">
      <c r="A9145" t="str">
        <f>"6907264870"</f>
        <v>6907264870</v>
      </c>
      <c r="B9145" t="str">
        <f t="shared" si="405"/>
        <v>89301000</v>
      </c>
      <c r="C9145" s="1">
        <v>44301</v>
      </c>
      <c r="D9145" s="1">
        <v>44305</v>
      </c>
      <c r="E9145">
        <v>4</v>
      </c>
      <c r="F9145" t="s">
        <v>2195</v>
      </c>
      <c r="G9145" t="str">
        <f>"08-I04-03"</f>
        <v>08-I04-03</v>
      </c>
      <c r="H9145">
        <v>1.331</v>
      </c>
      <c r="I9145" t="s">
        <v>6387</v>
      </c>
      <c r="J9145" t="s">
        <v>17</v>
      </c>
      <c r="K9145" t="str">
        <f>"5T6"</f>
        <v>5T6</v>
      </c>
      <c r="L9145" t="s">
        <v>15</v>
      </c>
    </row>
    <row r="9146" spans="1:12" x14ac:dyDescent="0.25">
      <c r="A9146" t="str">
        <f>"6907314458"</f>
        <v>6907314458</v>
      </c>
      <c r="B9146" t="str">
        <f t="shared" si="405"/>
        <v>89301000</v>
      </c>
      <c r="C9146" s="1">
        <v>44487</v>
      </c>
      <c r="D9146" s="1">
        <v>44490</v>
      </c>
      <c r="E9146">
        <v>1</v>
      </c>
      <c r="F9146" t="s">
        <v>496</v>
      </c>
      <c r="G9146" t="str">
        <f>"08-M03-05"</f>
        <v>08-M03-05</v>
      </c>
      <c r="H9146">
        <v>0.51759999999999995</v>
      </c>
      <c r="I9146" t="s">
        <v>5577</v>
      </c>
      <c r="J9146" t="s">
        <v>14</v>
      </c>
      <c r="K9146" t="str">
        <f>"6F6"</f>
        <v>6F6</v>
      </c>
      <c r="L9146" t="s">
        <v>15</v>
      </c>
    </row>
    <row r="9147" spans="1:12" x14ac:dyDescent="0.25">
      <c r="A9147" t="str">
        <f>"6908075768"</f>
        <v>6908075768</v>
      </c>
      <c r="B9147" t="str">
        <f t="shared" si="405"/>
        <v>89301000</v>
      </c>
      <c r="C9147" s="1">
        <v>44512</v>
      </c>
      <c r="D9147" s="1">
        <v>44515</v>
      </c>
      <c r="E9147">
        <v>1</v>
      </c>
      <c r="F9147" t="s">
        <v>3568</v>
      </c>
      <c r="G9147" t="str">
        <f>"08-I03-08"</f>
        <v>08-I03-08</v>
      </c>
      <c r="H9147">
        <v>2.0605000000000002</v>
      </c>
      <c r="I9147" t="s">
        <v>6388</v>
      </c>
      <c r="J9147" t="s">
        <v>17</v>
      </c>
      <c r="K9147" t="str">
        <f>"5F6"</f>
        <v>5F6</v>
      </c>
      <c r="L9147" t="s">
        <v>15</v>
      </c>
    </row>
    <row r="9148" spans="1:12" x14ac:dyDescent="0.25">
      <c r="A9148" t="str">
        <f>"6908124509"</f>
        <v>6908124509</v>
      </c>
      <c r="B9148" t="str">
        <f t="shared" si="405"/>
        <v>89301000</v>
      </c>
      <c r="C9148" s="1">
        <v>44218</v>
      </c>
      <c r="D9148" s="1">
        <v>44221</v>
      </c>
      <c r="E9148">
        <v>1</v>
      </c>
      <c r="F9148" t="s">
        <v>1683</v>
      </c>
      <c r="G9148" t="str">
        <f>"05-M06-02"</f>
        <v>05-M06-02</v>
      </c>
      <c r="H9148">
        <v>3.8521999999999998</v>
      </c>
      <c r="I9148" t="s">
        <v>348</v>
      </c>
      <c r="J9148" t="s">
        <v>17</v>
      </c>
      <c r="K9148" t="str">
        <f>"1F1"</f>
        <v>1F1</v>
      </c>
      <c r="L9148" t="s">
        <v>15</v>
      </c>
    </row>
    <row r="9149" spans="1:12" x14ac:dyDescent="0.25">
      <c r="A9149" t="str">
        <f>"6908255354"</f>
        <v>6908255354</v>
      </c>
      <c r="B9149" t="str">
        <f t="shared" si="405"/>
        <v>89301000</v>
      </c>
      <c r="C9149" s="1">
        <v>44539</v>
      </c>
      <c r="D9149" s="1">
        <v>44541</v>
      </c>
      <c r="E9149">
        <v>1</v>
      </c>
      <c r="F9149" t="s">
        <v>1683</v>
      </c>
      <c r="G9149" t="str">
        <f>"05-M06-06"</f>
        <v>05-M06-06</v>
      </c>
      <c r="H9149">
        <v>1.7652000000000001</v>
      </c>
      <c r="I9149" t="s">
        <v>489</v>
      </c>
      <c r="J9149" t="s">
        <v>17</v>
      </c>
      <c r="K9149" t="str">
        <f>"1F1"</f>
        <v>1F1</v>
      </c>
      <c r="L9149" t="s">
        <v>15</v>
      </c>
    </row>
    <row r="9150" spans="1:12" x14ac:dyDescent="0.25">
      <c r="A9150" t="str">
        <f>"6908295339"</f>
        <v>6908295339</v>
      </c>
      <c r="B9150" t="str">
        <f t="shared" si="405"/>
        <v>89301000</v>
      </c>
      <c r="C9150" s="1">
        <v>44368</v>
      </c>
      <c r="D9150" s="1">
        <v>44370</v>
      </c>
      <c r="E9150">
        <v>1</v>
      </c>
      <c r="F9150" t="s">
        <v>4172</v>
      </c>
      <c r="G9150" t="str">
        <f>"08-I25-02"</f>
        <v>08-I25-02</v>
      </c>
      <c r="H9150">
        <v>0.5746</v>
      </c>
      <c r="J9150" t="s">
        <v>14</v>
      </c>
      <c r="K9150" t="str">
        <f>"6F6"</f>
        <v>6F6</v>
      </c>
      <c r="L9150" t="s">
        <v>15</v>
      </c>
    </row>
    <row r="9151" spans="1:12" x14ac:dyDescent="0.25">
      <c r="A9151" t="str">
        <f>"6908295339"</f>
        <v>6908295339</v>
      </c>
      <c r="B9151" t="str">
        <f t="shared" si="405"/>
        <v>89301000</v>
      </c>
      <c r="C9151" s="1">
        <v>44480</v>
      </c>
      <c r="D9151" s="1">
        <v>44482</v>
      </c>
      <c r="E9151">
        <v>1</v>
      </c>
      <c r="F9151" t="s">
        <v>173</v>
      </c>
      <c r="G9151" t="str">
        <f>"08-I32-02"</f>
        <v>08-I32-02</v>
      </c>
      <c r="H9151">
        <v>0.4143</v>
      </c>
      <c r="I9151" t="s">
        <v>6389</v>
      </c>
      <c r="J9151" t="s">
        <v>14</v>
      </c>
      <c r="K9151" t="str">
        <f>"6F6"</f>
        <v>6F6</v>
      </c>
      <c r="L9151" t="s">
        <v>15</v>
      </c>
    </row>
    <row r="9152" spans="1:12" x14ac:dyDescent="0.25">
      <c r="A9152" t="str">
        <f>"6909124981"</f>
        <v>6909124981</v>
      </c>
      <c r="B9152" t="str">
        <f t="shared" si="405"/>
        <v>89301000</v>
      </c>
      <c r="C9152" s="1">
        <v>44279</v>
      </c>
      <c r="D9152" s="1">
        <v>44281</v>
      </c>
      <c r="E9152">
        <v>1</v>
      </c>
      <c r="F9152" t="s">
        <v>786</v>
      </c>
      <c r="G9152" t="str">
        <f>"04-M02-04"</f>
        <v>04-M02-04</v>
      </c>
      <c r="H9152">
        <v>0.7238</v>
      </c>
      <c r="I9152" t="s">
        <v>6390</v>
      </c>
      <c r="J9152" t="s">
        <v>14</v>
      </c>
      <c r="K9152" t="str">
        <f>"2F5"</f>
        <v>2F5</v>
      </c>
      <c r="L9152" t="s">
        <v>15</v>
      </c>
    </row>
    <row r="9153" spans="1:12" x14ac:dyDescent="0.25">
      <c r="A9153" t="str">
        <f>"6909275714"</f>
        <v>6909275714</v>
      </c>
      <c r="B9153" t="str">
        <f t="shared" si="405"/>
        <v>89301000</v>
      </c>
      <c r="C9153" s="1">
        <v>44474</v>
      </c>
      <c r="D9153" s="1">
        <v>44476</v>
      </c>
      <c r="E9153">
        <v>1</v>
      </c>
      <c r="F9153" t="s">
        <v>1859</v>
      </c>
      <c r="G9153" t="str">
        <f>"03-I23-00"</f>
        <v>03-I23-00</v>
      </c>
      <c r="H9153">
        <v>0.47639999999999999</v>
      </c>
      <c r="I9153" t="s">
        <v>6391</v>
      </c>
      <c r="J9153" t="s">
        <v>14</v>
      </c>
      <c r="K9153" t="str">
        <f>"6F5"</f>
        <v>6F5</v>
      </c>
      <c r="L9153" t="s">
        <v>15</v>
      </c>
    </row>
    <row r="9154" spans="1:12" x14ac:dyDescent="0.25">
      <c r="A9154" t="str">
        <f>"6910095544"</f>
        <v>6910095544</v>
      </c>
      <c r="B9154" t="str">
        <f t="shared" si="405"/>
        <v>89301000</v>
      </c>
      <c r="C9154" s="1">
        <v>44301</v>
      </c>
      <c r="D9154" s="1">
        <v>44305</v>
      </c>
      <c r="E9154">
        <v>1</v>
      </c>
      <c r="F9154" t="s">
        <v>217</v>
      </c>
      <c r="G9154" t="str">
        <f>"04-K02-03"</f>
        <v>04-K02-03</v>
      </c>
      <c r="H9154">
        <v>1.2859</v>
      </c>
      <c r="I9154" t="s">
        <v>4508</v>
      </c>
      <c r="J9154" t="s">
        <v>14</v>
      </c>
      <c r="K9154" t="str">
        <f>"1F1"</f>
        <v>1F1</v>
      </c>
      <c r="L9154" t="s">
        <v>15</v>
      </c>
    </row>
    <row r="9155" spans="1:12" x14ac:dyDescent="0.25">
      <c r="A9155" t="str">
        <f>"6910105565"</f>
        <v>6910105565</v>
      </c>
      <c r="B9155" t="str">
        <f t="shared" si="405"/>
        <v>89301000</v>
      </c>
      <c r="C9155" s="1">
        <v>44533</v>
      </c>
      <c r="D9155" s="1">
        <v>44536</v>
      </c>
      <c r="E9155">
        <v>1</v>
      </c>
      <c r="F9155" t="s">
        <v>2111</v>
      </c>
      <c r="G9155" t="str">
        <f>"10-K15-02"</f>
        <v>10-K15-02</v>
      </c>
      <c r="H9155">
        <v>1.0346</v>
      </c>
      <c r="I9155" t="s">
        <v>2421</v>
      </c>
      <c r="J9155" t="s">
        <v>14</v>
      </c>
      <c r="K9155" t="str">
        <f>"2F5"</f>
        <v>2F5</v>
      </c>
      <c r="L9155" t="s">
        <v>15</v>
      </c>
    </row>
    <row r="9156" spans="1:12" x14ac:dyDescent="0.25">
      <c r="A9156" t="str">
        <f>"6910259389"</f>
        <v>6910259389</v>
      </c>
      <c r="B9156" t="str">
        <f t="shared" si="405"/>
        <v>89301000</v>
      </c>
      <c r="C9156" s="1">
        <v>44277</v>
      </c>
      <c r="D9156" s="1">
        <v>44277</v>
      </c>
      <c r="E9156">
        <v>1</v>
      </c>
      <c r="F9156" t="s">
        <v>1579</v>
      </c>
      <c r="G9156" t="str">
        <f>"05-K05-05"</f>
        <v>05-K05-05</v>
      </c>
      <c r="H9156">
        <v>1.1380999999999999</v>
      </c>
      <c r="J9156" t="s">
        <v>14</v>
      </c>
      <c r="K9156" t="str">
        <f>"1F1"</f>
        <v>1F1</v>
      </c>
      <c r="L9156" t="s">
        <v>15</v>
      </c>
    </row>
    <row r="9157" spans="1:12" x14ac:dyDescent="0.25">
      <c r="A9157" t="str">
        <f>"6910259389"</f>
        <v>6910259389</v>
      </c>
      <c r="B9157" t="str">
        <f t="shared" si="405"/>
        <v>89301000</v>
      </c>
      <c r="C9157" s="1">
        <v>44515</v>
      </c>
      <c r="D9157" s="1">
        <v>44515</v>
      </c>
      <c r="E9157">
        <v>1</v>
      </c>
      <c r="F9157" t="s">
        <v>92</v>
      </c>
      <c r="G9157" t="str">
        <f>"05-K15-02"</f>
        <v>05-K15-02</v>
      </c>
      <c r="H9157">
        <v>0.23899999999999999</v>
      </c>
      <c r="I9157" t="s">
        <v>3692</v>
      </c>
      <c r="J9157" t="s">
        <v>14</v>
      </c>
      <c r="K9157" t="str">
        <f>"1F1"</f>
        <v>1F1</v>
      </c>
      <c r="L9157" t="s">
        <v>15</v>
      </c>
    </row>
    <row r="9158" spans="1:12" x14ac:dyDescent="0.25">
      <c r="A9158" t="str">
        <f>"6910305765"</f>
        <v>6910305765</v>
      </c>
      <c r="B9158" t="str">
        <f t="shared" si="405"/>
        <v>89301000</v>
      </c>
      <c r="C9158" s="1">
        <v>44361</v>
      </c>
      <c r="D9158" s="1">
        <v>44376</v>
      </c>
      <c r="E9158">
        <v>4</v>
      </c>
      <c r="F9158" t="s">
        <v>109</v>
      </c>
      <c r="G9158" t="str">
        <f>"24-M07-01"</f>
        <v>24-M07-01</v>
      </c>
      <c r="H9158">
        <v>1.7399</v>
      </c>
      <c r="I9158" t="s">
        <v>6392</v>
      </c>
      <c r="J9158" t="s">
        <v>14</v>
      </c>
      <c r="K9158" t="str">
        <f>"2F1"</f>
        <v>2F1</v>
      </c>
      <c r="L9158" t="s">
        <v>15</v>
      </c>
    </row>
    <row r="9159" spans="1:12" x14ac:dyDescent="0.25">
      <c r="A9159" t="str">
        <f>"6910305765"</f>
        <v>6910305765</v>
      </c>
      <c r="B9159" t="str">
        <f t="shared" si="405"/>
        <v>89301000</v>
      </c>
      <c r="C9159" s="1">
        <v>44350</v>
      </c>
      <c r="D9159" s="1">
        <v>44361</v>
      </c>
      <c r="E9159">
        <v>3</v>
      </c>
      <c r="F9159" t="s">
        <v>67</v>
      </c>
      <c r="G9159" t="str">
        <f>"01-C02-02"</f>
        <v>01-C02-02</v>
      </c>
      <c r="H9159">
        <v>1.4877</v>
      </c>
      <c r="I9159" t="s">
        <v>2036</v>
      </c>
      <c r="J9159" t="s">
        <v>14</v>
      </c>
      <c r="K9159" t="str">
        <f>"2F9"</f>
        <v>2F9</v>
      </c>
      <c r="L9159" t="s">
        <v>15</v>
      </c>
    </row>
    <row r="9160" spans="1:12" x14ac:dyDescent="0.25">
      <c r="A9160" t="str">
        <f>"6911015705"</f>
        <v>6911015705</v>
      </c>
      <c r="B9160" t="str">
        <f t="shared" si="405"/>
        <v>89301000</v>
      </c>
      <c r="C9160" s="1">
        <v>44515</v>
      </c>
      <c r="D9160" s="1">
        <v>44517</v>
      </c>
      <c r="E9160">
        <v>1</v>
      </c>
      <c r="F9160" t="s">
        <v>1557</v>
      </c>
      <c r="G9160" t="str">
        <f>"05-M06-08"</f>
        <v>05-M06-08</v>
      </c>
      <c r="H9160">
        <v>1.4719</v>
      </c>
      <c r="J9160" t="s">
        <v>17</v>
      </c>
      <c r="K9160" t="str">
        <f>"1F7"</f>
        <v>1F7</v>
      </c>
      <c r="L9160" t="s">
        <v>15</v>
      </c>
    </row>
    <row r="9161" spans="1:12" x14ac:dyDescent="0.25">
      <c r="A9161" t="str">
        <f>"6911015705"</f>
        <v>6911015705</v>
      </c>
      <c r="B9161" t="str">
        <f t="shared" si="405"/>
        <v>89301000</v>
      </c>
      <c r="C9161" s="1">
        <v>44481</v>
      </c>
      <c r="D9161" s="1">
        <v>44483</v>
      </c>
      <c r="E9161">
        <v>1</v>
      </c>
      <c r="F9161" t="s">
        <v>1619</v>
      </c>
      <c r="G9161" t="str">
        <f>"05-M06-06"</f>
        <v>05-M06-06</v>
      </c>
      <c r="H9161">
        <v>1.7652000000000001</v>
      </c>
      <c r="I9161" t="s">
        <v>1892</v>
      </c>
      <c r="J9161" t="s">
        <v>17</v>
      </c>
      <c r="K9161" t="str">
        <f>"1F1"</f>
        <v>1F1</v>
      </c>
      <c r="L9161" t="s">
        <v>15</v>
      </c>
    </row>
    <row r="9162" spans="1:12" x14ac:dyDescent="0.25">
      <c r="A9162" t="str">
        <f>"6911065370"</f>
        <v>6911065370</v>
      </c>
      <c r="B9162" t="str">
        <f t="shared" si="405"/>
        <v>89301000</v>
      </c>
      <c r="C9162" s="1">
        <v>44252</v>
      </c>
      <c r="D9162" s="1">
        <v>44271</v>
      </c>
      <c r="E9162">
        <v>4</v>
      </c>
      <c r="F9162" t="s">
        <v>962</v>
      </c>
      <c r="G9162" t="str">
        <f>"04-K08-03"</f>
        <v>04-K08-03</v>
      </c>
      <c r="H9162">
        <v>1.5965</v>
      </c>
      <c r="I9162" t="s">
        <v>6393</v>
      </c>
      <c r="J9162" t="s">
        <v>14</v>
      </c>
      <c r="K9162" t="str">
        <f>"2F5"</f>
        <v>2F5</v>
      </c>
      <c r="L9162" t="s">
        <v>15</v>
      </c>
    </row>
    <row r="9163" spans="1:12" x14ac:dyDescent="0.25">
      <c r="A9163" t="str">
        <f>"6911065370"</f>
        <v>6911065370</v>
      </c>
      <c r="B9163" t="str">
        <f t="shared" si="405"/>
        <v>89301000</v>
      </c>
      <c r="C9163" s="1">
        <v>44237</v>
      </c>
      <c r="D9163" s="1">
        <v>44239</v>
      </c>
      <c r="E9163">
        <v>5</v>
      </c>
      <c r="F9163" t="s">
        <v>962</v>
      </c>
      <c r="G9163" t="str">
        <f>"04-M01-06"</f>
        <v>04-M01-06</v>
      </c>
      <c r="H9163">
        <v>2.6644999999999999</v>
      </c>
      <c r="I9163" t="s">
        <v>6394</v>
      </c>
      <c r="J9163" t="s">
        <v>14</v>
      </c>
      <c r="K9163" t="str">
        <f>"7T8"</f>
        <v>7T8</v>
      </c>
      <c r="L9163" t="s">
        <v>15</v>
      </c>
    </row>
    <row r="9164" spans="1:12" x14ac:dyDescent="0.25">
      <c r="A9164" t="str">
        <f>"6911134461"</f>
        <v>6911134461</v>
      </c>
      <c r="B9164" t="str">
        <f t="shared" si="405"/>
        <v>89301000</v>
      </c>
      <c r="C9164" s="1">
        <v>44504</v>
      </c>
      <c r="D9164" s="1">
        <v>44505</v>
      </c>
      <c r="E9164">
        <v>1</v>
      </c>
      <c r="F9164" t="s">
        <v>4491</v>
      </c>
      <c r="G9164" t="str">
        <f>"01-K01-02"</f>
        <v>01-K01-02</v>
      </c>
      <c r="H9164">
        <v>0.50700000000000001</v>
      </c>
      <c r="I9164" t="s">
        <v>6395</v>
      </c>
      <c r="J9164" t="s">
        <v>14</v>
      </c>
      <c r="K9164" t="str">
        <f>"2F9"</f>
        <v>2F9</v>
      </c>
      <c r="L9164" t="s">
        <v>15</v>
      </c>
    </row>
    <row r="9165" spans="1:12" x14ac:dyDescent="0.25">
      <c r="A9165" t="str">
        <f>"6911134461"</f>
        <v>6911134461</v>
      </c>
      <c r="B9165" t="str">
        <f t="shared" si="405"/>
        <v>89301000</v>
      </c>
      <c r="C9165" s="1">
        <v>44546</v>
      </c>
      <c r="D9165" s="1">
        <v>44547</v>
      </c>
      <c r="E9165">
        <v>1</v>
      </c>
      <c r="F9165" t="s">
        <v>4491</v>
      </c>
      <c r="G9165" t="str">
        <f>"01-K01-01"</f>
        <v>01-K01-01</v>
      </c>
      <c r="H9165">
        <v>0.56820000000000004</v>
      </c>
      <c r="I9165" t="s">
        <v>6396</v>
      </c>
      <c r="J9165" t="s">
        <v>14</v>
      </c>
      <c r="K9165" t="str">
        <f>"2F9"</f>
        <v>2F9</v>
      </c>
      <c r="L9165" t="s">
        <v>15</v>
      </c>
    </row>
    <row r="9166" spans="1:12" x14ac:dyDescent="0.25">
      <c r="A9166" t="str">
        <f>"6911195753"</f>
        <v>6911195753</v>
      </c>
      <c r="B9166" t="str">
        <f t="shared" si="405"/>
        <v>89301000</v>
      </c>
      <c r="C9166" s="1">
        <v>44335</v>
      </c>
      <c r="D9166" s="1">
        <v>44336</v>
      </c>
      <c r="E9166">
        <v>1</v>
      </c>
      <c r="F9166" t="s">
        <v>41</v>
      </c>
      <c r="G9166" t="str">
        <f>"01-D01-03"</f>
        <v>01-D01-03</v>
      </c>
      <c r="H9166">
        <v>0.158</v>
      </c>
      <c r="J9166" t="s">
        <v>14</v>
      </c>
      <c r="K9166" t="str">
        <f>"2F5"</f>
        <v>2F5</v>
      </c>
      <c r="L9166" t="s">
        <v>15</v>
      </c>
    </row>
    <row r="9167" spans="1:12" x14ac:dyDescent="0.25">
      <c r="A9167" t="str">
        <f>"6911205312"</f>
        <v>6911205312</v>
      </c>
      <c r="B9167" t="str">
        <f t="shared" si="405"/>
        <v>89301000</v>
      </c>
      <c r="C9167" s="1">
        <v>44476</v>
      </c>
      <c r="D9167" s="1">
        <v>44479</v>
      </c>
      <c r="E9167">
        <v>1</v>
      </c>
      <c r="F9167" t="s">
        <v>173</v>
      </c>
      <c r="G9167" t="str">
        <f>"08-I32-02"</f>
        <v>08-I32-02</v>
      </c>
      <c r="H9167">
        <v>0.4143</v>
      </c>
      <c r="J9167" t="s">
        <v>14</v>
      </c>
      <c r="K9167" t="str">
        <f>"5F3"</f>
        <v>5F3</v>
      </c>
      <c r="L9167" t="s">
        <v>15</v>
      </c>
    </row>
    <row r="9168" spans="1:12" x14ac:dyDescent="0.25">
      <c r="A9168" t="str">
        <f>"6912164842"</f>
        <v>6912164842</v>
      </c>
      <c r="B9168" t="str">
        <f t="shared" si="405"/>
        <v>89301000</v>
      </c>
      <c r="C9168" s="1">
        <v>44454</v>
      </c>
      <c r="D9168" s="1">
        <v>44455</v>
      </c>
      <c r="E9168">
        <v>1</v>
      </c>
      <c r="F9168" t="s">
        <v>41</v>
      </c>
      <c r="G9168" t="str">
        <f>"01-D01-03"</f>
        <v>01-D01-03</v>
      </c>
      <c r="H9168">
        <v>0.158</v>
      </c>
      <c r="I9168" t="s">
        <v>6397</v>
      </c>
      <c r="J9168" t="s">
        <v>14</v>
      </c>
      <c r="K9168" t="str">
        <f>"2F5"</f>
        <v>2F5</v>
      </c>
      <c r="L9168" t="s">
        <v>15</v>
      </c>
    </row>
    <row r="9169" spans="1:12" x14ac:dyDescent="0.25">
      <c r="A9169" t="str">
        <f>"6912175303"</f>
        <v>6912175303</v>
      </c>
      <c r="B9169" t="str">
        <f t="shared" si="405"/>
        <v>89301000</v>
      </c>
      <c r="C9169" s="1">
        <v>44248</v>
      </c>
      <c r="D9169" s="1">
        <v>44258</v>
      </c>
      <c r="E9169">
        <v>1</v>
      </c>
      <c r="F9169" t="s">
        <v>202</v>
      </c>
      <c r="G9169" t="str">
        <f>"04-I03-04"</f>
        <v>04-I03-04</v>
      </c>
      <c r="H9169">
        <v>2.0316000000000001</v>
      </c>
      <c r="J9169" t="s">
        <v>106</v>
      </c>
      <c r="K9169" t="str">
        <f>"5F1"</f>
        <v>5F1</v>
      </c>
      <c r="L9169" t="s">
        <v>15</v>
      </c>
    </row>
    <row r="9170" spans="1:12" x14ac:dyDescent="0.25">
      <c r="A9170" t="str">
        <f>"6912175303"</f>
        <v>6912175303</v>
      </c>
      <c r="B9170" t="str">
        <f t="shared" si="405"/>
        <v>89301000</v>
      </c>
      <c r="C9170" s="1">
        <v>44357</v>
      </c>
      <c r="D9170" s="1">
        <v>44361</v>
      </c>
      <c r="E9170">
        <v>1</v>
      </c>
      <c r="F9170" t="s">
        <v>952</v>
      </c>
      <c r="G9170" t="str">
        <f>"04-K15-03"</f>
        <v>04-K15-03</v>
      </c>
      <c r="H9170">
        <v>0.49009999999999998</v>
      </c>
      <c r="I9170" t="s">
        <v>3158</v>
      </c>
      <c r="J9170" t="s">
        <v>14</v>
      </c>
      <c r="K9170" t="str">
        <f>"2F5"</f>
        <v>2F5</v>
      </c>
      <c r="L9170" t="s">
        <v>15</v>
      </c>
    </row>
    <row r="9171" spans="1:12" x14ac:dyDescent="0.25">
      <c r="A9171" t="str">
        <f>"6912175303"</f>
        <v>6912175303</v>
      </c>
      <c r="B9171" t="str">
        <f t="shared" si="405"/>
        <v>89301000</v>
      </c>
      <c r="C9171" s="1">
        <v>44369</v>
      </c>
      <c r="D9171" s="1">
        <v>44377</v>
      </c>
      <c r="E9171">
        <v>1</v>
      </c>
      <c r="F9171" t="s">
        <v>3158</v>
      </c>
      <c r="G9171" t="str">
        <f>"05-M04-04"</f>
        <v>05-M04-04</v>
      </c>
      <c r="H9171">
        <v>2.1478000000000002</v>
      </c>
      <c r="J9171" t="s">
        <v>17</v>
      </c>
      <c r="K9171" t="str">
        <f>"5F1"</f>
        <v>5F1</v>
      </c>
      <c r="L9171" t="s">
        <v>15</v>
      </c>
    </row>
    <row r="9172" spans="1:12" x14ac:dyDescent="0.25">
      <c r="A9172" t="str">
        <f>"6912233669"</f>
        <v>6912233669</v>
      </c>
      <c r="B9172" t="str">
        <f t="shared" si="405"/>
        <v>89301000</v>
      </c>
      <c r="C9172" s="1">
        <v>44500</v>
      </c>
      <c r="D9172" s="1">
        <v>44503</v>
      </c>
      <c r="E9172">
        <v>1</v>
      </c>
      <c r="F9172" t="s">
        <v>3567</v>
      </c>
      <c r="G9172" t="str">
        <f>"08-M03-04"</f>
        <v>08-M03-04</v>
      </c>
      <c r="H9172">
        <v>0.8609</v>
      </c>
      <c r="I9172" t="s">
        <v>4196</v>
      </c>
      <c r="J9172" t="s">
        <v>14</v>
      </c>
      <c r="K9172" t="str">
        <f>"6F6"</f>
        <v>6F6</v>
      </c>
      <c r="L9172" t="s">
        <v>15</v>
      </c>
    </row>
    <row r="9173" spans="1:12" x14ac:dyDescent="0.25">
      <c r="A9173" t="str">
        <f t="shared" ref="A9173:A9190" si="406">"6912246781"</f>
        <v>6912246781</v>
      </c>
      <c r="B9173" t="str">
        <f t="shared" si="405"/>
        <v>89301000</v>
      </c>
      <c r="C9173" s="1">
        <v>44543</v>
      </c>
      <c r="D9173" s="1">
        <v>44545</v>
      </c>
      <c r="E9173">
        <v>1</v>
      </c>
      <c r="F9173" t="s">
        <v>2030</v>
      </c>
      <c r="G9173" t="str">
        <f t="shared" ref="G9173:G9188" si="407">"06-C02-01"</f>
        <v>06-C02-01</v>
      </c>
      <c r="H9173">
        <v>0.27229999999999999</v>
      </c>
      <c r="I9173" t="s">
        <v>2946</v>
      </c>
      <c r="J9173" t="s">
        <v>14</v>
      </c>
      <c r="K9173" t="str">
        <f t="shared" ref="K9173:K9190" si="408">"4F2"</f>
        <v>4F2</v>
      </c>
      <c r="L9173" t="s">
        <v>15</v>
      </c>
    </row>
    <row r="9174" spans="1:12" x14ac:dyDescent="0.25">
      <c r="A9174" t="str">
        <f t="shared" si="406"/>
        <v>6912246781</v>
      </c>
      <c r="B9174" t="str">
        <f t="shared" si="405"/>
        <v>89301000</v>
      </c>
      <c r="C9174" s="1">
        <v>44529</v>
      </c>
      <c r="D9174" s="1">
        <v>44531</v>
      </c>
      <c r="E9174">
        <v>1</v>
      </c>
      <c r="F9174" t="s">
        <v>2030</v>
      </c>
      <c r="G9174" t="str">
        <f t="shared" si="407"/>
        <v>06-C02-01</v>
      </c>
      <c r="H9174">
        <v>0.27229999999999999</v>
      </c>
      <c r="I9174" t="s">
        <v>2946</v>
      </c>
      <c r="J9174" t="s">
        <v>14</v>
      </c>
      <c r="K9174" t="str">
        <f t="shared" si="408"/>
        <v>4F2</v>
      </c>
      <c r="L9174" t="s">
        <v>15</v>
      </c>
    </row>
    <row r="9175" spans="1:12" x14ac:dyDescent="0.25">
      <c r="A9175" t="str">
        <f t="shared" si="406"/>
        <v>6912246781</v>
      </c>
      <c r="B9175" t="str">
        <f t="shared" si="405"/>
        <v>89301000</v>
      </c>
      <c r="C9175" s="1">
        <v>44491</v>
      </c>
      <c r="D9175" s="1">
        <v>44493</v>
      </c>
      <c r="E9175">
        <v>1</v>
      </c>
      <c r="F9175" t="s">
        <v>2030</v>
      </c>
      <c r="G9175" t="str">
        <f t="shared" si="407"/>
        <v>06-C02-01</v>
      </c>
      <c r="H9175">
        <v>0.27229999999999999</v>
      </c>
      <c r="I9175" t="s">
        <v>4692</v>
      </c>
      <c r="J9175" t="s">
        <v>14</v>
      </c>
      <c r="K9175" t="str">
        <f t="shared" si="408"/>
        <v>4F2</v>
      </c>
      <c r="L9175" t="s">
        <v>15</v>
      </c>
    </row>
    <row r="9176" spans="1:12" x14ac:dyDescent="0.25">
      <c r="A9176" t="str">
        <f t="shared" si="406"/>
        <v>6912246781</v>
      </c>
      <c r="B9176" t="str">
        <f t="shared" si="405"/>
        <v>89301000</v>
      </c>
      <c r="C9176" s="1">
        <v>44477</v>
      </c>
      <c r="D9176" s="1">
        <v>44479</v>
      </c>
      <c r="E9176">
        <v>1</v>
      </c>
      <c r="F9176" t="s">
        <v>2030</v>
      </c>
      <c r="G9176" t="str">
        <f t="shared" si="407"/>
        <v>06-C02-01</v>
      </c>
      <c r="H9176">
        <v>0.27229999999999999</v>
      </c>
      <c r="I9176" t="s">
        <v>4692</v>
      </c>
      <c r="J9176" t="s">
        <v>14</v>
      </c>
      <c r="K9176" t="str">
        <f t="shared" si="408"/>
        <v>4F2</v>
      </c>
      <c r="L9176" t="s">
        <v>15</v>
      </c>
    </row>
    <row r="9177" spans="1:12" x14ac:dyDescent="0.25">
      <c r="A9177" t="str">
        <f t="shared" si="406"/>
        <v>6912246781</v>
      </c>
      <c r="B9177" t="str">
        <f t="shared" si="405"/>
        <v>89301000</v>
      </c>
      <c r="C9177" s="1">
        <v>44463</v>
      </c>
      <c r="D9177" s="1">
        <v>44465</v>
      </c>
      <c r="E9177">
        <v>1</v>
      </c>
      <c r="F9177" t="s">
        <v>2030</v>
      </c>
      <c r="G9177" t="str">
        <f t="shared" si="407"/>
        <v>06-C02-01</v>
      </c>
      <c r="H9177">
        <v>0.27229999999999999</v>
      </c>
      <c r="I9177" t="s">
        <v>2946</v>
      </c>
      <c r="J9177" t="s">
        <v>14</v>
      </c>
      <c r="K9177" t="str">
        <f t="shared" si="408"/>
        <v>4F2</v>
      </c>
      <c r="L9177" t="s">
        <v>15</v>
      </c>
    </row>
    <row r="9178" spans="1:12" x14ac:dyDescent="0.25">
      <c r="A9178" t="str">
        <f t="shared" si="406"/>
        <v>6912246781</v>
      </c>
      <c r="B9178" t="str">
        <f t="shared" si="405"/>
        <v>89301000</v>
      </c>
      <c r="C9178" s="1">
        <v>44449</v>
      </c>
      <c r="D9178" s="1">
        <v>44451</v>
      </c>
      <c r="E9178">
        <v>1</v>
      </c>
      <c r="F9178" t="s">
        <v>2030</v>
      </c>
      <c r="G9178" t="str">
        <f t="shared" si="407"/>
        <v>06-C02-01</v>
      </c>
      <c r="H9178">
        <v>0.27229999999999999</v>
      </c>
      <c r="I9178" t="s">
        <v>2946</v>
      </c>
      <c r="J9178" t="s">
        <v>14</v>
      </c>
      <c r="K9178" t="str">
        <f t="shared" si="408"/>
        <v>4F2</v>
      </c>
      <c r="L9178" t="s">
        <v>15</v>
      </c>
    </row>
    <row r="9179" spans="1:12" x14ac:dyDescent="0.25">
      <c r="A9179" t="str">
        <f t="shared" si="406"/>
        <v>6912246781</v>
      </c>
      <c r="B9179" t="str">
        <f t="shared" si="405"/>
        <v>89301000</v>
      </c>
      <c r="C9179" s="1">
        <v>44421</v>
      </c>
      <c r="D9179" s="1">
        <v>44423</v>
      </c>
      <c r="E9179">
        <v>1</v>
      </c>
      <c r="F9179" t="s">
        <v>2030</v>
      </c>
      <c r="G9179" t="str">
        <f t="shared" si="407"/>
        <v>06-C02-01</v>
      </c>
      <c r="H9179">
        <v>0.27229999999999999</v>
      </c>
      <c r="I9179" t="s">
        <v>2946</v>
      </c>
      <c r="J9179" t="s">
        <v>14</v>
      </c>
      <c r="K9179" t="str">
        <f t="shared" si="408"/>
        <v>4F2</v>
      </c>
      <c r="L9179" t="s">
        <v>15</v>
      </c>
    </row>
    <row r="9180" spans="1:12" x14ac:dyDescent="0.25">
      <c r="A9180" t="str">
        <f t="shared" si="406"/>
        <v>6912246781</v>
      </c>
      <c r="B9180" t="str">
        <f t="shared" si="405"/>
        <v>89301000</v>
      </c>
      <c r="C9180" s="1">
        <v>44407</v>
      </c>
      <c r="D9180" s="1">
        <v>44409</v>
      </c>
      <c r="E9180">
        <v>1</v>
      </c>
      <c r="F9180" t="s">
        <v>2030</v>
      </c>
      <c r="G9180" t="str">
        <f t="shared" si="407"/>
        <v>06-C02-01</v>
      </c>
      <c r="H9180">
        <v>0.27229999999999999</v>
      </c>
      <c r="I9180" t="s">
        <v>2946</v>
      </c>
      <c r="J9180" t="s">
        <v>14</v>
      </c>
      <c r="K9180" t="str">
        <f t="shared" si="408"/>
        <v>4F2</v>
      </c>
      <c r="L9180" t="s">
        <v>15</v>
      </c>
    </row>
    <row r="9181" spans="1:12" x14ac:dyDescent="0.25">
      <c r="A9181" t="str">
        <f t="shared" si="406"/>
        <v>6912246781</v>
      </c>
      <c r="B9181" t="str">
        <f t="shared" si="405"/>
        <v>89301000</v>
      </c>
      <c r="C9181" s="1">
        <v>44393</v>
      </c>
      <c r="D9181" s="1">
        <v>44395</v>
      </c>
      <c r="E9181">
        <v>1</v>
      </c>
      <c r="F9181" t="s">
        <v>2030</v>
      </c>
      <c r="G9181" t="str">
        <f t="shared" si="407"/>
        <v>06-C02-01</v>
      </c>
      <c r="H9181">
        <v>0.27229999999999999</v>
      </c>
      <c r="I9181" t="s">
        <v>2946</v>
      </c>
      <c r="J9181" t="s">
        <v>14</v>
      </c>
      <c r="K9181" t="str">
        <f t="shared" si="408"/>
        <v>4F2</v>
      </c>
      <c r="L9181" t="s">
        <v>15</v>
      </c>
    </row>
    <row r="9182" spans="1:12" x14ac:dyDescent="0.25">
      <c r="A9182" t="str">
        <f t="shared" si="406"/>
        <v>6912246781</v>
      </c>
      <c r="B9182" t="str">
        <f t="shared" si="405"/>
        <v>89301000</v>
      </c>
      <c r="C9182" s="1">
        <v>44379</v>
      </c>
      <c r="D9182" s="1">
        <v>44381</v>
      </c>
      <c r="E9182">
        <v>1</v>
      </c>
      <c r="F9182" t="s">
        <v>2030</v>
      </c>
      <c r="G9182" t="str">
        <f t="shared" si="407"/>
        <v>06-C02-01</v>
      </c>
      <c r="H9182">
        <v>0.27229999999999999</v>
      </c>
      <c r="I9182" t="s">
        <v>2946</v>
      </c>
      <c r="J9182" t="s">
        <v>14</v>
      </c>
      <c r="K9182" t="str">
        <f t="shared" si="408"/>
        <v>4F2</v>
      </c>
      <c r="L9182" t="s">
        <v>15</v>
      </c>
    </row>
    <row r="9183" spans="1:12" x14ac:dyDescent="0.25">
      <c r="A9183" t="str">
        <f t="shared" si="406"/>
        <v>6912246781</v>
      </c>
      <c r="B9183" t="str">
        <f t="shared" si="405"/>
        <v>89301000</v>
      </c>
      <c r="C9183" s="1">
        <v>44365</v>
      </c>
      <c r="D9183" s="1">
        <v>44367</v>
      </c>
      <c r="E9183">
        <v>1</v>
      </c>
      <c r="F9183" t="s">
        <v>2030</v>
      </c>
      <c r="G9183" t="str">
        <f t="shared" si="407"/>
        <v>06-C02-01</v>
      </c>
      <c r="H9183">
        <v>0.27229999999999999</v>
      </c>
      <c r="I9183" t="s">
        <v>2946</v>
      </c>
      <c r="J9183" t="s">
        <v>14</v>
      </c>
      <c r="K9183" t="str">
        <f t="shared" si="408"/>
        <v>4F2</v>
      </c>
      <c r="L9183" t="s">
        <v>15</v>
      </c>
    </row>
    <row r="9184" spans="1:12" x14ac:dyDescent="0.25">
      <c r="A9184" t="str">
        <f t="shared" si="406"/>
        <v>6912246781</v>
      </c>
      <c r="B9184" t="str">
        <f t="shared" si="405"/>
        <v>89301000</v>
      </c>
      <c r="C9184" s="1">
        <v>44351</v>
      </c>
      <c r="D9184" s="1">
        <v>44353</v>
      </c>
      <c r="E9184">
        <v>1</v>
      </c>
      <c r="F9184" t="s">
        <v>2030</v>
      </c>
      <c r="G9184" t="str">
        <f t="shared" si="407"/>
        <v>06-C02-01</v>
      </c>
      <c r="H9184">
        <v>0.27229999999999999</v>
      </c>
      <c r="I9184" t="s">
        <v>2946</v>
      </c>
      <c r="J9184" t="s">
        <v>14</v>
      </c>
      <c r="K9184" t="str">
        <f t="shared" si="408"/>
        <v>4F2</v>
      </c>
      <c r="L9184" t="s">
        <v>15</v>
      </c>
    </row>
    <row r="9185" spans="1:12" x14ac:dyDescent="0.25">
      <c r="A9185" t="str">
        <f t="shared" si="406"/>
        <v>6912246781</v>
      </c>
      <c r="B9185" t="str">
        <f t="shared" si="405"/>
        <v>89301000</v>
      </c>
      <c r="C9185" s="1">
        <v>44337</v>
      </c>
      <c r="D9185" s="1">
        <v>44339</v>
      </c>
      <c r="E9185">
        <v>1</v>
      </c>
      <c r="F9185" t="s">
        <v>2030</v>
      </c>
      <c r="G9185" t="str">
        <f t="shared" si="407"/>
        <v>06-C02-01</v>
      </c>
      <c r="H9185">
        <v>0.27229999999999999</v>
      </c>
      <c r="I9185" t="s">
        <v>2946</v>
      </c>
      <c r="J9185" t="s">
        <v>14</v>
      </c>
      <c r="K9185" t="str">
        <f t="shared" si="408"/>
        <v>4F2</v>
      </c>
      <c r="L9185" t="s">
        <v>15</v>
      </c>
    </row>
    <row r="9186" spans="1:12" x14ac:dyDescent="0.25">
      <c r="A9186" t="str">
        <f t="shared" si="406"/>
        <v>6912246781</v>
      </c>
      <c r="B9186" t="str">
        <f t="shared" si="405"/>
        <v>89301000</v>
      </c>
      <c r="C9186" s="1">
        <v>44323</v>
      </c>
      <c r="D9186" s="1">
        <v>44325</v>
      </c>
      <c r="E9186">
        <v>1</v>
      </c>
      <c r="F9186" t="s">
        <v>2030</v>
      </c>
      <c r="G9186" t="str">
        <f t="shared" si="407"/>
        <v>06-C02-01</v>
      </c>
      <c r="H9186">
        <v>0.27229999999999999</v>
      </c>
      <c r="I9186" t="s">
        <v>2946</v>
      </c>
      <c r="J9186" t="s">
        <v>14</v>
      </c>
      <c r="K9186" t="str">
        <f t="shared" si="408"/>
        <v>4F2</v>
      </c>
      <c r="L9186" t="s">
        <v>15</v>
      </c>
    </row>
    <row r="9187" spans="1:12" x14ac:dyDescent="0.25">
      <c r="A9187" t="str">
        <f t="shared" si="406"/>
        <v>6912246781</v>
      </c>
      <c r="B9187" t="str">
        <f t="shared" si="405"/>
        <v>89301000</v>
      </c>
      <c r="C9187" s="1">
        <v>44309</v>
      </c>
      <c r="D9187" s="1">
        <v>44311</v>
      </c>
      <c r="E9187">
        <v>1</v>
      </c>
      <c r="F9187" t="s">
        <v>2030</v>
      </c>
      <c r="G9187" t="str">
        <f t="shared" si="407"/>
        <v>06-C02-01</v>
      </c>
      <c r="H9187">
        <v>0.27229999999999999</v>
      </c>
      <c r="I9187" t="s">
        <v>2946</v>
      </c>
      <c r="J9187" t="s">
        <v>14</v>
      </c>
      <c r="K9187" t="str">
        <f t="shared" si="408"/>
        <v>4F2</v>
      </c>
      <c r="L9187" t="s">
        <v>15</v>
      </c>
    </row>
    <row r="9188" spans="1:12" x14ac:dyDescent="0.25">
      <c r="A9188" t="str">
        <f t="shared" si="406"/>
        <v>6912246781</v>
      </c>
      <c r="B9188" t="str">
        <f t="shared" si="405"/>
        <v>89301000</v>
      </c>
      <c r="C9188" s="1">
        <v>44284</v>
      </c>
      <c r="D9188" s="1">
        <v>44296</v>
      </c>
      <c r="E9188">
        <v>1</v>
      </c>
      <c r="F9188" t="s">
        <v>2030</v>
      </c>
      <c r="G9188" t="str">
        <f t="shared" si="407"/>
        <v>06-C02-01</v>
      </c>
      <c r="H9188">
        <v>0.61580000000000001</v>
      </c>
      <c r="I9188" t="s">
        <v>6398</v>
      </c>
      <c r="J9188" t="s">
        <v>14</v>
      </c>
      <c r="K9188" t="str">
        <f t="shared" si="408"/>
        <v>4F2</v>
      </c>
      <c r="L9188" t="s">
        <v>15</v>
      </c>
    </row>
    <row r="9189" spans="1:12" x14ac:dyDescent="0.25">
      <c r="A9189" t="str">
        <f t="shared" si="406"/>
        <v>6912246781</v>
      </c>
      <c r="B9189" t="str">
        <f t="shared" si="405"/>
        <v>89301000</v>
      </c>
      <c r="C9189" s="1">
        <v>44271</v>
      </c>
      <c r="D9189" s="1">
        <v>44273</v>
      </c>
      <c r="E9189">
        <v>1</v>
      </c>
      <c r="F9189" t="s">
        <v>2030</v>
      </c>
      <c r="G9189" t="str">
        <f>"06-K14-02"</f>
        <v>06-K14-02</v>
      </c>
      <c r="H9189">
        <v>0.57279999999999998</v>
      </c>
      <c r="I9189" t="s">
        <v>1621</v>
      </c>
      <c r="J9189" t="s">
        <v>14</v>
      </c>
      <c r="K9189" t="str">
        <f t="shared" si="408"/>
        <v>4F2</v>
      </c>
      <c r="L9189" t="s">
        <v>15</v>
      </c>
    </row>
    <row r="9190" spans="1:12" x14ac:dyDescent="0.25">
      <c r="A9190" t="str">
        <f t="shared" si="406"/>
        <v>6912246781</v>
      </c>
      <c r="B9190" t="str">
        <f t="shared" si="405"/>
        <v>89301000</v>
      </c>
      <c r="C9190" s="1">
        <v>44435</v>
      </c>
      <c r="D9190" s="1">
        <v>44437</v>
      </c>
      <c r="E9190">
        <v>1</v>
      </c>
      <c r="F9190" t="s">
        <v>2030</v>
      </c>
      <c r="G9190" t="str">
        <f>"06-C02-01"</f>
        <v>06-C02-01</v>
      </c>
      <c r="H9190">
        <v>0.27229999999999999</v>
      </c>
      <c r="I9190" t="s">
        <v>4692</v>
      </c>
      <c r="J9190" t="s">
        <v>14</v>
      </c>
      <c r="K9190" t="str">
        <f t="shared" si="408"/>
        <v>4F2</v>
      </c>
      <c r="L9190" t="s">
        <v>15</v>
      </c>
    </row>
    <row r="9191" spans="1:12" x14ac:dyDescent="0.25">
      <c r="A9191" t="str">
        <f>"6912284742"</f>
        <v>6912284742</v>
      </c>
      <c r="B9191" t="str">
        <f t="shared" si="405"/>
        <v>89301000</v>
      </c>
      <c r="C9191" s="1">
        <v>44343</v>
      </c>
      <c r="D9191" s="1">
        <v>44344</v>
      </c>
      <c r="E9191">
        <v>1</v>
      </c>
      <c r="F9191" t="s">
        <v>41</v>
      </c>
      <c r="G9191" t="str">
        <f>"01-D01-03"</f>
        <v>01-D01-03</v>
      </c>
      <c r="H9191">
        <v>0.158</v>
      </c>
      <c r="I9191" t="s">
        <v>6399</v>
      </c>
      <c r="J9191" t="s">
        <v>14</v>
      </c>
      <c r="K9191" t="str">
        <f>"2F5"</f>
        <v>2F5</v>
      </c>
      <c r="L9191" t="s">
        <v>15</v>
      </c>
    </row>
    <row r="9192" spans="1:12" x14ac:dyDescent="0.25">
      <c r="A9192" t="str">
        <f>"6912284742"</f>
        <v>6912284742</v>
      </c>
      <c r="B9192" t="str">
        <f t="shared" si="405"/>
        <v>89301000</v>
      </c>
      <c r="C9192" s="1">
        <v>44435</v>
      </c>
      <c r="D9192" s="1">
        <v>44438</v>
      </c>
      <c r="E9192">
        <v>1</v>
      </c>
      <c r="F9192" t="s">
        <v>41</v>
      </c>
      <c r="G9192" t="str">
        <f>"01-D01-03"</f>
        <v>01-D01-03</v>
      </c>
      <c r="H9192">
        <v>0.2054</v>
      </c>
      <c r="I9192" t="s">
        <v>6400</v>
      </c>
      <c r="J9192" t="s">
        <v>14</v>
      </c>
      <c r="K9192" t="str">
        <f>"2F5"</f>
        <v>2F5</v>
      </c>
      <c r="L9192" t="s">
        <v>15</v>
      </c>
    </row>
    <row r="9193" spans="1:12" x14ac:dyDescent="0.25">
      <c r="A9193" t="str">
        <f>"6951055320"</f>
        <v>6951055320</v>
      </c>
      <c r="B9193" t="str">
        <f t="shared" si="405"/>
        <v>89301000</v>
      </c>
      <c r="C9193" s="1">
        <v>44447</v>
      </c>
      <c r="D9193" s="1">
        <v>44449</v>
      </c>
      <c r="E9193">
        <v>1</v>
      </c>
      <c r="F9193" t="s">
        <v>1553</v>
      </c>
      <c r="G9193" t="str">
        <f>"04-K05-03"</f>
        <v>04-K05-03</v>
      </c>
      <c r="H9193">
        <v>0.74980000000000002</v>
      </c>
      <c r="I9193" t="s">
        <v>2257</v>
      </c>
      <c r="J9193" t="s">
        <v>14</v>
      </c>
      <c r="K9193" t="str">
        <f>"1F7"</f>
        <v>1F7</v>
      </c>
      <c r="L9193" t="s">
        <v>15</v>
      </c>
    </row>
    <row r="9194" spans="1:12" x14ac:dyDescent="0.25">
      <c r="A9194" t="str">
        <f>"6951094854"</f>
        <v>6951094854</v>
      </c>
      <c r="B9194" t="str">
        <f t="shared" si="405"/>
        <v>89301000</v>
      </c>
      <c r="C9194" s="1">
        <v>44216</v>
      </c>
      <c r="D9194" s="1">
        <v>44219</v>
      </c>
      <c r="E9194">
        <v>1</v>
      </c>
      <c r="F9194" t="s">
        <v>318</v>
      </c>
      <c r="G9194" t="str">
        <f>"08-I23-02"</f>
        <v>08-I23-02</v>
      </c>
      <c r="H9194">
        <v>0.93840000000000001</v>
      </c>
      <c r="I9194" t="s">
        <v>3330</v>
      </c>
      <c r="J9194" t="s">
        <v>17</v>
      </c>
      <c r="K9194" t="str">
        <f>"6F6"</f>
        <v>6F6</v>
      </c>
      <c r="L9194" t="s">
        <v>15</v>
      </c>
    </row>
    <row r="9195" spans="1:12" x14ac:dyDescent="0.25">
      <c r="A9195" t="str">
        <f>"6951115336"</f>
        <v>6951115336</v>
      </c>
      <c r="B9195" t="str">
        <f t="shared" si="405"/>
        <v>89301000</v>
      </c>
      <c r="C9195" s="1">
        <v>44424</v>
      </c>
      <c r="D9195" s="1">
        <v>44428</v>
      </c>
      <c r="E9195">
        <v>1</v>
      </c>
      <c r="F9195" t="s">
        <v>6401</v>
      </c>
      <c r="G9195" t="str">
        <f>"08-I04-03"</f>
        <v>08-I04-03</v>
      </c>
      <c r="H9195">
        <v>1.331</v>
      </c>
      <c r="I9195" t="s">
        <v>489</v>
      </c>
      <c r="J9195" t="s">
        <v>17</v>
      </c>
      <c r="K9195" t="str">
        <f>"5F6"</f>
        <v>5F6</v>
      </c>
      <c r="L9195" t="s">
        <v>15</v>
      </c>
    </row>
    <row r="9196" spans="1:12" x14ac:dyDescent="0.25">
      <c r="A9196" t="str">
        <f>"6951244597"</f>
        <v>6951244597</v>
      </c>
      <c r="B9196" t="str">
        <f t="shared" si="405"/>
        <v>89301000</v>
      </c>
      <c r="C9196" s="1">
        <v>44364</v>
      </c>
      <c r="D9196" s="1">
        <v>44365</v>
      </c>
      <c r="E9196">
        <v>1</v>
      </c>
      <c r="F9196" t="s">
        <v>2819</v>
      </c>
      <c r="G9196" t="str">
        <f>"09-I10-02"</f>
        <v>09-I10-02</v>
      </c>
      <c r="H9196">
        <v>0.98380000000000001</v>
      </c>
      <c r="J9196" t="s">
        <v>17</v>
      </c>
      <c r="K9196" t="str">
        <f>"6F1"</f>
        <v>6F1</v>
      </c>
      <c r="L9196" t="s">
        <v>15</v>
      </c>
    </row>
    <row r="9197" spans="1:12" x14ac:dyDescent="0.25">
      <c r="A9197" t="str">
        <f>"6952035772"</f>
        <v>6952035772</v>
      </c>
      <c r="B9197" t="str">
        <f t="shared" ref="B9197:B9259" si="409">"89301000"</f>
        <v>89301000</v>
      </c>
      <c r="C9197" s="1">
        <v>44508</v>
      </c>
      <c r="D9197" s="1">
        <v>44510</v>
      </c>
      <c r="E9197">
        <v>1</v>
      </c>
      <c r="F9197" t="s">
        <v>4382</v>
      </c>
      <c r="G9197" t="str">
        <f>"05-I30-02"</f>
        <v>05-I30-02</v>
      </c>
      <c r="H9197">
        <v>0.46729999999999999</v>
      </c>
      <c r="I9197" t="s">
        <v>1586</v>
      </c>
      <c r="J9197" t="s">
        <v>14</v>
      </c>
      <c r="K9197" t="str">
        <f>"5F1"</f>
        <v>5F1</v>
      </c>
      <c r="L9197" t="s">
        <v>15</v>
      </c>
    </row>
    <row r="9198" spans="1:12" x14ac:dyDescent="0.25">
      <c r="A9198" t="str">
        <f>"6952145783"</f>
        <v>6952145783</v>
      </c>
      <c r="B9198" t="str">
        <f t="shared" si="409"/>
        <v>89301000</v>
      </c>
      <c r="C9198" s="1">
        <v>44551</v>
      </c>
      <c r="D9198" s="1">
        <v>44552</v>
      </c>
      <c r="E9198">
        <v>1</v>
      </c>
      <c r="F9198" t="s">
        <v>6329</v>
      </c>
      <c r="G9198" t="str">
        <f>"13-I19-00"</f>
        <v>13-I19-00</v>
      </c>
      <c r="H9198">
        <v>0.24679999999999999</v>
      </c>
      <c r="J9198" t="s">
        <v>14</v>
      </c>
      <c r="K9198" t="str">
        <f>"6F3"</f>
        <v>6F3</v>
      </c>
      <c r="L9198" t="s">
        <v>15</v>
      </c>
    </row>
    <row r="9199" spans="1:12" x14ac:dyDescent="0.25">
      <c r="A9199" t="str">
        <f>"6952156563"</f>
        <v>6952156563</v>
      </c>
      <c r="B9199" t="str">
        <f t="shared" si="409"/>
        <v>89301000</v>
      </c>
      <c r="C9199" s="1">
        <v>44250</v>
      </c>
      <c r="D9199" s="1">
        <v>44264</v>
      </c>
      <c r="E9199">
        <v>1</v>
      </c>
      <c r="F9199" t="s">
        <v>98</v>
      </c>
      <c r="G9199" t="str">
        <f>"19-K04-02"</f>
        <v>19-K04-02</v>
      </c>
      <c r="H9199">
        <v>1.4597</v>
      </c>
      <c r="I9199" t="s">
        <v>6402</v>
      </c>
      <c r="J9199" t="s">
        <v>27</v>
      </c>
      <c r="K9199" t="str">
        <f>"3F5"</f>
        <v>3F5</v>
      </c>
      <c r="L9199" t="s">
        <v>15</v>
      </c>
    </row>
    <row r="9200" spans="1:12" x14ac:dyDescent="0.25">
      <c r="A9200" t="str">
        <f>"6952165858"</f>
        <v>6952165858</v>
      </c>
      <c r="B9200" t="str">
        <f t="shared" si="409"/>
        <v>89301000</v>
      </c>
      <c r="C9200" s="1">
        <v>44451</v>
      </c>
      <c r="D9200" s="1">
        <v>44455</v>
      </c>
      <c r="E9200">
        <v>1</v>
      </c>
      <c r="F9200" t="s">
        <v>81</v>
      </c>
      <c r="G9200" t="str">
        <f>"10-I13-02"</f>
        <v>10-I13-02</v>
      </c>
      <c r="H9200">
        <v>1.1468</v>
      </c>
      <c r="I9200" t="s">
        <v>489</v>
      </c>
      <c r="J9200" t="s">
        <v>24</v>
      </c>
      <c r="K9200" t="str">
        <f>"5F1"</f>
        <v>5F1</v>
      </c>
      <c r="L9200" t="s">
        <v>15</v>
      </c>
    </row>
    <row r="9201" spans="1:12" x14ac:dyDescent="0.25">
      <c r="A9201" t="str">
        <f>"6952214478"</f>
        <v>6952214478</v>
      </c>
      <c r="B9201" t="str">
        <f t="shared" si="409"/>
        <v>89301000</v>
      </c>
      <c r="C9201" s="1">
        <v>44516</v>
      </c>
      <c r="D9201" s="1">
        <v>44517</v>
      </c>
      <c r="E9201">
        <v>1</v>
      </c>
      <c r="F9201" t="s">
        <v>2111</v>
      </c>
      <c r="G9201" t="str">
        <f>"10-K15-02"</f>
        <v>10-K15-02</v>
      </c>
      <c r="H9201">
        <v>0.51819999999999999</v>
      </c>
      <c r="I9201" t="s">
        <v>6403</v>
      </c>
      <c r="J9201" t="s">
        <v>14</v>
      </c>
      <c r="K9201" t="str">
        <f>"2F5"</f>
        <v>2F5</v>
      </c>
      <c r="L9201" t="s">
        <v>15</v>
      </c>
    </row>
    <row r="9202" spans="1:12" x14ac:dyDescent="0.25">
      <c r="A9202" t="str">
        <f>"6952255365"</f>
        <v>6952255365</v>
      </c>
      <c r="B9202" t="str">
        <f t="shared" si="409"/>
        <v>89301000</v>
      </c>
      <c r="C9202" s="1">
        <v>44337</v>
      </c>
      <c r="D9202" s="1">
        <v>44340</v>
      </c>
      <c r="E9202">
        <v>1</v>
      </c>
      <c r="F9202" t="s">
        <v>1683</v>
      </c>
      <c r="G9202" t="str">
        <f>"05-M06-06"</f>
        <v>05-M06-06</v>
      </c>
      <c r="H9202">
        <v>2.5251999999999999</v>
      </c>
      <c r="J9202" t="s">
        <v>17</v>
      </c>
      <c r="K9202" t="str">
        <f>"1F7"</f>
        <v>1F7</v>
      </c>
      <c r="L9202" t="s">
        <v>15</v>
      </c>
    </row>
    <row r="9203" spans="1:12" x14ac:dyDescent="0.25">
      <c r="A9203" t="str">
        <f>"6953015311"</f>
        <v>6953015311</v>
      </c>
      <c r="B9203" t="str">
        <f t="shared" si="409"/>
        <v>89301000</v>
      </c>
      <c r="C9203" s="1">
        <v>44271</v>
      </c>
      <c r="D9203" s="1">
        <v>44281</v>
      </c>
      <c r="E9203">
        <v>1</v>
      </c>
      <c r="F9203" t="s">
        <v>109</v>
      </c>
      <c r="G9203" t="str">
        <f>"24-M06-01"</f>
        <v>24-M06-01</v>
      </c>
      <c r="H9203">
        <v>1.1548</v>
      </c>
      <c r="I9203" t="s">
        <v>4595</v>
      </c>
      <c r="J9203" t="s">
        <v>14</v>
      </c>
      <c r="K9203" t="str">
        <f>"2F1"</f>
        <v>2F1</v>
      </c>
      <c r="L9203" t="s">
        <v>15</v>
      </c>
    </row>
    <row r="9204" spans="1:12" x14ac:dyDescent="0.25">
      <c r="A9204" t="str">
        <f>"6953015311"</f>
        <v>6953015311</v>
      </c>
      <c r="B9204" t="str">
        <f t="shared" si="409"/>
        <v>89301000</v>
      </c>
      <c r="C9204" s="1">
        <v>44265</v>
      </c>
      <c r="D9204" s="1">
        <v>44271</v>
      </c>
      <c r="E9204">
        <v>3</v>
      </c>
      <c r="F9204" t="s">
        <v>67</v>
      </c>
      <c r="G9204" t="str">
        <f>"01-C02-02"</f>
        <v>01-C02-02</v>
      </c>
      <c r="H9204">
        <v>1.4877</v>
      </c>
      <c r="I9204" t="s">
        <v>489</v>
      </c>
      <c r="J9204" t="s">
        <v>14</v>
      </c>
      <c r="K9204" t="str">
        <f>"2F9"</f>
        <v>2F9</v>
      </c>
      <c r="L9204" t="s">
        <v>15</v>
      </c>
    </row>
    <row r="9205" spans="1:12" x14ac:dyDescent="0.25">
      <c r="A9205" t="str">
        <f>"6953029919"</f>
        <v>6953029919</v>
      </c>
      <c r="B9205" t="str">
        <f t="shared" si="409"/>
        <v>89301000</v>
      </c>
      <c r="C9205" s="1">
        <v>44286</v>
      </c>
      <c r="D9205" s="1">
        <v>44289</v>
      </c>
      <c r="E9205">
        <v>1</v>
      </c>
      <c r="F9205" t="s">
        <v>1878</v>
      </c>
      <c r="G9205" t="str">
        <f>"10-K12-02"</f>
        <v>10-K12-02</v>
      </c>
      <c r="H9205">
        <v>0.94830000000000003</v>
      </c>
      <c r="I9205" t="s">
        <v>6404</v>
      </c>
      <c r="J9205" t="s">
        <v>14</v>
      </c>
      <c r="K9205" t="str">
        <f>"1F1"</f>
        <v>1F1</v>
      </c>
      <c r="L9205" t="s">
        <v>15</v>
      </c>
    </row>
    <row r="9206" spans="1:12" x14ac:dyDescent="0.25">
      <c r="A9206" t="str">
        <f>"6953034462"</f>
        <v>6953034462</v>
      </c>
      <c r="B9206" t="str">
        <f t="shared" si="409"/>
        <v>89301000</v>
      </c>
      <c r="C9206" s="1">
        <v>44222</v>
      </c>
      <c r="D9206" s="1">
        <v>44236</v>
      </c>
      <c r="E9206">
        <v>4</v>
      </c>
      <c r="F9206" t="s">
        <v>6405</v>
      </c>
      <c r="G9206" t="str">
        <f>"05-I13-02"</f>
        <v>05-I13-02</v>
      </c>
      <c r="H9206">
        <v>9.2222000000000008</v>
      </c>
      <c r="J9206" t="s">
        <v>17</v>
      </c>
      <c r="K9206" t="str">
        <f>"5F5"</f>
        <v>5F5</v>
      </c>
      <c r="L9206" t="s">
        <v>15</v>
      </c>
    </row>
    <row r="9207" spans="1:12" x14ac:dyDescent="0.25">
      <c r="A9207" t="str">
        <f>"6953205314"</f>
        <v>6953205314</v>
      </c>
      <c r="B9207" t="str">
        <f t="shared" si="409"/>
        <v>89301000</v>
      </c>
      <c r="C9207" s="1">
        <v>44201</v>
      </c>
      <c r="D9207" s="1">
        <v>44203</v>
      </c>
      <c r="E9207">
        <v>1</v>
      </c>
      <c r="F9207" t="s">
        <v>2311</v>
      </c>
      <c r="G9207" t="str">
        <f>"08-I03-08"</f>
        <v>08-I03-08</v>
      </c>
      <c r="H9207">
        <v>2.0605000000000002</v>
      </c>
      <c r="I9207" t="s">
        <v>489</v>
      </c>
      <c r="J9207" t="s">
        <v>17</v>
      </c>
      <c r="K9207" t="str">
        <f>"5F6"</f>
        <v>5F6</v>
      </c>
      <c r="L9207" t="s">
        <v>15</v>
      </c>
    </row>
    <row r="9208" spans="1:12" x14ac:dyDescent="0.25">
      <c r="A9208" t="str">
        <f>"6954015772"</f>
        <v>6954015772</v>
      </c>
      <c r="B9208" t="str">
        <f t="shared" si="409"/>
        <v>89301000</v>
      </c>
      <c r="C9208" s="1">
        <v>44304</v>
      </c>
      <c r="D9208" s="1">
        <v>44307</v>
      </c>
      <c r="E9208">
        <v>1</v>
      </c>
      <c r="F9208" t="s">
        <v>1581</v>
      </c>
      <c r="G9208" t="str">
        <f>"05-M04-04"</f>
        <v>05-M04-04</v>
      </c>
      <c r="H9208">
        <v>2.4672999999999998</v>
      </c>
      <c r="I9208" t="s">
        <v>6406</v>
      </c>
      <c r="J9208" t="s">
        <v>17</v>
      </c>
      <c r="K9208" t="str">
        <f>"5F1"</f>
        <v>5F1</v>
      </c>
      <c r="L9208" t="s">
        <v>15</v>
      </c>
    </row>
    <row r="9209" spans="1:12" x14ac:dyDescent="0.25">
      <c r="A9209" t="str">
        <f>"6954114497"</f>
        <v>6954114497</v>
      </c>
      <c r="B9209" t="str">
        <f t="shared" si="409"/>
        <v>89301000</v>
      </c>
      <c r="C9209" s="1">
        <v>44346</v>
      </c>
      <c r="D9209" s="1">
        <v>44348</v>
      </c>
      <c r="E9209">
        <v>1</v>
      </c>
      <c r="F9209" t="s">
        <v>1690</v>
      </c>
      <c r="G9209" t="str">
        <f>"07-K05-02"</f>
        <v>07-K05-02</v>
      </c>
      <c r="H9209">
        <v>0.60189999999999999</v>
      </c>
      <c r="I9209" t="s">
        <v>489</v>
      </c>
      <c r="J9209" t="s">
        <v>14</v>
      </c>
      <c r="K9209" t="str">
        <f>"1F5"</f>
        <v>1F5</v>
      </c>
      <c r="L9209" t="s">
        <v>15</v>
      </c>
    </row>
    <row r="9210" spans="1:12" x14ac:dyDescent="0.25">
      <c r="A9210" t="str">
        <f>"6954145308"</f>
        <v>6954145308</v>
      </c>
      <c r="B9210" t="str">
        <f t="shared" si="409"/>
        <v>89301000</v>
      </c>
      <c r="C9210" s="1">
        <v>44268</v>
      </c>
      <c r="D9210" s="1">
        <v>44274</v>
      </c>
      <c r="E9210">
        <v>1</v>
      </c>
      <c r="F9210" t="s">
        <v>504</v>
      </c>
      <c r="G9210" t="str">
        <f>"06-K11-00"</f>
        <v>06-K11-00</v>
      </c>
      <c r="H9210">
        <v>0.34810000000000002</v>
      </c>
      <c r="J9210" t="s">
        <v>14</v>
      </c>
      <c r="K9210" t="str">
        <f>"5F1"</f>
        <v>5F1</v>
      </c>
      <c r="L9210" t="s">
        <v>15</v>
      </c>
    </row>
    <row r="9211" spans="1:12" x14ac:dyDescent="0.25">
      <c r="A9211" t="str">
        <f>"6954205456"</f>
        <v>6954205456</v>
      </c>
      <c r="B9211" t="str">
        <f t="shared" si="409"/>
        <v>89301000</v>
      </c>
      <c r="C9211" s="1">
        <v>44351</v>
      </c>
      <c r="D9211" s="1">
        <v>44352</v>
      </c>
      <c r="E9211">
        <v>1</v>
      </c>
      <c r="F9211" t="s">
        <v>41</v>
      </c>
      <c r="G9211" t="str">
        <f>"01-I11-01"</f>
        <v>01-I11-01</v>
      </c>
      <c r="H9211">
        <v>0.99990000000000001</v>
      </c>
      <c r="I9211" t="s">
        <v>1959</v>
      </c>
      <c r="J9211" t="s">
        <v>17</v>
      </c>
      <c r="K9211" t="str">
        <f>"7F1"</f>
        <v>7F1</v>
      </c>
      <c r="L9211" t="s">
        <v>15</v>
      </c>
    </row>
    <row r="9212" spans="1:12" x14ac:dyDescent="0.25">
      <c r="A9212" t="str">
        <f>"6954235310"</f>
        <v>6954235310</v>
      </c>
      <c r="B9212" t="str">
        <f t="shared" si="409"/>
        <v>89301000</v>
      </c>
      <c r="C9212" s="1">
        <v>44507</v>
      </c>
      <c r="D9212" s="1">
        <v>44509</v>
      </c>
      <c r="E9212">
        <v>1</v>
      </c>
      <c r="F9212" t="s">
        <v>4382</v>
      </c>
      <c r="G9212" t="str">
        <f>"05-I30-02"</f>
        <v>05-I30-02</v>
      </c>
      <c r="H9212">
        <v>0.46729999999999999</v>
      </c>
      <c r="I9212" t="s">
        <v>2966</v>
      </c>
      <c r="J9212" t="s">
        <v>14</v>
      </c>
      <c r="K9212" t="str">
        <f>"5F1"</f>
        <v>5F1</v>
      </c>
      <c r="L9212" t="s">
        <v>15</v>
      </c>
    </row>
    <row r="9213" spans="1:12" x14ac:dyDescent="0.25">
      <c r="A9213" t="str">
        <f>"6954295326"</f>
        <v>6954295326</v>
      </c>
      <c r="B9213" t="str">
        <f t="shared" si="409"/>
        <v>89301000</v>
      </c>
      <c r="C9213" s="1">
        <v>44304</v>
      </c>
      <c r="D9213" s="1">
        <v>44316</v>
      </c>
      <c r="E9213">
        <v>1</v>
      </c>
      <c r="F9213" t="s">
        <v>575</v>
      </c>
      <c r="G9213" t="str">
        <f>"18-K02-03"</f>
        <v>18-K02-03</v>
      </c>
      <c r="H9213">
        <v>0.97950000000000004</v>
      </c>
      <c r="I9213" t="s">
        <v>3058</v>
      </c>
      <c r="J9213" t="s">
        <v>14</v>
      </c>
      <c r="K9213" t="str">
        <f>"6F3"</f>
        <v>6F3</v>
      </c>
      <c r="L9213" t="s">
        <v>15</v>
      </c>
    </row>
    <row r="9214" spans="1:12" x14ac:dyDescent="0.25">
      <c r="A9214" t="str">
        <f>"6954295326"</f>
        <v>6954295326</v>
      </c>
      <c r="B9214" t="str">
        <f t="shared" si="409"/>
        <v>89301000</v>
      </c>
      <c r="C9214" s="1">
        <v>44326</v>
      </c>
      <c r="D9214" s="1">
        <v>44333</v>
      </c>
      <c r="E9214">
        <v>1</v>
      </c>
      <c r="F9214" t="s">
        <v>1980</v>
      </c>
      <c r="G9214" t="str">
        <f>"06-K22-03"</f>
        <v>06-K22-03</v>
      </c>
      <c r="H9214">
        <v>0.37059999999999998</v>
      </c>
      <c r="I9214" t="s">
        <v>6407</v>
      </c>
      <c r="J9214" t="s">
        <v>14</v>
      </c>
      <c r="K9214" t="str">
        <f>"5F1"</f>
        <v>5F1</v>
      </c>
      <c r="L9214" t="s">
        <v>15</v>
      </c>
    </row>
    <row r="9215" spans="1:12" x14ac:dyDescent="0.25">
      <c r="A9215" t="str">
        <f>"6955065304"</f>
        <v>6955065304</v>
      </c>
      <c r="B9215" t="str">
        <f t="shared" si="409"/>
        <v>89301000</v>
      </c>
      <c r="C9215" s="1">
        <v>44547</v>
      </c>
      <c r="D9215" s="1">
        <v>44552</v>
      </c>
      <c r="E9215">
        <v>1</v>
      </c>
      <c r="F9215" t="s">
        <v>588</v>
      </c>
      <c r="G9215" t="str">
        <f>"07-K02-03"</f>
        <v>07-K02-03</v>
      </c>
      <c r="H9215">
        <v>0.7742</v>
      </c>
      <c r="I9215" t="s">
        <v>593</v>
      </c>
      <c r="J9215" t="s">
        <v>14</v>
      </c>
      <c r="K9215" t="str">
        <f>"1F1"</f>
        <v>1F1</v>
      </c>
      <c r="L9215" t="s">
        <v>15</v>
      </c>
    </row>
    <row r="9216" spans="1:12" x14ac:dyDescent="0.25">
      <c r="A9216" t="str">
        <f>"6955073499"</f>
        <v>6955073499</v>
      </c>
      <c r="B9216" t="str">
        <f t="shared" si="409"/>
        <v>89301000</v>
      </c>
      <c r="C9216" s="1">
        <v>44493</v>
      </c>
      <c r="D9216" s="1">
        <v>44496</v>
      </c>
      <c r="E9216">
        <v>1</v>
      </c>
      <c r="F9216" t="s">
        <v>5283</v>
      </c>
      <c r="G9216" t="str">
        <f>"13-I13-02"</f>
        <v>13-I13-02</v>
      </c>
      <c r="H9216">
        <v>0.98650000000000004</v>
      </c>
      <c r="J9216" t="s">
        <v>17</v>
      </c>
      <c r="K9216" t="str">
        <f>"6F3"</f>
        <v>6F3</v>
      </c>
      <c r="L9216" t="s">
        <v>15</v>
      </c>
    </row>
    <row r="9217" spans="1:12" x14ac:dyDescent="0.25">
      <c r="A9217" t="str">
        <f>"6955145318"</f>
        <v>6955145318</v>
      </c>
      <c r="B9217" t="str">
        <f t="shared" si="409"/>
        <v>89301000</v>
      </c>
      <c r="C9217" s="1">
        <v>44476</v>
      </c>
      <c r="D9217" s="1">
        <v>44477</v>
      </c>
      <c r="E9217">
        <v>1</v>
      </c>
      <c r="F9217" t="s">
        <v>6408</v>
      </c>
      <c r="G9217" t="str">
        <f>"01-K01-01"</f>
        <v>01-K01-01</v>
      </c>
      <c r="H9217">
        <v>0.56820000000000004</v>
      </c>
      <c r="I9217" t="s">
        <v>6409</v>
      </c>
      <c r="J9217" t="s">
        <v>14</v>
      </c>
      <c r="K9217" t="str">
        <f>"2F9"</f>
        <v>2F9</v>
      </c>
      <c r="L9217" t="s">
        <v>15</v>
      </c>
    </row>
    <row r="9218" spans="1:12" x14ac:dyDescent="0.25">
      <c r="A9218" t="str">
        <f>"6955145318"</f>
        <v>6955145318</v>
      </c>
      <c r="B9218" t="str">
        <f t="shared" si="409"/>
        <v>89301000</v>
      </c>
      <c r="C9218" s="1">
        <v>44460</v>
      </c>
      <c r="D9218" s="1">
        <v>44461</v>
      </c>
      <c r="E9218">
        <v>1</v>
      </c>
      <c r="F9218" t="s">
        <v>6408</v>
      </c>
      <c r="G9218" t="str">
        <f>"01-K01-01"</f>
        <v>01-K01-01</v>
      </c>
      <c r="H9218">
        <v>0.56820000000000004</v>
      </c>
      <c r="I9218" t="s">
        <v>6410</v>
      </c>
      <c r="J9218" t="s">
        <v>14</v>
      </c>
      <c r="K9218" t="str">
        <f>"2F9"</f>
        <v>2F9</v>
      </c>
      <c r="L9218" t="s">
        <v>15</v>
      </c>
    </row>
    <row r="9219" spans="1:12" x14ac:dyDescent="0.25">
      <c r="A9219" t="str">
        <f>"6955210856"</f>
        <v>6955210856</v>
      </c>
      <c r="B9219" t="str">
        <f t="shared" si="409"/>
        <v>89301000</v>
      </c>
      <c r="C9219" s="1">
        <v>44238</v>
      </c>
      <c r="D9219" s="1">
        <v>44241</v>
      </c>
      <c r="E9219">
        <v>1</v>
      </c>
      <c r="F9219" t="s">
        <v>4196</v>
      </c>
      <c r="G9219" t="str">
        <f>"08-M03-01"</f>
        <v>08-M03-01</v>
      </c>
      <c r="H9219">
        <v>1.4426000000000001</v>
      </c>
      <c r="J9219" t="s">
        <v>14</v>
      </c>
      <c r="K9219" t="str">
        <f>"6F6"</f>
        <v>6F6</v>
      </c>
      <c r="L9219" t="s">
        <v>15</v>
      </c>
    </row>
    <row r="9220" spans="1:12" x14ac:dyDescent="0.25">
      <c r="A9220" t="str">
        <f>"6955210856"</f>
        <v>6955210856</v>
      </c>
      <c r="B9220" t="str">
        <f t="shared" si="409"/>
        <v>89301000</v>
      </c>
      <c r="C9220" s="1">
        <v>44378</v>
      </c>
      <c r="D9220" s="1">
        <v>44381</v>
      </c>
      <c r="E9220">
        <v>1</v>
      </c>
      <c r="F9220" t="s">
        <v>4196</v>
      </c>
      <c r="G9220" t="str">
        <f>"08-M03-05"</f>
        <v>08-M03-05</v>
      </c>
      <c r="H9220">
        <v>0.51759999999999995</v>
      </c>
      <c r="J9220" t="s">
        <v>14</v>
      </c>
      <c r="K9220" t="str">
        <f>"6F6"</f>
        <v>6F6</v>
      </c>
      <c r="L9220" t="s">
        <v>15</v>
      </c>
    </row>
    <row r="9221" spans="1:12" x14ac:dyDescent="0.25">
      <c r="A9221" t="str">
        <f>"6955255769"</f>
        <v>6955255769</v>
      </c>
      <c r="B9221" t="str">
        <f t="shared" si="409"/>
        <v>89301000</v>
      </c>
      <c r="C9221" s="1">
        <v>44531</v>
      </c>
      <c r="D9221" s="1">
        <v>44536</v>
      </c>
      <c r="E9221">
        <v>1</v>
      </c>
      <c r="F9221" t="s">
        <v>2931</v>
      </c>
      <c r="G9221" t="str">
        <f>"07-K04-03"</f>
        <v>07-K04-03</v>
      </c>
      <c r="H9221">
        <v>1.0898000000000001</v>
      </c>
      <c r="I9221" t="s">
        <v>6411</v>
      </c>
      <c r="J9221" t="s">
        <v>14</v>
      </c>
      <c r="K9221" t="str">
        <f>"1F1"</f>
        <v>1F1</v>
      </c>
      <c r="L9221" t="s">
        <v>15</v>
      </c>
    </row>
    <row r="9222" spans="1:12" x14ac:dyDescent="0.25">
      <c r="A9222" t="str">
        <f>"6956054457"</f>
        <v>6956054457</v>
      </c>
      <c r="B9222" t="str">
        <f t="shared" si="409"/>
        <v>89301000</v>
      </c>
      <c r="C9222" s="1">
        <v>44218</v>
      </c>
      <c r="D9222" s="1">
        <v>44221</v>
      </c>
      <c r="E9222">
        <v>1</v>
      </c>
      <c r="F9222" t="s">
        <v>4491</v>
      </c>
      <c r="G9222" t="str">
        <f>"01-C01-03"</f>
        <v>01-C01-03</v>
      </c>
      <c r="H9222">
        <v>1.6254999999999999</v>
      </c>
      <c r="I9222" t="s">
        <v>6412</v>
      </c>
      <c r="J9222" t="s">
        <v>14</v>
      </c>
      <c r="K9222" t="str">
        <f>"2F9"</f>
        <v>2F9</v>
      </c>
      <c r="L9222" t="s">
        <v>15</v>
      </c>
    </row>
    <row r="9223" spans="1:12" x14ac:dyDescent="0.25">
      <c r="A9223" t="str">
        <f>"6956055326"</f>
        <v>6956055326</v>
      </c>
      <c r="B9223" t="str">
        <f t="shared" si="409"/>
        <v>89301000</v>
      </c>
      <c r="C9223" s="1">
        <v>44518</v>
      </c>
      <c r="D9223" s="1">
        <v>44520</v>
      </c>
      <c r="E9223">
        <v>1</v>
      </c>
      <c r="F9223" t="s">
        <v>2766</v>
      </c>
      <c r="G9223" t="str">
        <f>"08-I15-03"</f>
        <v>08-I15-03</v>
      </c>
      <c r="H9223">
        <v>1.1838</v>
      </c>
      <c r="I9223" t="s">
        <v>6413</v>
      </c>
      <c r="J9223" t="s">
        <v>17</v>
      </c>
      <c r="K9223" t="str">
        <f>"5F3"</f>
        <v>5F3</v>
      </c>
      <c r="L9223" t="s">
        <v>15</v>
      </c>
    </row>
    <row r="9224" spans="1:12" x14ac:dyDescent="0.25">
      <c r="A9224" t="str">
        <f>"6956125770"</f>
        <v>6956125770</v>
      </c>
      <c r="B9224" t="str">
        <f t="shared" si="409"/>
        <v>89301000</v>
      </c>
      <c r="C9224" s="1">
        <v>44326</v>
      </c>
      <c r="D9224" s="1">
        <v>44330</v>
      </c>
      <c r="E9224">
        <v>1</v>
      </c>
      <c r="F9224" t="s">
        <v>6414</v>
      </c>
      <c r="G9224" t="str">
        <f>"01-K04-02"</f>
        <v>01-K04-02</v>
      </c>
      <c r="H9224">
        <v>0.80059999999999998</v>
      </c>
      <c r="I9224" t="s">
        <v>6415</v>
      </c>
      <c r="J9224" t="s">
        <v>14</v>
      </c>
      <c r="K9224" t="str">
        <f>"2F9"</f>
        <v>2F9</v>
      </c>
      <c r="L9224" t="s">
        <v>15</v>
      </c>
    </row>
    <row r="9225" spans="1:12" x14ac:dyDescent="0.25">
      <c r="A9225" t="str">
        <f>"6956155305"</f>
        <v>6956155305</v>
      </c>
      <c r="B9225" t="str">
        <f t="shared" si="409"/>
        <v>89301000</v>
      </c>
      <c r="C9225" s="1">
        <v>44452</v>
      </c>
      <c r="D9225" s="1">
        <v>44455</v>
      </c>
      <c r="E9225">
        <v>3</v>
      </c>
      <c r="F9225" t="s">
        <v>210</v>
      </c>
      <c r="G9225" t="str">
        <f>"08-I14-03"</f>
        <v>08-I14-03</v>
      </c>
      <c r="H9225">
        <v>2.0093999999999999</v>
      </c>
      <c r="I9225" t="s">
        <v>381</v>
      </c>
      <c r="J9225" t="s">
        <v>17</v>
      </c>
      <c r="K9225" t="str">
        <f>"5F3"</f>
        <v>5F3</v>
      </c>
      <c r="L9225" t="s">
        <v>15</v>
      </c>
    </row>
    <row r="9226" spans="1:12" x14ac:dyDescent="0.25">
      <c r="A9226" t="str">
        <f>"6956155305"</f>
        <v>6956155305</v>
      </c>
      <c r="B9226" t="str">
        <f t="shared" si="409"/>
        <v>89301000</v>
      </c>
      <c r="C9226" s="1">
        <v>44455</v>
      </c>
      <c r="D9226" s="1">
        <v>44462</v>
      </c>
      <c r="E9226">
        <v>1</v>
      </c>
      <c r="F9226" t="s">
        <v>109</v>
      </c>
      <c r="G9226" t="str">
        <f>"24-M06-02"</f>
        <v>24-M06-02</v>
      </c>
      <c r="H9226">
        <v>1.0233000000000001</v>
      </c>
      <c r="I9226" t="s">
        <v>6416</v>
      </c>
      <c r="J9226" t="s">
        <v>14</v>
      </c>
      <c r="K9226" t="str">
        <f>"2F1"</f>
        <v>2F1</v>
      </c>
      <c r="L9226" t="s">
        <v>15</v>
      </c>
    </row>
    <row r="9227" spans="1:12" x14ac:dyDescent="0.25">
      <c r="A9227" t="str">
        <f>"6956181837"</f>
        <v>6956181837</v>
      </c>
      <c r="B9227" t="str">
        <f t="shared" si="409"/>
        <v>89301000</v>
      </c>
      <c r="C9227" s="1">
        <v>44362</v>
      </c>
      <c r="D9227" s="1">
        <v>44363</v>
      </c>
      <c r="E9227">
        <v>1</v>
      </c>
      <c r="F9227" t="s">
        <v>1558</v>
      </c>
      <c r="G9227" t="str">
        <f>"05-D01-06"</f>
        <v>05-D01-06</v>
      </c>
      <c r="H9227">
        <v>0.7611</v>
      </c>
      <c r="J9227" t="s">
        <v>14</v>
      </c>
      <c r="K9227" t="str">
        <f>"1F7"</f>
        <v>1F7</v>
      </c>
      <c r="L9227" t="s">
        <v>15</v>
      </c>
    </row>
    <row r="9228" spans="1:12" x14ac:dyDescent="0.25">
      <c r="A9228" t="str">
        <f>"6956181837"</f>
        <v>6956181837</v>
      </c>
      <c r="B9228" t="str">
        <f t="shared" si="409"/>
        <v>89301000</v>
      </c>
      <c r="C9228" s="1">
        <v>44425</v>
      </c>
      <c r="D9228" s="1">
        <v>44434</v>
      </c>
      <c r="E9228">
        <v>4</v>
      </c>
      <c r="F9228" t="s">
        <v>3002</v>
      </c>
      <c r="G9228" t="str">
        <f>"05-I08-02"</f>
        <v>05-I08-02</v>
      </c>
      <c r="H9228">
        <v>7.0251999999999999</v>
      </c>
      <c r="J9228" t="s">
        <v>17</v>
      </c>
      <c r="K9228" t="str">
        <f>"5F5"</f>
        <v>5F5</v>
      </c>
      <c r="L9228" t="s">
        <v>15</v>
      </c>
    </row>
    <row r="9229" spans="1:12" x14ac:dyDescent="0.25">
      <c r="A9229" t="str">
        <f>"6956244504"</f>
        <v>6956244504</v>
      </c>
      <c r="B9229" t="str">
        <f t="shared" si="409"/>
        <v>89301000</v>
      </c>
      <c r="C9229" s="1">
        <v>44410</v>
      </c>
      <c r="D9229" s="1">
        <v>44412</v>
      </c>
      <c r="E9229">
        <v>1</v>
      </c>
      <c r="F9229" t="s">
        <v>5705</v>
      </c>
      <c r="G9229" t="str">
        <f>"08-I25-02"</f>
        <v>08-I25-02</v>
      </c>
      <c r="H9229">
        <v>0.5746</v>
      </c>
      <c r="I9229" t="s">
        <v>6417</v>
      </c>
      <c r="J9229" t="s">
        <v>14</v>
      </c>
      <c r="K9229" t="str">
        <f>"6F6"</f>
        <v>6F6</v>
      </c>
      <c r="L9229" t="s">
        <v>15</v>
      </c>
    </row>
    <row r="9230" spans="1:12" x14ac:dyDescent="0.25">
      <c r="A9230" t="str">
        <f>"6956245681"</f>
        <v>6956245681</v>
      </c>
      <c r="B9230" t="str">
        <f t="shared" si="409"/>
        <v>89301000</v>
      </c>
      <c r="C9230" s="1">
        <v>44522</v>
      </c>
      <c r="D9230" s="1">
        <v>44529</v>
      </c>
      <c r="E9230">
        <v>1</v>
      </c>
      <c r="F9230" t="s">
        <v>6418</v>
      </c>
      <c r="G9230" t="str">
        <f>"13-I14-02"</f>
        <v>13-I14-02</v>
      </c>
      <c r="H9230">
        <v>1.3962000000000001</v>
      </c>
      <c r="J9230" t="s">
        <v>24</v>
      </c>
      <c r="K9230" t="str">
        <f>"6F3"</f>
        <v>6F3</v>
      </c>
      <c r="L9230" t="s">
        <v>15</v>
      </c>
    </row>
    <row r="9231" spans="1:12" x14ac:dyDescent="0.25">
      <c r="A9231" t="str">
        <f>"6956265305"</f>
        <v>6956265305</v>
      </c>
      <c r="B9231" t="str">
        <f t="shared" si="409"/>
        <v>89301000</v>
      </c>
      <c r="C9231" s="1">
        <v>44229</v>
      </c>
      <c r="D9231" s="1">
        <v>44233</v>
      </c>
      <c r="E9231">
        <v>1</v>
      </c>
      <c r="F9231" t="s">
        <v>39</v>
      </c>
      <c r="G9231" t="str">
        <f>"03-I19-03"</f>
        <v>03-I19-03</v>
      </c>
      <c r="H9231">
        <v>0.60699999999999998</v>
      </c>
      <c r="I9231" t="s">
        <v>320</v>
      </c>
      <c r="J9231" t="s">
        <v>14</v>
      </c>
      <c r="K9231" t="str">
        <f>"6F5"</f>
        <v>6F5</v>
      </c>
      <c r="L9231" t="s">
        <v>15</v>
      </c>
    </row>
    <row r="9232" spans="1:12" x14ac:dyDescent="0.25">
      <c r="A9232" t="str">
        <f>"6956283510"</f>
        <v>6956283510</v>
      </c>
      <c r="B9232" t="str">
        <f t="shared" si="409"/>
        <v>89301000</v>
      </c>
      <c r="C9232" s="1">
        <v>44294</v>
      </c>
      <c r="D9232" s="1">
        <v>44299</v>
      </c>
      <c r="E9232">
        <v>1</v>
      </c>
      <c r="F9232" t="s">
        <v>6419</v>
      </c>
      <c r="G9232" t="str">
        <f>"07-M02-01"</f>
        <v>07-M02-01</v>
      </c>
      <c r="H9232">
        <v>2.5634999999999999</v>
      </c>
      <c r="I9232" t="s">
        <v>6420</v>
      </c>
      <c r="J9232" t="s">
        <v>17</v>
      </c>
      <c r="K9232" t="str">
        <f>"1F5"</f>
        <v>1F5</v>
      </c>
      <c r="L9232" t="s">
        <v>15</v>
      </c>
    </row>
    <row r="9233" spans="1:12" x14ac:dyDescent="0.25">
      <c r="A9233" t="str">
        <f>"6956285325"</f>
        <v>6956285325</v>
      </c>
      <c r="B9233" t="str">
        <f t="shared" si="409"/>
        <v>89301000</v>
      </c>
      <c r="C9233" s="1">
        <v>44515</v>
      </c>
      <c r="D9233" s="1">
        <v>44515</v>
      </c>
      <c r="E9233">
        <v>4</v>
      </c>
      <c r="F9233" t="s">
        <v>6421</v>
      </c>
      <c r="G9233" t="str">
        <f>"25-K01-02"</f>
        <v>25-K01-02</v>
      </c>
      <c r="H9233">
        <v>0.95289999999999997</v>
      </c>
      <c r="I9233" t="s">
        <v>6422</v>
      </c>
      <c r="J9233" t="s">
        <v>17</v>
      </c>
      <c r="K9233" t="str">
        <f>"5F6"</f>
        <v>5F6</v>
      </c>
      <c r="L9233" t="s">
        <v>15</v>
      </c>
    </row>
    <row r="9234" spans="1:12" x14ac:dyDescent="0.25">
      <c r="A9234" t="str">
        <f>"6957075345"</f>
        <v>6957075345</v>
      </c>
      <c r="B9234" t="str">
        <f t="shared" si="409"/>
        <v>89301000</v>
      </c>
      <c r="C9234" s="1">
        <v>44412</v>
      </c>
      <c r="D9234" s="1">
        <v>44416</v>
      </c>
      <c r="E9234">
        <v>1</v>
      </c>
      <c r="F9234" t="s">
        <v>593</v>
      </c>
      <c r="G9234" t="str">
        <f>"07-I10-06"</f>
        <v>07-I10-06</v>
      </c>
      <c r="H9234">
        <v>0.9728</v>
      </c>
      <c r="I9234" t="s">
        <v>860</v>
      </c>
      <c r="J9234" t="s">
        <v>17</v>
      </c>
      <c r="K9234" t="str">
        <f>"5F1"</f>
        <v>5F1</v>
      </c>
      <c r="L9234" t="s">
        <v>15</v>
      </c>
    </row>
    <row r="9235" spans="1:12" x14ac:dyDescent="0.25">
      <c r="A9235" t="str">
        <f>"6957105331"</f>
        <v>6957105331</v>
      </c>
      <c r="B9235" t="str">
        <f t="shared" si="409"/>
        <v>89301000</v>
      </c>
      <c r="C9235" s="1">
        <v>44326</v>
      </c>
      <c r="D9235" s="1">
        <v>44326</v>
      </c>
      <c r="E9235">
        <v>6</v>
      </c>
      <c r="F9235" t="s">
        <v>5453</v>
      </c>
      <c r="G9235" t="str">
        <f>"13-I19-00"</f>
        <v>13-I19-00</v>
      </c>
      <c r="H9235">
        <v>0.1235</v>
      </c>
      <c r="J9235" t="s">
        <v>14</v>
      </c>
      <c r="K9235" t="str">
        <f>"6F3"</f>
        <v>6F3</v>
      </c>
      <c r="L9235" t="s">
        <v>15</v>
      </c>
    </row>
    <row r="9236" spans="1:12" x14ac:dyDescent="0.25">
      <c r="A9236" t="str">
        <f>"6957105331"</f>
        <v>6957105331</v>
      </c>
      <c r="B9236" t="str">
        <f t="shared" si="409"/>
        <v>89301000</v>
      </c>
      <c r="C9236" s="1">
        <v>44272</v>
      </c>
      <c r="D9236" s="1">
        <v>44273</v>
      </c>
      <c r="E9236">
        <v>1</v>
      </c>
      <c r="F9236" t="s">
        <v>5453</v>
      </c>
      <c r="G9236" t="str">
        <f>"13-I19-00"</f>
        <v>13-I19-00</v>
      </c>
      <c r="H9236">
        <v>0.29089999999999999</v>
      </c>
      <c r="I9236" t="s">
        <v>283</v>
      </c>
      <c r="J9236" t="s">
        <v>14</v>
      </c>
      <c r="K9236" t="str">
        <f>"6F3"</f>
        <v>6F3</v>
      </c>
      <c r="L9236" t="s">
        <v>15</v>
      </c>
    </row>
    <row r="9237" spans="1:12" x14ac:dyDescent="0.25">
      <c r="A9237" t="str">
        <f>"6957105364"</f>
        <v>6957105364</v>
      </c>
      <c r="B9237" t="str">
        <f t="shared" si="409"/>
        <v>89301000</v>
      </c>
      <c r="C9237" s="1">
        <v>44495</v>
      </c>
      <c r="D9237" s="1">
        <v>44496</v>
      </c>
      <c r="E9237">
        <v>1</v>
      </c>
      <c r="F9237" t="s">
        <v>1950</v>
      </c>
      <c r="G9237" t="str">
        <f>"02-I13-02"</f>
        <v>02-I13-02</v>
      </c>
      <c r="H9237">
        <v>0.376</v>
      </c>
      <c r="J9237" t="s">
        <v>14</v>
      </c>
      <c r="K9237" t="str">
        <f>"7F5"</f>
        <v>7F5</v>
      </c>
      <c r="L9237" t="s">
        <v>15</v>
      </c>
    </row>
    <row r="9238" spans="1:12" x14ac:dyDescent="0.25">
      <c r="A9238" t="str">
        <f>"6957123228"</f>
        <v>6957123228</v>
      </c>
      <c r="B9238" t="str">
        <f t="shared" si="409"/>
        <v>89301000</v>
      </c>
      <c r="C9238" s="1">
        <v>44482</v>
      </c>
      <c r="D9238" s="1">
        <v>44483</v>
      </c>
      <c r="E9238">
        <v>1</v>
      </c>
      <c r="F9238" t="s">
        <v>64</v>
      </c>
      <c r="G9238" t="str">
        <f>"08-I31-04"</f>
        <v>08-I31-04</v>
      </c>
      <c r="H9238">
        <v>0.50949999999999995</v>
      </c>
      <c r="I9238" t="s">
        <v>6423</v>
      </c>
      <c r="J9238" t="s">
        <v>14</v>
      </c>
      <c r="K9238" t="str">
        <f>"6F1"</f>
        <v>6F1</v>
      </c>
      <c r="L9238" t="s">
        <v>15</v>
      </c>
    </row>
    <row r="9239" spans="1:12" x14ac:dyDescent="0.25">
      <c r="A9239" t="str">
        <f>"6957125340"</f>
        <v>6957125340</v>
      </c>
      <c r="B9239" t="str">
        <f t="shared" si="409"/>
        <v>89301000</v>
      </c>
      <c r="C9239" s="1">
        <v>44432</v>
      </c>
      <c r="D9239" s="1">
        <v>44434</v>
      </c>
      <c r="E9239">
        <v>1</v>
      </c>
      <c r="F9239" t="s">
        <v>4196</v>
      </c>
      <c r="G9239" t="str">
        <f>"08-M03-02"</f>
        <v>08-M03-02</v>
      </c>
      <c r="H9239">
        <v>0.86970000000000003</v>
      </c>
      <c r="I9239" t="s">
        <v>111</v>
      </c>
      <c r="J9239" t="s">
        <v>14</v>
      </c>
      <c r="K9239" t="str">
        <f>"6F6"</f>
        <v>6F6</v>
      </c>
      <c r="L9239" t="s">
        <v>15</v>
      </c>
    </row>
    <row r="9240" spans="1:12" x14ac:dyDescent="0.25">
      <c r="A9240" t="str">
        <f>"6957205310"</f>
        <v>6957205310</v>
      </c>
      <c r="B9240" t="str">
        <f t="shared" si="409"/>
        <v>89301000</v>
      </c>
      <c r="C9240" s="1">
        <v>44515</v>
      </c>
      <c r="D9240" s="1">
        <v>44517</v>
      </c>
      <c r="E9240">
        <v>1</v>
      </c>
      <c r="F9240" t="s">
        <v>1553</v>
      </c>
      <c r="G9240" t="str">
        <f>"04-K05-03"</f>
        <v>04-K05-03</v>
      </c>
      <c r="H9240">
        <v>0.74980000000000002</v>
      </c>
      <c r="I9240" t="s">
        <v>6424</v>
      </c>
      <c r="J9240" t="s">
        <v>14</v>
      </c>
      <c r="K9240" t="str">
        <f>"1F1"</f>
        <v>1F1</v>
      </c>
      <c r="L9240" t="s">
        <v>15</v>
      </c>
    </row>
    <row r="9241" spans="1:12" x14ac:dyDescent="0.25">
      <c r="A9241" t="str">
        <f>"6957205310"</f>
        <v>6957205310</v>
      </c>
      <c r="B9241" t="str">
        <f t="shared" si="409"/>
        <v>89301000</v>
      </c>
      <c r="C9241" s="1">
        <v>44505</v>
      </c>
      <c r="D9241" s="1">
        <v>44506</v>
      </c>
      <c r="E9241">
        <v>1</v>
      </c>
      <c r="F9241" t="s">
        <v>6130</v>
      </c>
      <c r="G9241" t="str">
        <f>"13-I19-00"</f>
        <v>13-I19-00</v>
      </c>
      <c r="H9241">
        <v>0.24679999999999999</v>
      </c>
      <c r="J9241" t="s">
        <v>14</v>
      </c>
      <c r="K9241" t="str">
        <f>"6F3"</f>
        <v>6F3</v>
      </c>
      <c r="L9241" t="s">
        <v>15</v>
      </c>
    </row>
    <row r="9242" spans="1:12" x14ac:dyDescent="0.25">
      <c r="A9242" t="str">
        <f>"6957255767"</f>
        <v>6957255767</v>
      </c>
      <c r="B9242" t="str">
        <f t="shared" si="409"/>
        <v>89301000</v>
      </c>
      <c r="C9242" s="1">
        <v>44227</v>
      </c>
      <c r="D9242" s="1">
        <v>44233</v>
      </c>
      <c r="E9242">
        <v>1</v>
      </c>
      <c r="F9242" t="s">
        <v>6425</v>
      </c>
      <c r="G9242" t="str">
        <f>"13-I18-01"</f>
        <v>13-I18-01</v>
      </c>
      <c r="H9242">
        <v>1.8514999999999999</v>
      </c>
      <c r="J9242" t="s">
        <v>14</v>
      </c>
      <c r="K9242" t="str">
        <f>"6F3"</f>
        <v>6F3</v>
      </c>
      <c r="L9242" t="s">
        <v>15</v>
      </c>
    </row>
    <row r="9243" spans="1:12" x14ac:dyDescent="0.25">
      <c r="A9243" t="str">
        <f>"6957264457"</f>
        <v>6957264457</v>
      </c>
      <c r="B9243" t="str">
        <f t="shared" si="409"/>
        <v>89301000</v>
      </c>
      <c r="C9243" s="1">
        <v>44298</v>
      </c>
      <c r="D9243" s="1">
        <v>44302</v>
      </c>
      <c r="E9243">
        <v>1</v>
      </c>
      <c r="F9243" t="s">
        <v>2495</v>
      </c>
      <c r="G9243" t="str">
        <f>"13-I11-03"</f>
        <v>13-I11-03</v>
      </c>
      <c r="H9243">
        <v>1.3809</v>
      </c>
      <c r="J9243" t="s">
        <v>24</v>
      </c>
      <c r="K9243" t="str">
        <f>"6F3"</f>
        <v>6F3</v>
      </c>
      <c r="L9243" t="s">
        <v>15</v>
      </c>
    </row>
    <row r="9244" spans="1:12" x14ac:dyDescent="0.25">
      <c r="A9244" t="str">
        <f>"6958054499"</f>
        <v>6958054499</v>
      </c>
      <c r="B9244" t="str">
        <f t="shared" si="409"/>
        <v>89301000</v>
      </c>
      <c r="C9244" s="1">
        <v>44432</v>
      </c>
      <c r="D9244" s="1">
        <v>44469</v>
      </c>
      <c r="E9244">
        <v>1</v>
      </c>
      <c r="F9244" t="s">
        <v>98</v>
      </c>
      <c r="G9244" t="str">
        <f>"19-K07-02"</f>
        <v>19-K07-02</v>
      </c>
      <c r="H9244">
        <v>2.8759999999999999</v>
      </c>
      <c r="I9244" t="s">
        <v>6426</v>
      </c>
      <c r="J9244" t="s">
        <v>27</v>
      </c>
      <c r="K9244" t="str">
        <f>"3F5"</f>
        <v>3F5</v>
      </c>
      <c r="L9244" t="s">
        <v>15</v>
      </c>
    </row>
    <row r="9245" spans="1:12" x14ac:dyDescent="0.25">
      <c r="A9245" t="str">
        <f>"6958162233"</f>
        <v>6958162233</v>
      </c>
      <c r="B9245" t="str">
        <f t="shared" si="409"/>
        <v>89301000</v>
      </c>
      <c r="C9245" s="1">
        <v>44298</v>
      </c>
      <c r="D9245" s="1">
        <v>44300</v>
      </c>
      <c r="E9245">
        <v>1</v>
      </c>
      <c r="F9245" t="s">
        <v>2150</v>
      </c>
      <c r="G9245" t="str">
        <f>"11-K03-02"</f>
        <v>11-K03-02</v>
      </c>
      <c r="H9245">
        <v>0.6008</v>
      </c>
      <c r="I9245" t="s">
        <v>6427</v>
      </c>
      <c r="J9245" t="s">
        <v>14</v>
      </c>
      <c r="K9245" t="str">
        <f>"1F1"</f>
        <v>1F1</v>
      </c>
      <c r="L9245" t="s">
        <v>15</v>
      </c>
    </row>
    <row r="9246" spans="1:12" x14ac:dyDescent="0.25">
      <c r="A9246" t="str">
        <f>"6958204935"</f>
        <v>6958204935</v>
      </c>
      <c r="B9246" t="str">
        <f t="shared" si="409"/>
        <v>89301000</v>
      </c>
      <c r="C9246" s="1">
        <v>44342</v>
      </c>
      <c r="D9246" s="1">
        <v>44349</v>
      </c>
      <c r="E9246">
        <v>1</v>
      </c>
      <c r="F9246" t="s">
        <v>2006</v>
      </c>
      <c r="G9246" t="str">
        <f>"06-I13-02"</f>
        <v>06-I13-02</v>
      </c>
      <c r="H9246">
        <v>2.0766</v>
      </c>
      <c r="I9246" t="s">
        <v>4538</v>
      </c>
      <c r="J9246" t="s">
        <v>14</v>
      </c>
      <c r="K9246" t="str">
        <f>"5F1"</f>
        <v>5F1</v>
      </c>
      <c r="L9246" t="s">
        <v>15</v>
      </c>
    </row>
    <row r="9247" spans="1:12" x14ac:dyDescent="0.25">
      <c r="A9247" t="str">
        <f>"6959024270"</f>
        <v>6959024270</v>
      </c>
      <c r="B9247" t="str">
        <f t="shared" si="409"/>
        <v>89301000</v>
      </c>
      <c r="C9247" s="1">
        <v>44462</v>
      </c>
      <c r="D9247" s="1">
        <v>44469</v>
      </c>
      <c r="E9247">
        <v>1</v>
      </c>
      <c r="F9247" t="s">
        <v>6379</v>
      </c>
      <c r="G9247" t="str">
        <f>"07-K03-01"</f>
        <v>07-K03-01</v>
      </c>
      <c r="H9247">
        <v>2.1690999999999998</v>
      </c>
      <c r="I9247" t="s">
        <v>6428</v>
      </c>
      <c r="J9247" t="s">
        <v>14</v>
      </c>
      <c r="K9247" t="str">
        <f>"1F5"</f>
        <v>1F5</v>
      </c>
      <c r="L9247" t="s">
        <v>15</v>
      </c>
    </row>
    <row r="9248" spans="1:12" x14ac:dyDescent="0.25">
      <c r="A9248" t="str">
        <f>"6959055345"</f>
        <v>6959055345</v>
      </c>
      <c r="B9248" t="str">
        <f t="shared" si="409"/>
        <v>89301000</v>
      </c>
      <c r="C9248" s="1">
        <v>44230</v>
      </c>
      <c r="D9248" s="1">
        <v>44231</v>
      </c>
      <c r="E9248">
        <v>1</v>
      </c>
      <c r="F9248" t="s">
        <v>1805</v>
      </c>
      <c r="G9248" t="str">
        <f>"13-I19-00"</f>
        <v>13-I19-00</v>
      </c>
      <c r="H9248">
        <v>0.24679999999999999</v>
      </c>
      <c r="I9248" t="s">
        <v>489</v>
      </c>
      <c r="J9248" t="s">
        <v>14</v>
      </c>
      <c r="K9248" t="str">
        <f>"6F3"</f>
        <v>6F3</v>
      </c>
      <c r="L9248" t="s">
        <v>15</v>
      </c>
    </row>
    <row r="9249" spans="1:12" x14ac:dyDescent="0.25">
      <c r="A9249" t="str">
        <f>"6959085331"</f>
        <v>6959085331</v>
      </c>
      <c r="B9249" t="str">
        <f t="shared" si="409"/>
        <v>89301000</v>
      </c>
      <c r="C9249" s="1">
        <v>44523</v>
      </c>
      <c r="D9249" s="1">
        <v>44527</v>
      </c>
      <c r="E9249">
        <v>1</v>
      </c>
      <c r="F9249" t="s">
        <v>5527</v>
      </c>
      <c r="G9249" t="str">
        <f>"01-K18-04"</f>
        <v>01-K18-04</v>
      </c>
      <c r="H9249">
        <v>0.49890000000000001</v>
      </c>
      <c r="I9249" t="s">
        <v>3415</v>
      </c>
      <c r="J9249" t="s">
        <v>14</v>
      </c>
      <c r="K9249" t="str">
        <f>"2F9"</f>
        <v>2F9</v>
      </c>
      <c r="L9249" t="s">
        <v>15</v>
      </c>
    </row>
    <row r="9250" spans="1:12" x14ac:dyDescent="0.25">
      <c r="A9250" t="str">
        <f>"6959085331"</f>
        <v>6959085331</v>
      </c>
      <c r="B9250" t="str">
        <f t="shared" si="409"/>
        <v>89301000</v>
      </c>
      <c r="C9250" s="1">
        <v>44468</v>
      </c>
      <c r="D9250" s="1">
        <v>44470</v>
      </c>
      <c r="E9250">
        <v>1</v>
      </c>
      <c r="F9250" t="s">
        <v>5527</v>
      </c>
      <c r="G9250" t="str">
        <f>"01-K18-04"</f>
        <v>01-K18-04</v>
      </c>
      <c r="H9250">
        <v>0.49890000000000001</v>
      </c>
      <c r="I9250" t="s">
        <v>1586</v>
      </c>
      <c r="J9250" t="s">
        <v>14</v>
      </c>
      <c r="K9250" t="str">
        <f>"2F9"</f>
        <v>2F9</v>
      </c>
      <c r="L9250" t="s">
        <v>15</v>
      </c>
    </row>
    <row r="9251" spans="1:12" x14ac:dyDescent="0.25">
      <c r="A9251" t="str">
        <f>"6959154510"</f>
        <v>6959154510</v>
      </c>
      <c r="B9251" t="str">
        <f t="shared" si="409"/>
        <v>89301000</v>
      </c>
      <c r="C9251" s="1">
        <v>44453</v>
      </c>
      <c r="D9251" s="1">
        <v>44457</v>
      </c>
      <c r="E9251">
        <v>1</v>
      </c>
      <c r="F9251" t="s">
        <v>31</v>
      </c>
      <c r="G9251" t="str">
        <f>"08-I03-06"</f>
        <v>08-I03-06</v>
      </c>
      <c r="H9251">
        <v>3.3738000000000001</v>
      </c>
      <c r="I9251" t="s">
        <v>2257</v>
      </c>
      <c r="J9251" t="s">
        <v>17</v>
      </c>
      <c r="K9251" t="str">
        <f>"5F6"</f>
        <v>5F6</v>
      </c>
      <c r="L9251" t="s">
        <v>15</v>
      </c>
    </row>
    <row r="9252" spans="1:12" x14ac:dyDescent="0.25">
      <c r="A9252" t="str">
        <f>"6960015315"</f>
        <v>6960015315</v>
      </c>
      <c r="B9252" t="str">
        <f t="shared" si="409"/>
        <v>89301000</v>
      </c>
      <c r="C9252" s="1">
        <v>44368</v>
      </c>
      <c r="D9252" s="1">
        <v>44372</v>
      </c>
      <c r="E9252">
        <v>1</v>
      </c>
      <c r="F9252" t="s">
        <v>3377</v>
      </c>
      <c r="G9252" t="str">
        <f>"13-K05-00"</f>
        <v>13-K05-00</v>
      </c>
      <c r="H9252">
        <v>0.63419999999999999</v>
      </c>
      <c r="I9252" t="s">
        <v>6429</v>
      </c>
      <c r="J9252" t="s">
        <v>14</v>
      </c>
      <c r="K9252" t="str">
        <f>"5F1"</f>
        <v>5F1</v>
      </c>
      <c r="L9252" t="s">
        <v>15</v>
      </c>
    </row>
    <row r="9253" spans="1:12" x14ac:dyDescent="0.25">
      <c r="A9253" t="str">
        <f>"6960025303"</f>
        <v>6960025303</v>
      </c>
      <c r="B9253" t="str">
        <f t="shared" si="409"/>
        <v>89301000</v>
      </c>
      <c r="C9253" s="1">
        <v>44259</v>
      </c>
      <c r="D9253" s="1">
        <v>44267</v>
      </c>
      <c r="E9253">
        <v>1</v>
      </c>
      <c r="F9253" t="s">
        <v>2197</v>
      </c>
      <c r="G9253" t="str">
        <f>"04-K07-02"</f>
        <v>04-K07-02</v>
      </c>
      <c r="H9253">
        <v>1.1432</v>
      </c>
      <c r="I9253" t="s">
        <v>6430</v>
      </c>
      <c r="J9253" t="s">
        <v>14</v>
      </c>
      <c r="K9253" t="str">
        <f>"2F5"</f>
        <v>2F5</v>
      </c>
      <c r="L9253" t="s">
        <v>15</v>
      </c>
    </row>
    <row r="9254" spans="1:12" x14ac:dyDescent="0.25">
      <c r="A9254" t="str">
        <f>"6960035335"</f>
        <v>6960035335</v>
      </c>
      <c r="B9254" t="str">
        <f t="shared" si="409"/>
        <v>89301000</v>
      </c>
      <c r="C9254" s="1">
        <v>44245</v>
      </c>
      <c r="D9254" s="1">
        <v>44249</v>
      </c>
      <c r="E9254">
        <v>1</v>
      </c>
      <c r="F9254" t="s">
        <v>413</v>
      </c>
      <c r="G9254" t="str">
        <f>"09-I07-01"</f>
        <v>09-I07-01</v>
      </c>
      <c r="H9254">
        <v>1.7783</v>
      </c>
      <c r="I9254" t="s">
        <v>6431</v>
      </c>
      <c r="J9254" t="s">
        <v>24</v>
      </c>
      <c r="K9254" t="str">
        <f>"6F1"</f>
        <v>6F1</v>
      </c>
      <c r="L9254" t="s">
        <v>15</v>
      </c>
    </row>
    <row r="9255" spans="1:12" x14ac:dyDescent="0.25">
      <c r="A9255" t="str">
        <f>"6960075793"</f>
        <v>6960075793</v>
      </c>
      <c r="B9255" t="str">
        <f t="shared" si="409"/>
        <v>89301000</v>
      </c>
      <c r="C9255" s="1">
        <v>44244</v>
      </c>
      <c r="D9255" s="1">
        <v>44250</v>
      </c>
      <c r="E9255">
        <v>1</v>
      </c>
      <c r="F9255" t="s">
        <v>3320</v>
      </c>
      <c r="G9255" t="str">
        <f>"17-I07-02"</f>
        <v>17-I07-02</v>
      </c>
      <c r="H9255">
        <v>2.1909999999999998</v>
      </c>
      <c r="I9255" t="s">
        <v>241</v>
      </c>
      <c r="J9255" t="s">
        <v>17</v>
      </c>
      <c r="K9255" t="str">
        <f>"7F1"</f>
        <v>7F1</v>
      </c>
      <c r="L9255" t="s">
        <v>15</v>
      </c>
    </row>
    <row r="9256" spans="1:12" x14ac:dyDescent="0.25">
      <c r="A9256" t="str">
        <f>"6960075793"</f>
        <v>6960075793</v>
      </c>
      <c r="B9256" t="str">
        <f t="shared" si="409"/>
        <v>89301000</v>
      </c>
      <c r="C9256" s="1">
        <v>44262</v>
      </c>
      <c r="D9256" s="1">
        <v>44264</v>
      </c>
      <c r="E9256">
        <v>1</v>
      </c>
      <c r="F9256" t="s">
        <v>3665</v>
      </c>
      <c r="G9256" t="str">
        <f>"03-I22-03"</f>
        <v>03-I22-03</v>
      </c>
      <c r="H9256">
        <v>0.49049999999999999</v>
      </c>
      <c r="I9256" t="s">
        <v>6432</v>
      </c>
      <c r="J9256" t="s">
        <v>14</v>
      </c>
      <c r="K9256" t="str">
        <f>"7F1"</f>
        <v>7F1</v>
      </c>
      <c r="L9256" t="s">
        <v>15</v>
      </c>
    </row>
    <row r="9257" spans="1:12" x14ac:dyDescent="0.25">
      <c r="A9257" t="str">
        <f>"6960075793"</f>
        <v>6960075793</v>
      </c>
      <c r="B9257" t="str">
        <f t="shared" si="409"/>
        <v>89301000</v>
      </c>
      <c r="C9257" s="1">
        <v>44292</v>
      </c>
      <c r="D9257" s="1">
        <v>44297</v>
      </c>
      <c r="E9257">
        <v>1</v>
      </c>
      <c r="F9257" t="s">
        <v>2495</v>
      </c>
      <c r="G9257" t="str">
        <f>"13-I11-03"</f>
        <v>13-I11-03</v>
      </c>
      <c r="H9257">
        <v>1.3809</v>
      </c>
      <c r="J9257" t="s">
        <v>24</v>
      </c>
      <c r="K9257" t="str">
        <f>"6F3"</f>
        <v>6F3</v>
      </c>
      <c r="L9257" t="s">
        <v>15</v>
      </c>
    </row>
    <row r="9258" spans="1:12" x14ac:dyDescent="0.25">
      <c r="A9258" t="str">
        <f>"6960075804"</f>
        <v>6960075804</v>
      </c>
      <c r="B9258" t="str">
        <f t="shared" si="409"/>
        <v>89301000</v>
      </c>
      <c r="C9258" s="1">
        <v>44224</v>
      </c>
      <c r="D9258" s="1">
        <v>44228</v>
      </c>
      <c r="E9258">
        <v>1</v>
      </c>
      <c r="F9258" t="s">
        <v>132</v>
      </c>
      <c r="G9258" t="str">
        <f>"03-K03-02"</f>
        <v>03-K03-02</v>
      </c>
      <c r="H9258">
        <v>0.49249999999999999</v>
      </c>
      <c r="I9258" t="s">
        <v>6433</v>
      </c>
      <c r="J9258" t="s">
        <v>14</v>
      </c>
      <c r="K9258" t="str">
        <f>"6F5"</f>
        <v>6F5</v>
      </c>
      <c r="L9258" t="s">
        <v>15</v>
      </c>
    </row>
    <row r="9259" spans="1:12" x14ac:dyDescent="0.25">
      <c r="A9259" t="str">
        <f>"6960095318"</f>
        <v>6960095318</v>
      </c>
      <c r="B9259" t="str">
        <f t="shared" si="409"/>
        <v>89301000</v>
      </c>
      <c r="C9259" s="1">
        <v>44205</v>
      </c>
      <c r="D9259" s="1">
        <v>44211</v>
      </c>
      <c r="E9259">
        <v>1</v>
      </c>
      <c r="F9259" t="s">
        <v>1870</v>
      </c>
      <c r="G9259" t="str">
        <f>"06-K07-01"</f>
        <v>06-K07-01</v>
      </c>
      <c r="H9259">
        <v>0.88500000000000001</v>
      </c>
      <c r="I9259" t="s">
        <v>348</v>
      </c>
      <c r="J9259" t="s">
        <v>14</v>
      </c>
      <c r="K9259" t="str">
        <f>"5F1"</f>
        <v>5F1</v>
      </c>
      <c r="L9259" t="s">
        <v>15</v>
      </c>
    </row>
    <row r="9260" spans="1:12" x14ac:dyDescent="0.25">
      <c r="A9260" t="str">
        <f>"6960125304"</f>
        <v>6960125304</v>
      </c>
      <c r="B9260" t="str">
        <f t="shared" ref="B9260:B9323" si="410">"89301000"</f>
        <v>89301000</v>
      </c>
      <c r="C9260" s="1">
        <v>44496</v>
      </c>
      <c r="D9260" s="1">
        <v>44508</v>
      </c>
      <c r="E9260">
        <v>1</v>
      </c>
      <c r="F9260" t="s">
        <v>4557</v>
      </c>
      <c r="G9260" t="str">
        <f>"20-K04-02"</f>
        <v>20-K04-02</v>
      </c>
      <c r="H9260">
        <v>1.4984</v>
      </c>
      <c r="I9260" t="s">
        <v>6434</v>
      </c>
      <c r="J9260" t="s">
        <v>14</v>
      </c>
      <c r="K9260" t="str">
        <f>"3F5"</f>
        <v>3F5</v>
      </c>
      <c r="L9260" t="s">
        <v>15</v>
      </c>
    </row>
    <row r="9261" spans="1:12" x14ac:dyDescent="0.25">
      <c r="A9261" t="str">
        <f>"6960295518"</f>
        <v>6960295518</v>
      </c>
      <c r="B9261" t="str">
        <f t="shared" si="410"/>
        <v>89301000</v>
      </c>
      <c r="C9261" s="1">
        <v>44509</v>
      </c>
      <c r="D9261" s="1">
        <v>44511</v>
      </c>
      <c r="E9261">
        <v>1</v>
      </c>
      <c r="F9261" t="s">
        <v>1033</v>
      </c>
      <c r="G9261" t="str">
        <f>"11-K03-02"</f>
        <v>11-K03-02</v>
      </c>
      <c r="H9261">
        <v>0.6008</v>
      </c>
      <c r="J9261" t="s">
        <v>14</v>
      </c>
      <c r="K9261" t="str">
        <f>"1F1"</f>
        <v>1F1</v>
      </c>
      <c r="L9261" t="s">
        <v>15</v>
      </c>
    </row>
    <row r="9262" spans="1:12" x14ac:dyDescent="0.25">
      <c r="A9262" t="str">
        <f>"6960305770"</f>
        <v>6960305770</v>
      </c>
      <c r="B9262" t="str">
        <f t="shared" si="410"/>
        <v>89301000</v>
      </c>
      <c r="C9262" s="1">
        <v>44537</v>
      </c>
      <c r="D9262" s="1">
        <v>44543</v>
      </c>
      <c r="E9262">
        <v>1</v>
      </c>
      <c r="F9262" t="s">
        <v>3320</v>
      </c>
      <c r="G9262" t="str">
        <f>"17-I07-02"</f>
        <v>17-I07-02</v>
      </c>
      <c r="H9262">
        <v>2.1909999999999998</v>
      </c>
      <c r="I9262" t="s">
        <v>6435</v>
      </c>
      <c r="J9262" t="s">
        <v>17</v>
      </c>
      <c r="K9262" t="str">
        <f>"7F1"</f>
        <v>7F1</v>
      </c>
      <c r="L9262" t="s">
        <v>15</v>
      </c>
    </row>
    <row r="9263" spans="1:12" x14ac:dyDescent="0.25">
      <c r="A9263" t="str">
        <f>"6961065771"</f>
        <v>6961065771</v>
      </c>
      <c r="B9263" t="str">
        <f t="shared" si="410"/>
        <v>89301000</v>
      </c>
      <c r="C9263" s="1">
        <v>44202</v>
      </c>
      <c r="D9263" s="1">
        <v>44207</v>
      </c>
      <c r="E9263">
        <v>1</v>
      </c>
      <c r="F9263" t="s">
        <v>6436</v>
      </c>
      <c r="G9263" t="str">
        <f>"01-I06-05"</f>
        <v>01-I06-05</v>
      </c>
      <c r="H9263">
        <v>2.6736</v>
      </c>
      <c r="J9263" t="s">
        <v>17</v>
      </c>
      <c r="K9263" t="str">
        <f>"5F6"</f>
        <v>5F6</v>
      </c>
      <c r="L9263" t="s">
        <v>15</v>
      </c>
    </row>
    <row r="9264" spans="1:12" x14ac:dyDescent="0.25">
      <c r="A9264" t="str">
        <f>"6961144476"</f>
        <v>6961144476</v>
      </c>
      <c r="B9264" t="str">
        <f t="shared" si="410"/>
        <v>89301000</v>
      </c>
      <c r="C9264" s="1">
        <v>44452</v>
      </c>
      <c r="D9264" s="1">
        <v>44460</v>
      </c>
      <c r="E9264">
        <v>1</v>
      </c>
      <c r="F9264" t="s">
        <v>260</v>
      </c>
      <c r="G9264" t="str">
        <f>"03-I16-01"</f>
        <v>03-I16-01</v>
      </c>
      <c r="H9264">
        <v>1.4655</v>
      </c>
      <c r="I9264" t="s">
        <v>6437</v>
      </c>
      <c r="J9264" t="s">
        <v>24</v>
      </c>
      <c r="K9264" t="str">
        <f>"7F1"</f>
        <v>7F1</v>
      </c>
      <c r="L9264" t="s">
        <v>15</v>
      </c>
    </row>
    <row r="9265" spans="1:12" x14ac:dyDescent="0.25">
      <c r="A9265" t="str">
        <f>"6961235336"</f>
        <v>6961235336</v>
      </c>
      <c r="B9265" t="str">
        <f t="shared" si="410"/>
        <v>89301000</v>
      </c>
      <c r="C9265" s="1">
        <v>44490</v>
      </c>
      <c r="D9265" s="1">
        <v>44492</v>
      </c>
      <c r="E9265">
        <v>1</v>
      </c>
      <c r="F9265" t="s">
        <v>3567</v>
      </c>
      <c r="G9265" t="str">
        <f>"08-M03-05"</f>
        <v>08-M03-05</v>
      </c>
      <c r="H9265">
        <v>0.51759999999999995</v>
      </c>
      <c r="I9265" t="s">
        <v>4196</v>
      </c>
      <c r="J9265" t="s">
        <v>14</v>
      </c>
      <c r="K9265" t="str">
        <f>"6F6"</f>
        <v>6F6</v>
      </c>
      <c r="L9265" t="s">
        <v>15</v>
      </c>
    </row>
    <row r="9266" spans="1:12" x14ac:dyDescent="0.25">
      <c r="A9266" t="str">
        <f>"6961275310"</f>
        <v>6961275310</v>
      </c>
      <c r="B9266" t="str">
        <f t="shared" si="410"/>
        <v>89301000</v>
      </c>
      <c r="C9266" s="1">
        <v>44347</v>
      </c>
      <c r="D9266" s="1">
        <v>44350</v>
      </c>
      <c r="E9266">
        <v>1</v>
      </c>
      <c r="F9266" t="s">
        <v>4237</v>
      </c>
      <c r="G9266" t="str">
        <f>"03-I19-03"</f>
        <v>03-I19-03</v>
      </c>
      <c r="H9266">
        <v>0.60699999999999998</v>
      </c>
      <c r="I9266" t="s">
        <v>6438</v>
      </c>
      <c r="J9266" t="s">
        <v>14</v>
      </c>
      <c r="K9266" t="str">
        <f>"6F5"</f>
        <v>6F5</v>
      </c>
      <c r="L9266" t="s">
        <v>15</v>
      </c>
    </row>
    <row r="9267" spans="1:12" x14ac:dyDescent="0.25">
      <c r="A9267" t="str">
        <f>"6962025796"</f>
        <v>6962025796</v>
      </c>
      <c r="B9267" t="str">
        <f t="shared" si="410"/>
        <v>89301000</v>
      </c>
      <c r="C9267" s="1">
        <v>44279</v>
      </c>
      <c r="D9267" s="1">
        <v>44283</v>
      </c>
      <c r="E9267">
        <v>1</v>
      </c>
      <c r="F9267" t="s">
        <v>6439</v>
      </c>
      <c r="G9267" t="str">
        <f>"23-I07-00"</f>
        <v>23-I07-00</v>
      </c>
      <c r="H9267">
        <v>1.3815999999999999</v>
      </c>
      <c r="I9267" t="s">
        <v>860</v>
      </c>
      <c r="J9267" t="s">
        <v>24</v>
      </c>
      <c r="K9267" t="str">
        <f>"6F3"</f>
        <v>6F3</v>
      </c>
      <c r="L9267" t="s">
        <v>15</v>
      </c>
    </row>
    <row r="9268" spans="1:12" x14ac:dyDescent="0.25">
      <c r="A9268" t="str">
        <f>"6962035333"</f>
        <v>6962035333</v>
      </c>
      <c r="B9268" t="str">
        <f t="shared" si="410"/>
        <v>89301000</v>
      </c>
      <c r="C9268" s="1">
        <v>44555</v>
      </c>
      <c r="D9268" s="1">
        <v>44558</v>
      </c>
      <c r="E9268">
        <v>1</v>
      </c>
      <c r="F9268" t="s">
        <v>217</v>
      </c>
      <c r="G9268" t="str">
        <f>"04-K02-04"</f>
        <v>04-K02-04</v>
      </c>
      <c r="H9268">
        <v>0.82469999999999999</v>
      </c>
      <c r="I9268" t="s">
        <v>274</v>
      </c>
      <c r="J9268" t="s">
        <v>14</v>
      </c>
      <c r="K9268" t="str">
        <f>"1F1"</f>
        <v>1F1</v>
      </c>
      <c r="L9268" t="s">
        <v>15</v>
      </c>
    </row>
    <row r="9269" spans="1:12" x14ac:dyDescent="0.25">
      <c r="A9269" t="str">
        <f>"7001095321"</f>
        <v>7001095321</v>
      </c>
      <c r="B9269" t="str">
        <f t="shared" si="410"/>
        <v>89301000</v>
      </c>
      <c r="C9269" s="1">
        <v>44231</v>
      </c>
      <c r="D9269" s="1">
        <v>44235</v>
      </c>
      <c r="E9269">
        <v>1</v>
      </c>
      <c r="F9269" t="s">
        <v>6220</v>
      </c>
      <c r="G9269" t="str">
        <f>"08-I31-04"</f>
        <v>08-I31-04</v>
      </c>
      <c r="H9269">
        <v>0.50949999999999995</v>
      </c>
      <c r="I9269" t="s">
        <v>168</v>
      </c>
      <c r="J9269" t="s">
        <v>14</v>
      </c>
      <c r="K9269" t="str">
        <f>"6F6"</f>
        <v>6F6</v>
      </c>
      <c r="L9269" t="s">
        <v>15</v>
      </c>
    </row>
    <row r="9270" spans="1:12" x14ac:dyDescent="0.25">
      <c r="A9270" t="str">
        <f>"7002055313"</f>
        <v>7002055313</v>
      </c>
      <c r="B9270" t="str">
        <f t="shared" si="410"/>
        <v>89301000</v>
      </c>
      <c r="C9270" s="1">
        <v>44416</v>
      </c>
      <c r="D9270" s="1">
        <v>44420</v>
      </c>
      <c r="E9270">
        <v>1</v>
      </c>
      <c r="F9270" t="s">
        <v>2407</v>
      </c>
      <c r="G9270" t="str">
        <f>"08-I22-02"</f>
        <v>08-I22-02</v>
      </c>
      <c r="H9270">
        <v>1.1049</v>
      </c>
      <c r="J9270" t="s">
        <v>17</v>
      </c>
      <c r="K9270" t="str">
        <f>"6F6"</f>
        <v>6F6</v>
      </c>
      <c r="L9270" t="s">
        <v>15</v>
      </c>
    </row>
    <row r="9271" spans="1:12" x14ac:dyDescent="0.25">
      <c r="A9271" t="str">
        <f>"7002095320"</f>
        <v>7002095320</v>
      </c>
      <c r="B9271" t="str">
        <f t="shared" si="410"/>
        <v>89301000</v>
      </c>
      <c r="C9271" s="1">
        <v>44416</v>
      </c>
      <c r="D9271" s="1">
        <v>44418</v>
      </c>
      <c r="E9271">
        <v>1</v>
      </c>
      <c r="F9271" t="s">
        <v>71</v>
      </c>
      <c r="G9271" t="str">
        <f>"08-M03-05"</f>
        <v>08-M03-05</v>
      </c>
      <c r="H9271">
        <v>0.51759999999999995</v>
      </c>
      <c r="I9271" t="s">
        <v>244</v>
      </c>
      <c r="J9271" t="s">
        <v>14</v>
      </c>
      <c r="K9271" t="str">
        <f>"5F3"</f>
        <v>5F3</v>
      </c>
      <c r="L9271" t="s">
        <v>15</v>
      </c>
    </row>
    <row r="9272" spans="1:12" x14ac:dyDescent="0.25">
      <c r="A9272" t="str">
        <f>"7002195321"</f>
        <v>7002195321</v>
      </c>
      <c r="B9272" t="str">
        <f t="shared" si="410"/>
        <v>89301000</v>
      </c>
      <c r="C9272" s="1">
        <v>44333</v>
      </c>
      <c r="D9272" s="1">
        <v>44340</v>
      </c>
      <c r="E9272">
        <v>1</v>
      </c>
      <c r="F9272" t="s">
        <v>4557</v>
      </c>
      <c r="G9272" t="str">
        <f>"20-K03-03"</f>
        <v>20-K03-03</v>
      </c>
      <c r="H9272">
        <v>1.0109999999999999</v>
      </c>
      <c r="I9272" t="s">
        <v>6440</v>
      </c>
      <c r="J9272" t="s">
        <v>14</v>
      </c>
      <c r="K9272" t="str">
        <f>"3F5"</f>
        <v>3F5</v>
      </c>
      <c r="L9272" t="s">
        <v>15</v>
      </c>
    </row>
    <row r="9273" spans="1:12" x14ac:dyDescent="0.25">
      <c r="A9273" t="str">
        <f>"7003014480"</f>
        <v>7003014480</v>
      </c>
      <c r="B9273" t="str">
        <f t="shared" si="410"/>
        <v>89301000</v>
      </c>
      <c r="C9273" s="1">
        <v>44547</v>
      </c>
      <c r="D9273" s="1">
        <v>44548</v>
      </c>
      <c r="E9273">
        <v>1</v>
      </c>
      <c r="F9273" t="s">
        <v>1557</v>
      </c>
      <c r="G9273" t="str">
        <f>"05-D01-08"</f>
        <v>05-D01-08</v>
      </c>
      <c r="H9273">
        <v>0.4093</v>
      </c>
      <c r="I9273" t="s">
        <v>2283</v>
      </c>
      <c r="J9273" t="s">
        <v>14</v>
      </c>
      <c r="K9273" t="str">
        <f>"1F7"</f>
        <v>1F7</v>
      </c>
      <c r="L9273" t="s">
        <v>15</v>
      </c>
    </row>
    <row r="9274" spans="1:12" x14ac:dyDescent="0.25">
      <c r="A9274" t="str">
        <f>"7003014480"</f>
        <v>7003014480</v>
      </c>
      <c r="B9274" t="str">
        <f t="shared" si="410"/>
        <v>89301000</v>
      </c>
      <c r="C9274" s="1">
        <v>44260</v>
      </c>
      <c r="D9274" s="1">
        <v>44263</v>
      </c>
      <c r="E9274">
        <v>1</v>
      </c>
      <c r="F9274" t="s">
        <v>1925</v>
      </c>
      <c r="G9274" t="str">
        <f>"05-M06-08"</f>
        <v>05-M06-08</v>
      </c>
      <c r="H9274">
        <v>1.4719</v>
      </c>
      <c r="I9274" t="s">
        <v>1892</v>
      </c>
      <c r="J9274" t="s">
        <v>17</v>
      </c>
      <c r="K9274" t="str">
        <f>"1F1"</f>
        <v>1F1</v>
      </c>
      <c r="L9274" t="s">
        <v>15</v>
      </c>
    </row>
    <row r="9275" spans="1:12" x14ac:dyDescent="0.25">
      <c r="A9275" t="str">
        <f>"7003014480"</f>
        <v>7003014480</v>
      </c>
      <c r="B9275" t="str">
        <f t="shared" si="410"/>
        <v>89301000</v>
      </c>
      <c r="C9275" s="1">
        <v>44502</v>
      </c>
      <c r="D9275" s="1">
        <v>44509</v>
      </c>
      <c r="E9275">
        <v>1</v>
      </c>
      <c r="F9275" t="s">
        <v>38</v>
      </c>
      <c r="G9275" t="str">
        <f>"05-I16-04"</f>
        <v>05-I16-04</v>
      </c>
      <c r="H9275">
        <v>6.1497999999999999</v>
      </c>
      <c r="J9275" t="s">
        <v>17</v>
      </c>
      <c r="K9275" t="str">
        <f>"5F5"</f>
        <v>5F5</v>
      </c>
      <c r="L9275" t="s">
        <v>15</v>
      </c>
    </row>
    <row r="9276" spans="1:12" x14ac:dyDescent="0.25">
      <c r="A9276" t="str">
        <f>"7003059459"</f>
        <v>7003059459</v>
      </c>
      <c r="B9276" t="str">
        <f t="shared" si="410"/>
        <v>89301000</v>
      </c>
      <c r="C9276" s="1">
        <v>44489</v>
      </c>
      <c r="D9276" s="1">
        <v>44491</v>
      </c>
      <c r="E9276">
        <v>1</v>
      </c>
      <c r="F9276" t="s">
        <v>6441</v>
      </c>
      <c r="G9276" t="str">
        <f>"02-I06-03"</f>
        <v>02-I06-03</v>
      </c>
      <c r="H9276">
        <v>0.63690000000000002</v>
      </c>
      <c r="I9276" t="s">
        <v>6442</v>
      </c>
      <c r="J9276" t="s">
        <v>17</v>
      </c>
      <c r="K9276" t="str">
        <f>"7F5"</f>
        <v>7F5</v>
      </c>
      <c r="L9276" t="s">
        <v>15</v>
      </c>
    </row>
    <row r="9277" spans="1:12" x14ac:dyDescent="0.25">
      <c r="A9277" t="str">
        <f>"7003059459"</f>
        <v>7003059459</v>
      </c>
      <c r="B9277" t="str">
        <f t="shared" si="410"/>
        <v>89301000</v>
      </c>
      <c r="C9277" s="1">
        <v>44232</v>
      </c>
      <c r="D9277" s="1">
        <v>44235</v>
      </c>
      <c r="E9277">
        <v>1</v>
      </c>
      <c r="F9277" t="s">
        <v>1704</v>
      </c>
      <c r="G9277" t="str">
        <f>"23-I10-00"</f>
        <v>23-I10-00</v>
      </c>
      <c r="H9277">
        <v>0.58840000000000003</v>
      </c>
      <c r="I9277" t="s">
        <v>6443</v>
      </c>
      <c r="J9277" t="s">
        <v>14</v>
      </c>
      <c r="K9277" t="str">
        <f>"7F5"</f>
        <v>7F5</v>
      </c>
      <c r="L9277" t="s">
        <v>15</v>
      </c>
    </row>
    <row r="9278" spans="1:12" x14ac:dyDescent="0.25">
      <c r="A9278" t="str">
        <f>"7003104493"</f>
        <v>7003104493</v>
      </c>
      <c r="B9278" t="str">
        <f t="shared" si="410"/>
        <v>89301000</v>
      </c>
      <c r="C9278" s="1">
        <v>44377</v>
      </c>
      <c r="D9278" s="1">
        <v>44380</v>
      </c>
      <c r="E9278">
        <v>1</v>
      </c>
      <c r="F9278" t="s">
        <v>550</v>
      </c>
      <c r="G9278" t="str">
        <f>"07-I10-06"</f>
        <v>07-I10-06</v>
      </c>
      <c r="H9278">
        <v>0.9728</v>
      </c>
      <c r="I9278" t="s">
        <v>489</v>
      </c>
      <c r="J9278" t="s">
        <v>17</v>
      </c>
      <c r="K9278" t="str">
        <f>"5F1"</f>
        <v>5F1</v>
      </c>
      <c r="L9278" t="s">
        <v>15</v>
      </c>
    </row>
    <row r="9279" spans="1:12" x14ac:dyDescent="0.25">
      <c r="A9279" t="str">
        <f>"7003134457"</f>
        <v>7003134457</v>
      </c>
      <c r="B9279" t="str">
        <f t="shared" si="410"/>
        <v>89301000</v>
      </c>
      <c r="C9279" s="1">
        <v>44411</v>
      </c>
      <c r="D9279" s="1">
        <v>44416</v>
      </c>
      <c r="E9279">
        <v>1</v>
      </c>
      <c r="F9279" t="s">
        <v>2232</v>
      </c>
      <c r="G9279" t="str">
        <f>"11-I08-03"</f>
        <v>11-I08-03</v>
      </c>
      <c r="H9279">
        <v>2.0676999999999999</v>
      </c>
      <c r="I9279" t="s">
        <v>1959</v>
      </c>
      <c r="J9279" t="s">
        <v>17</v>
      </c>
      <c r="K9279" t="str">
        <f>"7F6"</f>
        <v>7F6</v>
      </c>
      <c r="L9279" t="s">
        <v>15</v>
      </c>
    </row>
    <row r="9280" spans="1:12" x14ac:dyDescent="0.25">
      <c r="A9280" t="str">
        <f>"7003134457"</f>
        <v>7003134457</v>
      </c>
      <c r="B9280" t="str">
        <f t="shared" si="410"/>
        <v>89301000</v>
      </c>
      <c r="C9280" s="1">
        <v>44330</v>
      </c>
      <c r="D9280" s="1">
        <v>44334</v>
      </c>
      <c r="E9280">
        <v>1</v>
      </c>
      <c r="F9280" t="s">
        <v>2197</v>
      </c>
      <c r="G9280" t="str">
        <f>"04-M02-04"</f>
        <v>04-M02-04</v>
      </c>
      <c r="H9280">
        <v>0.7238</v>
      </c>
      <c r="I9280" t="s">
        <v>5023</v>
      </c>
      <c r="J9280" t="s">
        <v>14</v>
      </c>
      <c r="K9280" t="str">
        <f>"2F5"</f>
        <v>2F5</v>
      </c>
      <c r="L9280" t="s">
        <v>15</v>
      </c>
    </row>
    <row r="9281" spans="1:12" x14ac:dyDescent="0.25">
      <c r="A9281" t="str">
        <f>"7003135337"</f>
        <v>7003135337</v>
      </c>
      <c r="B9281" t="str">
        <f t="shared" si="410"/>
        <v>89301000</v>
      </c>
      <c r="C9281" s="1">
        <v>44453</v>
      </c>
      <c r="D9281" s="1">
        <v>44454</v>
      </c>
      <c r="E9281">
        <v>1</v>
      </c>
      <c r="F9281" t="s">
        <v>41</v>
      </c>
      <c r="G9281" t="str">
        <f>"01-D01-03"</f>
        <v>01-D01-03</v>
      </c>
      <c r="H9281">
        <v>0.158</v>
      </c>
      <c r="I9281" t="s">
        <v>6444</v>
      </c>
      <c r="J9281" t="s">
        <v>14</v>
      </c>
      <c r="K9281" t="str">
        <f>"2F5"</f>
        <v>2F5</v>
      </c>
      <c r="L9281" t="s">
        <v>15</v>
      </c>
    </row>
    <row r="9282" spans="1:12" x14ac:dyDescent="0.25">
      <c r="A9282" t="str">
        <f>"7003135337"</f>
        <v>7003135337</v>
      </c>
      <c r="B9282" t="str">
        <f t="shared" si="410"/>
        <v>89301000</v>
      </c>
      <c r="C9282" s="1">
        <v>44540</v>
      </c>
      <c r="D9282" s="1">
        <v>44543</v>
      </c>
      <c r="E9282">
        <v>1</v>
      </c>
      <c r="F9282" t="s">
        <v>2111</v>
      </c>
      <c r="G9282" t="str">
        <f>"10-K15-02"</f>
        <v>10-K15-02</v>
      </c>
      <c r="H9282">
        <v>1.0346</v>
      </c>
      <c r="I9282" t="s">
        <v>6445</v>
      </c>
      <c r="J9282" t="s">
        <v>14</v>
      </c>
      <c r="K9282" t="str">
        <f>"2F5"</f>
        <v>2F5</v>
      </c>
      <c r="L9282" t="s">
        <v>15</v>
      </c>
    </row>
    <row r="9283" spans="1:12" x14ac:dyDescent="0.25">
      <c r="A9283" t="str">
        <f t="shared" ref="A9283:A9289" si="411">"7003204901"</f>
        <v>7003204901</v>
      </c>
      <c r="B9283" t="str">
        <f t="shared" si="410"/>
        <v>89301000</v>
      </c>
      <c r="C9283" s="1">
        <v>44531</v>
      </c>
      <c r="D9283" s="1">
        <v>44539</v>
      </c>
      <c r="E9283">
        <v>1</v>
      </c>
      <c r="F9283" t="s">
        <v>407</v>
      </c>
      <c r="G9283" t="str">
        <f>"03-I19-02"</f>
        <v>03-I19-02</v>
      </c>
      <c r="H9283">
        <v>0.88829999999999998</v>
      </c>
      <c r="I9283" t="s">
        <v>6446</v>
      </c>
      <c r="J9283" t="s">
        <v>14</v>
      </c>
      <c r="K9283" t="str">
        <f>"6F5"</f>
        <v>6F5</v>
      </c>
      <c r="L9283" t="s">
        <v>15</v>
      </c>
    </row>
    <row r="9284" spans="1:12" x14ac:dyDescent="0.25">
      <c r="A9284" t="str">
        <f t="shared" si="411"/>
        <v>7003204901</v>
      </c>
      <c r="B9284" t="str">
        <f t="shared" si="410"/>
        <v>89301000</v>
      </c>
      <c r="C9284" s="1">
        <v>44468</v>
      </c>
      <c r="D9284" s="1">
        <v>44474</v>
      </c>
      <c r="E9284">
        <v>1</v>
      </c>
      <c r="F9284" t="s">
        <v>3131</v>
      </c>
      <c r="G9284" t="str">
        <f>"03-C01-02"</f>
        <v>03-C01-02</v>
      </c>
      <c r="H9284">
        <v>0.44900000000000001</v>
      </c>
      <c r="I9284" t="s">
        <v>6447</v>
      </c>
      <c r="J9284" t="s">
        <v>14</v>
      </c>
      <c r="K9284" t="str">
        <f>"4F2"</f>
        <v>4F2</v>
      </c>
      <c r="L9284" t="s">
        <v>15</v>
      </c>
    </row>
    <row r="9285" spans="1:12" x14ac:dyDescent="0.25">
      <c r="A9285" t="str">
        <f t="shared" si="411"/>
        <v>7003204901</v>
      </c>
      <c r="B9285" t="str">
        <f t="shared" si="410"/>
        <v>89301000</v>
      </c>
      <c r="C9285" s="1">
        <v>44364</v>
      </c>
      <c r="D9285" s="1">
        <v>44371</v>
      </c>
      <c r="E9285">
        <v>1</v>
      </c>
      <c r="F9285" t="s">
        <v>3131</v>
      </c>
      <c r="G9285" t="str">
        <f>"03-C01-02"</f>
        <v>03-C01-02</v>
      </c>
      <c r="H9285">
        <v>0.44900000000000001</v>
      </c>
      <c r="I9285" t="s">
        <v>541</v>
      </c>
      <c r="J9285" t="s">
        <v>14</v>
      </c>
      <c r="K9285" t="str">
        <f>"4F2"</f>
        <v>4F2</v>
      </c>
      <c r="L9285" t="s">
        <v>15</v>
      </c>
    </row>
    <row r="9286" spans="1:12" x14ac:dyDescent="0.25">
      <c r="A9286" t="str">
        <f t="shared" si="411"/>
        <v>7003204901</v>
      </c>
      <c r="B9286" t="str">
        <f t="shared" si="410"/>
        <v>89301000</v>
      </c>
      <c r="C9286" s="1">
        <v>44333</v>
      </c>
      <c r="D9286" s="1">
        <v>44340</v>
      </c>
      <c r="E9286">
        <v>1</v>
      </c>
      <c r="F9286" t="s">
        <v>3131</v>
      </c>
      <c r="G9286" t="str">
        <f>"03-C01-02"</f>
        <v>03-C01-02</v>
      </c>
      <c r="H9286">
        <v>0.44900000000000001</v>
      </c>
      <c r="I9286" t="s">
        <v>6448</v>
      </c>
      <c r="J9286" t="s">
        <v>14</v>
      </c>
      <c r="K9286" t="str">
        <f>"4F2"</f>
        <v>4F2</v>
      </c>
      <c r="L9286" t="s">
        <v>15</v>
      </c>
    </row>
    <row r="9287" spans="1:12" x14ac:dyDescent="0.25">
      <c r="A9287" t="str">
        <f t="shared" si="411"/>
        <v>7003204901</v>
      </c>
      <c r="B9287" t="str">
        <f t="shared" si="410"/>
        <v>89301000</v>
      </c>
      <c r="C9287" s="1">
        <v>44307</v>
      </c>
      <c r="D9287" s="1">
        <v>44315</v>
      </c>
      <c r="E9287">
        <v>1</v>
      </c>
      <c r="F9287" t="s">
        <v>3131</v>
      </c>
      <c r="G9287" t="str">
        <f>"03-C01-02"</f>
        <v>03-C01-02</v>
      </c>
      <c r="H9287">
        <v>0.44900000000000001</v>
      </c>
      <c r="I9287" t="s">
        <v>541</v>
      </c>
      <c r="J9287" t="s">
        <v>14</v>
      </c>
      <c r="K9287" t="str">
        <f>"4F2"</f>
        <v>4F2</v>
      </c>
      <c r="L9287" t="s">
        <v>15</v>
      </c>
    </row>
    <row r="9288" spans="1:12" x14ac:dyDescent="0.25">
      <c r="A9288" t="str">
        <f t="shared" si="411"/>
        <v>7003204901</v>
      </c>
      <c r="B9288" t="str">
        <f t="shared" si="410"/>
        <v>89301000</v>
      </c>
      <c r="C9288" s="1">
        <v>44264</v>
      </c>
      <c r="D9288" s="1">
        <v>44266</v>
      </c>
      <c r="E9288">
        <v>1</v>
      </c>
      <c r="F9288" t="s">
        <v>407</v>
      </c>
      <c r="G9288" t="str">
        <f>"03-I23-00"</f>
        <v>03-I23-00</v>
      </c>
      <c r="H9288">
        <v>0.47639999999999999</v>
      </c>
      <c r="I9288" t="s">
        <v>6449</v>
      </c>
      <c r="J9288" t="s">
        <v>14</v>
      </c>
      <c r="K9288" t="str">
        <f>"6F5"</f>
        <v>6F5</v>
      </c>
      <c r="L9288" t="s">
        <v>15</v>
      </c>
    </row>
    <row r="9289" spans="1:12" x14ac:dyDescent="0.25">
      <c r="A9289" t="str">
        <f t="shared" si="411"/>
        <v>7003204901</v>
      </c>
      <c r="B9289" t="str">
        <f t="shared" si="410"/>
        <v>89301000</v>
      </c>
      <c r="C9289" s="1">
        <v>44439</v>
      </c>
      <c r="D9289" s="1">
        <v>44445</v>
      </c>
      <c r="E9289">
        <v>1</v>
      </c>
      <c r="F9289" t="s">
        <v>3131</v>
      </c>
      <c r="G9289" t="str">
        <f>"03-C01-02"</f>
        <v>03-C01-02</v>
      </c>
      <c r="H9289">
        <v>0.44900000000000001</v>
      </c>
      <c r="I9289" t="s">
        <v>5018</v>
      </c>
      <c r="J9289" t="s">
        <v>14</v>
      </c>
      <c r="K9289" t="str">
        <f>"4F2"</f>
        <v>4F2</v>
      </c>
      <c r="L9289" t="s">
        <v>15</v>
      </c>
    </row>
    <row r="9290" spans="1:12" x14ac:dyDescent="0.25">
      <c r="A9290" t="str">
        <f>"7003295310"</f>
        <v>7003295310</v>
      </c>
      <c r="B9290" t="str">
        <f t="shared" si="410"/>
        <v>89301000</v>
      </c>
      <c r="C9290" s="1">
        <v>44356</v>
      </c>
      <c r="D9290" s="1">
        <v>44357</v>
      </c>
      <c r="E9290">
        <v>1</v>
      </c>
      <c r="F9290" t="s">
        <v>1936</v>
      </c>
      <c r="G9290" t="str">
        <f>"05-D01-06"</f>
        <v>05-D01-06</v>
      </c>
      <c r="H9290">
        <v>0.7611</v>
      </c>
      <c r="J9290" t="s">
        <v>14</v>
      </c>
      <c r="K9290" t="str">
        <f>"1F7"</f>
        <v>1F7</v>
      </c>
      <c r="L9290" t="s">
        <v>15</v>
      </c>
    </row>
    <row r="9291" spans="1:12" x14ac:dyDescent="0.25">
      <c r="A9291" t="str">
        <f>"7004025380"</f>
        <v>7004025380</v>
      </c>
      <c r="B9291" t="str">
        <f t="shared" si="410"/>
        <v>89301000</v>
      </c>
      <c r="C9291" s="1">
        <v>44244</v>
      </c>
      <c r="D9291" s="1">
        <v>44257</v>
      </c>
      <c r="E9291">
        <v>1</v>
      </c>
      <c r="F9291" t="s">
        <v>164</v>
      </c>
      <c r="G9291" t="str">
        <f>"01-I07-04"</f>
        <v>01-I07-04</v>
      </c>
      <c r="H9291">
        <v>2.2679</v>
      </c>
      <c r="I9291" t="s">
        <v>168</v>
      </c>
      <c r="J9291" t="s">
        <v>17</v>
      </c>
      <c r="K9291" t="str">
        <f>"5F6"</f>
        <v>5F6</v>
      </c>
      <c r="L9291" t="s">
        <v>15</v>
      </c>
    </row>
    <row r="9292" spans="1:12" x14ac:dyDescent="0.25">
      <c r="A9292" t="str">
        <f>"7004035808"</f>
        <v>7004035808</v>
      </c>
      <c r="B9292" t="str">
        <f t="shared" si="410"/>
        <v>89301000</v>
      </c>
      <c r="C9292" s="1">
        <v>44480</v>
      </c>
      <c r="D9292" s="1">
        <v>44481</v>
      </c>
      <c r="E9292">
        <v>1</v>
      </c>
      <c r="F9292" t="s">
        <v>34</v>
      </c>
      <c r="G9292" t="str">
        <f>"08-I19-03"</f>
        <v>08-I19-03</v>
      </c>
      <c r="H9292">
        <v>0.61250000000000004</v>
      </c>
      <c r="I9292" t="s">
        <v>6413</v>
      </c>
      <c r="J9292" t="s">
        <v>17</v>
      </c>
      <c r="K9292" t="str">
        <f>"5F3"</f>
        <v>5F3</v>
      </c>
      <c r="L9292" t="s">
        <v>15</v>
      </c>
    </row>
    <row r="9293" spans="1:12" x14ac:dyDescent="0.25">
      <c r="A9293" t="str">
        <f>"7004155686"</f>
        <v>7004155686</v>
      </c>
      <c r="B9293" t="str">
        <f t="shared" si="410"/>
        <v>89301000</v>
      </c>
      <c r="C9293" s="1">
        <v>44323</v>
      </c>
      <c r="D9293" s="1">
        <v>44324</v>
      </c>
      <c r="E9293">
        <v>1</v>
      </c>
      <c r="F9293" t="s">
        <v>6450</v>
      </c>
      <c r="G9293" t="str">
        <f>"08-I28-02"</f>
        <v>08-I28-02</v>
      </c>
      <c r="H9293">
        <v>1.3482000000000001</v>
      </c>
      <c r="J9293" t="s">
        <v>17</v>
      </c>
      <c r="K9293" t="str">
        <f>"6F1"</f>
        <v>6F1</v>
      </c>
      <c r="L9293" t="s">
        <v>15</v>
      </c>
    </row>
    <row r="9294" spans="1:12" x14ac:dyDescent="0.25">
      <c r="A9294" t="str">
        <f>"7004305363"</f>
        <v>7004305363</v>
      </c>
      <c r="B9294" t="str">
        <f t="shared" si="410"/>
        <v>89301000</v>
      </c>
      <c r="C9294" s="1">
        <v>44424</v>
      </c>
      <c r="D9294" s="1">
        <v>44425</v>
      </c>
      <c r="E9294">
        <v>1</v>
      </c>
      <c r="F9294" t="s">
        <v>41</v>
      </c>
      <c r="G9294" t="str">
        <f>"01-D01-03"</f>
        <v>01-D01-03</v>
      </c>
      <c r="H9294">
        <v>0.158</v>
      </c>
      <c r="J9294" t="s">
        <v>14</v>
      </c>
      <c r="K9294" t="str">
        <f>"2F5"</f>
        <v>2F5</v>
      </c>
      <c r="L9294" t="s">
        <v>15</v>
      </c>
    </row>
    <row r="9295" spans="1:12" x14ac:dyDescent="0.25">
      <c r="A9295" t="str">
        <f>"7004305363"</f>
        <v>7004305363</v>
      </c>
      <c r="B9295" t="str">
        <f t="shared" si="410"/>
        <v>89301000</v>
      </c>
      <c r="C9295" s="1">
        <v>44524</v>
      </c>
      <c r="D9295" s="1">
        <v>44526</v>
      </c>
      <c r="E9295">
        <v>1</v>
      </c>
      <c r="F9295" t="s">
        <v>41</v>
      </c>
      <c r="G9295" t="str">
        <f>"01-D01-03"</f>
        <v>01-D01-03</v>
      </c>
      <c r="H9295">
        <v>0.158</v>
      </c>
      <c r="J9295" t="s">
        <v>14</v>
      </c>
      <c r="K9295" t="str">
        <f>"2F5"</f>
        <v>2F5</v>
      </c>
      <c r="L9295" t="s">
        <v>15</v>
      </c>
    </row>
    <row r="9296" spans="1:12" x14ac:dyDescent="0.25">
      <c r="A9296" t="str">
        <f>"7005205779"</f>
        <v>7005205779</v>
      </c>
      <c r="B9296" t="str">
        <f t="shared" si="410"/>
        <v>89301000</v>
      </c>
      <c r="C9296" s="1">
        <v>44200</v>
      </c>
      <c r="D9296" s="1">
        <v>44203</v>
      </c>
      <c r="E9296">
        <v>1</v>
      </c>
      <c r="F9296" t="s">
        <v>5805</v>
      </c>
      <c r="G9296" t="str">
        <f>"03-I19-03"</f>
        <v>03-I19-03</v>
      </c>
      <c r="H9296">
        <v>0.60699999999999998</v>
      </c>
      <c r="J9296" t="s">
        <v>14</v>
      </c>
      <c r="K9296" t="str">
        <f>"6F5"</f>
        <v>6F5</v>
      </c>
      <c r="L9296" t="s">
        <v>15</v>
      </c>
    </row>
    <row r="9297" spans="1:12" x14ac:dyDescent="0.25">
      <c r="A9297" t="str">
        <f>"7005225887"</f>
        <v>7005225887</v>
      </c>
      <c r="B9297" t="str">
        <f t="shared" si="410"/>
        <v>89301000</v>
      </c>
      <c r="C9297" s="1">
        <v>44467</v>
      </c>
      <c r="D9297" s="1">
        <v>44484</v>
      </c>
      <c r="E9297">
        <v>1</v>
      </c>
      <c r="F9297" t="s">
        <v>132</v>
      </c>
      <c r="G9297" t="str">
        <f>"00-M01-03"</f>
        <v>00-M01-03</v>
      </c>
      <c r="H9297">
        <v>9.1515000000000004</v>
      </c>
      <c r="I9297" t="s">
        <v>6451</v>
      </c>
      <c r="J9297" t="s">
        <v>14</v>
      </c>
      <c r="K9297" t="str">
        <f>"6F5"</f>
        <v>6F5</v>
      </c>
      <c r="L9297" t="s">
        <v>15</v>
      </c>
    </row>
    <row r="9298" spans="1:12" x14ac:dyDescent="0.25">
      <c r="A9298" t="str">
        <f>"7005314470"</f>
        <v>7005314470</v>
      </c>
      <c r="B9298" t="str">
        <f t="shared" si="410"/>
        <v>89301000</v>
      </c>
      <c r="C9298" s="1">
        <v>44340</v>
      </c>
      <c r="D9298" s="1">
        <v>44347</v>
      </c>
      <c r="E9298">
        <v>4</v>
      </c>
      <c r="F9298" t="s">
        <v>6452</v>
      </c>
      <c r="G9298" t="str">
        <f>"01-M01-02"</f>
        <v>01-M01-02</v>
      </c>
      <c r="H9298">
        <v>7.7656999999999998</v>
      </c>
      <c r="I9298" t="s">
        <v>6453</v>
      </c>
      <c r="J9298" t="s">
        <v>17</v>
      </c>
      <c r="K9298" t="str">
        <f>"5T6"</f>
        <v>5T6</v>
      </c>
      <c r="L9298" t="s">
        <v>15</v>
      </c>
    </row>
    <row r="9299" spans="1:12" x14ac:dyDescent="0.25">
      <c r="A9299" t="str">
        <f>"7005314470"</f>
        <v>7005314470</v>
      </c>
      <c r="B9299" t="str">
        <f t="shared" si="410"/>
        <v>89301000</v>
      </c>
      <c r="C9299" s="1">
        <v>44504</v>
      </c>
      <c r="D9299" s="1">
        <v>44518</v>
      </c>
      <c r="E9299">
        <v>3</v>
      </c>
      <c r="F9299" t="s">
        <v>3143</v>
      </c>
      <c r="G9299" t="str">
        <f>"01-I06-05"</f>
        <v>01-I06-05</v>
      </c>
      <c r="H9299">
        <v>2.6736</v>
      </c>
      <c r="I9299" t="s">
        <v>6454</v>
      </c>
      <c r="J9299" t="s">
        <v>17</v>
      </c>
      <c r="K9299" t="str">
        <f>"5T6"</f>
        <v>5T6</v>
      </c>
      <c r="L9299" t="s">
        <v>15</v>
      </c>
    </row>
    <row r="9300" spans="1:12" x14ac:dyDescent="0.25">
      <c r="A9300" t="str">
        <f>"7005314470"</f>
        <v>7005314470</v>
      </c>
      <c r="B9300" t="str">
        <f t="shared" si="410"/>
        <v>89301000</v>
      </c>
      <c r="C9300" s="1">
        <v>44518</v>
      </c>
      <c r="D9300" s="1">
        <v>44531</v>
      </c>
      <c r="E9300">
        <v>4</v>
      </c>
      <c r="F9300" t="s">
        <v>109</v>
      </c>
      <c r="G9300" t="str">
        <f>"24-M07-01"</f>
        <v>24-M07-01</v>
      </c>
      <c r="H9300">
        <v>1.7399</v>
      </c>
      <c r="I9300" t="s">
        <v>6455</v>
      </c>
      <c r="J9300" t="s">
        <v>14</v>
      </c>
      <c r="K9300" t="str">
        <f>"2F1"</f>
        <v>2F1</v>
      </c>
      <c r="L9300" t="s">
        <v>15</v>
      </c>
    </row>
    <row r="9301" spans="1:12" x14ac:dyDescent="0.25">
      <c r="A9301" t="str">
        <f>"7006025785"</f>
        <v>7006025785</v>
      </c>
      <c r="B9301" t="str">
        <f t="shared" si="410"/>
        <v>89301000</v>
      </c>
      <c r="C9301" s="1">
        <v>44410</v>
      </c>
      <c r="D9301" s="1">
        <v>44412</v>
      </c>
      <c r="E9301">
        <v>1</v>
      </c>
      <c r="F9301" t="s">
        <v>2585</v>
      </c>
      <c r="G9301" t="str">
        <f>"12-K05-01"</f>
        <v>12-K05-01</v>
      </c>
      <c r="H9301">
        <v>0.95450000000000002</v>
      </c>
      <c r="I9301" t="s">
        <v>6456</v>
      </c>
      <c r="J9301" t="s">
        <v>14</v>
      </c>
      <c r="K9301" t="str">
        <f>"4F2"</f>
        <v>4F2</v>
      </c>
      <c r="L9301" t="s">
        <v>15</v>
      </c>
    </row>
    <row r="9302" spans="1:12" x14ac:dyDescent="0.25">
      <c r="A9302" t="str">
        <f>"7006055793"</f>
        <v>7006055793</v>
      </c>
      <c r="B9302" t="str">
        <f t="shared" si="410"/>
        <v>89301000</v>
      </c>
      <c r="C9302" s="1">
        <v>44501</v>
      </c>
      <c r="D9302" s="1">
        <v>44502</v>
      </c>
      <c r="E9302">
        <v>1</v>
      </c>
      <c r="F9302" t="s">
        <v>2232</v>
      </c>
      <c r="G9302" t="str">
        <f>"11-K07-02"</f>
        <v>11-K07-02</v>
      </c>
      <c r="H9302">
        <v>0.4869</v>
      </c>
      <c r="J9302" t="s">
        <v>14</v>
      </c>
      <c r="K9302" t="str">
        <f>"7F6"</f>
        <v>7F6</v>
      </c>
      <c r="L9302" t="s">
        <v>15</v>
      </c>
    </row>
    <row r="9303" spans="1:12" x14ac:dyDescent="0.25">
      <c r="A9303" t="str">
        <f>"7006055793"</f>
        <v>7006055793</v>
      </c>
      <c r="B9303" t="str">
        <f t="shared" si="410"/>
        <v>89301000</v>
      </c>
      <c r="C9303" s="1">
        <v>44494</v>
      </c>
      <c r="D9303" s="1">
        <v>44495</v>
      </c>
      <c r="E9303">
        <v>1</v>
      </c>
      <c r="F9303" t="s">
        <v>2232</v>
      </c>
      <c r="G9303" t="str">
        <f>"11-K07-02"</f>
        <v>11-K07-02</v>
      </c>
      <c r="H9303">
        <v>0.4869</v>
      </c>
      <c r="J9303" t="s">
        <v>14</v>
      </c>
      <c r="K9303" t="str">
        <f>"7F6"</f>
        <v>7F6</v>
      </c>
      <c r="L9303" t="s">
        <v>15</v>
      </c>
    </row>
    <row r="9304" spans="1:12" x14ac:dyDescent="0.25">
      <c r="A9304" t="str">
        <f>"7006105326"</f>
        <v>7006105326</v>
      </c>
      <c r="B9304" t="str">
        <f t="shared" si="410"/>
        <v>89301000</v>
      </c>
      <c r="C9304" s="1">
        <v>44503</v>
      </c>
      <c r="D9304" s="1">
        <v>44505</v>
      </c>
      <c r="E9304">
        <v>1</v>
      </c>
      <c r="F9304" t="s">
        <v>41</v>
      </c>
      <c r="G9304" t="str">
        <f>"01-D01-03"</f>
        <v>01-D01-03</v>
      </c>
      <c r="H9304">
        <v>0.158</v>
      </c>
      <c r="I9304" t="s">
        <v>489</v>
      </c>
      <c r="J9304" t="s">
        <v>14</v>
      </c>
      <c r="K9304" t="str">
        <f>"2F5"</f>
        <v>2F5</v>
      </c>
      <c r="L9304" t="s">
        <v>15</v>
      </c>
    </row>
    <row r="9305" spans="1:12" x14ac:dyDescent="0.25">
      <c r="A9305" t="str">
        <f>"7006105326"</f>
        <v>7006105326</v>
      </c>
      <c r="B9305" t="str">
        <f t="shared" si="410"/>
        <v>89301000</v>
      </c>
      <c r="C9305" s="1">
        <v>44329</v>
      </c>
      <c r="D9305" s="1">
        <v>44330</v>
      </c>
      <c r="E9305">
        <v>1</v>
      </c>
      <c r="F9305" t="s">
        <v>41</v>
      </c>
      <c r="G9305" t="str">
        <f>"01-D01-03"</f>
        <v>01-D01-03</v>
      </c>
      <c r="H9305">
        <v>0.158</v>
      </c>
      <c r="I9305" t="s">
        <v>489</v>
      </c>
      <c r="J9305" t="s">
        <v>14</v>
      </c>
      <c r="K9305" t="str">
        <f>"2F5"</f>
        <v>2F5</v>
      </c>
      <c r="L9305" t="s">
        <v>15</v>
      </c>
    </row>
    <row r="9306" spans="1:12" x14ac:dyDescent="0.25">
      <c r="A9306" t="str">
        <f>"7006105337"</f>
        <v>7006105337</v>
      </c>
      <c r="B9306" t="str">
        <f t="shared" si="410"/>
        <v>89301000</v>
      </c>
      <c r="C9306" s="1">
        <v>44229</v>
      </c>
      <c r="D9306" s="1">
        <v>44235</v>
      </c>
      <c r="E9306">
        <v>1</v>
      </c>
      <c r="F9306" t="s">
        <v>1299</v>
      </c>
      <c r="G9306" t="str">
        <f>"03-I12-03"</f>
        <v>03-I12-03</v>
      </c>
      <c r="H9306">
        <v>1.0016</v>
      </c>
      <c r="I9306" t="s">
        <v>6457</v>
      </c>
      <c r="J9306" t="s">
        <v>17</v>
      </c>
      <c r="K9306" t="str">
        <f>"6F5"</f>
        <v>6F5</v>
      </c>
      <c r="L9306" t="s">
        <v>15</v>
      </c>
    </row>
    <row r="9307" spans="1:12" x14ac:dyDescent="0.25">
      <c r="A9307" t="str">
        <f>"7006114467"</f>
        <v>7006114467</v>
      </c>
      <c r="B9307" t="str">
        <f t="shared" si="410"/>
        <v>89301000</v>
      </c>
      <c r="C9307" s="1">
        <v>44379</v>
      </c>
      <c r="D9307" s="1">
        <v>44393</v>
      </c>
      <c r="E9307">
        <v>1</v>
      </c>
      <c r="F9307" t="s">
        <v>448</v>
      </c>
      <c r="G9307" t="str">
        <f>"11-I17-03"</f>
        <v>11-I17-03</v>
      </c>
      <c r="H9307">
        <v>1.0672999999999999</v>
      </c>
      <c r="I9307" t="s">
        <v>6458</v>
      </c>
      <c r="J9307" t="s">
        <v>14</v>
      </c>
      <c r="K9307" t="str">
        <f>"7F6"</f>
        <v>7F6</v>
      </c>
      <c r="L9307" t="s">
        <v>15</v>
      </c>
    </row>
    <row r="9308" spans="1:12" x14ac:dyDescent="0.25">
      <c r="A9308" t="str">
        <f>"7006114467"</f>
        <v>7006114467</v>
      </c>
      <c r="B9308" t="str">
        <f t="shared" si="410"/>
        <v>89301000</v>
      </c>
      <c r="C9308" s="1">
        <v>44404</v>
      </c>
      <c r="D9308" s="1">
        <v>44414</v>
      </c>
      <c r="E9308">
        <v>1</v>
      </c>
      <c r="F9308" t="s">
        <v>2585</v>
      </c>
      <c r="G9308" t="str">
        <f>"12-K05-02"</f>
        <v>12-K05-02</v>
      </c>
      <c r="H9308">
        <v>0.4637</v>
      </c>
      <c r="I9308" t="s">
        <v>6459</v>
      </c>
      <c r="J9308" t="s">
        <v>14</v>
      </c>
      <c r="K9308" t="str">
        <f>"7F6"</f>
        <v>7F6</v>
      </c>
      <c r="L9308" t="s">
        <v>15</v>
      </c>
    </row>
    <row r="9309" spans="1:12" x14ac:dyDescent="0.25">
      <c r="A9309" t="str">
        <f>"7006175275"</f>
        <v>7006175275</v>
      </c>
      <c r="B9309" t="str">
        <f t="shared" si="410"/>
        <v>89301000</v>
      </c>
      <c r="C9309" s="1">
        <v>44545</v>
      </c>
      <c r="D9309" s="1">
        <v>44546</v>
      </c>
      <c r="E9309">
        <v>1</v>
      </c>
      <c r="F9309" t="s">
        <v>41</v>
      </c>
      <c r="G9309" t="str">
        <f>"01-D01-03"</f>
        <v>01-D01-03</v>
      </c>
      <c r="H9309">
        <v>0.158</v>
      </c>
      <c r="I9309" t="s">
        <v>6460</v>
      </c>
      <c r="J9309" t="s">
        <v>14</v>
      </c>
      <c r="K9309" t="str">
        <f>"2F5"</f>
        <v>2F5</v>
      </c>
      <c r="L9309" t="s">
        <v>15</v>
      </c>
    </row>
    <row r="9310" spans="1:12" x14ac:dyDescent="0.25">
      <c r="A9310" t="str">
        <f>"7006205360"</f>
        <v>7006205360</v>
      </c>
      <c r="B9310" t="str">
        <f t="shared" si="410"/>
        <v>89301000</v>
      </c>
      <c r="C9310" s="1">
        <v>44371</v>
      </c>
      <c r="D9310" s="1">
        <v>44372</v>
      </c>
      <c r="E9310">
        <v>1</v>
      </c>
      <c r="F9310" t="s">
        <v>6461</v>
      </c>
      <c r="G9310" t="str">
        <f>"02-I08-02"</f>
        <v>02-I08-02</v>
      </c>
      <c r="H9310">
        <v>0.55269999999999997</v>
      </c>
      <c r="J9310" t="s">
        <v>17</v>
      </c>
      <c r="K9310" t="str">
        <f>"7F5"</f>
        <v>7F5</v>
      </c>
      <c r="L9310" t="s">
        <v>15</v>
      </c>
    </row>
    <row r="9311" spans="1:12" x14ac:dyDescent="0.25">
      <c r="A9311" t="str">
        <f>"7006245818"</f>
        <v>7006245818</v>
      </c>
      <c r="B9311" t="str">
        <f t="shared" si="410"/>
        <v>89301000</v>
      </c>
      <c r="C9311" s="1">
        <v>44406</v>
      </c>
      <c r="D9311" s="1">
        <v>44407</v>
      </c>
      <c r="E9311">
        <v>1</v>
      </c>
      <c r="F9311" t="s">
        <v>41</v>
      </c>
      <c r="G9311" t="str">
        <f>"01-D01-03"</f>
        <v>01-D01-03</v>
      </c>
      <c r="H9311">
        <v>0.158</v>
      </c>
      <c r="I9311" t="s">
        <v>2202</v>
      </c>
      <c r="J9311" t="s">
        <v>14</v>
      </c>
      <c r="K9311" t="str">
        <f>"2F5"</f>
        <v>2F5</v>
      </c>
      <c r="L9311" t="s">
        <v>15</v>
      </c>
    </row>
    <row r="9312" spans="1:12" x14ac:dyDescent="0.25">
      <c r="A9312" t="str">
        <f>"7006285330"</f>
        <v>7006285330</v>
      </c>
      <c r="B9312" t="str">
        <f t="shared" si="410"/>
        <v>89301000</v>
      </c>
      <c r="C9312" s="1">
        <v>44306</v>
      </c>
      <c r="D9312" s="1">
        <v>44312</v>
      </c>
      <c r="E9312">
        <v>1</v>
      </c>
      <c r="F9312" t="s">
        <v>2374</v>
      </c>
      <c r="G9312" t="str">
        <f>"06-I21-03"</f>
        <v>06-I21-03</v>
      </c>
      <c r="H9312">
        <v>0.47820000000000001</v>
      </c>
      <c r="I9312" t="s">
        <v>903</v>
      </c>
      <c r="J9312" t="s">
        <v>17</v>
      </c>
      <c r="K9312" t="str">
        <f>"5F1"</f>
        <v>5F1</v>
      </c>
      <c r="L9312" t="s">
        <v>15</v>
      </c>
    </row>
    <row r="9313" spans="1:12" x14ac:dyDescent="0.25">
      <c r="A9313" t="str">
        <f>"7007055143"</f>
        <v>7007055143</v>
      </c>
      <c r="B9313" t="str">
        <f t="shared" si="410"/>
        <v>89301000</v>
      </c>
      <c r="C9313" s="1">
        <v>44475</v>
      </c>
      <c r="D9313" s="1">
        <v>44477</v>
      </c>
      <c r="E9313">
        <v>1</v>
      </c>
      <c r="F9313" t="s">
        <v>6462</v>
      </c>
      <c r="G9313" t="str">
        <f>"05-D01-06"</f>
        <v>05-D01-06</v>
      </c>
      <c r="H9313">
        <v>0.7611</v>
      </c>
      <c r="I9313" t="s">
        <v>2283</v>
      </c>
      <c r="J9313" t="s">
        <v>14</v>
      </c>
      <c r="K9313" t="str">
        <f>"1F1"</f>
        <v>1F1</v>
      </c>
      <c r="L9313" t="s">
        <v>15</v>
      </c>
    </row>
    <row r="9314" spans="1:12" x14ac:dyDescent="0.25">
      <c r="A9314" t="str">
        <f>"7007145310"</f>
        <v>7007145310</v>
      </c>
      <c r="B9314" t="str">
        <f t="shared" si="410"/>
        <v>89301000</v>
      </c>
      <c r="C9314" s="1">
        <v>44355</v>
      </c>
      <c r="D9314" s="1">
        <v>44357</v>
      </c>
      <c r="E9314">
        <v>1</v>
      </c>
      <c r="F9314" t="s">
        <v>798</v>
      </c>
      <c r="G9314" t="str">
        <f>"08-I18-02"</f>
        <v>08-I18-02</v>
      </c>
      <c r="H9314">
        <v>0.65769999999999995</v>
      </c>
      <c r="I9314" t="s">
        <v>6463</v>
      </c>
      <c r="J9314" t="s">
        <v>17</v>
      </c>
      <c r="K9314" t="str">
        <f>"5F3"</f>
        <v>5F3</v>
      </c>
      <c r="L9314" t="s">
        <v>15</v>
      </c>
    </row>
    <row r="9315" spans="1:12" x14ac:dyDescent="0.25">
      <c r="A9315" t="str">
        <f>"7007165330"</f>
        <v>7007165330</v>
      </c>
      <c r="B9315" t="str">
        <f t="shared" si="410"/>
        <v>89301000</v>
      </c>
      <c r="C9315" s="1">
        <v>44219</v>
      </c>
      <c r="D9315" s="1">
        <v>44230</v>
      </c>
      <c r="E9315">
        <v>1</v>
      </c>
      <c r="F9315" t="s">
        <v>4925</v>
      </c>
      <c r="G9315" t="str">
        <f>"19-K03-03"</f>
        <v>19-K03-03</v>
      </c>
      <c r="H9315">
        <v>0.93169999999999997</v>
      </c>
      <c r="I9315" t="s">
        <v>6464</v>
      </c>
      <c r="J9315" t="s">
        <v>27</v>
      </c>
      <c r="K9315" t="str">
        <f>"3F5"</f>
        <v>3F5</v>
      </c>
      <c r="L9315" t="s">
        <v>15</v>
      </c>
    </row>
    <row r="9316" spans="1:12" x14ac:dyDescent="0.25">
      <c r="A9316" t="str">
        <f>"7007165330"</f>
        <v>7007165330</v>
      </c>
      <c r="B9316" t="str">
        <f t="shared" si="410"/>
        <v>89301000</v>
      </c>
      <c r="C9316" s="1">
        <v>44509</v>
      </c>
      <c r="D9316" s="1">
        <v>44524</v>
      </c>
      <c r="E9316">
        <v>1</v>
      </c>
      <c r="F9316" t="s">
        <v>6465</v>
      </c>
      <c r="G9316" t="str">
        <f>"21-K05-03"</f>
        <v>21-K05-03</v>
      </c>
      <c r="H9316">
        <v>0.88690000000000002</v>
      </c>
      <c r="I9316" t="s">
        <v>6466</v>
      </c>
      <c r="J9316" t="s">
        <v>14</v>
      </c>
      <c r="K9316" t="str">
        <f>"3F5"</f>
        <v>3F5</v>
      </c>
      <c r="L9316" t="s">
        <v>15</v>
      </c>
    </row>
    <row r="9317" spans="1:12" x14ac:dyDescent="0.25">
      <c r="A9317" t="str">
        <f>"7007205337"</f>
        <v>7007205337</v>
      </c>
      <c r="B9317" t="str">
        <f t="shared" si="410"/>
        <v>89301000</v>
      </c>
      <c r="C9317" s="1">
        <v>44221</v>
      </c>
      <c r="D9317" s="1">
        <v>44224</v>
      </c>
      <c r="E9317">
        <v>8</v>
      </c>
      <c r="F9317" t="s">
        <v>962</v>
      </c>
      <c r="G9317" t="str">
        <f>"04-M01-06"</f>
        <v>04-M01-06</v>
      </c>
      <c r="H9317">
        <v>3.5308999999999999</v>
      </c>
      <c r="I9317" t="s">
        <v>6467</v>
      </c>
      <c r="J9317" t="s">
        <v>14</v>
      </c>
      <c r="K9317" t="str">
        <f>"1T1"</f>
        <v>1T1</v>
      </c>
      <c r="L9317" t="s">
        <v>15</v>
      </c>
    </row>
    <row r="9318" spans="1:12" x14ac:dyDescent="0.25">
      <c r="A9318" t="str">
        <f>"7007245344"</f>
        <v>7007245344</v>
      </c>
      <c r="B9318" t="str">
        <f t="shared" si="410"/>
        <v>89301000</v>
      </c>
      <c r="C9318" s="1">
        <v>44314</v>
      </c>
      <c r="D9318" s="1">
        <v>44335</v>
      </c>
      <c r="E9318">
        <v>1</v>
      </c>
      <c r="F9318" t="s">
        <v>625</v>
      </c>
      <c r="G9318" t="str">
        <f>"04-M01-06"</f>
        <v>04-M01-06</v>
      </c>
      <c r="H9318">
        <v>3.5308999999999999</v>
      </c>
      <c r="I9318" t="s">
        <v>6468</v>
      </c>
      <c r="J9318" t="s">
        <v>14</v>
      </c>
      <c r="K9318" t="str">
        <f>"2F5"</f>
        <v>2F5</v>
      </c>
      <c r="L9318" t="s">
        <v>15</v>
      </c>
    </row>
    <row r="9319" spans="1:12" x14ac:dyDescent="0.25">
      <c r="A9319" t="str">
        <f>"7007245344"</f>
        <v>7007245344</v>
      </c>
      <c r="B9319" t="str">
        <f t="shared" si="410"/>
        <v>89301000</v>
      </c>
      <c r="C9319" s="1">
        <v>44283</v>
      </c>
      <c r="D9319" s="1">
        <v>44295</v>
      </c>
      <c r="E9319">
        <v>1</v>
      </c>
      <c r="F9319" t="s">
        <v>6469</v>
      </c>
      <c r="G9319" t="str">
        <f>"11-K02-01"</f>
        <v>11-K02-01</v>
      </c>
      <c r="H9319">
        <v>2.169</v>
      </c>
      <c r="I9319" t="s">
        <v>6470</v>
      </c>
      <c r="J9319" t="s">
        <v>14</v>
      </c>
      <c r="K9319" t="str">
        <f>"1F1"</f>
        <v>1F1</v>
      </c>
      <c r="L9319" t="s">
        <v>15</v>
      </c>
    </row>
    <row r="9320" spans="1:12" x14ac:dyDescent="0.25">
      <c r="A9320" t="str">
        <f>"7007245344"</f>
        <v>7007245344</v>
      </c>
      <c r="B9320" t="str">
        <f t="shared" si="410"/>
        <v>89301000</v>
      </c>
      <c r="C9320" s="1">
        <v>44308</v>
      </c>
      <c r="D9320" s="1">
        <v>44309</v>
      </c>
      <c r="E9320">
        <v>1</v>
      </c>
      <c r="F9320" t="s">
        <v>4206</v>
      </c>
      <c r="G9320" t="str">
        <f>"08-C04-02"</f>
        <v>08-C04-02</v>
      </c>
      <c r="H9320">
        <v>0.43919999999999998</v>
      </c>
      <c r="I9320" t="s">
        <v>6471</v>
      </c>
      <c r="J9320" t="s">
        <v>14</v>
      </c>
      <c r="K9320" t="str">
        <f>"1F9"</f>
        <v>1F9</v>
      </c>
      <c r="L9320" t="s">
        <v>15</v>
      </c>
    </row>
    <row r="9321" spans="1:12" x14ac:dyDescent="0.25">
      <c r="A9321" t="str">
        <f>"7007245344"</f>
        <v>7007245344</v>
      </c>
      <c r="B9321" t="str">
        <f t="shared" si="410"/>
        <v>89301000</v>
      </c>
      <c r="C9321" s="1">
        <v>44361</v>
      </c>
      <c r="D9321" s="1">
        <v>44369</v>
      </c>
      <c r="E9321">
        <v>1</v>
      </c>
      <c r="F9321" t="s">
        <v>4206</v>
      </c>
      <c r="G9321" t="str">
        <f>"08-C04-02"</f>
        <v>08-C04-02</v>
      </c>
      <c r="H9321">
        <v>0.43919999999999998</v>
      </c>
      <c r="I9321" t="s">
        <v>6472</v>
      </c>
      <c r="J9321" t="s">
        <v>14</v>
      </c>
      <c r="K9321" t="str">
        <f>"1F9"</f>
        <v>1F9</v>
      </c>
      <c r="L9321" t="s">
        <v>15</v>
      </c>
    </row>
    <row r="9322" spans="1:12" x14ac:dyDescent="0.25">
      <c r="A9322" t="str">
        <f>"7007245344"</f>
        <v>7007245344</v>
      </c>
      <c r="B9322" t="str">
        <f t="shared" si="410"/>
        <v>89301000</v>
      </c>
      <c r="C9322" s="1">
        <v>44389</v>
      </c>
      <c r="D9322" s="1">
        <v>44397</v>
      </c>
      <c r="E9322">
        <v>1</v>
      </c>
      <c r="F9322" t="s">
        <v>952</v>
      </c>
      <c r="G9322" t="str">
        <f>"04-I03-02"</f>
        <v>04-I03-02</v>
      </c>
      <c r="H9322">
        <v>3.4262999999999999</v>
      </c>
      <c r="I9322" t="s">
        <v>6473</v>
      </c>
      <c r="J9322" t="s">
        <v>106</v>
      </c>
      <c r="K9322" t="str">
        <f>"5F1"</f>
        <v>5F1</v>
      </c>
      <c r="L9322" t="s">
        <v>15</v>
      </c>
    </row>
    <row r="9323" spans="1:12" x14ac:dyDescent="0.25">
      <c r="A9323" t="str">
        <f>"7007285307"</f>
        <v>7007285307</v>
      </c>
      <c r="B9323" t="str">
        <f t="shared" si="410"/>
        <v>89301000</v>
      </c>
      <c r="C9323" s="1">
        <v>44396</v>
      </c>
      <c r="D9323" s="1">
        <v>44398</v>
      </c>
      <c r="E9323">
        <v>1</v>
      </c>
      <c r="F9323" t="s">
        <v>173</v>
      </c>
      <c r="G9323" t="str">
        <f>"08-I32-02"</f>
        <v>08-I32-02</v>
      </c>
      <c r="H9323">
        <v>0.4143</v>
      </c>
      <c r="I9323" t="s">
        <v>3885</v>
      </c>
      <c r="J9323" t="s">
        <v>14</v>
      </c>
      <c r="K9323" t="str">
        <f>"6F6"</f>
        <v>6F6</v>
      </c>
      <c r="L9323" t="s">
        <v>15</v>
      </c>
    </row>
    <row r="9324" spans="1:12" x14ac:dyDescent="0.25">
      <c r="A9324" t="str">
        <f>"7008145771"</f>
        <v>7008145771</v>
      </c>
      <c r="B9324" t="str">
        <f t="shared" ref="B9324:B9387" si="412">"89301000"</f>
        <v>89301000</v>
      </c>
      <c r="C9324" s="1">
        <v>44244</v>
      </c>
      <c r="D9324" s="1">
        <v>44244</v>
      </c>
      <c r="E9324">
        <v>1</v>
      </c>
      <c r="F9324" t="s">
        <v>92</v>
      </c>
      <c r="G9324" t="str">
        <f>"05-D01-06"</f>
        <v>05-D01-06</v>
      </c>
      <c r="H9324">
        <v>0.40649999999999997</v>
      </c>
      <c r="J9324" t="s">
        <v>14</v>
      </c>
      <c r="K9324" t="str">
        <f>"1F7"</f>
        <v>1F7</v>
      </c>
      <c r="L9324" t="s">
        <v>15</v>
      </c>
    </row>
    <row r="9325" spans="1:12" x14ac:dyDescent="0.25">
      <c r="A9325" t="str">
        <f>"7008164471"</f>
        <v>7008164471</v>
      </c>
      <c r="B9325" t="str">
        <f t="shared" si="412"/>
        <v>89301000</v>
      </c>
      <c r="C9325" s="1">
        <v>44454</v>
      </c>
      <c r="D9325" s="1">
        <v>44459</v>
      </c>
      <c r="E9325">
        <v>1</v>
      </c>
      <c r="F9325" t="s">
        <v>1619</v>
      </c>
      <c r="G9325" t="str">
        <f>"05-M06-06"</f>
        <v>05-M06-06</v>
      </c>
      <c r="H9325">
        <v>1.7652000000000001</v>
      </c>
      <c r="I9325" t="s">
        <v>5867</v>
      </c>
      <c r="J9325" t="s">
        <v>17</v>
      </c>
      <c r="K9325" t="str">
        <f>"1F1"</f>
        <v>1F1</v>
      </c>
      <c r="L9325" t="s">
        <v>15</v>
      </c>
    </row>
    <row r="9326" spans="1:12" x14ac:dyDescent="0.25">
      <c r="A9326" t="str">
        <f>"7008222375"</f>
        <v>7008222375</v>
      </c>
      <c r="B9326" t="str">
        <f t="shared" si="412"/>
        <v>89301000</v>
      </c>
      <c r="C9326" s="1">
        <v>44523</v>
      </c>
      <c r="D9326" s="1">
        <v>44529</v>
      </c>
      <c r="E9326">
        <v>5</v>
      </c>
      <c r="F9326" t="s">
        <v>208</v>
      </c>
      <c r="G9326" t="str">
        <f>"08-I03-05"</f>
        <v>08-I03-05</v>
      </c>
      <c r="H9326">
        <v>3.4518</v>
      </c>
      <c r="I9326" t="s">
        <v>6474</v>
      </c>
      <c r="J9326" t="s">
        <v>17</v>
      </c>
      <c r="K9326" t="str">
        <f>"5F6"</f>
        <v>5F6</v>
      </c>
      <c r="L9326" t="s">
        <v>15</v>
      </c>
    </row>
    <row r="9327" spans="1:12" x14ac:dyDescent="0.25">
      <c r="A9327" t="str">
        <f>"7008245343"</f>
        <v>7008245343</v>
      </c>
      <c r="B9327" t="str">
        <f t="shared" si="412"/>
        <v>89301000</v>
      </c>
      <c r="C9327" s="1">
        <v>44487</v>
      </c>
      <c r="D9327" s="1">
        <v>44488</v>
      </c>
      <c r="E9327">
        <v>1</v>
      </c>
      <c r="F9327" t="s">
        <v>6475</v>
      </c>
      <c r="G9327" t="str">
        <f>"02-I08-02"</f>
        <v>02-I08-02</v>
      </c>
      <c r="H9327">
        <v>0.55269999999999997</v>
      </c>
      <c r="I9327" t="s">
        <v>6476</v>
      </c>
      <c r="J9327" t="s">
        <v>17</v>
      </c>
      <c r="K9327" t="str">
        <f>"7F5"</f>
        <v>7F5</v>
      </c>
      <c r="L9327" t="s">
        <v>15</v>
      </c>
    </row>
    <row r="9328" spans="1:12" x14ac:dyDescent="0.25">
      <c r="A9328" t="str">
        <f>"7009165768"</f>
        <v>7009165768</v>
      </c>
      <c r="B9328" t="str">
        <f t="shared" si="412"/>
        <v>89301000</v>
      </c>
      <c r="C9328" s="1">
        <v>44503</v>
      </c>
      <c r="D9328" s="1">
        <v>44504</v>
      </c>
      <c r="E9328">
        <v>1</v>
      </c>
      <c r="F9328" t="s">
        <v>41</v>
      </c>
      <c r="G9328" t="str">
        <f>"01-D01-03"</f>
        <v>01-D01-03</v>
      </c>
      <c r="H9328">
        <v>0.158</v>
      </c>
      <c r="I9328" t="s">
        <v>6477</v>
      </c>
      <c r="J9328" t="s">
        <v>14</v>
      </c>
      <c r="K9328" t="str">
        <f>"2F5"</f>
        <v>2F5</v>
      </c>
      <c r="L9328" t="s">
        <v>15</v>
      </c>
    </row>
    <row r="9329" spans="1:12" x14ac:dyDescent="0.25">
      <c r="A9329" t="str">
        <f>"7009205753"</f>
        <v>7009205753</v>
      </c>
      <c r="B9329" t="str">
        <f t="shared" si="412"/>
        <v>89301000</v>
      </c>
      <c r="C9329" s="1">
        <v>44495</v>
      </c>
      <c r="D9329" s="1">
        <v>44496</v>
      </c>
      <c r="E9329">
        <v>1</v>
      </c>
      <c r="F9329" t="s">
        <v>1557</v>
      </c>
      <c r="G9329" t="str">
        <f>"05-M06-08"</f>
        <v>05-M06-08</v>
      </c>
      <c r="H9329">
        <v>1.4719</v>
      </c>
      <c r="I9329" t="s">
        <v>1892</v>
      </c>
      <c r="J9329" t="s">
        <v>17</v>
      </c>
      <c r="K9329" t="str">
        <f>"1F1"</f>
        <v>1F1</v>
      </c>
      <c r="L9329" t="s">
        <v>15</v>
      </c>
    </row>
    <row r="9330" spans="1:12" x14ac:dyDescent="0.25">
      <c r="A9330" t="str">
        <f>"7009209042"</f>
        <v>7009209042</v>
      </c>
      <c r="B9330" t="str">
        <f t="shared" si="412"/>
        <v>89301000</v>
      </c>
      <c r="C9330" s="1">
        <v>44405</v>
      </c>
      <c r="D9330" s="1">
        <v>44406</v>
      </c>
      <c r="E9330">
        <v>1</v>
      </c>
      <c r="F9330" t="s">
        <v>41</v>
      </c>
      <c r="G9330" t="str">
        <f>"01-D01-03"</f>
        <v>01-D01-03</v>
      </c>
      <c r="H9330">
        <v>0.158</v>
      </c>
      <c r="I9330" t="s">
        <v>6478</v>
      </c>
      <c r="J9330" t="s">
        <v>14</v>
      </c>
      <c r="K9330" t="str">
        <f>"2F5"</f>
        <v>2F5</v>
      </c>
      <c r="L9330" t="s">
        <v>15</v>
      </c>
    </row>
    <row r="9331" spans="1:12" x14ac:dyDescent="0.25">
      <c r="A9331" t="str">
        <f>"7010045350"</f>
        <v>7010045350</v>
      </c>
      <c r="B9331" t="str">
        <f t="shared" si="412"/>
        <v>89301000</v>
      </c>
      <c r="C9331" s="1">
        <v>44327</v>
      </c>
      <c r="D9331" s="1">
        <v>44333</v>
      </c>
      <c r="E9331">
        <v>1</v>
      </c>
      <c r="F9331" t="s">
        <v>1096</v>
      </c>
      <c r="G9331" t="str">
        <f>"04-K02-04"</f>
        <v>04-K02-04</v>
      </c>
      <c r="H9331">
        <v>0.82469999999999999</v>
      </c>
      <c r="I9331" t="s">
        <v>5699</v>
      </c>
      <c r="J9331" t="s">
        <v>14</v>
      </c>
      <c r="K9331" t="str">
        <f>"2F5"</f>
        <v>2F5</v>
      </c>
      <c r="L9331" t="s">
        <v>15</v>
      </c>
    </row>
    <row r="9332" spans="1:12" x14ac:dyDescent="0.25">
      <c r="A9332" t="str">
        <f>"7011055326"</f>
        <v>7011055326</v>
      </c>
      <c r="B9332" t="str">
        <f t="shared" si="412"/>
        <v>89301000</v>
      </c>
      <c r="C9332" s="1">
        <v>44228</v>
      </c>
      <c r="D9332" s="1">
        <v>44233</v>
      </c>
      <c r="E9332">
        <v>1</v>
      </c>
      <c r="F9332" t="s">
        <v>2232</v>
      </c>
      <c r="G9332" t="str">
        <f>"11-I07-01"</f>
        <v>11-I07-01</v>
      </c>
      <c r="H9332">
        <v>2.5975999999999999</v>
      </c>
      <c r="I9332" t="s">
        <v>168</v>
      </c>
      <c r="J9332" t="s">
        <v>14</v>
      </c>
      <c r="K9332" t="str">
        <f>"7F6"</f>
        <v>7F6</v>
      </c>
      <c r="L9332" t="s">
        <v>15</v>
      </c>
    </row>
    <row r="9333" spans="1:12" x14ac:dyDescent="0.25">
      <c r="A9333" t="str">
        <f>"7011085686"</f>
        <v>7011085686</v>
      </c>
      <c r="B9333" t="str">
        <f t="shared" si="412"/>
        <v>89301000</v>
      </c>
      <c r="C9333" s="1">
        <v>44483</v>
      </c>
      <c r="D9333" s="1">
        <v>44486</v>
      </c>
      <c r="E9333">
        <v>1</v>
      </c>
      <c r="F9333" t="s">
        <v>2407</v>
      </c>
      <c r="G9333" t="str">
        <f>"08-I22-02"</f>
        <v>08-I22-02</v>
      </c>
      <c r="H9333">
        <v>1.1049</v>
      </c>
      <c r="J9333" t="s">
        <v>17</v>
      </c>
      <c r="K9333" t="str">
        <f>"6F6"</f>
        <v>6F6</v>
      </c>
      <c r="L9333" t="s">
        <v>15</v>
      </c>
    </row>
    <row r="9334" spans="1:12" x14ac:dyDescent="0.25">
      <c r="A9334" t="str">
        <f>"7011165315"</f>
        <v>7011165315</v>
      </c>
      <c r="B9334" t="str">
        <f t="shared" si="412"/>
        <v>89301000</v>
      </c>
      <c r="C9334" s="1">
        <v>44322</v>
      </c>
      <c r="D9334" s="1">
        <v>44326</v>
      </c>
      <c r="E9334">
        <v>1</v>
      </c>
      <c r="F9334" t="s">
        <v>4804</v>
      </c>
      <c r="G9334" t="str">
        <f>"23-K05-02"</f>
        <v>23-K05-02</v>
      </c>
      <c r="H9334">
        <v>0.45929999999999999</v>
      </c>
      <c r="I9334" t="s">
        <v>2987</v>
      </c>
      <c r="J9334" t="s">
        <v>14</v>
      </c>
      <c r="K9334" t="str">
        <f>"5F6"</f>
        <v>5F6</v>
      </c>
      <c r="L9334" t="s">
        <v>15</v>
      </c>
    </row>
    <row r="9335" spans="1:12" x14ac:dyDescent="0.25">
      <c r="A9335" t="str">
        <f>"7011205421"</f>
        <v>7011205421</v>
      </c>
      <c r="B9335" t="str">
        <f t="shared" si="412"/>
        <v>89301000</v>
      </c>
      <c r="C9335" s="1">
        <v>44326</v>
      </c>
      <c r="D9335" s="1">
        <v>44329</v>
      </c>
      <c r="E9335">
        <v>1</v>
      </c>
      <c r="F9335" t="s">
        <v>2839</v>
      </c>
      <c r="G9335" t="str">
        <f>"08-K01-03"</f>
        <v>08-K01-03</v>
      </c>
      <c r="H9335">
        <v>0.65310000000000001</v>
      </c>
      <c r="I9335" t="s">
        <v>6479</v>
      </c>
      <c r="J9335" t="s">
        <v>14</v>
      </c>
      <c r="K9335" t="str">
        <f>"1F9"</f>
        <v>1F9</v>
      </c>
      <c r="L9335" t="s">
        <v>15</v>
      </c>
    </row>
    <row r="9336" spans="1:12" x14ac:dyDescent="0.25">
      <c r="A9336" t="str">
        <f>"7012045700"</f>
        <v>7012045700</v>
      </c>
      <c r="B9336" t="str">
        <f t="shared" si="412"/>
        <v>89301000</v>
      </c>
      <c r="C9336" s="1">
        <v>44218</v>
      </c>
      <c r="D9336" s="1">
        <v>44221</v>
      </c>
      <c r="E9336">
        <v>1</v>
      </c>
      <c r="F9336" t="s">
        <v>2111</v>
      </c>
      <c r="G9336" t="str">
        <f>"10-K15-02"</f>
        <v>10-K15-02</v>
      </c>
      <c r="H9336">
        <v>1.0346</v>
      </c>
      <c r="I9336" t="s">
        <v>6480</v>
      </c>
      <c r="J9336" t="s">
        <v>14</v>
      </c>
      <c r="K9336" t="str">
        <f>"2F5"</f>
        <v>2F5</v>
      </c>
      <c r="L9336" t="s">
        <v>15</v>
      </c>
    </row>
    <row r="9337" spans="1:12" x14ac:dyDescent="0.25">
      <c r="A9337" t="str">
        <f>"7012115814"</f>
        <v>7012115814</v>
      </c>
      <c r="B9337" t="str">
        <f t="shared" si="412"/>
        <v>89301000</v>
      </c>
      <c r="C9337" s="1">
        <v>44220</v>
      </c>
      <c r="D9337" s="1">
        <v>44225</v>
      </c>
      <c r="E9337">
        <v>7</v>
      </c>
      <c r="F9337" t="s">
        <v>2004</v>
      </c>
      <c r="G9337" t="str">
        <f>"05-I03-02"</f>
        <v>05-I03-02</v>
      </c>
      <c r="H9337">
        <v>17.600200000000001</v>
      </c>
      <c r="I9337" t="s">
        <v>6481</v>
      </c>
      <c r="J9337" t="s">
        <v>14</v>
      </c>
      <c r="K9337" t="str">
        <f>"5T5"</f>
        <v>5T5</v>
      </c>
      <c r="L9337" t="s">
        <v>15</v>
      </c>
    </row>
    <row r="9338" spans="1:12" x14ac:dyDescent="0.25">
      <c r="A9338" t="str">
        <f>"7012145305"</f>
        <v>7012145305</v>
      </c>
      <c r="B9338" t="str">
        <f t="shared" si="412"/>
        <v>89301000</v>
      </c>
      <c r="C9338" s="1">
        <v>44249</v>
      </c>
      <c r="D9338" s="1">
        <v>44249</v>
      </c>
      <c r="E9338">
        <v>1</v>
      </c>
      <c r="F9338" t="s">
        <v>1545</v>
      </c>
      <c r="G9338" t="str">
        <f>"05-I14-03"</f>
        <v>05-I14-03</v>
      </c>
      <c r="H9338">
        <v>5.8045</v>
      </c>
      <c r="J9338" t="s">
        <v>14</v>
      </c>
      <c r="K9338" t="str">
        <f>"1F1"</f>
        <v>1F1</v>
      </c>
      <c r="L9338" t="s">
        <v>15</v>
      </c>
    </row>
    <row r="9339" spans="1:12" x14ac:dyDescent="0.25">
      <c r="A9339" t="str">
        <f>"7012155315"</f>
        <v>7012155315</v>
      </c>
      <c r="B9339" t="str">
        <f t="shared" si="412"/>
        <v>89301000</v>
      </c>
      <c r="C9339" s="1">
        <v>44206</v>
      </c>
      <c r="D9339" s="1">
        <v>44211</v>
      </c>
      <c r="E9339">
        <v>1</v>
      </c>
      <c r="F9339" t="s">
        <v>217</v>
      </c>
      <c r="G9339" t="str">
        <f>"04-K02-04"</f>
        <v>04-K02-04</v>
      </c>
      <c r="H9339">
        <v>0.82469999999999999</v>
      </c>
      <c r="I9339" t="s">
        <v>274</v>
      </c>
      <c r="J9339" t="s">
        <v>14</v>
      </c>
      <c r="K9339" t="str">
        <f>"1F1"</f>
        <v>1F1</v>
      </c>
      <c r="L9339" t="s">
        <v>15</v>
      </c>
    </row>
    <row r="9340" spans="1:12" x14ac:dyDescent="0.25">
      <c r="A9340" t="str">
        <f>"7012194057"</f>
        <v>7012194057</v>
      </c>
      <c r="B9340" t="str">
        <f t="shared" si="412"/>
        <v>89301000</v>
      </c>
      <c r="C9340" s="1">
        <v>44327</v>
      </c>
      <c r="D9340" s="1">
        <v>44327</v>
      </c>
      <c r="E9340">
        <v>1</v>
      </c>
      <c r="F9340" t="s">
        <v>2600</v>
      </c>
      <c r="G9340" t="str">
        <f>"05-D01-01"</f>
        <v>05-D01-01</v>
      </c>
      <c r="H9340">
        <v>1.7396</v>
      </c>
      <c r="J9340" t="s">
        <v>14</v>
      </c>
      <c r="K9340" t="str">
        <f>"1F1"</f>
        <v>1F1</v>
      </c>
      <c r="L9340" t="s">
        <v>15</v>
      </c>
    </row>
    <row r="9341" spans="1:12" x14ac:dyDescent="0.25">
      <c r="A9341" t="str">
        <f>"7012275314"</f>
        <v>7012275314</v>
      </c>
      <c r="B9341" t="str">
        <f t="shared" si="412"/>
        <v>89301000</v>
      </c>
      <c r="C9341" s="1">
        <v>44255</v>
      </c>
      <c r="D9341" s="1">
        <v>44293</v>
      </c>
      <c r="E9341">
        <v>3</v>
      </c>
      <c r="F9341" t="s">
        <v>217</v>
      </c>
      <c r="G9341" t="str">
        <f>"00-M01-04"</f>
        <v>00-M01-04</v>
      </c>
      <c r="H9341">
        <v>9.9606999999999992</v>
      </c>
      <c r="I9341" t="s">
        <v>6482</v>
      </c>
      <c r="J9341" t="s">
        <v>14</v>
      </c>
      <c r="K9341" t="str">
        <f>"2F5"</f>
        <v>2F5</v>
      </c>
      <c r="L9341" t="s">
        <v>15</v>
      </c>
    </row>
    <row r="9342" spans="1:12" x14ac:dyDescent="0.25">
      <c r="A9342" t="str">
        <f>"7012275314"</f>
        <v>7012275314</v>
      </c>
      <c r="B9342" t="str">
        <f t="shared" si="412"/>
        <v>89301000</v>
      </c>
      <c r="C9342" s="1">
        <v>44293</v>
      </c>
      <c r="D9342" s="1">
        <v>44302</v>
      </c>
      <c r="E9342">
        <v>1</v>
      </c>
      <c r="F9342" t="s">
        <v>109</v>
      </c>
      <c r="G9342" t="str">
        <f>"24-M06-02"</f>
        <v>24-M06-02</v>
      </c>
      <c r="H9342">
        <v>1.0233000000000001</v>
      </c>
      <c r="I9342" t="s">
        <v>6483</v>
      </c>
      <c r="J9342" t="s">
        <v>14</v>
      </c>
      <c r="K9342" t="str">
        <f>"2F1"</f>
        <v>2F1</v>
      </c>
      <c r="L9342" t="s">
        <v>15</v>
      </c>
    </row>
    <row r="9343" spans="1:12" x14ac:dyDescent="0.25">
      <c r="A9343" t="str">
        <f>"7012275336"</f>
        <v>7012275336</v>
      </c>
      <c r="B9343" t="str">
        <f t="shared" si="412"/>
        <v>89301000</v>
      </c>
      <c r="C9343" s="1">
        <v>44544</v>
      </c>
      <c r="D9343" s="1">
        <v>44546</v>
      </c>
      <c r="E9343">
        <v>1</v>
      </c>
      <c r="F9343" t="s">
        <v>1597</v>
      </c>
      <c r="G9343" t="str">
        <f>"08-I09-01"</f>
        <v>08-I09-01</v>
      </c>
      <c r="H9343">
        <v>2.7905000000000002</v>
      </c>
      <c r="I9343" t="s">
        <v>572</v>
      </c>
      <c r="J9343" t="s">
        <v>24</v>
      </c>
      <c r="K9343" t="str">
        <f>"5F3"</f>
        <v>5F3</v>
      </c>
      <c r="L9343" t="s">
        <v>15</v>
      </c>
    </row>
    <row r="9344" spans="1:12" x14ac:dyDescent="0.25">
      <c r="A9344" t="str">
        <f>"7012314485"</f>
        <v>7012314485</v>
      </c>
      <c r="B9344" t="str">
        <f t="shared" si="412"/>
        <v>89301000</v>
      </c>
      <c r="C9344" s="1">
        <v>44493</v>
      </c>
      <c r="D9344" s="1">
        <v>44505</v>
      </c>
      <c r="E9344">
        <v>4</v>
      </c>
      <c r="F9344" t="s">
        <v>4557</v>
      </c>
      <c r="G9344" t="str">
        <f>"20-K04-02"</f>
        <v>20-K04-02</v>
      </c>
      <c r="H9344">
        <v>1.4984</v>
      </c>
      <c r="I9344" t="s">
        <v>6484</v>
      </c>
      <c r="J9344" t="s">
        <v>14</v>
      </c>
      <c r="K9344" t="str">
        <f>"3F5"</f>
        <v>3F5</v>
      </c>
      <c r="L9344" t="s">
        <v>15</v>
      </c>
    </row>
    <row r="9345" spans="1:12" x14ac:dyDescent="0.25">
      <c r="A9345" t="str">
        <f>"7051045320"</f>
        <v>7051045320</v>
      </c>
      <c r="B9345" t="str">
        <f t="shared" si="412"/>
        <v>89301000</v>
      </c>
      <c r="C9345" s="1">
        <v>44549</v>
      </c>
      <c r="D9345" s="1">
        <v>44551</v>
      </c>
      <c r="E9345">
        <v>1</v>
      </c>
      <c r="F9345" t="s">
        <v>234</v>
      </c>
      <c r="G9345" t="str">
        <f>"03-I21-00"</f>
        <v>03-I21-00</v>
      </c>
      <c r="H9345">
        <v>0.38500000000000001</v>
      </c>
      <c r="I9345" t="s">
        <v>6485</v>
      </c>
      <c r="J9345" t="s">
        <v>14</v>
      </c>
      <c r="K9345" t="str">
        <f>"7F1"</f>
        <v>7F1</v>
      </c>
      <c r="L9345" t="s">
        <v>15</v>
      </c>
    </row>
    <row r="9346" spans="1:12" x14ac:dyDescent="0.25">
      <c r="A9346" t="str">
        <f>"7051045320"</f>
        <v>7051045320</v>
      </c>
      <c r="B9346" t="str">
        <f t="shared" si="412"/>
        <v>89301000</v>
      </c>
      <c r="C9346" s="1">
        <v>44413</v>
      </c>
      <c r="D9346" s="1">
        <v>44445</v>
      </c>
      <c r="E9346">
        <v>1</v>
      </c>
      <c r="F9346" t="s">
        <v>2623</v>
      </c>
      <c r="G9346" t="str">
        <f>"17-K03-01"</f>
        <v>17-K03-01</v>
      </c>
      <c r="H9346">
        <v>3.4489000000000001</v>
      </c>
      <c r="I9346" t="s">
        <v>6486</v>
      </c>
      <c r="J9346" t="s">
        <v>14</v>
      </c>
      <c r="K9346" t="str">
        <f>"2F2"</f>
        <v>2F2</v>
      </c>
      <c r="L9346" t="s">
        <v>15</v>
      </c>
    </row>
    <row r="9347" spans="1:12" x14ac:dyDescent="0.25">
      <c r="A9347" t="str">
        <f>"7051075350"</f>
        <v>7051075350</v>
      </c>
      <c r="B9347" t="str">
        <f t="shared" si="412"/>
        <v>89301000</v>
      </c>
      <c r="C9347" s="1">
        <v>44218</v>
      </c>
      <c r="D9347" s="1">
        <v>44219</v>
      </c>
      <c r="E9347">
        <v>1</v>
      </c>
      <c r="F9347" t="s">
        <v>6329</v>
      </c>
      <c r="G9347" t="str">
        <f>"13-I19-00"</f>
        <v>13-I19-00</v>
      </c>
      <c r="H9347">
        <v>0.24679999999999999</v>
      </c>
      <c r="I9347" t="s">
        <v>489</v>
      </c>
      <c r="J9347" t="s">
        <v>14</v>
      </c>
      <c r="K9347" t="str">
        <f>"6F3"</f>
        <v>6F3</v>
      </c>
      <c r="L9347" t="s">
        <v>15</v>
      </c>
    </row>
    <row r="9348" spans="1:12" x14ac:dyDescent="0.25">
      <c r="A9348" t="str">
        <f>"7051075350"</f>
        <v>7051075350</v>
      </c>
      <c r="B9348" t="str">
        <f t="shared" si="412"/>
        <v>89301000</v>
      </c>
      <c r="C9348" s="1">
        <v>44307</v>
      </c>
      <c r="D9348" s="1">
        <v>44311</v>
      </c>
      <c r="E9348">
        <v>1</v>
      </c>
      <c r="F9348" t="s">
        <v>6246</v>
      </c>
      <c r="G9348" t="str">
        <f>"13-I11-03"</f>
        <v>13-I11-03</v>
      </c>
      <c r="H9348">
        <v>1.3809</v>
      </c>
      <c r="I9348" t="s">
        <v>6487</v>
      </c>
      <c r="J9348" t="s">
        <v>24</v>
      </c>
      <c r="K9348" t="str">
        <f>"6F3"</f>
        <v>6F3</v>
      </c>
      <c r="L9348" t="s">
        <v>15</v>
      </c>
    </row>
    <row r="9349" spans="1:12" x14ac:dyDescent="0.25">
      <c r="A9349" t="str">
        <f>"7051085800"</f>
        <v>7051085800</v>
      </c>
      <c r="B9349" t="str">
        <f t="shared" si="412"/>
        <v>89301000</v>
      </c>
      <c r="C9349" s="1">
        <v>44284</v>
      </c>
      <c r="D9349" s="1">
        <v>44286</v>
      </c>
      <c r="E9349">
        <v>1</v>
      </c>
      <c r="F9349" t="s">
        <v>6488</v>
      </c>
      <c r="G9349" t="str">
        <f>"08-K04-01"</f>
        <v>08-K04-01</v>
      </c>
      <c r="H9349">
        <v>1.0062</v>
      </c>
      <c r="I9349" t="s">
        <v>6489</v>
      </c>
      <c r="J9349" t="s">
        <v>14</v>
      </c>
      <c r="K9349" t="str">
        <f>"1F1"</f>
        <v>1F1</v>
      </c>
      <c r="L9349" t="s">
        <v>15</v>
      </c>
    </row>
    <row r="9350" spans="1:12" x14ac:dyDescent="0.25">
      <c r="A9350" t="str">
        <f>"7051085800"</f>
        <v>7051085800</v>
      </c>
      <c r="B9350" t="str">
        <f t="shared" si="412"/>
        <v>89301000</v>
      </c>
      <c r="C9350" s="1">
        <v>44250</v>
      </c>
      <c r="D9350" s="1">
        <v>44253</v>
      </c>
      <c r="E9350">
        <v>1</v>
      </c>
      <c r="F9350" t="s">
        <v>6490</v>
      </c>
      <c r="G9350" t="str">
        <f>"08-K04-01"</f>
        <v>08-K04-01</v>
      </c>
      <c r="H9350">
        <v>1.0062</v>
      </c>
      <c r="I9350" t="s">
        <v>6491</v>
      </c>
      <c r="J9350" t="s">
        <v>14</v>
      </c>
      <c r="K9350" t="str">
        <f>"1F1"</f>
        <v>1F1</v>
      </c>
      <c r="L9350" t="s">
        <v>15</v>
      </c>
    </row>
    <row r="9351" spans="1:12" x14ac:dyDescent="0.25">
      <c r="A9351" t="str">
        <f>"7051115676"</f>
        <v>7051115676</v>
      </c>
      <c r="B9351" t="str">
        <f t="shared" si="412"/>
        <v>89301000</v>
      </c>
      <c r="C9351" s="1">
        <v>44529</v>
      </c>
      <c r="D9351" s="1">
        <v>44543</v>
      </c>
      <c r="E9351">
        <v>5</v>
      </c>
      <c r="F9351" t="s">
        <v>1894</v>
      </c>
      <c r="G9351" t="str">
        <f>"00-M02-03"</f>
        <v>00-M02-03</v>
      </c>
      <c r="H9351">
        <v>16.672499999999999</v>
      </c>
      <c r="I9351" t="s">
        <v>6492</v>
      </c>
      <c r="J9351" t="s">
        <v>14</v>
      </c>
      <c r="K9351" t="str">
        <f>"5T6"</f>
        <v>5T6</v>
      </c>
      <c r="L9351" t="s">
        <v>15</v>
      </c>
    </row>
    <row r="9352" spans="1:12" x14ac:dyDescent="0.25">
      <c r="A9352" t="str">
        <f>"7051154462"</f>
        <v>7051154462</v>
      </c>
      <c r="B9352" t="str">
        <f t="shared" si="412"/>
        <v>89301000</v>
      </c>
      <c r="C9352" s="1">
        <v>44230</v>
      </c>
      <c r="D9352" s="1">
        <v>44233</v>
      </c>
      <c r="E9352">
        <v>1</v>
      </c>
      <c r="F9352" t="s">
        <v>217</v>
      </c>
      <c r="G9352" t="str">
        <f>"04-K02-04"</f>
        <v>04-K02-04</v>
      </c>
      <c r="H9352">
        <v>0.82469999999999999</v>
      </c>
      <c r="I9352" t="s">
        <v>274</v>
      </c>
      <c r="J9352" t="s">
        <v>14</v>
      </c>
      <c r="K9352" t="str">
        <f>"1F1"</f>
        <v>1F1</v>
      </c>
      <c r="L9352" t="s">
        <v>15</v>
      </c>
    </row>
    <row r="9353" spans="1:12" x14ac:dyDescent="0.25">
      <c r="A9353" t="str">
        <f>"7051265342"</f>
        <v>7051265342</v>
      </c>
      <c r="B9353" t="str">
        <f t="shared" si="412"/>
        <v>89301000</v>
      </c>
      <c r="C9353" s="1">
        <v>44265</v>
      </c>
      <c r="D9353" s="1">
        <v>44267</v>
      </c>
      <c r="E9353">
        <v>1</v>
      </c>
      <c r="F9353" t="s">
        <v>309</v>
      </c>
      <c r="G9353" t="str">
        <f>"08-M03-05"</f>
        <v>08-M03-05</v>
      </c>
      <c r="H9353">
        <v>0.51759999999999995</v>
      </c>
      <c r="I9353" t="s">
        <v>168</v>
      </c>
      <c r="J9353" t="s">
        <v>14</v>
      </c>
      <c r="K9353" t="str">
        <f>"6F6"</f>
        <v>6F6</v>
      </c>
      <c r="L9353" t="s">
        <v>15</v>
      </c>
    </row>
    <row r="9354" spans="1:12" x14ac:dyDescent="0.25">
      <c r="A9354" t="str">
        <f>"7051315304"</f>
        <v>7051315304</v>
      </c>
      <c r="B9354" t="str">
        <f t="shared" si="412"/>
        <v>89301000</v>
      </c>
      <c r="C9354" s="1">
        <v>44428</v>
      </c>
      <c r="D9354" s="1">
        <v>44431</v>
      </c>
      <c r="E9354">
        <v>1</v>
      </c>
      <c r="F9354" t="s">
        <v>41</v>
      </c>
      <c r="G9354" t="str">
        <f>"01-D01-03"</f>
        <v>01-D01-03</v>
      </c>
      <c r="H9354">
        <v>0.2054</v>
      </c>
      <c r="I9354" t="s">
        <v>6493</v>
      </c>
      <c r="J9354" t="s">
        <v>14</v>
      </c>
      <c r="K9354" t="str">
        <f>"2F5"</f>
        <v>2F5</v>
      </c>
      <c r="L9354" t="s">
        <v>15</v>
      </c>
    </row>
    <row r="9355" spans="1:12" x14ac:dyDescent="0.25">
      <c r="A9355" t="str">
        <f>"7051315304"</f>
        <v>7051315304</v>
      </c>
      <c r="B9355" t="str">
        <f t="shared" si="412"/>
        <v>89301000</v>
      </c>
      <c r="C9355" s="1">
        <v>44364</v>
      </c>
      <c r="D9355" s="1">
        <v>44365</v>
      </c>
      <c r="E9355">
        <v>1</v>
      </c>
      <c r="F9355" t="s">
        <v>41</v>
      </c>
      <c r="G9355" t="str">
        <f>"01-D01-03"</f>
        <v>01-D01-03</v>
      </c>
      <c r="H9355">
        <v>0.158</v>
      </c>
      <c r="I9355" t="s">
        <v>6494</v>
      </c>
      <c r="J9355" t="s">
        <v>14</v>
      </c>
      <c r="K9355" t="str">
        <f>"2F5"</f>
        <v>2F5</v>
      </c>
      <c r="L9355" t="s">
        <v>15</v>
      </c>
    </row>
    <row r="9356" spans="1:12" x14ac:dyDescent="0.25">
      <c r="A9356" t="str">
        <f>"7052014607"</f>
        <v>7052014607</v>
      </c>
      <c r="B9356" t="str">
        <f t="shared" si="412"/>
        <v>89301000</v>
      </c>
      <c r="C9356" s="1">
        <v>44362</v>
      </c>
      <c r="D9356" s="1">
        <v>44365</v>
      </c>
      <c r="E9356">
        <v>1</v>
      </c>
      <c r="F9356" t="s">
        <v>413</v>
      </c>
      <c r="G9356" t="str">
        <f>"09-I08-02"</f>
        <v>09-I08-02</v>
      </c>
      <c r="H9356">
        <v>1.1976</v>
      </c>
      <c r="I9356" t="s">
        <v>6495</v>
      </c>
      <c r="J9356" t="s">
        <v>24</v>
      </c>
      <c r="K9356" t="str">
        <f>"6F1"</f>
        <v>6F1</v>
      </c>
      <c r="L9356" t="s">
        <v>15</v>
      </c>
    </row>
    <row r="9357" spans="1:12" x14ac:dyDescent="0.25">
      <c r="A9357" t="str">
        <f>"7052040831"</f>
        <v>7052040831</v>
      </c>
      <c r="B9357" t="str">
        <f t="shared" si="412"/>
        <v>89301000</v>
      </c>
      <c r="C9357" s="1">
        <v>44457</v>
      </c>
      <c r="D9357" s="1">
        <v>44459</v>
      </c>
      <c r="E9357">
        <v>1</v>
      </c>
      <c r="F9357" t="s">
        <v>210</v>
      </c>
      <c r="G9357" t="str">
        <f>"08-I15-03"</f>
        <v>08-I15-03</v>
      </c>
      <c r="H9357">
        <v>1.1838</v>
      </c>
      <c r="I9357" t="s">
        <v>244</v>
      </c>
      <c r="J9357" t="s">
        <v>17</v>
      </c>
      <c r="K9357" t="str">
        <f>"5F3"</f>
        <v>5F3</v>
      </c>
      <c r="L9357" t="s">
        <v>15</v>
      </c>
    </row>
    <row r="9358" spans="1:12" x14ac:dyDescent="0.25">
      <c r="A9358" t="str">
        <f>"7052075338"</f>
        <v>7052075338</v>
      </c>
      <c r="B9358" t="str">
        <f t="shared" si="412"/>
        <v>89301000</v>
      </c>
      <c r="C9358" s="1">
        <v>44241</v>
      </c>
      <c r="D9358" s="1">
        <v>44246</v>
      </c>
      <c r="E9358">
        <v>1</v>
      </c>
      <c r="F9358" t="s">
        <v>6496</v>
      </c>
      <c r="G9358" t="str">
        <f>"08-K07-00"</f>
        <v>08-K07-00</v>
      </c>
      <c r="H9358">
        <v>0.9516</v>
      </c>
      <c r="J9358" t="s">
        <v>14</v>
      </c>
      <c r="K9358" t="str">
        <f>"2F9"</f>
        <v>2F9</v>
      </c>
      <c r="L9358" t="s">
        <v>15</v>
      </c>
    </row>
    <row r="9359" spans="1:12" x14ac:dyDescent="0.25">
      <c r="A9359" t="str">
        <f>"7052145309"</f>
        <v>7052145309</v>
      </c>
      <c r="B9359" t="str">
        <f t="shared" si="412"/>
        <v>89301000</v>
      </c>
      <c r="C9359" s="1">
        <v>44286</v>
      </c>
      <c r="D9359" s="1">
        <v>44292</v>
      </c>
      <c r="E9359">
        <v>1</v>
      </c>
      <c r="F9359" t="s">
        <v>31</v>
      </c>
      <c r="G9359" t="str">
        <f>"08-I03-04"</f>
        <v>08-I03-04</v>
      </c>
      <c r="H9359">
        <v>3.8557999999999999</v>
      </c>
      <c r="J9359" t="s">
        <v>17</v>
      </c>
      <c r="K9359" t="str">
        <f>"5F6"</f>
        <v>5F6</v>
      </c>
      <c r="L9359" t="s">
        <v>15</v>
      </c>
    </row>
    <row r="9360" spans="1:12" x14ac:dyDescent="0.25">
      <c r="A9360" t="str">
        <f>"7052155319"</f>
        <v>7052155319</v>
      </c>
      <c r="B9360" t="str">
        <f t="shared" si="412"/>
        <v>89301000</v>
      </c>
      <c r="C9360" s="1">
        <v>44266</v>
      </c>
      <c r="D9360" s="1">
        <v>44270</v>
      </c>
      <c r="E9360">
        <v>1</v>
      </c>
      <c r="F9360" t="s">
        <v>16</v>
      </c>
      <c r="G9360" t="str">
        <f>"08-I04-03"</f>
        <v>08-I04-03</v>
      </c>
      <c r="H9360">
        <v>1.331</v>
      </c>
      <c r="I9360" t="s">
        <v>489</v>
      </c>
      <c r="J9360" t="s">
        <v>17</v>
      </c>
      <c r="K9360" t="str">
        <f>"5F6"</f>
        <v>5F6</v>
      </c>
      <c r="L9360" t="s">
        <v>15</v>
      </c>
    </row>
    <row r="9361" spans="1:12" x14ac:dyDescent="0.25">
      <c r="A9361" t="str">
        <f>"7052185679"</f>
        <v>7052185679</v>
      </c>
      <c r="B9361" t="str">
        <f t="shared" si="412"/>
        <v>89301000</v>
      </c>
      <c r="C9361" s="1">
        <v>44424</v>
      </c>
      <c r="D9361" s="1">
        <v>44427</v>
      </c>
      <c r="E9361">
        <v>1</v>
      </c>
      <c r="F9361" t="s">
        <v>1551</v>
      </c>
      <c r="G9361" t="str">
        <f>"09-I06-04"</f>
        <v>09-I06-04</v>
      </c>
      <c r="H9361">
        <v>0.98829999999999996</v>
      </c>
      <c r="J9361" t="s">
        <v>17</v>
      </c>
      <c r="K9361" t="str">
        <f>"5F1"</f>
        <v>5F1</v>
      </c>
      <c r="L9361" t="s">
        <v>15</v>
      </c>
    </row>
    <row r="9362" spans="1:12" x14ac:dyDescent="0.25">
      <c r="A9362" t="str">
        <f>"7052215335"</f>
        <v>7052215335</v>
      </c>
      <c r="B9362" t="str">
        <f t="shared" si="412"/>
        <v>89301000</v>
      </c>
      <c r="C9362" s="1">
        <v>44421</v>
      </c>
      <c r="D9362" s="1">
        <v>44426</v>
      </c>
      <c r="E9362">
        <v>1</v>
      </c>
      <c r="F9362" t="s">
        <v>475</v>
      </c>
      <c r="G9362" t="str">
        <f>"10-K04-04"</f>
        <v>10-K04-04</v>
      </c>
      <c r="H9362">
        <v>0.56330000000000002</v>
      </c>
      <c r="I9362" t="s">
        <v>6497</v>
      </c>
      <c r="J9362" t="s">
        <v>14</v>
      </c>
      <c r="K9362" t="str">
        <f>"1F1"</f>
        <v>1F1</v>
      </c>
      <c r="L9362" t="s">
        <v>15</v>
      </c>
    </row>
    <row r="9363" spans="1:12" x14ac:dyDescent="0.25">
      <c r="A9363" t="str">
        <f>"7052225312"</f>
        <v>7052225312</v>
      </c>
      <c r="B9363" t="str">
        <f t="shared" si="412"/>
        <v>89301000</v>
      </c>
      <c r="C9363" s="1">
        <v>44525</v>
      </c>
      <c r="D9363" s="1">
        <v>44529</v>
      </c>
      <c r="E9363">
        <v>1</v>
      </c>
      <c r="F9363" t="s">
        <v>5837</v>
      </c>
      <c r="G9363" t="str">
        <f>"13-I11-03"</f>
        <v>13-I11-03</v>
      </c>
      <c r="H9363">
        <v>1.3809</v>
      </c>
      <c r="J9363" t="s">
        <v>24</v>
      </c>
      <c r="K9363" t="str">
        <f>"6F3"</f>
        <v>6F3</v>
      </c>
      <c r="L9363" t="s">
        <v>15</v>
      </c>
    </row>
    <row r="9364" spans="1:12" x14ac:dyDescent="0.25">
      <c r="A9364" t="str">
        <f>"7052254484"</f>
        <v>7052254484</v>
      </c>
      <c r="B9364" t="str">
        <f t="shared" si="412"/>
        <v>89301000</v>
      </c>
      <c r="C9364" s="1">
        <v>44426</v>
      </c>
      <c r="D9364" s="1">
        <v>44429</v>
      </c>
      <c r="E9364">
        <v>1</v>
      </c>
      <c r="F9364" t="s">
        <v>261</v>
      </c>
      <c r="G9364" t="str">
        <f>"23-K04-02"</f>
        <v>23-K04-02</v>
      </c>
      <c r="H9364">
        <v>0.38690000000000002</v>
      </c>
      <c r="I9364" t="s">
        <v>6498</v>
      </c>
      <c r="J9364" t="s">
        <v>14</v>
      </c>
      <c r="K9364" t="str">
        <f>"6F5"</f>
        <v>6F5</v>
      </c>
      <c r="L9364" t="s">
        <v>15</v>
      </c>
    </row>
    <row r="9365" spans="1:12" x14ac:dyDescent="0.25">
      <c r="A9365" t="str">
        <f>"7053035341"</f>
        <v>7053035341</v>
      </c>
      <c r="B9365" t="str">
        <f t="shared" si="412"/>
        <v>89301000</v>
      </c>
      <c r="C9365" s="1">
        <v>44454</v>
      </c>
      <c r="D9365" s="1">
        <v>44458</v>
      </c>
      <c r="E9365">
        <v>1</v>
      </c>
      <c r="F9365" t="s">
        <v>735</v>
      </c>
      <c r="G9365" t="str">
        <f>"08-I14-02"</f>
        <v>08-I14-02</v>
      </c>
      <c r="H9365">
        <v>1.7324999999999999</v>
      </c>
      <c r="I9365" t="s">
        <v>6499</v>
      </c>
      <c r="J9365" t="s">
        <v>17</v>
      </c>
      <c r="K9365" t="str">
        <f>"5F3"</f>
        <v>5F3</v>
      </c>
      <c r="L9365" t="s">
        <v>15</v>
      </c>
    </row>
    <row r="9366" spans="1:12" x14ac:dyDescent="0.25">
      <c r="A9366" t="str">
        <f>"7053035792"</f>
        <v>7053035792</v>
      </c>
      <c r="B9366" t="str">
        <f t="shared" si="412"/>
        <v>89301000</v>
      </c>
      <c r="C9366" s="1">
        <v>44537</v>
      </c>
      <c r="D9366" s="1">
        <v>44541</v>
      </c>
      <c r="E9366">
        <v>1</v>
      </c>
      <c r="F9366" t="s">
        <v>4491</v>
      </c>
      <c r="G9366" t="str">
        <f>"01-K01-02"</f>
        <v>01-K01-02</v>
      </c>
      <c r="H9366">
        <v>0.50700000000000001</v>
      </c>
      <c r="I9366" t="s">
        <v>6500</v>
      </c>
      <c r="J9366" t="s">
        <v>14</v>
      </c>
      <c r="K9366" t="str">
        <f>"2F9"</f>
        <v>2F9</v>
      </c>
      <c r="L9366" t="s">
        <v>15</v>
      </c>
    </row>
    <row r="9367" spans="1:12" x14ac:dyDescent="0.25">
      <c r="A9367" t="str">
        <f>"7053055680"</f>
        <v>7053055680</v>
      </c>
      <c r="B9367" t="str">
        <f t="shared" si="412"/>
        <v>89301000</v>
      </c>
      <c r="C9367" s="1">
        <v>44440</v>
      </c>
      <c r="D9367" s="1">
        <v>44455</v>
      </c>
      <c r="E9367">
        <v>1</v>
      </c>
      <c r="F9367" t="s">
        <v>109</v>
      </c>
      <c r="G9367" t="str">
        <f>"24-M07-02"</f>
        <v>24-M07-02</v>
      </c>
      <c r="H9367">
        <v>1.5221</v>
      </c>
      <c r="I9367" t="s">
        <v>3983</v>
      </c>
      <c r="J9367" t="s">
        <v>14</v>
      </c>
      <c r="K9367" t="str">
        <f>"2F1"</f>
        <v>2F1</v>
      </c>
      <c r="L9367" t="s">
        <v>15</v>
      </c>
    </row>
    <row r="9368" spans="1:12" x14ac:dyDescent="0.25">
      <c r="A9368" t="str">
        <f>"7053064491"</f>
        <v>7053064491</v>
      </c>
      <c r="B9368" t="str">
        <f t="shared" si="412"/>
        <v>89301000</v>
      </c>
      <c r="C9368" s="1">
        <v>44370</v>
      </c>
      <c r="D9368" s="1">
        <v>44375</v>
      </c>
      <c r="E9368">
        <v>1</v>
      </c>
      <c r="F9368" t="s">
        <v>4382</v>
      </c>
      <c r="G9368" t="str">
        <f>"05-I30-03"</f>
        <v>05-I30-03</v>
      </c>
      <c r="H9368">
        <v>0.63880000000000003</v>
      </c>
      <c r="J9368" t="s">
        <v>14</v>
      </c>
      <c r="K9368" t="str">
        <f>"5F1"</f>
        <v>5F1</v>
      </c>
      <c r="L9368" t="s">
        <v>15</v>
      </c>
    </row>
    <row r="9369" spans="1:12" x14ac:dyDescent="0.25">
      <c r="A9369" t="str">
        <f>"7053105169"</f>
        <v>7053105169</v>
      </c>
      <c r="B9369" t="str">
        <f t="shared" si="412"/>
        <v>89301000</v>
      </c>
      <c r="C9369" s="1">
        <v>44508</v>
      </c>
      <c r="D9369" s="1">
        <v>44512</v>
      </c>
      <c r="E9369">
        <v>1</v>
      </c>
      <c r="F9369" t="s">
        <v>6501</v>
      </c>
      <c r="G9369" t="str">
        <f>"09-K04-02"</f>
        <v>09-K04-02</v>
      </c>
      <c r="H9369">
        <v>0.68279999999999996</v>
      </c>
      <c r="I9369" t="s">
        <v>3777</v>
      </c>
      <c r="J9369" t="s">
        <v>14</v>
      </c>
      <c r="K9369" t="str">
        <f>"4F4"</f>
        <v>4F4</v>
      </c>
      <c r="L9369" t="s">
        <v>15</v>
      </c>
    </row>
    <row r="9370" spans="1:12" x14ac:dyDescent="0.25">
      <c r="A9370" t="str">
        <f>"7053115872"</f>
        <v>7053115872</v>
      </c>
      <c r="B9370" t="str">
        <f t="shared" si="412"/>
        <v>89301000</v>
      </c>
      <c r="C9370" s="1">
        <v>44349</v>
      </c>
      <c r="D9370" s="1">
        <v>44350</v>
      </c>
      <c r="E9370">
        <v>1</v>
      </c>
      <c r="F9370" t="s">
        <v>1842</v>
      </c>
      <c r="G9370" t="str">
        <f>"05-I14-04"</f>
        <v>05-I14-04</v>
      </c>
      <c r="H9370">
        <v>5.4002999999999997</v>
      </c>
      <c r="J9370" t="s">
        <v>14</v>
      </c>
      <c r="K9370" t="str">
        <f>"1F1"</f>
        <v>1F1</v>
      </c>
      <c r="L9370" t="s">
        <v>15</v>
      </c>
    </row>
    <row r="9371" spans="1:12" x14ac:dyDescent="0.25">
      <c r="A9371" t="str">
        <f>"7053225366"</f>
        <v>7053225366</v>
      </c>
      <c r="B9371" t="str">
        <f t="shared" si="412"/>
        <v>89301000</v>
      </c>
      <c r="C9371" s="1">
        <v>44516</v>
      </c>
      <c r="D9371" s="1">
        <v>44519</v>
      </c>
      <c r="E9371">
        <v>1</v>
      </c>
      <c r="F9371" t="s">
        <v>31</v>
      </c>
      <c r="G9371" t="str">
        <f>"08-I04-03"</f>
        <v>08-I04-03</v>
      </c>
      <c r="H9371">
        <v>1.331</v>
      </c>
      <c r="J9371" t="s">
        <v>17</v>
      </c>
      <c r="K9371" t="str">
        <f>"5F6"</f>
        <v>5F6</v>
      </c>
      <c r="L9371" t="s">
        <v>15</v>
      </c>
    </row>
    <row r="9372" spans="1:12" x14ac:dyDescent="0.25">
      <c r="A9372" t="str">
        <f>"7054025891"</f>
        <v>7054025891</v>
      </c>
      <c r="B9372" t="str">
        <f t="shared" si="412"/>
        <v>89301000</v>
      </c>
      <c r="C9372" s="1">
        <v>44279</v>
      </c>
      <c r="D9372" s="1">
        <v>44285</v>
      </c>
      <c r="E9372">
        <v>1</v>
      </c>
      <c r="F9372" t="s">
        <v>740</v>
      </c>
      <c r="G9372" t="str">
        <f>"08-K01-01"</f>
        <v>08-K01-01</v>
      </c>
      <c r="H9372">
        <v>1.4826999999999999</v>
      </c>
      <c r="I9372" t="s">
        <v>6502</v>
      </c>
      <c r="J9372" t="s">
        <v>14</v>
      </c>
      <c r="K9372" t="str">
        <f>"1F1"</f>
        <v>1F1</v>
      </c>
      <c r="L9372" t="s">
        <v>15</v>
      </c>
    </row>
    <row r="9373" spans="1:12" x14ac:dyDescent="0.25">
      <c r="A9373" t="str">
        <f>"7054025891"</f>
        <v>7054025891</v>
      </c>
      <c r="B9373" t="str">
        <f t="shared" si="412"/>
        <v>89301000</v>
      </c>
      <c r="C9373" s="1">
        <v>44354</v>
      </c>
      <c r="D9373" s="1">
        <v>44358</v>
      </c>
      <c r="E9373">
        <v>1</v>
      </c>
      <c r="F9373" t="s">
        <v>740</v>
      </c>
      <c r="G9373" t="str">
        <f>"08-K01-01"</f>
        <v>08-K01-01</v>
      </c>
      <c r="H9373">
        <v>1.4826999999999999</v>
      </c>
      <c r="I9373" t="s">
        <v>6502</v>
      </c>
      <c r="J9373" t="s">
        <v>14</v>
      </c>
      <c r="K9373" t="str">
        <f>"1F9"</f>
        <v>1F9</v>
      </c>
      <c r="L9373" t="s">
        <v>15</v>
      </c>
    </row>
    <row r="9374" spans="1:12" x14ac:dyDescent="0.25">
      <c r="A9374" t="str">
        <f>"7054025891"</f>
        <v>7054025891</v>
      </c>
      <c r="B9374" t="str">
        <f t="shared" si="412"/>
        <v>89301000</v>
      </c>
      <c r="C9374" s="1">
        <v>44533</v>
      </c>
      <c r="D9374" s="1">
        <v>44537</v>
      </c>
      <c r="E9374">
        <v>1</v>
      </c>
      <c r="F9374" t="s">
        <v>740</v>
      </c>
      <c r="G9374" t="str">
        <f>"08-K01-01"</f>
        <v>08-K01-01</v>
      </c>
      <c r="H9374">
        <v>1.4826999999999999</v>
      </c>
      <c r="I9374" t="s">
        <v>6503</v>
      </c>
      <c r="J9374" t="s">
        <v>14</v>
      </c>
      <c r="K9374" t="str">
        <f>"1F9"</f>
        <v>1F9</v>
      </c>
      <c r="L9374" t="s">
        <v>15</v>
      </c>
    </row>
    <row r="9375" spans="1:12" x14ac:dyDescent="0.25">
      <c r="A9375" t="str">
        <f>"7054085874"</f>
        <v>7054085874</v>
      </c>
      <c r="B9375" t="str">
        <f t="shared" si="412"/>
        <v>89301000</v>
      </c>
      <c r="C9375" s="1">
        <v>44481</v>
      </c>
      <c r="D9375" s="1">
        <v>44486</v>
      </c>
      <c r="E9375">
        <v>1</v>
      </c>
      <c r="F9375" t="s">
        <v>4715</v>
      </c>
      <c r="G9375" t="str">
        <f>"06-I22-02"</f>
        <v>06-I22-02</v>
      </c>
      <c r="H9375">
        <v>0.436</v>
      </c>
      <c r="I9375" t="s">
        <v>904</v>
      </c>
      <c r="J9375" t="s">
        <v>14</v>
      </c>
      <c r="K9375" t="str">
        <f>"5F1"</f>
        <v>5F1</v>
      </c>
      <c r="L9375" t="s">
        <v>15</v>
      </c>
    </row>
    <row r="9376" spans="1:12" x14ac:dyDescent="0.25">
      <c r="A9376" t="str">
        <f>"7054125771"</f>
        <v>7054125771</v>
      </c>
      <c r="B9376" t="str">
        <f t="shared" si="412"/>
        <v>89301000</v>
      </c>
      <c r="C9376" s="1">
        <v>44396</v>
      </c>
      <c r="D9376" s="1">
        <v>44404</v>
      </c>
      <c r="E9376">
        <v>1</v>
      </c>
      <c r="F9376" t="s">
        <v>1968</v>
      </c>
      <c r="G9376" t="str">
        <f>"08-I05-05"</f>
        <v>08-I05-05</v>
      </c>
      <c r="H9376">
        <v>2.3020999999999998</v>
      </c>
      <c r="I9376" t="s">
        <v>4234</v>
      </c>
      <c r="J9376" t="s">
        <v>17</v>
      </c>
      <c r="K9376" t="str">
        <f>"6F6"</f>
        <v>6F6</v>
      </c>
      <c r="L9376" t="s">
        <v>15</v>
      </c>
    </row>
    <row r="9377" spans="1:12" x14ac:dyDescent="0.25">
      <c r="A9377" t="str">
        <f>"7054125771"</f>
        <v>7054125771</v>
      </c>
      <c r="B9377" t="str">
        <f t="shared" si="412"/>
        <v>89301000</v>
      </c>
      <c r="C9377" s="1">
        <v>44255</v>
      </c>
      <c r="D9377" s="1">
        <v>44256</v>
      </c>
      <c r="E9377">
        <v>1</v>
      </c>
      <c r="F9377" t="s">
        <v>1968</v>
      </c>
      <c r="G9377" t="str">
        <f>"08-K04-03"</f>
        <v>08-K04-03</v>
      </c>
      <c r="H9377">
        <v>0.45050000000000001</v>
      </c>
      <c r="J9377" t="s">
        <v>14</v>
      </c>
      <c r="K9377" t="str">
        <f>"6F6"</f>
        <v>6F6</v>
      </c>
      <c r="L9377" t="s">
        <v>15</v>
      </c>
    </row>
    <row r="9378" spans="1:12" x14ac:dyDescent="0.25">
      <c r="A9378" t="str">
        <f>"7054205312"</f>
        <v>7054205312</v>
      </c>
      <c r="B9378" t="str">
        <f t="shared" si="412"/>
        <v>89301000</v>
      </c>
      <c r="C9378" s="1">
        <v>44277</v>
      </c>
      <c r="D9378" s="1">
        <v>44306</v>
      </c>
      <c r="E9378">
        <v>4</v>
      </c>
      <c r="F9378" t="s">
        <v>3042</v>
      </c>
      <c r="G9378" t="str">
        <f>"01-K13-02"</f>
        <v>01-K13-02</v>
      </c>
      <c r="H9378">
        <v>2.1158000000000001</v>
      </c>
      <c r="I9378" t="s">
        <v>6504</v>
      </c>
      <c r="J9378" t="s">
        <v>14</v>
      </c>
      <c r="K9378" t="str">
        <f>"2F5"</f>
        <v>2F5</v>
      </c>
      <c r="L9378" t="s">
        <v>286</v>
      </c>
    </row>
    <row r="9379" spans="1:12" x14ac:dyDescent="0.25">
      <c r="A9379" t="str">
        <f>"7054225343"</f>
        <v>7054225343</v>
      </c>
      <c r="B9379" t="str">
        <f t="shared" si="412"/>
        <v>89301000</v>
      </c>
      <c r="C9379" s="1">
        <v>44314</v>
      </c>
      <c r="D9379" s="1">
        <v>44316</v>
      </c>
      <c r="E9379">
        <v>1</v>
      </c>
      <c r="F9379" t="s">
        <v>2120</v>
      </c>
      <c r="G9379" t="str">
        <f>"06-K07-02"</f>
        <v>06-K07-02</v>
      </c>
      <c r="H9379">
        <v>0.44419999999999998</v>
      </c>
      <c r="I9379" t="s">
        <v>6356</v>
      </c>
      <c r="J9379" t="s">
        <v>14</v>
      </c>
      <c r="K9379" t="str">
        <f>"1F5"</f>
        <v>1F5</v>
      </c>
      <c r="L9379" t="s">
        <v>15</v>
      </c>
    </row>
    <row r="9380" spans="1:12" x14ac:dyDescent="0.25">
      <c r="A9380" t="str">
        <f>"7054255318"</f>
        <v>7054255318</v>
      </c>
      <c r="B9380" t="str">
        <f t="shared" si="412"/>
        <v>89301000</v>
      </c>
      <c r="C9380" s="1">
        <v>44476</v>
      </c>
      <c r="D9380" s="1">
        <v>44478</v>
      </c>
      <c r="E9380">
        <v>1</v>
      </c>
      <c r="F9380" t="s">
        <v>4382</v>
      </c>
      <c r="G9380" t="str">
        <f>"05-I30-01"</f>
        <v>05-I30-01</v>
      </c>
      <c r="H9380">
        <v>0.64139999999999997</v>
      </c>
      <c r="I9380" t="s">
        <v>6505</v>
      </c>
      <c r="J9380" t="s">
        <v>14</v>
      </c>
      <c r="K9380" t="str">
        <f>"5F1"</f>
        <v>5F1</v>
      </c>
      <c r="L9380" t="s">
        <v>15</v>
      </c>
    </row>
    <row r="9381" spans="1:12" x14ac:dyDescent="0.25">
      <c r="A9381" t="str">
        <f>"7054305753"</f>
        <v>7054305753</v>
      </c>
      <c r="B9381" t="str">
        <f t="shared" si="412"/>
        <v>89301000</v>
      </c>
      <c r="C9381" s="1">
        <v>44397</v>
      </c>
      <c r="D9381" s="1">
        <v>44403</v>
      </c>
      <c r="E9381">
        <v>1</v>
      </c>
      <c r="F9381" t="s">
        <v>2497</v>
      </c>
      <c r="G9381" t="str">
        <f>"13-I04-04"</f>
        <v>13-I04-04</v>
      </c>
      <c r="H9381">
        <v>2.2545999999999999</v>
      </c>
      <c r="I9381" t="s">
        <v>6506</v>
      </c>
      <c r="J9381" t="s">
        <v>106</v>
      </c>
      <c r="K9381" t="str">
        <f>"6F3"</f>
        <v>6F3</v>
      </c>
      <c r="L9381" t="s">
        <v>15</v>
      </c>
    </row>
    <row r="9382" spans="1:12" x14ac:dyDescent="0.25">
      <c r="A9382" t="str">
        <f>"7055024196"</f>
        <v>7055024196</v>
      </c>
      <c r="B9382" t="str">
        <f t="shared" si="412"/>
        <v>89301000</v>
      </c>
      <c r="C9382" s="1">
        <v>44451</v>
      </c>
      <c r="D9382" s="1">
        <v>44455</v>
      </c>
      <c r="E9382">
        <v>1</v>
      </c>
      <c r="F9382" t="s">
        <v>18</v>
      </c>
      <c r="G9382" t="str">
        <f>"11-I10-01"</f>
        <v>11-I10-01</v>
      </c>
      <c r="H9382">
        <v>2.8389000000000002</v>
      </c>
      <c r="I9382" t="s">
        <v>6507</v>
      </c>
      <c r="J9382" t="s">
        <v>14</v>
      </c>
      <c r="K9382" t="str">
        <f>"7F6"</f>
        <v>7F6</v>
      </c>
      <c r="L9382" t="s">
        <v>15</v>
      </c>
    </row>
    <row r="9383" spans="1:12" x14ac:dyDescent="0.25">
      <c r="A9383" t="str">
        <f>"7055115782"</f>
        <v>7055115782</v>
      </c>
      <c r="B9383" t="str">
        <f t="shared" si="412"/>
        <v>89301000</v>
      </c>
      <c r="C9383" s="1">
        <v>44419</v>
      </c>
      <c r="D9383" s="1">
        <v>44420</v>
      </c>
      <c r="E9383">
        <v>1</v>
      </c>
      <c r="F9383" t="s">
        <v>41</v>
      </c>
      <c r="G9383" t="str">
        <f>"01-D01-03"</f>
        <v>01-D01-03</v>
      </c>
      <c r="H9383">
        <v>0.158</v>
      </c>
      <c r="J9383" t="s">
        <v>14</v>
      </c>
      <c r="K9383" t="str">
        <f>"2F5"</f>
        <v>2F5</v>
      </c>
      <c r="L9383" t="s">
        <v>15</v>
      </c>
    </row>
    <row r="9384" spans="1:12" x14ac:dyDescent="0.25">
      <c r="A9384" t="str">
        <f>"7055154491"</f>
        <v>7055154491</v>
      </c>
      <c r="B9384" t="str">
        <f t="shared" si="412"/>
        <v>89301000</v>
      </c>
      <c r="C9384" s="1">
        <v>44341</v>
      </c>
      <c r="D9384" s="1">
        <v>44342</v>
      </c>
      <c r="E9384">
        <v>1</v>
      </c>
      <c r="F9384" t="s">
        <v>4382</v>
      </c>
      <c r="G9384" t="str">
        <f>"05-I30-02"</f>
        <v>05-I30-02</v>
      </c>
      <c r="H9384">
        <v>0.46729999999999999</v>
      </c>
      <c r="J9384" t="s">
        <v>14</v>
      </c>
      <c r="K9384" t="str">
        <f>"5F1"</f>
        <v>5F1</v>
      </c>
      <c r="L9384" t="s">
        <v>15</v>
      </c>
    </row>
    <row r="9385" spans="1:12" x14ac:dyDescent="0.25">
      <c r="A9385" t="str">
        <f>"7055175314"</f>
        <v>7055175314</v>
      </c>
      <c r="B9385" t="str">
        <f t="shared" si="412"/>
        <v>89301000</v>
      </c>
      <c r="C9385" s="1">
        <v>44325</v>
      </c>
      <c r="D9385" s="1">
        <v>44333</v>
      </c>
      <c r="E9385">
        <v>3</v>
      </c>
      <c r="F9385" t="s">
        <v>6508</v>
      </c>
      <c r="G9385" t="str">
        <f>"08-I05-04"</f>
        <v>08-I05-04</v>
      </c>
      <c r="H9385">
        <v>2.4581</v>
      </c>
      <c r="I9385" t="s">
        <v>4260</v>
      </c>
      <c r="J9385" t="s">
        <v>17</v>
      </c>
      <c r="K9385" t="str">
        <f>"6F6"</f>
        <v>6F6</v>
      </c>
      <c r="L9385" t="s">
        <v>15</v>
      </c>
    </row>
    <row r="9386" spans="1:12" x14ac:dyDescent="0.25">
      <c r="A9386" t="str">
        <f>"7055175314"</f>
        <v>7055175314</v>
      </c>
      <c r="B9386" t="str">
        <f t="shared" si="412"/>
        <v>89301000</v>
      </c>
      <c r="C9386" s="1">
        <v>44333</v>
      </c>
      <c r="D9386" s="1">
        <v>44351</v>
      </c>
      <c r="E9386">
        <v>1</v>
      </c>
      <c r="F9386" t="s">
        <v>109</v>
      </c>
      <c r="G9386" t="str">
        <f>"24-M08-02"</f>
        <v>24-M08-02</v>
      </c>
      <c r="H9386">
        <v>2.3557000000000001</v>
      </c>
      <c r="I9386" t="s">
        <v>4395</v>
      </c>
      <c r="J9386" t="s">
        <v>14</v>
      </c>
      <c r="K9386" t="str">
        <f>"2F1"</f>
        <v>2F1</v>
      </c>
      <c r="L9386" t="s">
        <v>15</v>
      </c>
    </row>
    <row r="9387" spans="1:12" x14ac:dyDescent="0.25">
      <c r="A9387" t="str">
        <f>"7055184279"</f>
        <v>7055184279</v>
      </c>
      <c r="B9387" t="str">
        <f t="shared" si="412"/>
        <v>89301000</v>
      </c>
      <c r="C9387" s="1">
        <v>44251</v>
      </c>
      <c r="D9387" s="1">
        <v>44254</v>
      </c>
      <c r="E9387">
        <v>1</v>
      </c>
      <c r="F9387" t="s">
        <v>1553</v>
      </c>
      <c r="G9387" t="str">
        <f>"04-K05-03"</f>
        <v>04-K05-03</v>
      </c>
      <c r="H9387">
        <v>0.74980000000000002</v>
      </c>
      <c r="I9387" t="s">
        <v>6509</v>
      </c>
      <c r="J9387" t="s">
        <v>14</v>
      </c>
      <c r="K9387" t="str">
        <f>"1F1"</f>
        <v>1F1</v>
      </c>
      <c r="L9387" t="s">
        <v>15</v>
      </c>
    </row>
    <row r="9388" spans="1:12" x14ac:dyDescent="0.25">
      <c r="A9388" t="str">
        <f>"7055205707"</f>
        <v>7055205707</v>
      </c>
      <c r="B9388" t="str">
        <f t="shared" ref="B9388:B9451" si="413">"89301000"</f>
        <v>89301000</v>
      </c>
      <c r="C9388" s="1">
        <v>44307</v>
      </c>
      <c r="D9388" s="1">
        <v>44314</v>
      </c>
      <c r="E9388">
        <v>4</v>
      </c>
      <c r="F9388" t="s">
        <v>1968</v>
      </c>
      <c r="G9388" t="str">
        <f>"08-I05-04"</f>
        <v>08-I05-04</v>
      </c>
      <c r="H9388">
        <v>2.4581</v>
      </c>
      <c r="I9388" t="s">
        <v>6510</v>
      </c>
      <c r="J9388" t="s">
        <v>17</v>
      </c>
      <c r="K9388" t="str">
        <f>"6F6"</f>
        <v>6F6</v>
      </c>
      <c r="L9388" t="s">
        <v>15</v>
      </c>
    </row>
    <row r="9389" spans="1:12" x14ac:dyDescent="0.25">
      <c r="A9389" t="str">
        <f>"7055255306"</f>
        <v>7055255306</v>
      </c>
      <c r="B9389" t="str">
        <f t="shared" si="413"/>
        <v>89301000</v>
      </c>
      <c r="C9389" s="1">
        <v>44544</v>
      </c>
      <c r="D9389" s="1">
        <v>44551</v>
      </c>
      <c r="E9389">
        <v>1</v>
      </c>
      <c r="F9389" t="s">
        <v>130</v>
      </c>
      <c r="G9389" t="str">
        <f>"19-K03-03"</f>
        <v>19-K03-03</v>
      </c>
      <c r="H9389">
        <v>0.93169999999999997</v>
      </c>
      <c r="I9389" t="s">
        <v>489</v>
      </c>
      <c r="J9389" t="s">
        <v>27</v>
      </c>
      <c r="K9389" t="str">
        <f>"3F5"</f>
        <v>3F5</v>
      </c>
      <c r="L9389" t="s">
        <v>15</v>
      </c>
    </row>
    <row r="9390" spans="1:12" x14ac:dyDescent="0.25">
      <c r="A9390" t="str">
        <f>"7055265316"</f>
        <v>7055265316</v>
      </c>
      <c r="B9390" t="str">
        <f t="shared" si="413"/>
        <v>89301000</v>
      </c>
      <c r="C9390" s="1">
        <v>44286</v>
      </c>
      <c r="D9390" s="1">
        <v>44292</v>
      </c>
      <c r="E9390">
        <v>1</v>
      </c>
      <c r="F9390" t="s">
        <v>2433</v>
      </c>
      <c r="G9390" t="str">
        <f>"09-K04-02"</f>
        <v>09-K04-02</v>
      </c>
      <c r="H9390">
        <v>0.68279999999999996</v>
      </c>
      <c r="I9390" t="s">
        <v>489</v>
      </c>
      <c r="J9390" t="s">
        <v>14</v>
      </c>
      <c r="K9390" t="str">
        <f>"4F4"</f>
        <v>4F4</v>
      </c>
      <c r="L9390" t="s">
        <v>15</v>
      </c>
    </row>
    <row r="9391" spans="1:12" x14ac:dyDescent="0.25">
      <c r="A9391" t="str">
        <f>"7055305312"</f>
        <v>7055305312</v>
      </c>
      <c r="B9391" t="str">
        <f t="shared" si="413"/>
        <v>89301000</v>
      </c>
      <c r="C9391" s="1">
        <v>44467</v>
      </c>
      <c r="D9391" s="1">
        <v>44476</v>
      </c>
      <c r="E9391">
        <v>1</v>
      </c>
      <c r="F9391" t="s">
        <v>3625</v>
      </c>
      <c r="G9391" t="str">
        <f>"06-I07-05"</f>
        <v>06-I07-05</v>
      </c>
      <c r="H9391">
        <v>2.8466999999999998</v>
      </c>
      <c r="J9391" t="s">
        <v>17</v>
      </c>
      <c r="K9391" t="str">
        <f>"5F1"</f>
        <v>5F1</v>
      </c>
      <c r="L9391" t="s">
        <v>15</v>
      </c>
    </row>
    <row r="9392" spans="1:12" x14ac:dyDescent="0.25">
      <c r="A9392" t="str">
        <f t="shared" ref="A9392:A9410" si="414">"7055305763"</f>
        <v>7055305763</v>
      </c>
      <c r="B9392" t="str">
        <f t="shared" si="413"/>
        <v>89301000</v>
      </c>
      <c r="C9392" s="1">
        <v>44546</v>
      </c>
      <c r="D9392" s="1">
        <v>44548</v>
      </c>
      <c r="E9392">
        <v>1</v>
      </c>
      <c r="F9392" t="s">
        <v>1621</v>
      </c>
      <c r="G9392" t="str">
        <f>"07-C01-02"</f>
        <v>07-C01-02</v>
      </c>
      <c r="H9392">
        <v>0.30530000000000002</v>
      </c>
      <c r="I9392" t="s">
        <v>6511</v>
      </c>
      <c r="J9392" t="s">
        <v>14</v>
      </c>
      <c r="K9392" t="str">
        <f t="shared" ref="K9392:K9407" si="415">"4F2"</f>
        <v>4F2</v>
      </c>
      <c r="L9392" t="s">
        <v>15</v>
      </c>
    </row>
    <row r="9393" spans="1:12" x14ac:dyDescent="0.25">
      <c r="A9393" t="str">
        <f t="shared" si="414"/>
        <v>7055305763</v>
      </c>
      <c r="B9393" t="str">
        <f t="shared" si="413"/>
        <v>89301000</v>
      </c>
      <c r="C9393" s="1">
        <v>44532</v>
      </c>
      <c r="D9393" s="1">
        <v>44534</v>
      </c>
      <c r="E9393">
        <v>1</v>
      </c>
      <c r="F9393" t="s">
        <v>1621</v>
      </c>
      <c r="G9393" t="str">
        <f>"07-C01-02"</f>
        <v>07-C01-02</v>
      </c>
      <c r="H9393">
        <v>0.30530000000000002</v>
      </c>
      <c r="I9393" t="s">
        <v>6511</v>
      </c>
      <c r="J9393" t="s">
        <v>14</v>
      </c>
      <c r="K9393" t="str">
        <f t="shared" si="415"/>
        <v>4F2</v>
      </c>
      <c r="L9393" t="s">
        <v>15</v>
      </c>
    </row>
    <row r="9394" spans="1:12" x14ac:dyDescent="0.25">
      <c r="A9394" t="str">
        <f t="shared" si="414"/>
        <v>7055305763</v>
      </c>
      <c r="B9394" t="str">
        <f t="shared" si="413"/>
        <v>89301000</v>
      </c>
      <c r="C9394" s="1">
        <v>44516</v>
      </c>
      <c r="D9394" s="1">
        <v>44520</v>
      </c>
      <c r="E9394">
        <v>1</v>
      </c>
      <c r="F9394" t="s">
        <v>2228</v>
      </c>
      <c r="G9394" t="str">
        <f>"06-C02-01"</f>
        <v>06-C02-01</v>
      </c>
      <c r="H9394">
        <v>0.27229999999999999</v>
      </c>
      <c r="I9394" t="s">
        <v>6512</v>
      </c>
      <c r="J9394" t="s">
        <v>14</v>
      </c>
      <c r="K9394" t="str">
        <f t="shared" si="415"/>
        <v>4F2</v>
      </c>
      <c r="L9394" t="s">
        <v>15</v>
      </c>
    </row>
    <row r="9395" spans="1:12" x14ac:dyDescent="0.25">
      <c r="A9395" t="str">
        <f t="shared" si="414"/>
        <v>7055305763</v>
      </c>
      <c r="B9395" t="str">
        <f t="shared" si="413"/>
        <v>89301000</v>
      </c>
      <c r="C9395" s="1">
        <v>44502</v>
      </c>
      <c r="D9395" s="1">
        <v>44504</v>
      </c>
      <c r="E9395">
        <v>1</v>
      </c>
      <c r="F9395" t="s">
        <v>1621</v>
      </c>
      <c r="G9395" t="str">
        <f>"07-C01-02"</f>
        <v>07-C01-02</v>
      </c>
      <c r="H9395">
        <v>0.30530000000000002</v>
      </c>
      <c r="I9395" t="s">
        <v>6511</v>
      </c>
      <c r="J9395" t="s">
        <v>14</v>
      </c>
      <c r="K9395" t="str">
        <f t="shared" si="415"/>
        <v>4F2</v>
      </c>
      <c r="L9395" t="s">
        <v>15</v>
      </c>
    </row>
    <row r="9396" spans="1:12" x14ac:dyDescent="0.25">
      <c r="A9396" t="str">
        <f t="shared" si="414"/>
        <v>7055305763</v>
      </c>
      <c r="B9396" t="str">
        <f t="shared" si="413"/>
        <v>89301000</v>
      </c>
      <c r="C9396" s="1">
        <v>44469</v>
      </c>
      <c r="D9396" s="1">
        <v>44471</v>
      </c>
      <c r="E9396">
        <v>1</v>
      </c>
      <c r="F9396" t="s">
        <v>2228</v>
      </c>
      <c r="G9396" t="str">
        <f>"06-C02-01"</f>
        <v>06-C02-01</v>
      </c>
      <c r="H9396">
        <v>0.27229999999999999</v>
      </c>
      <c r="I9396" t="s">
        <v>4692</v>
      </c>
      <c r="J9396" t="s">
        <v>14</v>
      </c>
      <c r="K9396" t="str">
        <f t="shared" si="415"/>
        <v>4F2</v>
      </c>
      <c r="L9396" t="s">
        <v>15</v>
      </c>
    </row>
    <row r="9397" spans="1:12" x14ac:dyDescent="0.25">
      <c r="A9397" t="str">
        <f t="shared" si="414"/>
        <v>7055305763</v>
      </c>
      <c r="B9397" t="str">
        <f t="shared" si="413"/>
        <v>89301000</v>
      </c>
      <c r="C9397" s="1">
        <v>44453</v>
      </c>
      <c r="D9397" s="1">
        <v>44456</v>
      </c>
      <c r="E9397">
        <v>1</v>
      </c>
      <c r="F9397" t="s">
        <v>2228</v>
      </c>
      <c r="G9397" t="str">
        <f>"06-C02-01"</f>
        <v>06-C02-01</v>
      </c>
      <c r="H9397">
        <v>0.27229999999999999</v>
      </c>
      <c r="I9397" t="s">
        <v>4692</v>
      </c>
      <c r="J9397" t="s">
        <v>14</v>
      </c>
      <c r="K9397" t="str">
        <f t="shared" si="415"/>
        <v>4F2</v>
      </c>
      <c r="L9397" t="s">
        <v>15</v>
      </c>
    </row>
    <row r="9398" spans="1:12" x14ac:dyDescent="0.25">
      <c r="A9398" t="str">
        <f t="shared" si="414"/>
        <v>7055305763</v>
      </c>
      <c r="B9398" t="str">
        <f t="shared" si="413"/>
        <v>89301000</v>
      </c>
      <c r="C9398" s="1">
        <v>44439</v>
      </c>
      <c r="D9398" s="1">
        <v>44441</v>
      </c>
      <c r="E9398">
        <v>1</v>
      </c>
      <c r="F9398" t="s">
        <v>1621</v>
      </c>
      <c r="G9398" t="str">
        <f>"07-C01-02"</f>
        <v>07-C01-02</v>
      </c>
      <c r="H9398">
        <v>0.30530000000000002</v>
      </c>
      <c r="I9398" t="s">
        <v>6513</v>
      </c>
      <c r="J9398" t="s">
        <v>14</v>
      </c>
      <c r="K9398" t="str">
        <f t="shared" si="415"/>
        <v>4F2</v>
      </c>
      <c r="L9398" t="s">
        <v>15</v>
      </c>
    </row>
    <row r="9399" spans="1:12" x14ac:dyDescent="0.25">
      <c r="A9399" t="str">
        <f t="shared" si="414"/>
        <v>7055305763</v>
      </c>
      <c r="B9399" t="str">
        <f t="shared" si="413"/>
        <v>89301000</v>
      </c>
      <c r="C9399" s="1">
        <v>44411</v>
      </c>
      <c r="D9399" s="1">
        <v>44413</v>
      </c>
      <c r="E9399">
        <v>1</v>
      </c>
      <c r="F9399" t="s">
        <v>2228</v>
      </c>
      <c r="G9399" t="str">
        <f>"06-C02-01"</f>
        <v>06-C02-01</v>
      </c>
      <c r="H9399">
        <v>0.27229999999999999</v>
      </c>
      <c r="I9399" t="s">
        <v>4692</v>
      </c>
      <c r="J9399" t="s">
        <v>14</v>
      </c>
      <c r="K9399" t="str">
        <f t="shared" si="415"/>
        <v>4F2</v>
      </c>
      <c r="L9399" t="s">
        <v>15</v>
      </c>
    </row>
    <row r="9400" spans="1:12" x14ac:dyDescent="0.25">
      <c r="A9400" t="str">
        <f t="shared" si="414"/>
        <v>7055305763</v>
      </c>
      <c r="B9400" t="str">
        <f t="shared" si="413"/>
        <v>89301000</v>
      </c>
      <c r="C9400" s="1">
        <v>44397</v>
      </c>
      <c r="D9400" s="1">
        <v>44400</v>
      </c>
      <c r="E9400">
        <v>1</v>
      </c>
      <c r="F9400" t="s">
        <v>2228</v>
      </c>
      <c r="G9400" t="str">
        <f>"06-C02-01"</f>
        <v>06-C02-01</v>
      </c>
      <c r="H9400">
        <v>0.27229999999999999</v>
      </c>
      <c r="I9400" t="s">
        <v>2946</v>
      </c>
      <c r="J9400" t="s">
        <v>14</v>
      </c>
      <c r="K9400" t="str">
        <f t="shared" si="415"/>
        <v>4F2</v>
      </c>
      <c r="L9400" t="s">
        <v>15</v>
      </c>
    </row>
    <row r="9401" spans="1:12" x14ac:dyDescent="0.25">
      <c r="A9401" t="str">
        <f t="shared" si="414"/>
        <v>7055305763</v>
      </c>
      <c r="B9401" t="str">
        <f t="shared" si="413"/>
        <v>89301000</v>
      </c>
      <c r="C9401" s="1">
        <v>44368</v>
      </c>
      <c r="D9401" s="1">
        <v>44373</v>
      </c>
      <c r="E9401">
        <v>1</v>
      </c>
      <c r="F9401" t="s">
        <v>3989</v>
      </c>
      <c r="G9401" t="str">
        <f>"06-K14-02"</f>
        <v>06-K14-02</v>
      </c>
      <c r="H9401">
        <v>0.57279999999999998</v>
      </c>
      <c r="I9401" t="s">
        <v>4837</v>
      </c>
      <c r="J9401" t="s">
        <v>14</v>
      </c>
      <c r="K9401" t="str">
        <f t="shared" si="415"/>
        <v>4F2</v>
      </c>
      <c r="L9401" t="s">
        <v>15</v>
      </c>
    </row>
    <row r="9402" spans="1:12" x14ac:dyDescent="0.25">
      <c r="A9402" t="str">
        <f t="shared" si="414"/>
        <v>7055305763</v>
      </c>
      <c r="B9402" t="str">
        <f t="shared" si="413"/>
        <v>89301000</v>
      </c>
      <c r="C9402" s="1">
        <v>44354</v>
      </c>
      <c r="D9402" s="1">
        <v>44356</v>
      </c>
      <c r="E9402">
        <v>1</v>
      </c>
      <c r="F9402" t="s">
        <v>2228</v>
      </c>
      <c r="G9402" t="str">
        <f>"06-C02-01"</f>
        <v>06-C02-01</v>
      </c>
      <c r="H9402">
        <v>0.27229999999999999</v>
      </c>
      <c r="I9402" t="s">
        <v>2946</v>
      </c>
      <c r="J9402" t="s">
        <v>14</v>
      </c>
      <c r="K9402" t="str">
        <f t="shared" si="415"/>
        <v>4F2</v>
      </c>
      <c r="L9402" t="s">
        <v>15</v>
      </c>
    </row>
    <row r="9403" spans="1:12" x14ac:dyDescent="0.25">
      <c r="A9403" t="str">
        <f t="shared" si="414"/>
        <v>7055305763</v>
      </c>
      <c r="B9403" t="str">
        <f t="shared" si="413"/>
        <v>89301000</v>
      </c>
      <c r="C9403" s="1">
        <v>44340</v>
      </c>
      <c r="D9403" s="1">
        <v>44342</v>
      </c>
      <c r="E9403">
        <v>1</v>
      </c>
      <c r="F9403" t="s">
        <v>1621</v>
      </c>
      <c r="G9403" t="str">
        <f>"07-C01-02"</f>
        <v>07-C01-02</v>
      </c>
      <c r="H9403">
        <v>0.30530000000000002</v>
      </c>
      <c r="I9403" t="s">
        <v>6511</v>
      </c>
      <c r="J9403" t="s">
        <v>14</v>
      </c>
      <c r="K9403" t="str">
        <f t="shared" si="415"/>
        <v>4F2</v>
      </c>
      <c r="L9403" t="s">
        <v>15</v>
      </c>
    </row>
    <row r="9404" spans="1:12" x14ac:dyDescent="0.25">
      <c r="A9404" t="str">
        <f t="shared" si="414"/>
        <v>7055305763</v>
      </c>
      <c r="B9404" t="str">
        <f t="shared" si="413"/>
        <v>89301000</v>
      </c>
      <c r="C9404" s="1">
        <v>44323</v>
      </c>
      <c r="D9404" s="1">
        <v>44326</v>
      </c>
      <c r="E9404">
        <v>1</v>
      </c>
      <c r="F9404" t="s">
        <v>3989</v>
      </c>
      <c r="G9404" t="str">
        <f>"06-C02-01"</f>
        <v>06-C02-01</v>
      </c>
      <c r="H9404">
        <v>0.27229999999999999</v>
      </c>
      <c r="I9404" t="s">
        <v>6514</v>
      </c>
      <c r="J9404" t="s">
        <v>14</v>
      </c>
      <c r="K9404" t="str">
        <f t="shared" si="415"/>
        <v>4F2</v>
      </c>
      <c r="L9404" t="s">
        <v>15</v>
      </c>
    </row>
    <row r="9405" spans="1:12" x14ac:dyDescent="0.25">
      <c r="A9405" t="str">
        <f t="shared" si="414"/>
        <v>7055305763</v>
      </c>
      <c r="B9405" t="str">
        <f t="shared" si="413"/>
        <v>89301000</v>
      </c>
      <c r="C9405" s="1">
        <v>44309</v>
      </c>
      <c r="D9405" s="1">
        <v>44312</v>
      </c>
      <c r="E9405">
        <v>1</v>
      </c>
      <c r="F9405" t="s">
        <v>2228</v>
      </c>
      <c r="G9405" t="str">
        <f>"06-C02-01"</f>
        <v>06-C02-01</v>
      </c>
      <c r="H9405">
        <v>0.27229999999999999</v>
      </c>
      <c r="I9405" t="s">
        <v>4231</v>
      </c>
      <c r="J9405" t="s">
        <v>14</v>
      </c>
      <c r="K9405" t="str">
        <f t="shared" si="415"/>
        <v>4F2</v>
      </c>
      <c r="L9405" t="s">
        <v>15</v>
      </c>
    </row>
    <row r="9406" spans="1:12" x14ac:dyDescent="0.25">
      <c r="A9406" t="str">
        <f t="shared" si="414"/>
        <v>7055305763</v>
      </c>
      <c r="B9406" t="str">
        <f t="shared" si="413"/>
        <v>89301000</v>
      </c>
      <c r="C9406" s="1">
        <v>44295</v>
      </c>
      <c r="D9406" s="1">
        <v>44298</v>
      </c>
      <c r="E9406">
        <v>1</v>
      </c>
      <c r="F9406" t="s">
        <v>2228</v>
      </c>
      <c r="G9406" t="str">
        <f>"06-C02-01"</f>
        <v>06-C02-01</v>
      </c>
      <c r="H9406">
        <v>0.27229999999999999</v>
      </c>
      <c r="I9406" t="s">
        <v>541</v>
      </c>
      <c r="J9406" t="s">
        <v>14</v>
      </c>
      <c r="K9406" t="str">
        <f t="shared" si="415"/>
        <v>4F2</v>
      </c>
      <c r="L9406" t="s">
        <v>15</v>
      </c>
    </row>
    <row r="9407" spans="1:12" x14ac:dyDescent="0.25">
      <c r="A9407" t="str">
        <f t="shared" si="414"/>
        <v>7055305763</v>
      </c>
      <c r="B9407" t="str">
        <f t="shared" si="413"/>
        <v>89301000</v>
      </c>
      <c r="C9407" s="1">
        <v>44280</v>
      </c>
      <c r="D9407" s="1">
        <v>44284</v>
      </c>
      <c r="E9407">
        <v>1</v>
      </c>
      <c r="F9407" t="s">
        <v>2228</v>
      </c>
      <c r="G9407" t="str">
        <f>"06-C02-01"</f>
        <v>06-C02-01</v>
      </c>
      <c r="H9407">
        <v>0.27229999999999999</v>
      </c>
      <c r="I9407" t="s">
        <v>2946</v>
      </c>
      <c r="J9407" t="s">
        <v>14</v>
      </c>
      <c r="K9407" t="str">
        <f t="shared" si="415"/>
        <v>4F2</v>
      </c>
      <c r="L9407" t="s">
        <v>15</v>
      </c>
    </row>
    <row r="9408" spans="1:12" x14ac:dyDescent="0.25">
      <c r="A9408" t="str">
        <f t="shared" si="414"/>
        <v>7055305763</v>
      </c>
      <c r="B9408" t="str">
        <f t="shared" si="413"/>
        <v>89301000</v>
      </c>
      <c r="C9408" s="1">
        <v>44234</v>
      </c>
      <c r="D9408" s="1">
        <v>44246</v>
      </c>
      <c r="E9408">
        <v>1</v>
      </c>
      <c r="F9408" t="s">
        <v>2513</v>
      </c>
      <c r="G9408" t="str">
        <f>"06-I07-05"</f>
        <v>06-I07-05</v>
      </c>
      <c r="H9408">
        <v>2.8466999999999998</v>
      </c>
      <c r="I9408" t="s">
        <v>6515</v>
      </c>
      <c r="J9408" t="s">
        <v>17</v>
      </c>
      <c r="K9408" t="str">
        <f>"5F1"</f>
        <v>5F1</v>
      </c>
      <c r="L9408" t="s">
        <v>15</v>
      </c>
    </row>
    <row r="9409" spans="1:12" x14ac:dyDescent="0.25">
      <c r="A9409" t="str">
        <f t="shared" si="414"/>
        <v>7055305763</v>
      </c>
      <c r="B9409" t="str">
        <f t="shared" si="413"/>
        <v>89301000</v>
      </c>
      <c r="C9409" s="1">
        <v>44483</v>
      </c>
      <c r="D9409" s="1">
        <v>44485</v>
      </c>
      <c r="E9409">
        <v>1</v>
      </c>
      <c r="F9409" t="s">
        <v>1621</v>
      </c>
      <c r="G9409" t="str">
        <f>"07-C01-02"</f>
        <v>07-C01-02</v>
      </c>
      <c r="H9409">
        <v>0.30530000000000002</v>
      </c>
      <c r="I9409" t="s">
        <v>6513</v>
      </c>
      <c r="J9409" t="s">
        <v>14</v>
      </c>
      <c r="K9409" t="str">
        <f>"4F2"</f>
        <v>4F2</v>
      </c>
      <c r="L9409" t="s">
        <v>15</v>
      </c>
    </row>
    <row r="9410" spans="1:12" x14ac:dyDescent="0.25">
      <c r="A9410" t="str">
        <f t="shared" si="414"/>
        <v>7055305763</v>
      </c>
      <c r="B9410" t="str">
        <f t="shared" si="413"/>
        <v>89301000</v>
      </c>
      <c r="C9410" s="1">
        <v>44425</v>
      </c>
      <c r="D9410" s="1">
        <v>44428</v>
      </c>
      <c r="E9410">
        <v>1</v>
      </c>
      <c r="F9410" t="s">
        <v>2228</v>
      </c>
      <c r="G9410" t="str">
        <f>"06-C02-01"</f>
        <v>06-C02-01</v>
      </c>
      <c r="H9410">
        <v>0.27229999999999999</v>
      </c>
      <c r="I9410" t="s">
        <v>4692</v>
      </c>
      <c r="J9410" t="s">
        <v>14</v>
      </c>
      <c r="K9410" t="str">
        <f>"4F2"</f>
        <v>4F2</v>
      </c>
      <c r="L9410" t="s">
        <v>15</v>
      </c>
    </row>
    <row r="9411" spans="1:12" x14ac:dyDescent="0.25">
      <c r="A9411" t="str">
        <f>"7056015340"</f>
        <v>7056015340</v>
      </c>
      <c r="B9411" t="str">
        <f t="shared" si="413"/>
        <v>89301000</v>
      </c>
      <c r="C9411" s="1">
        <v>44417</v>
      </c>
      <c r="D9411" s="1">
        <v>44420</v>
      </c>
      <c r="E9411">
        <v>1</v>
      </c>
      <c r="F9411" t="s">
        <v>689</v>
      </c>
      <c r="G9411" t="str">
        <f>"03-I14-02"</f>
        <v>03-I14-02</v>
      </c>
      <c r="H9411">
        <v>1.1086</v>
      </c>
      <c r="I9411" t="s">
        <v>12</v>
      </c>
      <c r="J9411" t="s">
        <v>14</v>
      </c>
      <c r="K9411" t="str">
        <f>"7F1"</f>
        <v>7F1</v>
      </c>
      <c r="L9411" t="s">
        <v>15</v>
      </c>
    </row>
    <row r="9412" spans="1:12" x14ac:dyDescent="0.25">
      <c r="A9412" t="str">
        <f>"7056095343"</f>
        <v>7056095343</v>
      </c>
      <c r="B9412" t="str">
        <f t="shared" si="413"/>
        <v>89301000</v>
      </c>
      <c r="C9412" s="1">
        <v>44270</v>
      </c>
      <c r="D9412" s="1">
        <v>44279</v>
      </c>
      <c r="E9412">
        <v>1</v>
      </c>
      <c r="F9412" t="s">
        <v>2236</v>
      </c>
      <c r="G9412" t="str">
        <f>"10-K04-04"</f>
        <v>10-K04-04</v>
      </c>
      <c r="H9412">
        <v>0.56330000000000002</v>
      </c>
      <c r="I9412" t="s">
        <v>6516</v>
      </c>
      <c r="J9412" t="s">
        <v>14</v>
      </c>
      <c r="K9412" t="str">
        <f>"1F1"</f>
        <v>1F1</v>
      </c>
      <c r="L9412" t="s">
        <v>15</v>
      </c>
    </row>
    <row r="9413" spans="1:12" x14ac:dyDescent="0.25">
      <c r="A9413" t="str">
        <f>"7056194464"</f>
        <v>7056194464</v>
      </c>
      <c r="B9413" t="str">
        <f t="shared" si="413"/>
        <v>89301000</v>
      </c>
      <c r="C9413" s="1">
        <v>44456</v>
      </c>
      <c r="D9413" s="1">
        <v>44459</v>
      </c>
      <c r="E9413">
        <v>1</v>
      </c>
      <c r="F9413" t="s">
        <v>132</v>
      </c>
      <c r="G9413" t="str">
        <f>"03-K03-02"</f>
        <v>03-K03-02</v>
      </c>
      <c r="H9413">
        <v>0.49249999999999999</v>
      </c>
      <c r="J9413" t="s">
        <v>14</v>
      </c>
      <c r="K9413" t="str">
        <f>"6F5"</f>
        <v>6F5</v>
      </c>
      <c r="L9413" t="s">
        <v>15</v>
      </c>
    </row>
    <row r="9414" spans="1:12" x14ac:dyDescent="0.25">
      <c r="A9414" t="str">
        <f>"7057025767"</f>
        <v>7057025767</v>
      </c>
      <c r="B9414" t="str">
        <f t="shared" si="413"/>
        <v>89301000</v>
      </c>
      <c r="C9414" s="1">
        <v>44445</v>
      </c>
      <c r="D9414" s="1">
        <v>44448</v>
      </c>
      <c r="E9414">
        <v>1</v>
      </c>
      <c r="F9414" t="s">
        <v>2311</v>
      </c>
      <c r="G9414" t="str">
        <f>"08-I03-08"</f>
        <v>08-I03-08</v>
      </c>
      <c r="H9414">
        <v>2.0605000000000002</v>
      </c>
      <c r="I9414" t="s">
        <v>6517</v>
      </c>
      <c r="J9414" t="s">
        <v>17</v>
      </c>
      <c r="K9414" t="str">
        <f>"5F6"</f>
        <v>5F6</v>
      </c>
      <c r="L9414" t="s">
        <v>15</v>
      </c>
    </row>
    <row r="9415" spans="1:12" x14ac:dyDescent="0.25">
      <c r="A9415" t="str">
        <f>"7057035755"</f>
        <v>7057035755</v>
      </c>
      <c r="B9415" t="str">
        <f t="shared" si="413"/>
        <v>89301000</v>
      </c>
      <c r="C9415" s="1">
        <v>44326</v>
      </c>
      <c r="D9415" s="1">
        <v>44329</v>
      </c>
      <c r="E9415">
        <v>1</v>
      </c>
      <c r="F9415" t="s">
        <v>2049</v>
      </c>
      <c r="G9415" t="str">
        <f>"06-M01-02"</f>
        <v>06-M01-02</v>
      </c>
      <c r="H9415">
        <v>1.2191000000000001</v>
      </c>
      <c r="I9415" t="s">
        <v>168</v>
      </c>
      <c r="J9415" t="s">
        <v>14</v>
      </c>
      <c r="K9415" t="str">
        <f>"1F5"</f>
        <v>1F5</v>
      </c>
      <c r="L9415" t="s">
        <v>15</v>
      </c>
    </row>
    <row r="9416" spans="1:12" x14ac:dyDescent="0.25">
      <c r="A9416" t="str">
        <f>"7057095320"</f>
        <v>7057095320</v>
      </c>
      <c r="B9416" t="str">
        <f t="shared" si="413"/>
        <v>89301000</v>
      </c>
      <c r="C9416" s="1">
        <v>44456</v>
      </c>
      <c r="D9416" s="1">
        <v>44460</v>
      </c>
      <c r="E9416">
        <v>1</v>
      </c>
      <c r="F9416" t="s">
        <v>473</v>
      </c>
      <c r="G9416" t="str">
        <f>"05-K13-02"</f>
        <v>05-K13-02</v>
      </c>
      <c r="H9416">
        <v>0.60950000000000004</v>
      </c>
      <c r="J9416" t="s">
        <v>14</v>
      </c>
      <c r="K9416" t="str">
        <f>"1F1"</f>
        <v>1F1</v>
      </c>
      <c r="L9416" t="s">
        <v>15</v>
      </c>
    </row>
    <row r="9417" spans="1:12" x14ac:dyDescent="0.25">
      <c r="A9417" t="str">
        <f>"7057125790"</f>
        <v>7057125790</v>
      </c>
      <c r="B9417" t="str">
        <f t="shared" si="413"/>
        <v>89301000</v>
      </c>
      <c r="C9417" s="1">
        <v>44451</v>
      </c>
      <c r="D9417" s="1">
        <v>44455</v>
      </c>
      <c r="E9417">
        <v>1</v>
      </c>
      <c r="F9417" t="s">
        <v>335</v>
      </c>
      <c r="G9417" t="str">
        <f>"07-I10-06"</f>
        <v>07-I10-06</v>
      </c>
      <c r="H9417">
        <v>0.9728</v>
      </c>
      <c r="I9417" t="s">
        <v>489</v>
      </c>
      <c r="J9417" t="s">
        <v>17</v>
      </c>
      <c r="K9417" t="str">
        <f>"5F1"</f>
        <v>5F1</v>
      </c>
      <c r="L9417" t="s">
        <v>15</v>
      </c>
    </row>
    <row r="9418" spans="1:12" x14ac:dyDescent="0.25">
      <c r="A9418" t="str">
        <f>"7057155776"</f>
        <v>7057155776</v>
      </c>
      <c r="B9418" t="str">
        <f t="shared" si="413"/>
        <v>89301000</v>
      </c>
      <c r="C9418" s="1">
        <v>44305</v>
      </c>
      <c r="D9418" s="1">
        <v>44306</v>
      </c>
      <c r="E9418">
        <v>1</v>
      </c>
      <c r="F9418" t="s">
        <v>700</v>
      </c>
      <c r="G9418" t="str">
        <f>"13-I19-00"</f>
        <v>13-I19-00</v>
      </c>
      <c r="H9418">
        <v>0.24679999999999999</v>
      </c>
      <c r="J9418" t="s">
        <v>14</v>
      </c>
      <c r="K9418" t="str">
        <f>"6F3"</f>
        <v>6F3</v>
      </c>
      <c r="L9418" t="s">
        <v>15</v>
      </c>
    </row>
    <row r="9419" spans="1:12" x14ac:dyDescent="0.25">
      <c r="A9419" t="str">
        <f>"7057195772"</f>
        <v>7057195772</v>
      </c>
      <c r="B9419" t="str">
        <f t="shared" si="413"/>
        <v>89301000</v>
      </c>
      <c r="C9419" s="1">
        <v>44431</v>
      </c>
      <c r="D9419" s="1">
        <v>44433</v>
      </c>
      <c r="E9419">
        <v>1</v>
      </c>
      <c r="F9419" t="s">
        <v>2109</v>
      </c>
      <c r="G9419" t="str">
        <f>"07-K01-02"</f>
        <v>07-K01-02</v>
      </c>
      <c r="H9419">
        <v>0.93010000000000004</v>
      </c>
      <c r="I9419" t="s">
        <v>6518</v>
      </c>
      <c r="J9419" t="s">
        <v>14</v>
      </c>
      <c r="K9419" t="str">
        <f>"1F9"</f>
        <v>1F9</v>
      </c>
      <c r="L9419" t="s">
        <v>15</v>
      </c>
    </row>
    <row r="9420" spans="1:12" x14ac:dyDescent="0.25">
      <c r="A9420" t="str">
        <f>"7057205881"</f>
        <v>7057205881</v>
      </c>
      <c r="B9420" t="str">
        <f t="shared" si="413"/>
        <v>89301000</v>
      </c>
      <c r="C9420" s="1">
        <v>44212</v>
      </c>
      <c r="D9420" s="1">
        <v>44214</v>
      </c>
      <c r="E9420">
        <v>1</v>
      </c>
      <c r="F9420" t="s">
        <v>320</v>
      </c>
      <c r="G9420" t="str">
        <f>"03-I23-00"</f>
        <v>03-I23-00</v>
      </c>
      <c r="H9420">
        <v>0.47639999999999999</v>
      </c>
      <c r="I9420" t="s">
        <v>6519</v>
      </c>
      <c r="J9420" t="s">
        <v>14</v>
      </c>
      <c r="K9420" t="str">
        <f>"6F5"</f>
        <v>6F5</v>
      </c>
      <c r="L9420" t="s">
        <v>15</v>
      </c>
    </row>
    <row r="9421" spans="1:12" x14ac:dyDescent="0.25">
      <c r="A9421" t="str">
        <f>"7057234459"</f>
        <v>7057234459</v>
      </c>
      <c r="B9421" t="str">
        <f t="shared" si="413"/>
        <v>89301000</v>
      </c>
      <c r="C9421" s="1">
        <v>44510</v>
      </c>
      <c r="D9421" s="1">
        <v>44518</v>
      </c>
      <c r="E9421">
        <v>1</v>
      </c>
      <c r="F9421" t="s">
        <v>979</v>
      </c>
      <c r="G9421" t="str">
        <f>"04-K02-03"</f>
        <v>04-K02-03</v>
      </c>
      <c r="H9421">
        <v>1.2859</v>
      </c>
      <c r="I9421" t="s">
        <v>6520</v>
      </c>
      <c r="J9421" t="s">
        <v>14</v>
      </c>
      <c r="K9421" t="str">
        <f>"2F5"</f>
        <v>2F5</v>
      </c>
      <c r="L9421" t="s">
        <v>15</v>
      </c>
    </row>
    <row r="9422" spans="1:12" x14ac:dyDescent="0.25">
      <c r="A9422" t="str">
        <f>"7057295784"</f>
        <v>7057295784</v>
      </c>
      <c r="B9422" t="str">
        <f t="shared" si="413"/>
        <v>89301000</v>
      </c>
      <c r="C9422" s="1">
        <v>44454</v>
      </c>
      <c r="D9422" s="1">
        <v>44461</v>
      </c>
      <c r="E9422">
        <v>1</v>
      </c>
      <c r="F9422" t="s">
        <v>4967</v>
      </c>
      <c r="G9422" t="str">
        <f>"08-K02-03"</f>
        <v>08-K02-03</v>
      </c>
      <c r="H9422">
        <v>0.73560000000000003</v>
      </c>
      <c r="I9422" t="s">
        <v>6521</v>
      </c>
      <c r="J9422" t="s">
        <v>14</v>
      </c>
      <c r="K9422" t="str">
        <f>"1F9"</f>
        <v>1F9</v>
      </c>
      <c r="L9422" t="s">
        <v>15</v>
      </c>
    </row>
    <row r="9423" spans="1:12" x14ac:dyDescent="0.25">
      <c r="A9423" t="str">
        <f>"7057309908"</f>
        <v>7057309908</v>
      </c>
      <c r="B9423" t="str">
        <f t="shared" si="413"/>
        <v>89301000</v>
      </c>
      <c r="C9423" s="1">
        <v>44402</v>
      </c>
      <c r="D9423" s="1">
        <v>44404</v>
      </c>
      <c r="E9423">
        <v>5</v>
      </c>
      <c r="F9423" t="s">
        <v>2705</v>
      </c>
      <c r="G9423" t="str">
        <f>"01-I06-02"</f>
        <v>01-I06-02</v>
      </c>
      <c r="H9423">
        <v>3.2082999999999999</v>
      </c>
      <c r="I9423" t="s">
        <v>6522</v>
      </c>
      <c r="J9423" t="s">
        <v>17</v>
      </c>
      <c r="K9423" t="str">
        <f>"5T6"</f>
        <v>5T6</v>
      </c>
      <c r="L9423" t="s">
        <v>15</v>
      </c>
    </row>
    <row r="9424" spans="1:12" x14ac:dyDescent="0.25">
      <c r="A9424" t="str">
        <f>"7058015756"</f>
        <v>7058015756</v>
      </c>
      <c r="B9424" t="str">
        <f t="shared" si="413"/>
        <v>89301000</v>
      </c>
      <c r="C9424" s="1">
        <v>44285</v>
      </c>
      <c r="D9424" s="1">
        <v>44293</v>
      </c>
      <c r="E9424">
        <v>1</v>
      </c>
      <c r="F9424" t="s">
        <v>500</v>
      </c>
      <c r="G9424" t="str">
        <f>"06-I07-05"</f>
        <v>06-I07-05</v>
      </c>
      <c r="H9424">
        <v>2.8466999999999998</v>
      </c>
      <c r="J9424" t="s">
        <v>17</v>
      </c>
      <c r="K9424" t="str">
        <f>"5F1"</f>
        <v>5F1</v>
      </c>
      <c r="L9424" t="s">
        <v>15</v>
      </c>
    </row>
    <row r="9425" spans="1:12" x14ac:dyDescent="0.25">
      <c r="A9425" t="str">
        <f>"7058145699"</f>
        <v>7058145699</v>
      </c>
      <c r="B9425" t="str">
        <f t="shared" si="413"/>
        <v>89301000</v>
      </c>
      <c r="C9425" s="1">
        <v>44323</v>
      </c>
      <c r="D9425" s="1">
        <v>44324</v>
      </c>
      <c r="E9425">
        <v>1</v>
      </c>
      <c r="F9425" t="s">
        <v>6329</v>
      </c>
      <c r="G9425" t="str">
        <f>"13-I19-00"</f>
        <v>13-I19-00</v>
      </c>
      <c r="H9425">
        <v>0.24679999999999999</v>
      </c>
      <c r="J9425" t="s">
        <v>14</v>
      </c>
      <c r="K9425" t="str">
        <f>"6F3"</f>
        <v>6F3</v>
      </c>
      <c r="L9425" t="s">
        <v>15</v>
      </c>
    </row>
    <row r="9426" spans="1:12" x14ac:dyDescent="0.25">
      <c r="A9426" t="str">
        <f>"7058145699"</f>
        <v>7058145699</v>
      </c>
      <c r="B9426" t="str">
        <f t="shared" si="413"/>
        <v>89301000</v>
      </c>
      <c r="C9426" s="1">
        <v>44468</v>
      </c>
      <c r="D9426" s="1">
        <v>44472</v>
      </c>
      <c r="E9426">
        <v>1</v>
      </c>
      <c r="F9426" t="s">
        <v>3236</v>
      </c>
      <c r="G9426" t="str">
        <f>"13-I11-03"</f>
        <v>13-I11-03</v>
      </c>
      <c r="H9426">
        <v>1.3809</v>
      </c>
      <c r="J9426" t="s">
        <v>24</v>
      </c>
      <c r="K9426" t="str">
        <f>"6F3"</f>
        <v>6F3</v>
      </c>
      <c r="L9426" t="s">
        <v>15</v>
      </c>
    </row>
    <row r="9427" spans="1:12" x14ac:dyDescent="0.25">
      <c r="A9427" t="str">
        <f>"7058195430"</f>
        <v>7058195430</v>
      </c>
      <c r="B9427" t="str">
        <f t="shared" si="413"/>
        <v>89301000</v>
      </c>
      <c r="C9427" s="1">
        <v>44477</v>
      </c>
      <c r="D9427" s="1">
        <v>44484</v>
      </c>
      <c r="E9427">
        <v>4</v>
      </c>
      <c r="F9427" t="s">
        <v>1968</v>
      </c>
      <c r="G9427" t="str">
        <f>"08-I05-04"</f>
        <v>08-I05-04</v>
      </c>
      <c r="H9427">
        <v>2.4581</v>
      </c>
      <c r="I9427" t="s">
        <v>699</v>
      </c>
      <c r="J9427" t="s">
        <v>17</v>
      </c>
      <c r="K9427" t="str">
        <f>"6F6"</f>
        <v>6F6</v>
      </c>
      <c r="L9427" t="s">
        <v>15</v>
      </c>
    </row>
    <row r="9428" spans="1:12" x14ac:dyDescent="0.25">
      <c r="A9428" t="str">
        <f>"7058229266"</f>
        <v>7058229266</v>
      </c>
      <c r="B9428" t="str">
        <f t="shared" si="413"/>
        <v>89301000</v>
      </c>
      <c r="C9428" s="1">
        <v>44306</v>
      </c>
      <c r="D9428" s="1">
        <v>44322</v>
      </c>
      <c r="E9428">
        <v>5</v>
      </c>
      <c r="F9428" t="s">
        <v>1614</v>
      </c>
      <c r="G9428" t="str">
        <f>"08-I05-03"</f>
        <v>08-I05-03</v>
      </c>
      <c r="H9428">
        <v>2.8530000000000002</v>
      </c>
      <c r="I9428" t="s">
        <v>2717</v>
      </c>
      <c r="J9428" t="s">
        <v>17</v>
      </c>
      <c r="K9428" t="str">
        <f>"6F6"</f>
        <v>6F6</v>
      </c>
      <c r="L9428" t="s">
        <v>15</v>
      </c>
    </row>
    <row r="9429" spans="1:12" x14ac:dyDescent="0.25">
      <c r="A9429" t="str">
        <f>"7058229266"</f>
        <v>7058229266</v>
      </c>
      <c r="B9429" t="str">
        <f t="shared" si="413"/>
        <v>89301000</v>
      </c>
      <c r="C9429" s="1">
        <v>44328</v>
      </c>
      <c r="D9429" s="1">
        <v>44336</v>
      </c>
      <c r="E9429">
        <v>2</v>
      </c>
      <c r="F9429" t="s">
        <v>324</v>
      </c>
      <c r="G9429" t="str">
        <f>"06-K01-03"</f>
        <v>06-K01-03</v>
      </c>
      <c r="H9429">
        <v>0.79969999999999997</v>
      </c>
      <c r="I9429" t="s">
        <v>6523</v>
      </c>
      <c r="J9429" t="s">
        <v>14</v>
      </c>
      <c r="K9429" t="str">
        <f>"1F1"</f>
        <v>1F1</v>
      </c>
      <c r="L9429" t="s">
        <v>15</v>
      </c>
    </row>
    <row r="9430" spans="1:12" x14ac:dyDescent="0.25">
      <c r="A9430" t="str">
        <f>"7058229266"</f>
        <v>7058229266</v>
      </c>
      <c r="B9430" t="str">
        <f t="shared" si="413"/>
        <v>89301000</v>
      </c>
      <c r="C9430" s="1">
        <v>44497</v>
      </c>
      <c r="D9430" s="1">
        <v>44501</v>
      </c>
      <c r="E9430">
        <v>1</v>
      </c>
      <c r="F9430" t="s">
        <v>217</v>
      </c>
      <c r="G9430" t="str">
        <f>"04-K02-04"</f>
        <v>04-K02-04</v>
      </c>
      <c r="H9430">
        <v>0.82469999999999999</v>
      </c>
      <c r="I9430" t="s">
        <v>274</v>
      </c>
      <c r="J9430" t="s">
        <v>14</v>
      </c>
      <c r="K9430" t="str">
        <f>"1F1"</f>
        <v>1F1</v>
      </c>
      <c r="L9430" t="s">
        <v>15</v>
      </c>
    </row>
    <row r="9431" spans="1:12" x14ac:dyDescent="0.25">
      <c r="A9431" t="str">
        <f>"7058295244"</f>
        <v>7058295244</v>
      </c>
      <c r="B9431" t="str">
        <f t="shared" si="413"/>
        <v>89301000</v>
      </c>
      <c r="C9431" s="1">
        <v>44399</v>
      </c>
      <c r="D9431" s="1">
        <v>44401</v>
      </c>
      <c r="E9431">
        <v>1</v>
      </c>
      <c r="F9431" t="s">
        <v>589</v>
      </c>
      <c r="G9431" t="str">
        <f>"07-M02-04"</f>
        <v>07-M02-04</v>
      </c>
      <c r="H9431">
        <v>0.73929999999999996</v>
      </c>
      <c r="I9431" t="s">
        <v>6524</v>
      </c>
      <c r="J9431" t="s">
        <v>17</v>
      </c>
      <c r="K9431" t="str">
        <f>"1F5"</f>
        <v>1F5</v>
      </c>
      <c r="L9431" t="s">
        <v>15</v>
      </c>
    </row>
    <row r="9432" spans="1:12" x14ac:dyDescent="0.25">
      <c r="A9432" t="str">
        <f>"7058295244"</f>
        <v>7058295244</v>
      </c>
      <c r="B9432" t="str">
        <f t="shared" si="413"/>
        <v>89301000</v>
      </c>
      <c r="C9432" s="1">
        <v>44369</v>
      </c>
      <c r="D9432" s="1">
        <v>44377</v>
      </c>
      <c r="E9432">
        <v>1</v>
      </c>
      <c r="F9432" t="s">
        <v>333</v>
      </c>
      <c r="G9432" t="str">
        <f>"07-M02-04"</f>
        <v>07-M02-04</v>
      </c>
      <c r="H9432">
        <v>1.0348999999999999</v>
      </c>
      <c r="I9432" t="s">
        <v>6525</v>
      </c>
      <c r="J9432" t="s">
        <v>17</v>
      </c>
      <c r="K9432" t="str">
        <f>"1F5"</f>
        <v>1F5</v>
      </c>
      <c r="L9432" t="s">
        <v>15</v>
      </c>
    </row>
    <row r="9433" spans="1:12" x14ac:dyDescent="0.25">
      <c r="A9433" t="str">
        <f>"7058315770"</f>
        <v>7058315770</v>
      </c>
      <c r="B9433" t="str">
        <f t="shared" si="413"/>
        <v>89301000</v>
      </c>
      <c r="C9433" s="1">
        <v>44489</v>
      </c>
      <c r="D9433" s="1">
        <v>44491</v>
      </c>
      <c r="E9433">
        <v>1</v>
      </c>
      <c r="F9433" t="s">
        <v>1579</v>
      </c>
      <c r="G9433" t="str">
        <f>"05-I25-03"</f>
        <v>05-I25-03</v>
      </c>
      <c r="H9433">
        <v>1.5508</v>
      </c>
      <c r="I9433" t="s">
        <v>475</v>
      </c>
      <c r="J9433" t="s">
        <v>17</v>
      </c>
      <c r="K9433" t="str">
        <f>"1F7"</f>
        <v>1F7</v>
      </c>
      <c r="L9433" t="s">
        <v>15</v>
      </c>
    </row>
    <row r="9434" spans="1:12" x14ac:dyDescent="0.25">
      <c r="A9434" t="str">
        <f>"7059075309"</f>
        <v>7059075309</v>
      </c>
      <c r="B9434" t="str">
        <f t="shared" si="413"/>
        <v>89301000</v>
      </c>
      <c r="C9434" s="1">
        <v>44495</v>
      </c>
      <c r="D9434" s="1">
        <v>44498</v>
      </c>
      <c r="E9434">
        <v>1</v>
      </c>
      <c r="F9434" t="s">
        <v>4541</v>
      </c>
      <c r="G9434" t="str">
        <f>"03-K04-01"</f>
        <v>03-K04-01</v>
      </c>
      <c r="H9434">
        <v>0.46660000000000001</v>
      </c>
      <c r="J9434" t="s">
        <v>14</v>
      </c>
      <c r="K9434" t="str">
        <f>"7F1"</f>
        <v>7F1</v>
      </c>
      <c r="L9434" t="s">
        <v>15</v>
      </c>
    </row>
    <row r="9435" spans="1:12" x14ac:dyDescent="0.25">
      <c r="A9435" t="str">
        <f>"7059104668"</f>
        <v>7059104668</v>
      </c>
      <c r="B9435" t="str">
        <f t="shared" si="413"/>
        <v>89301000</v>
      </c>
      <c r="C9435" s="1">
        <v>44370</v>
      </c>
      <c r="D9435" s="1">
        <v>44375</v>
      </c>
      <c r="E9435">
        <v>1</v>
      </c>
      <c r="F9435" t="s">
        <v>4545</v>
      </c>
      <c r="G9435" t="str">
        <f>"13-I13-02"</f>
        <v>13-I13-02</v>
      </c>
      <c r="H9435">
        <v>0.98650000000000004</v>
      </c>
      <c r="J9435" t="s">
        <v>17</v>
      </c>
      <c r="K9435" t="str">
        <f>"6F3"</f>
        <v>6F3</v>
      </c>
      <c r="L9435" t="s">
        <v>15</v>
      </c>
    </row>
    <row r="9436" spans="1:12" x14ac:dyDescent="0.25">
      <c r="A9436" t="str">
        <f>"7059104668"</f>
        <v>7059104668</v>
      </c>
      <c r="B9436" t="str">
        <f t="shared" si="413"/>
        <v>89301000</v>
      </c>
      <c r="C9436" s="1">
        <v>44243</v>
      </c>
      <c r="D9436" s="1">
        <v>44251</v>
      </c>
      <c r="E9436">
        <v>1</v>
      </c>
      <c r="F9436" t="s">
        <v>2527</v>
      </c>
      <c r="G9436" t="str">
        <f>"13-I14-03"</f>
        <v>13-I14-03</v>
      </c>
      <c r="H9436">
        <v>1.1241000000000001</v>
      </c>
      <c r="J9436" t="s">
        <v>24</v>
      </c>
      <c r="K9436" t="str">
        <f>"6F3"</f>
        <v>6F3</v>
      </c>
      <c r="L9436" t="s">
        <v>15</v>
      </c>
    </row>
    <row r="9437" spans="1:12" x14ac:dyDescent="0.25">
      <c r="A9437" t="str">
        <f>"7059105328"</f>
        <v>7059105328</v>
      </c>
      <c r="B9437" t="str">
        <f t="shared" si="413"/>
        <v>89301000</v>
      </c>
      <c r="C9437" s="1">
        <v>44305</v>
      </c>
      <c r="D9437" s="1">
        <v>44309</v>
      </c>
      <c r="E9437">
        <v>1</v>
      </c>
      <c r="F9437" t="s">
        <v>6439</v>
      </c>
      <c r="G9437" t="str">
        <f>"23-I07-00"</f>
        <v>23-I07-00</v>
      </c>
      <c r="H9437">
        <v>1.3815999999999999</v>
      </c>
      <c r="J9437" t="s">
        <v>24</v>
      </c>
      <c r="K9437" t="str">
        <f>"6F3"</f>
        <v>6F3</v>
      </c>
      <c r="L9437" t="s">
        <v>15</v>
      </c>
    </row>
    <row r="9438" spans="1:12" x14ac:dyDescent="0.25">
      <c r="A9438" t="str">
        <f>"7059205307"</f>
        <v>7059205307</v>
      </c>
      <c r="B9438" t="str">
        <f t="shared" si="413"/>
        <v>89301000</v>
      </c>
      <c r="C9438" s="1">
        <v>44427</v>
      </c>
      <c r="D9438" s="1">
        <v>44430</v>
      </c>
      <c r="E9438">
        <v>1</v>
      </c>
      <c r="F9438" t="s">
        <v>2407</v>
      </c>
      <c r="G9438" t="str">
        <f>"08-I22-02"</f>
        <v>08-I22-02</v>
      </c>
      <c r="H9438">
        <v>1.1049</v>
      </c>
      <c r="J9438" t="s">
        <v>17</v>
      </c>
      <c r="K9438" t="str">
        <f>"6F6"</f>
        <v>6F6</v>
      </c>
      <c r="L9438" t="s">
        <v>15</v>
      </c>
    </row>
    <row r="9439" spans="1:12" x14ac:dyDescent="0.25">
      <c r="A9439" t="str">
        <f>"7059209949"</f>
        <v>7059209949</v>
      </c>
      <c r="B9439" t="str">
        <f t="shared" si="413"/>
        <v>89301000</v>
      </c>
      <c r="C9439" s="1">
        <v>44486</v>
      </c>
      <c r="D9439" s="1">
        <v>44498</v>
      </c>
      <c r="E9439">
        <v>6</v>
      </c>
      <c r="F9439" t="s">
        <v>1574</v>
      </c>
      <c r="G9439" t="str">
        <f>"05-I24-01"</f>
        <v>05-I24-01</v>
      </c>
      <c r="H9439">
        <v>5.1612999999999998</v>
      </c>
      <c r="I9439" t="s">
        <v>6526</v>
      </c>
      <c r="J9439" t="s">
        <v>14</v>
      </c>
      <c r="K9439" t="str">
        <f>"5T1"</f>
        <v>5T1</v>
      </c>
      <c r="L9439" t="s">
        <v>15</v>
      </c>
    </row>
    <row r="9440" spans="1:12" x14ac:dyDescent="0.25">
      <c r="A9440" t="str">
        <f>"7059209949"</f>
        <v>7059209949</v>
      </c>
      <c r="B9440" t="str">
        <f t="shared" si="413"/>
        <v>89301000</v>
      </c>
      <c r="C9440" s="1">
        <v>44465</v>
      </c>
      <c r="D9440" s="1">
        <v>44469</v>
      </c>
      <c r="E9440">
        <v>1</v>
      </c>
      <c r="F9440" t="s">
        <v>6527</v>
      </c>
      <c r="G9440" t="str">
        <f>"10-I13-04"</f>
        <v>10-I13-04</v>
      </c>
      <c r="H9440">
        <v>0.66120000000000001</v>
      </c>
      <c r="I9440" t="s">
        <v>6528</v>
      </c>
      <c r="J9440" t="s">
        <v>24</v>
      </c>
      <c r="K9440" t="str">
        <f>"5F1"</f>
        <v>5F1</v>
      </c>
      <c r="L9440" t="s">
        <v>15</v>
      </c>
    </row>
    <row r="9441" spans="1:12" x14ac:dyDescent="0.25">
      <c r="A9441" t="str">
        <f>"7059275773"</f>
        <v>7059275773</v>
      </c>
      <c r="B9441" t="str">
        <f t="shared" si="413"/>
        <v>89301000</v>
      </c>
      <c r="C9441" s="1">
        <v>44270</v>
      </c>
      <c r="D9441" s="1">
        <v>44278</v>
      </c>
      <c r="E9441">
        <v>1</v>
      </c>
      <c r="F9441" t="s">
        <v>38</v>
      </c>
      <c r="G9441" t="str">
        <f>"05-I16-04"</f>
        <v>05-I16-04</v>
      </c>
      <c r="H9441">
        <v>6.1497999999999999</v>
      </c>
      <c r="J9441" t="s">
        <v>17</v>
      </c>
      <c r="K9441" t="str">
        <f>"5F5"</f>
        <v>5F5</v>
      </c>
      <c r="L9441" t="s">
        <v>15</v>
      </c>
    </row>
    <row r="9442" spans="1:12" x14ac:dyDescent="0.25">
      <c r="A9442" t="str">
        <f>"7059275773"</f>
        <v>7059275773</v>
      </c>
      <c r="B9442" t="str">
        <f t="shared" si="413"/>
        <v>89301000</v>
      </c>
      <c r="C9442" s="1">
        <v>44284</v>
      </c>
      <c r="D9442" s="1">
        <v>44290</v>
      </c>
      <c r="E9442">
        <v>1</v>
      </c>
      <c r="F9442" t="s">
        <v>1008</v>
      </c>
      <c r="G9442" t="str">
        <f>"18-K01-05"</f>
        <v>18-K01-05</v>
      </c>
      <c r="H9442">
        <v>1.6713</v>
      </c>
      <c r="I9442" t="s">
        <v>6529</v>
      </c>
      <c r="J9442" t="s">
        <v>14</v>
      </c>
      <c r="K9442" t="str">
        <f>"1F1"</f>
        <v>1F1</v>
      </c>
      <c r="L9442" t="s">
        <v>15</v>
      </c>
    </row>
    <row r="9443" spans="1:12" x14ac:dyDescent="0.25">
      <c r="A9443" t="str">
        <f>"7059294847"</f>
        <v>7059294847</v>
      </c>
      <c r="B9443" t="str">
        <f t="shared" si="413"/>
        <v>89301000</v>
      </c>
      <c r="C9443" s="1">
        <v>44262</v>
      </c>
      <c r="D9443" s="1">
        <v>44269</v>
      </c>
      <c r="E9443">
        <v>1</v>
      </c>
      <c r="F9443" t="s">
        <v>217</v>
      </c>
      <c r="G9443" t="str">
        <f>"04-K02-04"</f>
        <v>04-K02-04</v>
      </c>
      <c r="H9443">
        <v>0.82469999999999999</v>
      </c>
      <c r="I9443" t="s">
        <v>274</v>
      </c>
      <c r="J9443" t="s">
        <v>14</v>
      </c>
      <c r="K9443" t="str">
        <f>"1F1"</f>
        <v>1F1</v>
      </c>
      <c r="L9443" t="s">
        <v>15</v>
      </c>
    </row>
    <row r="9444" spans="1:12" x14ac:dyDescent="0.25">
      <c r="A9444" t="str">
        <f>"7060015864"</f>
        <v>7060015864</v>
      </c>
      <c r="B9444" t="str">
        <f t="shared" si="413"/>
        <v>89301000</v>
      </c>
      <c r="C9444" s="1">
        <v>44498</v>
      </c>
      <c r="D9444" s="1">
        <v>44501</v>
      </c>
      <c r="E9444">
        <v>1</v>
      </c>
      <c r="F9444" t="s">
        <v>132</v>
      </c>
      <c r="G9444" t="str">
        <f>"03-K03-02"</f>
        <v>03-K03-02</v>
      </c>
      <c r="H9444">
        <v>0.49249999999999999</v>
      </c>
      <c r="I9444" t="s">
        <v>875</v>
      </c>
      <c r="J9444" t="s">
        <v>14</v>
      </c>
      <c r="K9444" t="str">
        <f>"6F5"</f>
        <v>6F5</v>
      </c>
      <c r="L9444" t="s">
        <v>15</v>
      </c>
    </row>
    <row r="9445" spans="1:12" x14ac:dyDescent="0.25">
      <c r="A9445" t="str">
        <f>"7060031352"</f>
        <v>7060031352</v>
      </c>
      <c r="B9445" t="str">
        <f t="shared" si="413"/>
        <v>89301000</v>
      </c>
      <c r="C9445" s="1">
        <v>44308</v>
      </c>
      <c r="D9445" s="1">
        <v>44327</v>
      </c>
      <c r="E9445">
        <v>1</v>
      </c>
      <c r="F9445" t="s">
        <v>130</v>
      </c>
      <c r="G9445" t="str">
        <f>"19-K05-02"</f>
        <v>19-K05-02</v>
      </c>
      <c r="H9445">
        <v>1.8835999999999999</v>
      </c>
      <c r="I9445" t="s">
        <v>6530</v>
      </c>
      <c r="J9445" t="s">
        <v>27</v>
      </c>
      <c r="K9445" t="str">
        <f>"3F5"</f>
        <v>3F5</v>
      </c>
      <c r="L9445" t="s">
        <v>15</v>
      </c>
    </row>
    <row r="9446" spans="1:12" x14ac:dyDescent="0.25">
      <c r="A9446" t="str">
        <f>"7060074483"</f>
        <v>7060074483</v>
      </c>
      <c r="B9446" t="str">
        <f t="shared" si="413"/>
        <v>89301000</v>
      </c>
      <c r="C9446" s="1">
        <v>44475</v>
      </c>
      <c r="D9446" s="1">
        <v>44477</v>
      </c>
      <c r="E9446">
        <v>1</v>
      </c>
      <c r="F9446" t="s">
        <v>173</v>
      </c>
      <c r="G9446" t="str">
        <f>"08-I32-02"</f>
        <v>08-I32-02</v>
      </c>
      <c r="H9446">
        <v>0.4143</v>
      </c>
      <c r="J9446" t="s">
        <v>14</v>
      </c>
      <c r="K9446" t="str">
        <f>"5F3"</f>
        <v>5F3</v>
      </c>
      <c r="L9446" t="s">
        <v>15</v>
      </c>
    </row>
    <row r="9447" spans="1:12" x14ac:dyDescent="0.25">
      <c r="A9447" t="str">
        <f>"7060074483"</f>
        <v>7060074483</v>
      </c>
      <c r="B9447" t="str">
        <f t="shared" si="413"/>
        <v>89301000</v>
      </c>
      <c r="C9447" s="1">
        <v>44512</v>
      </c>
      <c r="D9447" s="1">
        <v>44517</v>
      </c>
      <c r="E9447">
        <v>1</v>
      </c>
      <c r="F9447" t="s">
        <v>575</v>
      </c>
      <c r="G9447" t="str">
        <f>"18-K02-03"</f>
        <v>18-K02-03</v>
      </c>
      <c r="H9447">
        <v>0.87570000000000003</v>
      </c>
      <c r="I9447" t="s">
        <v>6531</v>
      </c>
      <c r="J9447" t="s">
        <v>14</v>
      </c>
      <c r="K9447" t="str">
        <f>"5F3"</f>
        <v>5F3</v>
      </c>
      <c r="L9447" t="s">
        <v>15</v>
      </c>
    </row>
    <row r="9448" spans="1:12" x14ac:dyDescent="0.25">
      <c r="A9448" t="str">
        <f>"7060185352"</f>
        <v>7060185352</v>
      </c>
      <c r="B9448" t="str">
        <f t="shared" si="413"/>
        <v>89301000</v>
      </c>
      <c r="C9448" s="1">
        <v>44325</v>
      </c>
      <c r="D9448" s="1">
        <v>44328</v>
      </c>
      <c r="E9448">
        <v>1</v>
      </c>
      <c r="F9448" t="s">
        <v>266</v>
      </c>
      <c r="G9448" t="str">
        <f>"13-I14-03"</f>
        <v>13-I14-03</v>
      </c>
      <c r="H9448">
        <v>0.83199999999999996</v>
      </c>
      <c r="J9448" t="s">
        <v>24</v>
      </c>
      <c r="K9448" t="str">
        <f>"6F3"</f>
        <v>6F3</v>
      </c>
      <c r="L9448" t="s">
        <v>15</v>
      </c>
    </row>
    <row r="9449" spans="1:12" x14ac:dyDescent="0.25">
      <c r="A9449" t="str">
        <f>"7060275684"</f>
        <v>7060275684</v>
      </c>
      <c r="B9449" t="str">
        <f t="shared" si="413"/>
        <v>89301000</v>
      </c>
      <c r="C9449" s="1">
        <v>44255</v>
      </c>
      <c r="D9449" s="1">
        <v>44257</v>
      </c>
      <c r="E9449">
        <v>1</v>
      </c>
      <c r="F9449" t="s">
        <v>3517</v>
      </c>
      <c r="G9449" t="str">
        <f>"08-M03-05"</f>
        <v>08-M03-05</v>
      </c>
      <c r="H9449">
        <v>0.51759999999999995</v>
      </c>
      <c r="I9449" t="s">
        <v>6532</v>
      </c>
      <c r="J9449" t="s">
        <v>14</v>
      </c>
      <c r="K9449" t="str">
        <f>"6F6"</f>
        <v>6F6</v>
      </c>
      <c r="L9449" t="s">
        <v>15</v>
      </c>
    </row>
    <row r="9450" spans="1:12" x14ac:dyDescent="0.25">
      <c r="A9450" t="str">
        <f>"7061025323"</f>
        <v>7061025323</v>
      </c>
      <c r="B9450" t="str">
        <f t="shared" si="413"/>
        <v>89301000</v>
      </c>
      <c r="C9450" s="1">
        <v>44444</v>
      </c>
      <c r="D9450" s="1">
        <v>44447</v>
      </c>
      <c r="E9450">
        <v>1</v>
      </c>
      <c r="F9450" t="s">
        <v>251</v>
      </c>
      <c r="G9450" t="str">
        <f>"08-M03-05"</f>
        <v>08-M03-05</v>
      </c>
      <c r="H9450">
        <v>0.51759999999999995</v>
      </c>
      <c r="J9450" t="s">
        <v>14</v>
      </c>
      <c r="K9450" t="str">
        <f>"6F6"</f>
        <v>6F6</v>
      </c>
      <c r="L9450" t="s">
        <v>15</v>
      </c>
    </row>
    <row r="9451" spans="1:12" x14ac:dyDescent="0.25">
      <c r="A9451" t="str">
        <f>"7061044870"</f>
        <v>7061044870</v>
      </c>
      <c r="B9451" t="str">
        <f t="shared" si="413"/>
        <v>89301000</v>
      </c>
      <c r="C9451" s="1">
        <v>44203</v>
      </c>
      <c r="D9451" s="1">
        <v>44206</v>
      </c>
      <c r="E9451">
        <v>1</v>
      </c>
      <c r="F9451" t="s">
        <v>16</v>
      </c>
      <c r="G9451" t="str">
        <f>"08-I04-03"</f>
        <v>08-I04-03</v>
      </c>
      <c r="H9451">
        <v>1.331</v>
      </c>
      <c r="I9451" t="s">
        <v>6101</v>
      </c>
      <c r="J9451" t="s">
        <v>17</v>
      </c>
      <c r="K9451" t="str">
        <f>"5F6"</f>
        <v>5F6</v>
      </c>
      <c r="L9451" t="s">
        <v>15</v>
      </c>
    </row>
    <row r="9452" spans="1:12" x14ac:dyDescent="0.25">
      <c r="A9452" t="str">
        <f>"7061094458"</f>
        <v>7061094458</v>
      </c>
      <c r="B9452" t="str">
        <f t="shared" ref="B9452:B9514" si="416">"89301000"</f>
        <v>89301000</v>
      </c>
      <c r="C9452" s="1">
        <v>44501</v>
      </c>
      <c r="D9452" s="1">
        <v>44504</v>
      </c>
      <c r="E9452">
        <v>1</v>
      </c>
      <c r="F9452" t="s">
        <v>1551</v>
      </c>
      <c r="G9452" t="str">
        <f>"09-I06-04"</f>
        <v>09-I06-04</v>
      </c>
      <c r="H9452">
        <v>0.98829999999999996</v>
      </c>
      <c r="J9452" t="s">
        <v>17</v>
      </c>
      <c r="K9452" t="str">
        <f>"5F1"</f>
        <v>5F1</v>
      </c>
      <c r="L9452" t="s">
        <v>15</v>
      </c>
    </row>
    <row r="9453" spans="1:12" x14ac:dyDescent="0.25">
      <c r="A9453" t="str">
        <f>"7061225721"</f>
        <v>7061225721</v>
      </c>
      <c r="B9453" t="str">
        <f t="shared" si="416"/>
        <v>89301000</v>
      </c>
      <c r="C9453" s="1">
        <v>44392</v>
      </c>
      <c r="D9453" s="1">
        <v>44394</v>
      </c>
      <c r="E9453">
        <v>1</v>
      </c>
      <c r="F9453" t="s">
        <v>6329</v>
      </c>
      <c r="G9453" t="str">
        <f>"13-I19-00"</f>
        <v>13-I19-00</v>
      </c>
      <c r="H9453">
        <v>0.24679999999999999</v>
      </c>
      <c r="J9453" t="s">
        <v>14</v>
      </c>
      <c r="K9453" t="str">
        <f>"6F3"</f>
        <v>6F3</v>
      </c>
      <c r="L9453" t="s">
        <v>15</v>
      </c>
    </row>
    <row r="9454" spans="1:12" x14ac:dyDescent="0.25">
      <c r="A9454" t="str">
        <f>"7061265343"</f>
        <v>7061265343</v>
      </c>
      <c r="B9454" t="str">
        <f t="shared" si="416"/>
        <v>89301000</v>
      </c>
      <c r="C9454" s="1">
        <v>44480</v>
      </c>
      <c r="D9454" s="1">
        <v>44485</v>
      </c>
      <c r="E9454">
        <v>1</v>
      </c>
      <c r="F9454" t="s">
        <v>43</v>
      </c>
      <c r="G9454" t="str">
        <f>"06-I18-05"</f>
        <v>06-I18-05</v>
      </c>
      <c r="H9454">
        <v>0.98509999999999998</v>
      </c>
      <c r="J9454" t="s">
        <v>24</v>
      </c>
      <c r="K9454" t="str">
        <f>"5F1"</f>
        <v>5F1</v>
      </c>
      <c r="L9454" t="s">
        <v>15</v>
      </c>
    </row>
    <row r="9455" spans="1:12" x14ac:dyDescent="0.25">
      <c r="A9455" t="str">
        <f>"7062115313"</f>
        <v>7062115313</v>
      </c>
      <c r="B9455" t="str">
        <f t="shared" si="416"/>
        <v>89301000</v>
      </c>
      <c r="C9455" s="1">
        <v>44536</v>
      </c>
      <c r="D9455" s="1">
        <v>44540</v>
      </c>
      <c r="E9455">
        <v>4</v>
      </c>
      <c r="F9455" t="s">
        <v>1878</v>
      </c>
      <c r="G9455" t="str">
        <f>"10-K12-02"</f>
        <v>10-K12-02</v>
      </c>
      <c r="H9455">
        <v>0.94830000000000003</v>
      </c>
      <c r="I9455" t="s">
        <v>6533</v>
      </c>
      <c r="J9455" t="s">
        <v>14</v>
      </c>
      <c r="K9455" t="str">
        <f>"1F1"</f>
        <v>1F1</v>
      </c>
      <c r="L9455" t="s">
        <v>15</v>
      </c>
    </row>
    <row r="9456" spans="1:12" x14ac:dyDescent="0.25">
      <c r="A9456" t="str">
        <f>"7062155694"</f>
        <v>7062155694</v>
      </c>
      <c r="B9456" t="str">
        <f t="shared" si="416"/>
        <v>89301000</v>
      </c>
      <c r="C9456" s="1">
        <v>44370</v>
      </c>
      <c r="D9456" s="1">
        <v>44377</v>
      </c>
      <c r="E9456">
        <v>1</v>
      </c>
      <c r="F9456" t="s">
        <v>2574</v>
      </c>
      <c r="G9456" t="str">
        <f>"01-I03-01"</f>
        <v>01-I03-01</v>
      </c>
      <c r="H9456">
        <v>8.6672999999999991</v>
      </c>
      <c r="J9456" t="s">
        <v>24</v>
      </c>
      <c r="K9456" t="str">
        <f>"5F6"</f>
        <v>5F6</v>
      </c>
      <c r="L9456" t="s">
        <v>15</v>
      </c>
    </row>
    <row r="9457" spans="1:12" x14ac:dyDescent="0.25">
      <c r="A9457" t="str">
        <f>"7062155694"</f>
        <v>7062155694</v>
      </c>
      <c r="B9457" t="str">
        <f t="shared" si="416"/>
        <v>89301000</v>
      </c>
      <c r="C9457" s="1">
        <v>44501</v>
      </c>
      <c r="D9457" s="1">
        <v>44504</v>
      </c>
      <c r="E9457">
        <v>1</v>
      </c>
      <c r="F9457" t="s">
        <v>4100</v>
      </c>
      <c r="G9457" t="str">
        <f>"09-K02-00"</f>
        <v>09-K02-00</v>
      </c>
      <c r="H9457">
        <v>1.1361000000000001</v>
      </c>
      <c r="J9457" t="s">
        <v>14</v>
      </c>
      <c r="K9457" t="str">
        <f>"4F4"</f>
        <v>4F4</v>
      </c>
      <c r="L9457" t="s">
        <v>15</v>
      </c>
    </row>
    <row r="9458" spans="1:12" x14ac:dyDescent="0.25">
      <c r="A9458" t="str">
        <f>"7062305316"</f>
        <v>7062305316</v>
      </c>
      <c r="B9458" t="str">
        <f t="shared" si="416"/>
        <v>89301000</v>
      </c>
      <c r="C9458" s="1">
        <v>44243</v>
      </c>
      <c r="D9458" s="1">
        <v>44245</v>
      </c>
      <c r="E9458">
        <v>1</v>
      </c>
      <c r="F9458" t="s">
        <v>309</v>
      </c>
      <c r="G9458" t="str">
        <f>"08-M03-05"</f>
        <v>08-M03-05</v>
      </c>
      <c r="H9458">
        <v>0.51759999999999995</v>
      </c>
      <c r="I9458" t="s">
        <v>6534</v>
      </c>
      <c r="J9458" t="s">
        <v>14</v>
      </c>
      <c r="K9458" t="str">
        <f>"6F6"</f>
        <v>6F6</v>
      </c>
      <c r="L9458" t="s">
        <v>15</v>
      </c>
    </row>
    <row r="9459" spans="1:12" x14ac:dyDescent="0.25">
      <c r="A9459" t="str">
        <f>"7062305316"</f>
        <v>7062305316</v>
      </c>
      <c r="B9459" t="str">
        <f t="shared" si="416"/>
        <v>89301000</v>
      </c>
      <c r="C9459" s="1">
        <v>44448</v>
      </c>
      <c r="D9459" s="1">
        <v>44450</v>
      </c>
      <c r="E9459">
        <v>1</v>
      </c>
      <c r="F9459" t="s">
        <v>2634</v>
      </c>
      <c r="G9459" t="str">
        <f>"01-K18-04"</f>
        <v>01-K18-04</v>
      </c>
      <c r="H9459">
        <v>0.49890000000000001</v>
      </c>
      <c r="I9459" t="s">
        <v>937</v>
      </c>
      <c r="J9459" t="s">
        <v>14</v>
      </c>
      <c r="K9459" t="str">
        <f>"2F9"</f>
        <v>2F9</v>
      </c>
      <c r="L9459" t="s">
        <v>15</v>
      </c>
    </row>
    <row r="9460" spans="1:12" x14ac:dyDescent="0.25">
      <c r="A9460" t="str">
        <f>"7101055324"</f>
        <v>7101055324</v>
      </c>
      <c r="B9460" t="str">
        <f t="shared" si="416"/>
        <v>89301000</v>
      </c>
      <c r="C9460" s="1">
        <v>44260</v>
      </c>
      <c r="D9460" s="1">
        <v>44263</v>
      </c>
      <c r="E9460">
        <v>2</v>
      </c>
      <c r="F9460" t="s">
        <v>392</v>
      </c>
      <c r="G9460" t="str">
        <f>"08-I04-03"</f>
        <v>08-I04-03</v>
      </c>
      <c r="H9460">
        <v>1.331</v>
      </c>
      <c r="I9460" t="s">
        <v>6535</v>
      </c>
      <c r="J9460" t="s">
        <v>17</v>
      </c>
      <c r="K9460" t="str">
        <f>"5F6"</f>
        <v>5F6</v>
      </c>
      <c r="L9460" t="s">
        <v>15</v>
      </c>
    </row>
    <row r="9461" spans="1:12" x14ac:dyDescent="0.25">
      <c r="A9461" t="str">
        <f>"7101144490"</f>
        <v>7101144490</v>
      </c>
      <c r="B9461" t="str">
        <f t="shared" si="416"/>
        <v>89301000</v>
      </c>
      <c r="C9461" s="1">
        <v>44403</v>
      </c>
      <c r="D9461" s="1">
        <v>44413</v>
      </c>
      <c r="E9461">
        <v>1</v>
      </c>
      <c r="F9461" t="s">
        <v>2023</v>
      </c>
      <c r="G9461" t="str">
        <f>"08-I03-07"</f>
        <v>08-I03-07</v>
      </c>
      <c r="H9461">
        <v>3.0385</v>
      </c>
      <c r="I9461" t="s">
        <v>381</v>
      </c>
      <c r="J9461" t="s">
        <v>17</v>
      </c>
      <c r="K9461" t="str">
        <f>"5F6"</f>
        <v>5F6</v>
      </c>
      <c r="L9461" t="s">
        <v>15</v>
      </c>
    </row>
    <row r="9462" spans="1:12" x14ac:dyDescent="0.25">
      <c r="A9462" t="str">
        <f>"7101154478"</f>
        <v>7101154478</v>
      </c>
      <c r="B9462" t="str">
        <f t="shared" si="416"/>
        <v>89301000</v>
      </c>
      <c r="C9462" s="1">
        <v>44473</v>
      </c>
      <c r="D9462" s="1">
        <v>44475</v>
      </c>
      <c r="E9462">
        <v>1</v>
      </c>
      <c r="F9462" t="s">
        <v>3083</v>
      </c>
      <c r="G9462" t="str">
        <f>"04-K10-02"</f>
        <v>04-K10-02</v>
      </c>
      <c r="H9462">
        <v>0.38879999999999998</v>
      </c>
      <c r="I9462" t="s">
        <v>6536</v>
      </c>
      <c r="J9462" t="s">
        <v>14</v>
      </c>
      <c r="K9462" t="str">
        <f>"2F5"</f>
        <v>2F5</v>
      </c>
      <c r="L9462" t="s">
        <v>15</v>
      </c>
    </row>
    <row r="9463" spans="1:12" x14ac:dyDescent="0.25">
      <c r="A9463" t="str">
        <f>"7101154478"</f>
        <v>7101154478</v>
      </c>
      <c r="B9463" t="str">
        <f t="shared" si="416"/>
        <v>89301000</v>
      </c>
      <c r="C9463" s="1">
        <v>44518</v>
      </c>
      <c r="D9463" s="1">
        <v>44524</v>
      </c>
      <c r="E9463">
        <v>1</v>
      </c>
      <c r="F9463" t="s">
        <v>3083</v>
      </c>
      <c r="G9463" t="str">
        <f>"04-I09-02"</f>
        <v>04-I09-02</v>
      </c>
      <c r="H9463">
        <v>0.81499999999999995</v>
      </c>
      <c r="J9463" t="s">
        <v>14</v>
      </c>
      <c r="K9463" t="str">
        <f>"5F1"</f>
        <v>5F1</v>
      </c>
      <c r="L9463" t="s">
        <v>15</v>
      </c>
    </row>
    <row r="9464" spans="1:12" x14ac:dyDescent="0.25">
      <c r="A9464" t="str">
        <f>"7101165302"</f>
        <v>7101165302</v>
      </c>
      <c r="B9464" t="str">
        <f t="shared" si="416"/>
        <v>89301000</v>
      </c>
      <c r="C9464" s="1">
        <v>44537</v>
      </c>
      <c r="D9464" s="1">
        <v>44544</v>
      </c>
      <c r="E9464">
        <v>1</v>
      </c>
      <c r="F9464" t="s">
        <v>1699</v>
      </c>
      <c r="G9464" t="str">
        <f>"01-K10-03"</f>
        <v>01-K10-03</v>
      </c>
      <c r="H9464">
        <v>1.0016</v>
      </c>
      <c r="I9464" t="s">
        <v>2036</v>
      </c>
      <c r="J9464" t="s">
        <v>14</v>
      </c>
      <c r="K9464" t="str">
        <f>"2F9"</f>
        <v>2F9</v>
      </c>
      <c r="L9464" t="s">
        <v>15</v>
      </c>
    </row>
    <row r="9465" spans="1:12" x14ac:dyDescent="0.25">
      <c r="A9465" t="str">
        <f>"7101244458"</f>
        <v>7101244458</v>
      </c>
      <c r="B9465" t="str">
        <f t="shared" si="416"/>
        <v>89301000</v>
      </c>
      <c r="C9465" s="1">
        <v>44260</v>
      </c>
      <c r="D9465" s="1">
        <v>44261</v>
      </c>
      <c r="E9465">
        <v>1</v>
      </c>
      <c r="F9465" t="s">
        <v>1606</v>
      </c>
      <c r="G9465" t="str">
        <f>"05-M03-00"</f>
        <v>05-M03-00</v>
      </c>
      <c r="H9465">
        <v>3.3506999999999998</v>
      </c>
      <c r="J9465" t="s">
        <v>24</v>
      </c>
      <c r="K9465" t="str">
        <f>"1F1"</f>
        <v>1F1</v>
      </c>
      <c r="L9465" t="s">
        <v>15</v>
      </c>
    </row>
    <row r="9466" spans="1:12" x14ac:dyDescent="0.25">
      <c r="A9466" t="str">
        <f>"7102055884"</f>
        <v>7102055884</v>
      </c>
      <c r="B9466" t="str">
        <f t="shared" si="416"/>
        <v>89301000</v>
      </c>
      <c r="C9466" s="1">
        <v>44206</v>
      </c>
      <c r="D9466" s="1">
        <v>44208</v>
      </c>
      <c r="E9466">
        <v>1</v>
      </c>
      <c r="F9466" t="s">
        <v>175</v>
      </c>
      <c r="G9466" t="str">
        <f>"05-K13-02"</f>
        <v>05-K13-02</v>
      </c>
      <c r="H9466">
        <v>0.60950000000000004</v>
      </c>
      <c r="I9466" t="s">
        <v>6537</v>
      </c>
      <c r="J9466" t="s">
        <v>14</v>
      </c>
      <c r="K9466" t="str">
        <f>"1F1"</f>
        <v>1F1</v>
      </c>
      <c r="L9466" t="s">
        <v>15</v>
      </c>
    </row>
    <row r="9467" spans="1:12" x14ac:dyDescent="0.25">
      <c r="A9467" t="str">
        <f>"7102085353"</f>
        <v>7102085353</v>
      </c>
      <c r="B9467" t="str">
        <f t="shared" si="416"/>
        <v>89301000</v>
      </c>
      <c r="C9467" s="1">
        <v>44417</v>
      </c>
      <c r="D9467" s="1">
        <v>44419</v>
      </c>
      <c r="E9467">
        <v>1</v>
      </c>
      <c r="F9467" t="s">
        <v>6538</v>
      </c>
      <c r="G9467" t="str">
        <f>"08-K10-00"</f>
        <v>08-K10-00</v>
      </c>
      <c r="H9467">
        <v>0.81889999999999996</v>
      </c>
      <c r="J9467" t="s">
        <v>14</v>
      </c>
      <c r="K9467" t="str">
        <f>"2F9"</f>
        <v>2F9</v>
      </c>
      <c r="L9467" t="s">
        <v>15</v>
      </c>
    </row>
    <row r="9468" spans="1:12" x14ac:dyDescent="0.25">
      <c r="A9468" t="str">
        <f>"7102085353"</f>
        <v>7102085353</v>
      </c>
      <c r="B9468" t="str">
        <f t="shared" si="416"/>
        <v>89301000</v>
      </c>
      <c r="C9468" s="1">
        <v>44430</v>
      </c>
      <c r="D9468" s="1">
        <v>44437</v>
      </c>
      <c r="E9468">
        <v>1</v>
      </c>
      <c r="F9468" t="s">
        <v>5635</v>
      </c>
      <c r="G9468" t="str">
        <f>"01-I06-04"</f>
        <v>01-I06-04</v>
      </c>
      <c r="H9468">
        <v>3.6231</v>
      </c>
      <c r="I9468" t="s">
        <v>241</v>
      </c>
      <c r="J9468" t="s">
        <v>17</v>
      </c>
      <c r="K9468" t="str">
        <f>"5F6"</f>
        <v>5F6</v>
      </c>
      <c r="L9468" t="s">
        <v>15</v>
      </c>
    </row>
    <row r="9469" spans="1:12" x14ac:dyDescent="0.25">
      <c r="A9469" t="str">
        <f>"7102085353"</f>
        <v>7102085353</v>
      </c>
      <c r="B9469" t="str">
        <f t="shared" si="416"/>
        <v>89301000</v>
      </c>
      <c r="C9469" s="1">
        <v>44457</v>
      </c>
      <c r="D9469" s="1">
        <v>44460</v>
      </c>
      <c r="E9469">
        <v>1</v>
      </c>
      <c r="F9469" t="s">
        <v>764</v>
      </c>
      <c r="G9469" t="str">
        <f>"01-K13-02"</f>
        <v>01-K13-02</v>
      </c>
      <c r="H9469">
        <v>0.7954</v>
      </c>
      <c r="I9469" t="s">
        <v>145</v>
      </c>
      <c r="J9469" t="s">
        <v>14</v>
      </c>
      <c r="K9469" t="str">
        <f>"4F2"</f>
        <v>4F2</v>
      </c>
      <c r="L9469" t="s">
        <v>15</v>
      </c>
    </row>
    <row r="9470" spans="1:12" x14ac:dyDescent="0.25">
      <c r="A9470" t="str">
        <f>"7102145699"</f>
        <v>7102145699</v>
      </c>
      <c r="B9470" t="str">
        <f t="shared" si="416"/>
        <v>89301000</v>
      </c>
      <c r="C9470" s="1">
        <v>44465</v>
      </c>
      <c r="D9470" s="1">
        <v>44468</v>
      </c>
      <c r="E9470">
        <v>1</v>
      </c>
      <c r="F9470" t="s">
        <v>309</v>
      </c>
      <c r="G9470" t="str">
        <f>"08-M03-05"</f>
        <v>08-M03-05</v>
      </c>
      <c r="H9470">
        <v>0.51759999999999995</v>
      </c>
      <c r="J9470" t="s">
        <v>14</v>
      </c>
      <c r="K9470" t="str">
        <f>"6F6"</f>
        <v>6F6</v>
      </c>
      <c r="L9470" t="s">
        <v>15</v>
      </c>
    </row>
    <row r="9471" spans="1:12" x14ac:dyDescent="0.25">
      <c r="A9471" t="str">
        <f>"7103055762"</f>
        <v>7103055762</v>
      </c>
      <c r="B9471" t="str">
        <f t="shared" si="416"/>
        <v>89301000</v>
      </c>
      <c r="C9471" s="1">
        <v>44526</v>
      </c>
      <c r="D9471" s="1">
        <v>44553</v>
      </c>
      <c r="E9471">
        <v>1</v>
      </c>
      <c r="F9471" t="s">
        <v>1776</v>
      </c>
      <c r="G9471" t="str">
        <f>"00-M01-01"</f>
        <v>00-M01-01</v>
      </c>
      <c r="H9471">
        <v>16.479500000000002</v>
      </c>
      <c r="I9471" t="s">
        <v>6539</v>
      </c>
      <c r="J9471" t="s">
        <v>14</v>
      </c>
      <c r="K9471" t="str">
        <f>"1F1"</f>
        <v>1F1</v>
      </c>
      <c r="L9471" t="s">
        <v>15</v>
      </c>
    </row>
    <row r="9472" spans="1:12" x14ac:dyDescent="0.25">
      <c r="A9472" t="str">
        <f>"7103135369"</f>
        <v>7103135369</v>
      </c>
      <c r="B9472" t="str">
        <f t="shared" si="416"/>
        <v>89301000</v>
      </c>
      <c r="C9472" s="1">
        <v>44240</v>
      </c>
      <c r="D9472" s="1">
        <v>44246</v>
      </c>
      <c r="E9472">
        <v>1</v>
      </c>
      <c r="F9472" t="s">
        <v>48</v>
      </c>
      <c r="G9472" t="str">
        <f>"07-K05-02"</f>
        <v>07-K05-02</v>
      </c>
      <c r="H9472">
        <v>0.60189999999999999</v>
      </c>
      <c r="J9472" t="s">
        <v>14</v>
      </c>
      <c r="K9472" t="str">
        <f>"5F1"</f>
        <v>5F1</v>
      </c>
      <c r="L9472" t="s">
        <v>15</v>
      </c>
    </row>
    <row r="9473" spans="1:12" x14ac:dyDescent="0.25">
      <c r="A9473" t="str">
        <f>"7103185320"</f>
        <v>7103185320</v>
      </c>
      <c r="B9473" t="str">
        <f t="shared" si="416"/>
        <v>89301000</v>
      </c>
      <c r="C9473" s="1">
        <v>44281</v>
      </c>
      <c r="D9473" s="1">
        <v>44283</v>
      </c>
      <c r="E9473">
        <v>5</v>
      </c>
      <c r="F9473" t="s">
        <v>38</v>
      </c>
      <c r="G9473" t="str">
        <f>"05-M06-02"</f>
        <v>05-M06-02</v>
      </c>
      <c r="H9473">
        <v>3.5045999999999999</v>
      </c>
      <c r="I9473" t="s">
        <v>6541</v>
      </c>
      <c r="J9473" t="s">
        <v>17</v>
      </c>
      <c r="K9473" t="str">
        <f>"1F1"</f>
        <v>1F1</v>
      </c>
      <c r="L9473" t="s">
        <v>15</v>
      </c>
    </row>
    <row r="9474" spans="1:12" x14ac:dyDescent="0.25">
      <c r="A9474" t="str">
        <f>"7103185320"</f>
        <v>7103185320</v>
      </c>
      <c r="B9474" t="str">
        <f t="shared" si="416"/>
        <v>89301000</v>
      </c>
      <c r="C9474" s="1">
        <v>44328</v>
      </c>
      <c r="D9474" s="1">
        <v>44328</v>
      </c>
      <c r="E9474">
        <v>1</v>
      </c>
      <c r="F9474" t="s">
        <v>1557</v>
      </c>
      <c r="G9474" t="str">
        <f>"05-M06-08"</f>
        <v>05-M06-08</v>
      </c>
      <c r="H9474">
        <v>1.1200000000000001</v>
      </c>
      <c r="I9474" t="s">
        <v>6542</v>
      </c>
      <c r="J9474" t="s">
        <v>17</v>
      </c>
      <c r="K9474" t="str">
        <f>"1F1"</f>
        <v>1F1</v>
      </c>
      <c r="L9474" t="s">
        <v>15</v>
      </c>
    </row>
    <row r="9475" spans="1:12" x14ac:dyDescent="0.25">
      <c r="A9475" t="str">
        <f>"7103185364"</f>
        <v>7103185364</v>
      </c>
      <c r="B9475" t="str">
        <f t="shared" si="416"/>
        <v>89301000</v>
      </c>
      <c r="C9475" s="1">
        <v>44476</v>
      </c>
      <c r="D9475" s="1">
        <v>44482</v>
      </c>
      <c r="E9475">
        <v>5</v>
      </c>
      <c r="F9475" t="s">
        <v>6543</v>
      </c>
      <c r="G9475" t="str">
        <f>"25-I02-01"</f>
        <v>25-I02-01</v>
      </c>
      <c r="H9475">
        <v>9.9679000000000002</v>
      </c>
      <c r="I9475" t="s">
        <v>6544</v>
      </c>
      <c r="J9475" t="s">
        <v>17</v>
      </c>
      <c r="K9475" t="str">
        <f>"5T3"</f>
        <v>5T3</v>
      </c>
      <c r="L9475" t="s">
        <v>15</v>
      </c>
    </row>
    <row r="9476" spans="1:12" x14ac:dyDescent="0.25">
      <c r="A9476" t="str">
        <f>"7103224491"</f>
        <v>7103224491</v>
      </c>
      <c r="B9476" t="str">
        <f t="shared" si="416"/>
        <v>89301000</v>
      </c>
      <c r="C9476" s="1">
        <v>44408</v>
      </c>
      <c r="D9476" s="1">
        <v>44411</v>
      </c>
      <c r="E9476">
        <v>5</v>
      </c>
      <c r="F9476" t="s">
        <v>6545</v>
      </c>
      <c r="G9476" t="str">
        <f>"25-I02-02"</f>
        <v>25-I02-02</v>
      </c>
      <c r="H9476">
        <v>4.2127999999999997</v>
      </c>
      <c r="I9476" t="s">
        <v>6546</v>
      </c>
      <c r="J9476" t="s">
        <v>17</v>
      </c>
      <c r="K9476" t="str">
        <f>"5T6"</f>
        <v>5T6</v>
      </c>
      <c r="L9476" t="s">
        <v>15</v>
      </c>
    </row>
    <row r="9477" spans="1:12" x14ac:dyDescent="0.25">
      <c r="A9477" t="str">
        <f>"7103284463"</f>
        <v>7103284463</v>
      </c>
      <c r="B9477" t="str">
        <f t="shared" si="416"/>
        <v>89301000</v>
      </c>
      <c r="C9477" s="1">
        <v>44293</v>
      </c>
      <c r="D9477" s="1">
        <v>44299</v>
      </c>
      <c r="E9477">
        <v>1</v>
      </c>
      <c r="F9477" t="s">
        <v>785</v>
      </c>
      <c r="G9477" t="str">
        <f>"10-R02-02"</f>
        <v>10-R02-02</v>
      </c>
      <c r="H9477">
        <v>0.65359999999999996</v>
      </c>
      <c r="J9477" t="s">
        <v>24</v>
      </c>
      <c r="K9477" t="str">
        <f>"4F7"</f>
        <v>4F7</v>
      </c>
      <c r="L9477" t="s">
        <v>15</v>
      </c>
    </row>
    <row r="9478" spans="1:12" x14ac:dyDescent="0.25">
      <c r="A9478" t="str">
        <f>"7104135797"</f>
        <v>7104135797</v>
      </c>
      <c r="B9478" t="str">
        <f t="shared" si="416"/>
        <v>89301000</v>
      </c>
      <c r="C9478" s="1">
        <v>44479</v>
      </c>
      <c r="D9478" s="1">
        <v>44485</v>
      </c>
      <c r="E9478">
        <v>1</v>
      </c>
      <c r="F9478" t="s">
        <v>5606</v>
      </c>
      <c r="G9478" t="str">
        <f>"06-I07-05"</f>
        <v>06-I07-05</v>
      </c>
      <c r="H9478">
        <v>2.8466999999999998</v>
      </c>
      <c r="I9478" t="s">
        <v>6013</v>
      </c>
      <c r="J9478" t="s">
        <v>17</v>
      </c>
      <c r="K9478" t="str">
        <f>"5F1"</f>
        <v>5F1</v>
      </c>
      <c r="L9478" t="s">
        <v>15</v>
      </c>
    </row>
    <row r="9479" spans="1:12" x14ac:dyDescent="0.25">
      <c r="A9479" t="str">
        <f>"7104135797"</f>
        <v>7104135797</v>
      </c>
      <c r="B9479" t="str">
        <f t="shared" si="416"/>
        <v>89301000</v>
      </c>
      <c r="C9479" s="1">
        <v>44231</v>
      </c>
      <c r="D9479" s="1">
        <v>44242</v>
      </c>
      <c r="E9479">
        <v>1</v>
      </c>
      <c r="F9479" t="s">
        <v>1870</v>
      </c>
      <c r="G9479" t="str">
        <f>"06-I07-01"</f>
        <v>06-I07-01</v>
      </c>
      <c r="H9479">
        <v>8.0693999999999999</v>
      </c>
      <c r="I9479" t="s">
        <v>6547</v>
      </c>
      <c r="J9479" t="s">
        <v>17</v>
      </c>
      <c r="K9479" t="str">
        <f>"5F1"</f>
        <v>5F1</v>
      </c>
      <c r="L9479" t="s">
        <v>15</v>
      </c>
    </row>
    <row r="9480" spans="1:12" x14ac:dyDescent="0.25">
      <c r="A9480" t="str">
        <f>"7104185319"</f>
        <v>7104185319</v>
      </c>
      <c r="B9480" t="str">
        <f t="shared" si="416"/>
        <v>89301000</v>
      </c>
      <c r="C9480" s="1">
        <v>44284</v>
      </c>
      <c r="D9480" s="1">
        <v>44287</v>
      </c>
      <c r="E9480">
        <v>1</v>
      </c>
      <c r="F9480" t="s">
        <v>2082</v>
      </c>
      <c r="G9480" t="str">
        <f>"03-I19-03"</f>
        <v>03-I19-03</v>
      </c>
      <c r="H9480">
        <v>0.60699999999999998</v>
      </c>
      <c r="I9480" t="s">
        <v>6548</v>
      </c>
      <c r="J9480" t="s">
        <v>14</v>
      </c>
      <c r="K9480" t="str">
        <f>"6F5"</f>
        <v>6F5</v>
      </c>
      <c r="L9480" t="s">
        <v>15</v>
      </c>
    </row>
    <row r="9481" spans="1:12" x14ac:dyDescent="0.25">
      <c r="A9481" t="str">
        <f>"7104204459"</f>
        <v>7104204459</v>
      </c>
      <c r="B9481" t="str">
        <f t="shared" si="416"/>
        <v>89301000</v>
      </c>
      <c r="C9481" s="1">
        <v>44218</v>
      </c>
      <c r="D9481" s="1">
        <v>44221</v>
      </c>
      <c r="E9481">
        <v>1</v>
      </c>
      <c r="F9481" t="s">
        <v>475</v>
      </c>
      <c r="G9481" t="str">
        <f>"10-K04-04"</f>
        <v>10-K04-04</v>
      </c>
      <c r="H9481">
        <v>0.56330000000000002</v>
      </c>
      <c r="I9481" t="s">
        <v>6549</v>
      </c>
      <c r="J9481" t="s">
        <v>14</v>
      </c>
      <c r="K9481" t="str">
        <f>"1F1"</f>
        <v>1F1</v>
      </c>
      <c r="L9481" t="s">
        <v>15</v>
      </c>
    </row>
    <row r="9482" spans="1:12" x14ac:dyDescent="0.25">
      <c r="A9482" t="str">
        <f>"7105055782"</f>
        <v>7105055782</v>
      </c>
      <c r="B9482" t="str">
        <f t="shared" si="416"/>
        <v>89301000</v>
      </c>
      <c r="C9482" s="1">
        <v>44452</v>
      </c>
      <c r="D9482" s="1">
        <v>44455</v>
      </c>
      <c r="E9482">
        <v>1</v>
      </c>
      <c r="F9482" t="s">
        <v>309</v>
      </c>
      <c r="G9482" t="str">
        <f>"08-M03-05"</f>
        <v>08-M03-05</v>
      </c>
      <c r="H9482">
        <v>0.51759999999999995</v>
      </c>
      <c r="J9482" t="s">
        <v>14</v>
      </c>
      <c r="K9482" t="str">
        <f>"6F6"</f>
        <v>6F6</v>
      </c>
      <c r="L9482" t="s">
        <v>15</v>
      </c>
    </row>
    <row r="9483" spans="1:12" x14ac:dyDescent="0.25">
      <c r="A9483" t="str">
        <f>"7105105304"</f>
        <v>7105105304</v>
      </c>
      <c r="B9483" t="str">
        <f t="shared" si="416"/>
        <v>89301000</v>
      </c>
      <c r="C9483" s="1">
        <v>44545</v>
      </c>
      <c r="D9483" s="1">
        <v>44549</v>
      </c>
      <c r="E9483">
        <v>1</v>
      </c>
      <c r="F9483" t="s">
        <v>300</v>
      </c>
      <c r="G9483" t="str">
        <f>"11-M03-02"</f>
        <v>11-M03-02</v>
      </c>
      <c r="H9483">
        <v>1.2824</v>
      </c>
      <c r="J9483" t="s">
        <v>17</v>
      </c>
      <c r="K9483" t="str">
        <f>"7F6"</f>
        <v>7F6</v>
      </c>
      <c r="L9483" t="s">
        <v>15</v>
      </c>
    </row>
    <row r="9484" spans="1:12" x14ac:dyDescent="0.25">
      <c r="A9484" t="str">
        <f>"7105195306"</f>
        <v>7105195306</v>
      </c>
      <c r="B9484" t="str">
        <f t="shared" si="416"/>
        <v>89301000</v>
      </c>
      <c r="C9484" s="1">
        <v>44218</v>
      </c>
      <c r="D9484" s="1">
        <v>44223</v>
      </c>
      <c r="E9484">
        <v>1</v>
      </c>
      <c r="F9484" t="s">
        <v>2348</v>
      </c>
      <c r="G9484" t="str">
        <f>"04-K06-03"</f>
        <v>04-K06-03</v>
      </c>
      <c r="H9484">
        <v>0.66259999999999997</v>
      </c>
      <c r="I9484" t="s">
        <v>6550</v>
      </c>
      <c r="J9484" t="s">
        <v>14</v>
      </c>
      <c r="K9484" t="str">
        <f>"2F5"</f>
        <v>2F5</v>
      </c>
      <c r="L9484" t="s">
        <v>15</v>
      </c>
    </row>
    <row r="9485" spans="1:12" x14ac:dyDescent="0.25">
      <c r="A9485" t="str">
        <f>"7106044847"</f>
        <v>7106044847</v>
      </c>
      <c r="B9485" t="str">
        <f t="shared" si="416"/>
        <v>89301000</v>
      </c>
      <c r="C9485" s="1">
        <v>44504</v>
      </c>
      <c r="D9485" s="1">
        <v>44505</v>
      </c>
      <c r="E9485">
        <v>1</v>
      </c>
      <c r="F9485" t="s">
        <v>1545</v>
      </c>
      <c r="G9485" t="str">
        <f>"05-D01-06"</f>
        <v>05-D01-06</v>
      </c>
      <c r="H9485">
        <v>0.7611</v>
      </c>
      <c r="I9485" t="s">
        <v>6551</v>
      </c>
      <c r="J9485" t="s">
        <v>14</v>
      </c>
      <c r="K9485" t="str">
        <f>"1F1"</f>
        <v>1F1</v>
      </c>
      <c r="L9485" t="s">
        <v>15</v>
      </c>
    </row>
    <row r="9486" spans="1:12" x14ac:dyDescent="0.25">
      <c r="A9486" t="str">
        <f>"7106095689"</f>
        <v>7106095689</v>
      </c>
      <c r="B9486" t="str">
        <f t="shared" si="416"/>
        <v>89301000</v>
      </c>
      <c r="C9486" s="1">
        <v>44473</v>
      </c>
      <c r="D9486" s="1">
        <v>44475</v>
      </c>
      <c r="E9486">
        <v>1</v>
      </c>
      <c r="F9486" t="s">
        <v>4382</v>
      </c>
      <c r="G9486" t="str">
        <f>"05-I30-02"</f>
        <v>05-I30-02</v>
      </c>
      <c r="H9486">
        <v>0.46729999999999999</v>
      </c>
      <c r="I9486" t="s">
        <v>6552</v>
      </c>
      <c r="J9486" t="s">
        <v>14</v>
      </c>
      <c r="K9486" t="str">
        <f>"5F1"</f>
        <v>5F1</v>
      </c>
      <c r="L9486" t="s">
        <v>15</v>
      </c>
    </row>
    <row r="9487" spans="1:12" x14ac:dyDescent="0.25">
      <c r="A9487" t="str">
        <f>"7106175582"</f>
        <v>7106175582</v>
      </c>
      <c r="B9487" t="str">
        <f t="shared" si="416"/>
        <v>89301000</v>
      </c>
      <c r="C9487" s="1">
        <v>44288</v>
      </c>
      <c r="D9487" s="1">
        <v>44290</v>
      </c>
      <c r="E9487">
        <v>1</v>
      </c>
      <c r="F9487" t="s">
        <v>3967</v>
      </c>
      <c r="G9487" t="str">
        <f>"03-K07-00"</f>
        <v>03-K07-00</v>
      </c>
      <c r="H9487">
        <v>0.36380000000000001</v>
      </c>
      <c r="I9487" t="s">
        <v>6553</v>
      </c>
      <c r="J9487" t="s">
        <v>14</v>
      </c>
      <c r="K9487" t="str">
        <f>"7F1"</f>
        <v>7F1</v>
      </c>
      <c r="L9487" t="s">
        <v>15</v>
      </c>
    </row>
    <row r="9488" spans="1:12" x14ac:dyDescent="0.25">
      <c r="A9488" t="str">
        <f>"7106234696"</f>
        <v>7106234696</v>
      </c>
      <c r="B9488" t="str">
        <f t="shared" si="416"/>
        <v>89301000</v>
      </c>
      <c r="C9488" s="1">
        <v>44483</v>
      </c>
      <c r="D9488" s="1">
        <v>44485</v>
      </c>
      <c r="E9488">
        <v>1</v>
      </c>
      <c r="F9488" t="s">
        <v>457</v>
      </c>
      <c r="G9488" t="str">
        <f>"08-I16-04"</f>
        <v>08-I16-04</v>
      </c>
      <c r="H9488">
        <v>0.92159999999999997</v>
      </c>
      <c r="I9488" t="s">
        <v>381</v>
      </c>
      <c r="J9488" t="s">
        <v>17</v>
      </c>
      <c r="K9488" t="str">
        <f>"5F3"</f>
        <v>5F3</v>
      </c>
      <c r="L9488" t="s">
        <v>15</v>
      </c>
    </row>
    <row r="9489" spans="1:12" x14ac:dyDescent="0.25">
      <c r="A9489" t="str">
        <f>"7106244618"</f>
        <v>7106244618</v>
      </c>
      <c r="B9489" t="str">
        <f t="shared" si="416"/>
        <v>89301000</v>
      </c>
      <c r="C9489" s="1">
        <v>44420</v>
      </c>
      <c r="D9489" s="1">
        <v>44431</v>
      </c>
      <c r="E9489">
        <v>1</v>
      </c>
      <c r="F9489" t="s">
        <v>6554</v>
      </c>
      <c r="G9489" t="str">
        <f>"18-K02-02"</f>
        <v>18-K02-02</v>
      </c>
      <c r="H9489">
        <v>1.2563</v>
      </c>
      <c r="I9489" t="s">
        <v>6555</v>
      </c>
      <c r="J9489" t="s">
        <v>14</v>
      </c>
      <c r="K9489" t="str">
        <f>"4F4"</f>
        <v>4F4</v>
      </c>
      <c r="L9489" t="s">
        <v>15</v>
      </c>
    </row>
    <row r="9490" spans="1:12" x14ac:dyDescent="0.25">
      <c r="A9490" t="str">
        <f>"7107045308"</f>
        <v>7107045308</v>
      </c>
      <c r="B9490" t="str">
        <f t="shared" si="416"/>
        <v>89301000</v>
      </c>
      <c r="C9490" s="1">
        <v>44543</v>
      </c>
      <c r="D9490" s="1">
        <v>44553</v>
      </c>
      <c r="E9490">
        <v>1</v>
      </c>
      <c r="F9490" t="s">
        <v>109</v>
      </c>
      <c r="G9490" t="str">
        <f>"24-M06-02"</f>
        <v>24-M06-02</v>
      </c>
      <c r="H9490">
        <v>1.0233000000000001</v>
      </c>
      <c r="I9490" t="s">
        <v>6556</v>
      </c>
      <c r="J9490" t="s">
        <v>14</v>
      </c>
      <c r="K9490" t="str">
        <f>"2F1"</f>
        <v>2F1</v>
      </c>
      <c r="L9490" t="s">
        <v>15</v>
      </c>
    </row>
    <row r="9491" spans="1:12" x14ac:dyDescent="0.25">
      <c r="A9491" t="str">
        <f>"7107045308"</f>
        <v>7107045308</v>
      </c>
      <c r="B9491" t="str">
        <f t="shared" si="416"/>
        <v>89301000</v>
      </c>
      <c r="C9491" s="1">
        <v>44312</v>
      </c>
      <c r="D9491" s="1">
        <v>44330</v>
      </c>
      <c r="E9491">
        <v>1</v>
      </c>
      <c r="F9491" t="s">
        <v>109</v>
      </c>
      <c r="G9491" t="str">
        <f>"24-M08-02"</f>
        <v>24-M08-02</v>
      </c>
      <c r="H9491">
        <v>2.3557000000000001</v>
      </c>
      <c r="I9491" t="s">
        <v>6556</v>
      </c>
      <c r="J9491" t="s">
        <v>14</v>
      </c>
      <c r="K9491" t="str">
        <f>"2F1"</f>
        <v>2F1</v>
      </c>
      <c r="L9491" t="s">
        <v>15</v>
      </c>
    </row>
    <row r="9492" spans="1:12" x14ac:dyDescent="0.25">
      <c r="A9492" t="str">
        <f>"7107045308"</f>
        <v>7107045308</v>
      </c>
      <c r="B9492" t="str">
        <f t="shared" si="416"/>
        <v>89301000</v>
      </c>
      <c r="C9492" s="1">
        <v>44267</v>
      </c>
      <c r="D9492" s="1">
        <v>44274</v>
      </c>
      <c r="E9492">
        <v>1</v>
      </c>
      <c r="F9492" t="s">
        <v>6557</v>
      </c>
      <c r="G9492" t="str">
        <f>"08-I17-01"</f>
        <v>08-I17-01</v>
      </c>
      <c r="H9492">
        <v>2.0640000000000001</v>
      </c>
      <c r="I9492" t="s">
        <v>295</v>
      </c>
      <c r="J9492" t="s">
        <v>14</v>
      </c>
      <c r="K9492" t="str">
        <f>"5F3"</f>
        <v>5F3</v>
      </c>
      <c r="L9492" t="s">
        <v>15</v>
      </c>
    </row>
    <row r="9493" spans="1:12" x14ac:dyDescent="0.25">
      <c r="A9493" t="str">
        <f>"7107045308"</f>
        <v>7107045308</v>
      </c>
      <c r="B9493" t="str">
        <f t="shared" si="416"/>
        <v>89301000</v>
      </c>
      <c r="C9493" s="1">
        <v>44538</v>
      </c>
      <c r="D9493" s="1">
        <v>44541</v>
      </c>
      <c r="E9493">
        <v>1</v>
      </c>
      <c r="F9493" t="s">
        <v>5382</v>
      </c>
      <c r="G9493" t="str">
        <f>"08-I26-02"</f>
        <v>08-I26-02</v>
      </c>
      <c r="H9493">
        <v>0.83399999999999996</v>
      </c>
      <c r="I9493" t="s">
        <v>6558</v>
      </c>
      <c r="J9493" t="s">
        <v>14</v>
      </c>
      <c r="K9493" t="str">
        <f>"5F3"</f>
        <v>5F3</v>
      </c>
      <c r="L9493" t="s">
        <v>15</v>
      </c>
    </row>
    <row r="9494" spans="1:12" x14ac:dyDescent="0.25">
      <c r="A9494" t="str">
        <f>"7107045759"</f>
        <v>7107045759</v>
      </c>
      <c r="B9494" t="str">
        <f t="shared" si="416"/>
        <v>89301000</v>
      </c>
      <c r="C9494" s="1">
        <v>44327</v>
      </c>
      <c r="D9494" s="1">
        <v>44336</v>
      </c>
      <c r="E9494">
        <v>1</v>
      </c>
      <c r="F9494" t="s">
        <v>6559</v>
      </c>
      <c r="G9494" t="str">
        <f>"09-I13-04"</f>
        <v>09-I13-04</v>
      </c>
      <c r="H9494">
        <v>0.79469999999999996</v>
      </c>
      <c r="J9494" t="s">
        <v>14</v>
      </c>
      <c r="K9494" t="str">
        <f>"6F1"</f>
        <v>6F1</v>
      </c>
      <c r="L9494" t="s">
        <v>15</v>
      </c>
    </row>
    <row r="9495" spans="1:12" x14ac:dyDescent="0.25">
      <c r="A9495" t="str">
        <f>"7107114465"</f>
        <v>7107114465</v>
      </c>
      <c r="B9495" t="str">
        <f t="shared" si="416"/>
        <v>89301000</v>
      </c>
      <c r="C9495" s="1">
        <v>44251</v>
      </c>
      <c r="D9495" s="1">
        <v>44254</v>
      </c>
      <c r="E9495">
        <v>1</v>
      </c>
      <c r="F9495" t="s">
        <v>496</v>
      </c>
      <c r="G9495" t="str">
        <f>"08-M03-05"</f>
        <v>08-M03-05</v>
      </c>
      <c r="H9495">
        <v>0.51759999999999995</v>
      </c>
      <c r="I9495" t="s">
        <v>2407</v>
      </c>
      <c r="J9495" t="s">
        <v>14</v>
      </c>
      <c r="K9495" t="str">
        <f>"6F6"</f>
        <v>6F6</v>
      </c>
      <c r="L9495" t="s">
        <v>15</v>
      </c>
    </row>
    <row r="9496" spans="1:12" x14ac:dyDescent="0.25">
      <c r="A9496" t="str">
        <f>"7107125344"</f>
        <v>7107125344</v>
      </c>
      <c r="B9496" t="str">
        <f t="shared" si="416"/>
        <v>89301000</v>
      </c>
      <c r="C9496" s="1">
        <v>44404</v>
      </c>
      <c r="D9496" s="1">
        <v>44424</v>
      </c>
      <c r="E9496">
        <v>1</v>
      </c>
      <c r="F9496" t="s">
        <v>282</v>
      </c>
      <c r="G9496" t="str">
        <f>"06-I02-02"</f>
        <v>06-I02-02</v>
      </c>
      <c r="H9496">
        <v>4.7427999999999999</v>
      </c>
      <c r="I9496" t="s">
        <v>6560</v>
      </c>
      <c r="J9496" t="s">
        <v>17</v>
      </c>
      <c r="K9496" t="str">
        <f>"5F1"</f>
        <v>5F1</v>
      </c>
      <c r="L9496" t="s">
        <v>15</v>
      </c>
    </row>
    <row r="9497" spans="1:12" x14ac:dyDescent="0.25">
      <c r="A9497" t="str">
        <f>"7107145309"</f>
        <v>7107145309</v>
      </c>
      <c r="B9497" t="str">
        <f t="shared" si="416"/>
        <v>89301000</v>
      </c>
      <c r="C9497" s="1">
        <v>44300</v>
      </c>
      <c r="D9497" s="1">
        <v>44301</v>
      </c>
      <c r="E9497">
        <v>1</v>
      </c>
      <c r="F9497" t="s">
        <v>6129</v>
      </c>
      <c r="G9497" t="str">
        <f>"02-I13-02"</f>
        <v>02-I13-02</v>
      </c>
      <c r="H9497">
        <v>0.376</v>
      </c>
      <c r="I9497" t="s">
        <v>2288</v>
      </c>
      <c r="J9497" t="s">
        <v>14</v>
      </c>
      <c r="K9497" t="str">
        <f>"7F5"</f>
        <v>7F5</v>
      </c>
      <c r="L9497" t="s">
        <v>15</v>
      </c>
    </row>
    <row r="9498" spans="1:12" x14ac:dyDescent="0.25">
      <c r="A9498" t="str">
        <f>"7108154526"</f>
        <v>7108154526</v>
      </c>
      <c r="B9498" t="str">
        <f t="shared" si="416"/>
        <v>89301000</v>
      </c>
      <c r="C9498" s="1">
        <v>44209</v>
      </c>
      <c r="D9498" s="1">
        <v>44217</v>
      </c>
      <c r="E9498">
        <v>1</v>
      </c>
      <c r="F9498" t="s">
        <v>1970</v>
      </c>
      <c r="G9498" t="str">
        <f>"01-K08-02"</f>
        <v>01-K08-02</v>
      </c>
      <c r="H9498">
        <v>0.60519999999999996</v>
      </c>
      <c r="J9498" t="s">
        <v>14</v>
      </c>
      <c r="K9498" t="str">
        <f>"2F9"</f>
        <v>2F9</v>
      </c>
      <c r="L9498" t="s">
        <v>15</v>
      </c>
    </row>
    <row r="9499" spans="1:12" x14ac:dyDescent="0.25">
      <c r="A9499" t="str">
        <f>"7108154526"</f>
        <v>7108154526</v>
      </c>
      <c r="B9499" t="str">
        <f t="shared" si="416"/>
        <v>89301000</v>
      </c>
      <c r="C9499" s="1">
        <v>44392</v>
      </c>
      <c r="D9499" s="1">
        <v>44399</v>
      </c>
      <c r="E9499">
        <v>7</v>
      </c>
      <c r="F9499" t="s">
        <v>1970</v>
      </c>
      <c r="G9499" t="str">
        <f>"01-K08-01"</f>
        <v>01-K08-01</v>
      </c>
      <c r="H9499">
        <v>1.1733</v>
      </c>
      <c r="I9499" t="s">
        <v>6561</v>
      </c>
      <c r="J9499" t="s">
        <v>14</v>
      </c>
      <c r="K9499" t="str">
        <f>"1F5"</f>
        <v>1F5</v>
      </c>
      <c r="L9499" t="s">
        <v>15</v>
      </c>
    </row>
    <row r="9500" spans="1:12" x14ac:dyDescent="0.25">
      <c r="A9500" t="str">
        <f>"7108185788"</f>
        <v>7108185788</v>
      </c>
      <c r="B9500" t="str">
        <f t="shared" si="416"/>
        <v>89301000</v>
      </c>
      <c r="C9500" s="1">
        <v>44391</v>
      </c>
      <c r="D9500" s="1">
        <v>44398</v>
      </c>
      <c r="E9500">
        <v>1</v>
      </c>
      <c r="F9500" t="s">
        <v>1953</v>
      </c>
      <c r="G9500" t="str">
        <f>"07-I11-01"</f>
        <v>07-I11-01</v>
      </c>
      <c r="H9500">
        <v>3.2427999999999999</v>
      </c>
      <c r="I9500" t="s">
        <v>6562</v>
      </c>
      <c r="J9500" t="s">
        <v>14</v>
      </c>
      <c r="K9500" t="str">
        <f>"5F1"</f>
        <v>5F1</v>
      </c>
      <c r="L9500" t="s">
        <v>15</v>
      </c>
    </row>
    <row r="9501" spans="1:12" x14ac:dyDescent="0.25">
      <c r="A9501" t="str">
        <f>"7108205379"</f>
        <v>7108205379</v>
      </c>
      <c r="B9501" t="str">
        <f t="shared" si="416"/>
        <v>89301000</v>
      </c>
      <c r="C9501" s="1">
        <v>44263</v>
      </c>
      <c r="D9501" s="1">
        <v>44265</v>
      </c>
      <c r="E9501">
        <v>1</v>
      </c>
      <c r="F9501" t="s">
        <v>4080</v>
      </c>
      <c r="G9501" t="str">
        <f>"04-K07-03"</f>
        <v>04-K07-03</v>
      </c>
      <c r="H9501">
        <v>0.66259999999999997</v>
      </c>
      <c r="J9501" t="s">
        <v>14</v>
      </c>
      <c r="K9501" t="str">
        <f>"2F5"</f>
        <v>2F5</v>
      </c>
      <c r="L9501" t="s">
        <v>15</v>
      </c>
    </row>
    <row r="9502" spans="1:12" x14ac:dyDescent="0.25">
      <c r="A9502" t="str">
        <f>"7108269905"</f>
        <v>7108269905</v>
      </c>
      <c r="B9502" t="str">
        <f t="shared" si="416"/>
        <v>89301000</v>
      </c>
      <c r="C9502" s="1">
        <v>44496</v>
      </c>
      <c r="D9502" s="1">
        <v>44500</v>
      </c>
      <c r="E9502">
        <v>1</v>
      </c>
      <c r="F9502" t="s">
        <v>651</v>
      </c>
      <c r="G9502" t="str">
        <f>"10-K04-04"</f>
        <v>10-K04-04</v>
      </c>
      <c r="H9502">
        <v>0.56330000000000002</v>
      </c>
      <c r="I9502" t="s">
        <v>6563</v>
      </c>
      <c r="J9502" t="s">
        <v>14</v>
      </c>
      <c r="K9502" t="str">
        <f>"1F1"</f>
        <v>1F1</v>
      </c>
      <c r="L9502" t="s">
        <v>15</v>
      </c>
    </row>
    <row r="9503" spans="1:12" x14ac:dyDescent="0.25">
      <c r="A9503" t="str">
        <f>"7108269905"</f>
        <v>7108269905</v>
      </c>
      <c r="B9503" t="str">
        <f t="shared" si="416"/>
        <v>89301000</v>
      </c>
      <c r="C9503" s="1">
        <v>44237</v>
      </c>
      <c r="D9503" s="1">
        <v>44241</v>
      </c>
      <c r="E9503">
        <v>1</v>
      </c>
      <c r="F9503" t="s">
        <v>3705</v>
      </c>
      <c r="G9503" t="str">
        <f>"01-K08-02"</f>
        <v>01-K08-02</v>
      </c>
      <c r="H9503">
        <v>0.60519999999999996</v>
      </c>
      <c r="I9503" t="s">
        <v>6564</v>
      </c>
      <c r="J9503" t="s">
        <v>14</v>
      </c>
      <c r="K9503" t="str">
        <f>"1F1"</f>
        <v>1F1</v>
      </c>
      <c r="L9503" t="s">
        <v>15</v>
      </c>
    </row>
    <row r="9504" spans="1:12" x14ac:dyDescent="0.25">
      <c r="A9504" t="str">
        <f>"7108274459"</f>
        <v>7108274459</v>
      </c>
      <c r="B9504" t="str">
        <f t="shared" si="416"/>
        <v>89301000</v>
      </c>
      <c r="C9504" s="1">
        <v>44512</v>
      </c>
      <c r="D9504" s="1">
        <v>44512</v>
      </c>
      <c r="E9504">
        <v>1</v>
      </c>
      <c r="F9504" t="s">
        <v>3002</v>
      </c>
      <c r="G9504" t="str">
        <f>"05-D01-06"</f>
        <v>05-D01-06</v>
      </c>
      <c r="H9504">
        <v>0.40649999999999997</v>
      </c>
      <c r="I9504" t="s">
        <v>489</v>
      </c>
      <c r="J9504" t="s">
        <v>14</v>
      </c>
      <c r="K9504" t="str">
        <f>"1F7"</f>
        <v>1F7</v>
      </c>
      <c r="L9504" t="s">
        <v>15</v>
      </c>
    </row>
    <row r="9505" spans="1:12" x14ac:dyDescent="0.25">
      <c r="A9505" t="str">
        <f>"7109024505"</f>
        <v>7109024505</v>
      </c>
      <c r="B9505" t="str">
        <f t="shared" si="416"/>
        <v>89301000</v>
      </c>
      <c r="C9505" s="1">
        <v>44219</v>
      </c>
      <c r="D9505" s="1">
        <v>44228</v>
      </c>
      <c r="E9505">
        <v>1</v>
      </c>
      <c r="F9505" t="s">
        <v>5467</v>
      </c>
      <c r="G9505" t="str">
        <f>"19-K03-03"</f>
        <v>19-K03-03</v>
      </c>
      <c r="H9505">
        <v>0.93169999999999997</v>
      </c>
      <c r="I9505" t="s">
        <v>6565</v>
      </c>
      <c r="J9505" t="s">
        <v>27</v>
      </c>
      <c r="K9505" t="str">
        <f>"3F5"</f>
        <v>3F5</v>
      </c>
      <c r="L9505" t="s">
        <v>15</v>
      </c>
    </row>
    <row r="9506" spans="1:12" x14ac:dyDescent="0.25">
      <c r="A9506" t="str">
        <f>"7109105773"</f>
        <v>7109105773</v>
      </c>
      <c r="B9506" t="str">
        <f t="shared" si="416"/>
        <v>89301000</v>
      </c>
      <c r="C9506" s="1">
        <v>44349</v>
      </c>
      <c r="D9506" s="1">
        <v>44358</v>
      </c>
      <c r="E9506">
        <v>1</v>
      </c>
      <c r="F9506" t="s">
        <v>6566</v>
      </c>
      <c r="G9506" t="str">
        <f>"02-K01-02"</f>
        <v>02-K01-02</v>
      </c>
      <c r="H9506">
        <v>0.77749999999999997</v>
      </c>
      <c r="I9506" t="s">
        <v>6567</v>
      </c>
      <c r="J9506" t="s">
        <v>14</v>
      </c>
      <c r="K9506" t="str">
        <f>"7F5"</f>
        <v>7F5</v>
      </c>
      <c r="L9506" t="s">
        <v>15</v>
      </c>
    </row>
    <row r="9507" spans="1:12" x14ac:dyDescent="0.25">
      <c r="A9507" t="str">
        <f>"7109135308"</f>
        <v>7109135308</v>
      </c>
      <c r="B9507" t="str">
        <f t="shared" si="416"/>
        <v>89301000</v>
      </c>
      <c r="C9507" s="1">
        <v>44448</v>
      </c>
      <c r="D9507" s="1">
        <v>44450</v>
      </c>
      <c r="E9507">
        <v>1</v>
      </c>
      <c r="F9507" t="s">
        <v>215</v>
      </c>
      <c r="G9507" t="str">
        <f>"08-I15-03"</f>
        <v>08-I15-03</v>
      </c>
      <c r="H9507">
        <v>1.1838</v>
      </c>
      <c r="I9507" t="s">
        <v>381</v>
      </c>
      <c r="J9507" t="s">
        <v>17</v>
      </c>
      <c r="K9507" t="str">
        <f>"5F3"</f>
        <v>5F3</v>
      </c>
      <c r="L9507" t="s">
        <v>15</v>
      </c>
    </row>
    <row r="9508" spans="1:12" x14ac:dyDescent="0.25">
      <c r="A9508" t="str">
        <f>"7109164469"</f>
        <v>7109164469</v>
      </c>
      <c r="B9508" t="str">
        <f t="shared" si="416"/>
        <v>89301000</v>
      </c>
      <c r="C9508" s="1">
        <v>44206</v>
      </c>
      <c r="D9508" s="1">
        <v>44208</v>
      </c>
      <c r="E9508">
        <v>1</v>
      </c>
      <c r="F9508" t="s">
        <v>71</v>
      </c>
      <c r="G9508" t="str">
        <f>"08-M03-05"</f>
        <v>08-M03-05</v>
      </c>
      <c r="H9508">
        <v>0.51759999999999995</v>
      </c>
      <c r="I9508" t="s">
        <v>30</v>
      </c>
      <c r="J9508" t="s">
        <v>14</v>
      </c>
      <c r="K9508" t="str">
        <f>"6F6"</f>
        <v>6F6</v>
      </c>
      <c r="L9508" t="s">
        <v>15</v>
      </c>
    </row>
    <row r="9509" spans="1:12" x14ac:dyDescent="0.25">
      <c r="A9509" t="str">
        <f>"7109214464"</f>
        <v>7109214464</v>
      </c>
      <c r="B9509" t="str">
        <f t="shared" si="416"/>
        <v>89301000</v>
      </c>
      <c r="C9509" s="1">
        <v>44431</v>
      </c>
      <c r="D9509" s="1">
        <v>44432</v>
      </c>
      <c r="E9509">
        <v>1</v>
      </c>
      <c r="F9509" t="s">
        <v>240</v>
      </c>
      <c r="G9509" t="str">
        <f>"03-K13-02"</f>
        <v>03-K13-02</v>
      </c>
      <c r="H9509">
        <v>0.2555</v>
      </c>
      <c r="I9509" t="s">
        <v>489</v>
      </c>
      <c r="J9509" t="s">
        <v>14</v>
      </c>
      <c r="K9509" t="str">
        <f>"2F5"</f>
        <v>2F5</v>
      </c>
      <c r="L9509" t="s">
        <v>15</v>
      </c>
    </row>
    <row r="9510" spans="1:12" x14ac:dyDescent="0.25">
      <c r="A9510" t="str">
        <f>"7109215311"</f>
        <v>7109215311</v>
      </c>
      <c r="B9510" t="str">
        <f t="shared" si="416"/>
        <v>89301000</v>
      </c>
      <c r="C9510" s="1">
        <v>44439</v>
      </c>
      <c r="D9510" s="1">
        <v>44449</v>
      </c>
      <c r="E9510">
        <v>1</v>
      </c>
      <c r="F9510" t="s">
        <v>109</v>
      </c>
      <c r="G9510" t="str">
        <f>"24-M06-02"</f>
        <v>24-M06-02</v>
      </c>
      <c r="H9510">
        <v>1.0233000000000001</v>
      </c>
      <c r="I9510" t="s">
        <v>6568</v>
      </c>
      <c r="J9510" t="s">
        <v>14</v>
      </c>
      <c r="K9510" t="str">
        <f>"2F1"</f>
        <v>2F1</v>
      </c>
      <c r="L9510" t="s">
        <v>15</v>
      </c>
    </row>
    <row r="9511" spans="1:12" x14ac:dyDescent="0.25">
      <c r="A9511" t="str">
        <f>"7109285788"</f>
        <v>7109285788</v>
      </c>
      <c r="B9511" t="str">
        <f t="shared" si="416"/>
        <v>89301000</v>
      </c>
      <c r="C9511" s="1">
        <v>44253</v>
      </c>
      <c r="D9511" s="1">
        <v>44256</v>
      </c>
      <c r="E9511">
        <v>1</v>
      </c>
      <c r="F9511" t="s">
        <v>41</v>
      </c>
      <c r="G9511" t="str">
        <f>"01-D01-03"</f>
        <v>01-D01-03</v>
      </c>
      <c r="H9511">
        <v>0.2054</v>
      </c>
      <c r="I9511" t="s">
        <v>6569</v>
      </c>
      <c r="J9511" t="s">
        <v>14</v>
      </c>
      <c r="K9511" t="str">
        <f>"2F5"</f>
        <v>2F5</v>
      </c>
      <c r="L9511" t="s">
        <v>15</v>
      </c>
    </row>
    <row r="9512" spans="1:12" x14ac:dyDescent="0.25">
      <c r="A9512" t="str">
        <f>"7110065325"</f>
        <v>7110065325</v>
      </c>
      <c r="B9512" t="str">
        <f t="shared" si="416"/>
        <v>89301000</v>
      </c>
      <c r="C9512" s="1">
        <v>44392</v>
      </c>
      <c r="D9512" s="1">
        <v>44396</v>
      </c>
      <c r="E9512">
        <v>1</v>
      </c>
      <c r="F9512" t="s">
        <v>2914</v>
      </c>
      <c r="G9512" t="str">
        <f>"08-I14-02"</f>
        <v>08-I14-02</v>
      </c>
      <c r="H9512">
        <v>1.7324999999999999</v>
      </c>
      <c r="I9512" t="s">
        <v>6570</v>
      </c>
      <c r="J9512" t="s">
        <v>17</v>
      </c>
      <c r="K9512" t="str">
        <f>"5F3"</f>
        <v>5F3</v>
      </c>
      <c r="L9512" t="s">
        <v>15</v>
      </c>
    </row>
    <row r="9513" spans="1:12" x14ac:dyDescent="0.25">
      <c r="A9513" t="str">
        <f>"7110075346"</f>
        <v>7110075346</v>
      </c>
      <c r="B9513" t="str">
        <f t="shared" si="416"/>
        <v>89301000</v>
      </c>
      <c r="C9513" s="1">
        <v>44210</v>
      </c>
      <c r="D9513" s="1">
        <v>44213</v>
      </c>
      <c r="E9513">
        <v>1</v>
      </c>
      <c r="F9513" t="s">
        <v>652</v>
      </c>
      <c r="G9513" t="str">
        <f>"03-I19-03"</f>
        <v>03-I19-03</v>
      </c>
      <c r="H9513">
        <v>0.60699999999999998</v>
      </c>
      <c r="I9513" t="s">
        <v>6571</v>
      </c>
      <c r="J9513" t="s">
        <v>14</v>
      </c>
      <c r="K9513" t="str">
        <f>"6F5"</f>
        <v>6F5</v>
      </c>
      <c r="L9513" t="s">
        <v>15</v>
      </c>
    </row>
    <row r="9514" spans="1:12" x14ac:dyDescent="0.25">
      <c r="A9514" t="str">
        <f>"7110105310"</f>
        <v>7110105310</v>
      </c>
      <c r="B9514" t="str">
        <f t="shared" si="416"/>
        <v>89301000</v>
      </c>
      <c r="C9514" s="1">
        <v>44489</v>
      </c>
      <c r="D9514" s="1">
        <v>44495</v>
      </c>
      <c r="E9514">
        <v>1</v>
      </c>
      <c r="F9514" t="s">
        <v>2001</v>
      </c>
      <c r="G9514" t="str">
        <f>"06-I15-00"</f>
        <v>06-I15-00</v>
      </c>
      <c r="H9514">
        <v>1.8432999999999999</v>
      </c>
      <c r="I9514" t="s">
        <v>632</v>
      </c>
      <c r="J9514" t="s">
        <v>24</v>
      </c>
      <c r="K9514" t="str">
        <f>"5F1"</f>
        <v>5F1</v>
      </c>
      <c r="L9514" t="s">
        <v>15</v>
      </c>
    </row>
    <row r="9515" spans="1:12" x14ac:dyDescent="0.25">
      <c r="A9515" t="str">
        <f>"7110225342"</f>
        <v>7110225342</v>
      </c>
      <c r="B9515" t="str">
        <f t="shared" ref="B9515:B9576" si="417">"89301000"</f>
        <v>89301000</v>
      </c>
      <c r="C9515" s="1">
        <v>44446</v>
      </c>
      <c r="D9515" s="1">
        <v>44447</v>
      </c>
      <c r="E9515">
        <v>1</v>
      </c>
      <c r="F9515" t="s">
        <v>6572</v>
      </c>
      <c r="G9515" t="str">
        <f>"01-D01-03"</f>
        <v>01-D01-03</v>
      </c>
      <c r="H9515">
        <v>0.158</v>
      </c>
      <c r="I9515" t="s">
        <v>3208</v>
      </c>
      <c r="J9515" t="s">
        <v>14</v>
      </c>
      <c r="K9515" t="str">
        <f>"2F5"</f>
        <v>2F5</v>
      </c>
      <c r="L9515" t="s">
        <v>15</v>
      </c>
    </row>
    <row r="9516" spans="1:12" x14ac:dyDescent="0.25">
      <c r="A9516" t="str">
        <f>"7110254712"</f>
        <v>7110254712</v>
      </c>
      <c r="B9516" t="str">
        <f t="shared" si="417"/>
        <v>89301000</v>
      </c>
      <c r="C9516" s="1">
        <v>44378</v>
      </c>
      <c r="D9516" s="1">
        <v>44382</v>
      </c>
      <c r="E9516">
        <v>1</v>
      </c>
      <c r="F9516" t="s">
        <v>1555</v>
      </c>
      <c r="G9516" t="str">
        <f>"05-M07-04"</f>
        <v>05-M07-04</v>
      </c>
      <c r="H9516">
        <v>1.7799</v>
      </c>
      <c r="J9516" t="s">
        <v>17</v>
      </c>
      <c r="K9516" t="str">
        <f>"5F1"</f>
        <v>5F1</v>
      </c>
      <c r="L9516" t="s">
        <v>15</v>
      </c>
    </row>
    <row r="9517" spans="1:12" x14ac:dyDescent="0.25">
      <c r="A9517" t="str">
        <f>"7110255339"</f>
        <v>7110255339</v>
      </c>
      <c r="B9517" t="str">
        <f t="shared" si="417"/>
        <v>89301000</v>
      </c>
      <c r="C9517" s="1">
        <v>44237</v>
      </c>
      <c r="D9517" s="1">
        <v>44243</v>
      </c>
      <c r="E9517">
        <v>1</v>
      </c>
      <c r="F9517" t="s">
        <v>500</v>
      </c>
      <c r="G9517" t="str">
        <f>"06-K06-02"</f>
        <v>06-K06-02</v>
      </c>
      <c r="H9517">
        <v>0.77210000000000001</v>
      </c>
      <c r="I9517" t="s">
        <v>6573</v>
      </c>
      <c r="J9517" t="s">
        <v>14</v>
      </c>
      <c r="K9517" t="str">
        <f>"1F5"</f>
        <v>1F5</v>
      </c>
      <c r="L9517" t="s">
        <v>15</v>
      </c>
    </row>
    <row r="9518" spans="1:12" x14ac:dyDescent="0.25">
      <c r="A9518" t="str">
        <f>"7111184487"</f>
        <v>7111184487</v>
      </c>
      <c r="B9518" t="str">
        <f t="shared" si="417"/>
        <v>89301000</v>
      </c>
      <c r="C9518" s="1">
        <v>44303</v>
      </c>
      <c r="D9518" s="1">
        <v>44311</v>
      </c>
      <c r="E9518">
        <v>1</v>
      </c>
      <c r="F9518" t="s">
        <v>962</v>
      </c>
      <c r="G9518" t="str">
        <f>"04-M01-06"</f>
        <v>04-M01-06</v>
      </c>
      <c r="H9518">
        <v>3.5308999999999999</v>
      </c>
      <c r="I9518" t="s">
        <v>6574</v>
      </c>
      <c r="J9518" t="s">
        <v>14</v>
      </c>
      <c r="K9518" t="str">
        <f>"1F1"</f>
        <v>1F1</v>
      </c>
      <c r="L9518" t="s">
        <v>15</v>
      </c>
    </row>
    <row r="9519" spans="1:12" x14ac:dyDescent="0.25">
      <c r="A9519" t="str">
        <f>"7111305322"</f>
        <v>7111305322</v>
      </c>
      <c r="B9519" t="str">
        <f t="shared" si="417"/>
        <v>89301000</v>
      </c>
      <c r="C9519" s="1">
        <v>44335</v>
      </c>
      <c r="D9519" s="1">
        <v>44341</v>
      </c>
      <c r="E9519">
        <v>1</v>
      </c>
      <c r="F9519" t="s">
        <v>3940</v>
      </c>
      <c r="G9519" t="str">
        <f>"08-I03-06"</f>
        <v>08-I03-06</v>
      </c>
      <c r="H9519">
        <v>3.3738000000000001</v>
      </c>
      <c r="J9519" t="s">
        <v>17</v>
      </c>
      <c r="K9519" t="str">
        <f>"5F6"</f>
        <v>5F6</v>
      </c>
      <c r="L9519" t="s">
        <v>15</v>
      </c>
    </row>
    <row r="9520" spans="1:12" x14ac:dyDescent="0.25">
      <c r="A9520" t="str">
        <f>"7112019948"</f>
        <v>7112019948</v>
      </c>
      <c r="B9520" t="str">
        <f t="shared" si="417"/>
        <v>89301000</v>
      </c>
      <c r="C9520" s="1">
        <v>44494</v>
      </c>
      <c r="D9520" s="1">
        <v>44500</v>
      </c>
      <c r="E9520">
        <v>1</v>
      </c>
      <c r="F9520" t="s">
        <v>2585</v>
      </c>
      <c r="G9520" t="str">
        <f>"12-I03-01"</f>
        <v>12-I03-01</v>
      </c>
      <c r="H9520">
        <v>2.6785999999999999</v>
      </c>
      <c r="I9520" t="s">
        <v>6575</v>
      </c>
      <c r="J9520" t="s">
        <v>14</v>
      </c>
      <c r="K9520" t="str">
        <f>"7F6"</f>
        <v>7F6</v>
      </c>
      <c r="L9520" t="s">
        <v>15</v>
      </c>
    </row>
    <row r="9521" spans="1:12" x14ac:dyDescent="0.25">
      <c r="A9521" t="str">
        <f>"7112114460"</f>
        <v>7112114460</v>
      </c>
      <c r="B9521" t="str">
        <f t="shared" si="417"/>
        <v>89301000</v>
      </c>
      <c r="C9521" s="1">
        <v>44431</v>
      </c>
      <c r="D9521" s="1">
        <v>44432</v>
      </c>
      <c r="E9521">
        <v>1</v>
      </c>
      <c r="F9521" t="s">
        <v>2859</v>
      </c>
      <c r="G9521" t="str">
        <f>"05-D01-06"</f>
        <v>05-D01-06</v>
      </c>
      <c r="H9521">
        <v>0.7611</v>
      </c>
      <c r="I9521" t="s">
        <v>3002</v>
      </c>
      <c r="J9521" t="s">
        <v>14</v>
      </c>
      <c r="K9521" t="str">
        <f>"1F1"</f>
        <v>1F1</v>
      </c>
      <c r="L9521" t="s">
        <v>15</v>
      </c>
    </row>
    <row r="9522" spans="1:12" x14ac:dyDescent="0.25">
      <c r="A9522" t="str">
        <f>"7112114460"</f>
        <v>7112114460</v>
      </c>
      <c r="B9522" t="str">
        <f t="shared" si="417"/>
        <v>89301000</v>
      </c>
      <c r="C9522" s="1">
        <v>44469</v>
      </c>
      <c r="D9522" s="1">
        <v>44478</v>
      </c>
      <c r="E9522">
        <v>1</v>
      </c>
      <c r="F9522" t="s">
        <v>3002</v>
      </c>
      <c r="G9522" t="str">
        <f>"05-I07-03"</f>
        <v>05-I07-03</v>
      </c>
      <c r="H9522">
        <v>8.3796999999999997</v>
      </c>
      <c r="I9522" t="s">
        <v>6576</v>
      </c>
      <c r="J9522" t="s">
        <v>17</v>
      </c>
      <c r="K9522" t="str">
        <f>"5F5"</f>
        <v>5F5</v>
      </c>
      <c r="L9522" t="s">
        <v>15</v>
      </c>
    </row>
    <row r="9523" spans="1:12" x14ac:dyDescent="0.25">
      <c r="A9523" t="str">
        <f>"7112155314"</f>
        <v>7112155314</v>
      </c>
      <c r="B9523" t="str">
        <f t="shared" si="417"/>
        <v>89301000</v>
      </c>
      <c r="C9523" s="1">
        <v>44377</v>
      </c>
      <c r="D9523" s="1">
        <v>44378</v>
      </c>
      <c r="E9523">
        <v>1</v>
      </c>
      <c r="F9523" t="s">
        <v>41</v>
      </c>
      <c r="G9523" t="str">
        <f>"01-D01-03"</f>
        <v>01-D01-03</v>
      </c>
      <c r="H9523">
        <v>0.158</v>
      </c>
      <c r="J9523" t="s">
        <v>14</v>
      </c>
      <c r="K9523" t="str">
        <f>"2F5"</f>
        <v>2F5</v>
      </c>
      <c r="L9523" t="s">
        <v>15</v>
      </c>
    </row>
    <row r="9524" spans="1:12" x14ac:dyDescent="0.25">
      <c r="A9524" t="str">
        <f>"7151055549"</f>
        <v>7151055549</v>
      </c>
      <c r="B9524" t="str">
        <f t="shared" si="417"/>
        <v>89301000</v>
      </c>
      <c r="C9524" s="1">
        <v>44389</v>
      </c>
      <c r="D9524" s="1">
        <v>44427</v>
      </c>
      <c r="E9524">
        <v>1</v>
      </c>
      <c r="F9524" t="s">
        <v>77</v>
      </c>
      <c r="G9524" t="str">
        <f>"19-K07-02"</f>
        <v>19-K07-02</v>
      </c>
      <c r="H9524">
        <v>2.8759999999999999</v>
      </c>
      <c r="I9524" t="s">
        <v>6577</v>
      </c>
      <c r="J9524" t="s">
        <v>27</v>
      </c>
      <c r="K9524" t="str">
        <f>"3F5"</f>
        <v>3F5</v>
      </c>
      <c r="L9524" t="s">
        <v>15</v>
      </c>
    </row>
    <row r="9525" spans="1:12" x14ac:dyDescent="0.25">
      <c r="A9525" t="str">
        <f>"7151064481"</f>
        <v>7151064481</v>
      </c>
      <c r="B9525" t="str">
        <f t="shared" si="417"/>
        <v>89301000</v>
      </c>
      <c r="C9525" s="1">
        <v>44486</v>
      </c>
      <c r="D9525" s="1">
        <v>44488</v>
      </c>
      <c r="E9525">
        <v>1</v>
      </c>
      <c r="F9525" t="s">
        <v>449</v>
      </c>
      <c r="G9525" t="str">
        <f>"02-I11-02"</f>
        <v>02-I11-02</v>
      </c>
      <c r="H9525">
        <v>0.64790000000000003</v>
      </c>
      <c r="I9525" t="s">
        <v>6578</v>
      </c>
      <c r="J9525" t="s">
        <v>17</v>
      </c>
      <c r="K9525" t="str">
        <f>"7F5"</f>
        <v>7F5</v>
      </c>
      <c r="L9525" t="s">
        <v>15</v>
      </c>
    </row>
    <row r="9526" spans="1:12" x14ac:dyDescent="0.25">
      <c r="A9526" t="str">
        <f>"7151195315"</f>
        <v>7151195315</v>
      </c>
      <c r="B9526" t="str">
        <f t="shared" si="417"/>
        <v>89301000</v>
      </c>
      <c r="C9526" s="1">
        <v>44354</v>
      </c>
      <c r="D9526" s="1">
        <v>44357</v>
      </c>
      <c r="E9526">
        <v>1</v>
      </c>
      <c r="F9526" t="s">
        <v>1551</v>
      </c>
      <c r="G9526" t="str">
        <f>"09-I06-04"</f>
        <v>09-I06-04</v>
      </c>
      <c r="H9526">
        <v>0.98829999999999996</v>
      </c>
      <c r="J9526" t="s">
        <v>17</v>
      </c>
      <c r="K9526" t="str">
        <f>"5F1"</f>
        <v>5F1</v>
      </c>
      <c r="L9526" t="s">
        <v>15</v>
      </c>
    </row>
    <row r="9527" spans="1:12" x14ac:dyDescent="0.25">
      <c r="A9527" t="str">
        <f>"7151215324"</f>
        <v>7151215324</v>
      </c>
      <c r="B9527" t="str">
        <f t="shared" si="417"/>
        <v>89301000</v>
      </c>
      <c r="C9527" s="1">
        <v>44250</v>
      </c>
      <c r="D9527" s="1">
        <v>44252</v>
      </c>
      <c r="E9527">
        <v>1</v>
      </c>
      <c r="F9527" t="s">
        <v>445</v>
      </c>
      <c r="G9527" t="str">
        <f>"08-I17-02"</f>
        <v>08-I17-02</v>
      </c>
      <c r="H9527">
        <v>0.98309999999999997</v>
      </c>
      <c r="I9527" t="s">
        <v>211</v>
      </c>
      <c r="J9527" t="s">
        <v>14</v>
      </c>
      <c r="K9527" t="str">
        <f>"5F3"</f>
        <v>5F3</v>
      </c>
      <c r="L9527" t="s">
        <v>15</v>
      </c>
    </row>
    <row r="9528" spans="1:12" x14ac:dyDescent="0.25">
      <c r="A9528" t="str">
        <f>"7151279454"</f>
        <v>7151279454</v>
      </c>
      <c r="B9528" t="str">
        <f t="shared" si="417"/>
        <v>89301000</v>
      </c>
      <c r="C9528" s="1">
        <v>44355</v>
      </c>
      <c r="D9528" s="1">
        <v>44357</v>
      </c>
      <c r="E9528">
        <v>1</v>
      </c>
      <c r="F9528" t="s">
        <v>49</v>
      </c>
      <c r="G9528" t="str">
        <f>"01-K18-04"</f>
        <v>01-K18-04</v>
      </c>
      <c r="H9528">
        <v>0.49890000000000001</v>
      </c>
      <c r="J9528" t="s">
        <v>14</v>
      </c>
      <c r="K9528" t="str">
        <f>"2F9"</f>
        <v>2F9</v>
      </c>
      <c r="L9528" t="s">
        <v>15</v>
      </c>
    </row>
    <row r="9529" spans="1:12" x14ac:dyDescent="0.25">
      <c r="A9529" t="str">
        <f>"7152014463"</f>
        <v>7152014463</v>
      </c>
      <c r="B9529" t="str">
        <f t="shared" si="417"/>
        <v>89301000</v>
      </c>
      <c r="C9529" s="1">
        <v>44518</v>
      </c>
      <c r="D9529" s="1">
        <v>44526</v>
      </c>
      <c r="E9529">
        <v>1</v>
      </c>
      <c r="F9529" t="s">
        <v>2910</v>
      </c>
      <c r="G9529" t="str">
        <f>"06-I05-04"</f>
        <v>06-I05-04</v>
      </c>
      <c r="H9529">
        <v>3.3546</v>
      </c>
      <c r="I9529" t="s">
        <v>348</v>
      </c>
      <c r="J9529" t="s">
        <v>17</v>
      </c>
      <c r="K9529" t="str">
        <f>"5F1"</f>
        <v>5F1</v>
      </c>
      <c r="L9529" t="s">
        <v>15</v>
      </c>
    </row>
    <row r="9530" spans="1:12" x14ac:dyDescent="0.25">
      <c r="A9530" t="str">
        <f>"7152030061"</f>
        <v>7152030061</v>
      </c>
      <c r="B9530" t="str">
        <f t="shared" si="417"/>
        <v>89301000</v>
      </c>
      <c r="C9530" s="1">
        <v>44220</v>
      </c>
      <c r="D9530" s="1">
        <v>44222</v>
      </c>
      <c r="E9530">
        <v>1</v>
      </c>
      <c r="F9530" t="s">
        <v>309</v>
      </c>
      <c r="G9530" t="str">
        <f>"08-M03-05"</f>
        <v>08-M03-05</v>
      </c>
      <c r="H9530">
        <v>0.51759999999999995</v>
      </c>
      <c r="J9530" t="s">
        <v>14</v>
      </c>
      <c r="K9530" t="str">
        <f>"6F6"</f>
        <v>6F6</v>
      </c>
      <c r="L9530" t="s">
        <v>15</v>
      </c>
    </row>
    <row r="9531" spans="1:12" x14ac:dyDescent="0.25">
      <c r="A9531" t="str">
        <f>"7152033779"</f>
        <v>7152033779</v>
      </c>
      <c r="B9531" t="str">
        <f t="shared" si="417"/>
        <v>89301000</v>
      </c>
      <c r="C9531" s="1">
        <v>44559</v>
      </c>
      <c r="D9531" s="1">
        <v>44560</v>
      </c>
      <c r="E9531">
        <v>1</v>
      </c>
      <c r="F9531" t="s">
        <v>2541</v>
      </c>
      <c r="G9531" t="str">
        <f>"13-I19-00"</f>
        <v>13-I19-00</v>
      </c>
      <c r="H9531">
        <v>0.24679999999999999</v>
      </c>
      <c r="J9531" t="s">
        <v>14</v>
      </c>
      <c r="K9531" t="str">
        <f>"6F3"</f>
        <v>6F3</v>
      </c>
      <c r="L9531" t="s">
        <v>15</v>
      </c>
    </row>
    <row r="9532" spans="1:12" x14ac:dyDescent="0.25">
      <c r="A9532" t="str">
        <f>"7152065338"</f>
        <v>7152065338</v>
      </c>
      <c r="B9532" t="str">
        <f t="shared" si="417"/>
        <v>89301000</v>
      </c>
      <c r="C9532" s="1">
        <v>44543</v>
      </c>
      <c r="D9532" s="1">
        <v>44546</v>
      </c>
      <c r="E9532">
        <v>1</v>
      </c>
      <c r="F9532" t="s">
        <v>1551</v>
      </c>
      <c r="G9532" t="str">
        <f>"09-I06-04"</f>
        <v>09-I06-04</v>
      </c>
      <c r="H9532">
        <v>0.98829999999999996</v>
      </c>
      <c r="J9532" t="s">
        <v>17</v>
      </c>
      <c r="K9532" t="str">
        <f>"5F1"</f>
        <v>5F1</v>
      </c>
      <c r="L9532" t="s">
        <v>15</v>
      </c>
    </row>
    <row r="9533" spans="1:12" x14ac:dyDescent="0.25">
      <c r="A9533" t="str">
        <f>"7152066779"</f>
        <v>7152066779</v>
      </c>
      <c r="B9533" t="str">
        <f t="shared" si="417"/>
        <v>89301000</v>
      </c>
      <c r="C9533" s="1">
        <v>44376</v>
      </c>
      <c r="D9533" s="1">
        <v>44378</v>
      </c>
      <c r="E9533">
        <v>1</v>
      </c>
      <c r="F9533" t="s">
        <v>473</v>
      </c>
      <c r="G9533" t="str">
        <f>"05-K13-02"</f>
        <v>05-K13-02</v>
      </c>
      <c r="H9533">
        <v>0.60950000000000004</v>
      </c>
      <c r="I9533" t="s">
        <v>168</v>
      </c>
      <c r="J9533" t="s">
        <v>14</v>
      </c>
      <c r="K9533" t="str">
        <f>"1F5"</f>
        <v>1F5</v>
      </c>
      <c r="L9533" t="s">
        <v>15</v>
      </c>
    </row>
    <row r="9534" spans="1:12" x14ac:dyDescent="0.25">
      <c r="A9534" t="str">
        <f>"7152085303"</f>
        <v>7152085303</v>
      </c>
      <c r="B9534" t="str">
        <f t="shared" si="417"/>
        <v>89301000</v>
      </c>
      <c r="C9534" s="1">
        <v>44494</v>
      </c>
      <c r="D9534" s="1">
        <v>44538</v>
      </c>
      <c r="E9534">
        <v>4</v>
      </c>
      <c r="F9534" t="s">
        <v>217</v>
      </c>
      <c r="G9534" t="str">
        <f>"00-M01-04"</f>
        <v>00-M01-04</v>
      </c>
      <c r="H9534">
        <v>11.657400000000001</v>
      </c>
      <c r="I9534" t="s">
        <v>6579</v>
      </c>
      <c r="J9534" t="s">
        <v>14</v>
      </c>
      <c r="K9534" t="str">
        <f>"2F5"</f>
        <v>2F5</v>
      </c>
      <c r="L9534" t="s">
        <v>15</v>
      </c>
    </row>
    <row r="9535" spans="1:12" x14ac:dyDescent="0.25">
      <c r="A9535" t="str">
        <f>"7152131844"</f>
        <v>7152131844</v>
      </c>
      <c r="B9535" t="str">
        <f t="shared" si="417"/>
        <v>89301000</v>
      </c>
      <c r="C9535" s="1">
        <v>44335</v>
      </c>
      <c r="D9535" s="1">
        <v>44340</v>
      </c>
      <c r="E9535">
        <v>1</v>
      </c>
      <c r="F9535" t="s">
        <v>43</v>
      </c>
      <c r="G9535" t="str">
        <f>"06-I18-05"</f>
        <v>06-I18-05</v>
      </c>
      <c r="H9535">
        <v>1.0345</v>
      </c>
      <c r="I9535" t="s">
        <v>348</v>
      </c>
      <c r="J9535" t="s">
        <v>24</v>
      </c>
      <c r="K9535" t="str">
        <f>"5F1"</f>
        <v>5F1</v>
      </c>
      <c r="L9535" t="s">
        <v>15</v>
      </c>
    </row>
    <row r="9536" spans="1:12" x14ac:dyDescent="0.25">
      <c r="A9536" t="str">
        <f>"7152142734"</f>
        <v>7152142734</v>
      </c>
      <c r="B9536" t="str">
        <f t="shared" si="417"/>
        <v>89301000</v>
      </c>
      <c r="C9536" s="1">
        <v>44334</v>
      </c>
      <c r="D9536" s="1">
        <v>44337</v>
      </c>
      <c r="E9536">
        <v>1</v>
      </c>
      <c r="F9536" t="s">
        <v>3536</v>
      </c>
      <c r="G9536" t="str">
        <f>"03-K09-01"</f>
        <v>03-K09-01</v>
      </c>
      <c r="H9536">
        <v>0.59919999999999995</v>
      </c>
      <c r="I9536" t="s">
        <v>348</v>
      </c>
      <c r="J9536" t="s">
        <v>14</v>
      </c>
      <c r="K9536" t="str">
        <f>"7F1"</f>
        <v>7F1</v>
      </c>
      <c r="L9536" t="s">
        <v>15</v>
      </c>
    </row>
    <row r="9537" spans="1:12" x14ac:dyDescent="0.25">
      <c r="A9537" t="str">
        <f>"7152155318"</f>
        <v>7152155318</v>
      </c>
      <c r="B9537" t="str">
        <f t="shared" si="417"/>
        <v>89301000</v>
      </c>
      <c r="C9537" s="1">
        <v>44243</v>
      </c>
      <c r="D9537" s="1">
        <v>44245</v>
      </c>
      <c r="E9537">
        <v>1</v>
      </c>
      <c r="F9537" t="s">
        <v>6580</v>
      </c>
      <c r="G9537" t="str">
        <f>"08-I25-02"</f>
        <v>08-I25-02</v>
      </c>
      <c r="H9537">
        <v>0.5746</v>
      </c>
      <c r="I9537" t="s">
        <v>168</v>
      </c>
      <c r="J9537" t="s">
        <v>14</v>
      </c>
      <c r="K9537" t="str">
        <f>"5F3"</f>
        <v>5F3</v>
      </c>
      <c r="L9537" t="s">
        <v>15</v>
      </c>
    </row>
    <row r="9538" spans="1:12" x14ac:dyDescent="0.25">
      <c r="A9538" t="str">
        <f>"7153025726"</f>
        <v>7153025726</v>
      </c>
      <c r="B9538" t="str">
        <f t="shared" si="417"/>
        <v>89301000</v>
      </c>
      <c r="C9538" s="1">
        <v>44495</v>
      </c>
      <c r="D9538" s="1">
        <v>44501</v>
      </c>
      <c r="E9538">
        <v>1</v>
      </c>
      <c r="F9538" t="s">
        <v>2049</v>
      </c>
      <c r="G9538" t="str">
        <f>"06-M01-03"</f>
        <v>06-M01-03</v>
      </c>
      <c r="H9538">
        <v>0.82450000000000001</v>
      </c>
      <c r="I9538" t="s">
        <v>6581</v>
      </c>
      <c r="J9538" t="s">
        <v>14</v>
      </c>
      <c r="K9538" t="str">
        <f>"1F1"</f>
        <v>1F1</v>
      </c>
      <c r="L9538" t="s">
        <v>15</v>
      </c>
    </row>
    <row r="9539" spans="1:12" x14ac:dyDescent="0.25">
      <c r="A9539" t="str">
        <f>"7153045691"</f>
        <v>7153045691</v>
      </c>
      <c r="B9539" t="str">
        <f t="shared" si="417"/>
        <v>89301000</v>
      </c>
      <c r="C9539" s="1">
        <v>44453</v>
      </c>
      <c r="D9539" s="1">
        <v>44470</v>
      </c>
      <c r="E9539">
        <v>1</v>
      </c>
      <c r="F9539" t="s">
        <v>109</v>
      </c>
      <c r="G9539" t="str">
        <f>"24-M07-02"</f>
        <v>24-M07-02</v>
      </c>
      <c r="H9539">
        <v>1.5094000000000001</v>
      </c>
      <c r="I9539" t="s">
        <v>6582</v>
      </c>
      <c r="J9539" t="s">
        <v>14</v>
      </c>
      <c r="K9539" t="str">
        <f>"2F1"</f>
        <v>2F1</v>
      </c>
      <c r="L9539" t="s">
        <v>15</v>
      </c>
    </row>
    <row r="9540" spans="1:12" x14ac:dyDescent="0.25">
      <c r="A9540" t="str">
        <f>"7153075303"</f>
        <v>7153075303</v>
      </c>
      <c r="B9540" t="str">
        <f t="shared" si="417"/>
        <v>89301000</v>
      </c>
      <c r="C9540" s="1">
        <v>44202</v>
      </c>
      <c r="D9540" s="1">
        <v>44211</v>
      </c>
      <c r="E9540">
        <v>1</v>
      </c>
      <c r="F9540" t="s">
        <v>1646</v>
      </c>
      <c r="G9540" t="str">
        <f>"04-K02-03"</f>
        <v>04-K02-03</v>
      </c>
      <c r="H9540">
        <v>1.2859</v>
      </c>
      <c r="I9540" t="s">
        <v>6583</v>
      </c>
      <c r="J9540" t="s">
        <v>14</v>
      </c>
      <c r="K9540" t="str">
        <f>"2F5"</f>
        <v>2F5</v>
      </c>
      <c r="L9540" t="s">
        <v>15</v>
      </c>
    </row>
    <row r="9541" spans="1:12" x14ac:dyDescent="0.25">
      <c r="A9541" t="str">
        <f>"7153214475"</f>
        <v>7153214475</v>
      </c>
      <c r="B9541" t="str">
        <f t="shared" si="417"/>
        <v>89301000</v>
      </c>
      <c r="C9541" s="1">
        <v>44473</v>
      </c>
      <c r="D9541" s="1">
        <v>44474</v>
      </c>
      <c r="E9541">
        <v>1</v>
      </c>
      <c r="F9541" t="s">
        <v>41</v>
      </c>
      <c r="G9541" t="str">
        <f>"01-D01-03"</f>
        <v>01-D01-03</v>
      </c>
      <c r="H9541">
        <v>0.158</v>
      </c>
      <c r="J9541" t="s">
        <v>14</v>
      </c>
      <c r="K9541" t="str">
        <f>"2F5"</f>
        <v>2F5</v>
      </c>
      <c r="L9541" t="s">
        <v>15</v>
      </c>
    </row>
    <row r="9542" spans="1:12" x14ac:dyDescent="0.25">
      <c r="A9542" t="str">
        <f>"7153254460"</f>
        <v>7153254460</v>
      </c>
      <c r="B9542" t="str">
        <f t="shared" si="417"/>
        <v>89301000</v>
      </c>
      <c r="C9542" s="1">
        <v>44432</v>
      </c>
      <c r="D9542" s="1">
        <v>44434</v>
      </c>
      <c r="E9542">
        <v>1</v>
      </c>
      <c r="F9542" t="s">
        <v>6585</v>
      </c>
      <c r="G9542" t="str">
        <f>"08-I31-04"</f>
        <v>08-I31-04</v>
      </c>
      <c r="H9542">
        <v>0.50949999999999995</v>
      </c>
      <c r="J9542" t="s">
        <v>14</v>
      </c>
      <c r="K9542" t="str">
        <f>"5F3"</f>
        <v>5F3</v>
      </c>
      <c r="L9542" t="s">
        <v>15</v>
      </c>
    </row>
    <row r="9543" spans="1:12" x14ac:dyDescent="0.25">
      <c r="A9543" t="str">
        <f>"7153264833"</f>
        <v>7153264833</v>
      </c>
      <c r="B9543" t="str">
        <f t="shared" si="417"/>
        <v>89301000</v>
      </c>
      <c r="C9543" s="1">
        <v>44508</v>
      </c>
      <c r="D9543" s="1">
        <v>44512</v>
      </c>
      <c r="E9543">
        <v>1</v>
      </c>
      <c r="F9543" t="s">
        <v>1551</v>
      </c>
      <c r="G9543" t="str">
        <f>"09-I06-04"</f>
        <v>09-I06-04</v>
      </c>
      <c r="H9543">
        <v>0.98829999999999996</v>
      </c>
      <c r="J9543" t="s">
        <v>17</v>
      </c>
      <c r="K9543" t="str">
        <f>"5F1"</f>
        <v>5F1</v>
      </c>
      <c r="L9543" t="s">
        <v>15</v>
      </c>
    </row>
    <row r="9544" spans="1:12" x14ac:dyDescent="0.25">
      <c r="A9544" t="str">
        <f>"7153284457"</f>
        <v>7153284457</v>
      </c>
      <c r="B9544" t="str">
        <f t="shared" si="417"/>
        <v>89301000</v>
      </c>
      <c r="C9544" s="1">
        <v>44446</v>
      </c>
      <c r="D9544" s="1">
        <v>44449</v>
      </c>
      <c r="E9544">
        <v>1</v>
      </c>
      <c r="F9544" t="s">
        <v>16</v>
      </c>
      <c r="G9544" t="str">
        <f>"08-I04-03"</f>
        <v>08-I04-03</v>
      </c>
      <c r="H9544">
        <v>1.331</v>
      </c>
      <c r="J9544" t="s">
        <v>17</v>
      </c>
      <c r="K9544" t="str">
        <f>"5F6"</f>
        <v>5F6</v>
      </c>
      <c r="L9544" t="s">
        <v>15</v>
      </c>
    </row>
    <row r="9545" spans="1:12" x14ac:dyDescent="0.25">
      <c r="A9545" t="str">
        <f>"7153315301"</f>
        <v>7153315301</v>
      </c>
      <c r="B9545" t="str">
        <f t="shared" si="417"/>
        <v>89301000</v>
      </c>
      <c r="C9545" s="1">
        <v>44535</v>
      </c>
      <c r="D9545" s="1">
        <v>44537</v>
      </c>
      <c r="E9545">
        <v>1</v>
      </c>
      <c r="F9545" t="s">
        <v>445</v>
      </c>
      <c r="G9545" t="str">
        <f>"08-I17-02"</f>
        <v>08-I17-02</v>
      </c>
      <c r="H9545">
        <v>0.98309999999999997</v>
      </c>
      <c r="I9545" t="s">
        <v>244</v>
      </c>
      <c r="J9545" t="s">
        <v>14</v>
      </c>
      <c r="K9545" t="str">
        <f>"5F3"</f>
        <v>5F3</v>
      </c>
      <c r="L9545" t="s">
        <v>15</v>
      </c>
    </row>
    <row r="9546" spans="1:12" x14ac:dyDescent="0.25">
      <c r="A9546" t="str">
        <f>"7154025758"</f>
        <v>7154025758</v>
      </c>
      <c r="B9546" t="str">
        <f t="shared" si="417"/>
        <v>89301000</v>
      </c>
      <c r="C9546" s="1">
        <v>44357</v>
      </c>
      <c r="D9546" s="1">
        <v>44364</v>
      </c>
      <c r="E9546">
        <v>1</v>
      </c>
      <c r="F9546" t="s">
        <v>5458</v>
      </c>
      <c r="G9546" t="str">
        <f>"08-K02-03"</f>
        <v>08-K02-03</v>
      </c>
      <c r="H9546">
        <v>0.73560000000000003</v>
      </c>
      <c r="I9546" t="s">
        <v>6586</v>
      </c>
      <c r="J9546" t="s">
        <v>14</v>
      </c>
      <c r="K9546" t="str">
        <f>"1F9"</f>
        <v>1F9</v>
      </c>
      <c r="L9546" t="s">
        <v>15</v>
      </c>
    </row>
    <row r="9547" spans="1:12" x14ac:dyDescent="0.25">
      <c r="A9547" t="str">
        <f>"7154155360"</f>
        <v>7154155360</v>
      </c>
      <c r="B9547" t="str">
        <f t="shared" si="417"/>
        <v>89301000</v>
      </c>
      <c r="C9547" s="1">
        <v>44377</v>
      </c>
      <c r="D9547" s="1">
        <v>44381</v>
      </c>
      <c r="E9547">
        <v>1</v>
      </c>
      <c r="F9547" t="s">
        <v>6271</v>
      </c>
      <c r="G9547" t="str">
        <f>"08-K02-03"</f>
        <v>08-K02-03</v>
      </c>
      <c r="H9547">
        <v>0.73560000000000003</v>
      </c>
      <c r="I9547" t="s">
        <v>6587</v>
      </c>
      <c r="J9547" t="s">
        <v>14</v>
      </c>
      <c r="K9547" t="str">
        <f>"1F9"</f>
        <v>1F9</v>
      </c>
      <c r="L9547" t="s">
        <v>15</v>
      </c>
    </row>
    <row r="9548" spans="1:12" x14ac:dyDescent="0.25">
      <c r="A9548" t="str">
        <f>"7154175347"</f>
        <v>7154175347</v>
      </c>
      <c r="B9548" t="str">
        <f t="shared" si="417"/>
        <v>89301000</v>
      </c>
      <c r="C9548" s="1">
        <v>44543</v>
      </c>
      <c r="D9548" s="1">
        <v>44546</v>
      </c>
      <c r="E9548">
        <v>1</v>
      </c>
      <c r="F9548" t="s">
        <v>6439</v>
      </c>
      <c r="G9548" t="str">
        <f>"23-I08-00"</f>
        <v>23-I08-00</v>
      </c>
      <c r="H9548">
        <v>0.79700000000000004</v>
      </c>
      <c r="J9548" t="s">
        <v>24</v>
      </c>
      <c r="K9548" t="str">
        <f>"6F3"</f>
        <v>6F3</v>
      </c>
      <c r="L9548" t="s">
        <v>15</v>
      </c>
    </row>
    <row r="9549" spans="1:12" x14ac:dyDescent="0.25">
      <c r="A9549" t="str">
        <f>"7155065346"</f>
        <v>7155065346</v>
      </c>
      <c r="B9549" t="str">
        <f t="shared" si="417"/>
        <v>89301000</v>
      </c>
      <c r="C9549" s="1">
        <v>44270</v>
      </c>
      <c r="D9549" s="1">
        <v>44274</v>
      </c>
      <c r="E9549">
        <v>1</v>
      </c>
      <c r="F9549" t="s">
        <v>87</v>
      </c>
      <c r="G9549" t="str">
        <f>"09-K04-02"</f>
        <v>09-K04-02</v>
      </c>
      <c r="H9549">
        <v>0.68279999999999996</v>
      </c>
      <c r="I9549" t="s">
        <v>6588</v>
      </c>
      <c r="J9549" t="s">
        <v>14</v>
      </c>
      <c r="K9549" t="str">
        <f>"4F4"</f>
        <v>4F4</v>
      </c>
      <c r="L9549" t="s">
        <v>15</v>
      </c>
    </row>
    <row r="9550" spans="1:12" x14ac:dyDescent="0.25">
      <c r="A9550" t="str">
        <f>"7155095310"</f>
        <v>7155095310</v>
      </c>
      <c r="B9550" t="str">
        <f t="shared" si="417"/>
        <v>89301000</v>
      </c>
      <c r="C9550" s="1">
        <v>44360</v>
      </c>
      <c r="D9550" s="1">
        <v>44363</v>
      </c>
      <c r="E9550">
        <v>1</v>
      </c>
      <c r="F9550" t="s">
        <v>6589</v>
      </c>
      <c r="G9550" t="str">
        <f>"08-M03-05"</f>
        <v>08-M03-05</v>
      </c>
      <c r="H9550">
        <v>0.51759999999999995</v>
      </c>
      <c r="I9550" t="s">
        <v>309</v>
      </c>
      <c r="J9550" t="s">
        <v>14</v>
      </c>
      <c r="K9550" t="str">
        <f>"6F6"</f>
        <v>6F6</v>
      </c>
      <c r="L9550" t="s">
        <v>15</v>
      </c>
    </row>
    <row r="9551" spans="1:12" x14ac:dyDescent="0.25">
      <c r="A9551" t="str">
        <f>"7155105342"</f>
        <v>7155105342</v>
      </c>
      <c r="B9551" t="str">
        <f t="shared" si="417"/>
        <v>89301000</v>
      </c>
      <c r="C9551" s="1">
        <v>44448</v>
      </c>
      <c r="D9551" s="1">
        <v>44453</v>
      </c>
      <c r="E9551">
        <v>1</v>
      </c>
      <c r="F9551" t="s">
        <v>31</v>
      </c>
      <c r="G9551" t="str">
        <f>"08-I03-06"</f>
        <v>08-I03-06</v>
      </c>
      <c r="H9551">
        <v>3.3039999999999998</v>
      </c>
      <c r="J9551" t="s">
        <v>17</v>
      </c>
      <c r="K9551" t="str">
        <f>"5F6"</f>
        <v>5F6</v>
      </c>
      <c r="L9551" t="s">
        <v>15</v>
      </c>
    </row>
    <row r="9552" spans="1:12" x14ac:dyDescent="0.25">
      <c r="A9552" t="str">
        <f>"7155264468"</f>
        <v>7155264468</v>
      </c>
      <c r="B9552" t="str">
        <f t="shared" si="417"/>
        <v>89301000</v>
      </c>
      <c r="C9552" s="1">
        <v>44256</v>
      </c>
      <c r="D9552" s="1">
        <v>44260</v>
      </c>
      <c r="E9552">
        <v>1</v>
      </c>
      <c r="F9552" t="s">
        <v>602</v>
      </c>
      <c r="G9552" t="str">
        <f>"09-K14-02"</f>
        <v>09-K14-02</v>
      </c>
      <c r="H9552">
        <v>0.50549999999999995</v>
      </c>
      <c r="J9552" t="s">
        <v>14</v>
      </c>
      <c r="K9552" t="str">
        <f>"4F4"</f>
        <v>4F4</v>
      </c>
      <c r="L9552" t="s">
        <v>15</v>
      </c>
    </row>
    <row r="9553" spans="1:12" x14ac:dyDescent="0.25">
      <c r="A9553" t="str">
        <f>"7155285753"</f>
        <v>7155285753</v>
      </c>
      <c r="B9553" t="str">
        <f t="shared" si="417"/>
        <v>89301000</v>
      </c>
      <c r="C9553" s="1">
        <v>44459</v>
      </c>
      <c r="D9553" s="1">
        <v>44461</v>
      </c>
      <c r="E9553">
        <v>1</v>
      </c>
      <c r="F9553" t="s">
        <v>4382</v>
      </c>
      <c r="G9553" t="str">
        <f>"05-I30-02"</f>
        <v>05-I30-02</v>
      </c>
      <c r="H9553">
        <v>0.46729999999999999</v>
      </c>
      <c r="I9553" t="s">
        <v>2340</v>
      </c>
      <c r="J9553" t="s">
        <v>14</v>
      </c>
      <c r="K9553" t="str">
        <f>"5F1"</f>
        <v>5F1</v>
      </c>
      <c r="L9553" t="s">
        <v>15</v>
      </c>
    </row>
    <row r="9554" spans="1:12" x14ac:dyDescent="0.25">
      <c r="A9554" t="str">
        <f>"7156045765"</f>
        <v>7156045765</v>
      </c>
      <c r="B9554" t="str">
        <f t="shared" si="417"/>
        <v>89301000</v>
      </c>
      <c r="C9554" s="1">
        <v>44428</v>
      </c>
      <c r="D9554" s="1">
        <v>44429</v>
      </c>
      <c r="E9554">
        <v>1</v>
      </c>
      <c r="F9554" t="s">
        <v>1545</v>
      </c>
      <c r="G9554" t="str">
        <f>"05-D01-06"</f>
        <v>05-D01-06</v>
      </c>
      <c r="H9554">
        <v>0.7611</v>
      </c>
      <c r="I9554" t="s">
        <v>489</v>
      </c>
      <c r="J9554" t="s">
        <v>14</v>
      </c>
      <c r="K9554" t="str">
        <f>"1F1"</f>
        <v>1F1</v>
      </c>
      <c r="L9554" t="s">
        <v>15</v>
      </c>
    </row>
    <row r="9555" spans="1:12" x14ac:dyDescent="0.25">
      <c r="A9555" t="str">
        <f>"7156085354"</f>
        <v>7156085354</v>
      </c>
      <c r="B9555" t="str">
        <f t="shared" si="417"/>
        <v>89301000</v>
      </c>
      <c r="C9555" s="1">
        <v>44467</v>
      </c>
      <c r="D9555" s="1">
        <v>44473</v>
      </c>
      <c r="E9555">
        <v>1</v>
      </c>
      <c r="F9555" t="s">
        <v>1378</v>
      </c>
      <c r="G9555" t="str">
        <f>"06-M01-03"</f>
        <v>06-M01-03</v>
      </c>
      <c r="H9555">
        <v>0.82450000000000001</v>
      </c>
      <c r="I9555" t="s">
        <v>6590</v>
      </c>
      <c r="J9555" t="s">
        <v>14</v>
      </c>
      <c r="K9555" t="str">
        <f>"1F5"</f>
        <v>1F5</v>
      </c>
      <c r="L9555" t="s">
        <v>15</v>
      </c>
    </row>
    <row r="9556" spans="1:12" x14ac:dyDescent="0.25">
      <c r="A9556" t="str">
        <f>"7156114977"</f>
        <v>7156114977</v>
      </c>
      <c r="B9556" t="str">
        <f t="shared" si="417"/>
        <v>89301000</v>
      </c>
      <c r="C9556" s="1">
        <v>44307</v>
      </c>
      <c r="D9556" s="1">
        <v>44309</v>
      </c>
      <c r="E9556">
        <v>2</v>
      </c>
      <c r="F9556" t="s">
        <v>1799</v>
      </c>
      <c r="G9556" t="str">
        <f>"19-K02-03"</f>
        <v>19-K02-03</v>
      </c>
      <c r="H9556">
        <v>0.67269999999999996</v>
      </c>
      <c r="I9556" t="s">
        <v>6591</v>
      </c>
      <c r="J9556" t="s">
        <v>27</v>
      </c>
      <c r="K9556" t="str">
        <f>"3F5"</f>
        <v>3F5</v>
      </c>
      <c r="L9556" t="s">
        <v>15</v>
      </c>
    </row>
    <row r="9557" spans="1:12" x14ac:dyDescent="0.25">
      <c r="A9557" t="str">
        <f>"7156165753"</f>
        <v>7156165753</v>
      </c>
      <c r="B9557" t="str">
        <f t="shared" si="417"/>
        <v>89301000</v>
      </c>
      <c r="C9557" s="1">
        <v>44244</v>
      </c>
      <c r="D9557" s="1">
        <v>44247</v>
      </c>
      <c r="E9557">
        <v>1</v>
      </c>
      <c r="F9557" t="s">
        <v>496</v>
      </c>
      <c r="G9557" t="str">
        <f>"08-M03-05"</f>
        <v>08-M03-05</v>
      </c>
      <c r="H9557">
        <v>0.51759999999999995</v>
      </c>
      <c r="I9557" t="s">
        <v>5064</v>
      </c>
      <c r="J9557" t="s">
        <v>14</v>
      </c>
      <c r="K9557" t="str">
        <f>"6F6"</f>
        <v>6F6</v>
      </c>
      <c r="L9557" t="s">
        <v>15</v>
      </c>
    </row>
    <row r="9558" spans="1:12" x14ac:dyDescent="0.25">
      <c r="A9558" t="str">
        <f>"7156203758"</f>
        <v>7156203758</v>
      </c>
      <c r="B9558" t="str">
        <f t="shared" si="417"/>
        <v>89301000</v>
      </c>
      <c r="C9558" s="1">
        <v>44205</v>
      </c>
      <c r="D9558" s="1">
        <v>44207</v>
      </c>
      <c r="E9558">
        <v>1</v>
      </c>
      <c r="F9558" t="s">
        <v>304</v>
      </c>
      <c r="G9558" t="str">
        <f>"10-K03-04"</f>
        <v>10-K03-04</v>
      </c>
      <c r="H9558">
        <v>0.65159999999999996</v>
      </c>
      <c r="I9558" t="s">
        <v>6592</v>
      </c>
      <c r="J9558" t="s">
        <v>14</v>
      </c>
      <c r="K9558" t="str">
        <f>"1F1"</f>
        <v>1F1</v>
      </c>
      <c r="L9558" t="s">
        <v>15</v>
      </c>
    </row>
    <row r="9559" spans="1:12" x14ac:dyDescent="0.25">
      <c r="A9559" t="str">
        <f>"7156215792"</f>
        <v>7156215792</v>
      </c>
      <c r="B9559" t="str">
        <f t="shared" si="417"/>
        <v>89301000</v>
      </c>
      <c r="C9559" s="1">
        <v>44355</v>
      </c>
      <c r="D9559" s="1">
        <v>44358</v>
      </c>
      <c r="E9559">
        <v>1</v>
      </c>
      <c r="F9559" t="s">
        <v>16</v>
      </c>
      <c r="G9559" t="str">
        <f>"08-I04-03"</f>
        <v>08-I04-03</v>
      </c>
      <c r="H9559">
        <v>1.331</v>
      </c>
      <c r="J9559" t="s">
        <v>17</v>
      </c>
      <c r="K9559" t="str">
        <f>"5F6"</f>
        <v>5F6</v>
      </c>
      <c r="L9559" t="s">
        <v>15</v>
      </c>
    </row>
    <row r="9560" spans="1:12" x14ac:dyDescent="0.25">
      <c r="A9560" t="str">
        <f>"7156225703"</f>
        <v>7156225703</v>
      </c>
      <c r="B9560" t="str">
        <f t="shared" si="417"/>
        <v>89301000</v>
      </c>
      <c r="C9560" s="1">
        <v>44249</v>
      </c>
      <c r="D9560" s="1">
        <v>44253</v>
      </c>
      <c r="E9560">
        <v>1</v>
      </c>
      <c r="F9560" t="s">
        <v>31</v>
      </c>
      <c r="G9560" t="str">
        <f>"08-I03-06"</f>
        <v>08-I03-06</v>
      </c>
      <c r="H9560">
        <v>3.3738000000000001</v>
      </c>
      <c r="J9560" t="s">
        <v>17</v>
      </c>
      <c r="K9560" t="str">
        <f>"5F6"</f>
        <v>5F6</v>
      </c>
      <c r="L9560" t="s">
        <v>15</v>
      </c>
    </row>
    <row r="9561" spans="1:12" x14ac:dyDescent="0.25">
      <c r="A9561" t="str">
        <f>"7156295762"</f>
        <v>7156295762</v>
      </c>
      <c r="B9561" t="str">
        <f t="shared" si="417"/>
        <v>89301000</v>
      </c>
      <c r="C9561" s="1">
        <v>44298</v>
      </c>
      <c r="D9561" s="1">
        <v>44299</v>
      </c>
      <c r="E9561">
        <v>1</v>
      </c>
      <c r="F9561" t="s">
        <v>6329</v>
      </c>
      <c r="G9561" t="str">
        <f>"13-I19-00"</f>
        <v>13-I19-00</v>
      </c>
      <c r="H9561">
        <v>0.24679999999999999</v>
      </c>
      <c r="J9561" t="s">
        <v>14</v>
      </c>
      <c r="K9561" t="str">
        <f>"6F3"</f>
        <v>6F3</v>
      </c>
      <c r="L9561" t="s">
        <v>15</v>
      </c>
    </row>
    <row r="9562" spans="1:12" x14ac:dyDescent="0.25">
      <c r="A9562" t="str">
        <f>"7157025359"</f>
        <v>7157025359</v>
      </c>
      <c r="B9562" t="str">
        <f t="shared" si="417"/>
        <v>89301000</v>
      </c>
      <c r="C9562" s="1">
        <v>44391</v>
      </c>
      <c r="D9562" s="1">
        <v>44396</v>
      </c>
      <c r="E9562">
        <v>1</v>
      </c>
      <c r="F9562" t="s">
        <v>1776</v>
      </c>
      <c r="G9562" t="str">
        <f>"04-K13-01"</f>
        <v>04-K13-01</v>
      </c>
      <c r="H9562">
        <v>0.64270000000000005</v>
      </c>
      <c r="I9562" t="s">
        <v>6593</v>
      </c>
      <c r="J9562" t="s">
        <v>14</v>
      </c>
      <c r="K9562" t="str">
        <f>"5F3"</f>
        <v>5F3</v>
      </c>
      <c r="L9562" t="s">
        <v>15</v>
      </c>
    </row>
    <row r="9563" spans="1:12" x14ac:dyDescent="0.25">
      <c r="A9563" t="str">
        <f>"7157025359"</f>
        <v>7157025359</v>
      </c>
      <c r="B9563" t="str">
        <f t="shared" si="417"/>
        <v>89301000</v>
      </c>
      <c r="C9563" s="1">
        <v>44238</v>
      </c>
      <c r="D9563" s="1">
        <v>44241</v>
      </c>
      <c r="E9563">
        <v>1</v>
      </c>
      <c r="F9563" t="s">
        <v>132</v>
      </c>
      <c r="G9563" t="str">
        <f>"03-K03-02"</f>
        <v>03-K03-02</v>
      </c>
      <c r="H9563">
        <v>0.49249999999999999</v>
      </c>
      <c r="J9563" t="s">
        <v>14</v>
      </c>
      <c r="K9563" t="str">
        <f>"6F5"</f>
        <v>6F5</v>
      </c>
      <c r="L9563" t="s">
        <v>15</v>
      </c>
    </row>
    <row r="9564" spans="1:12" x14ac:dyDescent="0.25">
      <c r="A9564" t="str">
        <f>"7157065311"</f>
        <v>7157065311</v>
      </c>
      <c r="B9564" t="str">
        <f t="shared" si="417"/>
        <v>89301000</v>
      </c>
      <c r="C9564" s="1">
        <v>44447</v>
      </c>
      <c r="D9564" s="1">
        <v>44448</v>
      </c>
      <c r="E9564">
        <v>1</v>
      </c>
      <c r="F9564" t="s">
        <v>2495</v>
      </c>
      <c r="G9564" t="str">
        <f>"13-K11-00"</f>
        <v>13-K11-00</v>
      </c>
      <c r="H9564">
        <v>0.25259999999999999</v>
      </c>
      <c r="J9564" t="s">
        <v>14</v>
      </c>
      <c r="K9564" t="str">
        <f>"6F3"</f>
        <v>6F3</v>
      </c>
      <c r="L9564" t="s">
        <v>15</v>
      </c>
    </row>
    <row r="9565" spans="1:12" x14ac:dyDescent="0.25">
      <c r="A9565" t="str">
        <f>"7157065311"</f>
        <v>7157065311</v>
      </c>
      <c r="B9565" t="str">
        <f t="shared" si="417"/>
        <v>89301000</v>
      </c>
      <c r="C9565" s="1">
        <v>44489</v>
      </c>
      <c r="D9565" s="1">
        <v>44494</v>
      </c>
      <c r="E9565">
        <v>1</v>
      </c>
      <c r="F9565" t="s">
        <v>2495</v>
      </c>
      <c r="G9565" t="str">
        <f>"13-I16-00"</f>
        <v>13-I16-00</v>
      </c>
      <c r="H9565">
        <v>1.0256000000000001</v>
      </c>
      <c r="J9565" t="s">
        <v>17</v>
      </c>
      <c r="K9565" t="str">
        <f>"6F3"</f>
        <v>6F3</v>
      </c>
      <c r="L9565" t="s">
        <v>15</v>
      </c>
    </row>
    <row r="9566" spans="1:12" x14ac:dyDescent="0.25">
      <c r="A9566" t="str">
        <f>"7157075354"</f>
        <v>7157075354</v>
      </c>
      <c r="B9566" t="str">
        <f t="shared" si="417"/>
        <v>89301000</v>
      </c>
      <c r="C9566" s="1">
        <v>44321</v>
      </c>
      <c r="D9566" s="1">
        <v>44329</v>
      </c>
      <c r="E9566">
        <v>1</v>
      </c>
      <c r="F9566" t="s">
        <v>6594</v>
      </c>
      <c r="G9566" t="str">
        <f>"09-K14-02"</f>
        <v>09-K14-02</v>
      </c>
      <c r="H9566">
        <v>0.50549999999999995</v>
      </c>
      <c r="I9566" t="s">
        <v>6595</v>
      </c>
      <c r="J9566" t="s">
        <v>14</v>
      </c>
      <c r="K9566" t="str">
        <f>"4F4"</f>
        <v>4F4</v>
      </c>
      <c r="L9566" t="s">
        <v>15</v>
      </c>
    </row>
    <row r="9567" spans="1:12" x14ac:dyDescent="0.25">
      <c r="A9567" t="str">
        <f>"7157104658"</f>
        <v>7157104658</v>
      </c>
      <c r="B9567" t="str">
        <f t="shared" si="417"/>
        <v>89301000</v>
      </c>
      <c r="C9567" s="1">
        <v>44231</v>
      </c>
      <c r="D9567" s="1">
        <v>44233</v>
      </c>
      <c r="E9567">
        <v>1</v>
      </c>
      <c r="F9567" t="s">
        <v>366</v>
      </c>
      <c r="G9567" t="str">
        <f>"08-M03-05"</f>
        <v>08-M03-05</v>
      </c>
      <c r="H9567">
        <v>0.51759999999999995</v>
      </c>
      <c r="I9567" t="s">
        <v>6596</v>
      </c>
      <c r="J9567" t="s">
        <v>14</v>
      </c>
      <c r="K9567" t="str">
        <f>"5F3"</f>
        <v>5F3</v>
      </c>
      <c r="L9567" t="s">
        <v>15</v>
      </c>
    </row>
    <row r="9568" spans="1:12" x14ac:dyDescent="0.25">
      <c r="A9568" t="str">
        <f>"7157125327"</f>
        <v>7157125327</v>
      </c>
      <c r="B9568" t="str">
        <f t="shared" si="417"/>
        <v>89301000</v>
      </c>
      <c r="C9568" s="1">
        <v>44482</v>
      </c>
      <c r="D9568" s="1">
        <v>44484</v>
      </c>
      <c r="E9568">
        <v>5</v>
      </c>
      <c r="F9568" t="s">
        <v>139</v>
      </c>
      <c r="G9568" t="str">
        <f>"07-K11-03"</f>
        <v>07-K11-03</v>
      </c>
      <c r="H9568">
        <v>0.42709999999999998</v>
      </c>
      <c r="I9568" t="s">
        <v>5473</v>
      </c>
      <c r="J9568" t="s">
        <v>14</v>
      </c>
      <c r="K9568" t="str">
        <f>"5T1"</f>
        <v>5T1</v>
      </c>
      <c r="L9568" t="s">
        <v>15</v>
      </c>
    </row>
    <row r="9569" spans="1:12" x14ac:dyDescent="0.25">
      <c r="A9569" t="str">
        <f>"7157155808"</f>
        <v>7157155808</v>
      </c>
      <c r="B9569" t="str">
        <f t="shared" si="417"/>
        <v>89301000</v>
      </c>
      <c r="C9569" s="1">
        <v>44489</v>
      </c>
      <c r="D9569" s="1">
        <v>44495</v>
      </c>
      <c r="E9569">
        <v>1</v>
      </c>
      <c r="F9569" t="s">
        <v>79</v>
      </c>
      <c r="G9569" t="str">
        <f>"10-K06-00"</f>
        <v>10-K06-00</v>
      </c>
      <c r="H9569">
        <v>0.49630000000000002</v>
      </c>
      <c r="I9569" t="s">
        <v>4498</v>
      </c>
      <c r="J9569" t="s">
        <v>14</v>
      </c>
      <c r="K9569" t="str">
        <f>"4F7"</f>
        <v>4F7</v>
      </c>
      <c r="L9569" t="s">
        <v>15</v>
      </c>
    </row>
    <row r="9570" spans="1:12" x14ac:dyDescent="0.25">
      <c r="A9570" t="str">
        <f>"7157164861"</f>
        <v>7157164861</v>
      </c>
      <c r="B9570" t="str">
        <f t="shared" si="417"/>
        <v>89301000</v>
      </c>
      <c r="C9570" s="1">
        <v>44222</v>
      </c>
      <c r="D9570" s="1">
        <v>44225</v>
      </c>
      <c r="E9570">
        <v>1</v>
      </c>
      <c r="F9570" t="s">
        <v>1553</v>
      </c>
      <c r="G9570" t="str">
        <f>"04-K05-03"</f>
        <v>04-K05-03</v>
      </c>
      <c r="H9570">
        <v>0.74980000000000002</v>
      </c>
      <c r="I9570" t="s">
        <v>6597</v>
      </c>
      <c r="J9570" t="s">
        <v>14</v>
      </c>
      <c r="K9570" t="str">
        <f>"1F1"</f>
        <v>1F1</v>
      </c>
      <c r="L9570" t="s">
        <v>15</v>
      </c>
    </row>
    <row r="9571" spans="1:12" x14ac:dyDescent="0.25">
      <c r="A9571" t="str">
        <f>"7157184474"</f>
        <v>7157184474</v>
      </c>
      <c r="B9571" t="str">
        <f t="shared" si="417"/>
        <v>89301000</v>
      </c>
      <c r="C9571" s="1">
        <v>44358</v>
      </c>
      <c r="D9571" s="1">
        <v>44362</v>
      </c>
      <c r="E9571">
        <v>5</v>
      </c>
      <c r="F9571" t="s">
        <v>16</v>
      </c>
      <c r="G9571" t="str">
        <f>"08-I04-03"</f>
        <v>08-I04-03</v>
      </c>
      <c r="H9571">
        <v>1.331</v>
      </c>
      <c r="I9571" t="s">
        <v>348</v>
      </c>
      <c r="J9571" t="s">
        <v>17</v>
      </c>
      <c r="K9571" t="str">
        <f>"5F6"</f>
        <v>5F6</v>
      </c>
      <c r="L9571" t="s">
        <v>15</v>
      </c>
    </row>
    <row r="9572" spans="1:12" x14ac:dyDescent="0.25">
      <c r="A9572" t="str">
        <f>"7157185519"</f>
        <v>7157185519</v>
      </c>
      <c r="B9572" t="str">
        <f t="shared" si="417"/>
        <v>89301000</v>
      </c>
      <c r="C9572" s="1">
        <v>44458</v>
      </c>
      <c r="D9572" s="1">
        <v>44460</v>
      </c>
      <c r="E9572">
        <v>1</v>
      </c>
      <c r="F9572" t="s">
        <v>5705</v>
      </c>
      <c r="G9572" t="str">
        <f>"08-I24-02"</f>
        <v>08-I24-02</v>
      </c>
      <c r="H9572">
        <v>0.74470000000000003</v>
      </c>
      <c r="J9572" t="s">
        <v>14</v>
      </c>
      <c r="K9572" t="str">
        <f>"5F3"</f>
        <v>5F3</v>
      </c>
      <c r="L9572" t="s">
        <v>15</v>
      </c>
    </row>
    <row r="9573" spans="1:12" x14ac:dyDescent="0.25">
      <c r="A9573" t="str">
        <f>"7157235360"</f>
        <v>7157235360</v>
      </c>
      <c r="B9573" t="str">
        <f t="shared" si="417"/>
        <v>89301000</v>
      </c>
      <c r="C9573" s="1">
        <v>44315</v>
      </c>
      <c r="D9573" s="1">
        <v>44321</v>
      </c>
      <c r="E9573">
        <v>1</v>
      </c>
      <c r="F9573" t="s">
        <v>1551</v>
      </c>
      <c r="G9573" t="str">
        <f>"09-I06-03"</f>
        <v>09-I06-03</v>
      </c>
      <c r="H9573">
        <v>1.4382999999999999</v>
      </c>
      <c r="I9573" t="s">
        <v>3194</v>
      </c>
      <c r="J9573" t="s">
        <v>17</v>
      </c>
      <c r="K9573" t="str">
        <f>"5F1"</f>
        <v>5F1</v>
      </c>
      <c r="L9573" t="s">
        <v>15</v>
      </c>
    </row>
    <row r="9574" spans="1:12" x14ac:dyDescent="0.25">
      <c r="A9574" t="str">
        <f>"7158145709"</f>
        <v>7158145709</v>
      </c>
      <c r="B9574" t="str">
        <f t="shared" si="417"/>
        <v>89301000</v>
      </c>
      <c r="C9574" s="1">
        <v>44390</v>
      </c>
      <c r="D9574" s="1">
        <v>44392</v>
      </c>
      <c r="E9574">
        <v>1</v>
      </c>
      <c r="F9574" t="s">
        <v>1606</v>
      </c>
      <c r="G9574" t="str">
        <f>"05-M05-02"</f>
        <v>05-M05-02</v>
      </c>
      <c r="H9574">
        <v>3.516</v>
      </c>
      <c r="J9574" t="s">
        <v>24</v>
      </c>
      <c r="K9574" t="str">
        <f>"1F7"</f>
        <v>1F7</v>
      </c>
      <c r="L9574" t="s">
        <v>15</v>
      </c>
    </row>
    <row r="9575" spans="1:12" x14ac:dyDescent="0.25">
      <c r="A9575" t="str">
        <f>"7158155356"</f>
        <v>7158155356</v>
      </c>
      <c r="B9575" t="str">
        <f t="shared" si="417"/>
        <v>89301000</v>
      </c>
      <c r="C9575" s="1">
        <v>44487</v>
      </c>
      <c r="D9575" s="1">
        <v>44489</v>
      </c>
      <c r="E9575">
        <v>1</v>
      </c>
      <c r="F9575" t="s">
        <v>413</v>
      </c>
      <c r="G9575" t="str">
        <f>"09-I04-02"</f>
        <v>09-I04-02</v>
      </c>
      <c r="H9575">
        <v>1.5007999999999999</v>
      </c>
      <c r="I9575" t="s">
        <v>6598</v>
      </c>
      <c r="J9575" t="s">
        <v>17</v>
      </c>
      <c r="K9575" t="str">
        <f>"6F1"</f>
        <v>6F1</v>
      </c>
      <c r="L9575" t="s">
        <v>15</v>
      </c>
    </row>
    <row r="9576" spans="1:12" x14ac:dyDescent="0.25">
      <c r="A9576" t="str">
        <f>"7158204471"</f>
        <v>7158204471</v>
      </c>
      <c r="B9576" t="str">
        <f t="shared" si="417"/>
        <v>89301000</v>
      </c>
      <c r="C9576" s="1">
        <v>44356</v>
      </c>
      <c r="D9576" s="1">
        <v>44357</v>
      </c>
      <c r="E9576">
        <v>1</v>
      </c>
      <c r="F9576" t="s">
        <v>2457</v>
      </c>
      <c r="G9576" t="str">
        <f>"05-D01-08"</f>
        <v>05-D01-08</v>
      </c>
      <c r="H9576">
        <v>0.4093</v>
      </c>
      <c r="J9576" t="s">
        <v>14</v>
      </c>
      <c r="K9576" t="str">
        <f>"1F7"</f>
        <v>1F7</v>
      </c>
      <c r="L9576" t="s">
        <v>15</v>
      </c>
    </row>
    <row r="9577" spans="1:12" x14ac:dyDescent="0.25">
      <c r="A9577" t="str">
        <f>"7158305341"</f>
        <v>7158305341</v>
      </c>
      <c r="B9577" t="str">
        <f t="shared" ref="B9577:B9639" si="418">"89301000"</f>
        <v>89301000</v>
      </c>
      <c r="C9577" s="1">
        <v>44356</v>
      </c>
      <c r="D9577" s="1">
        <v>44361</v>
      </c>
      <c r="E9577">
        <v>1</v>
      </c>
      <c r="F9577" t="s">
        <v>2637</v>
      </c>
      <c r="G9577" t="str">
        <f>"23-K05-01"</f>
        <v>23-K05-01</v>
      </c>
      <c r="H9577">
        <v>0.56999999999999995</v>
      </c>
      <c r="I9577" t="s">
        <v>2638</v>
      </c>
      <c r="J9577" t="s">
        <v>14</v>
      </c>
      <c r="K9577" t="str">
        <f>"4F7"</f>
        <v>4F7</v>
      </c>
      <c r="L9577" t="s">
        <v>15</v>
      </c>
    </row>
    <row r="9578" spans="1:12" x14ac:dyDescent="0.25">
      <c r="A9578" t="str">
        <f>"7159015325"</f>
        <v>7159015325</v>
      </c>
      <c r="B9578" t="str">
        <f t="shared" si="418"/>
        <v>89301000</v>
      </c>
      <c r="C9578" s="1">
        <v>44406</v>
      </c>
      <c r="D9578" s="1">
        <v>44408</v>
      </c>
      <c r="E9578">
        <v>1</v>
      </c>
      <c r="F9578" t="s">
        <v>1716</v>
      </c>
      <c r="G9578" t="str">
        <f>"11-M05-02"</f>
        <v>11-M05-02</v>
      </c>
      <c r="H9578">
        <v>0.67100000000000004</v>
      </c>
      <c r="I9578" t="s">
        <v>6599</v>
      </c>
      <c r="J9578" t="s">
        <v>17</v>
      </c>
      <c r="K9578" t="str">
        <f>"7F6"</f>
        <v>7F6</v>
      </c>
      <c r="L9578" t="s">
        <v>15</v>
      </c>
    </row>
    <row r="9579" spans="1:12" x14ac:dyDescent="0.25">
      <c r="A9579" t="str">
        <f>"7159035334"</f>
        <v>7159035334</v>
      </c>
      <c r="B9579" t="str">
        <f t="shared" si="418"/>
        <v>89301000</v>
      </c>
      <c r="C9579" s="1">
        <v>44431</v>
      </c>
      <c r="D9579" s="1">
        <v>44436</v>
      </c>
      <c r="E9579">
        <v>1</v>
      </c>
      <c r="F9579" t="s">
        <v>31</v>
      </c>
      <c r="G9579" t="str">
        <f>"08-I03-06"</f>
        <v>08-I03-06</v>
      </c>
      <c r="H9579">
        <v>3.3378999999999999</v>
      </c>
      <c r="J9579" t="s">
        <v>17</v>
      </c>
      <c r="K9579" t="str">
        <f>"5F6"</f>
        <v>5F6</v>
      </c>
      <c r="L9579" t="s">
        <v>15</v>
      </c>
    </row>
    <row r="9580" spans="1:12" x14ac:dyDescent="0.25">
      <c r="A9580" t="str">
        <f>"7159125699"</f>
        <v>7159125699</v>
      </c>
      <c r="B9580" t="str">
        <f t="shared" si="418"/>
        <v>89301000</v>
      </c>
      <c r="C9580" s="1">
        <v>44472</v>
      </c>
      <c r="D9580" s="1">
        <v>44474</v>
      </c>
      <c r="E9580">
        <v>1</v>
      </c>
      <c r="F9580" t="s">
        <v>496</v>
      </c>
      <c r="G9580" t="str">
        <f>"08-M03-05"</f>
        <v>08-M03-05</v>
      </c>
      <c r="H9580">
        <v>0.51759999999999995</v>
      </c>
      <c r="I9580" t="s">
        <v>6600</v>
      </c>
      <c r="J9580" t="s">
        <v>14</v>
      </c>
      <c r="K9580" t="str">
        <f>"6F6"</f>
        <v>6F6</v>
      </c>
      <c r="L9580" t="s">
        <v>15</v>
      </c>
    </row>
    <row r="9581" spans="1:12" x14ac:dyDescent="0.25">
      <c r="A9581" t="str">
        <f>"7159155388"</f>
        <v>7159155388</v>
      </c>
      <c r="B9581" t="str">
        <f t="shared" si="418"/>
        <v>89301000</v>
      </c>
      <c r="C9581" s="1">
        <v>44332</v>
      </c>
      <c r="D9581" s="1">
        <v>44333</v>
      </c>
      <c r="E9581">
        <v>1</v>
      </c>
      <c r="F9581" t="s">
        <v>1962</v>
      </c>
      <c r="G9581" t="str">
        <f>"04-K15-03"</f>
        <v>04-K15-03</v>
      </c>
      <c r="H9581">
        <v>0.49009999999999998</v>
      </c>
      <c r="J9581" t="s">
        <v>14</v>
      </c>
      <c r="K9581" t="str">
        <f>"1F7"</f>
        <v>1F7</v>
      </c>
      <c r="L9581" t="s">
        <v>15</v>
      </c>
    </row>
    <row r="9582" spans="1:12" x14ac:dyDescent="0.25">
      <c r="A9582" t="str">
        <f>"7159168280"</f>
        <v>7159168280</v>
      </c>
      <c r="B9582" t="str">
        <f t="shared" si="418"/>
        <v>89301000</v>
      </c>
      <c r="C9582" s="1">
        <v>44491</v>
      </c>
      <c r="D9582" s="1">
        <v>44495</v>
      </c>
      <c r="E9582">
        <v>1</v>
      </c>
      <c r="F9582" t="s">
        <v>1240</v>
      </c>
      <c r="G9582" t="str">
        <f>"11-K01-02"</f>
        <v>11-K01-02</v>
      </c>
      <c r="H9582">
        <v>0.82289999999999996</v>
      </c>
      <c r="I9582" t="s">
        <v>6601</v>
      </c>
      <c r="J9582" t="s">
        <v>14</v>
      </c>
      <c r="K9582" t="str">
        <f>"1F5"</f>
        <v>1F5</v>
      </c>
      <c r="L9582" t="s">
        <v>15</v>
      </c>
    </row>
    <row r="9583" spans="1:12" x14ac:dyDescent="0.25">
      <c r="A9583" t="str">
        <f>"7159274463"</f>
        <v>7159274463</v>
      </c>
      <c r="B9583" t="str">
        <f t="shared" si="418"/>
        <v>89301000</v>
      </c>
      <c r="C9583" s="1">
        <v>44464</v>
      </c>
      <c r="D9583" s="1">
        <v>44470</v>
      </c>
      <c r="E9583">
        <v>1</v>
      </c>
      <c r="F9583" t="s">
        <v>1551</v>
      </c>
      <c r="G9583" t="str">
        <f>"09-I13-03"</f>
        <v>09-I13-03</v>
      </c>
      <c r="H9583">
        <v>0.77380000000000004</v>
      </c>
      <c r="I9583" t="s">
        <v>6602</v>
      </c>
      <c r="J9583" t="s">
        <v>14</v>
      </c>
      <c r="K9583" t="str">
        <f>"5F1"</f>
        <v>5F1</v>
      </c>
      <c r="L9583" t="s">
        <v>15</v>
      </c>
    </row>
    <row r="9584" spans="1:12" x14ac:dyDescent="0.25">
      <c r="A9584" t="str">
        <f>"7159274463"</f>
        <v>7159274463</v>
      </c>
      <c r="B9584" t="str">
        <f t="shared" si="418"/>
        <v>89301000</v>
      </c>
      <c r="C9584" s="1">
        <v>44440</v>
      </c>
      <c r="D9584" s="1">
        <v>44444</v>
      </c>
      <c r="E9584">
        <v>1</v>
      </c>
      <c r="F9584" t="s">
        <v>1551</v>
      </c>
      <c r="G9584" t="str">
        <f>"09-I06-04"</f>
        <v>09-I06-04</v>
      </c>
      <c r="H9584">
        <v>0.98829999999999996</v>
      </c>
      <c r="J9584" t="s">
        <v>17</v>
      </c>
      <c r="K9584" t="str">
        <f>"5F1"</f>
        <v>5F1</v>
      </c>
      <c r="L9584" t="s">
        <v>15</v>
      </c>
    </row>
    <row r="9585" spans="1:12" x14ac:dyDescent="0.25">
      <c r="A9585" t="str">
        <f>"7160024476"</f>
        <v>7160024476</v>
      </c>
      <c r="B9585" t="str">
        <f t="shared" si="418"/>
        <v>89301000</v>
      </c>
      <c r="C9585" s="1">
        <v>44481</v>
      </c>
      <c r="D9585" s="1">
        <v>44487</v>
      </c>
      <c r="E9585">
        <v>1</v>
      </c>
      <c r="F9585" t="s">
        <v>3377</v>
      </c>
      <c r="G9585" t="str">
        <f>"13-K05-00"</f>
        <v>13-K05-00</v>
      </c>
      <c r="H9585">
        <v>0.63419999999999999</v>
      </c>
      <c r="I9585" t="s">
        <v>904</v>
      </c>
      <c r="J9585" t="s">
        <v>14</v>
      </c>
      <c r="K9585" t="str">
        <f>"5F1"</f>
        <v>5F1</v>
      </c>
      <c r="L9585" t="s">
        <v>15</v>
      </c>
    </row>
    <row r="9586" spans="1:12" x14ac:dyDescent="0.25">
      <c r="A9586" t="str">
        <f>"7160145542"</f>
        <v>7160145542</v>
      </c>
      <c r="B9586" t="str">
        <f t="shared" si="418"/>
        <v>89301000</v>
      </c>
      <c r="C9586" s="1">
        <v>44298</v>
      </c>
      <c r="D9586" s="1">
        <v>44311</v>
      </c>
      <c r="E9586">
        <v>5</v>
      </c>
      <c r="F9586" t="s">
        <v>217</v>
      </c>
      <c r="G9586" t="str">
        <f>"00-M01-04"</f>
        <v>00-M01-04</v>
      </c>
      <c r="H9586">
        <v>6.85</v>
      </c>
      <c r="I9586" t="s">
        <v>6603</v>
      </c>
      <c r="J9586" t="s">
        <v>14</v>
      </c>
      <c r="K9586" t="str">
        <f>"7T8"</f>
        <v>7T8</v>
      </c>
      <c r="L9586" t="s">
        <v>15</v>
      </c>
    </row>
    <row r="9587" spans="1:12" x14ac:dyDescent="0.25">
      <c r="A9587" t="str">
        <f>"7160205184"</f>
        <v>7160205184</v>
      </c>
      <c r="B9587" t="str">
        <f t="shared" si="418"/>
        <v>89301000</v>
      </c>
      <c r="C9587" s="1">
        <v>44467</v>
      </c>
      <c r="D9587" s="1">
        <v>44473</v>
      </c>
      <c r="E9587">
        <v>1</v>
      </c>
      <c r="F9587" t="s">
        <v>1551</v>
      </c>
      <c r="G9587" t="str">
        <f>"09-I06-04"</f>
        <v>09-I06-04</v>
      </c>
      <c r="H9587">
        <v>0.98829999999999996</v>
      </c>
      <c r="J9587" t="s">
        <v>17</v>
      </c>
      <c r="K9587" t="str">
        <f>"5F1"</f>
        <v>5F1</v>
      </c>
      <c r="L9587" t="s">
        <v>15</v>
      </c>
    </row>
    <row r="9588" spans="1:12" x14ac:dyDescent="0.25">
      <c r="A9588" t="str">
        <f>"7160274484"</f>
        <v>7160274484</v>
      </c>
      <c r="B9588" t="str">
        <f t="shared" si="418"/>
        <v>89301000</v>
      </c>
      <c r="C9588" s="1">
        <v>44459</v>
      </c>
      <c r="D9588" s="1">
        <v>44466</v>
      </c>
      <c r="E9588">
        <v>1</v>
      </c>
      <c r="F9588" t="s">
        <v>600</v>
      </c>
      <c r="G9588" t="str">
        <f>"01-I06-04"</f>
        <v>01-I06-04</v>
      </c>
      <c r="H9588">
        <v>3.6231</v>
      </c>
      <c r="I9588" t="s">
        <v>2411</v>
      </c>
      <c r="J9588" t="s">
        <v>17</v>
      </c>
      <c r="K9588" t="str">
        <f>"5F6"</f>
        <v>5F6</v>
      </c>
      <c r="L9588" t="s">
        <v>15</v>
      </c>
    </row>
    <row r="9589" spans="1:12" x14ac:dyDescent="0.25">
      <c r="A9589" t="str">
        <f>"7161036069"</f>
        <v>7161036069</v>
      </c>
      <c r="B9589" t="str">
        <f t="shared" si="418"/>
        <v>89301000</v>
      </c>
      <c r="C9589" s="1">
        <v>44510</v>
      </c>
      <c r="D9589" s="1">
        <v>44512</v>
      </c>
      <c r="E9589">
        <v>1</v>
      </c>
      <c r="F9589" t="s">
        <v>309</v>
      </c>
      <c r="G9589" t="str">
        <f>"08-M03-05"</f>
        <v>08-M03-05</v>
      </c>
      <c r="H9589">
        <v>0.51759999999999995</v>
      </c>
      <c r="I9589" t="s">
        <v>4196</v>
      </c>
      <c r="J9589" t="s">
        <v>14</v>
      </c>
      <c r="K9589" t="str">
        <f>"6F6"</f>
        <v>6F6</v>
      </c>
      <c r="L9589" t="s">
        <v>15</v>
      </c>
    </row>
    <row r="9590" spans="1:12" x14ac:dyDescent="0.25">
      <c r="A9590" t="str">
        <f>"7161044484"</f>
        <v>7161044484</v>
      </c>
      <c r="B9590" t="str">
        <f t="shared" si="418"/>
        <v>89301000</v>
      </c>
      <c r="C9590" s="1">
        <v>44520</v>
      </c>
      <c r="D9590" s="1">
        <v>44522</v>
      </c>
      <c r="E9590">
        <v>1</v>
      </c>
      <c r="F9590" t="s">
        <v>38</v>
      </c>
      <c r="G9590" t="str">
        <f>"05-M06-05"</f>
        <v>05-M06-05</v>
      </c>
      <c r="H9590">
        <v>2.3010000000000002</v>
      </c>
      <c r="J9590" t="s">
        <v>17</v>
      </c>
      <c r="K9590" t="str">
        <f>"1T1"</f>
        <v>1T1</v>
      </c>
      <c r="L9590" t="s">
        <v>15</v>
      </c>
    </row>
    <row r="9591" spans="1:12" x14ac:dyDescent="0.25">
      <c r="A9591" t="str">
        <f>"7161095304"</f>
        <v>7161095304</v>
      </c>
      <c r="B9591" t="str">
        <f t="shared" si="418"/>
        <v>89301000</v>
      </c>
      <c r="C9591" s="1">
        <v>44272</v>
      </c>
      <c r="D9591" s="1">
        <v>44281</v>
      </c>
      <c r="E9591">
        <v>1</v>
      </c>
      <c r="F9591" t="s">
        <v>109</v>
      </c>
      <c r="G9591" t="str">
        <f>"24-M06-01"</f>
        <v>24-M06-01</v>
      </c>
      <c r="H9591">
        <v>1.1548</v>
      </c>
      <c r="I9591" t="s">
        <v>6604</v>
      </c>
      <c r="J9591" t="s">
        <v>14</v>
      </c>
      <c r="K9591" t="str">
        <f>"2F1"</f>
        <v>2F1</v>
      </c>
      <c r="L9591" t="s">
        <v>15</v>
      </c>
    </row>
    <row r="9592" spans="1:12" x14ac:dyDescent="0.25">
      <c r="A9592" t="str">
        <f>"7161095304"</f>
        <v>7161095304</v>
      </c>
      <c r="B9592" t="str">
        <f t="shared" si="418"/>
        <v>89301000</v>
      </c>
      <c r="C9592" s="1">
        <v>44262</v>
      </c>
      <c r="D9592" s="1">
        <v>44272</v>
      </c>
      <c r="E9592">
        <v>3</v>
      </c>
      <c r="F9592" t="s">
        <v>264</v>
      </c>
      <c r="G9592" t="str">
        <f>"01-K12-01"</f>
        <v>01-K12-01</v>
      </c>
      <c r="H9592">
        <v>0.82569999999999999</v>
      </c>
      <c r="I9592" t="s">
        <v>6605</v>
      </c>
      <c r="J9592" t="s">
        <v>14</v>
      </c>
      <c r="K9592" t="str">
        <f>"2F9"</f>
        <v>2F9</v>
      </c>
      <c r="L9592" t="s">
        <v>15</v>
      </c>
    </row>
    <row r="9593" spans="1:12" x14ac:dyDescent="0.25">
      <c r="A9593" t="str">
        <f>"7162035375"</f>
        <v>7162035375</v>
      </c>
      <c r="B9593" t="str">
        <f t="shared" si="418"/>
        <v>89301000</v>
      </c>
      <c r="C9593" s="1">
        <v>44275</v>
      </c>
      <c r="D9593" s="1">
        <v>44289</v>
      </c>
      <c r="E9593">
        <v>7</v>
      </c>
      <c r="F9593" t="s">
        <v>217</v>
      </c>
      <c r="G9593" t="str">
        <f>"00-M02-04"</f>
        <v>00-M02-04</v>
      </c>
      <c r="H9593">
        <v>12.071199999999999</v>
      </c>
      <c r="I9593" t="s">
        <v>6606</v>
      </c>
      <c r="J9593" t="s">
        <v>14</v>
      </c>
      <c r="K9593" t="str">
        <f>"7T8"</f>
        <v>7T8</v>
      </c>
      <c r="L9593" t="s">
        <v>15</v>
      </c>
    </row>
    <row r="9594" spans="1:12" x14ac:dyDescent="0.25">
      <c r="A9594" t="str">
        <f>"7162045759"</f>
        <v>7162045759</v>
      </c>
      <c r="B9594" t="str">
        <f t="shared" si="418"/>
        <v>89301000</v>
      </c>
      <c r="C9594" s="1">
        <v>44319</v>
      </c>
      <c r="D9594" s="1">
        <v>44322</v>
      </c>
      <c r="E9594">
        <v>1</v>
      </c>
      <c r="F9594" t="s">
        <v>6607</v>
      </c>
      <c r="G9594" t="str">
        <f>"13-I18-03"</f>
        <v>13-I18-03</v>
      </c>
      <c r="H9594">
        <v>0.63680000000000003</v>
      </c>
      <c r="J9594" t="s">
        <v>14</v>
      </c>
      <c r="K9594" t="str">
        <f>"6F3"</f>
        <v>6F3</v>
      </c>
      <c r="L9594" t="s">
        <v>15</v>
      </c>
    </row>
    <row r="9595" spans="1:12" x14ac:dyDescent="0.25">
      <c r="A9595" t="str">
        <f>"7162045759"</f>
        <v>7162045759</v>
      </c>
      <c r="B9595" t="str">
        <f t="shared" si="418"/>
        <v>89301000</v>
      </c>
      <c r="C9595" s="1">
        <v>44349</v>
      </c>
      <c r="D9595" s="1">
        <v>44354</v>
      </c>
      <c r="E9595">
        <v>1</v>
      </c>
      <c r="F9595" t="s">
        <v>2495</v>
      </c>
      <c r="G9595" t="str">
        <f>"13-I11-03"</f>
        <v>13-I11-03</v>
      </c>
      <c r="H9595">
        <v>1.3809</v>
      </c>
      <c r="J9595" t="s">
        <v>24</v>
      </c>
      <c r="K9595" t="str">
        <f>"6F3"</f>
        <v>6F3</v>
      </c>
      <c r="L9595" t="s">
        <v>15</v>
      </c>
    </row>
    <row r="9596" spans="1:12" x14ac:dyDescent="0.25">
      <c r="A9596" t="str">
        <f>"7162135783"</f>
        <v>7162135783</v>
      </c>
      <c r="B9596" t="str">
        <f t="shared" si="418"/>
        <v>89301000</v>
      </c>
      <c r="C9596" s="1">
        <v>44320</v>
      </c>
      <c r="D9596" s="1">
        <v>44323</v>
      </c>
      <c r="E9596">
        <v>1</v>
      </c>
      <c r="F9596" t="s">
        <v>12</v>
      </c>
      <c r="G9596" t="str">
        <f>"03-I14-02"</f>
        <v>03-I14-02</v>
      </c>
      <c r="H9596">
        <v>1.1086</v>
      </c>
      <c r="I9596" t="s">
        <v>6608</v>
      </c>
      <c r="J9596" t="s">
        <v>14</v>
      </c>
      <c r="K9596" t="str">
        <f>"7F1"</f>
        <v>7F1</v>
      </c>
      <c r="L9596" t="s">
        <v>15</v>
      </c>
    </row>
    <row r="9597" spans="1:12" x14ac:dyDescent="0.25">
      <c r="A9597" t="str">
        <f>"7162173502"</f>
        <v>7162173502</v>
      </c>
      <c r="B9597" t="str">
        <f t="shared" si="418"/>
        <v>89301000</v>
      </c>
      <c r="C9597" s="1">
        <v>44449</v>
      </c>
      <c r="D9597" s="1">
        <v>44451</v>
      </c>
      <c r="E9597">
        <v>1</v>
      </c>
      <c r="F9597" t="s">
        <v>2311</v>
      </c>
      <c r="G9597" t="str">
        <f>"08-I03-08"</f>
        <v>08-I03-08</v>
      </c>
      <c r="H9597">
        <v>2.0605000000000002</v>
      </c>
      <c r="J9597" t="s">
        <v>17</v>
      </c>
      <c r="K9597" t="str">
        <f>"5F6"</f>
        <v>5F6</v>
      </c>
      <c r="L9597" t="s">
        <v>15</v>
      </c>
    </row>
    <row r="9598" spans="1:12" x14ac:dyDescent="0.25">
      <c r="A9598" t="str">
        <f>"7162182236"</f>
        <v>7162182236</v>
      </c>
      <c r="B9598" t="str">
        <f t="shared" si="418"/>
        <v>89301000</v>
      </c>
      <c r="C9598" s="1">
        <v>44224</v>
      </c>
      <c r="D9598" s="1">
        <v>44226</v>
      </c>
      <c r="E9598">
        <v>1</v>
      </c>
      <c r="F9598" t="s">
        <v>413</v>
      </c>
      <c r="G9598" t="str">
        <f>"09-I08-01"</f>
        <v>09-I08-01</v>
      </c>
      <c r="H9598">
        <v>1.2947</v>
      </c>
      <c r="I9598" t="s">
        <v>6609</v>
      </c>
      <c r="J9598" t="s">
        <v>24</v>
      </c>
      <c r="K9598" t="str">
        <f>"6F1"</f>
        <v>6F1</v>
      </c>
      <c r="L9598" t="s">
        <v>15</v>
      </c>
    </row>
    <row r="9599" spans="1:12" x14ac:dyDescent="0.25">
      <c r="A9599" t="str">
        <f>"7162182236"</f>
        <v>7162182236</v>
      </c>
      <c r="B9599" t="str">
        <f t="shared" si="418"/>
        <v>89301000</v>
      </c>
      <c r="C9599" s="1">
        <v>44314</v>
      </c>
      <c r="D9599" s="1">
        <v>44315</v>
      </c>
      <c r="E9599">
        <v>1</v>
      </c>
      <c r="F9599" t="s">
        <v>413</v>
      </c>
      <c r="G9599" t="str">
        <f>"09-K16-00"</f>
        <v>09-K16-00</v>
      </c>
      <c r="H9599">
        <v>0.54420000000000002</v>
      </c>
      <c r="I9599" t="s">
        <v>6061</v>
      </c>
      <c r="J9599" t="s">
        <v>14</v>
      </c>
      <c r="K9599" t="str">
        <f>"6F1"</f>
        <v>6F1</v>
      </c>
      <c r="L9599" t="s">
        <v>15</v>
      </c>
    </row>
    <row r="9600" spans="1:12" x14ac:dyDescent="0.25">
      <c r="A9600" t="str">
        <f>"7162215764"</f>
        <v>7162215764</v>
      </c>
      <c r="B9600" t="str">
        <f t="shared" si="418"/>
        <v>89301000</v>
      </c>
      <c r="C9600" s="1">
        <v>44250</v>
      </c>
      <c r="D9600" s="1">
        <v>44253</v>
      </c>
      <c r="E9600">
        <v>1</v>
      </c>
      <c r="F9600" t="s">
        <v>706</v>
      </c>
      <c r="G9600" t="str">
        <f>"03-I14-02"</f>
        <v>03-I14-02</v>
      </c>
      <c r="H9600">
        <v>1.1086</v>
      </c>
      <c r="I9600" t="s">
        <v>6610</v>
      </c>
      <c r="J9600" t="s">
        <v>14</v>
      </c>
      <c r="K9600" t="str">
        <f>"7F1"</f>
        <v>7F1</v>
      </c>
      <c r="L9600" t="s">
        <v>15</v>
      </c>
    </row>
    <row r="9601" spans="1:12" x14ac:dyDescent="0.25">
      <c r="A9601" t="str">
        <f>"7162215764"</f>
        <v>7162215764</v>
      </c>
      <c r="B9601" t="str">
        <f t="shared" si="418"/>
        <v>89301000</v>
      </c>
      <c r="C9601" s="1">
        <v>44399</v>
      </c>
      <c r="D9601" s="1">
        <v>44402</v>
      </c>
      <c r="E9601">
        <v>1</v>
      </c>
      <c r="F9601" t="s">
        <v>689</v>
      </c>
      <c r="G9601" t="str">
        <f>"03-I14-02"</f>
        <v>03-I14-02</v>
      </c>
      <c r="H9601">
        <v>1.1086</v>
      </c>
      <c r="I9601" t="s">
        <v>6611</v>
      </c>
      <c r="J9601" t="s">
        <v>14</v>
      </c>
      <c r="K9601" t="str">
        <f>"7F1"</f>
        <v>7F1</v>
      </c>
      <c r="L9601" t="s">
        <v>15</v>
      </c>
    </row>
    <row r="9602" spans="1:12" x14ac:dyDescent="0.25">
      <c r="A9602" t="str">
        <f>"7201205308"</f>
        <v>7201205308</v>
      </c>
      <c r="B9602" t="str">
        <f t="shared" si="418"/>
        <v>89301000</v>
      </c>
      <c r="C9602" s="1">
        <v>44507</v>
      </c>
      <c r="D9602" s="1">
        <v>44509</v>
      </c>
      <c r="E9602">
        <v>1</v>
      </c>
      <c r="F9602" t="s">
        <v>6167</v>
      </c>
      <c r="G9602" t="str">
        <f>"06-K11-00"</f>
        <v>06-K11-00</v>
      </c>
      <c r="H9602">
        <v>0.34810000000000002</v>
      </c>
      <c r="I9602" t="s">
        <v>6612</v>
      </c>
      <c r="J9602" t="s">
        <v>14</v>
      </c>
      <c r="K9602" t="str">
        <f>"5F1"</f>
        <v>5F1</v>
      </c>
      <c r="L9602" t="s">
        <v>15</v>
      </c>
    </row>
    <row r="9603" spans="1:12" x14ac:dyDescent="0.25">
      <c r="A9603" t="str">
        <f>"7201205374"</f>
        <v>7201205374</v>
      </c>
      <c r="B9603" t="str">
        <f t="shared" si="418"/>
        <v>89301000</v>
      </c>
      <c r="C9603" s="1">
        <v>44229</v>
      </c>
      <c r="D9603" s="1">
        <v>44231</v>
      </c>
      <c r="E9603">
        <v>1</v>
      </c>
      <c r="F9603" t="s">
        <v>496</v>
      </c>
      <c r="G9603" t="str">
        <f>"08-M03-05"</f>
        <v>08-M03-05</v>
      </c>
      <c r="H9603">
        <v>0.51759999999999995</v>
      </c>
      <c r="I9603" t="s">
        <v>2407</v>
      </c>
      <c r="J9603" t="s">
        <v>14</v>
      </c>
      <c r="K9603" t="str">
        <f>"6F6"</f>
        <v>6F6</v>
      </c>
      <c r="L9603" t="s">
        <v>15</v>
      </c>
    </row>
    <row r="9604" spans="1:12" x14ac:dyDescent="0.25">
      <c r="A9604" t="str">
        <f>"7201211930"</f>
        <v>7201211930</v>
      </c>
      <c r="B9604" t="str">
        <f t="shared" si="418"/>
        <v>89301000</v>
      </c>
      <c r="C9604" s="1">
        <v>44323</v>
      </c>
      <c r="D9604" s="1">
        <v>44329</v>
      </c>
      <c r="E9604">
        <v>1</v>
      </c>
      <c r="F9604" t="s">
        <v>2133</v>
      </c>
      <c r="G9604" t="str">
        <f>"04-K06-02"</f>
        <v>04-K06-02</v>
      </c>
      <c r="H9604">
        <v>1.0042</v>
      </c>
      <c r="I9604" t="s">
        <v>6613</v>
      </c>
      <c r="J9604" t="s">
        <v>14</v>
      </c>
      <c r="K9604" t="str">
        <f>"2F5"</f>
        <v>2F5</v>
      </c>
      <c r="L9604" t="s">
        <v>15</v>
      </c>
    </row>
    <row r="9605" spans="1:12" x14ac:dyDescent="0.25">
      <c r="A9605" t="str">
        <f>"7201285839"</f>
        <v>7201285839</v>
      </c>
      <c r="B9605" t="str">
        <f t="shared" si="418"/>
        <v>89301000</v>
      </c>
      <c r="C9605" s="1">
        <v>44482</v>
      </c>
      <c r="D9605" s="1">
        <v>44483</v>
      </c>
      <c r="E9605">
        <v>1</v>
      </c>
      <c r="F9605" t="s">
        <v>3749</v>
      </c>
      <c r="G9605" t="str">
        <f>"01-K02-04"</f>
        <v>01-K02-04</v>
      </c>
      <c r="H9605">
        <v>0.74660000000000004</v>
      </c>
      <c r="I9605" t="s">
        <v>6614</v>
      </c>
      <c r="J9605" t="s">
        <v>14</v>
      </c>
      <c r="K9605" t="str">
        <f>"2F9"</f>
        <v>2F9</v>
      </c>
      <c r="L9605" t="s">
        <v>15</v>
      </c>
    </row>
    <row r="9606" spans="1:12" x14ac:dyDescent="0.25">
      <c r="A9606" t="str">
        <f>"7201285839"</f>
        <v>7201285839</v>
      </c>
      <c r="B9606" t="str">
        <f t="shared" si="418"/>
        <v>89301000</v>
      </c>
      <c r="C9606" s="1">
        <v>44389</v>
      </c>
      <c r="D9606" s="1">
        <v>44390</v>
      </c>
      <c r="E9606">
        <v>1</v>
      </c>
      <c r="F9606" t="s">
        <v>3749</v>
      </c>
      <c r="G9606" t="str">
        <f>"01-K02-04"</f>
        <v>01-K02-04</v>
      </c>
      <c r="H9606">
        <v>0.74660000000000004</v>
      </c>
      <c r="I9606" t="s">
        <v>6615</v>
      </c>
      <c r="J9606" t="s">
        <v>14</v>
      </c>
      <c r="K9606" t="str">
        <f>"2F9"</f>
        <v>2F9</v>
      </c>
      <c r="L9606" t="s">
        <v>15</v>
      </c>
    </row>
    <row r="9607" spans="1:12" x14ac:dyDescent="0.25">
      <c r="A9607" t="str">
        <f>"7201285839"</f>
        <v>7201285839</v>
      </c>
      <c r="B9607" t="str">
        <f t="shared" si="418"/>
        <v>89301000</v>
      </c>
      <c r="C9607" s="1">
        <v>44355</v>
      </c>
      <c r="D9607" s="1">
        <v>44362</v>
      </c>
      <c r="E9607">
        <v>1</v>
      </c>
      <c r="F9607" t="s">
        <v>3749</v>
      </c>
      <c r="G9607" t="str">
        <f>"01-K02-04"</f>
        <v>01-K02-04</v>
      </c>
      <c r="H9607">
        <v>1.1076999999999999</v>
      </c>
      <c r="I9607" t="s">
        <v>6616</v>
      </c>
      <c r="J9607" t="s">
        <v>14</v>
      </c>
      <c r="K9607" t="str">
        <f>"2F9"</f>
        <v>2F9</v>
      </c>
      <c r="L9607" t="s">
        <v>15</v>
      </c>
    </row>
    <row r="9608" spans="1:12" x14ac:dyDescent="0.25">
      <c r="A9608" t="str">
        <f>"7202115767"</f>
        <v>7202115767</v>
      </c>
      <c r="B9608" t="str">
        <f t="shared" si="418"/>
        <v>89301000</v>
      </c>
      <c r="C9608" s="1">
        <v>44399</v>
      </c>
      <c r="D9608" s="1">
        <v>44403</v>
      </c>
      <c r="E9608">
        <v>1</v>
      </c>
      <c r="F9608" t="s">
        <v>651</v>
      </c>
      <c r="G9608" t="str">
        <f>"10-K04-04"</f>
        <v>10-K04-04</v>
      </c>
      <c r="H9608">
        <v>0.56330000000000002</v>
      </c>
      <c r="I9608" t="s">
        <v>6617</v>
      </c>
      <c r="J9608" t="s">
        <v>14</v>
      </c>
      <c r="K9608" t="str">
        <f>"1F1"</f>
        <v>1F1</v>
      </c>
      <c r="L9608" t="s">
        <v>15</v>
      </c>
    </row>
    <row r="9609" spans="1:12" x14ac:dyDescent="0.25">
      <c r="A9609" t="str">
        <f>"7202124875"</f>
        <v>7202124875</v>
      </c>
      <c r="B9609" t="str">
        <f t="shared" si="418"/>
        <v>89301000</v>
      </c>
      <c r="C9609" s="1">
        <v>44354</v>
      </c>
      <c r="D9609" s="1">
        <v>44358</v>
      </c>
      <c r="E9609">
        <v>5</v>
      </c>
      <c r="F9609" t="s">
        <v>1574</v>
      </c>
      <c r="G9609" t="str">
        <f>"05-I24-04"</f>
        <v>05-I24-04</v>
      </c>
      <c r="H9609">
        <v>2.1857000000000002</v>
      </c>
      <c r="I9609" t="s">
        <v>4319</v>
      </c>
      <c r="J9609" t="s">
        <v>14</v>
      </c>
      <c r="K9609" t="str">
        <f>"5F1"</f>
        <v>5F1</v>
      </c>
      <c r="L9609" t="s">
        <v>15</v>
      </c>
    </row>
    <row r="9610" spans="1:12" x14ac:dyDescent="0.25">
      <c r="A9610" t="str">
        <f>"7202175695"</f>
        <v>7202175695</v>
      </c>
      <c r="B9610" t="str">
        <f t="shared" si="418"/>
        <v>89301000</v>
      </c>
      <c r="C9610" s="1">
        <v>44355</v>
      </c>
      <c r="D9610" s="1">
        <v>44358</v>
      </c>
      <c r="E9610">
        <v>1</v>
      </c>
      <c r="F9610" t="s">
        <v>588</v>
      </c>
      <c r="G9610" t="str">
        <f>"07-K02-03"</f>
        <v>07-K02-03</v>
      </c>
      <c r="H9610">
        <v>0.7742</v>
      </c>
      <c r="I9610" t="s">
        <v>6618</v>
      </c>
      <c r="J9610" t="s">
        <v>14</v>
      </c>
      <c r="K9610" t="str">
        <f>"1F5"</f>
        <v>1F5</v>
      </c>
      <c r="L9610" t="s">
        <v>15</v>
      </c>
    </row>
    <row r="9611" spans="1:12" x14ac:dyDescent="0.25">
      <c r="A9611" t="str">
        <f>"7202184484"</f>
        <v>7202184484</v>
      </c>
      <c r="B9611" t="str">
        <f t="shared" si="418"/>
        <v>89301000</v>
      </c>
      <c r="C9611" s="1">
        <v>44516</v>
      </c>
      <c r="D9611" s="1">
        <v>44519</v>
      </c>
      <c r="E9611">
        <v>5</v>
      </c>
      <c r="F9611" t="s">
        <v>1617</v>
      </c>
      <c r="G9611" t="str">
        <f>"05-K15-01"</f>
        <v>05-K15-01</v>
      </c>
      <c r="H9611">
        <v>0.83189999999999997</v>
      </c>
      <c r="I9611" t="s">
        <v>6619</v>
      </c>
      <c r="J9611" t="s">
        <v>14</v>
      </c>
      <c r="K9611" t="str">
        <f>"5T1"</f>
        <v>5T1</v>
      </c>
      <c r="L9611" t="s">
        <v>15</v>
      </c>
    </row>
    <row r="9612" spans="1:12" x14ac:dyDescent="0.25">
      <c r="A9612" t="str">
        <f>"7202184484"</f>
        <v>7202184484</v>
      </c>
      <c r="B9612" t="str">
        <f t="shared" si="418"/>
        <v>89301000</v>
      </c>
      <c r="C9612" s="1">
        <v>44551</v>
      </c>
      <c r="D9612" s="1">
        <v>44557</v>
      </c>
      <c r="E9612">
        <v>1</v>
      </c>
      <c r="F9612" t="s">
        <v>101</v>
      </c>
      <c r="G9612" t="str">
        <f>"06-K20-03"</f>
        <v>06-K20-03</v>
      </c>
      <c r="H9612">
        <v>0.45450000000000002</v>
      </c>
      <c r="I9612" t="s">
        <v>168</v>
      </c>
      <c r="J9612" t="s">
        <v>14</v>
      </c>
      <c r="K9612" t="str">
        <f>"5F1"</f>
        <v>5F1</v>
      </c>
      <c r="L9612" t="s">
        <v>15</v>
      </c>
    </row>
    <row r="9613" spans="1:12" x14ac:dyDescent="0.25">
      <c r="A9613" t="str">
        <f>"7202259933"</f>
        <v>7202259933</v>
      </c>
      <c r="B9613" t="str">
        <f t="shared" si="418"/>
        <v>89301000</v>
      </c>
      <c r="C9613" s="1">
        <v>44386</v>
      </c>
      <c r="D9613" s="1">
        <v>44390</v>
      </c>
      <c r="E9613">
        <v>1</v>
      </c>
      <c r="F9613" t="s">
        <v>588</v>
      </c>
      <c r="G9613" t="str">
        <f>"07-K02-03"</f>
        <v>07-K02-03</v>
      </c>
      <c r="H9613">
        <v>0.7742</v>
      </c>
      <c r="I9613" t="s">
        <v>6620</v>
      </c>
      <c r="J9613" t="s">
        <v>14</v>
      </c>
      <c r="K9613" t="str">
        <f>"1F1"</f>
        <v>1F1</v>
      </c>
      <c r="L9613" t="s">
        <v>15</v>
      </c>
    </row>
    <row r="9614" spans="1:12" x14ac:dyDescent="0.25">
      <c r="A9614" t="str">
        <f>"7203035400"</f>
        <v>7203035400</v>
      </c>
      <c r="B9614" t="str">
        <f t="shared" si="418"/>
        <v>89301000</v>
      </c>
      <c r="C9614" s="1">
        <v>44468</v>
      </c>
      <c r="D9614" s="1">
        <v>44472</v>
      </c>
      <c r="E9614">
        <v>1</v>
      </c>
      <c r="F9614" t="s">
        <v>550</v>
      </c>
      <c r="G9614" t="str">
        <f>"07-M02-04"</f>
        <v>07-M02-04</v>
      </c>
      <c r="H9614">
        <v>0.90439999999999998</v>
      </c>
      <c r="J9614" t="s">
        <v>17</v>
      </c>
      <c r="K9614" t="str">
        <f>"1F5"</f>
        <v>1F5</v>
      </c>
      <c r="L9614" t="s">
        <v>15</v>
      </c>
    </row>
    <row r="9615" spans="1:12" x14ac:dyDescent="0.25">
      <c r="A9615" t="str">
        <f>"7203035400"</f>
        <v>7203035400</v>
      </c>
      <c r="B9615" t="str">
        <f t="shared" si="418"/>
        <v>89301000</v>
      </c>
      <c r="C9615" s="1">
        <v>44504</v>
      </c>
      <c r="D9615" s="1">
        <v>44508</v>
      </c>
      <c r="E9615">
        <v>1</v>
      </c>
      <c r="F9615" t="s">
        <v>593</v>
      </c>
      <c r="G9615" t="str">
        <f>"07-I10-06"</f>
        <v>07-I10-06</v>
      </c>
      <c r="H9615">
        <v>0.9728</v>
      </c>
      <c r="J9615" t="s">
        <v>17</v>
      </c>
      <c r="K9615" t="str">
        <f>"5F1"</f>
        <v>5F1</v>
      </c>
      <c r="L9615" t="s">
        <v>15</v>
      </c>
    </row>
    <row r="9616" spans="1:12" x14ac:dyDescent="0.25">
      <c r="A9616" t="str">
        <f>"7203135346"</f>
        <v>7203135346</v>
      </c>
      <c r="B9616" t="str">
        <f t="shared" si="418"/>
        <v>89301000</v>
      </c>
      <c r="C9616" s="1">
        <v>44343</v>
      </c>
      <c r="D9616" s="1">
        <v>44347</v>
      </c>
      <c r="E9616">
        <v>1</v>
      </c>
      <c r="F9616" t="s">
        <v>1599</v>
      </c>
      <c r="G9616" t="str">
        <f>"05-I14-04"</f>
        <v>05-I14-04</v>
      </c>
      <c r="H9616">
        <v>5.4002999999999997</v>
      </c>
      <c r="I9616" t="s">
        <v>6621</v>
      </c>
      <c r="J9616" t="s">
        <v>14</v>
      </c>
      <c r="K9616" t="str">
        <f>"1F1"</f>
        <v>1F1</v>
      </c>
      <c r="L9616" t="s">
        <v>15</v>
      </c>
    </row>
    <row r="9617" spans="1:12" x14ac:dyDescent="0.25">
      <c r="A9617" t="str">
        <f>"7203135346"</f>
        <v>7203135346</v>
      </c>
      <c r="B9617" t="str">
        <f t="shared" si="418"/>
        <v>89301000</v>
      </c>
      <c r="C9617" s="1">
        <v>44327</v>
      </c>
      <c r="D9617" s="1">
        <v>44330</v>
      </c>
      <c r="E9617">
        <v>1</v>
      </c>
      <c r="F9617" t="s">
        <v>1602</v>
      </c>
      <c r="G9617" t="str">
        <f>"05-D01-06"</f>
        <v>05-D01-06</v>
      </c>
      <c r="H9617">
        <v>0.7611</v>
      </c>
      <c r="I9617" t="s">
        <v>6622</v>
      </c>
      <c r="J9617" t="s">
        <v>14</v>
      </c>
      <c r="K9617" t="str">
        <f>"1F1"</f>
        <v>1F1</v>
      </c>
      <c r="L9617" t="s">
        <v>15</v>
      </c>
    </row>
    <row r="9618" spans="1:12" x14ac:dyDescent="0.25">
      <c r="A9618" t="str">
        <f>"7203215316"</f>
        <v>7203215316</v>
      </c>
      <c r="B9618" t="str">
        <f t="shared" si="418"/>
        <v>89301000</v>
      </c>
      <c r="C9618" s="1">
        <v>44333</v>
      </c>
      <c r="D9618" s="1">
        <v>44343</v>
      </c>
      <c r="E9618">
        <v>4</v>
      </c>
      <c r="F9618" t="s">
        <v>1615</v>
      </c>
      <c r="G9618" t="str">
        <f>"08-I13-05"</f>
        <v>08-I13-05</v>
      </c>
      <c r="H9618">
        <v>2.1778</v>
      </c>
      <c r="I9618" t="s">
        <v>6623</v>
      </c>
      <c r="J9618" t="s">
        <v>17</v>
      </c>
      <c r="K9618" t="str">
        <f>"5F3"</f>
        <v>5F3</v>
      </c>
      <c r="L9618" t="s">
        <v>15</v>
      </c>
    </row>
    <row r="9619" spans="1:12" x14ac:dyDescent="0.25">
      <c r="A9619" t="str">
        <f>"7203273704"</f>
        <v>7203273704</v>
      </c>
      <c r="B9619" t="str">
        <f t="shared" si="418"/>
        <v>89301000</v>
      </c>
      <c r="C9619" s="1">
        <v>44413</v>
      </c>
      <c r="D9619" s="1">
        <v>44418</v>
      </c>
      <c r="E9619">
        <v>1</v>
      </c>
      <c r="F9619" t="s">
        <v>6624</v>
      </c>
      <c r="G9619" t="str">
        <f>"09-K13-02"</f>
        <v>09-K13-02</v>
      </c>
      <c r="H9619">
        <v>0.3014</v>
      </c>
      <c r="I9619" t="s">
        <v>6625</v>
      </c>
      <c r="J9619" t="s">
        <v>14</v>
      </c>
      <c r="K9619" t="str">
        <f>"5F3"</f>
        <v>5F3</v>
      </c>
      <c r="L9619" t="s">
        <v>15</v>
      </c>
    </row>
    <row r="9620" spans="1:12" x14ac:dyDescent="0.25">
      <c r="A9620" t="str">
        <f>"7204015302"</f>
        <v>7204015302</v>
      </c>
      <c r="B9620" t="str">
        <f t="shared" si="418"/>
        <v>89301000</v>
      </c>
      <c r="C9620" s="1">
        <v>44455</v>
      </c>
      <c r="D9620" s="1">
        <v>44456</v>
      </c>
      <c r="E9620">
        <v>1</v>
      </c>
      <c r="F9620" t="s">
        <v>41</v>
      </c>
      <c r="G9620" t="str">
        <f>"01-D01-03"</f>
        <v>01-D01-03</v>
      </c>
      <c r="H9620">
        <v>0.158</v>
      </c>
      <c r="I9620" t="s">
        <v>6626</v>
      </c>
      <c r="J9620" t="s">
        <v>14</v>
      </c>
      <c r="K9620" t="str">
        <f>"2F5"</f>
        <v>2F5</v>
      </c>
      <c r="L9620" t="s">
        <v>15</v>
      </c>
    </row>
    <row r="9621" spans="1:12" x14ac:dyDescent="0.25">
      <c r="A9621" t="str">
        <f>"7204025312"</f>
        <v>7204025312</v>
      </c>
      <c r="B9621" t="str">
        <f t="shared" si="418"/>
        <v>89301000</v>
      </c>
      <c r="C9621" s="1">
        <v>44435</v>
      </c>
      <c r="D9621" s="1">
        <v>44440</v>
      </c>
      <c r="E9621">
        <v>1</v>
      </c>
      <c r="F9621" t="s">
        <v>31</v>
      </c>
      <c r="G9621" t="str">
        <f>"08-I03-06"</f>
        <v>08-I03-06</v>
      </c>
      <c r="H9621">
        <v>3.3738000000000001</v>
      </c>
      <c r="J9621" t="s">
        <v>17</v>
      </c>
      <c r="K9621" t="str">
        <f>"5F6"</f>
        <v>5F6</v>
      </c>
      <c r="L9621" t="s">
        <v>15</v>
      </c>
    </row>
    <row r="9622" spans="1:12" x14ac:dyDescent="0.25">
      <c r="A9622" t="str">
        <f>"7204055342"</f>
        <v>7204055342</v>
      </c>
      <c r="B9622" t="str">
        <f t="shared" si="418"/>
        <v>89301000</v>
      </c>
      <c r="C9622" s="1">
        <v>44264</v>
      </c>
      <c r="D9622" s="1">
        <v>44274</v>
      </c>
      <c r="E9622">
        <v>1</v>
      </c>
      <c r="F9622" t="s">
        <v>6627</v>
      </c>
      <c r="G9622" t="str">
        <f>"08-K03-01"</f>
        <v>08-K03-01</v>
      </c>
      <c r="H9622">
        <v>3.1173000000000002</v>
      </c>
      <c r="I9622" t="s">
        <v>6628</v>
      </c>
      <c r="J9622" t="s">
        <v>14</v>
      </c>
      <c r="K9622" t="str">
        <f>"1F1"</f>
        <v>1F1</v>
      </c>
      <c r="L9622" t="s">
        <v>15</v>
      </c>
    </row>
    <row r="9623" spans="1:12" x14ac:dyDescent="0.25">
      <c r="A9623" t="str">
        <f>"7204055342"</f>
        <v>7204055342</v>
      </c>
      <c r="B9623" t="str">
        <f t="shared" si="418"/>
        <v>89301000</v>
      </c>
      <c r="C9623" s="1">
        <v>44307</v>
      </c>
      <c r="D9623" s="1">
        <v>44316</v>
      </c>
      <c r="E9623">
        <v>1</v>
      </c>
      <c r="F9623" t="s">
        <v>6627</v>
      </c>
      <c r="G9623" t="str">
        <f>"08-K03-01"</f>
        <v>08-K03-01</v>
      </c>
      <c r="H9623">
        <v>3.1173000000000002</v>
      </c>
      <c r="I9623" t="s">
        <v>6629</v>
      </c>
      <c r="J9623" t="s">
        <v>14</v>
      </c>
      <c r="K9623" t="str">
        <f>"1F1"</f>
        <v>1F1</v>
      </c>
      <c r="L9623" t="s">
        <v>15</v>
      </c>
    </row>
    <row r="9624" spans="1:12" x14ac:dyDescent="0.25">
      <c r="A9624" t="str">
        <f>"7204105315"</f>
        <v>7204105315</v>
      </c>
      <c r="B9624" t="str">
        <f t="shared" si="418"/>
        <v>89301000</v>
      </c>
      <c r="C9624" s="1">
        <v>44196</v>
      </c>
      <c r="D9624" s="1">
        <v>44203</v>
      </c>
      <c r="E9624">
        <v>1</v>
      </c>
      <c r="F9624" t="s">
        <v>5606</v>
      </c>
      <c r="G9624" t="str">
        <f>"06-I07-05"</f>
        <v>06-I07-05</v>
      </c>
      <c r="H9624">
        <v>2.8466999999999998</v>
      </c>
      <c r="J9624" t="s">
        <v>17</v>
      </c>
      <c r="K9624" t="str">
        <f>"5F1"</f>
        <v>5F1</v>
      </c>
      <c r="L9624" t="s">
        <v>15</v>
      </c>
    </row>
    <row r="9625" spans="1:12" x14ac:dyDescent="0.25">
      <c r="A9625" t="str">
        <f>"7204105315"</f>
        <v>7204105315</v>
      </c>
      <c r="B9625" t="str">
        <f t="shared" si="418"/>
        <v>89301000</v>
      </c>
      <c r="C9625" s="1">
        <v>44405</v>
      </c>
      <c r="D9625" s="1">
        <v>44417</v>
      </c>
      <c r="E9625">
        <v>1</v>
      </c>
      <c r="F9625" t="s">
        <v>4298</v>
      </c>
      <c r="G9625" t="str">
        <f>"06-I07-06"</f>
        <v>06-I07-06</v>
      </c>
      <c r="H9625">
        <v>2.3988</v>
      </c>
      <c r="I9625" t="s">
        <v>6630</v>
      </c>
      <c r="J9625" t="s">
        <v>17</v>
      </c>
      <c r="K9625" t="str">
        <f>"5F1"</f>
        <v>5F1</v>
      </c>
      <c r="L9625" t="s">
        <v>15</v>
      </c>
    </row>
    <row r="9626" spans="1:12" x14ac:dyDescent="0.25">
      <c r="A9626" t="str">
        <f>"7204165793"</f>
        <v>7204165793</v>
      </c>
      <c r="B9626" t="str">
        <f t="shared" si="418"/>
        <v>89301000</v>
      </c>
      <c r="C9626" s="1">
        <v>44364</v>
      </c>
      <c r="D9626" s="1">
        <v>44364</v>
      </c>
      <c r="E9626">
        <v>6</v>
      </c>
      <c r="F9626" t="s">
        <v>1548</v>
      </c>
      <c r="G9626" t="str">
        <f>"05-D01-06"</f>
        <v>05-D01-06</v>
      </c>
      <c r="H9626">
        <v>0.40649999999999997</v>
      </c>
      <c r="I9626" t="s">
        <v>489</v>
      </c>
      <c r="J9626" t="s">
        <v>14</v>
      </c>
      <c r="K9626" t="str">
        <f>"1F1"</f>
        <v>1F1</v>
      </c>
      <c r="L9626" t="s">
        <v>15</v>
      </c>
    </row>
    <row r="9627" spans="1:12" x14ac:dyDescent="0.25">
      <c r="A9627" t="str">
        <f>"7204185384"</f>
        <v>7204185384</v>
      </c>
      <c r="B9627" t="str">
        <f t="shared" si="418"/>
        <v>89301000</v>
      </c>
      <c r="C9627" s="1">
        <v>44276</v>
      </c>
      <c r="D9627" s="1">
        <v>44278</v>
      </c>
      <c r="E9627">
        <v>1</v>
      </c>
      <c r="F9627" t="s">
        <v>47</v>
      </c>
      <c r="G9627" t="str">
        <f>"08-M03-05"</f>
        <v>08-M03-05</v>
      </c>
      <c r="H9627">
        <v>0.51759999999999995</v>
      </c>
      <c r="I9627" t="s">
        <v>2407</v>
      </c>
      <c r="J9627" t="s">
        <v>14</v>
      </c>
      <c r="K9627" t="str">
        <f>"6F6"</f>
        <v>6F6</v>
      </c>
      <c r="L9627" t="s">
        <v>15</v>
      </c>
    </row>
    <row r="9628" spans="1:12" x14ac:dyDescent="0.25">
      <c r="A9628" t="str">
        <f>"7205025344"</f>
        <v>7205025344</v>
      </c>
      <c r="B9628" t="str">
        <f t="shared" si="418"/>
        <v>89301000</v>
      </c>
      <c r="C9628" s="1">
        <v>44343</v>
      </c>
      <c r="D9628" s="1">
        <v>44345</v>
      </c>
      <c r="E9628">
        <v>1</v>
      </c>
      <c r="F9628" t="s">
        <v>1683</v>
      </c>
      <c r="G9628" t="str">
        <f>"05-M06-06"</f>
        <v>05-M06-06</v>
      </c>
      <c r="H9628">
        <v>1.7652000000000001</v>
      </c>
      <c r="I9628" t="s">
        <v>5252</v>
      </c>
      <c r="J9628" t="s">
        <v>17</v>
      </c>
      <c r="K9628" t="str">
        <f>"1F1"</f>
        <v>1F1</v>
      </c>
      <c r="L9628" t="s">
        <v>15</v>
      </c>
    </row>
    <row r="9629" spans="1:12" x14ac:dyDescent="0.25">
      <c r="A9629" t="str">
        <f>"7205055363"</f>
        <v>7205055363</v>
      </c>
      <c r="B9629" t="str">
        <f t="shared" si="418"/>
        <v>89301000</v>
      </c>
      <c r="C9629" s="1">
        <v>44327</v>
      </c>
      <c r="D9629" s="1">
        <v>44330</v>
      </c>
      <c r="E9629">
        <v>1</v>
      </c>
      <c r="F9629" t="s">
        <v>309</v>
      </c>
      <c r="G9629" t="str">
        <f>"08-M03-05"</f>
        <v>08-M03-05</v>
      </c>
      <c r="H9629">
        <v>0.51759999999999995</v>
      </c>
      <c r="J9629" t="s">
        <v>14</v>
      </c>
      <c r="K9629" t="str">
        <f>"6F6"</f>
        <v>6F6</v>
      </c>
      <c r="L9629" t="s">
        <v>15</v>
      </c>
    </row>
    <row r="9630" spans="1:12" x14ac:dyDescent="0.25">
      <c r="A9630" t="str">
        <f>"7205155166"</f>
        <v>7205155166</v>
      </c>
      <c r="B9630" t="str">
        <f t="shared" si="418"/>
        <v>89301000</v>
      </c>
      <c r="C9630" s="1">
        <v>44339</v>
      </c>
      <c r="D9630" s="1">
        <v>44362</v>
      </c>
      <c r="E9630">
        <v>1</v>
      </c>
      <c r="F9630" t="s">
        <v>5912</v>
      </c>
      <c r="G9630" t="str">
        <f>"17-I10-01"</f>
        <v>17-I10-01</v>
      </c>
      <c r="H9630">
        <v>5.2751999999999999</v>
      </c>
      <c r="I9630" t="s">
        <v>6631</v>
      </c>
      <c r="J9630" t="s">
        <v>14</v>
      </c>
      <c r="K9630" t="str">
        <f>"2F2"</f>
        <v>2F2</v>
      </c>
      <c r="L9630" t="s">
        <v>15</v>
      </c>
    </row>
    <row r="9631" spans="1:12" x14ac:dyDescent="0.25">
      <c r="A9631" t="str">
        <f>"7205155166"</f>
        <v>7205155166</v>
      </c>
      <c r="B9631" t="str">
        <f t="shared" si="418"/>
        <v>89301000</v>
      </c>
      <c r="C9631" s="1">
        <v>44243</v>
      </c>
      <c r="D9631" s="1">
        <v>44249</v>
      </c>
      <c r="E9631">
        <v>1</v>
      </c>
      <c r="F9631" t="s">
        <v>1569</v>
      </c>
      <c r="G9631" t="str">
        <f>"09-I13-03"</f>
        <v>09-I13-03</v>
      </c>
      <c r="H9631">
        <v>0.77380000000000004</v>
      </c>
      <c r="I9631" t="s">
        <v>6632</v>
      </c>
      <c r="J9631" t="s">
        <v>14</v>
      </c>
      <c r="K9631" t="str">
        <f>"7F1"</f>
        <v>7F1</v>
      </c>
      <c r="L9631" t="s">
        <v>15</v>
      </c>
    </row>
    <row r="9632" spans="1:12" x14ac:dyDescent="0.25">
      <c r="A9632" t="str">
        <f>"7205165352"</f>
        <v>7205165352</v>
      </c>
      <c r="B9632" t="str">
        <f t="shared" si="418"/>
        <v>89301000</v>
      </c>
      <c r="C9632" s="1">
        <v>44533</v>
      </c>
      <c r="D9632" s="1">
        <v>44536</v>
      </c>
      <c r="E9632">
        <v>1</v>
      </c>
      <c r="F9632" t="s">
        <v>774</v>
      </c>
      <c r="G9632" t="str">
        <f>"03-K02-03"</f>
        <v>03-K02-03</v>
      </c>
      <c r="H9632">
        <v>0.33960000000000001</v>
      </c>
      <c r="I9632" t="s">
        <v>6633</v>
      </c>
      <c r="J9632" t="s">
        <v>14</v>
      </c>
      <c r="K9632" t="str">
        <f>"7F1"</f>
        <v>7F1</v>
      </c>
      <c r="L9632" t="s">
        <v>15</v>
      </c>
    </row>
    <row r="9633" spans="1:12" x14ac:dyDescent="0.25">
      <c r="A9633" t="str">
        <f>"7205195767"</f>
        <v>7205195767</v>
      </c>
      <c r="B9633" t="str">
        <f t="shared" si="418"/>
        <v>89301000</v>
      </c>
      <c r="C9633" s="1">
        <v>44363</v>
      </c>
      <c r="D9633" s="1">
        <v>44369</v>
      </c>
      <c r="E9633">
        <v>1</v>
      </c>
      <c r="F9633" t="s">
        <v>5889</v>
      </c>
      <c r="G9633" t="str">
        <f>"01-K10-03"</f>
        <v>01-K10-03</v>
      </c>
      <c r="H9633">
        <v>1.0016</v>
      </c>
      <c r="J9633" t="s">
        <v>14</v>
      </c>
      <c r="K9633" t="str">
        <f>"2F9"</f>
        <v>2F9</v>
      </c>
      <c r="L9633" t="s">
        <v>15</v>
      </c>
    </row>
    <row r="9634" spans="1:12" x14ac:dyDescent="0.25">
      <c r="A9634" t="str">
        <f>"7205255541"</f>
        <v>7205255541</v>
      </c>
      <c r="B9634" t="str">
        <f t="shared" si="418"/>
        <v>89301000</v>
      </c>
      <c r="C9634" s="1">
        <v>44387</v>
      </c>
      <c r="D9634" s="1">
        <v>44393</v>
      </c>
      <c r="E9634">
        <v>1</v>
      </c>
      <c r="F9634" t="s">
        <v>6634</v>
      </c>
      <c r="G9634" t="str">
        <f>"08-I16-04"</f>
        <v>08-I16-04</v>
      </c>
      <c r="H9634">
        <v>0.92159999999999997</v>
      </c>
      <c r="I9634" t="s">
        <v>6635</v>
      </c>
      <c r="J9634" t="s">
        <v>17</v>
      </c>
      <c r="K9634" t="str">
        <f>"5F3"</f>
        <v>5F3</v>
      </c>
      <c r="L9634" t="s">
        <v>15</v>
      </c>
    </row>
    <row r="9635" spans="1:12" x14ac:dyDescent="0.25">
      <c r="A9635" t="str">
        <f>"7205315326"</f>
        <v>7205315326</v>
      </c>
      <c r="B9635" t="str">
        <f t="shared" si="418"/>
        <v>89301000</v>
      </c>
      <c r="C9635" s="1">
        <v>44412</v>
      </c>
      <c r="D9635" s="1">
        <v>44414</v>
      </c>
      <c r="E9635">
        <v>1</v>
      </c>
      <c r="F9635" t="s">
        <v>5236</v>
      </c>
      <c r="G9635" t="str">
        <f>"08-I19-03"</f>
        <v>08-I19-03</v>
      </c>
      <c r="H9635">
        <v>0.6512</v>
      </c>
      <c r="I9635" t="s">
        <v>395</v>
      </c>
      <c r="J9635" t="s">
        <v>17</v>
      </c>
      <c r="K9635" t="str">
        <f>"5F3"</f>
        <v>5F3</v>
      </c>
      <c r="L9635" t="s">
        <v>15</v>
      </c>
    </row>
    <row r="9636" spans="1:12" x14ac:dyDescent="0.25">
      <c r="A9636" t="str">
        <f>"7206045308"</f>
        <v>7206045308</v>
      </c>
      <c r="B9636" t="str">
        <f t="shared" si="418"/>
        <v>89301000</v>
      </c>
      <c r="C9636" s="1">
        <v>44497</v>
      </c>
      <c r="D9636" s="1">
        <v>44501</v>
      </c>
      <c r="E9636">
        <v>1</v>
      </c>
      <c r="F9636" t="s">
        <v>6636</v>
      </c>
      <c r="G9636" t="str">
        <f>"11-I10-01"</f>
        <v>11-I10-01</v>
      </c>
      <c r="H9636">
        <v>2.8389000000000002</v>
      </c>
      <c r="I9636" t="s">
        <v>6637</v>
      </c>
      <c r="J9636" t="s">
        <v>14</v>
      </c>
      <c r="K9636" t="str">
        <f>"7F6"</f>
        <v>7F6</v>
      </c>
      <c r="L9636" t="s">
        <v>15</v>
      </c>
    </row>
    <row r="9637" spans="1:12" x14ac:dyDescent="0.25">
      <c r="A9637" t="str">
        <f>"7206085348"</f>
        <v>7206085348</v>
      </c>
      <c r="B9637" t="str">
        <f t="shared" si="418"/>
        <v>89301000</v>
      </c>
      <c r="C9637" s="1">
        <v>44314</v>
      </c>
      <c r="D9637" s="1">
        <v>44320</v>
      </c>
      <c r="E9637">
        <v>1</v>
      </c>
      <c r="F9637" t="s">
        <v>699</v>
      </c>
      <c r="G9637" t="str">
        <f>"16-K02-03"</f>
        <v>16-K02-03</v>
      </c>
      <c r="H9637">
        <v>0.5302</v>
      </c>
      <c r="I9637" t="s">
        <v>6638</v>
      </c>
      <c r="J9637" t="s">
        <v>14</v>
      </c>
      <c r="K9637" t="str">
        <f>"1F1"</f>
        <v>1F1</v>
      </c>
      <c r="L9637" t="s">
        <v>15</v>
      </c>
    </row>
    <row r="9638" spans="1:12" x14ac:dyDescent="0.25">
      <c r="A9638" t="str">
        <f>"7206085766"</f>
        <v>7206085766</v>
      </c>
      <c r="B9638" t="str">
        <f t="shared" si="418"/>
        <v>89301000</v>
      </c>
      <c r="C9638" s="1">
        <v>44357</v>
      </c>
      <c r="D9638" s="1">
        <v>44359</v>
      </c>
      <c r="E9638">
        <v>1</v>
      </c>
      <c r="F9638" t="s">
        <v>3568</v>
      </c>
      <c r="G9638" t="str">
        <f>"08-I03-08"</f>
        <v>08-I03-08</v>
      </c>
      <c r="H9638">
        <v>2.0605000000000002</v>
      </c>
      <c r="I9638" t="s">
        <v>3569</v>
      </c>
      <c r="J9638" t="s">
        <v>17</v>
      </c>
      <c r="K9638" t="str">
        <f>"5F6"</f>
        <v>5F6</v>
      </c>
      <c r="L9638" t="s">
        <v>15</v>
      </c>
    </row>
    <row r="9639" spans="1:12" x14ac:dyDescent="0.25">
      <c r="A9639" t="str">
        <f>"7206125245"</f>
        <v>7206125245</v>
      </c>
      <c r="B9639" t="str">
        <f t="shared" si="418"/>
        <v>89301000</v>
      </c>
      <c r="C9639" s="1">
        <v>44422</v>
      </c>
      <c r="D9639" s="1">
        <v>44424</v>
      </c>
      <c r="E9639">
        <v>1</v>
      </c>
      <c r="F9639" t="s">
        <v>1683</v>
      </c>
      <c r="G9639" t="str">
        <f>"05-M06-06"</f>
        <v>05-M06-06</v>
      </c>
      <c r="H9639">
        <v>1.7652000000000001</v>
      </c>
      <c r="J9639" t="s">
        <v>17</v>
      </c>
      <c r="K9639" t="str">
        <f>"1F7"</f>
        <v>1F7</v>
      </c>
      <c r="L9639" t="s">
        <v>15</v>
      </c>
    </row>
    <row r="9640" spans="1:12" x14ac:dyDescent="0.25">
      <c r="A9640" t="str">
        <f>"7206155363"</f>
        <v>7206155363</v>
      </c>
      <c r="B9640" t="str">
        <f t="shared" ref="B9640:B9703" si="419">"89301000"</f>
        <v>89301000</v>
      </c>
      <c r="C9640" s="1">
        <v>44318</v>
      </c>
      <c r="D9640" s="1">
        <v>44322</v>
      </c>
      <c r="E9640">
        <v>1</v>
      </c>
      <c r="F9640" t="s">
        <v>81</v>
      </c>
      <c r="G9640" t="str">
        <f>"10-I13-02"</f>
        <v>10-I13-02</v>
      </c>
      <c r="H9640">
        <v>1.1468</v>
      </c>
      <c r="I9640" t="s">
        <v>489</v>
      </c>
      <c r="J9640" t="s">
        <v>24</v>
      </c>
      <c r="K9640" t="str">
        <f>"5F1"</f>
        <v>5F1</v>
      </c>
      <c r="L9640" t="s">
        <v>15</v>
      </c>
    </row>
    <row r="9641" spans="1:12" x14ac:dyDescent="0.25">
      <c r="A9641" t="str">
        <f>"7207015343"</f>
        <v>7207015343</v>
      </c>
      <c r="B9641" t="str">
        <f t="shared" si="419"/>
        <v>89301000</v>
      </c>
      <c r="C9641" s="1">
        <v>44359</v>
      </c>
      <c r="D9641" s="1">
        <v>44363</v>
      </c>
      <c r="E9641">
        <v>1</v>
      </c>
      <c r="F9641" t="s">
        <v>1742</v>
      </c>
      <c r="G9641" t="str">
        <f>"01-K18-04"</f>
        <v>01-K18-04</v>
      </c>
      <c r="H9641">
        <v>0.49890000000000001</v>
      </c>
      <c r="J9641" t="s">
        <v>14</v>
      </c>
      <c r="K9641" t="str">
        <f>"2F9"</f>
        <v>2F9</v>
      </c>
      <c r="L9641" t="s">
        <v>15</v>
      </c>
    </row>
    <row r="9642" spans="1:12" x14ac:dyDescent="0.25">
      <c r="A9642" t="str">
        <f>"7207094466"</f>
        <v>7207094466</v>
      </c>
      <c r="B9642" t="str">
        <f t="shared" si="419"/>
        <v>89301000</v>
      </c>
      <c r="C9642" s="1">
        <v>44321</v>
      </c>
      <c r="D9642" s="1">
        <v>44323</v>
      </c>
      <c r="E9642">
        <v>1</v>
      </c>
      <c r="F9642" t="s">
        <v>41</v>
      </c>
      <c r="G9642" t="str">
        <f>"01-D01-03"</f>
        <v>01-D01-03</v>
      </c>
      <c r="H9642">
        <v>0.158</v>
      </c>
      <c r="J9642" t="s">
        <v>14</v>
      </c>
      <c r="K9642" t="str">
        <f>"2F5"</f>
        <v>2F5</v>
      </c>
      <c r="L9642" t="s">
        <v>15</v>
      </c>
    </row>
    <row r="9643" spans="1:12" x14ac:dyDescent="0.25">
      <c r="A9643" t="str">
        <f>"7207125310"</f>
        <v>7207125310</v>
      </c>
      <c r="B9643" t="str">
        <f t="shared" si="419"/>
        <v>89301000</v>
      </c>
      <c r="C9643" s="1">
        <v>44286</v>
      </c>
      <c r="D9643" s="1">
        <v>44321</v>
      </c>
      <c r="E9643">
        <v>1</v>
      </c>
      <c r="F9643" t="s">
        <v>2006</v>
      </c>
      <c r="G9643" t="str">
        <f>"06-I04-01"</f>
        <v>06-I04-01</v>
      </c>
      <c r="H9643">
        <v>8.2691999999999997</v>
      </c>
      <c r="I9643" t="s">
        <v>6639</v>
      </c>
      <c r="J9643" t="s">
        <v>17</v>
      </c>
      <c r="K9643" t="str">
        <f>"5F1"</f>
        <v>5F1</v>
      </c>
      <c r="L9643" t="s">
        <v>15</v>
      </c>
    </row>
    <row r="9644" spans="1:12" x14ac:dyDescent="0.25">
      <c r="A9644" t="str">
        <f>"7207235431"</f>
        <v>7207235431</v>
      </c>
      <c r="B9644" t="str">
        <f t="shared" si="419"/>
        <v>89301000</v>
      </c>
      <c r="C9644" s="1">
        <v>44292</v>
      </c>
      <c r="D9644" s="1">
        <v>44294</v>
      </c>
      <c r="E9644">
        <v>1</v>
      </c>
      <c r="F9644" t="s">
        <v>6640</v>
      </c>
      <c r="G9644" t="str">
        <f>"01-K08-02"</f>
        <v>01-K08-02</v>
      </c>
      <c r="H9644">
        <v>0.60519999999999996</v>
      </c>
      <c r="I9644" t="s">
        <v>489</v>
      </c>
      <c r="J9644" t="s">
        <v>14</v>
      </c>
      <c r="K9644" t="str">
        <f>"2F9"</f>
        <v>2F9</v>
      </c>
      <c r="L9644" t="s">
        <v>15</v>
      </c>
    </row>
    <row r="9645" spans="1:12" x14ac:dyDescent="0.25">
      <c r="A9645" t="str">
        <f>"7207235431"</f>
        <v>7207235431</v>
      </c>
      <c r="B9645" t="str">
        <f t="shared" si="419"/>
        <v>89301000</v>
      </c>
      <c r="C9645" s="1">
        <v>44284</v>
      </c>
      <c r="D9645" s="1">
        <v>44285</v>
      </c>
      <c r="E9645">
        <v>1</v>
      </c>
      <c r="F9645" t="s">
        <v>6640</v>
      </c>
      <c r="G9645" t="str">
        <f>"01-K08-02"</f>
        <v>01-K08-02</v>
      </c>
      <c r="H9645">
        <v>0.60519999999999996</v>
      </c>
      <c r="I9645" t="s">
        <v>6641</v>
      </c>
      <c r="J9645" t="s">
        <v>14</v>
      </c>
      <c r="K9645" t="str">
        <f>"2F9"</f>
        <v>2F9</v>
      </c>
      <c r="L9645" t="s">
        <v>15</v>
      </c>
    </row>
    <row r="9646" spans="1:12" x14ac:dyDescent="0.25">
      <c r="A9646" t="str">
        <f>"7207254890"</f>
        <v>7207254890</v>
      </c>
      <c r="B9646" t="str">
        <f t="shared" si="419"/>
        <v>89301000</v>
      </c>
      <c r="C9646" s="1">
        <v>44413</v>
      </c>
      <c r="D9646" s="1">
        <v>44428</v>
      </c>
      <c r="E9646">
        <v>4</v>
      </c>
      <c r="F9646" t="s">
        <v>78</v>
      </c>
      <c r="G9646" t="str">
        <f>"19-K05-02"</f>
        <v>19-K05-02</v>
      </c>
      <c r="H9646">
        <v>1.8835999999999999</v>
      </c>
      <c r="I9646" t="s">
        <v>6642</v>
      </c>
      <c r="J9646" t="s">
        <v>27</v>
      </c>
      <c r="K9646" t="str">
        <f>"3F5"</f>
        <v>3F5</v>
      </c>
      <c r="L9646" t="s">
        <v>15</v>
      </c>
    </row>
    <row r="9647" spans="1:12" x14ac:dyDescent="0.25">
      <c r="A9647" t="str">
        <f>"7207305754"</f>
        <v>7207305754</v>
      </c>
      <c r="B9647" t="str">
        <f t="shared" si="419"/>
        <v>89301000</v>
      </c>
      <c r="C9647" s="1">
        <v>44488</v>
      </c>
      <c r="D9647" s="1">
        <v>44491</v>
      </c>
      <c r="E9647">
        <v>1</v>
      </c>
      <c r="F9647" t="s">
        <v>903</v>
      </c>
      <c r="G9647" t="str">
        <f>"06-I22-02"</f>
        <v>06-I22-02</v>
      </c>
      <c r="H9647">
        <v>0.436</v>
      </c>
      <c r="J9647" t="s">
        <v>14</v>
      </c>
      <c r="K9647" t="str">
        <f>"5F1"</f>
        <v>5F1</v>
      </c>
      <c r="L9647" t="s">
        <v>15</v>
      </c>
    </row>
    <row r="9648" spans="1:12" x14ac:dyDescent="0.25">
      <c r="A9648" t="str">
        <f>"7208015760"</f>
        <v>7208015760</v>
      </c>
      <c r="B9648" t="str">
        <f t="shared" si="419"/>
        <v>89301000</v>
      </c>
      <c r="C9648" s="1">
        <v>44327</v>
      </c>
      <c r="D9648" s="1">
        <v>44329</v>
      </c>
      <c r="E9648">
        <v>1</v>
      </c>
      <c r="F9648" t="s">
        <v>287</v>
      </c>
      <c r="G9648" t="str">
        <f>"01-K16-06"</f>
        <v>01-K16-06</v>
      </c>
      <c r="H9648">
        <v>0.26469999999999999</v>
      </c>
      <c r="I9648" t="s">
        <v>6643</v>
      </c>
      <c r="J9648" t="s">
        <v>14</v>
      </c>
      <c r="K9648" t="str">
        <f>"5F3"</f>
        <v>5F3</v>
      </c>
      <c r="L9648" t="s">
        <v>15</v>
      </c>
    </row>
    <row r="9649" spans="1:12" x14ac:dyDescent="0.25">
      <c r="A9649" t="str">
        <f>"7208024967"</f>
        <v>7208024967</v>
      </c>
      <c r="B9649" t="str">
        <f t="shared" si="419"/>
        <v>89301000</v>
      </c>
      <c r="C9649" s="1">
        <v>44200</v>
      </c>
      <c r="D9649" s="1">
        <v>44208</v>
      </c>
      <c r="E9649">
        <v>1</v>
      </c>
      <c r="F9649" t="s">
        <v>699</v>
      </c>
      <c r="G9649" t="str">
        <f>"16-K02-02"</f>
        <v>16-K02-02</v>
      </c>
      <c r="H9649">
        <v>0.77459999999999996</v>
      </c>
      <c r="I9649" t="s">
        <v>6644</v>
      </c>
      <c r="J9649" t="s">
        <v>14</v>
      </c>
      <c r="K9649" t="str">
        <f>"1F1"</f>
        <v>1F1</v>
      </c>
      <c r="L9649" t="s">
        <v>15</v>
      </c>
    </row>
    <row r="9650" spans="1:12" x14ac:dyDescent="0.25">
      <c r="A9650" t="str">
        <f>"7208101230"</f>
        <v>7208101230</v>
      </c>
      <c r="B9650" t="str">
        <f t="shared" si="419"/>
        <v>89301000</v>
      </c>
      <c r="C9650" s="1">
        <v>44543</v>
      </c>
      <c r="D9650" s="1">
        <v>44544</v>
      </c>
      <c r="E9650">
        <v>1</v>
      </c>
      <c r="F9650" t="s">
        <v>41</v>
      </c>
      <c r="G9650" t="str">
        <f>"01-D01-03"</f>
        <v>01-D01-03</v>
      </c>
      <c r="H9650">
        <v>0.158</v>
      </c>
      <c r="I9650" t="s">
        <v>6645</v>
      </c>
      <c r="J9650" t="s">
        <v>14</v>
      </c>
      <c r="K9650" t="str">
        <f>"2F5"</f>
        <v>2F5</v>
      </c>
      <c r="L9650" t="s">
        <v>15</v>
      </c>
    </row>
    <row r="9651" spans="1:12" x14ac:dyDescent="0.25">
      <c r="A9651" t="str">
        <f>"7208101230"</f>
        <v>7208101230</v>
      </c>
      <c r="B9651" t="str">
        <f t="shared" si="419"/>
        <v>89301000</v>
      </c>
      <c r="C9651" s="1">
        <v>44531</v>
      </c>
      <c r="D9651" s="1">
        <v>44532</v>
      </c>
      <c r="E9651">
        <v>1</v>
      </c>
      <c r="F9651" t="s">
        <v>41</v>
      </c>
      <c r="G9651" t="str">
        <f>"01-D01-03"</f>
        <v>01-D01-03</v>
      </c>
      <c r="H9651">
        <v>0.158</v>
      </c>
      <c r="I9651" t="s">
        <v>453</v>
      </c>
      <c r="J9651" t="s">
        <v>14</v>
      </c>
      <c r="K9651" t="str">
        <f>"2F5"</f>
        <v>2F5</v>
      </c>
      <c r="L9651" t="s">
        <v>15</v>
      </c>
    </row>
    <row r="9652" spans="1:12" x14ac:dyDescent="0.25">
      <c r="A9652" t="str">
        <f>"7208114463"</f>
        <v>7208114463</v>
      </c>
      <c r="B9652" t="str">
        <f t="shared" si="419"/>
        <v>89301000</v>
      </c>
      <c r="C9652" s="1">
        <v>44537</v>
      </c>
      <c r="D9652" s="1">
        <v>44541</v>
      </c>
      <c r="E9652">
        <v>1</v>
      </c>
      <c r="F9652" t="s">
        <v>2232</v>
      </c>
      <c r="G9652" t="str">
        <f>"11-I08-03"</f>
        <v>11-I08-03</v>
      </c>
      <c r="H9652">
        <v>2.0676999999999999</v>
      </c>
      <c r="J9652" t="s">
        <v>17</v>
      </c>
      <c r="K9652" t="str">
        <f>"7F6"</f>
        <v>7F6</v>
      </c>
      <c r="L9652" t="s">
        <v>15</v>
      </c>
    </row>
    <row r="9653" spans="1:12" x14ac:dyDescent="0.25">
      <c r="A9653" t="str">
        <f>"7208165756"</f>
        <v>7208165756</v>
      </c>
      <c r="B9653" t="str">
        <f t="shared" si="419"/>
        <v>89301000</v>
      </c>
      <c r="C9653" s="1">
        <v>44288</v>
      </c>
      <c r="D9653" s="1">
        <v>44298</v>
      </c>
      <c r="E9653">
        <v>1</v>
      </c>
      <c r="F9653" t="s">
        <v>6646</v>
      </c>
      <c r="G9653" t="str">
        <f>"04-K15-01"</f>
        <v>04-K15-01</v>
      </c>
      <c r="H9653">
        <v>2.2197</v>
      </c>
      <c r="I9653" t="s">
        <v>6647</v>
      </c>
      <c r="J9653" t="s">
        <v>14</v>
      </c>
      <c r="K9653" t="str">
        <f>"2F5"</f>
        <v>2F5</v>
      </c>
      <c r="L9653" t="s">
        <v>15</v>
      </c>
    </row>
    <row r="9654" spans="1:12" x14ac:dyDescent="0.25">
      <c r="A9654" t="str">
        <f>"7208175304"</f>
        <v>7208175304</v>
      </c>
      <c r="B9654" t="str">
        <f t="shared" si="419"/>
        <v>89301000</v>
      </c>
      <c r="C9654" s="1">
        <v>44406</v>
      </c>
      <c r="D9654" s="1">
        <v>44407</v>
      </c>
      <c r="E9654">
        <v>1</v>
      </c>
      <c r="F9654" t="s">
        <v>41</v>
      </c>
      <c r="G9654" t="str">
        <f>"01-D01-03"</f>
        <v>01-D01-03</v>
      </c>
      <c r="H9654">
        <v>0.158</v>
      </c>
      <c r="I9654" t="s">
        <v>489</v>
      </c>
      <c r="J9654" t="s">
        <v>14</v>
      </c>
      <c r="K9654" t="str">
        <f>"2F5"</f>
        <v>2F5</v>
      </c>
      <c r="L9654" t="s">
        <v>15</v>
      </c>
    </row>
    <row r="9655" spans="1:12" x14ac:dyDescent="0.25">
      <c r="A9655" t="str">
        <f>"7208175304"</f>
        <v>7208175304</v>
      </c>
      <c r="B9655" t="str">
        <f t="shared" si="419"/>
        <v>89301000</v>
      </c>
      <c r="C9655" s="1">
        <v>44491</v>
      </c>
      <c r="D9655" s="1">
        <v>44494</v>
      </c>
      <c r="E9655">
        <v>1</v>
      </c>
      <c r="F9655" t="s">
        <v>41</v>
      </c>
      <c r="G9655" t="str">
        <f>"01-D01-03"</f>
        <v>01-D01-03</v>
      </c>
      <c r="H9655">
        <v>0.2054</v>
      </c>
      <c r="I9655" t="s">
        <v>489</v>
      </c>
      <c r="J9655" t="s">
        <v>14</v>
      </c>
      <c r="K9655" t="str">
        <f>"2F5"</f>
        <v>2F5</v>
      </c>
      <c r="L9655" t="s">
        <v>15</v>
      </c>
    </row>
    <row r="9656" spans="1:12" x14ac:dyDescent="0.25">
      <c r="A9656" t="str">
        <f>"7208185314"</f>
        <v>7208185314</v>
      </c>
      <c r="B9656" t="str">
        <f t="shared" si="419"/>
        <v>89301000</v>
      </c>
      <c r="C9656" s="1">
        <v>44469</v>
      </c>
      <c r="D9656" s="1">
        <v>44473</v>
      </c>
      <c r="E9656">
        <v>1</v>
      </c>
      <c r="F9656" t="s">
        <v>2931</v>
      </c>
      <c r="G9656" t="str">
        <f>"07-K04-03"</f>
        <v>07-K04-03</v>
      </c>
      <c r="H9656">
        <v>1.0898000000000001</v>
      </c>
      <c r="I9656" t="s">
        <v>6648</v>
      </c>
      <c r="J9656" t="s">
        <v>14</v>
      </c>
      <c r="K9656" t="str">
        <f>"1F1"</f>
        <v>1F1</v>
      </c>
      <c r="L9656" t="s">
        <v>15</v>
      </c>
    </row>
    <row r="9657" spans="1:12" x14ac:dyDescent="0.25">
      <c r="A9657" t="str">
        <f>"7208185314"</f>
        <v>7208185314</v>
      </c>
      <c r="B9657" t="str">
        <f t="shared" si="419"/>
        <v>89301000</v>
      </c>
      <c r="C9657" s="1">
        <v>44307</v>
      </c>
      <c r="D9657" s="1">
        <v>44312</v>
      </c>
      <c r="E9657">
        <v>1</v>
      </c>
      <c r="F9657" t="s">
        <v>883</v>
      </c>
      <c r="G9657" t="str">
        <f>"06-K20-02"</f>
        <v>06-K20-02</v>
      </c>
      <c r="H9657">
        <v>0.93700000000000006</v>
      </c>
      <c r="I9657" t="s">
        <v>6649</v>
      </c>
      <c r="J9657" t="s">
        <v>14</v>
      </c>
      <c r="K9657" t="str">
        <f>"1F5"</f>
        <v>1F5</v>
      </c>
      <c r="L9657" t="s">
        <v>15</v>
      </c>
    </row>
    <row r="9658" spans="1:12" x14ac:dyDescent="0.25">
      <c r="A9658" t="str">
        <f>"7208185314"</f>
        <v>7208185314</v>
      </c>
      <c r="B9658" t="str">
        <f t="shared" si="419"/>
        <v>89301000</v>
      </c>
      <c r="C9658" s="1">
        <v>44433</v>
      </c>
      <c r="D9658" s="1">
        <v>44435</v>
      </c>
      <c r="E9658">
        <v>1</v>
      </c>
      <c r="F9658" t="s">
        <v>3901</v>
      </c>
      <c r="G9658" t="str">
        <f>"07-K04-02"</f>
        <v>07-K04-02</v>
      </c>
      <c r="H9658">
        <v>1.1296999999999999</v>
      </c>
      <c r="I9658" t="s">
        <v>6650</v>
      </c>
      <c r="J9658" t="s">
        <v>14</v>
      </c>
      <c r="K9658" t="str">
        <f>"1F1"</f>
        <v>1F1</v>
      </c>
      <c r="L9658" t="s">
        <v>15</v>
      </c>
    </row>
    <row r="9659" spans="1:12" x14ac:dyDescent="0.25">
      <c r="A9659" t="str">
        <f>"7209025307"</f>
        <v>7209025307</v>
      </c>
      <c r="B9659" t="str">
        <f t="shared" si="419"/>
        <v>89301000</v>
      </c>
      <c r="C9659" s="1">
        <v>44523</v>
      </c>
      <c r="D9659" s="1">
        <v>44525</v>
      </c>
      <c r="E9659">
        <v>1</v>
      </c>
      <c r="F9659" t="s">
        <v>2111</v>
      </c>
      <c r="G9659" t="str">
        <f>"10-K15-02"</f>
        <v>10-K15-02</v>
      </c>
      <c r="H9659">
        <v>0.77639999999999998</v>
      </c>
      <c r="I9659" t="s">
        <v>5026</v>
      </c>
      <c r="J9659" t="s">
        <v>14</v>
      </c>
      <c r="K9659" t="str">
        <f>"2F5"</f>
        <v>2F5</v>
      </c>
      <c r="L9659" t="s">
        <v>15</v>
      </c>
    </row>
    <row r="9660" spans="1:12" x14ac:dyDescent="0.25">
      <c r="A9660" t="str">
        <f>"7209035306"</f>
        <v>7209035306</v>
      </c>
      <c r="B9660" t="str">
        <f t="shared" si="419"/>
        <v>89301000</v>
      </c>
      <c r="C9660" s="1">
        <v>44362</v>
      </c>
      <c r="D9660" s="1">
        <v>44363</v>
      </c>
      <c r="E9660">
        <v>1</v>
      </c>
      <c r="F9660" t="s">
        <v>2032</v>
      </c>
      <c r="G9660" t="str">
        <f>"05-M06-08"</f>
        <v>05-M06-08</v>
      </c>
      <c r="H9660">
        <v>1.4719</v>
      </c>
      <c r="I9660" t="s">
        <v>6651</v>
      </c>
      <c r="J9660" t="s">
        <v>17</v>
      </c>
      <c r="K9660" t="str">
        <f>"1F1"</f>
        <v>1F1</v>
      </c>
      <c r="L9660" t="s">
        <v>15</v>
      </c>
    </row>
    <row r="9661" spans="1:12" x14ac:dyDescent="0.25">
      <c r="A9661" t="str">
        <f>"7209044997"</f>
        <v>7209044997</v>
      </c>
      <c r="B9661" t="str">
        <f t="shared" si="419"/>
        <v>89301000</v>
      </c>
      <c r="C9661" s="1">
        <v>44249</v>
      </c>
      <c r="D9661" s="1">
        <v>44251</v>
      </c>
      <c r="E9661">
        <v>1</v>
      </c>
      <c r="F9661" t="s">
        <v>6652</v>
      </c>
      <c r="G9661" t="str">
        <f>"08-K13-02"</f>
        <v>08-K13-02</v>
      </c>
      <c r="H9661">
        <v>0.47210000000000002</v>
      </c>
      <c r="I9661" t="s">
        <v>6653</v>
      </c>
      <c r="J9661" t="s">
        <v>14</v>
      </c>
      <c r="K9661" t="str">
        <f>"5F3"</f>
        <v>5F3</v>
      </c>
      <c r="L9661" t="s">
        <v>15</v>
      </c>
    </row>
    <row r="9662" spans="1:12" x14ac:dyDescent="0.25">
      <c r="A9662" t="str">
        <f>"7209095795"</f>
        <v>7209095795</v>
      </c>
      <c r="B9662" t="str">
        <f t="shared" si="419"/>
        <v>89301000</v>
      </c>
      <c r="C9662" s="1">
        <v>44348</v>
      </c>
      <c r="D9662" s="1">
        <v>44359</v>
      </c>
      <c r="E9662">
        <v>7</v>
      </c>
      <c r="F9662" t="s">
        <v>38</v>
      </c>
      <c r="G9662" t="str">
        <f>"00-M02-03"</f>
        <v>00-M02-03</v>
      </c>
      <c r="H9662">
        <v>15.9742</v>
      </c>
      <c r="I9662" t="s">
        <v>6654</v>
      </c>
      <c r="J9662" t="s">
        <v>14</v>
      </c>
      <c r="K9662" t="str">
        <f>"1T1"</f>
        <v>1T1</v>
      </c>
      <c r="L9662" t="s">
        <v>15</v>
      </c>
    </row>
    <row r="9663" spans="1:12" x14ac:dyDescent="0.25">
      <c r="A9663" t="str">
        <f>"7209095795"</f>
        <v>7209095795</v>
      </c>
      <c r="B9663" t="str">
        <f t="shared" si="419"/>
        <v>89301000</v>
      </c>
      <c r="C9663" s="1">
        <v>44295</v>
      </c>
      <c r="D9663" s="1">
        <v>44298</v>
      </c>
      <c r="E9663">
        <v>1</v>
      </c>
      <c r="F9663" t="s">
        <v>1683</v>
      </c>
      <c r="G9663" t="str">
        <f>"05-M06-06"</f>
        <v>05-M06-06</v>
      </c>
      <c r="H9663">
        <v>1.7652000000000001</v>
      </c>
      <c r="J9663" t="s">
        <v>17</v>
      </c>
      <c r="K9663" t="str">
        <f>"1F7"</f>
        <v>1F7</v>
      </c>
      <c r="L9663" t="s">
        <v>15</v>
      </c>
    </row>
    <row r="9664" spans="1:12" x14ac:dyDescent="0.25">
      <c r="A9664" t="str">
        <f>"7209175457"</f>
        <v>7209175457</v>
      </c>
      <c r="B9664" t="str">
        <f t="shared" si="419"/>
        <v>89301000</v>
      </c>
      <c r="C9664" s="1">
        <v>44368</v>
      </c>
      <c r="D9664" s="1">
        <v>44378</v>
      </c>
      <c r="E9664">
        <v>1</v>
      </c>
      <c r="F9664" t="s">
        <v>109</v>
      </c>
      <c r="G9664" t="str">
        <f>"24-M06-01"</f>
        <v>24-M06-01</v>
      </c>
      <c r="H9664">
        <v>1.1548</v>
      </c>
      <c r="I9664" t="s">
        <v>6655</v>
      </c>
      <c r="J9664" t="s">
        <v>14</v>
      </c>
      <c r="K9664" t="str">
        <f>"2F1"</f>
        <v>2F1</v>
      </c>
      <c r="L9664" t="s">
        <v>15</v>
      </c>
    </row>
    <row r="9665" spans="1:12" x14ac:dyDescent="0.25">
      <c r="A9665" t="str">
        <f>"7209175457"</f>
        <v>7209175457</v>
      </c>
      <c r="B9665" t="str">
        <f t="shared" si="419"/>
        <v>89301000</v>
      </c>
      <c r="C9665" s="1">
        <v>44360</v>
      </c>
      <c r="D9665" s="1">
        <v>44368</v>
      </c>
      <c r="E9665">
        <v>3</v>
      </c>
      <c r="F9665" t="s">
        <v>67</v>
      </c>
      <c r="G9665" t="str">
        <f>"01-C02-01"</f>
        <v>01-C02-01</v>
      </c>
      <c r="H9665">
        <v>2.4643000000000002</v>
      </c>
      <c r="I9665" t="s">
        <v>6656</v>
      </c>
      <c r="J9665" t="s">
        <v>14</v>
      </c>
      <c r="K9665" t="str">
        <f>"2F9"</f>
        <v>2F9</v>
      </c>
      <c r="L9665" t="s">
        <v>15</v>
      </c>
    </row>
    <row r="9666" spans="1:12" x14ac:dyDescent="0.25">
      <c r="A9666" t="str">
        <f>"7209194465"</f>
        <v>7209194465</v>
      </c>
      <c r="B9666" t="str">
        <f t="shared" si="419"/>
        <v>89301000</v>
      </c>
      <c r="C9666" s="1">
        <v>44370</v>
      </c>
      <c r="D9666" s="1">
        <v>44374</v>
      </c>
      <c r="E9666">
        <v>1</v>
      </c>
      <c r="F9666" t="s">
        <v>2311</v>
      </c>
      <c r="G9666" t="str">
        <f>"08-I03-08"</f>
        <v>08-I03-08</v>
      </c>
      <c r="H9666">
        <v>2.0605000000000002</v>
      </c>
      <c r="I9666" t="s">
        <v>489</v>
      </c>
      <c r="J9666" t="s">
        <v>17</v>
      </c>
      <c r="K9666" t="str">
        <f>"5F6"</f>
        <v>5F6</v>
      </c>
      <c r="L9666" t="s">
        <v>15</v>
      </c>
    </row>
    <row r="9667" spans="1:12" x14ac:dyDescent="0.25">
      <c r="A9667" t="str">
        <f>"7209195334"</f>
        <v>7209195334</v>
      </c>
      <c r="B9667" t="str">
        <f t="shared" si="419"/>
        <v>89301000</v>
      </c>
      <c r="C9667" s="1">
        <v>44264</v>
      </c>
      <c r="D9667" s="1">
        <v>44265</v>
      </c>
      <c r="E9667">
        <v>1</v>
      </c>
      <c r="F9667" t="s">
        <v>41</v>
      </c>
      <c r="G9667" t="str">
        <f>"01-D01-03"</f>
        <v>01-D01-03</v>
      </c>
      <c r="H9667">
        <v>0.158</v>
      </c>
      <c r="J9667" t="s">
        <v>14</v>
      </c>
      <c r="K9667" t="str">
        <f>"2F5"</f>
        <v>2F5</v>
      </c>
      <c r="L9667" t="s">
        <v>15</v>
      </c>
    </row>
    <row r="9668" spans="1:12" x14ac:dyDescent="0.25">
      <c r="A9668" t="str">
        <f>"7209235341"</f>
        <v>7209235341</v>
      </c>
      <c r="B9668" t="str">
        <f t="shared" si="419"/>
        <v>89301000</v>
      </c>
      <c r="C9668" s="1">
        <v>44260</v>
      </c>
      <c r="D9668" s="1">
        <v>44264</v>
      </c>
      <c r="E9668">
        <v>1</v>
      </c>
      <c r="F9668" t="s">
        <v>5240</v>
      </c>
      <c r="G9668" t="str">
        <f>"05-K13-02"</f>
        <v>05-K13-02</v>
      </c>
      <c r="H9668">
        <v>0.60950000000000004</v>
      </c>
      <c r="I9668" t="s">
        <v>274</v>
      </c>
      <c r="J9668" t="s">
        <v>14</v>
      </c>
      <c r="K9668" t="str">
        <f>"1F5"</f>
        <v>1F5</v>
      </c>
      <c r="L9668" t="s">
        <v>15</v>
      </c>
    </row>
    <row r="9669" spans="1:12" x14ac:dyDescent="0.25">
      <c r="A9669" t="str">
        <f>"7210145338"</f>
        <v>7210145338</v>
      </c>
      <c r="B9669" t="str">
        <f t="shared" si="419"/>
        <v>89301000</v>
      </c>
      <c r="C9669" s="1">
        <v>44532</v>
      </c>
      <c r="D9669" s="1">
        <v>44536</v>
      </c>
      <c r="E9669">
        <v>1</v>
      </c>
      <c r="F9669" t="s">
        <v>2068</v>
      </c>
      <c r="G9669" t="str">
        <f>"02-I06-02"</f>
        <v>02-I06-02</v>
      </c>
      <c r="H9669">
        <v>0.90300000000000002</v>
      </c>
      <c r="I9669" t="s">
        <v>6657</v>
      </c>
      <c r="J9669" t="s">
        <v>17</v>
      </c>
      <c r="K9669" t="str">
        <f>"5F3"</f>
        <v>5F3</v>
      </c>
      <c r="L9669" t="s">
        <v>15</v>
      </c>
    </row>
    <row r="9670" spans="1:12" x14ac:dyDescent="0.25">
      <c r="A9670" t="str">
        <f>"7210145338"</f>
        <v>7210145338</v>
      </c>
      <c r="B9670" t="str">
        <f t="shared" si="419"/>
        <v>89301000</v>
      </c>
      <c r="C9670" s="1">
        <v>44508</v>
      </c>
      <c r="D9670" s="1">
        <v>44509</v>
      </c>
      <c r="E9670">
        <v>1</v>
      </c>
      <c r="F9670" t="s">
        <v>2068</v>
      </c>
      <c r="G9670" t="str">
        <f>"02-K05-02"</f>
        <v>02-K05-02</v>
      </c>
      <c r="H9670">
        <v>0.4531</v>
      </c>
      <c r="I9670" t="s">
        <v>4676</v>
      </c>
      <c r="J9670" t="s">
        <v>14</v>
      </c>
      <c r="K9670" t="str">
        <f>"7F5"</f>
        <v>7F5</v>
      </c>
      <c r="L9670" t="s">
        <v>15</v>
      </c>
    </row>
    <row r="9671" spans="1:12" x14ac:dyDescent="0.25">
      <c r="A9671" t="str">
        <f>"7210165336"</f>
        <v>7210165336</v>
      </c>
      <c r="B9671" t="str">
        <f t="shared" si="419"/>
        <v>89301000</v>
      </c>
      <c r="C9671" s="1">
        <v>44532</v>
      </c>
      <c r="D9671" s="1">
        <v>44538</v>
      </c>
      <c r="E9671">
        <v>1</v>
      </c>
      <c r="F9671" t="s">
        <v>2311</v>
      </c>
      <c r="G9671" t="str">
        <f>"08-I03-08"</f>
        <v>08-I03-08</v>
      </c>
      <c r="H9671">
        <v>2.0605000000000002</v>
      </c>
      <c r="I9671" t="s">
        <v>489</v>
      </c>
      <c r="J9671" t="s">
        <v>17</v>
      </c>
      <c r="K9671" t="str">
        <f>"5F6"</f>
        <v>5F6</v>
      </c>
      <c r="L9671" t="s">
        <v>15</v>
      </c>
    </row>
    <row r="9672" spans="1:12" x14ac:dyDescent="0.25">
      <c r="A9672" t="str">
        <f>"7210305377"</f>
        <v>7210305377</v>
      </c>
      <c r="B9672" t="str">
        <f t="shared" si="419"/>
        <v>89301000</v>
      </c>
      <c r="C9672" s="1">
        <v>44298</v>
      </c>
      <c r="D9672" s="1">
        <v>44305</v>
      </c>
      <c r="E9672">
        <v>1</v>
      </c>
      <c r="F9672" t="s">
        <v>4100</v>
      </c>
      <c r="G9672" t="str">
        <f>"09-K02-00"</f>
        <v>09-K02-00</v>
      </c>
      <c r="H9672">
        <v>1.1361000000000001</v>
      </c>
      <c r="I9672" t="s">
        <v>1959</v>
      </c>
      <c r="J9672" t="s">
        <v>14</v>
      </c>
      <c r="K9672" t="str">
        <f>"4F4"</f>
        <v>4F4</v>
      </c>
      <c r="L9672" t="s">
        <v>15</v>
      </c>
    </row>
    <row r="9673" spans="1:12" x14ac:dyDescent="0.25">
      <c r="A9673" t="str">
        <f>"7211105330"</f>
        <v>7211105330</v>
      </c>
      <c r="B9673" t="str">
        <f t="shared" si="419"/>
        <v>89301000</v>
      </c>
      <c r="C9673" s="1">
        <v>44446</v>
      </c>
      <c r="D9673" s="1">
        <v>44447</v>
      </c>
      <c r="E9673">
        <v>1</v>
      </c>
      <c r="F9673" t="s">
        <v>1679</v>
      </c>
      <c r="G9673" t="str">
        <f>"11-M06-03"</f>
        <v>11-M06-03</v>
      </c>
      <c r="H9673">
        <v>0.61519999999999997</v>
      </c>
      <c r="I9673" t="s">
        <v>874</v>
      </c>
      <c r="J9673" t="s">
        <v>17</v>
      </c>
      <c r="K9673" t="str">
        <f>"7F6"</f>
        <v>7F6</v>
      </c>
      <c r="L9673" t="s">
        <v>15</v>
      </c>
    </row>
    <row r="9674" spans="1:12" x14ac:dyDescent="0.25">
      <c r="A9674" t="str">
        <f>"7211155325"</f>
        <v>7211155325</v>
      </c>
      <c r="B9674" t="str">
        <f t="shared" si="419"/>
        <v>89301000</v>
      </c>
      <c r="C9674" s="1">
        <v>44264</v>
      </c>
      <c r="D9674" s="1">
        <v>44267</v>
      </c>
      <c r="E9674">
        <v>1</v>
      </c>
      <c r="F9674" t="s">
        <v>473</v>
      </c>
      <c r="G9674" t="str">
        <f>"05-K13-02"</f>
        <v>05-K13-02</v>
      </c>
      <c r="H9674">
        <v>0.60950000000000004</v>
      </c>
      <c r="I9674" t="s">
        <v>168</v>
      </c>
      <c r="J9674" t="s">
        <v>14</v>
      </c>
      <c r="K9674" t="str">
        <f>"1F5"</f>
        <v>1F5</v>
      </c>
      <c r="L9674" t="s">
        <v>15</v>
      </c>
    </row>
    <row r="9675" spans="1:12" x14ac:dyDescent="0.25">
      <c r="A9675" t="str">
        <f>"7211165368"</f>
        <v>7211165368</v>
      </c>
      <c r="B9675" t="str">
        <f t="shared" si="419"/>
        <v>89301000</v>
      </c>
      <c r="C9675" s="1">
        <v>44215</v>
      </c>
      <c r="D9675" s="1">
        <v>44218</v>
      </c>
      <c r="E9675">
        <v>1</v>
      </c>
      <c r="F9675" t="s">
        <v>496</v>
      </c>
      <c r="G9675" t="str">
        <f>"08-M03-05"</f>
        <v>08-M03-05</v>
      </c>
      <c r="H9675">
        <v>0.51759999999999995</v>
      </c>
      <c r="J9675" t="s">
        <v>14</v>
      </c>
      <c r="K9675" t="str">
        <f>"6F6"</f>
        <v>6F6</v>
      </c>
      <c r="L9675" t="s">
        <v>15</v>
      </c>
    </row>
    <row r="9676" spans="1:12" x14ac:dyDescent="0.25">
      <c r="A9676" t="str">
        <f>"7211214461"</f>
        <v>7211214461</v>
      </c>
      <c r="B9676" t="str">
        <f t="shared" si="419"/>
        <v>89301000</v>
      </c>
      <c r="C9676" s="1">
        <v>44231</v>
      </c>
      <c r="D9676" s="1">
        <v>44232</v>
      </c>
      <c r="E9676">
        <v>5</v>
      </c>
      <c r="F9676" t="s">
        <v>448</v>
      </c>
      <c r="G9676" t="str">
        <f>"11-K01-03"</f>
        <v>11-K01-03</v>
      </c>
      <c r="H9676">
        <v>0.59489999999999998</v>
      </c>
      <c r="I9676" t="s">
        <v>6658</v>
      </c>
      <c r="J9676" t="s">
        <v>14</v>
      </c>
      <c r="K9676" t="str">
        <f>"7F6"</f>
        <v>7F6</v>
      </c>
      <c r="L9676" t="s">
        <v>15</v>
      </c>
    </row>
    <row r="9677" spans="1:12" x14ac:dyDescent="0.25">
      <c r="A9677" t="str">
        <f>"7211235317"</f>
        <v>7211235317</v>
      </c>
      <c r="B9677" t="str">
        <f t="shared" si="419"/>
        <v>89301000</v>
      </c>
      <c r="C9677" s="1">
        <v>44449</v>
      </c>
      <c r="D9677" s="1">
        <v>44456</v>
      </c>
      <c r="E9677">
        <v>1</v>
      </c>
      <c r="F9677" t="s">
        <v>1581</v>
      </c>
      <c r="G9677" t="str">
        <f>"05-K12-02"</f>
        <v>05-K12-02</v>
      </c>
      <c r="H9677">
        <v>0.53600000000000003</v>
      </c>
      <c r="I9677" t="s">
        <v>6659</v>
      </c>
      <c r="J9677" t="s">
        <v>14</v>
      </c>
      <c r="K9677" t="str">
        <f>"1F1"</f>
        <v>1F1</v>
      </c>
      <c r="L9677" t="s">
        <v>15</v>
      </c>
    </row>
    <row r="9678" spans="1:12" x14ac:dyDescent="0.25">
      <c r="A9678" t="str">
        <f>"7211235317"</f>
        <v>7211235317</v>
      </c>
      <c r="B9678" t="str">
        <f t="shared" si="419"/>
        <v>89301000</v>
      </c>
      <c r="C9678" s="1">
        <v>44281</v>
      </c>
      <c r="D9678" s="1">
        <v>44293</v>
      </c>
      <c r="E9678">
        <v>1</v>
      </c>
      <c r="F9678" t="s">
        <v>1555</v>
      </c>
      <c r="G9678" t="str">
        <f>"05-M07-06"</f>
        <v>05-M07-06</v>
      </c>
      <c r="H9678">
        <v>1.9789000000000001</v>
      </c>
      <c r="I9678" t="s">
        <v>6660</v>
      </c>
      <c r="J9678" t="s">
        <v>17</v>
      </c>
      <c r="K9678" t="str">
        <f>"1F1"</f>
        <v>1F1</v>
      </c>
      <c r="L9678" t="s">
        <v>15</v>
      </c>
    </row>
    <row r="9679" spans="1:12" x14ac:dyDescent="0.25">
      <c r="A9679" t="str">
        <f>"7211235317"</f>
        <v>7211235317</v>
      </c>
      <c r="B9679" t="str">
        <f t="shared" si="419"/>
        <v>89301000</v>
      </c>
      <c r="C9679" s="1">
        <v>44327</v>
      </c>
      <c r="D9679" s="1">
        <v>44335</v>
      </c>
      <c r="E9679">
        <v>3</v>
      </c>
      <c r="F9679" t="s">
        <v>2270</v>
      </c>
      <c r="G9679" t="str">
        <f>"09-K03-01"</f>
        <v>09-K03-01</v>
      </c>
      <c r="H9679">
        <v>1.4508000000000001</v>
      </c>
      <c r="I9679" t="s">
        <v>6661</v>
      </c>
      <c r="J9679" t="s">
        <v>14</v>
      </c>
      <c r="K9679" t="str">
        <f>"5F1"</f>
        <v>5F1</v>
      </c>
      <c r="L9679" t="s">
        <v>15</v>
      </c>
    </row>
    <row r="9680" spans="1:12" x14ac:dyDescent="0.25">
      <c r="A9680" t="str">
        <f>"7211235317"</f>
        <v>7211235317</v>
      </c>
      <c r="B9680" t="str">
        <f t="shared" si="419"/>
        <v>89301000</v>
      </c>
      <c r="C9680" s="1">
        <v>44479</v>
      </c>
      <c r="D9680" s="1">
        <v>44488</v>
      </c>
      <c r="E9680">
        <v>1</v>
      </c>
      <c r="F9680" t="s">
        <v>1581</v>
      </c>
      <c r="G9680" t="str">
        <f>"05-I24-02"</f>
        <v>05-I24-02</v>
      </c>
      <c r="H9680">
        <v>4.3616999999999999</v>
      </c>
      <c r="I9680" t="s">
        <v>6662</v>
      </c>
      <c r="J9680" t="s">
        <v>14</v>
      </c>
      <c r="K9680" t="str">
        <f>"5F1"</f>
        <v>5F1</v>
      </c>
      <c r="L9680" t="s">
        <v>15</v>
      </c>
    </row>
    <row r="9681" spans="1:12" x14ac:dyDescent="0.25">
      <c r="A9681" t="str">
        <f>"7211235317"</f>
        <v>7211235317</v>
      </c>
      <c r="B9681" t="str">
        <f t="shared" si="419"/>
        <v>89301000</v>
      </c>
      <c r="C9681" s="1">
        <v>44335</v>
      </c>
      <c r="D9681" s="1">
        <v>44350</v>
      </c>
      <c r="E9681">
        <v>1</v>
      </c>
      <c r="F9681" t="s">
        <v>109</v>
      </c>
      <c r="G9681" t="str">
        <f>"24-M07-01"</f>
        <v>24-M07-01</v>
      </c>
      <c r="H9681">
        <v>1.7399</v>
      </c>
      <c r="I9681" t="s">
        <v>6663</v>
      </c>
      <c r="J9681" t="s">
        <v>14</v>
      </c>
      <c r="K9681" t="str">
        <f>"2F1"</f>
        <v>2F1</v>
      </c>
      <c r="L9681" t="s">
        <v>15</v>
      </c>
    </row>
    <row r="9682" spans="1:12" x14ac:dyDescent="0.25">
      <c r="A9682" t="str">
        <f>"7211295311"</f>
        <v>7211295311</v>
      </c>
      <c r="B9682" t="str">
        <f t="shared" si="419"/>
        <v>89301000</v>
      </c>
      <c r="C9682" s="1">
        <v>44335</v>
      </c>
      <c r="D9682" s="1">
        <v>44338</v>
      </c>
      <c r="E9682">
        <v>1</v>
      </c>
      <c r="F9682" t="s">
        <v>6664</v>
      </c>
      <c r="G9682" t="str">
        <f>"06-I21-02"</f>
        <v>06-I21-02</v>
      </c>
      <c r="H9682">
        <v>0.82110000000000005</v>
      </c>
      <c r="I9682" t="s">
        <v>4715</v>
      </c>
      <c r="J9682" t="s">
        <v>17</v>
      </c>
      <c r="K9682" t="str">
        <f>"5F1"</f>
        <v>5F1</v>
      </c>
      <c r="L9682" t="s">
        <v>15</v>
      </c>
    </row>
    <row r="9683" spans="1:12" x14ac:dyDescent="0.25">
      <c r="A9683" t="str">
        <f>"7212015305"</f>
        <v>7212015305</v>
      </c>
      <c r="B9683" t="str">
        <f t="shared" si="419"/>
        <v>89301000</v>
      </c>
      <c r="C9683" s="1">
        <v>44446</v>
      </c>
      <c r="D9683" s="1">
        <v>44454</v>
      </c>
      <c r="E9683">
        <v>1</v>
      </c>
      <c r="F9683" t="s">
        <v>4319</v>
      </c>
      <c r="G9683" t="str">
        <f>"05-M04-01"</f>
        <v>05-M04-01</v>
      </c>
      <c r="H9683">
        <v>4.9264000000000001</v>
      </c>
      <c r="I9683" t="s">
        <v>6665</v>
      </c>
      <c r="J9683" t="s">
        <v>17</v>
      </c>
      <c r="K9683" t="str">
        <f>"5F1"</f>
        <v>5F1</v>
      </c>
      <c r="L9683" t="s">
        <v>15</v>
      </c>
    </row>
    <row r="9684" spans="1:12" x14ac:dyDescent="0.25">
      <c r="A9684" t="str">
        <f>"7212055334"</f>
        <v>7212055334</v>
      </c>
      <c r="B9684" t="str">
        <f t="shared" si="419"/>
        <v>89301000</v>
      </c>
      <c r="C9684" s="1">
        <v>44266</v>
      </c>
      <c r="D9684" s="1">
        <v>44272</v>
      </c>
      <c r="E9684">
        <v>4</v>
      </c>
      <c r="F9684" t="s">
        <v>1968</v>
      </c>
      <c r="G9684" t="str">
        <f>"08-I05-04"</f>
        <v>08-I05-04</v>
      </c>
      <c r="H9684">
        <v>2.4581</v>
      </c>
      <c r="I9684" t="s">
        <v>4260</v>
      </c>
      <c r="J9684" t="s">
        <v>17</v>
      </c>
      <c r="K9684" t="str">
        <f>"6F6"</f>
        <v>6F6</v>
      </c>
      <c r="L9684" t="s">
        <v>15</v>
      </c>
    </row>
    <row r="9685" spans="1:12" x14ac:dyDescent="0.25">
      <c r="A9685" t="str">
        <f>"7212064145"</f>
        <v>7212064145</v>
      </c>
      <c r="B9685" t="str">
        <f t="shared" si="419"/>
        <v>89301000</v>
      </c>
      <c r="C9685" s="1">
        <v>44488</v>
      </c>
      <c r="D9685" s="1">
        <v>44496</v>
      </c>
      <c r="E9685">
        <v>1</v>
      </c>
      <c r="F9685" t="s">
        <v>6666</v>
      </c>
      <c r="G9685" t="str">
        <f>"05-I12-03"</f>
        <v>05-I12-03</v>
      </c>
      <c r="H9685">
        <v>6.4964000000000004</v>
      </c>
      <c r="J9685" t="s">
        <v>17</v>
      </c>
      <c r="K9685" t="str">
        <f>"5F5"</f>
        <v>5F5</v>
      </c>
      <c r="L9685" t="s">
        <v>15</v>
      </c>
    </row>
    <row r="9686" spans="1:12" x14ac:dyDescent="0.25">
      <c r="A9686" t="str">
        <f>"7212175311"</f>
        <v>7212175311</v>
      </c>
      <c r="B9686" t="str">
        <f t="shared" si="419"/>
        <v>89301000</v>
      </c>
      <c r="C9686" s="1">
        <v>44539</v>
      </c>
      <c r="D9686" s="1">
        <v>44545</v>
      </c>
      <c r="E9686">
        <v>1</v>
      </c>
      <c r="F9686" t="s">
        <v>3018</v>
      </c>
      <c r="G9686" t="str">
        <f>"10-I11-00"</f>
        <v>10-I11-00</v>
      </c>
      <c r="H9686">
        <v>1.8462000000000001</v>
      </c>
      <c r="I9686" t="s">
        <v>6667</v>
      </c>
      <c r="J9686" t="s">
        <v>24</v>
      </c>
      <c r="K9686" t="str">
        <f>"7F6"</f>
        <v>7F6</v>
      </c>
      <c r="L9686" t="s">
        <v>15</v>
      </c>
    </row>
    <row r="9687" spans="1:12" x14ac:dyDescent="0.25">
      <c r="A9687" t="str">
        <f>"7212175311"</f>
        <v>7212175311</v>
      </c>
      <c r="B9687" t="str">
        <f t="shared" si="419"/>
        <v>89301000</v>
      </c>
      <c r="C9687" s="1">
        <v>44193</v>
      </c>
      <c r="D9687" s="1">
        <v>44202</v>
      </c>
      <c r="E9687">
        <v>1</v>
      </c>
      <c r="F9687" t="s">
        <v>217</v>
      </c>
      <c r="G9687" t="str">
        <f>"04-K02-04"</f>
        <v>04-K02-04</v>
      </c>
      <c r="H9687">
        <v>0.82469999999999999</v>
      </c>
      <c r="I9687" t="s">
        <v>6668</v>
      </c>
      <c r="J9687" t="s">
        <v>14</v>
      </c>
      <c r="K9687" t="str">
        <f>"1F1"</f>
        <v>1F1</v>
      </c>
      <c r="L9687" t="s">
        <v>15</v>
      </c>
    </row>
    <row r="9688" spans="1:12" x14ac:dyDescent="0.25">
      <c r="A9688" t="str">
        <f>"7212195793"</f>
        <v>7212195793</v>
      </c>
      <c r="B9688" t="str">
        <f t="shared" si="419"/>
        <v>89301000</v>
      </c>
      <c r="C9688" s="1">
        <v>44434</v>
      </c>
      <c r="D9688" s="1">
        <v>44435</v>
      </c>
      <c r="E9688">
        <v>1</v>
      </c>
      <c r="F9688" t="s">
        <v>240</v>
      </c>
      <c r="G9688" t="str">
        <f>"03-K13-02"</f>
        <v>03-K13-02</v>
      </c>
      <c r="H9688">
        <v>0.2555</v>
      </c>
      <c r="I9688" t="s">
        <v>241</v>
      </c>
      <c r="J9688" t="s">
        <v>14</v>
      </c>
      <c r="K9688" t="str">
        <f>"2F5"</f>
        <v>2F5</v>
      </c>
      <c r="L9688" t="s">
        <v>15</v>
      </c>
    </row>
    <row r="9689" spans="1:12" x14ac:dyDescent="0.25">
      <c r="A9689" t="str">
        <f>"7251095764"</f>
        <v>7251095764</v>
      </c>
      <c r="B9689" t="str">
        <f t="shared" si="419"/>
        <v>89301000</v>
      </c>
      <c r="C9689" s="1">
        <v>44279</v>
      </c>
      <c r="D9689" s="1">
        <v>44284</v>
      </c>
      <c r="E9689">
        <v>1</v>
      </c>
      <c r="F9689" t="s">
        <v>6347</v>
      </c>
      <c r="G9689" t="str">
        <f>"10-I11-00"</f>
        <v>10-I11-00</v>
      </c>
      <c r="H9689">
        <v>1.8462000000000001</v>
      </c>
      <c r="I9689" t="s">
        <v>6669</v>
      </c>
      <c r="J9689" t="s">
        <v>24</v>
      </c>
      <c r="K9689" t="str">
        <f>"7F6"</f>
        <v>7F6</v>
      </c>
      <c r="L9689" t="s">
        <v>15</v>
      </c>
    </row>
    <row r="9690" spans="1:12" x14ac:dyDescent="0.25">
      <c r="A9690" t="str">
        <f>"7251134143"</f>
        <v>7251134143</v>
      </c>
      <c r="B9690" t="str">
        <f t="shared" si="419"/>
        <v>89301000</v>
      </c>
      <c r="C9690" s="1">
        <v>44490</v>
      </c>
      <c r="D9690" s="1">
        <v>44494</v>
      </c>
      <c r="E9690">
        <v>1</v>
      </c>
      <c r="F9690" t="s">
        <v>2495</v>
      </c>
      <c r="G9690" t="str">
        <f>"13-I11-03"</f>
        <v>13-I11-03</v>
      </c>
      <c r="H9690">
        <v>1.3809</v>
      </c>
      <c r="J9690" t="s">
        <v>24</v>
      </c>
      <c r="K9690" t="str">
        <f>"6F3"</f>
        <v>6F3</v>
      </c>
      <c r="L9690" t="s">
        <v>15</v>
      </c>
    </row>
    <row r="9691" spans="1:12" x14ac:dyDescent="0.25">
      <c r="A9691" t="str">
        <f>"7251185348"</f>
        <v>7251185348</v>
      </c>
      <c r="B9691" t="str">
        <f t="shared" si="419"/>
        <v>89301000</v>
      </c>
      <c r="C9691" s="1">
        <v>44279</v>
      </c>
      <c r="D9691" s="1">
        <v>44281</v>
      </c>
      <c r="E9691">
        <v>1</v>
      </c>
      <c r="F9691" t="s">
        <v>1551</v>
      </c>
      <c r="G9691" t="str">
        <f>"09-I06-04"</f>
        <v>09-I06-04</v>
      </c>
      <c r="H9691">
        <v>0.98829999999999996</v>
      </c>
      <c r="J9691" t="s">
        <v>17</v>
      </c>
      <c r="K9691" t="str">
        <f>"5F1"</f>
        <v>5F1</v>
      </c>
      <c r="L9691" t="s">
        <v>15</v>
      </c>
    </row>
    <row r="9692" spans="1:12" x14ac:dyDescent="0.25">
      <c r="A9692" t="str">
        <f>"7251224200"</f>
        <v>7251224200</v>
      </c>
      <c r="B9692" t="str">
        <f t="shared" si="419"/>
        <v>89301000</v>
      </c>
      <c r="C9692" s="1">
        <v>44356</v>
      </c>
      <c r="D9692" s="1">
        <v>44358</v>
      </c>
      <c r="E9692">
        <v>1</v>
      </c>
      <c r="F9692" t="s">
        <v>2311</v>
      </c>
      <c r="G9692" t="str">
        <f>"08-I03-08"</f>
        <v>08-I03-08</v>
      </c>
      <c r="H9692">
        <v>2.0605000000000002</v>
      </c>
      <c r="J9692" t="s">
        <v>17</v>
      </c>
      <c r="K9692" t="str">
        <f>"5F6"</f>
        <v>5F6</v>
      </c>
      <c r="L9692" t="s">
        <v>15</v>
      </c>
    </row>
    <row r="9693" spans="1:12" x14ac:dyDescent="0.25">
      <c r="A9693" t="str">
        <f>"7251224200"</f>
        <v>7251224200</v>
      </c>
      <c r="B9693" t="str">
        <f t="shared" si="419"/>
        <v>89301000</v>
      </c>
      <c r="C9693" s="1">
        <v>44389</v>
      </c>
      <c r="D9693" s="1">
        <v>44406</v>
      </c>
      <c r="E9693">
        <v>1</v>
      </c>
      <c r="F9693" t="s">
        <v>109</v>
      </c>
      <c r="G9693" t="str">
        <f>"24-M07-02"</f>
        <v>24-M07-02</v>
      </c>
      <c r="H9693">
        <v>1.5094000000000001</v>
      </c>
      <c r="I9693" t="s">
        <v>6670</v>
      </c>
      <c r="J9693" t="s">
        <v>14</v>
      </c>
      <c r="K9693" t="str">
        <f>"2F1"</f>
        <v>2F1</v>
      </c>
      <c r="L9693" t="s">
        <v>15</v>
      </c>
    </row>
    <row r="9694" spans="1:12" x14ac:dyDescent="0.25">
      <c r="A9694" t="str">
        <f>"7251235376"</f>
        <v>7251235376</v>
      </c>
      <c r="B9694" t="str">
        <f t="shared" si="419"/>
        <v>89301000</v>
      </c>
      <c r="C9694" s="1">
        <v>44419</v>
      </c>
      <c r="D9694" s="1">
        <v>44420</v>
      </c>
      <c r="E9694">
        <v>1</v>
      </c>
      <c r="F9694" t="s">
        <v>2325</v>
      </c>
      <c r="G9694" t="str">
        <f>"09-I10-02"</f>
        <v>09-I10-02</v>
      </c>
      <c r="H9694">
        <v>0.98380000000000001</v>
      </c>
      <c r="I9694" t="s">
        <v>1586</v>
      </c>
      <c r="J9694" t="s">
        <v>17</v>
      </c>
      <c r="K9694" t="str">
        <f>"5F1"</f>
        <v>5F1</v>
      </c>
      <c r="L9694" t="s">
        <v>15</v>
      </c>
    </row>
    <row r="9695" spans="1:12" x14ac:dyDescent="0.25">
      <c r="A9695" t="str">
        <f>"7251245331"</f>
        <v>7251245331</v>
      </c>
      <c r="B9695" t="str">
        <f t="shared" si="419"/>
        <v>89301000</v>
      </c>
      <c r="C9695" s="1">
        <v>44248</v>
      </c>
      <c r="D9695" s="1">
        <v>44256</v>
      </c>
      <c r="E9695">
        <v>1</v>
      </c>
      <c r="F9695" t="s">
        <v>2497</v>
      </c>
      <c r="G9695" t="str">
        <f>"13-I08-01"</f>
        <v>13-I08-01</v>
      </c>
      <c r="H9695">
        <v>1.6611</v>
      </c>
      <c r="J9695" t="s">
        <v>106</v>
      </c>
      <c r="K9695" t="str">
        <f>"6F3"</f>
        <v>6F3</v>
      </c>
      <c r="L9695" t="s">
        <v>15</v>
      </c>
    </row>
    <row r="9696" spans="1:12" x14ac:dyDescent="0.25">
      <c r="A9696" t="str">
        <f>"7251255429"</f>
        <v>7251255429</v>
      </c>
      <c r="B9696" t="str">
        <f t="shared" si="419"/>
        <v>89301000</v>
      </c>
      <c r="C9696" s="1">
        <v>44342</v>
      </c>
      <c r="D9696" s="1">
        <v>44349</v>
      </c>
      <c r="E9696">
        <v>1</v>
      </c>
      <c r="F9696" t="s">
        <v>911</v>
      </c>
      <c r="G9696" t="str">
        <f>"17-K01-01"</f>
        <v>17-K01-01</v>
      </c>
      <c r="H9696">
        <v>3.7265999999999999</v>
      </c>
      <c r="I9696" t="s">
        <v>6671</v>
      </c>
      <c r="J9696" t="s">
        <v>14</v>
      </c>
      <c r="K9696" t="str">
        <f>"2F2"</f>
        <v>2F2</v>
      </c>
      <c r="L9696" t="s">
        <v>15</v>
      </c>
    </row>
    <row r="9697" spans="1:12" x14ac:dyDescent="0.25">
      <c r="A9697" t="str">
        <f>"7251274470"</f>
        <v>7251274470</v>
      </c>
      <c r="B9697" t="str">
        <f t="shared" si="419"/>
        <v>89301000</v>
      </c>
      <c r="C9697" s="1">
        <v>44482</v>
      </c>
      <c r="D9697" s="1">
        <v>44483</v>
      </c>
      <c r="E9697">
        <v>1</v>
      </c>
      <c r="F9697" t="s">
        <v>2111</v>
      </c>
      <c r="G9697" t="str">
        <f>"10-K15-02"</f>
        <v>10-K15-02</v>
      </c>
      <c r="H9697">
        <v>0.51819999999999999</v>
      </c>
      <c r="I9697" t="s">
        <v>41</v>
      </c>
      <c r="J9697" t="s">
        <v>14</v>
      </c>
      <c r="K9697" t="str">
        <f>"2F5"</f>
        <v>2F5</v>
      </c>
      <c r="L9697" t="s">
        <v>15</v>
      </c>
    </row>
    <row r="9698" spans="1:12" x14ac:dyDescent="0.25">
      <c r="A9698" t="str">
        <f>"7251274470"</f>
        <v>7251274470</v>
      </c>
      <c r="B9698" t="str">
        <f t="shared" si="419"/>
        <v>89301000</v>
      </c>
      <c r="C9698" s="1">
        <v>44501</v>
      </c>
      <c r="D9698" s="1">
        <v>44503</v>
      </c>
      <c r="E9698">
        <v>1</v>
      </c>
      <c r="F9698" t="s">
        <v>41</v>
      </c>
      <c r="G9698" t="str">
        <f>"01-D01-03"</f>
        <v>01-D01-03</v>
      </c>
      <c r="H9698">
        <v>0.158</v>
      </c>
      <c r="I9698" t="s">
        <v>6672</v>
      </c>
      <c r="J9698" t="s">
        <v>14</v>
      </c>
      <c r="K9698" t="str">
        <f>"2F5"</f>
        <v>2F5</v>
      </c>
      <c r="L9698" t="s">
        <v>15</v>
      </c>
    </row>
    <row r="9699" spans="1:12" x14ac:dyDescent="0.25">
      <c r="A9699" t="str">
        <f>"7252045427"</f>
        <v>7252045427</v>
      </c>
      <c r="B9699" t="str">
        <f t="shared" si="419"/>
        <v>89301000</v>
      </c>
      <c r="C9699" s="1">
        <v>44452</v>
      </c>
      <c r="D9699" s="1">
        <v>44456</v>
      </c>
      <c r="E9699">
        <v>1</v>
      </c>
      <c r="F9699" t="s">
        <v>3180</v>
      </c>
      <c r="G9699" t="str">
        <f>"08-K02-03"</f>
        <v>08-K02-03</v>
      </c>
      <c r="H9699">
        <v>0.73560000000000003</v>
      </c>
      <c r="I9699" t="s">
        <v>6673</v>
      </c>
      <c r="J9699" t="s">
        <v>14</v>
      </c>
      <c r="K9699" t="str">
        <f>"1F9"</f>
        <v>1F9</v>
      </c>
      <c r="L9699" t="s">
        <v>15</v>
      </c>
    </row>
    <row r="9700" spans="1:12" x14ac:dyDescent="0.25">
      <c r="A9700" t="str">
        <f>"7252165305"</f>
        <v>7252165305</v>
      </c>
      <c r="B9700" t="str">
        <f t="shared" si="419"/>
        <v>89301000</v>
      </c>
      <c r="C9700" s="1">
        <v>44213</v>
      </c>
      <c r="D9700" s="1">
        <v>44216</v>
      </c>
      <c r="E9700">
        <v>1</v>
      </c>
      <c r="F9700" t="s">
        <v>1699</v>
      </c>
      <c r="G9700" t="str">
        <f>"01-K10-03"</f>
        <v>01-K10-03</v>
      </c>
      <c r="H9700">
        <v>1.0016</v>
      </c>
      <c r="I9700" t="s">
        <v>2321</v>
      </c>
      <c r="J9700" t="s">
        <v>14</v>
      </c>
      <c r="K9700" t="str">
        <f>"2F9"</f>
        <v>2F9</v>
      </c>
      <c r="L9700" t="s">
        <v>15</v>
      </c>
    </row>
    <row r="9701" spans="1:12" x14ac:dyDescent="0.25">
      <c r="A9701" t="str">
        <f>"7252165305"</f>
        <v>7252165305</v>
      </c>
      <c r="B9701" t="str">
        <f t="shared" si="419"/>
        <v>89301000</v>
      </c>
      <c r="C9701" s="1">
        <v>44548</v>
      </c>
      <c r="D9701" s="1">
        <v>44552</v>
      </c>
      <c r="E9701">
        <v>1</v>
      </c>
      <c r="F9701" t="s">
        <v>1699</v>
      </c>
      <c r="G9701" t="str">
        <f>"01-K10-03"</f>
        <v>01-K10-03</v>
      </c>
      <c r="H9701">
        <v>1.0016</v>
      </c>
      <c r="I9701" t="s">
        <v>3351</v>
      </c>
      <c r="J9701" t="s">
        <v>14</v>
      </c>
      <c r="K9701" t="str">
        <f>"2F9"</f>
        <v>2F9</v>
      </c>
      <c r="L9701" t="s">
        <v>15</v>
      </c>
    </row>
    <row r="9702" spans="1:12" x14ac:dyDescent="0.25">
      <c r="A9702" t="str">
        <f>"7252205334"</f>
        <v>7252205334</v>
      </c>
      <c r="B9702" t="str">
        <f t="shared" si="419"/>
        <v>89301000</v>
      </c>
      <c r="C9702" s="1">
        <v>44445</v>
      </c>
      <c r="D9702" s="1">
        <v>44451</v>
      </c>
      <c r="E9702">
        <v>1</v>
      </c>
      <c r="F9702" t="s">
        <v>6270</v>
      </c>
      <c r="G9702" t="str">
        <f>"13-I11-03"</f>
        <v>13-I11-03</v>
      </c>
      <c r="H9702">
        <v>1.3809</v>
      </c>
      <c r="J9702" t="s">
        <v>24</v>
      </c>
      <c r="K9702" t="str">
        <f>"6F3"</f>
        <v>6F3</v>
      </c>
      <c r="L9702" t="s">
        <v>15</v>
      </c>
    </row>
    <row r="9703" spans="1:12" x14ac:dyDescent="0.25">
      <c r="A9703" t="str">
        <f>"7252205334"</f>
        <v>7252205334</v>
      </c>
      <c r="B9703" t="str">
        <f t="shared" si="419"/>
        <v>89301000</v>
      </c>
      <c r="C9703" s="1">
        <v>44455</v>
      </c>
      <c r="D9703" s="1">
        <v>44456</v>
      </c>
      <c r="E9703">
        <v>1</v>
      </c>
      <c r="F9703" t="s">
        <v>4630</v>
      </c>
      <c r="G9703" t="str">
        <f>"21-K06-00"</f>
        <v>21-K06-00</v>
      </c>
      <c r="H9703">
        <v>0.49320000000000003</v>
      </c>
      <c r="I9703" t="s">
        <v>3058</v>
      </c>
      <c r="J9703" t="s">
        <v>14</v>
      </c>
      <c r="K9703" t="str">
        <f>"6F3"</f>
        <v>6F3</v>
      </c>
      <c r="L9703" t="s">
        <v>15</v>
      </c>
    </row>
    <row r="9704" spans="1:12" x14ac:dyDescent="0.25">
      <c r="A9704" t="str">
        <f>"7252225321"</f>
        <v>7252225321</v>
      </c>
      <c r="B9704" t="str">
        <f t="shared" ref="B9704:B9765" si="420">"89301000"</f>
        <v>89301000</v>
      </c>
      <c r="C9704" s="1">
        <v>44481</v>
      </c>
      <c r="D9704" s="1">
        <v>44482</v>
      </c>
      <c r="E9704">
        <v>1</v>
      </c>
      <c r="F9704" t="s">
        <v>3236</v>
      </c>
      <c r="G9704" t="str">
        <f>"13-I19-00"</f>
        <v>13-I19-00</v>
      </c>
      <c r="H9704">
        <v>0.24679999999999999</v>
      </c>
      <c r="J9704" t="s">
        <v>14</v>
      </c>
      <c r="K9704" t="str">
        <f>"6F3"</f>
        <v>6F3</v>
      </c>
      <c r="L9704" t="s">
        <v>15</v>
      </c>
    </row>
    <row r="9705" spans="1:12" x14ac:dyDescent="0.25">
      <c r="A9705" t="str">
        <f>"7252255692"</f>
        <v>7252255692</v>
      </c>
      <c r="B9705" t="str">
        <f t="shared" si="420"/>
        <v>89301000</v>
      </c>
      <c r="C9705" s="1">
        <v>44231</v>
      </c>
      <c r="D9705" s="1">
        <v>44242</v>
      </c>
      <c r="E9705">
        <v>1</v>
      </c>
      <c r="F9705" t="s">
        <v>2656</v>
      </c>
      <c r="G9705" t="str">
        <f>"07-I08-02"</f>
        <v>07-I08-02</v>
      </c>
      <c r="H9705">
        <v>2.8919999999999999</v>
      </c>
      <c r="I9705" t="s">
        <v>348</v>
      </c>
      <c r="J9705" t="s">
        <v>17</v>
      </c>
      <c r="K9705" t="str">
        <f>"5F1"</f>
        <v>5F1</v>
      </c>
      <c r="L9705" t="s">
        <v>15</v>
      </c>
    </row>
    <row r="9706" spans="1:12" x14ac:dyDescent="0.25">
      <c r="A9706" t="str">
        <f>"7253085312"</f>
        <v>7253085312</v>
      </c>
      <c r="B9706" t="str">
        <f t="shared" si="420"/>
        <v>89301000</v>
      </c>
      <c r="C9706" s="1">
        <v>44362</v>
      </c>
      <c r="D9706" s="1">
        <v>44364</v>
      </c>
      <c r="E9706">
        <v>1</v>
      </c>
      <c r="F9706" t="s">
        <v>221</v>
      </c>
      <c r="G9706" t="str">
        <f>"01-K04-02"</f>
        <v>01-K04-02</v>
      </c>
      <c r="H9706">
        <v>0.80059999999999998</v>
      </c>
      <c r="I9706" t="s">
        <v>6674</v>
      </c>
      <c r="J9706" t="s">
        <v>14</v>
      </c>
      <c r="K9706" t="str">
        <f>"2F9"</f>
        <v>2F9</v>
      </c>
      <c r="L9706" t="s">
        <v>15</v>
      </c>
    </row>
    <row r="9707" spans="1:12" x14ac:dyDescent="0.25">
      <c r="A9707" t="str">
        <f>"7253085312"</f>
        <v>7253085312</v>
      </c>
      <c r="B9707" t="str">
        <f t="shared" si="420"/>
        <v>89301000</v>
      </c>
      <c r="C9707" s="1">
        <v>44404</v>
      </c>
      <c r="D9707" s="1">
        <v>44406</v>
      </c>
      <c r="E9707">
        <v>1</v>
      </c>
      <c r="F9707" t="s">
        <v>138</v>
      </c>
      <c r="G9707" t="str">
        <f>"01-K18-04"</f>
        <v>01-K18-04</v>
      </c>
      <c r="H9707">
        <v>0.49890000000000001</v>
      </c>
      <c r="J9707" t="s">
        <v>14</v>
      </c>
      <c r="K9707" t="str">
        <f>"2F9"</f>
        <v>2F9</v>
      </c>
      <c r="L9707" t="s">
        <v>15</v>
      </c>
    </row>
    <row r="9708" spans="1:12" x14ac:dyDescent="0.25">
      <c r="A9708" t="str">
        <f>"7253135769"</f>
        <v>7253135769</v>
      </c>
      <c r="B9708" t="str">
        <f t="shared" si="420"/>
        <v>89301000</v>
      </c>
      <c r="C9708" s="1">
        <v>44202</v>
      </c>
      <c r="D9708" s="1">
        <v>44232</v>
      </c>
      <c r="E9708">
        <v>1</v>
      </c>
      <c r="F9708" t="s">
        <v>109</v>
      </c>
      <c r="G9708" t="str">
        <f>"24-M09-01"</f>
        <v>24-M09-01</v>
      </c>
      <c r="H9708">
        <v>3.4546000000000001</v>
      </c>
      <c r="I9708" t="s">
        <v>6675</v>
      </c>
      <c r="J9708" t="s">
        <v>14</v>
      </c>
      <c r="K9708" t="str">
        <f>"2F1"</f>
        <v>2F1</v>
      </c>
      <c r="L9708" t="s">
        <v>15</v>
      </c>
    </row>
    <row r="9709" spans="1:12" x14ac:dyDescent="0.25">
      <c r="A9709" t="str">
        <f>"7253145196"</f>
        <v>7253145196</v>
      </c>
      <c r="B9709" t="str">
        <f t="shared" si="420"/>
        <v>89301000</v>
      </c>
      <c r="C9709" s="1">
        <v>44242</v>
      </c>
      <c r="D9709" s="1">
        <v>44280</v>
      </c>
      <c r="E9709">
        <v>1</v>
      </c>
      <c r="F9709" t="s">
        <v>453</v>
      </c>
      <c r="G9709" t="str">
        <f>"19-K07-02"</f>
        <v>19-K07-02</v>
      </c>
      <c r="H9709">
        <v>2.8759999999999999</v>
      </c>
      <c r="I9709" t="s">
        <v>6676</v>
      </c>
      <c r="J9709" t="s">
        <v>27</v>
      </c>
      <c r="K9709" t="str">
        <f>"3F5"</f>
        <v>3F5</v>
      </c>
      <c r="L9709" t="s">
        <v>15</v>
      </c>
    </row>
    <row r="9710" spans="1:12" x14ac:dyDescent="0.25">
      <c r="A9710" t="str">
        <f>"7253195356"</f>
        <v>7253195356</v>
      </c>
      <c r="B9710" t="str">
        <f t="shared" si="420"/>
        <v>89301000</v>
      </c>
      <c r="C9710" s="1">
        <v>44307</v>
      </c>
      <c r="D9710" s="1">
        <v>44310</v>
      </c>
      <c r="E9710">
        <v>1</v>
      </c>
      <c r="F9710" t="s">
        <v>311</v>
      </c>
      <c r="G9710" t="str">
        <f>"03-I14-02"</f>
        <v>03-I14-02</v>
      </c>
      <c r="H9710">
        <v>1.1086</v>
      </c>
      <c r="I9710" t="s">
        <v>6677</v>
      </c>
      <c r="J9710" t="s">
        <v>14</v>
      </c>
      <c r="K9710" t="str">
        <f>"7F1"</f>
        <v>7F1</v>
      </c>
      <c r="L9710" t="s">
        <v>15</v>
      </c>
    </row>
    <row r="9711" spans="1:12" x14ac:dyDescent="0.25">
      <c r="A9711" t="str">
        <f>"7253235319"</f>
        <v>7253235319</v>
      </c>
      <c r="B9711" t="str">
        <f t="shared" si="420"/>
        <v>89301000</v>
      </c>
      <c r="C9711" s="1">
        <v>44522</v>
      </c>
      <c r="D9711" s="1">
        <v>44529</v>
      </c>
      <c r="E9711">
        <v>4</v>
      </c>
      <c r="F9711" t="s">
        <v>78</v>
      </c>
      <c r="G9711" t="str">
        <f>"19-K03-03"</f>
        <v>19-K03-03</v>
      </c>
      <c r="H9711">
        <v>0.93169999999999997</v>
      </c>
      <c r="J9711" t="s">
        <v>27</v>
      </c>
      <c r="K9711" t="str">
        <f>"3F5"</f>
        <v>3F5</v>
      </c>
      <c r="L9711" t="s">
        <v>15</v>
      </c>
    </row>
    <row r="9712" spans="1:12" x14ac:dyDescent="0.25">
      <c r="A9712" t="str">
        <f>"7253284401"</f>
        <v>7253284401</v>
      </c>
      <c r="B9712" t="str">
        <f t="shared" si="420"/>
        <v>89301000</v>
      </c>
      <c r="C9712" s="1">
        <v>44361</v>
      </c>
      <c r="D9712" s="1">
        <v>44374</v>
      </c>
      <c r="E9712">
        <v>1</v>
      </c>
      <c r="F9712" t="s">
        <v>1953</v>
      </c>
      <c r="G9712" t="str">
        <f>"07-I01-02"</f>
        <v>07-I01-02</v>
      </c>
      <c r="H9712">
        <v>5.4947999999999997</v>
      </c>
      <c r="I9712" t="s">
        <v>6678</v>
      </c>
      <c r="J9712" t="s">
        <v>17</v>
      </c>
      <c r="K9712" t="str">
        <f>"5F1"</f>
        <v>5F1</v>
      </c>
      <c r="L9712" t="s">
        <v>15</v>
      </c>
    </row>
    <row r="9713" spans="1:12" x14ac:dyDescent="0.25">
      <c r="A9713" t="str">
        <f>"7253285754"</f>
        <v>7253285754</v>
      </c>
      <c r="B9713" t="str">
        <f t="shared" si="420"/>
        <v>89301000</v>
      </c>
      <c r="C9713" s="1">
        <v>44508</v>
      </c>
      <c r="D9713" s="1">
        <v>44515</v>
      </c>
      <c r="E9713">
        <v>1</v>
      </c>
      <c r="F9713" t="s">
        <v>2068</v>
      </c>
      <c r="G9713" t="str">
        <f>"02-I06-02"</f>
        <v>02-I06-02</v>
      </c>
      <c r="H9713">
        <v>1.0235000000000001</v>
      </c>
      <c r="I9713" t="s">
        <v>6679</v>
      </c>
      <c r="J9713" t="s">
        <v>17</v>
      </c>
      <c r="K9713" t="str">
        <f>"7F5"</f>
        <v>7F5</v>
      </c>
      <c r="L9713" t="s">
        <v>15</v>
      </c>
    </row>
    <row r="9714" spans="1:12" x14ac:dyDescent="0.25">
      <c r="A9714" t="str">
        <f>"7253295335"</f>
        <v>7253295335</v>
      </c>
      <c r="B9714" t="str">
        <f t="shared" si="420"/>
        <v>89301000</v>
      </c>
      <c r="C9714" s="1">
        <v>44208</v>
      </c>
      <c r="D9714" s="1">
        <v>44214</v>
      </c>
      <c r="E9714">
        <v>1</v>
      </c>
      <c r="F9714" t="s">
        <v>96</v>
      </c>
      <c r="G9714" t="str">
        <f>"11-K01-03"</f>
        <v>11-K01-03</v>
      </c>
      <c r="H9714">
        <v>0.59489999999999998</v>
      </c>
      <c r="I9714" t="s">
        <v>354</v>
      </c>
      <c r="J9714" t="s">
        <v>14</v>
      </c>
      <c r="K9714" t="str">
        <f>"1F1"</f>
        <v>1F1</v>
      </c>
      <c r="L9714" t="s">
        <v>15</v>
      </c>
    </row>
    <row r="9715" spans="1:12" x14ac:dyDescent="0.25">
      <c r="A9715" t="str">
        <f>"7253314475"</f>
        <v>7253314475</v>
      </c>
      <c r="B9715" t="str">
        <f t="shared" si="420"/>
        <v>89301000</v>
      </c>
      <c r="C9715" s="1">
        <v>44389</v>
      </c>
      <c r="D9715" s="1">
        <v>44427</v>
      </c>
      <c r="E9715">
        <v>1</v>
      </c>
      <c r="F9715" t="s">
        <v>130</v>
      </c>
      <c r="G9715" t="str">
        <f>"19-K07-02"</f>
        <v>19-K07-02</v>
      </c>
      <c r="H9715">
        <v>2.8759999999999999</v>
      </c>
      <c r="I9715" t="s">
        <v>6680</v>
      </c>
      <c r="J9715" t="s">
        <v>27</v>
      </c>
      <c r="K9715" t="str">
        <f>"3F5"</f>
        <v>3F5</v>
      </c>
      <c r="L9715" t="s">
        <v>15</v>
      </c>
    </row>
    <row r="9716" spans="1:12" x14ac:dyDescent="0.25">
      <c r="A9716" t="str">
        <f>"7254013987"</f>
        <v>7254013987</v>
      </c>
      <c r="B9716" t="str">
        <f t="shared" si="420"/>
        <v>89301000</v>
      </c>
      <c r="C9716" s="1">
        <v>44432</v>
      </c>
      <c r="D9716" s="1">
        <v>44434</v>
      </c>
      <c r="E9716">
        <v>1</v>
      </c>
      <c r="F9716" t="s">
        <v>387</v>
      </c>
      <c r="G9716" t="str">
        <f>"08-M03-05"</f>
        <v>08-M03-05</v>
      </c>
      <c r="H9716">
        <v>0.51759999999999995</v>
      </c>
      <c r="I9716" t="s">
        <v>6681</v>
      </c>
      <c r="J9716" t="s">
        <v>14</v>
      </c>
      <c r="K9716" t="str">
        <f>"5F3"</f>
        <v>5F3</v>
      </c>
      <c r="L9716" t="s">
        <v>15</v>
      </c>
    </row>
    <row r="9717" spans="1:12" x14ac:dyDescent="0.25">
      <c r="A9717" t="str">
        <f>"7254014460"</f>
        <v>7254014460</v>
      </c>
      <c r="B9717" t="str">
        <f t="shared" si="420"/>
        <v>89301000</v>
      </c>
      <c r="C9717" s="1">
        <v>44339</v>
      </c>
      <c r="D9717" s="1">
        <v>44343</v>
      </c>
      <c r="E9717">
        <v>1</v>
      </c>
      <c r="F9717" t="s">
        <v>6246</v>
      </c>
      <c r="G9717" t="str">
        <f>"13-I11-03"</f>
        <v>13-I11-03</v>
      </c>
      <c r="H9717">
        <v>1.3809</v>
      </c>
      <c r="J9717" t="s">
        <v>24</v>
      </c>
      <c r="K9717" t="str">
        <f>"6F3"</f>
        <v>6F3</v>
      </c>
      <c r="L9717" t="s">
        <v>15</v>
      </c>
    </row>
    <row r="9718" spans="1:12" x14ac:dyDescent="0.25">
      <c r="A9718" t="str">
        <f>"7254035327"</f>
        <v>7254035327</v>
      </c>
      <c r="B9718" t="str">
        <f t="shared" si="420"/>
        <v>89301000</v>
      </c>
      <c r="C9718" s="1">
        <v>44510</v>
      </c>
      <c r="D9718" s="1">
        <v>44514</v>
      </c>
      <c r="E9718">
        <v>1</v>
      </c>
      <c r="F9718" t="s">
        <v>82</v>
      </c>
      <c r="G9718" t="str">
        <f>"14-I01-02"</f>
        <v>14-I01-02</v>
      </c>
      <c r="H9718">
        <v>1.1289</v>
      </c>
      <c r="I9718" t="s">
        <v>6682</v>
      </c>
      <c r="J9718" t="s">
        <v>59</v>
      </c>
      <c r="K9718" t="str">
        <f>"6F3"</f>
        <v>6F3</v>
      </c>
      <c r="L9718" t="s">
        <v>15</v>
      </c>
    </row>
    <row r="9719" spans="1:12" x14ac:dyDescent="0.25">
      <c r="A9719" t="str">
        <f>"7254065709"</f>
        <v>7254065709</v>
      </c>
      <c r="B9719" t="str">
        <f t="shared" si="420"/>
        <v>89301000</v>
      </c>
      <c r="C9719" s="1">
        <v>44300</v>
      </c>
      <c r="D9719" s="1">
        <v>44305</v>
      </c>
      <c r="E9719">
        <v>1</v>
      </c>
      <c r="F9719" t="s">
        <v>3236</v>
      </c>
      <c r="G9719" t="str">
        <f>"13-I11-03"</f>
        <v>13-I11-03</v>
      </c>
      <c r="H9719">
        <v>1.3809</v>
      </c>
      <c r="J9719" t="s">
        <v>24</v>
      </c>
      <c r="K9719" t="str">
        <f>"6F3"</f>
        <v>6F3</v>
      </c>
      <c r="L9719" t="s">
        <v>15</v>
      </c>
    </row>
    <row r="9720" spans="1:12" x14ac:dyDescent="0.25">
      <c r="A9720" t="str">
        <f>"7254084486"</f>
        <v>7254084486</v>
      </c>
      <c r="B9720" t="str">
        <f t="shared" si="420"/>
        <v>89301000</v>
      </c>
      <c r="C9720" s="1">
        <v>44246</v>
      </c>
      <c r="D9720" s="1">
        <v>44267</v>
      </c>
      <c r="E9720">
        <v>1</v>
      </c>
      <c r="F9720" t="s">
        <v>217</v>
      </c>
      <c r="G9720" t="str">
        <f>"00-M01-04"</f>
        <v>00-M01-04</v>
      </c>
      <c r="H9720">
        <v>6.85</v>
      </c>
      <c r="I9720" t="s">
        <v>6683</v>
      </c>
      <c r="J9720" t="s">
        <v>14</v>
      </c>
      <c r="K9720" t="str">
        <f>"2F5"</f>
        <v>2F5</v>
      </c>
      <c r="L9720" t="s">
        <v>15</v>
      </c>
    </row>
    <row r="9721" spans="1:12" x14ac:dyDescent="0.25">
      <c r="A9721" t="str">
        <f>"7254085872"</f>
        <v>7254085872</v>
      </c>
      <c r="B9721" t="str">
        <f t="shared" si="420"/>
        <v>89301000</v>
      </c>
      <c r="C9721" s="1">
        <v>44351</v>
      </c>
      <c r="D9721" s="1">
        <v>44352</v>
      </c>
      <c r="E9721">
        <v>1</v>
      </c>
      <c r="F9721" t="s">
        <v>3852</v>
      </c>
      <c r="G9721" t="str">
        <f>"13-I19-00"</f>
        <v>13-I19-00</v>
      </c>
      <c r="H9721">
        <v>0.24679999999999999</v>
      </c>
      <c r="J9721" t="s">
        <v>14</v>
      </c>
      <c r="K9721" t="str">
        <f>"6F3"</f>
        <v>6F3</v>
      </c>
      <c r="L9721" t="s">
        <v>15</v>
      </c>
    </row>
    <row r="9722" spans="1:12" x14ac:dyDescent="0.25">
      <c r="A9722" t="str">
        <f>"7254085872"</f>
        <v>7254085872</v>
      </c>
      <c r="B9722" t="str">
        <f t="shared" si="420"/>
        <v>89301000</v>
      </c>
      <c r="C9722" s="1">
        <v>44255</v>
      </c>
      <c r="D9722" s="1">
        <v>44259</v>
      </c>
      <c r="E9722">
        <v>1</v>
      </c>
      <c r="F9722" t="s">
        <v>81</v>
      </c>
      <c r="G9722" t="str">
        <f>"10-I13-02"</f>
        <v>10-I13-02</v>
      </c>
      <c r="H9722">
        <v>1.1468</v>
      </c>
      <c r="J9722" t="s">
        <v>24</v>
      </c>
      <c r="K9722" t="str">
        <f>"5F1"</f>
        <v>5F1</v>
      </c>
      <c r="L9722" t="s">
        <v>15</v>
      </c>
    </row>
    <row r="9723" spans="1:12" x14ac:dyDescent="0.25">
      <c r="A9723" t="str">
        <f>"7254093616"</f>
        <v>7254093616</v>
      </c>
      <c r="B9723" t="str">
        <f t="shared" si="420"/>
        <v>89301000</v>
      </c>
      <c r="C9723" s="1">
        <v>44425</v>
      </c>
      <c r="D9723" s="1">
        <v>44427</v>
      </c>
      <c r="E9723">
        <v>1</v>
      </c>
      <c r="F9723" t="s">
        <v>2311</v>
      </c>
      <c r="G9723" t="str">
        <f>"08-I03-08"</f>
        <v>08-I03-08</v>
      </c>
      <c r="H9723">
        <v>2.0605000000000002</v>
      </c>
      <c r="J9723" t="s">
        <v>17</v>
      </c>
      <c r="K9723" t="str">
        <f>"5F6"</f>
        <v>5F6</v>
      </c>
      <c r="L9723" t="s">
        <v>15</v>
      </c>
    </row>
    <row r="9724" spans="1:12" x14ac:dyDescent="0.25">
      <c r="A9724" t="str">
        <f>"7254105320"</f>
        <v>7254105320</v>
      </c>
      <c r="B9724" t="str">
        <f t="shared" si="420"/>
        <v>89301000</v>
      </c>
      <c r="C9724" s="1">
        <v>44364</v>
      </c>
      <c r="D9724" s="1">
        <v>44367</v>
      </c>
      <c r="E9724">
        <v>1</v>
      </c>
      <c r="F9724" t="s">
        <v>2082</v>
      </c>
      <c r="G9724" t="str">
        <f>"03-I19-03"</f>
        <v>03-I19-03</v>
      </c>
      <c r="H9724">
        <v>0.60699999999999998</v>
      </c>
      <c r="I9724" t="s">
        <v>320</v>
      </c>
      <c r="J9724" t="s">
        <v>14</v>
      </c>
      <c r="K9724" t="str">
        <f>"6F5"</f>
        <v>6F5</v>
      </c>
      <c r="L9724" t="s">
        <v>15</v>
      </c>
    </row>
    <row r="9725" spans="1:12" x14ac:dyDescent="0.25">
      <c r="A9725" t="str">
        <f>"7254105320"</f>
        <v>7254105320</v>
      </c>
      <c r="B9725" t="str">
        <f t="shared" si="420"/>
        <v>89301000</v>
      </c>
      <c r="C9725" s="1">
        <v>44265</v>
      </c>
      <c r="D9725" s="1">
        <v>44268</v>
      </c>
      <c r="E9725">
        <v>1</v>
      </c>
      <c r="F9725" t="s">
        <v>132</v>
      </c>
      <c r="G9725" t="str">
        <f>"03-K03-02"</f>
        <v>03-K03-02</v>
      </c>
      <c r="H9725">
        <v>0.49249999999999999</v>
      </c>
      <c r="J9725" t="s">
        <v>14</v>
      </c>
      <c r="K9725" t="str">
        <f>"6F5"</f>
        <v>6F5</v>
      </c>
      <c r="L9725" t="s">
        <v>15</v>
      </c>
    </row>
    <row r="9726" spans="1:12" x14ac:dyDescent="0.25">
      <c r="A9726" t="str">
        <f>"7254115781"</f>
        <v>7254115781</v>
      </c>
      <c r="B9726" t="str">
        <f t="shared" si="420"/>
        <v>89301000</v>
      </c>
      <c r="C9726" s="1">
        <v>44253</v>
      </c>
      <c r="D9726" s="1">
        <v>44254</v>
      </c>
      <c r="E9726">
        <v>1</v>
      </c>
      <c r="F9726" t="s">
        <v>2303</v>
      </c>
      <c r="G9726" t="str">
        <f>"13-I19-00"</f>
        <v>13-I19-00</v>
      </c>
      <c r="H9726">
        <v>0.24679999999999999</v>
      </c>
      <c r="J9726" t="s">
        <v>14</v>
      </c>
      <c r="K9726" t="str">
        <f>"6F3"</f>
        <v>6F3</v>
      </c>
      <c r="L9726" t="s">
        <v>15</v>
      </c>
    </row>
    <row r="9727" spans="1:12" x14ac:dyDescent="0.25">
      <c r="A9727" t="str">
        <f>"7254262103"</f>
        <v>7254262103</v>
      </c>
      <c r="B9727" t="str">
        <f t="shared" si="420"/>
        <v>89301000</v>
      </c>
      <c r="C9727" s="1">
        <v>44532</v>
      </c>
      <c r="D9727" s="1">
        <v>44533</v>
      </c>
      <c r="E9727">
        <v>1</v>
      </c>
      <c r="F9727" t="s">
        <v>2457</v>
      </c>
      <c r="G9727" t="str">
        <f>"05-D01-08"</f>
        <v>05-D01-08</v>
      </c>
      <c r="H9727">
        <v>0.4093</v>
      </c>
      <c r="I9727" t="s">
        <v>1892</v>
      </c>
      <c r="J9727" t="s">
        <v>14</v>
      </c>
      <c r="K9727" t="str">
        <f>"1F7"</f>
        <v>1F7</v>
      </c>
      <c r="L9727" t="s">
        <v>15</v>
      </c>
    </row>
    <row r="9728" spans="1:12" x14ac:dyDescent="0.25">
      <c r="A9728" t="str">
        <f>"7254275358"</f>
        <v>7254275358</v>
      </c>
      <c r="B9728" t="str">
        <f t="shared" si="420"/>
        <v>89301000</v>
      </c>
      <c r="C9728" s="1">
        <v>44241</v>
      </c>
      <c r="D9728" s="1">
        <v>44245</v>
      </c>
      <c r="E9728">
        <v>1</v>
      </c>
      <c r="F9728" t="s">
        <v>6439</v>
      </c>
      <c r="G9728" t="str">
        <f>"23-I07-00"</f>
        <v>23-I07-00</v>
      </c>
      <c r="H9728">
        <v>1.3815999999999999</v>
      </c>
      <c r="J9728" t="s">
        <v>24</v>
      </c>
      <c r="K9728" t="str">
        <f>"6F3"</f>
        <v>6F3</v>
      </c>
      <c r="L9728" t="s">
        <v>15</v>
      </c>
    </row>
    <row r="9729" spans="1:12" x14ac:dyDescent="0.25">
      <c r="A9729" t="str">
        <f>"7255125691"</f>
        <v>7255125691</v>
      </c>
      <c r="B9729" t="str">
        <f t="shared" si="420"/>
        <v>89301000</v>
      </c>
      <c r="C9729" s="1">
        <v>44259</v>
      </c>
      <c r="D9729" s="1">
        <v>44261</v>
      </c>
      <c r="E9729">
        <v>1</v>
      </c>
      <c r="F9729" t="s">
        <v>772</v>
      </c>
      <c r="G9729" t="str">
        <f>"08-K13-01"</f>
        <v>08-K13-01</v>
      </c>
      <c r="H9729">
        <v>0.80049999999999999</v>
      </c>
      <c r="I9729" t="s">
        <v>6684</v>
      </c>
      <c r="J9729" t="s">
        <v>14</v>
      </c>
      <c r="K9729" t="str">
        <f>"1F6"</f>
        <v>1F6</v>
      </c>
      <c r="L9729" t="s">
        <v>15</v>
      </c>
    </row>
    <row r="9730" spans="1:12" x14ac:dyDescent="0.25">
      <c r="A9730" t="str">
        <f>"7255215341"</f>
        <v>7255215341</v>
      </c>
      <c r="B9730" t="str">
        <f t="shared" si="420"/>
        <v>89301000</v>
      </c>
      <c r="C9730" s="1">
        <v>44452</v>
      </c>
      <c r="D9730" s="1">
        <v>44470</v>
      </c>
      <c r="E9730">
        <v>8</v>
      </c>
      <c r="F9730" t="s">
        <v>2931</v>
      </c>
      <c r="G9730" t="str">
        <f>"07-K04-03"</f>
        <v>07-K04-03</v>
      </c>
      <c r="H9730">
        <v>1.0898000000000001</v>
      </c>
      <c r="I9730" t="s">
        <v>6685</v>
      </c>
      <c r="J9730" t="s">
        <v>14</v>
      </c>
      <c r="K9730" t="str">
        <f>"1F1"</f>
        <v>1F1</v>
      </c>
      <c r="L9730" t="s">
        <v>15</v>
      </c>
    </row>
    <row r="9731" spans="1:12" x14ac:dyDescent="0.25">
      <c r="A9731" t="str">
        <f>"7255225087"</f>
        <v>7255225087</v>
      </c>
      <c r="B9731" t="str">
        <f t="shared" si="420"/>
        <v>89301000</v>
      </c>
      <c r="C9731" s="1">
        <v>44423</v>
      </c>
      <c r="D9731" s="1">
        <v>44426</v>
      </c>
      <c r="E9731">
        <v>1</v>
      </c>
      <c r="F9731" t="s">
        <v>309</v>
      </c>
      <c r="G9731" t="str">
        <f>"08-M03-05"</f>
        <v>08-M03-05</v>
      </c>
      <c r="H9731">
        <v>0.51759999999999995</v>
      </c>
      <c r="I9731" t="s">
        <v>4196</v>
      </c>
      <c r="J9731" t="s">
        <v>14</v>
      </c>
      <c r="K9731" t="str">
        <f>"6F6"</f>
        <v>6F6</v>
      </c>
      <c r="L9731" t="s">
        <v>15</v>
      </c>
    </row>
    <row r="9732" spans="1:12" x14ac:dyDescent="0.25">
      <c r="A9732" t="str">
        <f>"7255235823"</f>
        <v>7255235823</v>
      </c>
      <c r="B9732" t="str">
        <f t="shared" si="420"/>
        <v>89301000</v>
      </c>
      <c r="C9732" s="1">
        <v>44347</v>
      </c>
      <c r="D9732" s="1">
        <v>44362</v>
      </c>
      <c r="E9732">
        <v>5</v>
      </c>
      <c r="F9732" t="s">
        <v>217</v>
      </c>
      <c r="G9732" t="str">
        <f>"00-M01-04"</f>
        <v>00-M01-04</v>
      </c>
      <c r="H9732">
        <v>6.85</v>
      </c>
      <c r="I9732" t="s">
        <v>6686</v>
      </c>
      <c r="J9732" t="s">
        <v>14</v>
      </c>
      <c r="K9732" t="str">
        <f>"7T8"</f>
        <v>7T8</v>
      </c>
      <c r="L9732" t="s">
        <v>15</v>
      </c>
    </row>
    <row r="9733" spans="1:12" x14ac:dyDescent="0.25">
      <c r="A9733" t="str">
        <f>"7255274455"</f>
        <v>7255274455</v>
      </c>
      <c r="B9733" t="str">
        <f t="shared" si="420"/>
        <v>89301000</v>
      </c>
      <c r="C9733" s="1">
        <v>44546</v>
      </c>
      <c r="D9733" s="1">
        <v>44547</v>
      </c>
      <c r="E9733">
        <v>1</v>
      </c>
      <c r="F9733" t="s">
        <v>41</v>
      </c>
      <c r="G9733" t="str">
        <f>"01-I11-01"</f>
        <v>01-I11-01</v>
      </c>
      <c r="H9733">
        <v>0.99990000000000001</v>
      </c>
      <c r="I9733" t="s">
        <v>889</v>
      </c>
      <c r="J9733" t="s">
        <v>17</v>
      </c>
      <c r="K9733" t="str">
        <f>"7F1"</f>
        <v>7F1</v>
      </c>
      <c r="L9733" t="s">
        <v>15</v>
      </c>
    </row>
    <row r="9734" spans="1:12" x14ac:dyDescent="0.25">
      <c r="A9734" t="str">
        <f>"7255275775"</f>
        <v>7255275775</v>
      </c>
      <c r="B9734" t="str">
        <f t="shared" si="420"/>
        <v>89301000</v>
      </c>
      <c r="C9734" s="1">
        <v>44367</v>
      </c>
      <c r="D9734" s="1">
        <v>44368</v>
      </c>
      <c r="E9734">
        <v>1</v>
      </c>
      <c r="F9734" t="s">
        <v>2766</v>
      </c>
      <c r="G9734" t="str">
        <f>"08-I15-03"</f>
        <v>08-I15-03</v>
      </c>
      <c r="H9734">
        <v>1.1838</v>
      </c>
      <c r="I9734" t="s">
        <v>410</v>
      </c>
      <c r="J9734" t="s">
        <v>17</v>
      </c>
      <c r="K9734" t="str">
        <f>"5F3"</f>
        <v>5F3</v>
      </c>
      <c r="L9734" t="s">
        <v>15</v>
      </c>
    </row>
    <row r="9735" spans="1:12" x14ac:dyDescent="0.25">
      <c r="A9735" t="str">
        <f>"7255285345"</f>
        <v>7255285345</v>
      </c>
      <c r="B9735" t="str">
        <f t="shared" si="420"/>
        <v>89301000</v>
      </c>
      <c r="C9735" s="1">
        <v>44550</v>
      </c>
      <c r="D9735" s="1">
        <v>44554</v>
      </c>
      <c r="E9735">
        <v>1</v>
      </c>
      <c r="F9735" t="s">
        <v>6664</v>
      </c>
      <c r="G9735" t="str">
        <f>"06-R01-08"</f>
        <v>06-R01-08</v>
      </c>
      <c r="H9735">
        <v>0.86509999999999998</v>
      </c>
      <c r="I9735" t="s">
        <v>4232</v>
      </c>
      <c r="J9735" t="s">
        <v>14</v>
      </c>
      <c r="K9735" t="str">
        <f>"4F2"</f>
        <v>4F2</v>
      </c>
      <c r="L9735" t="s">
        <v>15</v>
      </c>
    </row>
    <row r="9736" spans="1:12" x14ac:dyDescent="0.25">
      <c r="A9736" t="str">
        <f>"7255285345"</f>
        <v>7255285345</v>
      </c>
      <c r="B9736" t="str">
        <f t="shared" si="420"/>
        <v>89301000</v>
      </c>
      <c r="C9736" s="1">
        <v>44522</v>
      </c>
      <c r="D9736" s="1">
        <v>44526</v>
      </c>
      <c r="E9736">
        <v>1</v>
      </c>
      <c r="F9736" t="s">
        <v>6664</v>
      </c>
      <c r="G9736" t="str">
        <f>"06-R01-08"</f>
        <v>06-R01-08</v>
      </c>
      <c r="H9736">
        <v>0.86509999999999998</v>
      </c>
      <c r="I9736" t="s">
        <v>4232</v>
      </c>
      <c r="J9736" t="s">
        <v>14</v>
      </c>
      <c r="K9736" t="str">
        <f>"4F2"</f>
        <v>4F2</v>
      </c>
      <c r="L9736" t="s">
        <v>15</v>
      </c>
    </row>
    <row r="9737" spans="1:12" x14ac:dyDescent="0.25">
      <c r="A9737" t="str">
        <f>"7256015789"</f>
        <v>7256015789</v>
      </c>
      <c r="B9737" t="str">
        <f t="shared" si="420"/>
        <v>89301000</v>
      </c>
      <c r="C9737" s="1">
        <v>44418</v>
      </c>
      <c r="D9737" s="1">
        <v>44422</v>
      </c>
      <c r="E9737">
        <v>1</v>
      </c>
      <c r="F9737" t="s">
        <v>6687</v>
      </c>
      <c r="G9737" t="str">
        <f>"03-I17-00"</f>
        <v>03-I17-00</v>
      </c>
      <c r="H9737">
        <v>0.84960000000000002</v>
      </c>
      <c r="I9737" t="s">
        <v>6688</v>
      </c>
      <c r="J9737" t="s">
        <v>24</v>
      </c>
      <c r="K9737" t="str">
        <f>"7F1"</f>
        <v>7F1</v>
      </c>
      <c r="L9737" t="s">
        <v>15</v>
      </c>
    </row>
    <row r="9738" spans="1:12" x14ac:dyDescent="0.25">
      <c r="A9738" t="str">
        <f>"7256034467"</f>
        <v>7256034467</v>
      </c>
      <c r="B9738" t="str">
        <f t="shared" si="420"/>
        <v>89301000</v>
      </c>
      <c r="C9738" s="1">
        <v>44315</v>
      </c>
      <c r="D9738" s="1">
        <v>44316</v>
      </c>
      <c r="E9738">
        <v>1</v>
      </c>
      <c r="F9738" t="s">
        <v>2111</v>
      </c>
      <c r="G9738" t="str">
        <f>"10-K15-02"</f>
        <v>10-K15-02</v>
      </c>
      <c r="H9738">
        <v>0.51819999999999999</v>
      </c>
      <c r="I9738" t="s">
        <v>6689</v>
      </c>
      <c r="J9738" t="s">
        <v>14</v>
      </c>
      <c r="K9738" t="str">
        <f>"2F5"</f>
        <v>2F5</v>
      </c>
      <c r="L9738" t="s">
        <v>15</v>
      </c>
    </row>
    <row r="9739" spans="1:12" x14ac:dyDescent="0.25">
      <c r="A9739" t="str">
        <f>"7256034467"</f>
        <v>7256034467</v>
      </c>
      <c r="B9739" t="str">
        <f t="shared" si="420"/>
        <v>89301000</v>
      </c>
      <c r="C9739" s="1">
        <v>44370</v>
      </c>
      <c r="D9739" s="1">
        <v>44372</v>
      </c>
      <c r="E9739">
        <v>1</v>
      </c>
      <c r="F9739" t="s">
        <v>2111</v>
      </c>
      <c r="G9739" t="str">
        <f>"10-K15-02"</f>
        <v>10-K15-02</v>
      </c>
      <c r="H9739">
        <v>0.77639999999999998</v>
      </c>
      <c r="I9739" t="s">
        <v>6690</v>
      </c>
      <c r="J9739" t="s">
        <v>14</v>
      </c>
      <c r="K9739" t="str">
        <f>"2F5"</f>
        <v>2F5</v>
      </c>
      <c r="L9739" t="s">
        <v>15</v>
      </c>
    </row>
    <row r="9740" spans="1:12" x14ac:dyDescent="0.25">
      <c r="A9740" t="str">
        <f>"7256073704"</f>
        <v>7256073704</v>
      </c>
      <c r="B9740" t="str">
        <f t="shared" si="420"/>
        <v>89301000</v>
      </c>
      <c r="C9740" s="1">
        <v>44476</v>
      </c>
      <c r="D9740" s="1">
        <v>44481</v>
      </c>
      <c r="E9740">
        <v>1</v>
      </c>
      <c r="F9740" t="s">
        <v>6691</v>
      </c>
      <c r="G9740" t="str">
        <f>"09-I04-02"</f>
        <v>09-I04-02</v>
      </c>
      <c r="H9740">
        <v>1.5007999999999999</v>
      </c>
      <c r="I9740" t="s">
        <v>6692</v>
      </c>
      <c r="J9740" t="s">
        <v>17</v>
      </c>
      <c r="K9740" t="str">
        <f>"6F1"</f>
        <v>6F1</v>
      </c>
      <c r="L9740" t="s">
        <v>15</v>
      </c>
    </row>
    <row r="9741" spans="1:12" x14ac:dyDescent="0.25">
      <c r="A9741" t="str">
        <f>"7256164487"</f>
        <v>7256164487</v>
      </c>
      <c r="B9741" t="str">
        <f t="shared" si="420"/>
        <v>89301000</v>
      </c>
      <c r="C9741" s="1">
        <v>44326</v>
      </c>
      <c r="D9741" s="1">
        <v>44333</v>
      </c>
      <c r="E9741">
        <v>1</v>
      </c>
      <c r="F9741" t="s">
        <v>284</v>
      </c>
      <c r="G9741" t="str">
        <f>"06-I07-05"</f>
        <v>06-I07-05</v>
      </c>
      <c r="H9741">
        <v>2.8466999999999998</v>
      </c>
      <c r="I9741" t="s">
        <v>5497</v>
      </c>
      <c r="J9741" t="s">
        <v>17</v>
      </c>
      <c r="K9741" t="str">
        <f>"5F1"</f>
        <v>5F1</v>
      </c>
      <c r="L9741" t="s">
        <v>15</v>
      </c>
    </row>
    <row r="9742" spans="1:12" x14ac:dyDescent="0.25">
      <c r="A9742" t="str">
        <f>"7256185376"</f>
        <v>7256185376</v>
      </c>
      <c r="B9742" t="str">
        <f t="shared" si="420"/>
        <v>89301000</v>
      </c>
      <c r="C9742" s="1">
        <v>44399</v>
      </c>
      <c r="D9742" s="1">
        <v>44400</v>
      </c>
      <c r="E9742">
        <v>1</v>
      </c>
      <c r="F9742" t="s">
        <v>1569</v>
      </c>
      <c r="G9742" t="str">
        <f>"09-I13-05"</f>
        <v>09-I13-05</v>
      </c>
      <c r="H9742">
        <v>0.43659999999999999</v>
      </c>
      <c r="J9742" t="s">
        <v>14</v>
      </c>
      <c r="K9742" t="str">
        <f>"6F5"</f>
        <v>6F5</v>
      </c>
      <c r="L9742" t="s">
        <v>15</v>
      </c>
    </row>
    <row r="9743" spans="1:12" x14ac:dyDescent="0.25">
      <c r="A9743" t="str">
        <f>"7256185376"</f>
        <v>7256185376</v>
      </c>
      <c r="B9743" t="str">
        <f t="shared" si="420"/>
        <v>89301000</v>
      </c>
      <c r="C9743" s="1">
        <v>44516</v>
      </c>
      <c r="D9743" s="1">
        <v>44516</v>
      </c>
      <c r="E9743">
        <v>1</v>
      </c>
      <c r="F9743" t="s">
        <v>6047</v>
      </c>
      <c r="G9743" t="str">
        <f>"05-I14-04"</f>
        <v>05-I14-04</v>
      </c>
      <c r="H9743">
        <v>5.1692</v>
      </c>
      <c r="J9743" t="s">
        <v>14</v>
      </c>
      <c r="K9743" t="str">
        <f>"1F1"</f>
        <v>1F1</v>
      </c>
      <c r="L9743" t="s">
        <v>15</v>
      </c>
    </row>
    <row r="9744" spans="1:12" x14ac:dyDescent="0.25">
      <c r="A9744" t="str">
        <f>"7256215791"</f>
        <v>7256215791</v>
      </c>
      <c r="B9744" t="str">
        <f t="shared" si="420"/>
        <v>89301000</v>
      </c>
      <c r="C9744" s="1">
        <v>44252</v>
      </c>
      <c r="D9744" s="1">
        <v>44254</v>
      </c>
      <c r="E9744">
        <v>1</v>
      </c>
      <c r="F9744" t="s">
        <v>1256</v>
      </c>
      <c r="G9744" t="str">
        <f>"01-K03-08"</f>
        <v>01-K03-08</v>
      </c>
      <c r="H9744">
        <v>0.34789999999999999</v>
      </c>
      <c r="I9744" t="s">
        <v>348</v>
      </c>
      <c r="J9744" t="s">
        <v>14</v>
      </c>
      <c r="K9744" t="str">
        <f>"2F9"</f>
        <v>2F9</v>
      </c>
      <c r="L9744" t="s">
        <v>15</v>
      </c>
    </row>
    <row r="9745" spans="1:12" x14ac:dyDescent="0.25">
      <c r="A9745" t="str">
        <f>"7257105339"</f>
        <v>7257105339</v>
      </c>
      <c r="B9745" t="str">
        <f t="shared" si="420"/>
        <v>89301000</v>
      </c>
      <c r="C9745" s="1">
        <v>44460</v>
      </c>
      <c r="D9745" s="1">
        <v>44463</v>
      </c>
      <c r="E9745">
        <v>1</v>
      </c>
      <c r="F9745" t="s">
        <v>2311</v>
      </c>
      <c r="G9745" t="str">
        <f>"08-I03-08"</f>
        <v>08-I03-08</v>
      </c>
      <c r="H9745">
        <v>2.0605000000000002</v>
      </c>
      <c r="J9745" t="s">
        <v>17</v>
      </c>
      <c r="K9745" t="str">
        <f>"5F6"</f>
        <v>5F6</v>
      </c>
      <c r="L9745" t="s">
        <v>15</v>
      </c>
    </row>
    <row r="9746" spans="1:12" x14ac:dyDescent="0.25">
      <c r="A9746" t="str">
        <f>"7257124853"</f>
        <v>7257124853</v>
      </c>
      <c r="B9746" t="str">
        <f t="shared" si="420"/>
        <v>89301000</v>
      </c>
      <c r="C9746" s="1">
        <v>44292</v>
      </c>
      <c r="D9746" s="1">
        <v>44298</v>
      </c>
      <c r="E9746">
        <v>1</v>
      </c>
      <c r="F9746" t="s">
        <v>31</v>
      </c>
      <c r="G9746" t="str">
        <f>"08-I03-04"</f>
        <v>08-I03-04</v>
      </c>
      <c r="H9746">
        <v>4.8169000000000004</v>
      </c>
      <c r="J9746" t="s">
        <v>17</v>
      </c>
      <c r="K9746" t="str">
        <f>"5F6"</f>
        <v>5F6</v>
      </c>
      <c r="L9746" t="s">
        <v>15</v>
      </c>
    </row>
    <row r="9747" spans="1:12" x14ac:dyDescent="0.25">
      <c r="A9747" t="str">
        <f>"7257175321"</f>
        <v>7257175321</v>
      </c>
      <c r="B9747" t="str">
        <f t="shared" si="420"/>
        <v>89301000</v>
      </c>
      <c r="C9747" s="1">
        <v>44297</v>
      </c>
      <c r="D9747" s="1">
        <v>44306</v>
      </c>
      <c r="E9747">
        <v>1</v>
      </c>
      <c r="F9747" t="s">
        <v>217</v>
      </c>
      <c r="G9747" t="str">
        <f>"04-K02-04"</f>
        <v>04-K02-04</v>
      </c>
      <c r="H9747">
        <v>0.82469999999999999</v>
      </c>
      <c r="I9747" t="s">
        <v>5660</v>
      </c>
      <c r="J9747" t="s">
        <v>14</v>
      </c>
      <c r="K9747" t="str">
        <f>"1F6"</f>
        <v>1F6</v>
      </c>
      <c r="L9747" t="s">
        <v>15</v>
      </c>
    </row>
    <row r="9748" spans="1:12" x14ac:dyDescent="0.25">
      <c r="A9748" t="str">
        <f>"7257175783"</f>
        <v>7257175783</v>
      </c>
      <c r="B9748" t="str">
        <f t="shared" si="420"/>
        <v>89301000</v>
      </c>
      <c r="C9748" s="1">
        <v>44393</v>
      </c>
      <c r="D9748" s="1">
        <v>44395</v>
      </c>
      <c r="E9748">
        <v>1</v>
      </c>
      <c r="F9748" t="s">
        <v>16</v>
      </c>
      <c r="G9748" t="str">
        <f>"08-K08-00"</f>
        <v>08-K08-00</v>
      </c>
      <c r="H9748">
        <v>0.51670000000000005</v>
      </c>
      <c r="J9748" t="s">
        <v>14</v>
      </c>
      <c r="K9748" t="str">
        <f>"5F6"</f>
        <v>5F6</v>
      </c>
      <c r="L9748" t="s">
        <v>15</v>
      </c>
    </row>
    <row r="9749" spans="1:12" x14ac:dyDescent="0.25">
      <c r="A9749" t="str">
        <f t="shared" ref="A9749:A9754" si="421">"7257195781"</f>
        <v>7257195781</v>
      </c>
      <c r="B9749" t="str">
        <f t="shared" si="420"/>
        <v>89301000</v>
      </c>
      <c r="C9749" s="1">
        <v>44245</v>
      </c>
      <c r="D9749" s="1">
        <v>44246</v>
      </c>
      <c r="E9749">
        <v>1</v>
      </c>
      <c r="F9749" t="s">
        <v>6693</v>
      </c>
      <c r="G9749" t="str">
        <f t="shared" ref="G9749:G9754" si="422">"02-K01-02"</f>
        <v>02-K01-02</v>
      </c>
      <c r="H9749">
        <v>0.77749999999999997</v>
      </c>
      <c r="I9749" t="s">
        <v>6694</v>
      </c>
      <c r="J9749" t="s">
        <v>14</v>
      </c>
      <c r="K9749" t="str">
        <f>"1F9"</f>
        <v>1F9</v>
      </c>
      <c r="L9749" t="s">
        <v>15</v>
      </c>
    </row>
    <row r="9750" spans="1:12" x14ac:dyDescent="0.25">
      <c r="A9750" t="str">
        <f t="shared" si="421"/>
        <v>7257195781</v>
      </c>
      <c r="B9750" t="str">
        <f t="shared" si="420"/>
        <v>89301000</v>
      </c>
      <c r="C9750" s="1">
        <v>44491</v>
      </c>
      <c r="D9750" s="1">
        <v>44496</v>
      </c>
      <c r="E9750">
        <v>1</v>
      </c>
      <c r="F9750" t="s">
        <v>6693</v>
      </c>
      <c r="G9750" t="str">
        <f t="shared" si="422"/>
        <v>02-K01-02</v>
      </c>
      <c r="H9750">
        <v>0.77749999999999997</v>
      </c>
      <c r="I9750" t="s">
        <v>6695</v>
      </c>
      <c r="J9750" t="s">
        <v>14</v>
      </c>
      <c r="K9750" t="str">
        <f>"7F5"</f>
        <v>7F5</v>
      </c>
      <c r="L9750" t="s">
        <v>15</v>
      </c>
    </row>
    <row r="9751" spans="1:12" x14ac:dyDescent="0.25">
      <c r="A9751" t="str">
        <f t="shared" si="421"/>
        <v>7257195781</v>
      </c>
      <c r="B9751" t="str">
        <f t="shared" si="420"/>
        <v>89301000</v>
      </c>
      <c r="C9751" s="1">
        <v>44361</v>
      </c>
      <c r="D9751" s="1">
        <v>44363</v>
      </c>
      <c r="E9751">
        <v>1</v>
      </c>
      <c r="F9751" t="s">
        <v>6693</v>
      </c>
      <c r="G9751" t="str">
        <f t="shared" si="422"/>
        <v>02-K01-02</v>
      </c>
      <c r="H9751">
        <v>0.77749999999999997</v>
      </c>
      <c r="I9751" t="s">
        <v>6696</v>
      </c>
      <c r="J9751" t="s">
        <v>14</v>
      </c>
      <c r="K9751" t="str">
        <f>"1F9"</f>
        <v>1F9</v>
      </c>
      <c r="L9751" t="s">
        <v>15</v>
      </c>
    </row>
    <row r="9752" spans="1:12" x14ac:dyDescent="0.25">
      <c r="A9752" t="str">
        <f t="shared" si="421"/>
        <v>7257195781</v>
      </c>
      <c r="B9752" t="str">
        <f t="shared" si="420"/>
        <v>89301000</v>
      </c>
      <c r="C9752" s="1">
        <v>44329</v>
      </c>
      <c r="D9752" s="1">
        <v>44330</v>
      </c>
      <c r="E9752">
        <v>1</v>
      </c>
      <c r="F9752" t="s">
        <v>6693</v>
      </c>
      <c r="G9752" t="str">
        <f t="shared" si="422"/>
        <v>02-K01-02</v>
      </c>
      <c r="H9752">
        <v>0.77749999999999997</v>
      </c>
      <c r="I9752" t="s">
        <v>6697</v>
      </c>
      <c r="J9752" t="s">
        <v>14</v>
      </c>
      <c r="K9752" t="str">
        <f>"1F9"</f>
        <v>1F9</v>
      </c>
      <c r="L9752" t="s">
        <v>15</v>
      </c>
    </row>
    <row r="9753" spans="1:12" x14ac:dyDescent="0.25">
      <c r="A9753" t="str">
        <f t="shared" si="421"/>
        <v>7257195781</v>
      </c>
      <c r="B9753" t="str">
        <f t="shared" si="420"/>
        <v>89301000</v>
      </c>
      <c r="C9753" s="1">
        <v>44301</v>
      </c>
      <c r="D9753" s="1">
        <v>44302</v>
      </c>
      <c r="E9753">
        <v>1</v>
      </c>
      <c r="F9753" t="s">
        <v>6693</v>
      </c>
      <c r="G9753" t="str">
        <f t="shared" si="422"/>
        <v>02-K01-02</v>
      </c>
      <c r="H9753">
        <v>0.77749999999999997</v>
      </c>
      <c r="I9753" t="s">
        <v>6696</v>
      </c>
      <c r="J9753" t="s">
        <v>14</v>
      </c>
      <c r="K9753" t="str">
        <f>"1F9"</f>
        <v>1F9</v>
      </c>
      <c r="L9753" t="s">
        <v>15</v>
      </c>
    </row>
    <row r="9754" spans="1:12" x14ac:dyDescent="0.25">
      <c r="A9754" t="str">
        <f t="shared" si="421"/>
        <v>7257195781</v>
      </c>
      <c r="B9754" t="str">
        <f t="shared" si="420"/>
        <v>89301000</v>
      </c>
      <c r="C9754" s="1">
        <v>44273</v>
      </c>
      <c r="D9754" s="1">
        <v>44274</v>
      </c>
      <c r="E9754">
        <v>1</v>
      </c>
      <c r="F9754" t="s">
        <v>4421</v>
      </c>
      <c r="G9754" t="str">
        <f t="shared" si="422"/>
        <v>02-K01-02</v>
      </c>
      <c r="H9754">
        <v>0.77749999999999997</v>
      </c>
      <c r="I9754" t="s">
        <v>6698</v>
      </c>
      <c r="J9754" t="s">
        <v>14</v>
      </c>
      <c r="K9754" t="str">
        <f>"1F1"</f>
        <v>1F1</v>
      </c>
      <c r="L9754" t="s">
        <v>15</v>
      </c>
    </row>
    <row r="9755" spans="1:12" x14ac:dyDescent="0.25">
      <c r="A9755" t="str">
        <f>"7257245314"</f>
        <v>7257245314</v>
      </c>
      <c r="B9755" t="str">
        <f t="shared" si="420"/>
        <v>89301000</v>
      </c>
      <c r="C9755" s="1">
        <v>44185</v>
      </c>
      <c r="D9755" s="1">
        <v>44203</v>
      </c>
      <c r="E9755">
        <v>1</v>
      </c>
      <c r="F9755" t="s">
        <v>231</v>
      </c>
      <c r="G9755" t="str">
        <f>"19-K04-02"</f>
        <v>19-K04-02</v>
      </c>
      <c r="H9755">
        <v>1.4597</v>
      </c>
      <c r="I9755" t="s">
        <v>6699</v>
      </c>
      <c r="J9755" t="s">
        <v>27</v>
      </c>
      <c r="K9755" t="str">
        <f>"3F5"</f>
        <v>3F5</v>
      </c>
      <c r="L9755" t="s">
        <v>15</v>
      </c>
    </row>
    <row r="9756" spans="1:12" x14ac:dyDescent="0.25">
      <c r="A9756" t="str">
        <f>"7257305341"</f>
        <v>7257305341</v>
      </c>
      <c r="B9756" t="str">
        <f t="shared" si="420"/>
        <v>89301000</v>
      </c>
      <c r="C9756" s="1">
        <v>44313</v>
      </c>
      <c r="D9756" s="1">
        <v>44314</v>
      </c>
      <c r="E9756">
        <v>1</v>
      </c>
      <c r="F9756" t="s">
        <v>41</v>
      </c>
      <c r="G9756" t="str">
        <f>"01-D01-03"</f>
        <v>01-D01-03</v>
      </c>
      <c r="H9756">
        <v>0.158</v>
      </c>
      <c r="I9756" t="s">
        <v>241</v>
      </c>
      <c r="J9756" t="s">
        <v>14</v>
      </c>
      <c r="K9756" t="str">
        <f>"2F5"</f>
        <v>2F5</v>
      </c>
      <c r="L9756" t="s">
        <v>15</v>
      </c>
    </row>
    <row r="9757" spans="1:12" x14ac:dyDescent="0.25">
      <c r="A9757" t="str">
        <f>"7258014401"</f>
        <v>7258014401</v>
      </c>
      <c r="B9757" t="str">
        <f t="shared" si="420"/>
        <v>89301000</v>
      </c>
      <c r="C9757" s="1">
        <v>44227</v>
      </c>
      <c r="D9757" s="1">
        <v>44230</v>
      </c>
      <c r="E9757">
        <v>1</v>
      </c>
      <c r="F9757" t="s">
        <v>81</v>
      </c>
      <c r="G9757" t="str">
        <f>"10-I13-02"</f>
        <v>10-I13-02</v>
      </c>
      <c r="H9757">
        <v>1.1468</v>
      </c>
      <c r="J9757" t="s">
        <v>24</v>
      </c>
      <c r="K9757" t="str">
        <f>"5F5"</f>
        <v>5F5</v>
      </c>
      <c r="L9757" t="s">
        <v>15</v>
      </c>
    </row>
    <row r="9758" spans="1:12" x14ac:dyDescent="0.25">
      <c r="A9758" t="str">
        <f>"7258055354"</f>
        <v>7258055354</v>
      </c>
      <c r="B9758" t="str">
        <f t="shared" si="420"/>
        <v>89301000</v>
      </c>
      <c r="C9758" s="1">
        <v>44265</v>
      </c>
      <c r="D9758" s="1">
        <v>44267</v>
      </c>
      <c r="E9758">
        <v>1</v>
      </c>
      <c r="F9758" t="s">
        <v>318</v>
      </c>
      <c r="G9758" t="str">
        <f>"08-I23-02"</f>
        <v>08-I23-02</v>
      </c>
      <c r="H9758">
        <v>1.1990000000000001</v>
      </c>
      <c r="I9758" t="s">
        <v>6700</v>
      </c>
      <c r="J9758" t="s">
        <v>17</v>
      </c>
      <c r="K9758" t="str">
        <f>"6F6"</f>
        <v>6F6</v>
      </c>
      <c r="L9758" t="s">
        <v>15</v>
      </c>
    </row>
    <row r="9759" spans="1:12" x14ac:dyDescent="0.25">
      <c r="A9759" t="str">
        <f>"7258105305"</f>
        <v>7258105305</v>
      </c>
      <c r="B9759" t="str">
        <f t="shared" si="420"/>
        <v>89301000</v>
      </c>
      <c r="C9759" s="1">
        <v>44451</v>
      </c>
      <c r="D9759" s="1">
        <v>44455</v>
      </c>
      <c r="E9759">
        <v>1</v>
      </c>
      <c r="F9759" t="s">
        <v>3236</v>
      </c>
      <c r="G9759" t="str">
        <f>"13-I11-03"</f>
        <v>13-I11-03</v>
      </c>
      <c r="H9759">
        <v>1.3809</v>
      </c>
      <c r="I9759" t="s">
        <v>1551</v>
      </c>
      <c r="J9759" t="s">
        <v>24</v>
      </c>
      <c r="K9759" t="str">
        <f>"6F3"</f>
        <v>6F3</v>
      </c>
      <c r="L9759" t="s">
        <v>15</v>
      </c>
    </row>
    <row r="9760" spans="1:12" x14ac:dyDescent="0.25">
      <c r="A9760" t="str">
        <f>"7258114908"</f>
        <v>7258114908</v>
      </c>
      <c r="B9760" t="str">
        <f t="shared" si="420"/>
        <v>89301000</v>
      </c>
      <c r="C9760" s="1">
        <v>44373</v>
      </c>
      <c r="D9760" s="1">
        <v>44376</v>
      </c>
      <c r="E9760">
        <v>1</v>
      </c>
      <c r="F9760" t="s">
        <v>5813</v>
      </c>
      <c r="G9760" t="str">
        <f>"01-K07-03"</f>
        <v>01-K07-03</v>
      </c>
      <c r="H9760">
        <v>0.4642</v>
      </c>
      <c r="I9760" t="s">
        <v>489</v>
      </c>
      <c r="J9760" t="s">
        <v>14</v>
      </c>
      <c r="K9760" t="str">
        <f>"2F9"</f>
        <v>2F9</v>
      </c>
      <c r="L9760" t="s">
        <v>15</v>
      </c>
    </row>
    <row r="9761" spans="1:12" x14ac:dyDescent="0.25">
      <c r="A9761" t="str">
        <f>"7258125303"</f>
        <v>7258125303</v>
      </c>
      <c r="B9761" t="str">
        <f t="shared" si="420"/>
        <v>89301000</v>
      </c>
      <c r="C9761" s="1">
        <v>44210</v>
      </c>
      <c r="D9761" s="1">
        <v>44217</v>
      </c>
      <c r="E9761">
        <v>1</v>
      </c>
      <c r="F9761" t="s">
        <v>6418</v>
      </c>
      <c r="G9761" t="str">
        <f>"13-I14-02"</f>
        <v>13-I14-02</v>
      </c>
      <c r="H9761">
        <v>1.3962000000000001</v>
      </c>
      <c r="J9761" t="s">
        <v>24</v>
      </c>
      <c r="K9761" t="str">
        <f>"6F3"</f>
        <v>6F3</v>
      </c>
      <c r="L9761" t="s">
        <v>15</v>
      </c>
    </row>
    <row r="9762" spans="1:12" x14ac:dyDescent="0.25">
      <c r="A9762" t="str">
        <f>"7258171580"</f>
        <v>7258171580</v>
      </c>
      <c r="B9762" t="str">
        <f t="shared" si="420"/>
        <v>89301000</v>
      </c>
      <c r="C9762" s="1">
        <v>44444</v>
      </c>
      <c r="D9762" s="1">
        <v>44450</v>
      </c>
      <c r="E9762">
        <v>1</v>
      </c>
      <c r="F9762" t="s">
        <v>2118</v>
      </c>
      <c r="G9762" t="str">
        <f>"08-I03-06"</f>
        <v>08-I03-06</v>
      </c>
      <c r="H9762">
        <v>3.3738000000000001</v>
      </c>
      <c r="J9762" t="s">
        <v>17</v>
      </c>
      <c r="K9762" t="str">
        <f>"5F6"</f>
        <v>5F6</v>
      </c>
      <c r="L9762" t="s">
        <v>15</v>
      </c>
    </row>
    <row r="9763" spans="1:12" x14ac:dyDescent="0.25">
      <c r="A9763" t="str">
        <f>"7258171580"</f>
        <v>7258171580</v>
      </c>
      <c r="B9763" t="str">
        <f t="shared" si="420"/>
        <v>89301000</v>
      </c>
      <c r="C9763" s="1">
        <v>44487</v>
      </c>
      <c r="D9763" s="1">
        <v>44491</v>
      </c>
      <c r="E9763">
        <v>1</v>
      </c>
      <c r="F9763" t="s">
        <v>31</v>
      </c>
      <c r="G9763" t="str">
        <f>"08-I03-06"</f>
        <v>08-I03-06</v>
      </c>
      <c r="H9763">
        <v>2.8369</v>
      </c>
      <c r="I9763" t="s">
        <v>860</v>
      </c>
      <c r="J9763" t="s">
        <v>17</v>
      </c>
      <c r="K9763" t="str">
        <f>"5F6"</f>
        <v>5F6</v>
      </c>
      <c r="L9763" t="s">
        <v>15</v>
      </c>
    </row>
    <row r="9764" spans="1:12" x14ac:dyDescent="0.25">
      <c r="A9764" t="str">
        <f>"7258215305"</f>
        <v>7258215305</v>
      </c>
      <c r="B9764" t="str">
        <f t="shared" si="420"/>
        <v>89301000</v>
      </c>
      <c r="C9764" s="1">
        <v>44354</v>
      </c>
      <c r="D9764" s="1">
        <v>44359</v>
      </c>
      <c r="E9764">
        <v>1</v>
      </c>
      <c r="F9764" t="s">
        <v>4382</v>
      </c>
      <c r="G9764" t="str">
        <f>"05-I30-01"</f>
        <v>05-I30-01</v>
      </c>
      <c r="H9764">
        <v>0.89790000000000003</v>
      </c>
      <c r="I9764" t="s">
        <v>3090</v>
      </c>
      <c r="J9764" t="s">
        <v>14</v>
      </c>
      <c r="K9764" t="str">
        <f>"5F1"</f>
        <v>5F1</v>
      </c>
      <c r="L9764" t="s">
        <v>15</v>
      </c>
    </row>
    <row r="9765" spans="1:12" x14ac:dyDescent="0.25">
      <c r="A9765" t="str">
        <f>"7258225359"</f>
        <v>7258225359</v>
      </c>
      <c r="B9765" t="str">
        <f t="shared" si="420"/>
        <v>89301000</v>
      </c>
      <c r="C9765" s="1">
        <v>44274</v>
      </c>
      <c r="D9765" s="1">
        <v>44279</v>
      </c>
      <c r="E9765">
        <v>1</v>
      </c>
      <c r="F9765" t="s">
        <v>6701</v>
      </c>
      <c r="G9765" t="str">
        <f>"08-K08-00"</f>
        <v>08-K08-00</v>
      </c>
      <c r="H9765">
        <v>0.51670000000000005</v>
      </c>
      <c r="I9765" t="s">
        <v>6702</v>
      </c>
      <c r="J9765" t="s">
        <v>14</v>
      </c>
      <c r="K9765" t="str">
        <f>"1F1"</f>
        <v>1F1</v>
      </c>
      <c r="L9765" t="s">
        <v>15</v>
      </c>
    </row>
    <row r="9766" spans="1:12" x14ac:dyDescent="0.25">
      <c r="A9766" t="str">
        <f>"7258245324"</f>
        <v>7258245324</v>
      </c>
      <c r="B9766" t="str">
        <f t="shared" ref="B9766:B9829" si="423">"89301000"</f>
        <v>89301000</v>
      </c>
      <c r="C9766" s="1">
        <v>44441</v>
      </c>
      <c r="D9766" s="1">
        <v>44445</v>
      </c>
      <c r="E9766">
        <v>1</v>
      </c>
      <c r="F9766" t="s">
        <v>2407</v>
      </c>
      <c r="G9766" t="str">
        <f>"08-I22-02"</f>
        <v>08-I22-02</v>
      </c>
      <c r="H9766">
        <v>1.1049</v>
      </c>
      <c r="J9766" t="s">
        <v>17</v>
      </c>
      <c r="K9766" t="str">
        <f>"6F6"</f>
        <v>6F6</v>
      </c>
      <c r="L9766" t="s">
        <v>15</v>
      </c>
    </row>
    <row r="9767" spans="1:12" x14ac:dyDescent="0.25">
      <c r="A9767" t="str">
        <f>"7259045585"</f>
        <v>7259045585</v>
      </c>
      <c r="B9767" t="str">
        <f t="shared" si="423"/>
        <v>89301000</v>
      </c>
      <c r="C9767" s="1">
        <v>44364</v>
      </c>
      <c r="D9767" s="1">
        <v>44365</v>
      </c>
      <c r="E9767">
        <v>1</v>
      </c>
      <c r="F9767" t="s">
        <v>1557</v>
      </c>
      <c r="G9767" t="str">
        <f>"05-D01-08"</f>
        <v>05-D01-08</v>
      </c>
      <c r="H9767">
        <v>0.4093</v>
      </c>
      <c r="J9767" t="s">
        <v>14</v>
      </c>
      <c r="K9767" t="str">
        <f>"1F1"</f>
        <v>1F1</v>
      </c>
      <c r="L9767" t="s">
        <v>15</v>
      </c>
    </row>
    <row r="9768" spans="1:12" x14ac:dyDescent="0.25">
      <c r="A9768" t="str">
        <f>"7259065308"</f>
        <v>7259065308</v>
      </c>
      <c r="B9768" t="str">
        <f t="shared" si="423"/>
        <v>89301000</v>
      </c>
      <c r="C9768" s="1">
        <v>44433</v>
      </c>
      <c r="D9768" s="1">
        <v>44436</v>
      </c>
      <c r="E9768">
        <v>1</v>
      </c>
      <c r="F9768" t="s">
        <v>1688</v>
      </c>
      <c r="G9768" t="str">
        <f>"02-I06-03"</f>
        <v>02-I06-03</v>
      </c>
      <c r="H9768">
        <v>0.63690000000000002</v>
      </c>
      <c r="I9768" t="s">
        <v>6703</v>
      </c>
      <c r="J9768" t="s">
        <v>17</v>
      </c>
      <c r="K9768" t="str">
        <f>"7F5"</f>
        <v>7F5</v>
      </c>
      <c r="L9768" t="s">
        <v>15</v>
      </c>
    </row>
    <row r="9769" spans="1:12" x14ac:dyDescent="0.25">
      <c r="A9769" t="str">
        <f>"7259075692"</f>
        <v>7259075692</v>
      </c>
      <c r="B9769" t="str">
        <f t="shared" si="423"/>
        <v>89301000</v>
      </c>
      <c r="C9769" s="1">
        <v>44537</v>
      </c>
      <c r="D9769" s="1">
        <v>44538</v>
      </c>
      <c r="E9769">
        <v>1</v>
      </c>
      <c r="F9769" t="s">
        <v>6704</v>
      </c>
      <c r="G9769" t="str">
        <f>"10-K05-02"</f>
        <v>10-K05-02</v>
      </c>
      <c r="H9769">
        <v>0.43459999999999999</v>
      </c>
      <c r="I9769" t="s">
        <v>6705</v>
      </c>
      <c r="J9769" t="s">
        <v>14</v>
      </c>
      <c r="K9769" t="str">
        <f>"1F1"</f>
        <v>1F1</v>
      </c>
      <c r="L9769" t="s">
        <v>15</v>
      </c>
    </row>
    <row r="9770" spans="1:12" x14ac:dyDescent="0.25">
      <c r="A9770" t="str">
        <f>"7259075692"</f>
        <v>7259075692</v>
      </c>
      <c r="B9770" t="str">
        <f t="shared" si="423"/>
        <v>89301000</v>
      </c>
      <c r="C9770" s="1">
        <v>44518</v>
      </c>
      <c r="D9770" s="1">
        <v>44520</v>
      </c>
      <c r="E9770">
        <v>1</v>
      </c>
      <c r="F9770" t="s">
        <v>1934</v>
      </c>
      <c r="G9770" t="str">
        <f>"23-K04-02"</f>
        <v>23-K04-02</v>
      </c>
      <c r="H9770">
        <v>0.4204</v>
      </c>
      <c r="I9770" t="s">
        <v>6706</v>
      </c>
      <c r="J9770" t="s">
        <v>14</v>
      </c>
      <c r="K9770" t="str">
        <f>"1F1"</f>
        <v>1F1</v>
      </c>
      <c r="L9770" t="s">
        <v>15</v>
      </c>
    </row>
    <row r="9771" spans="1:12" x14ac:dyDescent="0.25">
      <c r="A9771" t="str">
        <f>"7259075692"</f>
        <v>7259075692</v>
      </c>
      <c r="B9771" t="str">
        <f t="shared" si="423"/>
        <v>89301000</v>
      </c>
      <c r="C9771" s="1">
        <v>44432</v>
      </c>
      <c r="D9771" s="1">
        <v>44434</v>
      </c>
      <c r="E9771">
        <v>1</v>
      </c>
      <c r="F9771" t="s">
        <v>6707</v>
      </c>
      <c r="G9771" t="str">
        <f>"21-K04-00"</f>
        <v>21-K04-00</v>
      </c>
      <c r="H9771">
        <v>0.22789999999999999</v>
      </c>
      <c r="I9771" t="s">
        <v>6708</v>
      </c>
      <c r="J9771" t="s">
        <v>14</v>
      </c>
      <c r="K9771" t="str">
        <f>"2F5"</f>
        <v>2F5</v>
      </c>
      <c r="L9771" t="s">
        <v>15</v>
      </c>
    </row>
    <row r="9772" spans="1:12" x14ac:dyDescent="0.25">
      <c r="A9772" t="str">
        <f>"7259105304"</f>
        <v>7259105304</v>
      </c>
      <c r="B9772" t="str">
        <f t="shared" si="423"/>
        <v>89301000</v>
      </c>
      <c r="C9772" s="1">
        <v>44242</v>
      </c>
      <c r="D9772" s="1">
        <v>44246</v>
      </c>
      <c r="E9772">
        <v>1</v>
      </c>
      <c r="F9772" t="s">
        <v>2139</v>
      </c>
      <c r="G9772" t="str">
        <f>"05-K11-01"</f>
        <v>05-K11-01</v>
      </c>
      <c r="H9772">
        <v>0.98099999999999998</v>
      </c>
      <c r="I9772" t="s">
        <v>3452</v>
      </c>
      <c r="J9772" t="s">
        <v>14</v>
      </c>
      <c r="K9772" t="str">
        <f>"1F7"</f>
        <v>1F7</v>
      </c>
      <c r="L9772" t="s">
        <v>15</v>
      </c>
    </row>
    <row r="9773" spans="1:12" x14ac:dyDescent="0.25">
      <c r="A9773" t="str">
        <f>"7259124246"</f>
        <v>7259124246</v>
      </c>
      <c r="B9773" t="str">
        <f t="shared" si="423"/>
        <v>89301000</v>
      </c>
      <c r="C9773" s="1">
        <v>44323</v>
      </c>
      <c r="D9773" s="1">
        <v>44337</v>
      </c>
      <c r="E9773">
        <v>4</v>
      </c>
      <c r="F9773" t="s">
        <v>130</v>
      </c>
      <c r="G9773" t="str">
        <f>"19-K04-02"</f>
        <v>19-K04-02</v>
      </c>
      <c r="H9773">
        <v>1.4597</v>
      </c>
      <c r="I9773" t="s">
        <v>6709</v>
      </c>
      <c r="J9773" t="s">
        <v>27</v>
      </c>
      <c r="K9773" t="str">
        <f>"3F5"</f>
        <v>3F5</v>
      </c>
      <c r="L9773" t="s">
        <v>15</v>
      </c>
    </row>
    <row r="9774" spans="1:12" x14ac:dyDescent="0.25">
      <c r="A9774" t="str">
        <f>"7259285352"</f>
        <v>7259285352</v>
      </c>
      <c r="B9774" t="str">
        <f t="shared" si="423"/>
        <v>89301000</v>
      </c>
      <c r="C9774" s="1">
        <v>44522</v>
      </c>
      <c r="D9774" s="1">
        <v>44524</v>
      </c>
      <c r="E9774">
        <v>1</v>
      </c>
      <c r="F9774" t="s">
        <v>1116</v>
      </c>
      <c r="G9774" t="str">
        <f>"06-I16-04"</f>
        <v>06-I16-04</v>
      </c>
      <c r="H9774">
        <v>0.69540000000000002</v>
      </c>
      <c r="J9774" t="s">
        <v>24</v>
      </c>
      <c r="K9774" t="str">
        <f>"5F1"</f>
        <v>5F1</v>
      </c>
      <c r="L9774" t="s">
        <v>15</v>
      </c>
    </row>
    <row r="9775" spans="1:12" x14ac:dyDescent="0.25">
      <c r="A9775" t="str">
        <f>"7259305317"</f>
        <v>7259305317</v>
      </c>
      <c r="B9775" t="str">
        <f t="shared" si="423"/>
        <v>89301000</v>
      </c>
      <c r="C9775" s="1">
        <v>44546</v>
      </c>
      <c r="D9775" s="1">
        <v>44547</v>
      </c>
      <c r="E9775">
        <v>1</v>
      </c>
      <c r="F9775" t="s">
        <v>240</v>
      </c>
      <c r="G9775" t="str">
        <f>"03-K13-02"</f>
        <v>03-K13-02</v>
      </c>
      <c r="H9775">
        <v>0.2555</v>
      </c>
      <c r="J9775" t="s">
        <v>14</v>
      </c>
      <c r="K9775" t="str">
        <f>"2F5"</f>
        <v>2F5</v>
      </c>
      <c r="L9775" t="s">
        <v>15</v>
      </c>
    </row>
    <row r="9776" spans="1:12" x14ac:dyDescent="0.25">
      <c r="A9776" t="str">
        <f>"7260165308"</f>
        <v>7260165308</v>
      </c>
      <c r="B9776" t="str">
        <f t="shared" si="423"/>
        <v>89301000</v>
      </c>
      <c r="C9776" s="1">
        <v>44391</v>
      </c>
      <c r="D9776" s="1">
        <v>44395</v>
      </c>
      <c r="E9776">
        <v>1</v>
      </c>
      <c r="F9776" t="s">
        <v>2311</v>
      </c>
      <c r="G9776" t="str">
        <f>"08-I03-08"</f>
        <v>08-I03-08</v>
      </c>
      <c r="H9776">
        <v>2.0605000000000002</v>
      </c>
      <c r="I9776" t="s">
        <v>348</v>
      </c>
      <c r="J9776" t="s">
        <v>17</v>
      </c>
      <c r="K9776" t="str">
        <f>"5F6"</f>
        <v>5F6</v>
      </c>
      <c r="L9776" t="s">
        <v>15</v>
      </c>
    </row>
    <row r="9777" spans="1:12" x14ac:dyDescent="0.25">
      <c r="A9777" t="str">
        <f>"7260225302"</f>
        <v>7260225302</v>
      </c>
      <c r="B9777" t="str">
        <f t="shared" si="423"/>
        <v>89301000</v>
      </c>
      <c r="C9777" s="1">
        <v>44410</v>
      </c>
      <c r="D9777" s="1">
        <v>44413</v>
      </c>
      <c r="E9777">
        <v>1</v>
      </c>
      <c r="F9777" t="s">
        <v>6312</v>
      </c>
      <c r="G9777" t="str">
        <f>"13-I16-00"</f>
        <v>13-I16-00</v>
      </c>
      <c r="H9777">
        <v>1.0256000000000001</v>
      </c>
      <c r="J9777" t="s">
        <v>17</v>
      </c>
      <c r="K9777" t="str">
        <f>"6F3"</f>
        <v>6F3</v>
      </c>
      <c r="L9777" t="s">
        <v>15</v>
      </c>
    </row>
    <row r="9778" spans="1:12" x14ac:dyDescent="0.25">
      <c r="A9778" t="str">
        <f>"7260235334"</f>
        <v>7260235334</v>
      </c>
      <c r="B9778" t="str">
        <f t="shared" si="423"/>
        <v>89301000</v>
      </c>
      <c r="C9778" s="1">
        <v>44230</v>
      </c>
      <c r="D9778" s="1">
        <v>44234</v>
      </c>
      <c r="E9778">
        <v>1</v>
      </c>
      <c r="F9778" t="s">
        <v>132</v>
      </c>
      <c r="G9778" t="str">
        <f>"03-I23-00"</f>
        <v>03-I23-00</v>
      </c>
      <c r="H9778">
        <v>0.47639999999999999</v>
      </c>
      <c r="I9778" t="s">
        <v>6710</v>
      </c>
      <c r="J9778" t="s">
        <v>14</v>
      </c>
      <c r="K9778" t="str">
        <f>"6F5"</f>
        <v>6F5</v>
      </c>
      <c r="L9778" t="s">
        <v>15</v>
      </c>
    </row>
    <row r="9779" spans="1:12" x14ac:dyDescent="0.25">
      <c r="A9779" t="str">
        <f>"7261015685"</f>
        <v>7261015685</v>
      </c>
      <c r="B9779" t="str">
        <f t="shared" si="423"/>
        <v>89301000</v>
      </c>
      <c r="C9779" s="1">
        <v>44238</v>
      </c>
      <c r="D9779" s="1">
        <v>44241</v>
      </c>
      <c r="E9779">
        <v>1</v>
      </c>
      <c r="F9779" t="s">
        <v>6711</v>
      </c>
      <c r="G9779" t="str">
        <f>"08-I17-01"</f>
        <v>08-I17-01</v>
      </c>
      <c r="H9779">
        <v>1.7847999999999999</v>
      </c>
      <c r="I9779" t="s">
        <v>6712</v>
      </c>
      <c r="J9779" t="s">
        <v>14</v>
      </c>
      <c r="K9779" t="str">
        <f>"5F3"</f>
        <v>5F3</v>
      </c>
      <c r="L9779" t="s">
        <v>15</v>
      </c>
    </row>
    <row r="9780" spans="1:12" x14ac:dyDescent="0.25">
      <c r="A9780" t="str">
        <f>"7261044461"</f>
        <v>7261044461</v>
      </c>
      <c r="B9780" t="str">
        <f t="shared" si="423"/>
        <v>89301000</v>
      </c>
      <c r="C9780" s="1">
        <v>44469</v>
      </c>
      <c r="D9780" s="1">
        <v>44473</v>
      </c>
      <c r="E9780">
        <v>1</v>
      </c>
      <c r="F9780" t="s">
        <v>413</v>
      </c>
      <c r="G9780" t="str">
        <f>"09-I07-02"</f>
        <v>09-I07-02</v>
      </c>
      <c r="H9780">
        <v>1.3335999999999999</v>
      </c>
      <c r="I9780" t="s">
        <v>6713</v>
      </c>
      <c r="J9780" t="s">
        <v>24</v>
      </c>
      <c r="K9780" t="str">
        <f>"6F1"</f>
        <v>6F1</v>
      </c>
      <c r="L9780" t="s">
        <v>15</v>
      </c>
    </row>
    <row r="9781" spans="1:12" x14ac:dyDescent="0.25">
      <c r="A9781" t="str">
        <f>"7261085304"</f>
        <v>7261085304</v>
      </c>
      <c r="B9781" t="str">
        <f t="shared" si="423"/>
        <v>89301000</v>
      </c>
      <c r="C9781" s="1">
        <v>44474</v>
      </c>
      <c r="D9781" s="1">
        <v>44477</v>
      </c>
      <c r="E9781">
        <v>1</v>
      </c>
      <c r="F9781" t="s">
        <v>1927</v>
      </c>
      <c r="G9781" t="str">
        <f>"05-I29-03"</f>
        <v>05-I29-03</v>
      </c>
      <c r="H9781">
        <v>0.94369999999999998</v>
      </c>
      <c r="I9781" t="s">
        <v>6714</v>
      </c>
      <c r="J9781" t="s">
        <v>14</v>
      </c>
      <c r="K9781" t="str">
        <f>"5F1"</f>
        <v>5F1</v>
      </c>
      <c r="L9781" t="s">
        <v>15</v>
      </c>
    </row>
    <row r="9782" spans="1:12" x14ac:dyDescent="0.25">
      <c r="A9782" t="str">
        <f>"7261095336"</f>
        <v>7261095336</v>
      </c>
      <c r="B9782" t="str">
        <f t="shared" si="423"/>
        <v>89301000</v>
      </c>
      <c r="C9782" s="1">
        <v>44488</v>
      </c>
      <c r="D9782" s="1">
        <v>44493</v>
      </c>
      <c r="E9782">
        <v>1</v>
      </c>
      <c r="F9782" t="s">
        <v>6270</v>
      </c>
      <c r="G9782" t="str">
        <f>"13-I11-03"</f>
        <v>13-I11-03</v>
      </c>
      <c r="H9782">
        <v>1.3809</v>
      </c>
      <c r="J9782" t="s">
        <v>24</v>
      </c>
      <c r="K9782" t="str">
        <f>"6F3"</f>
        <v>6F3</v>
      </c>
      <c r="L9782" t="s">
        <v>15</v>
      </c>
    </row>
    <row r="9783" spans="1:12" x14ac:dyDescent="0.25">
      <c r="A9783" t="str">
        <f>"7261144462"</f>
        <v>7261144462</v>
      </c>
      <c r="B9783" t="str">
        <f t="shared" si="423"/>
        <v>89301000</v>
      </c>
      <c r="C9783" s="1">
        <v>44529</v>
      </c>
      <c r="D9783" s="1">
        <v>44535</v>
      </c>
      <c r="E9783">
        <v>1</v>
      </c>
      <c r="F9783" t="s">
        <v>2495</v>
      </c>
      <c r="G9783" t="str">
        <f>"13-I11-03"</f>
        <v>13-I11-03</v>
      </c>
      <c r="H9783">
        <v>1.3809</v>
      </c>
      <c r="J9783" t="s">
        <v>24</v>
      </c>
      <c r="K9783" t="str">
        <f>"6F3"</f>
        <v>6F3</v>
      </c>
      <c r="L9783" t="s">
        <v>15</v>
      </c>
    </row>
    <row r="9784" spans="1:12" x14ac:dyDescent="0.25">
      <c r="A9784" t="str">
        <f>"7261165318"</f>
        <v>7261165318</v>
      </c>
      <c r="B9784" t="str">
        <f t="shared" si="423"/>
        <v>89301000</v>
      </c>
      <c r="C9784" s="1">
        <v>44472</v>
      </c>
      <c r="D9784" s="1">
        <v>44476</v>
      </c>
      <c r="E9784">
        <v>1</v>
      </c>
      <c r="F9784" t="s">
        <v>6270</v>
      </c>
      <c r="G9784" t="str">
        <f>"13-I11-03"</f>
        <v>13-I11-03</v>
      </c>
      <c r="H9784">
        <v>1.3809</v>
      </c>
      <c r="I9784" t="s">
        <v>266</v>
      </c>
      <c r="J9784" t="s">
        <v>24</v>
      </c>
      <c r="K9784" t="str">
        <f>"6F3"</f>
        <v>6F3</v>
      </c>
      <c r="L9784" t="s">
        <v>15</v>
      </c>
    </row>
    <row r="9785" spans="1:12" x14ac:dyDescent="0.25">
      <c r="A9785" t="str">
        <f>"7262014496"</f>
        <v>7262014496</v>
      </c>
      <c r="B9785" t="str">
        <f t="shared" si="423"/>
        <v>89301000</v>
      </c>
      <c r="C9785" s="1">
        <v>44207</v>
      </c>
      <c r="D9785" s="1">
        <v>44228</v>
      </c>
      <c r="E9785">
        <v>1</v>
      </c>
      <c r="F9785" t="s">
        <v>5499</v>
      </c>
      <c r="G9785" t="str">
        <f>"03-I07-01"</f>
        <v>03-I07-01</v>
      </c>
      <c r="H9785">
        <v>3.8304</v>
      </c>
      <c r="I9785" t="s">
        <v>6715</v>
      </c>
      <c r="J9785" t="s">
        <v>17</v>
      </c>
      <c r="K9785" t="str">
        <f>"7F1"</f>
        <v>7F1</v>
      </c>
      <c r="L9785" t="s">
        <v>15</v>
      </c>
    </row>
    <row r="9786" spans="1:12" x14ac:dyDescent="0.25">
      <c r="A9786" t="str">
        <f>"7262154460"</f>
        <v>7262154460</v>
      </c>
      <c r="B9786" t="str">
        <f t="shared" si="423"/>
        <v>89301000</v>
      </c>
      <c r="C9786" s="1">
        <v>44326</v>
      </c>
      <c r="D9786" s="1">
        <v>44343</v>
      </c>
      <c r="E9786">
        <v>1</v>
      </c>
      <c r="F9786" t="s">
        <v>2977</v>
      </c>
      <c r="G9786" t="str">
        <f>"19-K05-02"</f>
        <v>19-K05-02</v>
      </c>
      <c r="H9786">
        <v>1.8835999999999999</v>
      </c>
      <c r="I9786" t="s">
        <v>6716</v>
      </c>
      <c r="J9786" t="s">
        <v>27</v>
      </c>
      <c r="K9786" t="str">
        <f>"3F5"</f>
        <v>3F5</v>
      </c>
      <c r="L9786" t="s">
        <v>15</v>
      </c>
    </row>
    <row r="9787" spans="1:12" x14ac:dyDescent="0.25">
      <c r="A9787" t="str">
        <f>"7262155318"</f>
        <v>7262155318</v>
      </c>
      <c r="B9787" t="str">
        <f t="shared" si="423"/>
        <v>89301000</v>
      </c>
      <c r="C9787" s="1">
        <v>44222</v>
      </c>
      <c r="D9787" s="1">
        <v>44223</v>
      </c>
      <c r="E9787">
        <v>1</v>
      </c>
      <c r="F9787" t="s">
        <v>6717</v>
      </c>
      <c r="G9787" t="str">
        <f>"08-I18-02"</f>
        <v>08-I18-02</v>
      </c>
      <c r="H9787">
        <v>0.65769999999999995</v>
      </c>
      <c r="I9787" t="s">
        <v>6718</v>
      </c>
      <c r="J9787" t="s">
        <v>17</v>
      </c>
      <c r="K9787" t="str">
        <f>"5F3"</f>
        <v>5F3</v>
      </c>
      <c r="L9787" t="s">
        <v>15</v>
      </c>
    </row>
    <row r="9788" spans="1:12" x14ac:dyDescent="0.25">
      <c r="A9788" t="str">
        <f>"7262155318"</f>
        <v>7262155318</v>
      </c>
      <c r="B9788" t="str">
        <f t="shared" si="423"/>
        <v>89301000</v>
      </c>
      <c r="C9788" s="1">
        <v>44319</v>
      </c>
      <c r="D9788" s="1">
        <v>44321</v>
      </c>
      <c r="E9788">
        <v>1</v>
      </c>
      <c r="F9788" t="s">
        <v>5727</v>
      </c>
      <c r="G9788" t="str">
        <f>"08-I26-03"</f>
        <v>08-I26-03</v>
      </c>
      <c r="H9788">
        <v>0.45679999999999998</v>
      </c>
      <c r="I9788" t="s">
        <v>6719</v>
      </c>
      <c r="J9788" t="s">
        <v>14</v>
      </c>
      <c r="K9788" t="str">
        <f>"5F3"</f>
        <v>5F3</v>
      </c>
      <c r="L9788" t="s">
        <v>15</v>
      </c>
    </row>
    <row r="9789" spans="1:12" x14ac:dyDescent="0.25">
      <c r="A9789" t="str">
        <f>"7262195710"</f>
        <v>7262195710</v>
      </c>
      <c r="B9789" t="str">
        <f t="shared" si="423"/>
        <v>89301000</v>
      </c>
      <c r="C9789" s="1">
        <v>44506</v>
      </c>
      <c r="D9789" s="1">
        <v>44512</v>
      </c>
      <c r="E9789">
        <v>1</v>
      </c>
      <c r="F9789" t="s">
        <v>208</v>
      </c>
      <c r="G9789" t="str">
        <f>"08-I03-05"</f>
        <v>08-I03-05</v>
      </c>
      <c r="H9789">
        <v>3.2995999999999999</v>
      </c>
      <c r="I9789" t="s">
        <v>381</v>
      </c>
      <c r="J9789" t="s">
        <v>17</v>
      </c>
      <c r="K9789" t="str">
        <f>"5F6"</f>
        <v>5F6</v>
      </c>
      <c r="L9789" t="s">
        <v>15</v>
      </c>
    </row>
    <row r="9790" spans="1:12" x14ac:dyDescent="0.25">
      <c r="A9790" t="str">
        <f>"7262255308"</f>
        <v>7262255308</v>
      </c>
      <c r="B9790" t="str">
        <f t="shared" si="423"/>
        <v>89301000</v>
      </c>
      <c r="C9790" s="1">
        <v>44513</v>
      </c>
      <c r="D9790" s="1">
        <v>44516</v>
      </c>
      <c r="E9790">
        <v>1</v>
      </c>
      <c r="F9790" t="s">
        <v>217</v>
      </c>
      <c r="G9790" t="str">
        <f>"04-K02-04"</f>
        <v>04-K02-04</v>
      </c>
      <c r="H9790">
        <v>0.82469999999999999</v>
      </c>
      <c r="I9790" t="s">
        <v>274</v>
      </c>
      <c r="J9790" t="s">
        <v>14</v>
      </c>
      <c r="K9790" t="str">
        <f>"1F1"</f>
        <v>1F1</v>
      </c>
      <c r="L9790" t="s">
        <v>15</v>
      </c>
    </row>
    <row r="9791" spans="1:12" x14ac:dyDescent="0.25">
      <c r="A9791" t="str">
        <f>"7262315753"</f>
        <v>7262315753</v>
      </c>
      <c r="B9791" t="str">
        <f t="shared" si="423"/>
        <v>89301000</v>
      </c>
      <c r="C9791" s="1">
        <v>44312</v>
      </c>
      <c r="D9791" s="1">
        <v>44319</v>
      </c>
      <c r="E9791">
        <v>1</v>
      </c>
      <c r="F9791" t="s">
        <v>6436</v>
      </c>
      <c r="G9791" t="str">
        <f>"01-I06-05"</f>
        <v>01-I06-05</v>
      </c>
      <c r="H9791">
        <v>2.6736</v>
      </c>
      <c r="J9791" t="s">
        <v>17</v>
      </c>
      <c r="K9791" t="str">
        <f>"5F6"</f>
        <v>5F6</v>
      </c>
      <c r="L9791" t="s">
        <v>15</v>
      </c>
    </row>
    <row r="9792" spans="1:12" x14ac:dyDescent="0.25">
      <c r="A9792" t="str">
        <f>"7301255687"</f>
        <v>7301255687</v>
      </c>
      <c r="B9792" t="str">
        <f t="shared" si="423"/>
        <v>89301000</v>
      </c>
      <c r="C9792" s="1">
        <v>44438</v>
      </c>
      <c r="D9792" s="1">
        <v>44439</v>
      </c>
      <c r="E9792">
        <v>1</v>
      </c>
      <c r="F9792" t="s">
        <v>2032</v>
      </c>
      <c r="G9792" t="str">
        <f>"05-D01-08"</f>
        <v>05-D01-08</v>
      </c>
      <c r="H9792">
        <v>0.4093</v>
      </c>
      <c r="I9792" t="s">
        <v>1959</v>
      </c>
      <c r="J9792" t="s">
        <v>14</v>
      </c>
      <c r="K9792" t="str">
        <f>"1F7"</f>
        <v>1F7</v>
      </c>
      <c r="L9792" t="s">
        <v>15</v>
      </c>
    </row>
    <row r="9793" spans="1:12" x14ac:dyDescent="0.25">
      <c r="A9793" t="str">
        <f>"7301255687"</f>
        <v>7301255687</v>
      </c>
      <c r="B9793" t="str">
        <f t="shared" si="423"/>
        <v>89301000</v>
      </c>
      <c r="C9793" s="1">
        <v>44481</v>
      </c>
      <c r="D9793" s="1">
        <v>44489</v>
      </c>
      <c r="E9793">
        <v>1</v>
      </c>
      <c r="F9793" t="s">
        <v>1557</v>
      </c>
      <c r="G9793" t="str">
        <f>"05-I16-02"</f>
        <v>05-I16-02</v>
      </c>
      <c r="H9793">
        <v>9.157</v>
      </c>
      <c r="J9793" t="s">
        <v>17</v>
      </c>
      <c r="K9793" t="str">
        <f>"5F5"</f>
        <v>5F5</v>
      </c>
      <c r="L9793" t="s">
        <v>15</v>
      </c>
    </row>
    <row r="9794" spans="1:12" x14ac:dyDescent="0.25">
      <c r="A9794" t="str">
        <f>"7301274871"</f>
        <v>7301274871</v>
      </c>
      <c r="B9794" t="str">
        <f t="shared" si="423"/>
        <v>89301000</v>
      </c>
      <c r="C9794" s="1">
        <v>44431</v>
      </c>
      <c r="D9794" s="1">
        <v>44438</v>
      </c>
      <c r="E9794">
        <v>1</v>
      </c>
      <c r="F9794" t="s">
        <v>2068</v>
      </c>
      <c r="G9794" t="str">
        <f>"02-I06-02"</f>
        <v>02-I06-02</v>
      </c>
      <c r="H9794">
        <v>1.0235000000000001</v>
      </c>
      <c r="I9794" t="s">
        <v>6720</v>
      </c>
      <c r="J9794" t="s">
        <v>17</v>
      </c>
      <c r="K9794" t="str">
        <f>"7F5"</f>
        <v>7F5</v>
      </c>
      <c r="L9794" t="s">
        <v>15</v>
      </c>
    </row>
    <row r="9795" spans="1:12" x14ac:dyDescent="0.25">
      <c r="A9795" t="str">
        <f>"7301274871"</f>
        <v>7301274871</v>
      </c>
      <c r="B9795" t="str">
        <f t="shared" si="423"/>
        <v>89301000</v>
      </c>
      <c r="C9795" s="1">
        <v>44377</v>
      </c>
      <c r="D9795" s="1">
        <v>44383</v>
      </c>
      <c r="E9795">
        <v>1</v>
      </c>
      <c r="F9795" t="s">
        <v>6721</v>
      </c>
      <c r="G9795" t="str">
        <f>"02-K09-00"</f>
        <v>02-K09-00</v>
      </c>
      <c r="H9795">
        <v>0.40720000000000001</v>
      </c>
      <c r="I9795" t="s">
        <v>6722</v>
      </c>
      <c r="J9795" t="s">
        <v>14</v>
      </c>
      <c r="K9795" t="str">
        <f>"7F5"</f>
        <v>7F5</v>
      </c>
      <c r="L9795" t="s">
        <v>15</v>
      </c>
    </row>
    <row r="9796" spans="1:12" x14ac:dyDescent="0.25">
      <c r="A9796" t="str">
        <f>"7302045773"</f>
        <v>7302045773</v>
      </c>
      <c r="B9796" t="str">
        <f t="shared" si="423"/>
        <v>89301000</v>
      </c>
      <c r="C9796" s="1">
        <v>44510</v>
      </c>
      <c r="D9796" s="1">
        <v>44511</v>
      </c>
      <c r="E9796">
        <v>1</v>
      </c>
      <c r="F9796" t="s">
        <v>41</v>
      </c>
      <c r="G9796" t="str">
        <f>"01-D01-03"</f>
        <v>01-D01-03</v>
      </c>
      <c r="H9796">
        <v>0.158</v>
      </c>
      <c r="I9796" t="s">
        <v>3230</v>
      </c>
      <c r="J9796" t="s">
        <v>14</v>
      </c>
      <c r="K9796" t="str">
        <f>"2F5"</f>
        <v>2F5</v>
      </c>
      <c r="L9796" t="s">
        <v>15</v>
      </c>
    </row>
    <row r="9797" spans="1:12" x14ac:dyDescent="0.25">
      <c r="A9797" t="str">
        <f>"7302145356"</f>
        <v>7302145356</v>
      </c>
      <c r="B9797" t="str">
        <f t="shared" si="423"/>
        <v>89301000</v>
      </c>
      <c r="C9797" s="1">
        <v>44487</v>
      </c>
      <c r="D9797" s="1">
        <v>44494</v>
      </c>
      <c r="E9797">
        <v>1</v>
      </c>
      <c r="F9797" t="s">
        <v>109</v>
      </c>
      <c r="G9797" t="str">
        <f>"24-M06-02"</f>
        <v>24-M06-02</v>
      </c>
      <c r="H9797">
        <v>1.0233000000000001</v>
      </c>
      <c r="I9797" t="s">
        <v>2447</v>
      </c>
      <c r="J9797" t="s">
        <v>14</v>
      </c>
      <c r="K9797" t="str">
        <f>"2F1"</f>
        <v>2F1</v>
      </c>
      <c r="L9797" t="s">
        <v>15</v>
      </c>
    </row>
    <row r="9798" spans="1:12" x14ac:dyDescent="0.25">
      <c r="A9798" t="str">
        <f>"7302145356"</f>
        <v>7302145356</v>
      </c>
      <c r="B9798" t="str">
        <f t="shared" si="423"/>
        <v>89301000</v>
      </c>
      <c r="C9798" s="1">
        <v>44461</v>
      </c>
      <c r="D9798" s="1">
        <v>44475</v>
      </c>
      <c r="E9798">
        <v>4</v>
      </c>
      <c r="F9798" t="s">
        <v>1968</v>
      </c>
      <c r="G9798" t="str">
        <f>"08-I05-04"</f>
        <v>08-I05-04</v>
      </c>
      <c r="H9798">
        <v>2.5499000000000001</v>
      </c>
      <c r="J9798" t="s">
        <v>17</v>
      </c>
      <c r="K9798" t="str">
        <f>"6F6"</f>
        <v>6F6</v>
      </c>
      <c r="L9798" t="s">
        <v>15</v>
      </c>
    </row>
    <row r="9799" spans="1:12" x14ac:dyDescent="0.25">
      <c r="A9799" t="str">
        <f>"7302225799"</f>
        <v>7302225799</v>
      </c>
      <c r="B9799" t="str">
        <f t="shared" si="423"/>
        <v>89301000</v>
      </c>
      <c r="C9799" s="1">
        <v>44362</v>
      </c>
      <c r="D9799" s="1">
        <v>44364</v>
      </c>
      <c r="E9799">
        <v>1</v>
      </c>
      <c r="F9799" t="s">
        <v>1875</v>
      </c>
      <c r="G9799" t="str">
        <f>"05-M05-02"</f>
        <v>05-M05-02</v>
      </c>
      <c r="H9799">
        <v>3.516</v>
      </c>
      <c r="I9799" t="s">
        <v>1545</v>
      </c>
      <c r="J9799" t="s">
        <v>24</v>
      </c>
      <c r="K9799" t="str">
        <f>"1F1"</f>
        <v>1F1</v>
      </c>
      <c r="L9799" t="s">
        <v>15</v>
      </c>
    </row>
    <row r="9800" spans="1:12" x14ac:dyDescent="0.25">
      <c r="A9800" t="str">
        <f>"7302235776"</f>
        <v>7302235776</v>
      </c>
      <c r="B9800" t="str">
        <f t="shared" si="423"/>
        <v>89301000</v>
      </c>
      <c r="C9800" s="1">
        <v>44243</v>
      </c>
      <c r="D9800" s="1">
        <v>44243</v>
      </c>
      <c r="E9800">
        <v>1</v>
      </c>
      <c r="F9800" t="s">
        <v>632</v>
      </c>
      <c r="G9800" t="str">
        <f>"06-K09-02"</f>
        <v>06-K09-02</v>
      </c>
      <c r="H9800">
        <v>0.17979999999999999</v>
      </c>
      <c r="I9800" t="s">
        <v>489</v>
      </c>
      <c r="J9800" t="s">
        <v>14</v>
      </c>
      <c r="K9800" t="str">
        <f>"5F1"</f>
        <v>5F1</v>
      </c>
      <c r="L9800" t="s">
        <v>15</v>
      </c>
    </row>
    <row r="9801" spans="1:12" x14ac:dyDescent="0.25">
      <c r="A9801" t="str">
        <f>"7302265344"</f>
        <v>7302265344</v>
      </c>
      <c r="B9801" t="str">
        <f t="shared" si="423"/>
        <v>89301000</v>
      </c>
      <c r="C9801" s="1">
        <v>44323</v>
      </c>
      <c r="D9801" s="1">
        <v>44326</v>
      </c>
      <c r="E9801">
        <v>1</v>
      </c>
      <c r="F9801" t="s">
        <v>41</v>
      </c>
      <c r="G9801" t="str">
        <f>"01-D01-03"</f>
        <v>01-D01-03</v>
      </c>
      <c r="H9801">
        <v>0.2054</v>
      </c>
      <c r="I9801" t="s">
        <v>1959</v>
      </c>
      <c r="J9801" t="s">
        <v>14</v>
      </c>
      <c r="K9801" t="str">
        <f>"2F5"</f>
        <v>2F5</v>
      </c>
      <c r="L9801" t="s">
        <v>15</v>
      </c>
    </row>
    <row r="9802" spans="1:12" x14ac:dyDescent="0.25">
      <c r="A9802" t="str">
        <f>"7302284473"</f>
        <v>7302284473</v>
      </c>
      <c r="B9802" t="str">
        <f t="shared" si="423"/>
        <v>89301000</v>
      </c>
      <c r="C9802" s="1">
        <v>44249</v>
      </c>
      <c r="D9802" s="1">
        <v>44252</v>
      </c>
      <c r="E9802">
        <v>1</v>
      </c>
      <c r="F9802" t="s">
        <v>41</v>
      </c>
      <c r="G9802" t="str">
        <f>"01-D01-03"</f>
        <v>01-D01-03</v>
      </c>
      <c r="H9802">
        <v>0.2054</v>
      </c>
      <c r="I9802" t="s">
        <v>6723</v>
      </c>
      <c r="J9802" t="s">
        <v>14</v>
      </c>
      <c r="K9802" t="str">
        <f>"2F5"</f>
        <v>2F5</v>
      </c>
      <c r="L9802" t="s">
        <v>15</v>
      </c>
    </row>
    <row r="9803" spans="1:12" x14ac:dyDescent="0.25">
      <c r="A9803" t="str">
        <f>"7303055320"</f>
        <v>7303055320</v>
      </c>
      <c r="B9803" t="str">
        <f t="shared" si="423"/>
        <v>89301000</v>
      </c>
      <c r="C9803" s="1">
        <v>44460</v>
      </c>
      <c r="D9803" s="1">
        <v>44462</v>
      </c>
      <c r="E9803">
        <v>1</v>
      </c>
      <c r="F9803" t="s">
        <v>1716</v>
      </c>
      <c r="G9803" t="str">
        <f>"11-M05-02"</f>
        <v>11-M05-02</v>
      </c>
      <c r="H9803">
        <v>0.65690000000000004</v>
      </c>
      <c r="J9803" t="s">
        <v>17</v>
      </c>
      <c r="K9803" t="str">
        <f>"7F6"</f>
        <v>7F6</v>
      </c>
      <c r="L9803" t="s">
        <v>15</v>
      </c>
    </row>
    <row r="9804" spans="1:12" x14ac:dyDescent="0.25">
      <c r="A9804" t="str">
        <f>"7303084954"</f>
        <v>7303084954</v>
      </c>
      <c r="B9804" t="str">
        <f t="shared" si="423"/>
        <v>89301000</v>
      </c>
      <c r="C9804" s="1">
        <v>44224</v>
      </c>
      <c r="D9804" s="1">
        <v>44229</v>
      </c>
      <c r="E9804">
        <v>1</v>
      </c>
      <c r="F9804" t="s">
        <v>2232</v>
      </c>
      <c r="G9804" t="str">
        <f>"11-I07-01"</f>
        <v>11-I07-01</v>
      </c>
      <c r="H9804">
        <v>2.5975999999999999</v>
      </c>
      <c r="I9804" t="s">
        <v>168</v>
      </c>
      <c r="J9804" t="s">
        <v>14</v>
      </c>
      <c r="K9804" t="str">
        <f>"7F6"</f>
        <v>7F6</v>
      </c>
      <c r="L9804" t="s">
        <v>15</v>
      </c>
    </row>
    <row r="9805" spans="1:12" x14ac:dyDescent="0.25">
      <c r="A9805" t="str">
        <f>"7303085328"</f>
        <v>7303085328</v>
      </c>
      <c r="B9805" t="str">
        <f t="shared" si="423"/>
        <v>89301000</v>
      </c>
      <c r="C9805" s="1">
        <v>44426</v>
      </c>
      <c r="D9805" s="1">
        <v>44430</v>
      </c>
      <c r="E9805">
        <v>1</v>
      </c>
      <c r="F9805" t="s">
        <v>3273</v>
      </c>
      <c r="G9805" t="str">
        <f>"10-K04-04"</f>
        <v>10-K04-04</v>
      </c>
      <c r="H9805">
        <v>0.56330000000000002</v>
      </c>
      <c r="I9805" t="s">
        <v>6724</v>
      </c>
      <c r="J9805" t="s">
        <v>14</v>
      </c>
      <c r="K9805" t="str">
        <f>"1F1"</f>
        <v>1F1</v>
      </c>
      <c r="L9805" t="s">
        <v>15</v>
      </c>
    </row>
    <row r="9806" spans="1:12" x14ac:dyDescent="0.25">
      <c r="A9806" t="str">
        <f>"7303085328"</f>
        <v>7303085328</v>
      </c>
      <c r="B9806" t="str">
        <f t="shared" si="423"/>
        <v>89301000</v>
      </c>
      <c r="C9806" s="1">
        <v>44228</v>
      </c>
      <c r="D9806" s="1">
        <v>44232</v>
      </c>
      <c r="E9806">
        <v>1</v>
      </c>
      <c r="F9806" t="s">
        <v>351</v>
      </c>
      <c r="G9806" t="str">
        <f>"10-K04-04"</f>
        <v>10-K04-04</v>
      </c>
      <c r="H9806">
        <v>0.56330000000000002</v>
      </c>
      <c r="I9806" t="s">
        <v>489</v>
      </c>
      <c r="J9806" t="s">
        <v>14</v>
      </c>
      <c r="K9806" t="str">
        <f>"1F1"</f>
        <v>1F1</v>
      </c>
      <c r="L9806" t="s">
        <v>15</v>
      </c>
    </row>
    <row r="9807" spans="1:12" x14ac:dyDescent="0.25">
      <c r="A9807" t="str">
        <f>"7303145377"</f>
        <v>7303145377</v>
      </c>
      <c r="B9807" t="str">
        <f t="shared" si="423"/>
        <v>89301000</v>
      </c>
      <c r="C9807" s="1">
        <v>44460</v>
      </c>
      <c r="D9807" s="1">
        <v>44462</v>
      </c>
      <c r="E9807">
        <v>1</v>
      </c>
      <c r="F9807" t="s">
        <v>71</v>
      </c>
      <c r="G9807" t="str">
        <f>"08-M03-06"</f>
        <v>08-M03-06</v>
      </c>
      <c r="H9807">
        <v>0.41899999999999998</v>
      </c>
      <c r="I9807" t="s">
        <v>6725</v>
      </c>
      <c r="J9807" t="s">
        <v>14</v>
      </c>
      <c r="K9807" t="str">
        <f>"6F6"</f>
        <v>6F6</v>
      </c>
      <c r="L9807" t="s">
        <v>15</v>
      </c>
    </row>
    <row r="9808" spans="1:12" x14ac:dyDescent="0.25">
      <c r="A9808" t="str">
        <f>"7303163516"</f>
        <v>7303163516</v>
      </c>
      <c r="B9808" t="str">
        <f t="shared" si="423"/>
        <v>89301000</v>
      </c>
      <c r="C9808" s="1">
        <v>44482</v>
      </c>
      <c r="D9808" s="1">
        <v>44487</v>
      </c>
      <c r="E9808">
        <v>1</v>
      </c>
      <c r="F9808" t="s">
        <v>2185</v>
      </c>
      <c r="G9808" t="str">
        <f>"07-M02-03"</f>
        <v>07-M02-03</v>
      </c>
      <c r="H9808">
        <v>1.4836</v>
      </c>
      <c r="I9808" t="s">
        <v>6726</v>
      </c>
      <c r="J9808" t="s">
        <v>17</v>
      </c>
      <c r="K9808" t="str">
        <f>"4F2"</f>
        <v>4F2</v>
      </c>
      <c r="L9808" t="s">
        <v>15</v>
      </c>
    </row>
    <row r="9809" spans="1:12" x14ac:dyDescent="0.25">
      <c r="A9809" t="str">
        <f>"7303235302"</f>
        <v>7303235302</v>
      </c>
      <c r="B9809" t="str">
        <f t="shared" si="423"/>
        <v>89301000</v>
      </c>
      <c r="C9809" s="1">
        <v>44299</v>
      </c>
      <c r="D9809" s="1">
        <v>44301</v>
      </c>
      <c r="E9809">
        <v>1</v>
      </c>
      <c r="F9809" t="s">
        <v>2068</v>
      </c>
      <c r="G9809" t="str">
        <f>"02-I06-02"</f>
        <v>02-I06-02</v>
      </c>
      <c r="H9809">
        <v>0.90300000000000002</v>
      </c>
      <c r="I9809" t="s">
        <v>168</v>
      </c>
      <c r="J9809" t="s">
        <v>17</v>
      </c>
      <c r="K9809" t="str">
        <f>"7F5"</f>
        <v>7F5</v>
      </c>
      <c r="L9809" t="s">
        <v>15</v>
      </c>
    </row>
    <row r="9810" spans="1:12" x14ac:dyDescent="0.25">
      <c r="A9810" t="str">
        <f>"7303285319"</f>
        <v>7303285319</v>
      </c>
      <c r="B9810" t="str">
        <f t="shared" si="423"/>
        <v>89301000</v>
      </c>
      <c r="C9810" s="1">
        <v>44510</v>
      </c>
      <c r="D9810" s="1">
        <v>44514</v>
      </c>
      <c r="E9810">
        <v>1</v>
      </c>
      <c r="F9810" t="s">
        <v>2311</v>
      </c>
      <c r="G9810" t="str">
        <f>"08-I03-08"</f>
        <v>08-I03-08</v>
      </c>
      <c r="H9810">
        <v>2.0605000000000002</v>
      </c>
      <c r="J9810" t="s">
        <v>17</v>
      </c>
      <c r="K9810" t="str">
        <f>"5F6"</f>
        <v>5F6</v>
      </c>
      <c r="L9810" t="s">
        <v>15</v>
      </c>
    </row>
    <row r="9811" spans="1:12" x14ac:dyDescent="0.25">
      <c r="A9811" t="str">
        <f>"7304025311"</f>
        <v>7304025311</v>
      </c>
      <c r="B9811" t="str">
        <f t="shared" si="423"/>
        <v>89301000</v>
      </c>
      <c r="C9811" s="1">
        <v>44552</v>
      </c>
      <c r="D9811" s="1">
        <v>44552</v>
      </c>
      <c r="E9811">
        <v>1</v>
      </c>
      <c r="F9811" t="s">
        <v>1557</v>
      </c>
      <c r="G9811" t="str">
        <f>"05-M06-08"</f>
        <v>05-M06-08</v>
      </c>
      <c r="H9811">
        <v>1.1200000000000001</v>
      </c>
      <c r="J9811" t="s">
        <v>17</v>
      </c>
      <c r="K9811" t="str">
        <f>"1F1"</f>
        <v>1F1</v>
      </c>
      <c r="L9811" t="s">
        <v>15</v>
      </c>
    </row>
    <row r="9812" spans="1:12" x14ac:dyDescent="0.25">
      <c r="A9812" t="str">
        <f>"7304055374"</f>
        <v>7304055374</v>
      </c>
      <c r="B9812" t="str">
        <f t="shared" si="423"/>
        <v>89301000</v>
      </c>
      <c r="C9812" s="1">
        <v>44543</v>
      </c>
      <c r="D9812" s="1">
        <v>44544</v>
      </c>
      <c r="E9812">
        <v>1</v>
      </c>
      <c r="F9812" t="s">
        <v>41</v>
      </c>
      <c r="G9812" t="str">
        <f>"01-D01-03"</f>
        <v>01-D01-03</v>
      </c>
      <c r="H9812">
        <v>0.158</v>
      </c>
      <c r="I9812" t="s">
        <v>302</v>
      </c>
      <c r="J9812" t="s">
        <v>14</v>
      </c>
      <c r="K9812" t="str">
        <f>"2F5"</f>
        <v>2F5</v>
      </c>
      <c r="L9812" t="s">
        <v>15</v>
      </c>
    </row>
    <row r="9813" spans="1:12" x14ac:dyDescent="0.25">
      <c r="A9813" t="str">
        <f>"7304084458"</f>
        <v>7304084458</v>
      </c>
      <c r="B9813" t="str">
        <f t="shared" si="423"/>
        <v>89301000</v>
      </c>
      <c r="C9813" s="1">
        <v>44272</v>
      </c>
      <c r="D9813" s="1">
        <v>44274</v>
      </c>
      <c r="E9813">
        <v>1</v>
      </c>
      <c r="F9813" t="s">
        <v>4094</v>
      </c>
      <c r="G9813" t="str">
        <f>"01-I13-00"</f>
        <v>01-I13-00</v>
      </c>
      <c r="H9813">
        <v>0.42880000000000001</v>
      </c>
      <c r="J9813" t="s">
        <v>14</v>
      </c>
      <c r="K9813" t="str">
        <f>"5F3"</f>
        <v>5F3</v>
      </c>
      <c r="L9813" t="s">
        <v>15</v>
      </c>
    </row>
    <row r="9814" spans="1:12" x14ac:dyDescent="0.25">
      <c r="A9814" t="str">
        <f>"7304165693"</f>
        <v>7304165693</v>
      </c>
      <c r="B9814" t="str">
        <f t="shared" si="423"/>
        <v>89301000</v>
      </c>
      <c r="C9814" s="1">
        <v>44471</v>
      </c>
      <c r="D9814" s="1">
        <v>44474</v>
      </c>
      <c r="E9814">
        <v>1</v>
      </c>
      <c r="F9814" t="s">
        <v>38</v>
      </c>
      <c r="G9814" t="str">
        <f>"05-M06-06"</f>
        <v>05-M06-06</v>
      </c>
      <c r="H9814">
        <v>1.7652000000000001</v>
      </c>
      <c r="J9814" t="s">
        <v>17</v>
      </c>
      <c r="K9814" t="str">
        <f>"1F1"</f>
        <v>1F1</v>
      </c>
      <c r="L9814" t="s">
        <v>15</v>
      </c>
    </row>
    <row r="9815" spans="1:12" x14ac:dyDescent="0.25">
      <c r="A9815" t="str">
        <f>"7304251911"</f>
        <v>7304251911</v>
      </c>
      <c r="B9815" t="str">
        <f t="shared" si="423"/>
        <v>89301000</v>
      </c>
      <c r="C9815" s="1">
        <v>44294</v>
      </c>
      <c r="D9815" s="1">
        <v>44297</v>
      </c>
      <c r="E9815">
        <v>1</v>
      </c>
      <c r="F9815" t="s">
        <v>31</v>
      </c>
      <c r="G9815" t="str">
        <f>"08-I04-03"</f>
        <v>08-I04-03</v>
      </c>
      <c r="H9815">
        <v>1.331</v>
      </c>
      <c r="I9815" t="s">
        <v>6727</v>
      </c>
      <c r="J9815" t="s">
        <v>17</v>
      </c>
      <c r="K9815" t="str">
        <f>"5F6"</f>
        <v>5F6</v>
      </c>
      <c r="L9815" t="s">
        <v>15</v>
      </c>
    </row>
    <row r="9816" spans="1:12" x14ac:dyDescent="0.25">
      <c r="A9816" t="str">
        <f>"7305044197"</f>
        <v>7305044197</v>
      </c>
      <c r="B9816" t="str">
        <f t="shared" si="423"/>
        <v>89301000</v>
      </c>
      <c r="C9816" s="1">
        <v>44502</v>
      </c>
      <c r="D9816" s="1">
        <v>44505</v>
      </c>
      <c r="E9816">
        <v>1</v>
      </c>
      <c r="F9816" t="s">
        <v>366</v>
      </c>
      <c r="G9816" t="str">
        <f>"08-I24-01"</f>
        <v>08-I24-01</v>
      </c>
      <c r="H9816">
        <v>1.0648</v>
      </c>
      <c r="J9816" t="s">
        <v>14</v>
      </c>
      <c r="K9816" t="str">
        <f>"5F3"</f>
        <v>5F3</v>
      </c>
      <c r="L9816" t="s">
        <v>15</v>
      </c>
    </row>
    <row r="9817" spans="1:12" x14ac:dyDescent="0.25">
      <c r="A9817" t="str">
        <f>"7305065240"</f>
        <v>7305065240</v>
      </c>
      <c r="B9817" t="str">
        <f t="shared" si="423"/>
        <v>89301000</v>
      </c>
      <c r="C9817" s="1">
        <v>44349</v>
      </c>
      <c r="D9817" s="1">
        <v>44352</v>
      </c>
      <c r="E9817">
        <v>1</v>
      </c>
      <c r="F9817" t="s">
        <v>2407</v>
      </c>
      <c r="G9817" t="str">
        <f>"08-I22-02"</f>
        <v>08-I22-02</v>
      </c>
      <c r="H9817">
        <v>1.1049</v>
      </c>
      <c r="I9817" t="s">
        <v>6728</v>
      </c>
      <c r="J9817" t="s">
        <v>17</v>
      </c>
      <c r="K9817" t="str">
        <f>"6F6"</f>
        <v>6F6</v>
      </c>
      <c r="L9817" t="s">
        <v>15</v>
      </c>
    </row>
    <row r="9818" spans="1:12" x14ac:dyDescent="0.25">
      <c r="A9818" t="str">
        <f>"7305195194"</f>
        <v>7305195194</v>
      </c>
      <c r="B9818" t="str">
        <f t="shared" si="423"/>
        <v>89301000</v>
      </c>
      <c r="C9818" s="1">
        <v>44232</v>
      </c>
      <c r="D9818" s="1">
        <v>44233</v>
      </c>
      <c r="E9818">
        <v>1</v>
      </c>
      <c r="F9818" t="s">
        <v>41</v>
      </c>
      <c r="G9818" t="str">
        <f>"01-D01-03"</f>
        <v>01-D01-03</v>
      </c>
      <c r="H9818">
        <v>0.158</v>
      </c>
      <c r="I9818" t="s">
        <v>1606</v>
      </c>
      <c r="J9818" t="s">
        <v>14</v>
      </c>
      <c r="K9818" t="str">
        <f>"2F5"</f>
        <v>2F5</v>
      </c>
      <c r="L9818" t="s">
        <v>15</v>
      </c>
    </row>
    <row r="9819" spans="1:12" x14ac:dyDescent="0.25">
      <c r="A9819" t="str">
        <f>"7305265693"</f>
        <v>7305265693</v>
      </c>
      <c r="B9819" t="str">
        <f t="shared" si="423"/>
        <v>89301000</v>
      </c>
      <c r="C9819" s="1">
        <v>44448</v>
      </c>
      <c r="D9819" s="1">
        <v>44453</v>
      </c>
      <c r="E9819">
        <v>1</v>
      </c>
      <c r="F9819" t="s">
        <v>260</v>
      </c>
      <c r="G9819" t="str">
        <f>"03-I16-01"</f>
        <v>03-I16-01</v>
      </c>
      <c r="H9819">
        <v>1.4655</v>
      </c>
      <c r="I9819" t="s">
        <v>6729</v>
      </c>
      <c r="J9819" t="s">
        <v>24</v>
      </c>
      <c r="K9819" t="str">
        <f>"7F1"</f>
        <v>7F1</v>
      </c>
      <c r="L9819" t="s">
        <v>15</v>
      </c>
    </row>
    <row r="9820" spans="1:12" x14ac:dyDescent="0.25">
      <c r="A9820" t="str">
        <f>"7306044405"</f>
        <v>7306044405</v>
      </c>
      <c r="B9820" t="str">
        <f t="shared" si="423"/>
        <v>89301000</v>
      </c>
      <c r="C9820" s="1">
        <v>44499</v>
      </c>
      <c r="D9820" s="1">
        <v>44502</v>
      </c>
      <c r="E9820">
        <v>1</v>
      </c>
      <c r="F9820" t="s">
        <v>1683</v>
      </c>
      <c r="G9820" t="str">
        <f>"05-M06-06"</f>
        <v>05-M06-06</v>
      </c>
      <c r="H9820">
        <v>1.7652000000000001</v>
      </c>
      <c r="J9820" t="s">
        <v>17</v>
      </c>
      <c r="K9820" t="str">
        <f>"1T1"</f>
        <v>1T1</v>
      </c>
      <c r="L9820" t="s">
        <v>15</v>
      </c>
    </row>
    <row r="9821" spans="1:12" x14ac:dyDescent="0.25">
      <c r="A9821" t="str">
        <f>"7306089989"</f>
        <v>7306089989</v>
      </c>
      <c r="B9821" t="str">
        <f t="shared" si="423"/>
        <v>89301000</v>
      </c>
      <c r="C9821" s="1">
        <v>44397</v>
      </c>
      <c r="D9821" s="1">
        <v>44398</v>
      </c>
      <c r="E9821">
        <v>1</v>
      </c>
      <c r="F9821" t="s">
        <v>2553</v>
      </c>
      <c r="G9821" t="str">
        <f>"17-K08-00"</f>
        <v>17-K08-00</v>
      </c>
      <c r="H9821">
        <v>0.61829999999999996</v>
      </c>
      <c r="I9821" t="s">
        <v>145</v>
      </c>
      <c r="J9821" t="s">
        <v>14</v>
      </c>
      <c r="K9821" t="str">
        <f>"4F2"</f>
        <v>4F2</v>
      </c>
      <c r="L9821" t="s">
        <v>15</v>
      </c>
    </row>
    <row r="9822" spans="1:12" x14ac:dyDescent="0.25">
      <c r="A9822" t="str">
        <f>"7306089989"</f>
        <v>7306089989</v>
      </c>
      <c r="B9822" t="str">
        <f t="shared" si="423"/>
        <v>89301000</v>
      </c>
      <c r="C9822" s="1">
        <v>44412</v>
      </c>
      <c r="D9822" s="1">
        <v>44415</v>
      </c>
      <c r="E9822">
        <v>1</v>
      </c>
      <c r="F9822" t="s">
        <v>6730</v>
      </c>
      <c r="G9822" t="str">
        <f>"17-K10-02"</f>
        <v>17-K10-02</v>
      </c>
      <c r="H9822">
        <v>0.65480000000000005</v>
      </c>
      <c r="J9822" t="s">
        <v>14</v>
      </c>
      <c r="K9822" t="str">
        <f>"5F1"</f>
        <v>5F1</v>
      </c>
      <c r="L9822" t="s">
        <v>15</v>
      </c>
    </row>
    <row r="9823" spans="1:12" x14ac:dyDescent="0.25">
      <c r="A9823" t="str">
        <f>"7306155329"</f>
        <v>7306155329</v>
      </c>
      <c r="B9823" t="str">
        <f t="shared" si="423"/>
        <v>89301000</v>
      </c>
      <c r="C9823" s="1">
        <v>44557</v>
      </c>
      <c r="D9823" s="1">
        <v>44559</v>
      </c>
      <c r="E9823">
        <v>1</v>
      </c>
      <c r="F9823" t="s">
        <v>31</v>
      </c>
      <c r="G9823" t="str">
        <f>"08-I04-03"</f>
        <v>08-I04-03</v>
      </c>
      <c r="H9823">
        <v>1.331</v>
      </c>
      <c r="J9823" t="s">
        <v>17</v>
      </c>
      <c r="K9823" t="str">
        <f>"5F6"</f>
        <v>5F6</v>
      </c>
      <c r="L9823" t="s">
        <v>15</v>
      </c>
    </row>
    <row r="9824" spans="1:12" x14ac:dyDescent="0.25">
      <c r="A9824" t="str">
        <f>"7307015309"</f>
        <v>7307015309</v>
      </c>
      <c r="B9824" t="str">
        <f t="shared" si="423"/>
        <v>89301000</v>
      </c>
      <c r="C9824" s="1">
        <v>44371</v>
      </c>
      <c r="D9824" s="1">
        <v>44373</v>
      </c>
      <c r="E9824">
        <v>1</v>
      </c>
      <c r="F9824" t="s">
        <v>2360</v>
      </c>
      <c r="G9824" t="str">
        <f>"06-M01-02"</f>
        <v>06-M01-02</v>
      </c>
      <c r="H9824">
        <v>1.2191000000000001</v>
      </c>
      <c r="J9824" t="s">
        <v>14</v>
      </c>
      <c r="K9824" t="str">
        <f>"1F5"</f>
        <v>1F5</v>
      </c>
      <c r="L9824" t="s">
        <v>15</v>
      </c>
    </row>
    <row r="9825" spans="1:12" x14ac:dyDescent="0.25">
      <c r="A9825" t="str">
        <f>"7307055305"</f>
        <v>7307055305</v>
      </c>
      <c r="B9825" t="str">
        <f t="shared" si="423"/>
        <v>89301000</v>
      </c>
      <c r="C9825" s="1">
        <v>44536</v>
      </c>
      <c r="D9825" s="1">
        <v>44538</v>
      </c>
      <c r="E9825">
        <v>1</v>
      </c>
      <c r="F9825" t="s">
        <v>1764</v>
      </c>
      <c r="G9825" t="str">
        <f>"01-K08-02"</f>
        <v>01-K08-02</v>
      </c>
      <c r="H9825">
        <v>0.60519999999999996</v>
      </c>
      <c r="J9825" t="s">
        <v>14</v>
      </c>
      <c r="K9825" t="str">
        <f>"2F9"</f>
        <v>2F9</v>
      </c>
      <c r="L9825" t="s">
        <v>15</v>
      </c>
    </row>
    <row r="9826" spans="1:12" x14ac:dyDescent="0.25">
      <c r="A9826" t="str">
        <f>"7307064050"</f>
        <v>7307064050</v>
      </c>
      <c r="B9826" t="str">
        <f t="shared" si="423"/>
        <v>89301000</v>
      </c>
      <c r="C9826" s="1">
        <v>44252</v>
      </c>
      <c r="D9826" s="1">
        <v>44285</v>
      </c>
      <c r="E9826">
        <v>1</v>
      </c>
      <c r="F9826" t="s">
        <v>6731</v>
      </c>
      <c r="G9826" t="str">
        <f>"16-C04-02"</f>
        <v>16-C04-02</v>
      </c>
      <c r="H9826">
        <v>7.0983999999999998</v>
      </c>
      <c r="I9826" t="s">
        <v>6732</v>
      </c>
      <c r="J9826" t="s">
        <v>14</v>
      </c>
      <c r="K9826" t="str">
        <f>"2T2"</f>
        <v>2T2</v>
      </c>
      <c r="L9826" t="s">
        <v>15</v>
      </c>
    </row>
    <row r="9827" spans="1:12" x14ac:dyDescent="0.25">
      <c r="A9827" t="str">
        <f>"7307135319"</f>
        <v>7307135319</v>
      </c>
      <c r="B9827" t="str">
        <f t="shared" si="423"/>
        <v>89301000</v>
      </c>
      <c r="C9827" s="1">
        <v>44389</v>
      </c>
      <c r="D9827" s="1">
        <v>44398</v>
      </c>
      <c r="E9827">
        <v>1</v>
      </c>
      <c r="F9827" t="s">
        <v>2757</v>
      </c>
      <c r="G9827" t="str">
        <f>"08-K02-01"</f>
        <v>08-K02-01</v>
      </c>
      <c r="H9827">
        <v>1.5983000000000001</v>
      </c>
      <c r="I9827" t="s">
        <v>6733</v>
      </c>
      <c r="J9827" t="s">
        <v>14</v>
      </c>
      <c r="K9827" t="str">
        <f>"1F9"</f>
        <v>1F9</v>
      </c>
      <c r="L9827" t="s">
        <v>15</v>
      </c>
    </row>
    <row r="9828" spans="1:12" x14ac:dyDescent="0.25">
      <c r="A9828" t="str">
        <f>"7307194477"</f>
        <v>7307194477</v>
      </c>
      <c r="B9828" t="str">
        <f t="shared" si="423"/>
        <v>89301000</v>
      </c>
      <c r="C9828" s="1">
        <v>44285</v>
      </c>
      <c r="D9828" s="1">
        <v>44288</v>
      </c>
      <c r="E9828">
        <v>1</v>
      </c>
      <c r="F9828" t="s">
        <v>613</v>
      </c>
      <c r="G9828" t="str">
        <f>"03-I14-02"</f>
        <v>03-I14-02</v>
      </c>
      <c r="H9828">
        <v>1.1086</v>
      </c>
      <c r="I9828" t="s">
        <v>168</v>
      </c>
      <c r="J9828" t="s">
        <v>14</v>
      </c>
      <c r="K9828" t="str">
        <f>"7F1"</f>
        <v>7F1</v>
      </c>
      <c r="L9828" t="s">
        <v>15</v>
      </c>
    </row>
    <row r="9829" spans="1:12" x14ac:dyDescent="0.25">
      <c r="A9829" t="str">
        <f>"7307275382"</f>
        <v>7307275382</v>
      </c>
      <c r="B9829" t="str">
        <f t="shared" si="423"/>
        <v>89301000</v>
      </c>
      <c r="C9829" s="1">
        <v>44290</v>
      </c>
      <c r="D9829" s="1">
        <v>44295</v>
      </c>
      <c r="E9829">
        <v>1</v>
      </c>
      <c r="F9829" t="s">
        <v>217</v>
      </c>
      <c r="G9829" t="str">
        <f>"04-K02-04"</f>
        <v>04-K02-04</v>
      </c>
      <c r="H9829">
        <v>0.82469999999999999</v>
      </c>
      <c r="I9829" t="s">
        <v>274</v>
      </c>
      <c r="J9829" t="s">
        <v>14</v>
      </c>
      <c r="K9829" t="str">
        <f>"1F1"</f>
        <v>1F1</v>
      </c>
      <c r="L9829" t="s">
        <v>15</v>
      </c>
    </row>
    <row r="9830" spans="1:12" x14ac:dyDescent="0.25">
      <c r="A9830" t="str">
        <f>"7307314476"</f>
        <v>7307314476</v>
      </c>
      <c r="B9830" t="str">
        <f t="shared" ref="B9830:B9892" si="424">"89301000"</f>
        <v>89301000</v>
      </c>
      <c r="C9830" s="1">
        <v>44559</v>
      </c>
      <c r="D9830" s="1">
        <v>44561</v>
      </c>
      <c r="E9830">
        <v>1</v>
      </c>
      <c r="F9830" t="s">
        <v>6734</v>
      </c>
      <c r="G9830" t="str">
        <f>"08-K08-00"</f>
        <v>08-K08-00</v>
      </c>
      <c r="H9830">
        <v>0.51670000000000005</v>
      </c>
      <c r="J9830" t="s">
        <v>14</v>
      </c>
      <c r="K9830" t="str">
        <f>"2F9"</f>
        <v>2F9</v>
      </c>
      <c r="L9830" t="s">
        <v>15</v>
      </c>
    </row>
    <row r="9831" spans="1:12" x14ac:dyDescent="0.25">
      <c r="A9831" t="str">
        <f>"7308025769"</f>
        <v>7308025769</v>
      </c>
      <c r="B9831" t="str">
        <f t="shared" si="424"/>
        <v>89301000</v>
      </c>
      <c r="C9831" s="1">
        <v>44257</v>
      </c>
      <c r="D9831" s="1">
        <v>44263</v>
      </c>
      <c r="E9831">
        <v>1</v>
      </c>
      <c r="F9831" t="s">
        <v>132</v>
      </c>
      <c r="G9831" t="str">
        <f>"03-I19-02"</f>
        <v>03-I19-02</v>
      </c>
      <c r="H9831">
        <v>0.88829999999999998</v>
      </c>
      <c r="J9831" t="s">
        <v>14</v>
      </c>
      <c r="K9831" t="str">
        <f>"6F5"</f>
        <v>6F5</v>
      </c>
      <c r="L9831" t="s">
        <v>15</v>
      </c>
    </row>
    <row r="9832" spans="1:12" x14ac:dyDescent="0.25">
      <c r="A9832" t="str">
        <f>"7308115309"</f>
        <v>7308115309</v>
      </c>
      <c r="B9832" t="str">
        <f t="shared" si="424"/>
        <v>89301000</v>
      </c>
      <c r="C9832" s="1">
        <v>44424</v>
      </c>
      <c r="D9832" s="1">
        <v>44439</v>
      </c>
      <c r="E9832">
        <v>7</v>
      </c>
      <c r="F9832" t="s">
        <v>1914</v>
      </c>
      <c r="G9832" t="str">
        <f>"04-K09-03"</f>
        <v>04-K09-03</v>
      </c>
      <c r="H9832">
        <v>0.8931</v>
      </c>
      <c r="I9832" t="s">
        <v>6735</v>
      </c>
      <c r="J9832" t="s">
        <v>14</v>
      </c>
      <c r="K9832" t="str">
        <f>"2F5"</f>
        <v>2F5</v>
      </c>
      <c r="L9832" t="s">
        <v>15</v>
      </c>
    </row>
    <row r="9833" spans="1:12" x14ac:dyDescent="0.25">
      <c r="A9833" t="str">
        <f>"7308225309"</f>
        <v>7308225309</v>
      </c>
      <c r="B9833" t="str">
        <f t="shared" si="424"/>
        <v>89301000</v>
      </c>
      <c r="C9833" s="1">
        <v>44256</v>
      </c>
      <c r="D9833" s="1">
        <v>44257</v>
      </c>
      <c r="E9833">
        <v>1</v>
      </c>
      <c r="F9833" t="s">
        <v>1565</v>
      </c>
      <c r="G9833" t="str">
        <f>"01-K13-02"</f>
        <v>01-K13-02</v>
      </c>
      <c r="H9833">
        <v>0.7954</v>
      </c>
      <c r="I9833" t="s">
        <v>6736</v>
      </c>
      <c r="J9833" t="s">
        <v>14</v>
      </c>
      <c r="K9833" t="str">
        <f>"5F6"</f>
        <v>5F6</v>
      </c>
      <c r="L9833" t="s">
        <v>15</v>
      </c>
    </row>
    <row r="9834" spans="1:12" x14ac:dyDescent="0.25">
      <c r="A9834" t="str">
        <f>"7308285325"</f>
        <v>7308285325</v>
      </c>
      <c r="B9834" t="str">
        <f t="shared" si="424"/>
        <v>89301000</v>
      </c>
      <c r="C9834" s="1">
        <v>44538</v>
      </c>
      <c r="D9834" s="1">
        <v>44539</v>
      </c>
      <c r="E9834">
        <v>1</v>
      </c>
      <c r="F9834" t="s">
        <v>41</v>
      </c>
      <c r="G9834" t="str">
        <f>"01-D01-03"</f>
        <v>01-D01-03</v>
      </c>
      <c r="H9834">
        <v>0.158</v>
      </c>
      <c r="I9834" t="s">
        <v>4487</v>
      </c>
      <c r="J9834" t="s">
        <v>14</v>
      </c>
      <c r="K9834" t="str">
        <f>"2F5"</f>
        <v>2F5</v>
      </c>
      <c r="L9834" t="s">
        <v>15</v>
      </c>
    </row>
    <row r="9835" spans="1:12" x14ac:dyDescent="0.25">
      <c r="A9835" t="str">
        <f>"7309025372"</f>
        <v>7309025372</v>
      </c>
      <c r="B9835" t="str">
        <f t="shared" si="424"/>
        <v>89301000</v>
      </c>
      <c r="C9835" s="1">
        <v>44421</v>
      </c>
      <c r="D9835" s="1">
        <v>44428</v>
      </c>
      <c r="E9835">
        <v>1</v>
      </c>
      <c r="F9835" t="s">
        <v>544</v>
      </c>
      <c r="G9835" t="str">
        <f>"09-K02-00"</f>
        <v>09-K02-00</v>
      </c>
      <c r="H9835">
        <v>1.1361000000000001</v>
      </c>
      <c r="J9835" t="s">
        <v>14</v>
      </c>
      <c r="K9835" t="str">
        <f>"4F4"</f>
        <v>4F4</v>
      </c>
      <c r="L9835" t="s">
        <v>15</v>
      </c>
    </row>
    <row r="9836" spans="1:12" x14ac:dyDescent="0.25">
      <c r="A9836" t="str">
        <f>"7309175775"</f>
        <v>7309175775</v>
      </c>
      <c r="B9836" t="str">
        <f t="shared" si="424"/>
        <v>89301000</v>
      </c>
      <c r="C9836" s="1">
        <v>44459</v>
      </c>
      <c r="D9836" s="1">
        <v>44460</v>
      </c>
      <c r="E9836">
        <v>1</v>
      </c>
      <c r="F9836" t="s">
        <v>41</v>
      </c>
      <c r="G9836" t="str">
        <f>"01-D01-03"</f>
        <v>01-D01-03</v>
      </c>
      <c r="H9836">
        <v>0.158</v>
      </c>
      <c r="I9836" t="s">
        <v>4487</v>
      </c>
      <c r="J9836" t="s">
        <v>14</v>
      </c>
      <c r="K9836" t="str">
        <f>"2F5"</f>
        <v>2F5</v>
      </c>
      <c r="L9836" t="s">
        <v>15</v>
      </c>
    </row>
    <row r="9837" spans="1:12" x14ac:dyDescent="0.25">
      <c r="A9837" t="str">
        <f>"7309215364"</f>
        <v>7309215364</v>
      </c>
      <c r="B9837" t="str">
        <f t="shared" si="424"/>
        <v>89301000</v>
      </c>
      <c r="C9837" s="1">
        <v>44375</v>
      </c>
      <c r="D9837" s="1">
        <v>44377</v>
      </c>
      <c r="E9837">
        <v>1</v>
      </c>
      <c r="F9837" t="s">
        <v>457</v>
      </c>
      <c r="G9837" t="str">
        <f>"08-I16-04"</f>
        <v>08-I16-04</v>
      </c>
      <c r="H9837">
        <v>0.92159999999999997</v>
      </c>
      <c r="I9837" t="s">
        <v>6737</v>
      </c>
      <c r="J9837" t="s">
        <v>17</v>
      </c>
      <c r="K9837" t="str">
        <f>"5F3"</f>
        <v>5F3</v>
      </c>
      <c r="L9837" t="s">
        <v>15</v>
      </c>
    </row>
    <row r="9838" spans="1:12" x14ac:dyDescent="0.25">
      <c r="A9838" t="str">
        <f>"7309215364"</f>
        <v>7309215364</v>
      </c>
      <c r="B9838" t="str">
        <f t="shared" si="424"/>
        <v>89301000</v>
      </c>
      <c r="C9838" s="1">
        <v>44438</v>
      </c>
      <c r="D9838" s="1">
        <v>44439</v>
      </c>
      <c r="E9838">
        <v>1</v>
      </c>
      <c r="F9838" t="s">
        <v>575</v>
      </c>
      <c r="G9838" t="str">
        <f>"18-K02-03"</f>
        <v>18-K02-03</v>
      </c>
      <c r="H9838">
        <v>0.59319999999999995</v>
      </c>
      <c r="I9838" t="s">
        <v>6738</v>
      </c>
      <c r="J9838" t="s">
        <v>14</v>
      </c>
      <c r="K9838" t="str">
        <f>"5F3"</f>
        <v>5F3</v>
      </c>
      <c r="L9838" t="s">
        <v>15</v>
      </c>
    </row>
    <row r="9839" spans="1:12" x14ac:dyDescent="0.25">
      <c r="A9839" t="str">
        <f>"7310045314"</f>
        <v>7310045314</v>
      </c>
      <c r="B9839" t="str">
        <f t="shared" si="424"/>
        <v>89301000</v>
      </c>
      <c r="C9839" s="1">
        <v>44356</v>
      </c>
      <c r="D9839" s="1">
        <v>44357</v>
      </c>
      <c r="E9839">
        <v>1</v>
      </c>
      <c r="F9839" t="s">
        <v>287</v>
      </c>
      <c r="G9839" t="str">
        <f>"01-K16-06"</f>
        <v>01-K16-06</v>
      </c>
      <c r="H9839">
        <v>0.26469999999999999</v>
      </c>
      <c r="I9839" t="s">
        <v>6739</v>
      </c>
      <c r="J9839" t="s">
        <v>14</v>
      </c>
      <c r="K9839" t="str">
        <f>"5F3"</f>
        <v>5F3</v>
      </c>
      <c r="L9839" t="s">
        <v>15</v>
      </c>
    </row>
    <row r="9840" spans="1:12" x14ac:dyDescent="0.25">
      <c r="A9840" t="str">
        <f>"7310045314"</f>
        <v>7310045314</v>
      </c>
      <c r="B9840" t="str">
        <f t="shared" si="424"/>
        <v>89301000</v>
      </c>
      <c r="C9840" s="1">
        <v>44543</v>
      </c>
      <c r="D9840" s="1">
        <v>44545</v>
      </c>
      <c r="E9840">
        <v>1</v>
      </c>
      <c r="F9840" t="s">
        <v>173</v>
      </c>
      <c r="G9840" t="str">
        <f>"08-I32-02"</f>
        <v>08-I32-02</v>
      </c>
      <c r="H9840">
        <v>0.4143</v>
      </c>
      <c r="J9840" t="s">
        <v>14</v>
      </c>
      <c r="K9840" t="str">
        <f>"5F3"</f>
        <v>5F3</v>
      </c>
      <c r="L9840" t="s">
        <v>15</v>
      </c>
    </row>
    <row r="9841" spans="1:12" x14ac:dyDescent="0.25">
      <c r="A9841" t="str">
        <f>"7310255337"</f>
        <v>7310255337</v>
      </c>
      <c r="B9841" t="str">
        <f t="shared" si="424"/>
        <v>89301000</v>
      </c>
      <c r="C9841" s="1">
        <v>44474</v>
      </c>
      <c r="D9841" s="1">
        <v>44476</v>
      </c>
      <c r="E9841">
        <v>1</v>
      </c>
      <c r="F9841" t="s">
        <v>130</v>
      </c>
      <c r="G9841" t="str">
        <f>"19-K01-03"</f>
        <v>19-K01-03</v>
      </c>
      <c r="H9841">
        <v>0.60250000000000004</v>
      </c>
      <c r="I9841" t="s">
        <v>6740</v>
      </c>
      <c r="J9841" t="s">
        <v>27</v>
      </c>
      <c r="K9841" t="str">
        <f>"1F1"</f>
        <v>1F1</v>
      </c>
      <c r="L9841" t="s">
        <v>15</v>
      </c>
    </row>
    <row r="9842" spans="1:12" x14ac:dyDescent="0.25">
      <c r="A9842" t="str">
        <f>"7310255337"</f>
        <v>7310255337</v>
      </c>
      <c r="B9842" t="str">
        <f t="shared" si="424"/>
        <v>89301000</v>
      </c>
      <c r="C9842" s="1">
        <v>44376</v>
      </c>
      <c r="D9842" s="1">
        <v>44377</v>
      </c>
      <c r="E9842">
        <v>1</v>
      </c>
      <c r="F9842" t="s">
        <v>2457</v>
      </c>
      <c r="G9842" t="str">
        <f>"05-D01-08"</f>
        <v>05-D01-08</v>
      </c>
      <c r="H9842">
        <v>0.4093</v>
      </c>
      <c r="I9842" t="s">
        <v>6741</v>
      </c>
      <c r="J9842" t="s">
        <v>14</v>
      </c>
      <c r="K9842" t="str">
        <f>"1F7"</f>
        <v>1F7</v>
      </c>
      <c r="L9842" t="s">
        <v>15</v>
      </c>
    </row>
    <row r="9843" spans="1:12" x14ac:dyDescent="0.25">
      <c r="A9843" t="str">
        <f>"7311045313"</f>
        <v>7311045313</v>
      </c>
      <c r="B9843" t="str">
        <f t="shared" si="424"/>
        <v>89301000</v>
      </c>
      <c r="C9843" s="1">
        <v>44271</v>
      </c>
      <c r="D9843" s="1">
        <v>44274</v>
      </c>
      <c r="E9843">
        <v>1</v>
      </c>
      <c r="F9843" t="s">
        <v>1581</v>
      </c>
      <c r="G9843" t="str">
        <f>"05-M07-06"</f>
        <v>05-M07-06</v>
      </c>
      <c r="H9843">
        <v>1.2513000000000001</v>
      </c>
      <c r="J9843" t="s">
        <v>17</v>
      </c>
      <c r="K9843" t="str">
        <f>"5F1"</f>
        <v>5F1</v>
      </c>
      <c r="L9843" t="s">
        <v>15</v>
      </c>
    </row>
    <row r="9844" spans="1:12" x14ac:dyDescent="0.25">
      <c r="A9844" t="str">
        <f>"7311075332"</f>
        <v>7311075332</v>
      </c>
      <c r="B9844" t="str">
        <f t="shared" si="424"/>
        <v>89301000</v>
      </c>
      <c r="C9844" s="1">
        <v>44339</v>
      </c>
      <c r="D9844" s="1">
        <v>44349</v>
      </c>
      <c r="E9844">
        <v>2</v>
      </c>
      <c r="F9844" t="s">
        <v>6742</v>
      </c>
      <c r="G9844" t="str">
        <f>"04-K02-03"</f>
        <v>04-K02-03</v>
      </c>
      <c r="H9844">
        <v>1.2859</v>
      </c>
      <c r="I9844" t="s">
        <v>6743</v>
      </c>
      <c r="J9844" t="s">
        <v>14</v>
      </c>
      <c r="K9844" t="str">
        <f>"2F5"</f>
        <v>2F5</v>
      </c>
      <c r="L9844" t="s">
        <v>15</v>
      </c>
    </row>
    <row r="9845" spans="1:12" x14ac:dyDescent="0.25">
      <c r="A9845" t="str">
        <f>"7311095330"</f>
        <v>7311095330</v>
      </c>
      <c r="B9845" t="str">
        <f t="shared" si="424"/>
        <v>89301000</v>
      </c>
      <c r="C9845" s="1">
        <v>44486</v>
      </c>
      <c r="D9845" s="1">
        <v>44496</v>
      </c>
      <c r="E9845">
        <v>1</v>
      </c>
      <c r="F9845" t="s">
        <v>6744</v>
      </c>
      <c r="G9845" t="str">
        <f>"06-I07-05"</f>
        <v>06-I07-05</v>
      </c>
      <c r="H9845">
        <v>2.8466999999999998</v>
      </c>
      <c r="I9845" t="s">
        <v>632</v>
      </c>
      <c r="J9845" t="s">
        <v>17</v>
      </c>
      <c r="K9845" t="str">
        <f>"5F1"</f>
        <v>5F1</v>
      </c>
      <c r="L9845" t="s">
        <v>15</v>
      </c>
    </row>
    <row r="9846" spans="1:12" x14ac:dyDescent="0.25">
      <c r="A9846" t="str">
        <f>"7311095330"</f>
        <v>7311095330</v>
      </c>
      <c r="B9846" t="str">
        <f t="shared" si="424"/>
        <v>89301000</v>
      </c>
      <c r="C9846" s="1">
        <v>44454</v>
      </c>
      <c r="D9846" s="1">
        <v>44457</v>
      </c>
      <c r="E9846">
        <v>6</v>
      </c>
      <c r="F9846" t="s">
        <v>630</v>
      </c>
      <c r="G9846" t="str">
        <f>"06-I18-03"</f>
        <v>06-I18-03</v>
      </c>
      <c r="H9846">
        <v>1.4075</v>
      </c>
      <c r="J9846" t="s">
        <v>24</v>
      </c>
      <c r="K9846" t="str">
        <f>"5F1"</f>
        <v>5F1</v>
      </c>
      <c r="L9846" t="s">
        <v>15</v>
      </c>
    </row>
    <row r="9847" spans="1:12" x14ac:dyDescent="0.25">
      <c r="A9847" t="str">
        <f>"7311115317"</f>
        <v>7311115317</v>
      </c>
      <c r="B9847" t="str">
        <f t="shared" si="424"/>
        <v>89301000</v>
      </c>
      <c r="C9847" s="1">
        <v>44414</v>
      </c>
      <c r="D9847" s="1">
        <v>44433</v>
      </c>
      <c r="E9847">
        <v>1</v>
      </c>
      <c r="F9847" t="s">
        <v>109</v>
      </c>
      <c r="G9847" t="str">
        <f>"24-M07-02"</f>
        <v>24-M07-02</v>
      </c>
      <c r="H9847">
        <v>1.5094000000000001</v>
      </c>
      <c r="I9847" t="s">
        <v>6745</v>
      </c>
      <c r="J9847" t="s">
        <v>14</v>
      </c>
      <c r="K9847" t="str">
        <f>"2F1"</f>
        <v>2F1</v>
      </c>
      <c r="L9847" t="s">
        <v>15</v>
      </c>
    </row>
    <row r="9848" spans="1:12" x14ac:dyDescent="0.25">
      <c r="A9848" t="str">
        <f>"7311115317"</f>
        <v>7311115317</v>
      </c>
      <c r="B9848" t="str">
        <f t="shared" si="424"/>
        <v>89301000</v>
      </c>
      <c r="C9848" s="1">
        <v>44402</v>
      </c>
      <c r="D9848" s="1">
        <v>44414</v>
      </c>
      <c r="E9848">
        <v>3</v>
      </c>
      <c r="F9848" t="s">
        <v>31</v>
      </c>
      <c r="G9848" t="str">
        <f>"08-I04-03"</f>
        <v>08-I04-03</v>
      </c>
      <c r="H9848">
        <v>1.4288000000000001</v>
      </c>
      <c r="I9848" t="s">
        <v>2257</v>
      </c>
      <c r="J9848" t="s">
        <v>17</v>
      </c>
      <c r="K9848" t="str">
        <f>"5F6"</f>
        <v>5F6</v>
      </c>
      <c r="L9848" t="s">
        <v>15</v>
      </c>
    </row>
    <row r="9849" spans="1:12" x14ac:dyDescent="0.25">
      <c r="A9849" t="str">
        <f>"7311165686"</f>
        <v>7311165686</v>
      </c>
      <c r="B9849" t="str">
        <f t="shared" si="424"/>
        <v>89301000</v>
      </c>
      <c r="C9849" s="1">
        <v>44354</v>
      </c>
      <c r="D9849" s="1">
        <v>44355</v>
      </c>
      <c r="E9849">
        <v>1</v>
      </c>
      <c r="F9849" t="s">
        <v>6746</v>
      </c>
      <c r="G9849" t="str">
        <f>"05-M05-03"</f>
        <v>05-M05-03</v>
      </c>
      <c r="H9849">
        <v>1.9991000000000001</v>
      </c>
      <c r="I9849" t="s">
        <v>6747</v>
      </c>
      <c r="J9849" t="s">
        <v>24</v>
      </c>
      <c r="K9849" t="str">
        <f>"1F1"</f>
        <v>1F1</v>
      </c>
      <c r="L9849" t="s">
        <v>15</v>
      </c>
    </row>
    <row r="9850" spans="1:12" x14ac:dyDescent="0.25">
      <c r="A9850" t="str">
        <f>"7311194484"</f>
        <v>7311194484</v>
      </c>
      <c r="B9850" t="str">
        <f t="shared" si="424"/>
        <v>89301000</v>
      </c>
      <c r="C9850" s="1">
        <v>44349</v>
      </c>
      <c r="D9850" s="1">
        <v>44355</v>
      </c>
      <c r="E9850">
        <v>5</v>
      </c>
      <c r="F9850" t="s">
        <v>32</v>
      </c>
      <c r="G9850" t="str">
        <f>"08-I03-03"</f>
        <v>08-I03-03</v>
      </c>
      <c r="H9850">
        <v>5.3307000000000002</v>
      </c>
      <c r="I9850" t="s">
        <v>6748</v>
      </c>
      <c r="J9850" t="s">
        <v>17</v>
      </c>
      <c r="K9850" t="str">
        <f>"5F6"</f>
        <v>5F6</v>
      </c>
      <c r="L9850" t="s">
        <v>15</v>
      </c>
    </row>
    <row r="9851" spans="1:12" x14ac:dyDescent="0.25">
      <c r="A9851" t="str">
        <f>"7311265302"</f>
        <v>7311265302</v>
      </c>
      <c r="B9851" t="str">
        <f t="shared" si="424"/>
        <v>89301000</v>
      </c>
      <c r="C9851" s="1">
        <v>44284</v>
      </c>
      <c r="D9851" s="1">
        <v>44293</v>
      </c>
      <c r="E9851">
        <v>1</v>
      </c>
      <c r="F9851" t="s">
        <v>6749</v>
      </c>
      <c r="G9851" t="str">
        <f>"18-K02-01"</f>
        <v>18-K02-01</v>
      </c>
      <c r="H9851">
        <v>1.5840000000000001</v>
      </c>
      <c r="I9851" t="s">
        <v>6750</v>
      </c>
      <c r="J9851" t="s">
        <v>14</v>
      </c>
      <c r="K9851" t="str">
        <f>"1F1"</f>
        <v>1F1</v>
      </c>
      <c r="L9851" t="s">
        <v>15</v>
      </c>
    </row>
    <row r="9852" spans="1:12" x14ac:dyDescent="0.25">
      <c r="A9852" t="str">
        <f>"7311305320"</f>
        <v>7311305320</v>
      </c>
      <c r="B9852" t="str">
        <f t="shared" si="424"/>
        <v>89301000</v>
      </c>
      <c r="C9852" s="1">
        <v>44256</v>
      </c>
      <c r="D9852" s="1">
        <v>44260</v>
      </c>
      <c r="E9852">
        <v>1</v>
      </c>
      <c r="F9852" t="s">
        <v>475</v>
      </c>
      <c r="G9852" t="str">
        <f>"10-K04-04"</f>
        <v>10-K04-04</v>
      </c>
      <c r="H9852">
        <v>0.56330000000000002</v>
      </c>
      <c r="I9852" t="s">
        <v>6751</v>
      </c>
      <c r="J9852" t="s">
        <v>14</v>
      </c>
      <c r="K9852" t="str">
        <f>"1F1"</f>
        <v>1F1</v>
      </c>
      <c r="L9852" t="s">
        <v>15</v>
      </c>
    </row>
    <row r="9853" spans="1:12" x14ac:dyDescent="0.25">
      <c r="A9853" t="str">
        <f>"7312135336"</f>
        <v>7312135336</v>
      </c>
      <c r="B9853" t="str">
        <f t="shared" si="424"/>
        <v>89301000</v>
      </c>
      <c r="C9853" s="1">
        <v>44529</v>
      </c>
      <c r="D9853" s="1">
        <v>44544</v>
      </c>
      <c r="E9853">
        <v>1</v>
      </c>
      <c r="F9853" t="s">
        <v>962</v>
      </c>
      <c r="G9853" t="str">
        <f>"04-M01-06"</f>
        <v>04-M01-06</v>
      </c>
      <c r="H9853">
        <v>3.5308999999999999</v>
      </c>
      <c r="I9853" t="s">
        <v>6752</v>
      </c>
      <c r="J9853" t="s">
        <v>14</v>
      </c>
      <c r="K9853" t="str">
        <f>"2F5"</f>
        <v>2F5</v>
      </c>
      <c r="L9853" t="s">
        <v>15</v>
      </c>
    </row>
    <row r="9854" spans="1:12" x14ac:dyDescent="0.25">
      <c r="A9854" t="str">
        <f>"7312235348"</f>
        <v>7312235348</v>
      </c>
      <c r="B9854" t="str">
        <f t="shared" si="424"/>
        <v>89301000</v>
      </c>
      <c r="C9854" s="1">
        <v>44364</v>
      </c>
      <c r="D9854" s="1">
        <v>44365</v>
      </c>
      <c r="E9854">
        <v>1</v>
      </c>
      <c r="F9854" t="s">
        <v>387</v>
      </c>
      <c r="G9854" t="str">
        <f>"08-I19-03"</f>
        <v>08-I19-03</v>
      </c>
      <c r="H9854">
        <v>0.61250000000000004</v>
      </c>
      <c r="I9854" t="s">
        <v>512</v>
      </c>
      <c r="J9854" t="s">
        <v>17</v>
      </c>
      <c r="K9854" t="str">
        <f>"5F3"</f>
        <v>5F3</v>
      </c>
      <c r="L9854" t="s">
        <v>15</v>
      </c>
    </row>
    <row r="9855" spans="1:12" x14ac:dyDescent="0.25">
      <c r="A9855" t="str">
        <f>"7312274486"</f>
        <v>7312274486</v>
      </c>
      <c r="B9855" t="str">
        <f t="shared" si="424"/>
        <v>89301000</v>
      </c>
      <c r="C9855" s="1">
        <v>44537</v>
      </c>
      <c r="D9855" s="1">
        <v>44544</v>
      </c>
      <c r="E9855">
        <v>1</v>
      </c>
      <c r="F9855" t="s">
        <v>3536</v>
      </c>
      <c r="G9855" t="str">
        <f>"03-I16-01"</f>
        <v>03-I16-01</v>
      </c>
      <c r="H9855">
        <v>1.4655</v>
      </c>
      <c r="I9855" t="s">
        <v>489</v>
      </c>
      <c r="J9855" t="s">
        <v>24</v>
      </c>
      <c r="K9855" t="str">
        <f>"7F1"</f>
        <v>7F1</v>
      </c>
      <c r="L9855" t="s">
        <v>15</v>
      </c>
    </row>
    <row r="9856" spans="1:12" x14ac:dyDescent="0.25">
      <c r="A9856" t="str">
        <f>"7312294462"</f>
        <v>7312294462</v>
      </c>
      <c r="B9856" t="str">
        <f t="shared" si="424"/>
        <v>89301000</v>
      </c>
      <c r="C9856" s="1">
        <v>44477</v>
      </c>
      <c r="D9856" s="1">
        <v>44480</v>
      </c>
      <c r="E9856">
        <v>1</v>
      </c>
      <c r="F9856" t="s">
        <v>34</v>
      </c>
      <c r="G9856" t="str">
        <f>"08-I19-03"</f>
        <v>08-I19-03</v>
      </c>
      <c r="H9856">
        <v>0.61250000000000004</v>
      </c>
      <c r="I9856" t="s">
        <v>381</v>
      </c>
      <c r="J9856" t="s">
        <v>17</v>
      </c>
      <c r="K9856" t="str">
        <f>"5F3"</f>
        <v>5F3</v>
      </c>
      <c r="L9856" t="s">
        <v>15</v>
      </c>
    </row>
    <row r="9857" spans="1:12" x14ac:dyDescent="0.25">
      <c r="A9857" t="str">
        <f>"7312305154"</f>
        <v>7312305154</v>
      </c>
      <c r="B9857" t="str">
        <f t="shared" si="424"/>
        <v>89301000</v>
      </c>
      <c r="C9857" s="1">
        <v>44352</v>
      </c>
      <c r="D9857" s="1">
        <v>44355</v>
      </c>
      <c r="E9857">
        <v>1</v>
      </c>
      <c r="F9857" t="s">
        <v>475</v>
      </c>
      <c r="G9857" t="str">
        <f>"10-K04-04"</f>
        <v>10-K04-04</v>
      </c>
      <c r="H9857">
        <v>0.56330000000000002</v>
      </c>
      <c r="I9857" t="s">
        <v>6753</v>
      </c>
      <c r="J9857" t="s">
        <v>14</v>
      </c>
      <c r="K9857" t="str">
        <f>"1F5"</f>
        <v>1F5</v>
      </c>
      <c r="L9857" t="s">
        <v>15</v>
      </c>
    </row>
    <row r="9858" spans="1:12" x14ac:dyDescent="0.25">
      <c r="A9858" t="str">
        <f>"7351125771"</f>
        <v>7351125771</v>
      </c>
      <c r="B9858" t="str">
        <f t="shared" si="424"/>
        <v>89301000</v>
      </c>
      <c r="C9858" s="1">
        <v>44353</v>
      </c>
      <c r="D9858" s="1">
        <v>44355</v>
      </c>
      <c r="E9858">
        <v>1</v>
      </c>
      <c r="F9858" t="s">
        <v>6634</v>
      </c>
      <c r="G9858" t="str">
        <f>"08-I16-04"</f>
        <v>08-I16-04</v>
      </c>
      <c r="H9858">
        <v>0.92159999999999997</v>
      </c>
      <c r="I9858" t="s">
        <v>381</v>
      </c>
      <c r="J9858" t="s">
        <v>17</v>
      </c>
      <c r="K9858" t="str">
        <f>"5F3"</f>
        <v>5F3</v>
      </c>
      <c r="L9858" t="s">
        <v>15</v>
      </c>
    </row>
    <row r="9859" spans="1:12" x14ac:dyDescent="0.25">
      <c r="A9859" t="str">
        <f>"7351155328"</f>
        <v>7351155328</v>
      </c>
      <c r="B9859" t="str">
        <f t="shared" si="424"/>
        <v>89301000</v>
      </c>
      <c r="C9859" s="1">
        <v>44275</v>
      </c>
      <c r="D9859" s="1">
        <v>44290</v>
      </c>
      <c r="E9859">
        <v>8</v>
      </c>
      <c r="F9859" t="s">
        <v>217</v>
      </c>
      <c r="G9859" t="str">
        <f>"00-M02-04"</f>
        <v>00-M02-04</v>
      </c>
      <c r="H9859">
        <v>12.071199999999999</v>
      </c>
      <c r="I9859" t="s">
        <v>6754</v>
      </c>
      <c r="J9859" t="s">
        <v>14</v>
      </c>
      <c r="K9859" t="str">
        <f>"7T8"</f>
        <v>7T8</v>
      </c>
      <c r="L9859" t="s">
        <v>15</v>
      </c>
    </row>
    <row r="9860" spans="1:12" x14ac:dyDescent="0.25">
      <c r="A9860" t="str">
        <f>"7351185688"</f>
        <v>7351185688</v>
      </c>
      <c r="B9860" t="str">
        <f t="shared" si="424"/>
        <v>89301000</v>
      </c>
      <c r="C9860" s="1">
        <v>44389</v>
      </c>
      <c r="D9860" s="1">
        <v>44391</v>
      </c>
      <c r="E9860">
        <v>1</v>
      </c>
      <c r="F9860" t="s">
        <v>2311</v>
      </c>
      <c r="G9860" t="str">
        <f>"08-I03-08"</f>
        <v>08-I03-08</v>
      </c>
      <c r="H9860">
        <v>2.0605000000000002</v>
      </c>
      <c r="I9860" t="s">
        <v>2257</v>
      </c>
      <c r="J9860" t="s">
        <v>17</v>
      </c>
      <c r="K9860" t="str">
        <f>"5F6"</f>
        <v>5F6</v>
      </c>
      <c r="L9860" t="s">
        <v>15</v>
      </c>
    </row>
    <row r="9861" spans="1:12" x14ac:dyDescent="0.25">
      <c r="A9861" t="str">
        <f>"7351235320"</f>
        <v>7351235320</v>
      </c>
      <c r="B9861" t="str">
        <f t="shared" si="424"/>
        <v>89301000</v>
      </c>
      <c r="C9861" s="1">
        <v>44255</v>
      </c>
      <c r="D9861" s="1">
        <v>44257</v>
      </c>
      <c r="E9861">
        <v>1</v>
      </c>
      <c r="F9861" t="s">
        <v>1612</v>
      </c>
      <c r="G9861" t="str">
        <f>"11-M06-03"</f>
        <v>11-M06-03</v>
      </c>
      <c r="H9861">
        <v>0.61519999999999997</v>
      </c>
      <c r="I9861" t="s">
        <v>6755</v>
      </c>
      <c r="J9861" t="s">
        <v>17</v>
      </c>
      <c r="K9861" t="str">
        <f>"7F6"</f>
        <v>7F6</v>
      </c>
      <c r="L9861" t="s">
        <v>15</v>
      </c>
    </row>
    <row r="9862" spans="1:12" x14ac:dyDescent="0.25">
      <c r="A9862" t="str">
        <f>"7351294467"</f>
        <v>7351294467</v>
      </c>
      <c r="B9862" t="str">
        <f t="shared" si="424"/>
        <v>89301000</v>
      </c>
      <c r="C9862" s="1">
        <v>44525</v>
      </c>
      <c r="D9862" s="1">
        <v>44545</v>
      </c>
      <c r="E9862">
        <v>1</v>
      </c>
      <c r="F9862" t="s">
        <v>1039</v>
      </c>
      <c r="G9862" t="str">
        <f>"16-C02-00"</f>
        <v>16-C02-00</v>
      </c>
      <c r="H9862">
        <v>7.8319000000000001</v>
      </c>
      <c r="I9862" t="s">
        <v>168</v>
      </c>
      <c r="J9862" t="s">
        <v>14</v>
      </c>
      <c r="K9862" t="str">
        <f>"2F2"</f>
        <v>2F2</v>
      </c>
      <c r="L9862" t="s">
        <v>15</v>
      </c>
    </row>
    <row r="9863" spans="1:12" x14ac:dyDescent="0.25">
      <c r="A9863" t="str">
        <f>"7351294467"</f>
        <v>7351294467</v>
      </c>
      <c r="B9863" t="str">
        <f t="shared" si="424"/>
        <v>89301000</v>
      </c>
      <c r="C9863" s="1">
        <v>44510</v>
      </c>
      <c r="D9863" s="1">
        <v>44515</v>
      </c>
      <c r="E9863">
        <v>1</v>
      </c>
      <c r="F9863" t="s">
        <v>1039</v>
      </c>
      <c r="G9863" t="str">
        <f>"16-C04-03"</f>
        <v>16-C04-03</v>
      </c>
      <c r="H9863">
        <v>2.105</v>
      </c>
      <c r="I9863" t="s">
        <v>5610</v>
      </c>
      <c r="J9863" t="s">
        <v>14</v>
      </c>
      <c r="K9863" t="str">
        <f>"5F1"</f>
        <v>5F1</v>
      </c>
      <c r="L9863" t="s">
        <v>15</v>
      </c>
    </row>
    <row r="9864" spans="1:12" x14ac:dyDescent="0.25">
      <c r="A9864" t="str">
        <f>"7351294467"</f>
        <v>7351294467</v>
      </c>
      <c r="B9864" t="str">
        <f t="shared" si="424"/>
        <v>89301000</v>
      </c>
      <c r="C9864" s="1">
        <v>44183</v>
      </c>
      <c r="D9864" s="1">
        <v>44211</v>
      </c>
      <c r="E9864">
        <v>1</v>
      </c>
      <c r="F9864" t="s">
        <v>217</v>
      </c>
      <c r="G9864" t="str">
        <f>"00-M02-04"</f>
        <v>00-M02-04</v>
      </c>
      <c r="H9864">
        <v>13.7654</v>
      </c>
      <c r="I9864" t="s">
        <v>6756</v>
      </c>
      <c r="J9864" t="s">
        <v>14</v>
      </c>
      <c r="K9864" t="str">
        <f>"2F2"</f>
        <v>2F2</v>
      </c>
      <c r="L9864" t="s">
        <v>15</v>
      </c>
    </row>
    <row r="9865" spans="1:12" x14ac:dyDescent="0.25">
      <c r="A9865" t="str">
        <f>"7351309999"</f>
        <v>7351309999</v>
      </c>
      <c r="B9865" t="str">
        <f t="shared" si="424"/>
        <v>89301000</v>
      </c>
      <c r="C9865" s="1">
        <v>44480</v>
      </c>
      <c r="D9865" s="1">
        <v>44482</v>
      </c>
      <c r="E9865">
        <v>1</v>
      </c>
      <c r="F9865" t="s">
        <v>92</v>
      </c>
      <c r="G9865" t="str">
        <f>"05-K15-02"</f>
        <v>05-K15-02</v>
      </c>
      <c r="H9865">
        <v>0.47510000000000002</v>
      </c>
      <c r="J9865" t="s">
        <v>14</v>
      </c>
      <c r="K9865" t="str">
        <f>"1F7"</f>
        <v>1F7</v>
      </c>
      <c r="L9865" t="s">
        <v>15</v>
      </c>
    </row>
    <row r="9866" spans="1:12" x14ac:dyDescent="0.25">
      <c r="A9866" t="str">
        <f>"7352065358"</f>
        <v>7352065358</v>
      </c>
      <c r="B9866" t="str">
        <f t="shared" si="424"/>
        <v>89301000</v>
      </c>
      <c r="C9866" s="1">
        <v>44320</v>
      </c>
      <c r="D9866" s="1">
        <v>44323</v>
      </c>
      <c r="E9866">
        <v>1</v>
      </c>
      <c r="F9866" t="s">
        <v>6757</v>
      </c>
      <c r="G9866" t="str">
        <f>"04-K07-03"</f>
        <v>04-K07-03</v>
      </c>
      <c r="H9866">
        <v>0.66259999999999997</v>
      </c>
      <c r="I9866" t="s">
        <v>5725</v>
      </c>
      <c r="J9866" t="s">
        <v>14</v>
      </c>
      <c r="K9866" t="str">
        <f>"2F5"</f>
        <v>2F5</v>
      </c>
      <c r="L9866" t="s">
        <v>15</v>
      </c>
    </row>
    <row r="9867" spans="1:12" x14ac:dyDescent="0.25">
      <c r="A9867" t="str">
        <f>"7352075324"</f>
        <v>7352075324</v>
      </c>
      <c r="B9867" t="str">
        <f t="shared" si="424"/>
        <v>89301000</v>
      </c>
      <c r="C9867" s="1">
        <v>44405</v>
      </c>
      <c r="D9867" s="1">
        <v>44421</v>
      </c>
      <c r="E9867">
        <v>1</v>
      </c>
      <c r="F9867" t="s">
        <v>109</v>
      </c>
      <c r="G9867" t="str">
        <f>"24-M07-02"</f>
        <v>24-M07-02</v>
      </c>
      <c r="H9867">
        <v>1.5094000000000001</v>
      </c>
      <c r="I9867" t="s">
        <v>3983</v>
      </c>
      <c r="J9867" t="s">
        <v>14</v>
      </c>
      <c r="K9867" t="str">
        <f>"2F1"</f>
        <v>2F1</v>
      </c>
      <c r="L9867" t="s">
        <v>15</v>
      </c>
    </row>
    <row r="9868" spans="1:12" x14ac:dyDescent="0.25">
      <c r="A9868" t="str">
        <f>"7352085400"</f>
        <v>7352085400</v>
      </c>
      <c r="B9868" t="str">
        <f t="shared" si="424"/>
        <v>89301000</v>
      </c>
      <c r="C9868" s="1">
        <v>44214</v>
      </c>
      <c r="D9868" s="1">
        <v>44214</v>
      </c>
      <c r="E9868">
        <v>1</v>
      </c>
      <c r="F9868" t="s">
        <v>1567</v>
      </c>
      <c r="G9868" t="str">
        <f>"05-I25-03"</f>
        <v>05-I25-03</v>
      </c>
      <c r="H9868">
        <v>1.2622</v>
      </c>
      <c r="I9868" t="s">
        <v>3414</v>
      </c>
      <c r="J9868" t="s">
        <v>17</v>
      </c>
      <c r="K9868" t="str">
        <f>"1F7"</f>
        <v>1F7</v>
      </c>
      <c r="L9868" t="s">
        <v>15</v>
      </c>
    </row>
    <row r="9869" spans="1:12" x14ac:dyDescent="0.25">
      <c r="A9869" t="str">
        <f>"7352095905"</f>
        <v>7352095905</v>
      </c>
      <c r="B9869" t="str">
        <f t="shared" si="424"/>
        <v>89301000</v>
      </c>
      <c r="C9869" s="1">
        <v>44488</v>
      </c>
      <c r="D9869" s="1">
        <v>44491</v>
      </c>
      <c r="E9869">
        <v>1</v>
      </c>
      <c r="F9869" t="s">
        <v>309</v>
      </c>
      <c r="G9869" t="str">
        <f>"08-M03-03"</f>
        <v>08-M03-03</v>
      </c>
      <c r="H9869">
        <v>0.69450000000000001</v>
      </c>
      <c r="I9869" t="s">
        <v>6758</v>
      </c>
      <c r="J9869" t="s">
        <v>14</v>
      </c>
      <c r="K9869" t="str">
        <f>"6F6"</f>
        <v>6F6</v>
      </c>
      <c r="L9869" t="s">
        <v>15</v>
      </c>
    </row>
    <row r="9870" spans="1:12" x14ac:dyDescent="0.25">
      <c r="A9870" t="str">
        <f>"7352155393"</f>
        <v>7352155393</v>
      </c>
      <c r="B9870" t="str">
        <f t="shared" si="424"/>
        <v>89301000</v>
      </c>
      <c r="C9870" s="1">
        <v>44200</v>
      </c>
      <c r="D9870" s="1">
        <v>44204</v>
      </c>
      <c r="E9870">
        <v>1</v>
      </c>
      <c r="F9870" t="s">
        <v>5562</v>
      </c>
      <c r="G9870" t="str">
        <f>"03-R01-08"</f>
        <v>03-R01-08</v>
      </c>
      <c r="H9870">
        <v>0.94930000000000003</v>
      </c>
      <c r="I9870" t="s">
        <v>4232</v>
      </c>
      <c r="J9870" t="s">
        <v>14</v>
      </c>
      <c r="K9870" t="str">
        <f>"4F2"</f>
        <v>4F2</v>
      </c>
      <c r="L9870" t="s">
        <v>15</v>
      </c>
    </row>
    <row r="9871" spans="1:12" x14ac:dyDescent="0.25">
      <c r="A9871" t="str">
        <f>"7352155393"</f>
        <v>7352155393</v>
      </c>
      <c r="B9871" t="str">
        <f t="shared" si="424"/>
        <v>89301000</v>
      </c>
      <c r="C9871" s="1">
        <v>44221</v>
      </c>
      <c r="D9871" s="1">
        <v>44223</v>
      </c>
      <c r="E9871">
        <v>1</v>
      </c>
      <c r="F9871" t="s">
        <v>5562</v>
      </c>
      <c r="G9871" t="str">
        <f>"03-R01-08"</f>
        <v>03-R01-08</v>
      </c>
      <c r="H9871">
        <v>0.94930000000000003</v>
      </c>
      <c r="I9871" t="s">
        <v>4232</v>
      </c>
      <c r="J9871" t="s">
        <v>14</v>
      </c>
      <c r="K9871" t="str">
        <f>"4F2"</f>
        <v>4F2</v>
      </c>
      <c r="L9871" t="s">
        <v>15</v>
      </c>
    </row>
    <row r="9872" spans="1:12" x14ac:dyDescent="0.25">
      <c r="A9872" t="str">
        <f>"7352155393"</f>
        <v>7352155393</v>
      </c>
      <c r="B9872" t="str">
        <f t="shared" si="424"/>
        <v>89301000</v>
      </c>
      <c r="C9872" s="1">
        <v>44242</v>
      </c>
      <c r="D9872" s="1">
        <v>44244</v>
      </c>
      <c r="E9872">
        <v>1</v>
      </c>
      <c r="F9872" t="s">
        <v>5562</v>
      </c>
      <c r="G9872" t="str">
        <f>"03-R01-08"</f>
        <v>03-R01-08</v>
      </c>
      <c r="H9872">
        <v>0.94930000000000003</v>
      </c>
      <c r="I9872" t="s">
        <v>4232</v>
      </c>
      <c r="J9872" t="s">
        <v>14</v>
      </c>
      <c r="K9872" t="str">
        <f>"4F2"</f>
        <v>4F2</v>
      </c>
      <c r="L9872" t="s">
        <v>15</v>
      </c>
    </row>
    <row r="9873" spans="1:12" x14ac:dyDescent="0.25">
      <c r="A9873" t="str">
        <f>"7352163489"</f>
        <v>7352163489</v>
      </c>
      <c r="B9873" t="str">
        <f t="shared" si="424"/>
        <v>89301000</v>
      </c>
      <c r="C9873" s="1">
        <v>44438</v>
      </c>
      <c r="D9873" s="1">
        <v>44449</v>
      </c>
      <c r="E9873">
        <v>1</v>
      </c>
      <c r="F9873" t="s">
        <v>109</v>
      </c>
      <c r="G9873" t="str">
        <f>"24-M06-02"</f>
        <v>24-M06-02</v>
      </c>
      <c r="H9873">
        <v>1.0233000000000001</v>
      </c>
      <c r="I9873" t="s">
        <v>5836</v>
      </c>
      <c r="J9873" t="s">
        <v>14</v>
      </c>
      <c r="K9873" t="str">
        <f>"2F1"</f>
        <v>2F1</v>
      </c>
      <c r="L9873" t="s">
        <v>15</v>
      </c>
    </row>
    <row r="9874" spans="1:12" x14ac:dyDescent="0.25">
      <c r="A9874" t="str">
        <f>"7352163489"</f>
        <v>7352163489</v>
      </c>
      <c r="B9874" t="str">
        <f t="shared" si="424"/>
        <v>89301000</v>
      </c>
      <c r="C9874" s="1">
        <v>44360</v>
      </c>
      <c r="D9874" s="1">
        <v>44366</v>
      </c>
      <c r="E9874">
        <v>1</v>
      </c>
      <c r="F9874" t="s">
        <v>2118</v>
      </c>
      <c r="G9874" t="str">
        <f>"08-I03-06"</f>
        <v>08-I03-06</v>
      </c>
      <c r="H9874">
        <v>3.3738000000000001</v>
      </c>
      <c r="J9874" t="s">
        <v>17</v>
      </c>
      <c r="K9874" t="str">
        <f>"5F6"</f>
        <v>5F6</v>
      </c>
      <c r="L9874" t="s">
        <v>15</v>
      </c>
    </row>
    <row r="9875" spans="1:12" x14ac:dyDescent="0.25">
      <c r="A9875" t="str">
        <f>"7352165623"</f>
        <v>7352165623</v>
      </c>
      <c r="B9875" t="str">
        <f t="shared" si="424"/>
        <v>89301000</v>
      </c>
      <c r="C9875" s="1">
        <v>44294</v>
      </c>
      <c r="D9875" s="1">
        <v>44322</v>
      </c>
      <c r="E9875">
        <v>1</v>
      </c>
      <c r="F9875" t="s">
        <v>911</v>
      </c>
      <c r="G9875" t="str">
        <f>"00-M06-02"</f>
        <v>00-M06-02</v>
      </c>
      <c r="H9875">
        <v>22.285</v>
      </c>
      <c r="I9875" t="s">
        <v>6759</v>
      </c>
      <c r="J9875" t="s">
        <v>17</v>
      </c>
      <c r="K9875" t="str">
        <f>"2T2"</f>
        <v>2T2</v>
      </c>
      <c r="L9875" t="s">
        <v>15</v>
      </c>
    </row>
    <row r="9876" spans="1:12" x14ac:dyDescent="0.25">
      <c r="A9876" t="str">
        <f>"7352165766"</f>
        <v>7352165766</v>
      </c>
      <c r="B9876" t="str">
        <f t="shared" si="424"/>
        <v>89301000</v>
      </c>
      <c r="C9876" s="1">
        <v>44319</v>
      </c>
      <c r="D9876" s="1">
        <v>44321</v>
      </c>
      <c r="E9876">
        <v>1</v>
      </c>
      <c r="F9876" t="s">
        <v>3852</v>
      </c>
      <c r="G9876" t="str">
        <f>"13-I19-00"</f>
        <v>13-I19-00</v>
      </c>
      <c r="H9876">
        <v>0.24679999999999999</v>
      </c>
      <c r="J9876" t="s">
        <v>14</v>
      </c>
      <c r="K9876" t="str">
        <f>"6F3"</f>
        <v>6F3</v>
      </c>
      <c r="L9876" t="s">
        <v>15</v>
      </c>
    </row>
    <row r="9877" spans="1:12" x14ac:dyDescent="0.25">
      <c r="A9877" t="str">
        <f>"7352205817"</f>
        <v>7352205817</v>
      </c>
      <c r="B9877" t="str">
        <f t="shared" si="424"/>
        <v>89301000</v>
      </c>
      <c r="C9877" s="1">
        <v>44511</v>
      </c>
      <c r="D9877" s="1">
        <v>44517</v>
      </c>
      <c r="E9877">
        <v>1</v>
      </c>
      <c r="F9877" t="s">
        <v>3467</v>
      </c>
      <c r="G9877" t="str">
        <f>"13-I11-03"</f>
        <v>13-I11-03</v>
      </c>
      <c r="H9877">
        <v>1.3809</v>
      </c>
      <c r="J9877" t="s">
        <v>24</v>
      </c>
      <c r="K9877" t="str">
        <f>"6F3"</f>
        <v>6F3</v>
      </c>
      <c r="L9877" t="s">
        <v>15</v>
      </c>
    </row>
    <row r="9878" spans="1:12" x14ac:dyDescent="0.25">
      <c r="A9878" t="str">
        <f>"7352244900"</f>
        <v>7352244900</v>
      </c>
      <c r="B9878" t="str">
        <f t="shared" si="424"/>
        <v>89301000</v>
      </c>
      <c r="C9878" s="1">
        <v>44418</v>
      </c>
      <c r="D9878" s="1">
        <v>44419</v>
      </c>
      <c r="E9878">
        <v>1</v>
      </c>
      <c r="F9878" t="s">
        <v>6634</v>
      </c>
      <c r="G9878" t="str">
        <f>"08-I16-04"</f>
        <v>08-I16-04</v>
      </c>
      <c r="H9878">
        <v>0.92159999999999997</v>
      </c>
      <c r="I9878" t="s">
        <v>381</v>
      </c>
      <c r="J9878" t="s">
        <v>17</v>
      </c>
      <c r="K9878" t="str">
        <f>"5F3"</f>
        <v>5F3</v>
      </c>
      <c r="L9878" t="s">
        <v>15</v>
      </c>
    </row>
    <row r="9879" spans="1:12" x14ac:dyDescent="0.25">
      <c r="A9879" t="str">
        <f>"7352255779"</f>
        <v>7352255779</v>
      </c>
      <c r="B9879" t="str">
        <f t="shared" si="424"/>
        <v>89301000</v>
      </c>
      <c r="C9879" s="1">
        <v>44469</v>
      </c>
      <c r="D9879" s="1">
        <v>44473</v>
      </c>
      <c r="E9879">
        <v>1</v>
      </c>
      <c r="F9879" t="s">
        <v>3145</v>
      </c>
      <c r="G9879" t="str">
        <f>"10-I13-03"</f>
        <v>10-I13-03</v>
      </c>
      <c r="H9879">
        <v>0.90449999999999997</v>
      </c>
      <c r="I9879" t="s">
        <v>2036</v>
      </c>
      <c r="J9879" t="s">
        <v>24</v>
      </c>
      <c r="K9879" t="str">
        <f>"5F1"</f>
        <v>5F1</v>
      </c>
      <c r="L9879" t="s">
        <v>15</v>
      </c>
    </row>
    <row r="9880" spans="1:12" x14ac:dyDescent="0.25">
      <c r="A9880" t="str">
        <f>"7352285380"</f>
        <v>7352285380</v>
      </c>
      <c r="B9880" t="str">
        <f t="shared" si="424"/>
        <v>89301000</v>
      </c>
      <c r="C9880" s="1">
        <v>44409</v>
      </c>
      <c r="D9880" s="1">
        <v>44410</v>
      </c>
      <c r="E9880">
        <v>1</v>
      </c>
      <c r="F9880" t="s">
        <v>1817</v>
      </c>
      <c r="G9880" t="str">
        <f>"05-D01-06"</f>
        <v>05-D01-06</v>
      </c>
      <c r="H9880">
        <v>0.7611</v>
      </c>
      <c r="J9880" t="s">
        <v>14</v>
      </c>
      <c r="K9880" t="str">
        <f>"1F7"</f>
        <v>1F7</v>
      </c>
      <c r="L9880" t="s">
        <v>15</v>
      </c>
    </row>
    <row r="9881" spans="1:12" x14ac:dyDescent="0.25">
      <c r="A9881" t="str">
        <f>"7353224494"</f>
        <v>7353224494</v>
      </c>
      <c r="B9881" t="str">
        <f t="shared" si="424"/>
        <v>89301000</v>
      </c>
      <c r="C9881" s="1">
        <v>44487</v>
      </c>
      <c r="D9881" s="1">
        <v>44489</v>
      </c>
      <c r="E9881">
        <v>1</v>
      </c>
      <c r="F9881" t="s">
        <v>6760</v>
      </c>
      <c r="G9881" t="str">
        <f>"08-I31-04"</f>
        <v>08-I31-04</v>
      </c>
      <c r="H9881">
        <v>0.50949999999999995</v>
      </c>
      <c r="J9881" t="s">
        <v>14</v>
      </c>
      <c r="K9881" t="str">
        <f>"6F6"</f>
        <v>6F6</v>
      </c>
      <c r="L9881" t="s">
        <v>15</v>
      </c>
    </row>
    <row r="9882" spans="1:12" x14ac:dyDescent="0.25">
      <c r="A9882" t="str">
        <f>"7353284873"</f>
        <v>7353284873</v>
      </c>
      <c r="B9882" t="str">
        <f t="shared" si="424"/>
        <v>89301000</v>
      </c>
      <c r="C9882" s="1">
        <v>44536</v>
      </c>
      <c r="D9882" s="1">
        <v>44539</v>
      </c>
      <c r="E9882">
        <v>1</v>
      </c>
      <c r="F9882" t="s">
        <v>413</v>
      </c>
      <c r="G9882" t="str">
        <f>"09-I07-02"</f>
        <v>09-I07-02</v>
      </c>
      <c r="H9882">
        <v>1.2816000000000001</v>
      </c>
      <c r="I9882" t="s">
        <v>6761</v>
      </c>
      <c r="J9882" t="s">
        <v>24</v>
      </c>
      <c r="K9882" t="str">
        <f>"6F1"</f>
        <v>6F1</v>
      </c>
      <c r="L9882" t="s">
        <v>15</v>
      </c>
    </row>
    <row r="9883" spans="1:12" x14ac:dyDescent="0.25">
      <c r="A9883" t="str">
        <f>"7353295312"</f>
        <v>7353295312</v>
      </c>
      <c r="B9883" t="str">
        <f t="shared" si="424"/>
        <v>89301000</v>
      </c>
      <c r="C9883" s="1">
        <v>44483</v>
      </c>
      <c r="D9883" s="1">
        <v>44487</v>
      </c>
      <c r="E9883">
        <v>1</v>
      </c>
      <c r="F9883" t="s">
        <v>1551</v>
      </c>
      <c r="G9883" t="str">
        <f>"09-I06-04"</f>
        <v>09-I06-04</v>
      </c>
      <c r="H9883">
        <v>0.98829999999999996</v>
      </c>
      <c r="J9883" t="s">
        <v>17</v>
      </c>
      <c r="K9883" t="str">
        <f>"5F1"</f>
        <v>5F1</v>
      </c>
      <c r="L9883" t="s">
        <v>15</v>
      </c>
    </row>
    <row r="9884" spans="1:12" x14ac:dyDescent="0.25">
      <c r="A9884" t="str">
        <f>"7353304508"</f>
        <v>7353304508</v>
      </c>
      <c r="B9884" t="str">
        <f t="shared" si="424"/>
        <v>89301000</v>
      </c>
      <c r="C9884" s="1">
        <v>44325</v>
      </c>
      <c r="D9884" s="1">
        <v>44330</v>
      </c>
      <c r="E9884">
        <v>1</v>
      </c>
      <c r="F9884" t="s">
        <v>81</v>
      </c>
      <c r="G9884" t="str">
        <f>"10-I13-02"</f>
        <v>10-I13-02</v>
      </c>
      <c r="H9884">
        <v>1.1468</v>
      </c>
      <c r="J9884" t="s">
        <v>24</v>
      </c>
      <c r="K9884" t="str">
        <f>"5F1"</f>
        <v>5F1</v>
      </c>
      <c r="L9884" t="s">
        <v>15</v>
      </c>
    </row>
    <row r="9885" spans="1:12" x14ac:dyDescent="0.25">
      <c r="A9885" t="str">
        <f>"7354115384"</f>
        <v>7354115384</v>
      </c>
      <c r="B9885" t="str">
        <f t="shared" si="424"/>
        <v>89301000</v>
      </c>
      <c r="C9885" s="1">
        <v>44283</v>
      </c>
      <c r="D9885" s="1">
        <v>44287</v>
      </c>
      <c r="E9885">
        <v>1</v>
      </c>
      <c r="F9885" t="s">
        <v>217</v>
      </c>
      <c r="G9885" t="str">
        <f>"04-K02-04"</f>
        <v>04-K02-04</v>
      </c>
      <c r="H9885">
        <v>0.82469999999999999</v>
      </c>
      <c r="I9885" t="s">
        <v>6762</v>
      </c>
      <c r="J9885" t="s">
        <v>14</v>
      </c>
      <c r="K9885" t="str">
        <f>"5F1"</f>
        <v>5F1</v>
      </c>
      <c r="L9885" t="s">
        <v>15</v>
      </c>
    </row>
    <row r="9886" spans="1:12" x14ac:dyDescent="0.25">
      <c r="A9886" t="str">
        <f>"7354124437"</f>
        <v>7354124437</v>
      </c>
      <c r="B9886" t="str">
        <f t="shared" si="424"/>
        <v>89301000</v>
      </c>
      <c r="C9886" s="1">
        <v>44351</v>
      </c>
      <c r="D9886" s="1">
        <v>44355</v>
      </c>
      <c r="E9886">
        <v>1</v>
      </c>
      <c r="F9886" t="s">
        <v>3568</v>
      </c>
      <c r="G9886" t="str">
        <f>"08-I03-08"</f>
        <v>08-I03-08</v>
      </c>
      <c r="H9886">
        <v>2.0605000000000002</v>
      </c>
      <c r="I9886" t="s">
        <v>6763</v>
      </c>
      <c r="J9886" t="s">
        <v>17</v>
      </c>
      <c r="K9886" t="str">
        <f>"5F6"</f>
        <v>5F6</v>
      </c>
      <c r="L9886" t="s">
        <v>15</v>
      </c>
    </row>
    <row r="9887" spans="1:12" x14ac:dyDescent="0.25">
      <c r="A9887" t="str">
        <f>"7354143522"</f>
        <v>7354143522</v>
      </c>
      <c r="B9887" t="str">
        <f t="shared" si="424"/>
        <v>89301000</v>
      </c>
      <c r="C9887" s="1">
        <v>44440</v>
      </c>
      <c r="D9887" s="1">
        <v>44468</v>
      </c>
      <c r="E9887">
        <v>1</v>
      </c>
      <c r="F9887" t="s">
        <v>109</v>
      </c>
      <c r="G9887" t="str">
        <f>"24-M09-02"</f>
        <v>24-M09-02</v>
      </c>
      <c r="H9887">
        <v>3.2679999999999998</v>
      </c>
      <c r="I9887" t="s">
        <v>5352</v>
      </c>
      <c r="J9887" t="s">
        <v>14</v>
      </c>
      <c r="K9887" t="str">
        <f>"2F1"</f>
        <v>2F1</v>
      </c>
      <c r="L9887" t="s">
        <v>15</v>
      </c>
    </row>
    <row r="9888" spans="1:12" x14ac:dyDescent="0.25">
      <c r="A9888" t="str">
        <f>"7354143522"</f>
        <v>7354143522</v>
      </c>
      <c r="B9888" t="str">
        <f t="shared" si="424"/>
        <v>89301000</v>
      </c>
      <c r="C9888" s="1">
        <v>44372</v>
      </c>
      <c r="D9888" s="1">
        <v>44379</v>
      </c>
      <c r="E9888">
        <v>1</v>
      </c>
      <c r="F9888" t="s">
        <v>16</v>
      </c>
      <c r="G9888" t="str">
        <f>"08-I04-03"</f>
        <v>08-I04-03</v>
      </c>
      <c r="H9888">
        <v>1.331</v>
      </c>
      <c r="J9888" t="s">
        <v>17</v>
      </c>
      <c r="K9888" t="str">
        <f>"5F6"</f>
        <v>5F6</v>
      </c>
      <c r="L9888" t="s">
        <v>15</v>
      </c>
    </row>
    <row r="9889" spans="1:12" x14ac:dyDescent="0.25">
      <c r="A9889" t="str">
        <f>"7354245349"</f>
        <v>7354245349</v>
      </c>
      <c r="B9889" t="str">
        <f t="shared" si="424"/>
        <v>89301000</v>
      </c>
      <c r="C9889" s="1">
        <v>44208</v>
      </c>
      <c r="D9889" s="1">
        <v>44213</v>
      </c>
      <c r="E9889">
        <v>1</v>
      </c>
      <c r="F9889" t="s">
        <v>6270</v>
      </c>
      <c r="G9889" t="str">
        <f>"13-I11-03"</f>
        <v>13-I11-03</v>
      </c>
      <c r="H9889">
        <v>1.3809</v>
      </c>
      <c r="J9889" t="s">
        <v>24</v>
      </c>
      <c r="K9889" t="str">
        <f>"6F3"</f>
        <v>6F3</v>
      </c>
      <c r="L9889" t="s">
        <v>15</v>
      </c>
    </row>
    <row r="9890" spans="1:12" x14ac:dyDescent="0.25">
      <c r="A9890" t="str">
        <f>"7354309930"</f>
        <v>7354309930</v>
      </c>
      <c r="B9890" t="str">
        <f t="shared" si="424"/>
        <v>89301000</v>
      </c>
      <c r="C9890" s="1">
        <v>44229</v>
      </c>
      <c r="D9890" s="1">
        <v>44230</v>
      </c>
      <c r="E9890">
        <v>1</v>
      </c>
      <c r="F9890" t="s">
        <v>41</v>
      </c>
      <c r="G9890" t="str">
        <f>"01-D01-03"</f>
        <v>01-D01-03</v>
      </c>
      <c r="H9890">
        <v>0.158</v>
      </c>
      <c r="I9890" t="s">
        <v>6764</v>
      </c>
      <c r="J9890" t="s">
        <v>14</v>
      </c>
      <c r="K9890" t="str">
        <f>"2F5"</f>
        <v>2F5</v>
      </c>
      <c r="L9890" t="s">
        <v>15</v>
      </c>
    </row>
    <row r="9891" spans="1:12" x14ac:dyDescent="0.25">
      <c r="A9891" t="str">
        <f>"7355085111"</f>
        <v>7355085111</v>
      </c>
      <c r="B9891" t="str">
        <f t="shared" si="424"/>
        <v>89301000</v>
      </c>
      <c r="C9891" s="1">
        <v>44258</v>
      </c>
      <c r="D9891" s="1">
        <v>44261</v>
      </c>
      <c r="E9891">
        <v>1</v>
      </c>
      <c r="F9891" t="s">
        <v>5527</v>
      </c>
      <c r="G9891" t="str">
        <f>"01-K18-04"</f>
        <v>01-K18-04</v>
      </c>
      <c r="H9891">
        <v>0.49890000000000001</v>
      </c>
      <c r="I9891" t="s">
        <v>6765</v>
      </c>
      <c r="J9891" t="s">
        <v>14</v>
      </c>
      <c r="K9891" t="str">
        <f>"2F9"</f>
        <v>2F9</v>
      </c>
      <c r="L9891" t="s">
        <v>15</v>
      </c>
    </row>
    <row r="9892" spans="1:12" x14ac:dyDescent="0.25">
      <c r="A9892" t="str">
        <f>"7355085111"</f>
        <v>7355085111</v>
      </c>
      <c r="B9892" t="str">
        <f t="shared" si="424"/>
        <v>89301000</v>
      </c>
      <c r="C9892" s="1">
        <v>44288</v>
      </c>
      <c r="D9892" s="1">
        <v>44294</v>
      </c>
      <c r="E9892">
        <v>1</v>
      </c>
      <c r="F9892" t="s">
        <v>5527</v>
      </c>
      <c r="G9892" t="str">
        <f>"01-K18-04"</f>
        <v>01-K18-04</v>
      </c>
      <c r="H9892">
        <v>0.49890000000000001</v>
      </c>
      <c r="I9892" t="s">
        <v>6766</v>
      </c>
      <c r="J9892" t="s">
        <v>14</v>
      </c>
      <c r="K9892" t="str">
        <f>"2F9"</f>
        <v>2F9</v>
      </c>
      <c r="L9892" t="s">
        <v>15</v>
      </c>
    </row>
    <row r="9893" spans="1:12" x14ac:dyDescent="0.25">
      <c r="A9893" t="str">
        <f>"7355145369"</f>
        <v>7355145369</v>
      </c>
      <c r="B9893" t="str">
        <f t="shared" ref="B9893:B9956" si="425">"89301000"</f>
        <v>89301000</v>
      </c>
      <c r="C9893" s="1">
        <v>44355</v>
      </c>
      <c r="D9893" s="1">
        <v>44361</v>
      </c>
      <c r="E9893">
        <v>1</v>
      </c>
      <c r="F9893" t="s">
        <v>593</v>
      </c>
      <c r="G9893" t="str">
        <f>"07-I10-02"</f>
        <v>07-I10-02</v>
      </c>
      <c r="H9893">
        <v>2.1535000000000002</v>
      </c>
      <c r="I9893" t="s">
        <v>6767</v>
      </c>
      <c r="J9893" t="s">
        <v>17</v>
      </c>
      <c r="K9893" t="str">
        <f>"5F1"</f>
        <v>5F1</v>
      </c>
      <c r="L9893" t="s">
        <v>15</v>
      </c>
    </row>
    <row r="9894" spans="1:12" x14ac:dyDescent="0.25">
      <c r="A9894" t="str">
        <f>"7355165785"</f>
        <v>7355165785</v>
      </c>
      <c r="B9894" t="str">
        <f t="shared" si="425"/>
        <v>89301000</v>
      </c>
      <c r="C9894" s="1">
        <v>44488</v>
      </c>
      <c r="D9894" s="1">
        <v>44489</v>
      </c>
      <c r="E9894">
        <v>1</v>
      </c>
      <c r="F9894" t="s">
        <v>173</v>
      </c>
      <c r="G9894" t="str">
        <f>"08-I32-02"</f>
        <v>08-I32-02</v>
      </c>
      <c r="H9894">
        <v>0.4143</v>
      </c>
      <c r="J9894" t="s">
        <v>14</v>
      </c>
      <c r="K9894" t="str">
        <f>"5F3"</f>
        <v>5F3</v>
      </c>
      <c r="L9894" t="s">
        <v>15</v>
      </c>
    </row>
    <row r="9895" spans="1:12" x14ac:dyDescent="0.25">
      <c r="A9895" t="str">
        <f>"7355249935"</f>
        <v>7355249935</v>
      </c>
      <c r="B9895" t="str">
        <f t="shared" si="425"/>
        <v>89301000</v>
      </c>
      <c r="C9895" s="1">
        <v>44535</v>
      </c>
      <c r="D9895" s="1">
        <v>44538</v>
      </c>
      <c r="E9895">
        <v>1</v>
      </c>
      <c r="F9895" t="s">
        <v>3145</v>
      </c>
      <c r="G9895" t="str">
        <f>"10-I13-02"</f>
        <v>10-I13-02</v>
      </c>
      <c r="H9895">
        <v>1.1468</v>
      </c>
      <c r="J9895" t="s">
        <v>24</v>
      </c>
      <c r="K9895" t="str">
        <f>"5F1"</f>
        <v>5F1</v>
      </c>
      <c r="L9895" t="s">
        <v>15</v>
      </c>
    </row>
    <row r="9896" spans="1:12" x14ac:dyDescent="0.25">
      <c r="A9896" t="str">
        <f>"7356064485"</f>
        <v>7356064485</v>
      </c>
      <c r="B9896" t="str">
        <f t="shared" si="425"/>
        <v>89301000</v>
      </c>
      <c r="C9896" s="1">
        <v>44416</v>
      </c>
      <c r="D9896" s="1">
        <v>44420</v>
      </c>
      <c r="E9896">
        <v>1</v>
      </c>
      <c r="F9896" t="s">
        <v>189</v>
      </c>
      <c r="G9896" t="str">
        <f>"03-I15-00"</f>
        <v>03-I15-00</v>
      </c>
      <c r="H9896">
        <v>0.97689999999999999</v>
      </c>
      <c r="I9896" t="s">
        <v>6768</v>
      </c>
      <c r="J9896" t="s">
        <v>24</v>
      </c>
      <c r="K9896" t="str">
        <f>"7F1"</f>
        <v>7F1</v>
      </c>
      <c r="L9896" t="s">
        <v>15</v>
      </c>
    </row>
    <row r="9897" spans="1:12" x14ac:dyDescent="0.25">
      <c r="A9897" t="str">
        <f>"7356064485"</f>
        <v>7356064485</v>
      </c>
      <c r="B9897" t="str">
        <f t="shared" si="425"/>
        <v>89301000</v>
      </c>
      <c r="C9897" s="1">
        <v>44389</v>
      </c>
      <c r="D9897" s="1">
        <v>44393</v>
      </c>
      <c r="E9897">
        <v>1</v>
      </c>
      <c r="F9897" t="s">
        <v>189</v>
      </c>
      <c r="G9897" t="str">
        <f>"03-K11-00"</f>
        <v>03-K11-00</v>
      </c>
      <c r="H9897">
        <v>0.43830000000000002</v>
      </c>
      <c r="I9897" t="s">
        <v>6769</v>
      </c>
      <c r="J9897" t="s">
        <v>14</v>
      </c>
      <c r="K9897" t="str">
        <f>"7F1"</f>
        <v>7F1</v>
      </c>
      <c r="L9897" t="s">
        <v>15</v>
      </c>
    </row>
    <row r="9898" spans="1:12" x14ac:dyDescent="0.25">
      <c r="A9898" t="str">
        <f>"7356065365"</f>
        <v>7356065365</v>
      </c>
      <c r="B9898" t="str">
        <f t="shared" si="425"/>
        <v>89301000</v>
      </c>
      <c r="C9898" s="1">
        <v>44333</v>
      </c>
      <c r="D9898" s="1">
        <v>44335</v>
      </c>
      <c r="E9898">
        <v>1</v>
      </c>
      <c r="F9898" t="s">
        <v>1551</v>
      </c>
      <c r="G9898" t="str">
        <f>"09-I06-04"</f>
        <v>09-I06-04</v>
      </c>
      <c r="H9898">
        <v>0.98829999999999996</v>
      </c>
      <c r="J9898" t="s">
        <v>17</v>
      </c>
      <c r="K9898" t="str">
        <f>"5F1"</f>
        <v>5F1</v>
      </c>
      <c r="L9898" t="s">
        <v>15</v>
      </c>
    </row>
    <row r="9899" spans="1:12" x14ac:dyDescent="0.25">
      <c r="A9899" t="str">
        <f>"7356065365"</f>
        <v>7356065365</v>
      </c>
      <c r="B9899" t="str">
        <f t="shared" si="425"/>
        <v>89301000</v>
      </c>
      <c r="C9899" s="1">
        <v>44378</v>
      </c>
      <c r="D9899" s="1">
        <v>44380</v>
      </c>
      <c r="E9899">
        <v>1</v>
      </c>
      <c r="F9899" t="s">
        <v>1551</v>
      </c>
      <c r="G9899" t="str">
        <f>"09-I09-02"</f>
        <v>09-I09-02</v>
      </c>
      <c r="H9899">
        <v>0.84140000000000004</v>
      </c>
      <c r="I9899" t="s">
        <v>489</v>
      </c>
      <c r="J9899" t="s">
        <v>17</v>
      </c>
      <c r="K9899" t="str">
        <f>"5F1"</f>
        <v>5F1</v>
      </c>
      <c r="L9899" t="s">
        <v>15</v>
      </c>
    </row>
    <row r="9900" spans="1:12" x14ac:dyDescent="0.25">
      <c r="A9900" t="str">
        <f>"7356154465"</f>
        <v>7356154465</v>
      </c>
      <c r="B9900" t="str">
        <f t="shared" si="425"/>
        <v>89301000</v>
      </c>
      <c r="C9900" s="1">
        <v>44469</v>
      </c>
      <c r="D9900" s="1">
        <v>44473</v>
      </c>
      <c r="E9900">
        <v>1</v>
      </c>
      <c r="F9900" t="s">
        <v>6770</v>
      </c>
      <c r="G9900" t="str">
        <f>"06-M01-02"</f>
        <v>06-M01-02</v>
      </c>
      <c r="H9900">
        <v>1.2425999999999999</v>
      </c>
      <c r="J9900" t="s">
        <v>14</v>
      </c>
      <c r="K9900" t="str">
        <f>"1F5"</f>
        <v>1F5</v>
      </c>
      <c r="L9900" t="s">
        <v>15</v>
      </c>
    </row>
    <row r="9901" spans="1:12" x14ac:dyDescent="0.25">
      <c r="A9901" t="str">
        <f>"7356184484"</f>
        <v>7356184484</v>
      </c>
      <c r="B9901" t="str">
        <f t="shared" si="425"/>
        <v>89301000</v>
      </c>
      <c r="C9901" s="1">
        <v>44488</v>
      </c>
      <c r="D9901" s="1">
        <v>44491</v>
      </c>
      <c r="E9901">
        <v>1</v>
      </c>
      <c r="F9901" t="s">
        <v>31</v>
      </c>
      <c r="G9901" t="str">
        <f>"08-I04-03"</f>
        <v>08-I04-03</v>
      </c>
      <c r="H9901">
        <v>1.331</v>
      </c>
      <c r="I9901" t="s">
        <v>6771</v>
      </c>
      <c r="J9901" t="s">
        <v>17</v>
      </c>
      <c r="K9901" t="str">
        <f>"5F6"</f>
        <v>5F6</v>
      </c>
      <c r="L9901" t="s">
        <v>15</v>
      </c>
    </row>
    <row r="9902" spans="1:12" x14ac:dyDescent="0.25">
      <c r="A9902" t="str">
        <f>"7356294484"</f>
        <v>7356294484</v>
      </c>
      <c r="B9902" t="str">
        <f t="shared" si="425"/>
        <v>89301000</v>
      </c>
      <c r="C9902" s="1">
        <v>44342</v>
      </c>
      <c r="D9902" s="1">
        <v>44343</v>
      </c>
      <c r="E9902">
        <v>1</v>
      </c>
      <c r="F9902" t="s">
        <v>1557</v>
      </c>
      <c r="G9902" t="str">
        <f>"05-D01-08"</f>
        <v>05-D01-08</v>
      </c>
      <c r="H9902">
        <v>0.4093</v>
      </c>
      <c r="J9902" t="s">
        <v>14</v>
      </c>
      <c r="K9902" t="str">
        <f>"1F7"</f>
        <v>1F7</v>
      </c>
      <c r="L9902" t="s">
        <v>15</v>
      </c>
    </row>
    <row r="9903" spans="1:12" x14ac:dyDescent="0.25">
      <c r="A9903" t="str">
        <f>"7356295331"</f>
        <v>7356295331</v>
      </c>
      <c r="B9903" t="str">
        <f t="shared" si="425"/>
        <v>89301000</v>
      </c>
      <c r="C9903" s="1">
        <v>44482</v>
      </c>
      <c r="D9903" s="1">
        <v>44483</v>
      </c>
      <c r="E9903">
        <v>1</v>
      </c>
      <c r="F9903" t="s">
        <v>1950</v>
      </c>
      <c r="G9903" t="str">
        <f>"02-I13-02"</f>
        <v>02-I13-02</v>
      </c>
      <c r="H9903">
        <v>0.376</v>
      </c>
      <c r="J9903" t="s">
        <v>14</v>
      </c>
      <c r="K9903" t="str">
        <f>"7F5"</f>
        <v>7F5</v>
      </c>
      <c r="L9903" t="s">
        <v>15</v>
      </c>
    </row>
    <row r="9904" spans="1:12" x14ac:dyDescent="0.25">
      <c r="A9904" t="str">
        <f>"7356295760"</f>
        <v>7356295760</v>
      </c>
      <c r="B9904" t="str">
        <f t="shared" si="425"/>
        <v>89301000</v>
      </c>
      <c r="C9904" s="1">
        <v>44458</v>
      </c>
      <c r="D9904" s="1">
        <v>44460</v>
      </c>
      <c r="E9904">
        <v>1</v>
      </c>
      <c r="F9904" t="s">
        <v>153</v>
      </c>
      <c r="G9904" t="str">
        <f>"05-I14-04"</f>
        <v>05-I14-04</v>
      </c>
      <c r="H9904">
        <v>5.4002999999999997</v>
      </c>
      <c r="J9904" t="s">
        <v>14</v>
      </c>
      <c r="K9904" t="str">
        <f>"1F7"</f>
        <v>1F7</v>
      </c>
      <c r="L9904" t="s">
        <v>15</v>
      </c>
    </row>
    <row r="9905" spans="1:12" x14ac:dyDescent="0.25">
      <c r="A9905" t="str">
        <f>"7357035158"</f>
        <v>7357035158</v>
      </c>
      <c r="B9905" t="str">
        <f t="shared" si="425"/>
        <v>89301000</v>
      </c>
      <c r="C9905" s="1">
        <v>44476</v>
      </c>
      <c r="D9905" s="1">
        <v>44483</v>
      </c>
      <c r="E9905">
        <v>1</v>
      </c>
      <c r="F9905" t="s">
        <v>3200</v>
      </c>
      <c r="G9905" t="str">
        <f>"08-K01-03"</f>
        <v>08-K01-03</v>
      </c>
      <c r="H9905">
        <v>0.65310000000000001</v>
      </c>
      <c r="I9905" t="s">
        <v>6772</v>
      </c>
      <c r="J9905" t="s">
        <v>14</v>
      </c>
      <c r="K9905" t="str">
        <f>"1F9"</f>
        <v>1F9</v>
      </c>
      <c r="L9905" t="s">
        <v>15</v>
      </c>
    </row>
    <row r="9906" spans="1:12" x14ac:dyDescent="0.25">
      <c r="A9906" t="str">
        <f>"7357035763"</f>
        <v>7357035763</v>
      </c>
      <c r="B9906" t="str">
        <f t="shared" si="425"/>
        <v>89301000</v>
      </c>
      <c r="C9906" s="1">
        <v>44322</v>
      </c>
      <c r="D9906" s="1">
        <v>44324</v>
      </c>
      <c r="E9906">
        <v>1</v>
      </c>
      <c r="F9906" t="s">
        <v>413</v>
      </c>
      <c r="G9906" t="str">
        <f>"09-I08-02"</f>
        <v>09-I08-02</v>
      </c>
      <c r="H9906">
        <v>1.129</v>
      </c>
      <c r="I9906" t="s">
        <v>1551</v>
      </c>
      <c r="J9906" t="s">
        <v>24</v>
      </c>
      <c r="K9906" t="str">
        <f>"6F1"</f>
        <v>6F1</v>
      </c>
      <c r="L9906" t="s">
        <v>15</v>
      </c>
    </row>
    <row r="9907" spans="1:12" x14ac:dyDescent="0.25">
      <c r="A9907" t="str">
        <f>"7357044464"</f>
        <v>7357044464</v>
      </c>
      <c r="B9907" t="str">
        <f t="shared" si="425"/>
        <v>89301000</v>
      </c>
      <c r="C9907" s="1">
        <v>44461</v>
      </c>
      <c r="D9907" s="1">
        <v>44466</v>
      </c>
      <c r="E9907">
        <v>1</v>
      </c>
      <c r="F9907" t="s">
        <v>2495</v>
      </c>
      <c r="G9907" t="str">
        <f>"13-I11-03"</f>
        <v>13-I11-03</v>
      </c>
      <c r="H9907">
        <v>1.3809</v>
      </c>
      <c r="J9907" t="s">
        <v>24</v>
      </c>
      <c r="K9907" t="str">
        <f>"6F3"</f>
        <v>6F3</v>
      </c>
      <c r="L9907" t="s">
        <v>15</v>
      </c>
    </row>
    <row r="9908" spans="1:12" x14ac:dyDescent="0.25">
      <c r="A9908" t="str">
        <f>"7357054463"</f>
        <v>7357054463</v>
      </c>
      <c r="B9908" t="str">
        <f t="shared" si="425"/>
        <v>89301000</v>
      </c>
      <c r="C9908" s="1">
        <v>44223</v>
      </c>
      <c r="D9908" s="1">
        <v>44225</v>
      </c>
      <c r="E9908">
        <v>1</v>
      </c>
      <c r="F9908" t="s">
        <v>6589</v>
      </c>
      <c r="G9908" t="str">
        <f>"08-M03-05"</f>
        <v>08-M03-05</v>
      </c>
      <c r="H9908">
        <v>0.51759999999999995</v>
      </c>
      <c r="J9908" t="s">
        <v>14</v>
      </c>
      <c r="K9908" t="str">
        <f>"6F6"</f>
        <v>6F6</v>
      </c>
      <c r="L9908" t="s">
        <v>15</v>
      </c>
    </row>
    <row r="9909" spans="1:12" x14ac:dyDescent="0.25">
      <c r="A9909" t="str">
        <f>"7357069918"</f>
        <v>7357069918</v>
      </c>
      <c r="B9909" t="str">
        <f t="shared" si="425"/>
        <v>89301000</v>
      </c>
      <c r="C9909" s="1">
        <v>44441</v>
      </c>
      <c r="D9909" s="1">
        <v>44448</v>
      </c>
      <c r="E9909">
        <v>1</v>
      </c>
      <c r="F9909" t="s">
        <v>6773</v>
      </c>
      <c r="G9909" t="str">
        <f>"04-K03-03"</f>
        <v>04-K03-03</v>
      </c>
      <c r="H9909">
        <v>0.53180000000000005</v>
      </c>
      <c r="I9909" t="s">
        <v>6774</v>
      </c>
      <c r="J9909" t="s">
        <v>14</v>
      </c>
      <c r="K9909" t="str">
        <f>"2F5"</f>
        <v>2F5</v>
      </c>
      <c r="L9909" t="s">
        <v>15</v>
      </c>
    </row>
    <row r="9910" spans="1:12" x14ac:dyDescent="0.25">
      <c r="A9910" t="str">
        <f>"7357094459"</f>
        <v>7357094459</v>
      </c>
      <c r="B9910" t="str">
        <f t="shared" si="425"/>
        <v>89301000</v>
      </c>
      <c r="C9910" s="1">
        <v>44496</v>
      </c>
      <c r="D9910" s="1">
        <v>44519</v>
      </c>
      <c r="E9910">
        <v>1</v>
      </c>
      <c r="F9910" t="s">
        <v>254</v>
      </c>
      <c r="G9910" t="str">
        <f>"19-K06-02"</f>
        <v>19-K06-02</v>
      </c>
      <c r="H9910">
        <v>2.4085000000000001</v>
      </c>
      <c r="I9910" t="s">
        <v>168</v>
      </c>
      <c r="J9910" t="s">
        <v>27</v>
      </c>
      <c r="K9910" t="str">
        <f>"3F5"</f>
        <v>3F5</v>
      </c>
      <c r="L9910" t="s">
        <v>15</v>
      </c>
    </row>
    <row r="9911" spans="1:12" x14ac:dyDescent="0.25">
      <c r="A9911" t="str">
        <f>"7357095768"</f>
        <v>7357095768</v>
      </c>
      <c r="B9911" t="str">
        <f t="shared" si="425"/>
        <v>89301000</v>
      </c>
      <c r="C9911" s="1">
        <v>44480</v>
      </c>
      <c r="D9911" s="1">
        <v>44483</v>
      </c>
      <c r="E9911">
        <v>1</v>
      </c>
      <c r="F9911" t="s">
        <v>6775</v>
      </c>
      <c r="G9911" t="str">
        <f>"08-I26-03"</f>
        <v>08-I26-03</v>
      </c>
      <c r="H9911">
        <v>0.45679999999999998</v>
      </c>
      <c r="J9911" t="s">
        <v>14</v>
      </c>
      <c r="K9911" t="str">
        <f>"6F6"</f>
        <v>6F6</v>
      </c>
      <c r="L9911" t="s">
        <v>15</v>
      </c>
    </row>
    <row r="9912" spans="1:12" x14ac:dyDescent="0.25">
      <c r="A9912" t="str">
        <f>"7357105305"</f>
        <v>7357105305</v>
      </c>
      <c r="B9912" t="str">
        <f t="shared" si="425"/>
        <v>89301000</v>
      </c>
      <c r="C9912" s="1">
        <v>44338</v>
      </c>
      <c r="D9912" s="1">
        <v>44341</v>
      </c>
      <c r="E9912">
        <v>1</v>
      </c>
      <c r="F9912" t="s">
        <v>132</v>
      </c>
      <c r="G9912" t="str">
        <f>"03-K03-02"</f>
        <v>03-K03-02</v>
      </c>
      <c r="H9912">
        <v>0.49249999999999999</v>
      </c>
      <c r="I9912" t="s">
        <v>6776</v>
      </c>
      <c r="J9912" t="s">
        <v>14</v>
      </c>
      <c r="K9912" t="str">
        <f>"6F5"</f>
        <v>6F5</v>
      </c>
      <c r="L9912" t="s">
        <v>15</v>
      </c>
    </row>
    <row r="9913" spans="1:12" x14ac:dyDescent="0.25">
      <c r="A9913" t="str">
        <f>"7357174473"</f>
        <v>7357174473</v>
      </c>
      <c r="B9913" t="str">
        <f t="shared" si="425"/>
        <v>89301000</v>
      </c>
      <c r="C9913" s="1">
        <v>44252</v>
      </c>
      <c r="D9913" s="1">
        <v>44254</v>
      </c>
      <c r="E9913">
        <v>1</v>
      </c>
      <c r="F9913" t="s">
        <v>1551</v>
      </c>
      <c r="G9913" t="str">
        <f>"09-I06-04"</f>
        <v>09-I06-04</v>
      </c>
      <c r="H9913">
        <v>0.98829999999999996</v>
      </c>
      <c r="J9913" t="s">
        <v>17</v>
      </c>
      <c r="K9913" t="str">
        <f>"5F1"</f>
        <v>5F1</v>
      </c>
      <c r="L9913" t="s">
        <v>15</v>
      </c>
    </row>
    <row r="9914" spans="1:12" x14ac:dyDescent="0.25">
      <c r="A9914" t="str">
        <f>"7357245412"</f>
        <v>7357245412</v>
      </c>
      <c r="B9914" t="str">
        <f t="shared" si="425"/>
        <v>89301000</v>
      </c>
      <c r="C9914" s="1">
        <v>44249</v>
      </c>
      <c r="D9914" s="1">
        <v>44251</v>
      </c>
      <c r="E9914">
        <v>6</v>
      </c>
      <c r="F9914" t="s">
        <v>3796</v>
      </c>
      <c r="G9914" t="str">
        <f>"08-K01-03"</f>
        <v>08-K01-03</v>
      </c>
      <c r="H9914">
        <v>0.65310000000000001</v>
      </c>
      <c r="I9914" t="s">
        <v>6777</v>
      </c>
      <c r="J9914" t="s">
        <v>14</v>
      </c>
      <c r="K9914" t="str">
        <f>"1F9"</f>
        <v>1F9</v>
      </c>
      <c r="L9914" t="s">
        <v>15</v>
      </c>
    </row>
    <row r="9915" spans="1:12" x14ac:dyDescent="0.25">
      <c r="A9915" t="str">
        <f>"7357269139"</f>
        <v>7357269139</v>
      </c>
      <c r="B9915" t="str">
        <f t="shared" si="425"/>
        <v>89301000</v>
      </c>
      <c r="C9915" s="1">
        <v>44417</v>
      </c>
      <c r="D9915" s="1">
        <v>44434</v>
      </c>
      <c r="E9915">
        <v>1</v>
      </c>
      <c r="F9915" t="s">
        <v>2001</v>
      </c>
      <c r="G9915" t="str">
        <f>"06-I15-00"</f>
        <v>06-I15-00</v>
      </c>
      <c r="H9915">
        <v>2.9264999999999999</v>
      </c>
      <c r="I9915" t="s">
        <v>467</v>
      </c>
      <c r="J9915" t="s">
        <v>24</v>
      </c>
      <c r="K9915" t="str">
        <f>"5F1"</f>
        <v>5F1</v>
      </c>
      <c r="L9915" t="s">
        <v>15</v>
      </c>
    </row>
    <row r="9916" spans="1:12" x14ac:dyDescent="0.25">
      <c r="A9916" t="str">
        <f>"7357269139"</f>
        <v>7357269139</v>
      </c>
      <c r="B9916" t="str">
        <f t="shared" si="425"/>
        <v>89301000</v>
      </c>
      <c r="C9916" s="1">
        <v>44224</v>
      </c>
      <c r="D9916" s="1">
        <v>44235</v>
      </c>
      <c r="E9916">
        <v>1</v>
      </c>
      <c r="F9916" t="s">
        <v>2001</v>
      </c>
      <c r="G9916" t="str">
        <f>"06-I15-00"</f>
        <v>06-I15-00</v>
      </c>
      <c r="H9916">
        <v>2.0831</v>
      </c>
      <c r="J9916" t="s">
        <v>24</v>
      </c>
      <c r="K9916" t="str">
        <f>"5F1"</f>
        <v>5F1</v>
      </c>
      <c r="L9916" t="s">
        <v>15</v>
      </c>
    </row>
    <row r="9917" spans="1:12" x14ac:dyDescent="0.25">
      <c r="A9917" t="str">
        <f>"7357269139"</f>
        <v>7357269139</v>
      </c>
      <c r="B9917" t="str">
        <f t="shared" si="425"/>
        <v>89301000</v>
      </c>
      <c r="C9917" s="1">
        <v>44240</v>
      </c>
      <c r="D9917" s="1">
        <v>44250</v>
      </c>
      <c r="E9917">
        <v>1</v>
      </c>
      <c r="F9917" t="s">
        <v>2001</v>
      </c>
      <c r="G9917" t="str">
        <f>"06-K09-02"</f>
        <v>06-K09-02</v>
      </c>
      <c r="H9917">
        <v>0.53890000000000005</v>
      </c>
      <c r="I9917" t="s">
        <v>6778</v>
      </c>
      <c r="J9917" t="s">
        <v>14</v>
      </c>
      <c r="K9917" t="str">
        <f>"5F1"</f>
        <v>5F1</v>
      </c>
      <c r="L9917" t="s">
        <v>15</v>
      </c>
    </row>
    <row r="9918" spans="1:12" x14ac:dyDescent="0.25">
      <c r="A9918" t="str">
        <f>"7357285309"</f>
        <v>7357285309</v>
      </c>
      <c r="B9918" t="str">
        <f t="shared" si="425"/>
        <v>89301000</v>
      </c>
      <c r="C9918" s="1">
        <v>44419</v>
      </c>
      <c r="D9918" s="1">
        <v>44426</v>
      </c>
      <c r="E9918">
        <v>1</v>
      </c>
      <c r="F9918" t="s">
        <v>6779</v>
      </c>
      <c r="G9918" t="str">
        <f>"01-K18-04"</f>
        <v>01-K18-04</v>
      </c>
      <c r="H9918">
        <v>0.49890000000000001</v>
      </c>
      <c r="I9918" t="s">
        <v>6780</v>
      </c>
      <c r="J9918" t="s">
        <v>14</v>
      </c>
      <c r="K9918" t="str">
        <f>"2F9"</f>
        <v>2F9</v>
      </c>
      <c r="L9918" t="s">
        <v>15</v>
      </c>
    </row>
    <row r="9919" spans="1:12" x14ac:dyDescent="0.25">
      <c r="A9919" t="str">
        <f>"7358105348"</f>
        <v>7358105348</v>
      </c>
      <c r="B9919" t="str">
        <f t="shared" si="425"/>
        <v>89301000</v>
      </c>
      <c r="C9919" s="1">
        <v>44547</v>
      </c>
      <c r="D9919" s="1">
        <v>44550</v>
      </c>
      <c r="E9919">
        <v>1</v>
      </c>
      <c r="F9919" t="s">
        <v>413</v>
      </c>
      <c r="G9919" t="str">
        <f>"09-I07-01"</f>
        <v>09-I07-01</v>
      </c>
      <c r="H9919">
        <v>1.7783</v>
      </c>
      <c r="J9919" t="s">
        <v>24</v>
      </c>
      <c r="K9919" t="str">
        <f>"6F1"</f>
        <v>6F1</v>
      </c>
      <c r="L9919" t="s">
        <v>15</v>
      </c>
    </row>
    <row r="9920" spans="1:12" x14ac:dyDescent="0.25">
      <c r="A9920" t="str">
        <f>"7358145344"</f>
        <v>7358145344</v>
      </c>
      <c r="B9920" t="str">
        <f t="shared" si="425"/>
        <v>89301000</v>
      </c>
      <c r="C9920" s="1">
        <v>44208</v>
      </c>
      <c r="D9920" s="1">
        <v>44210</v>
      </c>
      <c r="E9920">
        <v>1</v>
      </c>
      <c r="F9920" t="s">
        <v>2805</v>
      </c>
      <c r="G9920" t="str">
        <f>"02-K11-02"</f>
        <v>02-K11-02</v>
      </c>
      <c r="H9920">
        <v>0.52180000000000004</v>
      </c>
      <c r="I9920" t="s">
        <v>6781</v>
      </c>
      <c r="J9920" t="s">
        <v>14</v>
      </c>
      <c r="K9920" t="str">
        <f>"1F1"</f>
        <v>1F1</v>
      </c>
      <c r="L9920" t="s">
        <v>15</v>
      </c>
    </row>
    <row r="9921" spans="1:12" x14ac:dyDescent="0.25">
      <c r="A9921" t="str">
        <f>"7358145344"</f>
        <v>7358145344</v>
      </c>
      <c r="B9921" t="str">
        <f t="shared" si="425"/>
        <v>89301000</v>
      </c>
      <c r="C9921" s="1">
        <v>44235</v>
      </c>
      <c r="D9921" s="1">
        <v>44237</v>
      </c>
      <c r="E9921">
        <v>1</v>
      </c>
      <c r="F9921" t="s">
        <v>2805</v>
      </c>
      <c r="G9921" t="str">
        <f>"02-K11-02"</f>
        <v>02-K11-02</v>
      </c>
      <c r="H9921">
        <v>0.52180000000000004</v>
      </c>
      <c r="I9921" t="s">
        <v>5109</v>
      </c>
      <c r="J9921" t="s">
        <v>14</v>
      </c>
      <c r="K9921" t="str">
        <f>"1F1"</f>
        <v>1F1</v>
      </c>
      <c r="L9921" t="s">
        <v>15</v>
      </c>
    </row>
    <row r="9922" spans="1:12" x14ac:dyDescent="0.25">
      <c r="A9922" t="str">
        <f>"7358145344"</f>
        <v>7358145344</v>
      </c>
      <c r="B9922" t="str">
        <f t="shared" si="425"/>
        <v>89301000</v>
      </c>
      <c r="C9922" s="1">
        <v>44201</v>
      </c>
      <c r="D9922" s="1">
        <v>44205</v>
      </c>
      <c r="E9922">
        <v>1</v>
      </c>
      <c r="F9922" t="s">
        <v>785</v>
      </c>
      <c r="G9922" t="str">
        <f>"10-I13-02"</f>
        <v>10-I13-02</v>
      </c>
      <c r="H9922">
        <v>1.1468</v>
      </c>
      <c r="J9922" t="s">
        <v>24</v>
      </c>
      <c r="K9922" t="str">
        <f>"7F1"</f>
        <v>7F1</v>
      </c>
      <c r="L9922" t="s">
        <v>15</v>
      </c>
    </row>
    <row r="9923" spans="1:12" x14ac:dyDescent="0.25">
      <c r="A9923" t="str">
        <f>"7358195306"</f>
        <v>7358195306</v>
      </c>
      <c r="B9923" t="str">
        <f t="shared" si="425"/>
        <v>89301000</v>
      </c>
      <c r="C9923" s="1">
        <v>44314</v>
      </c>
      <c r="D9923" s="1">
        <v>44321</v>
      </c>
      <c r="E9923">
        <v>1</v>
      </c>
      <c r="F9923" t="s">
        <v>217</v>
      </c>
      <c r="G9923" t="str">
        <f>"04-K02-04"</f>
        <v>04-K02-04</v>
      </c>
      <c r="H9923">
        <v>0.82469999999999999</v>
      </c>
      <c r="I9923" t="s">
        <v>6782</v>
      </c>
      <c r="J9923" t="s">
        <v>14</v>
      </c>
      <c r="K9923" t="str">
        <f>"1F1"</f>
        <v>1F1</v>
      </c>
      <c r="L9923" t="s">
        <v>15</v>
      </c>
    </row>
    <row r="9924" spans="1:12" x14ac:dyDescent="0.25">
      <c r="A9924" t="str">
        <f>"7358235302"</f>
        <v>7358235302</v>
      </c>
      <c r="B9924" t="str">
        <f t="shared" si="425"/>
        <v>89301000</v>
      </c>
      <c r="C9924" s="1">
        <v>44454</v>
      </c>
      <c r="D9924" s="1">
        <v>44457</v>
      </c>
      <c r="E9924">
        <v>1</v>
      </c>
      <c r="F9924" t="s">
        <v>413</v>
      </c>
      <c r="G9924" t="str">
        <f>"09-I08-02"</f>
        <v>09-I08-02</v>
      </c>
      <c r="H9924">
        <v>1.2085999999999999</v>
      </c>
      <c r="I9924" t="s">
        <v>6061</v>
      </c>
      <c r="J9924" t="s">
        <v>24</v>
      </c>
      <c r="K9924" t="str">
        <f>"6F1"</f>
        <v>6F1</v>
      </c>
      <c r="L9924" t="s">
        <v>15</v>
      </c>
    </row>
    <row r="9925" spans="1:12" x14ac:dyDescent="0.25">
      <c r="A9925" t="str">
        <f>"7358264430"</f>
        <v>7358264430</v>
      </c>
      <c r="B9925" t="str">
        <f t="shared" si="425"/>
        <v>89301000</v>
      </c>
      <c r="C9925" s="1">
        <v>44418</v>
      </c>
      <c r="D9925" s="1">
        <v>44419</v>
      </c>
      <c r="E9925">
        <v>1</v>
      </c>
      <c r="F9925" t="s">
        <v>3852</v>
      </c>
      <c r="G9925" t="str">
        <f>"13-I19-00"</f>
        <v>13-I19-00</v>
      </c>
      <c r="H9925">
        <v>0.24679999999999999</v>
      </c>
      <c r="J9925" t="s">
        <v>14</v>
      </c>
      <c r="K9925" t="str">
        <f>"6F3"</f>
        <v>6F3</v>
      </c>
      <c r="L9925" t="s">
        <v>15</v>
      </c>
    </row>
    <row r="9926" spans="1:12" x14ac:dyDescent="0.25">
      <c r="A9926" t="str">
        <f>"7358293338"</f>
        <v>7358293338</v>
      </c>
      <c r="B9926" t="str">
        <f t="shared" si="425"/>
        <v>89301000</v>
      </c>
      <c r="C9926" s="1">
        <v>44448</v>
      </c>
      <c r="D9926" s="1">
        <v>44449</v>
      </c>
      <c r="E9926">
        <v>1</v>
      </c>
      <c r="F9926" t="s">
        <v>41</v>
      </c>
      <c r="G9926" t="str">
        <f>"01-D01-03"</f>
        <v>01-D01-03</v>
      </c>
      <c r="H9926">
        <v>0.158</v>
      </c>
      <c r="I9926" t="s">
        <v>97</v>
      </c>
      <c r="J9926" t="s">
        <v>14</v>
      </c>
      <c r="K9926" t="str">
        <f>"2F5"</f>
        <v>2F5</v>
      </c>
      <c r="L9926" t="s">
        <v>15</v>
      </c>
    </row>
    <row r="9927" spans="1:12" x14ac:dyDescent="0.25">
      <c r="A9927" t="str">
        <f>"7358315338"</f>
        <v>7358315338</v>
      </c>
      <c r="B9927" t="str">
        <f t="shared" si="425"/>
        <v>89301000</v>
      </c>
      <c r="C9927" s="1">
        <v>44250</v>
      </c>
      <c r="D9927" s="1">
        <v>44252</v>
      </c>
      <c r="E9927">
        <v>1</v>
      </c>
      <c r="F9927" t="s">
        <v>215</v>
      </c>
      <c r="G9927" t="str">
        <f>"08-I15-03"</f>
        <v>08-I15-03</v>
      </c>
      <c r="H9927">
        <v>1.1838</v>
      </c>
      <c r="I9927" t="s">
        <v>211</v>
      </c>
      <c r="J9927" t="s">
        <v>17</v>
      </c>
      <c r="K9927" t="str">
        <f>"5F3"</f>
        <v>5F3</v>
      </c>
      <c r="L9927" t="s">
        <v>15</v>
      </c>
    </row>
    <row r="9928" spans="1:12" x14ac:dyDescent="0.25">
      <c r="A9928" t="str">
        <f>"7359035321"</f>
        <v>7359035321</v>
      </c>
      <c r="B9928" t="str">
        <f t="shared" si="425"/>
        <v>89301000</v>
      </c>
      <c r="C9928" s="1">
        <v>44521</v>
      </c>
      <c r="D9928" s="1">
        <v>44523</v>
      </c>
      <c r="E9928">
        <v>1</v>
      </c>
      <c r="F9928" t="s">
        <v>132</v>
      </c>
      <c r="G9928" t="str">
        <f>"03-K03-02"</f>
        <v>03-K03-02</v>
      </c>
      <c r="H9928">
        <v>0.49249999999999999</v>
      </c>
      <c r="I9928" t="s">
        <v>320</v>
      </c>
      <c r="J9928" t="s">
        <v>14</v>
      </c>
      <c r="K9928" t="str">
        <f>"6F5"</f>
        <v>6F5</v>
      </c>
      <c r="L9928" t="s">
        <v>15</v>
      </c>
    </row>
    <row r="9929" spans="1:12" x14ac:dyDescent="0.25">
      <c r="A9929" t="str">
        <f>"7359045309"</f>
        <v>7359045309</v>
      </c>
      <c r="B9929" t="str">
        <f t="shared" si="425"/>
        <v>89301000</v>
      </c>
      <c r="C9929" s="1">
        <v>44320</v>
      </c>
      <c r="D9929" s="1">
        <v>44324</v>
      </c>
      <c r="E9929">
        <v>1</v>
      </c>
      <c r="F9929" t="s">
        <v>2527</v>
      </c>
      <c r="G9929" t="str">
        <f>"13-I14-03"</f>
        <v>13-I14-03</v>
      </c>
      <c r="H9929">
        <v>0.83199999999999996</v>
      </c>
      <c r="I9929" t="s">
        <v>860</v>
      </c>
      <c r="J9929" t="s">
        <v>24</v>
      </c>
      <c r="K9929" t="str">
        <f>"6F3"</f>
        <v>6F3</v>
      </c>
      <c r="L9929" t="s">
        <v>15</v>
      </c>
    </row>
    <row r="9930" spans="1:12" x14ac:dyDescent="0.25">
      <c r="A9930" t="str">
        <f>"7359085338"</f>
        <v>7359085338</v>
      </c>
      <c r="B9930" t="str">
        <f t="shared" si="425"/>
        <v>89301000</v>
      </c>
      <c r="C9930" s="1">
        <v>44535</v>
      </c>
      <c r="D9930" s="1">
        <v>44543</v>
      </c>
      <c r="E9930">
        <v>1</v>
      </c>
      <c r="F9930" t="s">
        <v>6783</v>
      </c>
      <c r="G9930" t="str">
        <f>"06-I12-03"</f>
        <v>06-I12-03</v>
      </c>
      <c r="H9930">
        <v>1.8894</v>
      </c>
      <c r="I9930" t="s">
        <v>6784</v>
      </c>
      <c r="J9930" t="s">
        <v>14</v>
      </c>
      <c r="K9930" t="str">
        <f>"5F1"</f>
        <v>5F1</v>
      </c>
      <c r="L9930" t="s">
        <v>15</v>
      </c>
    </row>
    <row r="9931" spans="1:12" x14ac:dyDescent="0.25">
      <c r="A9931" t="str">
        <f>"7359185394"</f>
        <v>7359185394</v>
      </c>
      <c r="B9931" t="str">
        <f t="shared" si="425"/>
        <v>89301000</v>
      </c>
      <c r="C9931" s="1">
        <v>44494</v>
      </c>
      <c r="D9931" s="1">
        <v>44497</v>
      </c>
      <c r="E9931">
        <v>1</v>
      </c>
      <c r="F9931" t="s">
        <v>4297</v>
      </c>
      <c r="G9931" t="str">
        <f>"08-M03-05"</f>
        <v>08-M03-05</v>
      </c>
      <c r="H9931">
        <v>0.51759999999999995</v>
      </c>
      <c r="I9931" t="s">
        <v>2407</v>
      </c>
      <c r="J9931" t="s">
        <v>14</v>
      </c>
      <c r="K9931" t="str">
        <f>"6F6"</f>
        <v>6F6</v>
      </c>
      <c r="L9931" t="s">
        <v>15</v>
      </c>
    </row>
    <row r="9932" spans="1:12" x14ac:dyDescent="0.25">
      <c r="A9932" t="str">
        <f>"7359205326"</f>
        <v>7359205326</v>
      </c>
      <c r="B9932" t="str">
        <f t="shared" si="425"/>
        <v>89301000</v>
      </c>
      <c r="C9932" s="1">
        <v>44446</v>
      </c>
      <c r="D9932" s="1">
        <v>44450</v>
      </c>
      <c r="E9932">
        <v>1</v>
      </c>
      <c r="F9932" t="s">
        <v>2576</v>
      </c>
      <c r="G9932" t="str">
        <f>"11-I14-02"</f>
        <v>11-I14-02</v>
      </c>
      <c r="H9932">
        <v>0.63060000000000005</v>
      </c>
      <c r="J9932" t="s">
        <v>24</v>
      </c>
      <c r="K9932" t="str">
        <f>"6F3"</f>
        <v>6F3</v>
      </c>
      <c r="L9932" t="s">
        <v>15</v>
      </c>
    </row>
    <row r="9933" spans="1:12" x14ac:dyDescent="0.25">
      <c r="A9933" t="str">
        <f>"7359245795"</f>
        <v>7359245795</v>
      </c>
      <c r="B9933" t="str">
        <f t="shared" si="425"/>
        <v>89301000</v>
      </c>
      <c r="C9933" s="1">
        <v>44279</v>
      </c>
      <c r="D9933" s="1">
        <v>44281</v>
      </c>
      <c r="E9933">
        <v>1</v>
      </c>
      <c r="F9933" t="s">
        <v>828</v>
      </c>
      <c r="G9933" t="str">
        <f>"01-K03-05"</f>
        <v>01-K03-05</v>
      </c>
      <c r="H9933">
        <v>1.4560999999999999</v>
      </c>
      <c r="I9933" t="s">
        <v>6785</v>
      </c>
      <c r="J9933" t="s">
        <v>14</v>
      </c>
      <c r="K9933" t="str">
        <f>"2F9"</f>
        <v>2F9</v>
      </c>
      <c r="L9933" t="s">
        <v>15</v>
      </c>
    </row>
    <row r="9934" spans="1:12" x14ac:dyDescent="0.25">
      <c r="A9934" t="str">
        <f>"7359255310"</f>
        <v>7359255310</v>
      </c>
      <c r="B9934" t="str">
        <f t="shared" si="425"/>
        <v>89301000</v>
      </c>
      <c r="C9934" s="1">
        <v>44402</v>
      </c>
      <c r="D9934" s="1">
        <v>44404</v>
      </c>
      <c r="E9934">
        <v>1</v>
      </c>
      <c r="F9934" t="s">
        <v>4382</v>
      </c>
      <c r="G9934" t="str">
        <f>"05-I30-02"</f>
        <v>05-I30-02</v>
      </c>
      <c r="H9934">
        <v>0.46729999999999999</v>
      </c>
      <c r="J9934" t="s">
        <v>14</v>
      </c>
      <c r="K9934" t="str">
        <f>"5F1"</f>
        <v>5F1</v>
      </c>
      <c r="L9934" t="s">
        <v>15</v>
      </c>
    </row>
    <row r="9935" spans="1:12" x14ac:dyDescent="0.25">
      <c r="A9935" t="str">
        <f>"7359255783"</f>
        <v>7359255783</v>
      </c>
      <c r="B9935" t="str">
        <f t="shared" si="425"/>
        <v>89301000</v>
      </c>
      <c r="C9935" s="1">
        <v>44313</v>
      </c>
      <c r="D9935" s="1">
        <v>44318</v>
      </c>
      <c r="E9935">
        <v>1</v>
      </c>
      <c r="F9935" t="s">
        <v>31</v>
      </c>
      <c r="G9935" t="str">
        <f>"08-I03-04"</f>
        <v>08-I03-04</v>
      </c>
      <c r="H9935">
        <v>4.8169000000000004</v>
      </c>
      <c r="I9935" t="s">
        <v>6786</v>
      </c>
      <c r="J9935" t="s">
        <v>17</v>
      </c>
      <c r="K9935" t="str">
        <f>"5F6"</f>
        <v>5F6</v>
      </c>
      <c r="L9935" t="s">
        <v>15</v>
      </c>
    </row>
    <row r="9936" spans="1:12" x14ac:dyDescent="0.25">
      <c r="A9936" t="str">
        <f>"7359289410"</f>
        <v>7359289410</v>
      </c>
      <c r="B9936" t="str">
        <f t="shared" si="425"/>
        <v>89301000</v>
      </c>
      <c r="C9936" s="1">
        <v>44374</v>
      </c>
      <c r="D9936" s="1">
        <v>44375</v>
      </c>
      <c r="E9936">
        <v>1</v>
      </c>
      <c r="F9936" t="s">
        <v>1830</v>
      </c>
      <c r="G9936" t="str">
        <f>"16-K02-03"</f>
        <v>16-K02-03</v>
      </c>
      <c r="H9936">
        <v>0.5302</v>
      </c>
      <c r="I9936" t="s">
        <v>6787</v>
      </c>
      <c r="J9936" t="s">
        <v>14</v>
      </c>
      <c r="K9936" t="str">
        <f>"1F1"</f>
        <v>1F1</v>
      </c>
      <c r="L9936" t="s">
        <v>15</v>
      </c>
    </row>
    <row r="9937" spans="1:12" x14ac:dyDescent="0.25">
      <c r="A9937" t="str">
        <f>"7360145331"</f>
        <v>7360145331</v>
      </c>
      <c r="B9937" t="str">
        <f t="shared" si="425"/>
        <v>89301000</v>
      </c>
      <c r="C9937" s="1">
        <v>44304</v>
      </c>
      <c r="D9937" s="1">
        <v>44308</v>
      </c>
      <c r="E9937">
        <v>1</v>
      </c>
      <c r="F9937" t="s">
        <v>197</v>
      </c>
      <c r="G9937" t="str">
        <f>"03-I17-00"</f>
        <v>03-I17-00</v>
      </c>
      <c r="H9937">
        <v>0.84960000000000002</v>
      </c>
      <c r="I9937" t="s">
        <v>6788</v>
      </c>
      <c r="J9937" t="s">
        <v>24</v>
      </c>
      <c r="K9937" t="str">
        <f>"7F1"</f>
        <v>7F1</v>
      </c>
      <c r="L9937" t="s">
        <v>15</v>
      </c>
    </row>
    <row r="9938" spans="1:12" x14ac:dyDescent="0.25">
      <c r="A9938" t="str">
        <f>"7360155308"</f>
        <v>7360155308</v>
      </c>
      <c r="B9938" t="str">
        <f t="shared" si="425"/>
        <v>89301000</v>
      </c>
      <c r="C9938" s="1">
        <v>44424</v>
      </c>
      <c r="D9938" s="1">
        <v>44432</v>
      </c>
      <c r="E9938">
        <v>1</v>
      </c>
      <c r="F9938" t="s">
        <v>109</v>
      </c>
      <c r="G9938" t="str">
        <f>"24-M06-02"</f>
        <v>24-M06-02</v>
      </c>
      <c r="H9938">
        <v>1.0233000000000001</v>
      </c>
      <c r="I9938" t="s">
        <v>6789</v>
      </c>
      <c r="J9938" t="s">
        <v>14</v>
      </c>
      <c r="K9938" t="str">
        <f>"2F1"</f>
        <v>2F1</v>
      </c>
      <c r="L9938" t="s">
        <v>15</v>
      </c>
    </row>
    <row r="9939" spans="1:12" x14ac:dyDescent="0.25">
      <c r="A9939" t="str">
        <f>"7360225708"</f>
        <v>7360225708</v>
      </c>
      <c r="B9939" t="str">
        <f t="shared" si="425"/>
        <v>89301000</v>
      </c>
      <c r="C9939" s="1">
        <v>44189</v>
      </c>
      <c r="D9939" s="1">
        <v>44201</v>
      </c>
      <c r="E9939">
        <v>5</v>
      </c>
      <c r="F9939" t="s">
        <v>1894</v>
      </c>
      <c r="G9939" t="str">
        <f>"01-M01-02"</f>
        <v>01-M01-02</v>
      </c>
      <c r="H9939">
        <v>7.7656999999999998</v>
      </c>
      <c r="J9939" t="s">
        <v>17</v>
      </c>
      <c r="K9939" t="str">
        <f>"5T6"</f>
        <v>5T6</v>
      </c>
      <c r="L9939" t="s">
        <v>15</v>
      </c>
    </row>
    <row r="9940" spans="1:12" x14ac:dyDescent="0.25">
      <c r="A9940" t="str">
        <f>"7360245332"</f>
        <v>7360245332</v>
      </c>
      <c r="B9940" t="str">
        <f t="shared" si="425"/>
        <v>89301000</v>
      </c>
      <c r="C9940" s="1">
        <v>44475</v>
      </c>
      <c r="D9940" s="1">
        <v>44476</v>
      </c>
      <c r="E9940">
        <v>1</v>
      </c>
      <c r="F9940" t="s">
        <v>1567</v>
      </c>
      <c r="G9940" t="str">
        <f>"05-I25-03"</f>
        <v>05-I25-03</v>
      </c>
      <c r="H9940">
        <v>1.5508</v>
      </c>
      <c r="I9940" t="s">
        <v>6790</v>
      </c>
      <c r="J9940" t="s">
        <v>17</v>
      </c>
      <c r="K9940" t="str">
        <f>"1F1"</f>
        <v>1F1</v>
      </c>
      <c r="L9940" t="s">
        <v>15</v>
      </c>
    </row>
    <row r="9941" spans="1:12" x14ac:dyDescent="0.25">
      <c r="A9941" t="str">
        <f>"7360265242"</f>
        <v>7360265242</v>
      </c>
      <c r="B9941" t="str">
        <f t="shared" si="425"/>
        <v>89301000</v>
      </c>
      <c r="C9941" s="1">
        <v>44441</v>
      </c>
      <c r="D9941" s="1">
        <v>44445</v>
      </c>
      <c r="E9941">
        <v>1</v>
      </c>
      <c r="F9941" t="s">
        <v>1551</v>
      </c>
      <c r="G9941" t="str">
        <f>"09-I06-04"</f>
        <v>09-I06-04</v>
      </c>
      <c r="H9941">
        <v>0.98829999999999996</v>
      </c>
      <c r="I9941" t="s">
        <v>3885</v>
      </c>
      <c r="J9941" t="s">
        <v>17</v>
      </c>
      <c r="K9941" t="str">
        <f>"5F1"</f>
        <v>5F1</v>
      </c>
      <c r="L9941" t="s">
        <v>15</v>
      </c>
    </row>
    <row r="9942" spans="1:12" x14ac:dyDescent="0.25">
      <c r="A9942" t="str">
        <f>"7361045307"</f>
        <v>7361045307</v>
      </c>
      <c r="B9942" t="str">
        <f t="shared" si="425"/>
        <v>89301000</v>
      </c>
      <c r="C9942" s="1">
        <v>44446</v>
      </c>
      <c r="D9942" s="1">
        <v>44447</v>
      </c>
      <c r="E9942">
        <v>1</v>
      </c>
      <c r="F9942" t="s">
        <v>5813</v>
      </c>
      <c r="G9942" t="str">
        <f>"01-K07-03"</f>
        <v>01-K07-03</v>
      </c>
      <c r="H9942">
        <v>0.4642</v>
      </c>
      <c r="I9942" t="s">
        <v>2283</v>
      </c>
      <c r="J9942" t="s">
        <v>14</v>
      </c>
      <c r="K9942" t="str">
        <f>"2F9"</f>
        <v>2F9</v>
      </c>
      <c r="L9942" t="s">
        <v>15</v>
      </c>
    </row>
    <row r="9943" spans="1:12" x14ac:dyDescent="0.25">
      <c r="A9943" t="str">
        <f>"7361144483"</f>
        <v>7361144483</v>
      </c>
      <c r="B9943" t="str">
        <f t="shared" si="425"/>
        <v>89301000</v>
      </c>
      <c r="C9943" s="1">
        <v>44308</v>
      </c>
      <c r="D9943" s="1">
        <v>44310</v>
      </c>
      <c r="E9943">
        <v>1</v>
      </c>
      <c r="F9943" t="s">
        <v>1551</v>
      </c>
      <c r="G9943" t="str">
        <f>"09-I06-04"</f>
        <v>09-I06-04</v>
      </c>
      <c r="H9943">
        <v>0.98829999999999996</v>
      </c>
      <c r="J9943" t="s">
        <v>17</v>
      </c>
      <c r="K9943" t="str">
        <f>"5F1"</f>
        <v>5F1</v>
      </c>
      <c r="L9943" t="s">
        <v>15</v>
      </c>
    </row>
    <row r="9944" spans="1:12" x14ac:dyDescent="0.25">
      <c r="A9944" t="str">
        <f>"7361145363"</f>
        <v>7361145363</v>
      </c>
      <c r="B9944" t="str">
        <f t="shared" si="425"/>
        <v>89301000</v>
      </c>
      <c r="C9944" s="1">
        <v>44207</v>
      </c>
      <c r="D9944" s="1">
        <v>44211</v>
      </c>
      <c r="E9944">
        <v>1</v>
      </c>
      <c r="F9944" t="s">
        <v>2495</v>
      </c>
      <c r="G9944" t="str">
        <f>"13-I11-03"</f>
        <v>13-I11-03</v>
      </c>
      <c r="H9944">
        <v>1.3809</v>
      </c>
      <c r="I9944" t="s">
        <v>351</v>
      </c>
      <c r="J9944" t="s">
        <v>24</v>
      </c>
      <c r="K9944" t="str">
        <f>"6F3"</f>
        <v>6F3</v>
      </c>
      <c r="L9944" t="s">
        <v>15</v>
      </c>
    </row>
    <row r="9945" spans="1:12" x14ac:dyDescent="0.25">
      <c r="A9945" t="str">
        <f>"7361165317"</f>
        <v>7361165317</v>
      </c>
      <c r="B9945" t="str">
        <f t="shared" si="425"/>
        <v>89301000</v>
      </c>
      <c r="C9945" s="1">
        <v>44518</v>
      </c>
      <c r="D9945" s="1">
        <v>44524</v>
      </c>
      <c r="E9945">
        <v>1</v>
      </c>
      <c r="F9945" t="s">
        <v>4506</v>
      </c>
      <c r="G9945" t="str">
        <f>"01-K16-02"</f>
        <v>01-K16-02</v>
      </c>
      <c r="H9945">
        <v>1.0797000000000001</v>
      </c>
      <c r="I9945" t="s">
        <v>6791</v>
      </c>
      <c r="J9945" t="s">
        <v>14</v>
      </c>
      <c r="K9945" t="str">
        <f>"5F6"</f>
        <v>5F6</v>
      </c>
      <c r="L9945" t="s">
        <v>15</v>
      </c>
    </row>
    <row r="9946" spans="1:12" x14ac:dyDescent="0.25">
      <c r="A9946" t="str">
        <f>"7361192333"</f>
        <v>7361192333</v>
      </c>
      <c r="B9946" t="str">
        <f t="shared" si="425"/>
        <v>89301000</v>
      </c>
      <c r="C9946" s="1">
        <v>44364</v>
      </c>
      <c r="D9946" s="1">
        <v>44375</v>
      </c>
      <c r="E9946">
        <v>1</v>
      </c>
      <c r="F9946" t="s">
        <v>4682</v>
      </c>
      <c r="G9946" t="str">
        <f>"07-I11-01"</f>
        <v>07-I11-01</v>
      </c>
      <c r="H9946">
        <v>3.2427999999999999</v>
      </c>
      <c r="I9946" t="s">
        <v>6792</v>
      </c>
      <c r="J9946" t="s">
        <v>14</v>
      </c>
      <c r="K9946" t="str">
        <f>"5F1"</f>
        <v>5F1</v>
      </c>
      <c r="L9946" t="s">
        <v>15</v>
      </c>
    </row>
    <row r="9947" spans="1:12" x14ac:dyDescent="0.25">
      <c r="A9947" t="str">
        <f>"7361192333"</f>
        <v>7361192333</v>
      </c>
      <c r="B9947" t="str">
        <f t="shared" si="425"/>
        <v>89301000</v>
      </c>
      <c r="C9947" s="1">
        <v>44305</v>
      </c>
      <c r="D9947" s="1">
        <v>44326</v>
      </c>
      <c r="E9947">
        <v>1</v>
      </c>
      <c r="F9947" t="s">
        <v>3791</v>
      </c>
      <c r="G9947" t="str">
        <f>"17-I04-02"</f>
        <v>17-I04-02</v>
      </c>
      <c r="H9947">
        <v>3.4542999999999999</v>
      </c>
      <c r="I9947" t="s">
        <v>6793</v>
      </c>
      <c r="J9947" t="s">
        <v>17</v>
      </c>
      <c r="K9947" t="str">
        <f>"5F1"</f>
        <v>5F1</v>
      </c>
      <c r="L9947" t="s">
        <v>15</v>
      </c>
    </row>
    <row r="9948" spans="1:12" x14ac:dyDescent="0.25">
      <c r="A9948" t="str">
        <f>"7361195787"</f>
        <v>7361195787</v>
      </c>
      <c r="B9948" t="str">
        <f t="shared" si="425"/>
        <v>89301000</v>
      </c>
      <c r="C9948" s="1">
        <v>44505</v>
      </c>
      <c r="D9948" s="1">
        <v>44506</v>
      </c>
      <c r="E9948">
        <v>1</v>
      </c>
      <c r="F9948" t="s">
        <v>5453</v>
      </c>
      <c r="G9948" t="str">
        <f>"13-I19-00"</f>
        <v>13-I19-00</v>
      </c>
      <c r="H9948">
        <v>0.24679999999999999</v>
      </c>
      <c r="J9948" t="s">
        <v>14</v>
      </c>
      <c r="K9948" t="str">
        <f>"6F3"</f>
        <v>6F3</v>
      </c>
      <c r="L9948" t="s">
        <v>15</v>
      </c>
    </row>
    <row r="9949" spans="1:12" x14ac:dyDescent="0.25">
      <c r="A9949" t="str">
        <f>"7361274943"</f>
        <v>7361274943</v>
      </c>
      <c r="B9949" t="str">
        <f t="shared" si="425"/>
        <v>89301000</v>
      </c>
      <c r="C9949" s="1">
        <v>44522</v>
      </c>
      <c r="D9949" s="1">
        <v>44525</v>
      </c>
      <c r="E9949">
        <v>1</v>
      </c>
      <c r="F9949" t="s">
        <v>167</v>
      </c>
      <c r="G9949" t="str">
        <f>"08-M03-04"</f>
        <v>08-M03-04</v>
      </c>
      <c r="H9949">
        <v>0.8609</v>
      </c>
      <c r="I9949" t="s">
        <v>6728</v>
      </c>
      <c r="J9949" t="s">
        <v>14</v>
      </c>
      <c r="K9949" t="str">
        <f>"6F6"</f>
        <v>6F6</v>
      </c>
      <c r="L9949" t="s">
        <v>15</v>
      </c>
    </row>
    <row r="9950" spans="1:12" x14ac:dyDescent="0.25">
      <c r="A9950" t="str">
        <f>"7362031721"</f>
        <v>7362031721</v>
      </c>
      <c r="B9950" t="str">
        <f t="shared" si="425"/>
        <v>89301000</v>
      </c>
      <c r="C9950" s="1">
        <v>44256</v>
      </c>
      <c r="D9950" s="1">
        <v>44270</v>
      </c>
      <c r="E9950">
        <v>1</v>
      </c>
      <c r="F9950" t="s">
        <v>3609</v>
      </c>
      <c r="G9950" t="str">
        <f>"17-I01-00"</f>
        <v>17-I01-00</v>
      </c>
      <c r="H9950">
        <v>5.8457999999999997</v>
      </c>
      <c r="I9950" t="s">
        <v>6794</v>
      </c>
      <c r="J9950" t="s">
        <v>17</v>
      </c>
      <c r="K9950" t="str">
        <f>"5F1"</f>
        <v>5F1</v>
      </c>
      <c r="L9950" t="s">
        <v>15</v>
      </c>
    </row>
    <row r="9951" spans="1:12" x14ac:dyDescent="0.25">
      <c r="A9951" t="str">
        <f>"7362034460"</f>
        <v>7362034460</v>
      </c>
      <c r="B9951" t="str">
        <f t="shared" si="425"/>
        <v>89301000</v>
      </c>
      <c r="C9951" s="1">
        <v>44493</v>
      </c>
      <c r="D9951" s="1">
        <v>44494</v>
      </c>
      <c r="E9951">
        <v>1</v>
      </c>
      <c r="F9951" t="s">
        <v>1558</v>
      </c>
      <c r="G9951" t="str">
        <f>"05-D01-06"</f>
        <v>05-D01-06</v>
      </c>
      <c r="H9951">
        <v>0.7611</v>
      </c>
      <c r="J9951" t="s">
        <v>14</v>
      </c>
      <c r="K9951" t="str">
        <f>"1F7"</f>
        <v>1F7</v>
      </c>
      <c r="L9951" t="s">
        <v>15</v>
      </c>
    </row>
    <row r="9952" spans="1:12" x14ac:dyDescent="0.25">
      <c r="A9952" t="str">
        <f>"7362035329"</f>
        <v>7362035329</v>
      </c>
      <c r="B9952" t="str">
        <f t="shared" si="425"/>
        <v>89301000</v>
      </c>
      <c r="C9952" s="1">
        <v>44398</v>
      </c>
      <c r="D9952" s="1">
        <v>44402</v>
      </c>
      <c r="E9952">
        <v>1</v>
      </c>
      <c r="F9952" t="s">
        <v>6664</v>
      </c>
      <c r="G9952" t="str">
        <f>"06-K14-02"</f>
        <v>06-K14-02</v>
      </c>
      <c r="H9952">
        <v>0.57279999999999998</v>
      </c>
      <c r="I9952" t="s">
        <v>6795</v>
      </c>
      <c r="J9952" t="s">
        <v>14</v>
      </c>
      <c r="K9952" t="str">
        <f>"5F1"</f>
        <v>5F1</v>
      </c>
      <c r="L9952" t="s">
        <v>15</v>
      </c>
    </row>
    <row r="9953" spans="1:12" x14ac:dyDescent="0.25">
      <c r="A9953" t="str">
        <f>"7362084928"</f>
        <v>7362084928</v>
      </c>
      <c r="B9953" t="str">
        <f t="shared" si="425"/>
        <v>89301000</v>
      </c>
      <c r="C9953" s="1">
        <v>44304</v>
      </c>
      <c r="D9953" s="1">
        <v>44306</v>
      </c>
      <c r="E9953">
        <v>1</v>
      </c>
      <c r="F9953" t="s">
        <v>6775</v>
      </c>
      <c r="G9953" t="str">
        <f>"08-I26-03"</f>
        <v>08-I26-03</v>
      </c>
      <c r="H9953">
        <v>0.45679999999999998</v>
      </c>
      <c r="I9953" t="s">
        <v>168</v>
      </c>
      <c r="J9953" t="s">
        <v>14</v>
      </c>
      <c r="K9953" t="str">
        <f>"5F3"</f>
        <v>5F3</v>
      </c>
      <c r="L9953" t="s">
        <v>15</v>
      </c>
    </row>
    <row r="9954" spans="1:12" x14ac:dyDescent="0.25">
      <c r="A9954" t="str">
        <f>"7362084928"</f>
        <v>7362084928</v>
      </c>
      <c r="B9954" t="str">
        <f t="shared" si="425"/>
        <v>89301000</v>
      </c>
      <c r="C9954" s="1">
        <v>44461</v>
      </c>
      <c r="D9954" s="1">
        <v>44463</v>
      </c>
      <c r="E9954">
        <v>1</v>
      </c>
      <c r="F9954" t="s">
        <v>6775</v>
      </c>
      <c r="G9954" t="str">
        <f>"08-I26-02"</f>
        <v>08-I26-02</v>
      </c>
      <c r="H9954">
        <v>0.83399999999999996</v>
      </c>
      <c r="I9954" t="s">
        <v>6796</v>
      </c>
      <c r="J9954" t="s">
        <v>14</v>
      </c>
      <c r="K9954" t="str">
        <f>"5F3"</f>
        <v>5F3</v>
      </c>
      <c r="L9954" t="s">
        <v>15</v>
      </c>
    </row>
    <row r="9955" spans="1:12" x14ac:dyDescent="0.25">
      <c r="A9955" t="str">
        <f>"7362125331"</f>
        <v>7362125331</v>
      </c>
      <c r="B9955" t="str">
        <f t="shared" si="425"/>
        <v>89301000</v>
      </c>
      <c r="C9955" s="1">
        <v>44371</v>
      </c>
      <c r="D9955" s="1">
        <v>44374</v>
      </c>
      <c r="E9955">
        <v>1</v>
      </c>
      <c r="F9955" t="s">
        <v>3568</v>
      </c>
      <c r="G9955" t="str">
        <f>"08-I03-08"</f>
        <v>08-I03-08</v>
      </c>
      <c r="H9955">
        <v>2.0605000000000002</v>
      </c>
      <c r="I9955" t="s">
        <v>6388</v>
      </c>
      <c r="J9955" t="s">
        <v>17</v>
      </c>
      <c r="K9955" t="str">
        <f>"5F6"</f>
        <v>5F6</v>
      </c>
      <c r="L9955" t="s">
        <v>15</v>
      </c>
    </row>
    <row r="9956" spans="1:12" x14ac:dyDescent="0.25">
      <c r="A9956" t="str">
        <f>"7362265339"</f>
        <v>7362265339</v>
      </c>
      <c r="B9956" t="str">
        <f t="shared" si="425"/>
        <v>89301000</v>
      </c>
      <c r="C9956" s="1">
        <v>44457</v>
      </c>
      <c r="D9956" s="1">
        <v>44461</v>
      </c>
      <c r="E9956">
        <v>1</v>
      </c>
      <c r="F9956" t="s">
        <v>3632</v>
      </c>
      <c r="G9956" t="str">
        <f>"07-K02-03"</f>
        <v>07-K02-03</v>
      </c>
      <c r="H9956">
        <v>0.7742</v>
      </c>
      <c r="I9956" t="s">
        <v>6797</v>
      </c>
      <c r="J9956" t="s">
        <v>14</v>
      </c>
      <c r="K9956" t="str">
        <f>"1F1"</f>
        <v>1F1</v>
      </c>
      <c r="L9956" t="s">
        <v>15</v>
      </c>
    </row>
    <row r="9957" spans="1:12" x14ac:dyDescent="0.25">
      <c r="A9957" t="str">
        <f>"7362305753"</f>
        <v>7362305753</v>
      </c>
      <c r="B9957" t="str">
        <f t="shared" ref="B9957:B10020" si="426">"89301000"</f>
        <v>89301000</v>
      </c>
      <c r="C9957" s="1">
        <v>44367</v>
      </c>
      <c r="D9957" s="1">
        <v>44371</v>
      </c>
      <c r="E9957">
        <v>1</v>
      </c>
      <c r="F9957" t="s">
        <v>2495</v>
      </c>
      <c r="G9957" t="str">
        <f>"13-I11-03"</f>
        <v>13-I11-03</v>
      </c>
      <c r="H9957">
        <v>1.3809</v>
      </c>
      <c r="J9957" t="s">
        <v>24</v>
      </c>
      <c r="K9957" t="str">
        <f>"6F3"</f>
        <v>6F3</v>
      </c>
      <c r="L9957" t="s">
        <v>15</v>
      </c>
    </row>
    <row r="9958" spans="1:12" x14ac:dyDescent="0.25">
      <c r="A9958" t="str">
        <f>"7401023685"</f>
        <v>7401023685</v>
      </c>
      <c r="B9958" t="str">
        <f t="shared" si="426"/>
        <v>89301000</v>
      </c>
      <c r="C9958" s="1">
        <v>44487</v>
      </c>
      <c r="D9958" s="1">
        <v>44493</v>
      </c>
      <c r="E9958">
        <v>1</v>
      </c>
      <c r="F9958" t="s">
        <v>23</v>
      </c>
      <c r="G9958" t="str">
        <f>"06-I18-01"</f>
        <v>06-I18-01</v>
      </c>
      <c r="H9958">
        <v>2.6661999999999999</v>
      </c>
      <c r="J9958" t="s">
        <v>24</v>
      </c>
      <c r="K9958" t="str">
        <f>"5F1"</f>
        <v>5F1</v>
      </c>
      <c r="L9958" t="s">
        <v>15</v>
      </c>
    </row>
    <row r="9959" spans="1:12" x14ac:dyDescent="0.25">
      <c r="A9959" t="str">
        <f>"7401065122"</f>
        <v>7401065122</v>
      </c>
      <c r="B9959" t="str">
        <f t="shared" si="426"/>
        <v>89301000</v>
      </c>
      <c r="C9959" s="1">
        <v>44333</v>
      </c>
      <c r="D9959" s="1">
        <v>44336</v>
      </c>
      <c r="E9959">
        <v>1</v>
      </c>
      <c r="F9959" t="s">
        <v>1553</v>
      </c>
      <c r="G9959" t="str">
        <f>"04-K05-03"</f>
        <v>04-K05-03</v>
      </c>
      <c r="H9959">
        <v>0.74980000000000002</v>
      </c>
      <c r="I9959" t="s">
        <v>6798</v>
      </c>
      <c r="J9959" t="s">
        <v>14</v>
      </c>
      <c r="K9959" t="str">
        <f>"2F5"</f>
        <v>2F5</v>
      </c>
      <c r="L9959" t="s">
        <v>15</v>
      </c>
    </row>
    <row r="9960" spans="1:12" x14ac:dyDescent="0.25">
      <c r="A9960" t="str">
        <f>"7401225843"</f>
        <v>7401225843</v>
      </c>
      <c r="B9960" t="str">
        <f t="shared" si="426"/>
        <v>89301000</v>
      </c>
      <c r="C9960" s="1">
        <v>44402</v>
      </c>
      <c r="D9960" s="1">
        <v>44405</v>
      </c>
      <c r="E9960">
        <v>1</v>
      </c>
      <c r="F9960" t="s">
        <v>197</v>
      </c>
      <c r="G9960" t="str">
        <f>"03-I18-02"</f>
        <v>03-I18-02</v>
      </c>
      <c r="H9960">
        <v>0.84370000000000001</v>
      </c>
      <c r="J9960" t="s">
        <v>24</v>
      </c>
      <c r="K9960" t="str">
        <f>"6F5"</f>
        <v>6F5</v>
      </c>
      <c r="L9960" t="s">
        <v>15</v>
      </c>
    </row>
    <row r="9961" spans="1:12" x14ac:dyDescent="0.25">
      <c r="A9961" t="str">
        <f>"7401274881"</f>
        <v>7401274881</v>
      </c>
      <c r="B9961" t="str">
        <f t="shared" si="426"/>
        <v>89301000</v>
      </c>
      <c r="C9961" s="1">
        <v>44252</v>
      </c>
      <c r="D9961" s="1">
        <v>44254</v>
      </c>
      <c r="E9961">
        <v>1</v>
      </c>
      <c r="F9961" t="s">
        <v>41</v>
      </c>
      <c r="G9961" t="str">
        <f>"01-D01-03"</f>
        <v>01-D01-03</v>
      </c>
      <c r="H9961">
        <v>0.158</v>
      </c>
      <c r="I9961" t="s">
        <v>489</v>
      </c>
      <c r="J9961" t="s">
        <v>14</v>
      </c>
      <c r="K9961" t="str">
        <f>"2F5"</f>
        <v>2F5</v>
      </c>
      <c r="L9961" t="s">
        <v>15</v>
      </c>
    </row>
    <row r="9962" spans="1:12" x14ac:dyDescent="0.25">
      <c r="A9962" t="str">
        <f>"7401315768"</f>
        <v>7401315768</v>
      </c>
      <c r="B9962" t="str">
        <f t="shared" si="426"/>
        <v>89301000</v>
      </c>
      <c r="C9962" s="1">
        <v>44270</v>
      </c>
      <c r="D9962" s="1">
        <v>44270</v>
      </c>
      <c r="E9962">
        <v>1</v>
      </c>
      <c r="F9962" t="s">
        <v>1557</v>
      </c>
      <c r="G9962" t="str">
        <f>"05-M06-08"</f>
        <v>05-M06-08</v>
      </c>
      <c r="H9962">
        <v>1.1200000000000001</v>
      </c>
      <c r="I9962" t="s">
        <v>489</v>
      </c>
      <c r="J9962" t="s">
        <v>17</v>
      </c>
      <c r="K9962" t="str">
        <f>"1F1"</f>
        <v>1F1</v>
      </c>
      <c r="L9962" t="s">
        <v>15</v>
      </c>
    </row>
    <row r="9963" spans="1:12" x14ac:dyDescent="0.25">
      <c r="A9963" t="str">
        <f>"7402035333"</f>
        <v>7402035333</v>
      </c>
      <c r="B9963" t="str">
        <f t="shared" si="426"/>
        <v>89301000</v>
      </c>
      <c r="C9963" s="1">
        <v>44515</v>
      </c>
      <c r="D9963" s="1">
        <v>44516</v>
      </c>
      <c r="E9963">
        <v>1</v>
      </c>
      <c r="F9963" t="s">
        <v>41</v>
      </c>
      <c r="G9963" t="str">
        <f>"01-D01-03"</f>
        <v>01-D01-03</v>
      </c>
      <c r="H9963">
        <v>0.158</v>
      </c>
      <c r="I9963" t="s">
        <v>6799</v>
      </c>
      <c r="J9963" t="s">
        <v>14</v>
      </c>
      <c r="K9963" t="str">
        <f>"2F5"</f>
        <v>2F5</v>
      </c>
      <c r="L9963" t="s">
        <v>15</v>
      </c>
    </row>
    <row r="9964" spans="1:12" x14ac:dyDescent="0.25">
      <c r="A9964" t="str">
        <f>"7402035333"</f>
        <v>7402035333</v>
      </c>
      <c r="B9964" t="str">
        <f t="shared" si="426"/>
        <v>89301000</v>
      </c>
      <c r="C9964" s="1">
        <v>44407</v>
      </c>
      <c r="D9964" s="1">
        <v>44408</v>
      </c>
      <c r="E9964">
        <v>1</v>
      </c>
      <c r="F9964" t="s">
        <v>804</v>
      </c>
      <c r="G9964" t="str">
        <f>"08-I17-02"</f>
        <v>08-I17-02</v>
      </c>
      <c r="H9964">
        <v>0.98309999999999997</v>
      </c>
      <c r="I9964" t="s">
        <v>381</v>
      </c>
      <c r="J9964" t="s">
        <v>14</v>
      </c>
      <c r="K9964" t="str">
        <f>"5F3"</f>
        <v>5F3</v>
      </c>
      <c r="L9964" t="s">
        <v>15</v>
      </c>
    </row>
    <row r="9965" spans="1:12" x14ac:dyDescent="0.25">
      <c r="A9965" t="str">
        <f>"7402135576"</f>
        <v>7402135576</v>
      </c>
      <c r="B9965" t="str">
        <f t="shared" si="426"/>
        <v>89301000</v>
      </c>
      <c r="C9965" s="1">
        <v>44529</v>
      </c>
      <c r="D9965" s="1">
        <v>44538</v>
      </c>
      <c r="E9965">
        <v>1</v>
      </c>
      <c r="F9965" t="s">
        <v>566</v>
      </c>
      <c r="G9965" t="str">
        <f>"06-I07-05"</f>
        <v>06-I07-05</v>
      </c>
      <c r="H9965">
        <v>2.8466999999999998</v>
      </c>
      <c r="J9965" t="s">
        <v>17</v>
      </c>
      <c r="K9965" t="str">
        <f>"5F1"</f>
        <v>5F1</v>
      </c>
      <c r="L9965" t="s">
        <v>15</v>
      </c>
    </row>
    <row r="9966" spans="1:12" x14ac:dyDescent="0.25">
      <c r="A9966" t="str">
        <f>"7402135576"</f>
        <v>7402135576</v>
      </c>
      <c r="B9966" t="str">
        <f t="shared" si="426"/>
        <v>89301000</v>
      </c>
      <c r="C9966" s="1">
        <v>44307</v>
      </c>
      <c r="D9966" s="1">
        <v>44316</v>
      </c>
      <c r="E9966">
        <v>1</v>
      </c>
      <c r="F9966" t="s">
        <v>566</v>
      </c>
      <c r="G9966" t="str">
        <f>"06-I13-02"</f>
        <v>06-I13-02</v>
      </c>
      <c r="H9966">
        <v>2.0766</v>
      </c>
      <c r="I9966" t="s">
        <v>5564</v>
      </c>
      <c r="J9966" t="s">
        <v>14</v>
      </c>
      <c r="K9966" t="str">
        <f>"5F1"</f>
        <v>5F1</v>
      </c>
      <c r="L9966" t="s">
        <v>15</v>
      </c>
    </row>
    <row r="9967" spans="1:12" x14ac:dyDescent="0.25">
      <c r="A9967" t="str">
        <f>"7402185340"</f>
        <v>7402185340</v>
      </c>
      <c r="B9967" t="str">
        <f t="shared" si="426"/>
        <v>89301000</v>
      </c>
      <c r="C9967" s="1">
        <v>44431</v>
      </c>
      <c r="D9967" s="1">
        <v>44434</v>
      </c>
      <c r="E9967">
        <v>1</v>
      </c>
      <c r="F9967" t="s">
        <v>3158</v>
      </c>
      <c r="G9967" t="str">
        <f>"05-M04-04"</f>
        <v>05-M04-04</v>
      </c>
      <c r="H9967">
        <v>2.2178</v>
      </c>
      <c r="I9967" t="s">
        <v>6800</v>
      </c>
      <c r="J9967" t="s">
        <v>17</v>
      </c>
      <c r="K9967" t="str">
        <f>"5F1"</f>
        <v>5F1</v>
      </c>
      <c r="L9967" t="s">
        <v>15</v>
      </c>
    </row>
    <row r="9968" spans="1:12" x14ac:dyDescent="0.25">
      <c r="A9968" t="str">
        <f>"7402215315"</f>
        <v>7402215315</v>
      </c>
      <c r="B9968" t="str">
        <f t="shared" si="426"/>
        <v>89301000</v>
      </c>
      <c r="C9968" s="1">
        <v>44311</v>
      </c>
      <c r="D9968" s="1">
        <v>44320</v>
      </c>
      <c r="E9968">
        <v>1</v>
      </c>
      <c r="F9968" t="s">
        <v>6143</v>
      </c>
      <c r="G9968" t="str">
        <f>"03-I08-02"</f>
        <v>03-I08-02</v>
      </c>
      <c r="H9968">
        <v>1.0528</v>
      </c>
      <c r="I9968" t="s">
        <v>6801</v>
      </c>
      <c r="J9968" t="s">
        <v>17</v>
      </c>
      <c r="K9968" t="str">
        <f>"3F5"</f>
        <v>3F5</v>
      </c>
      <c r="L9968" t="s">
        <v>15</v>
      </c>
    </row>
    <row r="9969" spans="1:12" x14ac:dyDescent="0.25">
      <c r="A9969" t="str">
        <f>"7402215392"</f>
        <v>7402215392</v>
      </c>
      <c r="B9969" t="str">
        <f t="shared" si="426"/>
        <v>89301000</v>
      </c>
      <c r="C9969" s="1">
        <v>44433</v>
      </c>
      <c r="D9969" s="1">
        <v>44435</v>
      </c>
      <c r="E9969">
        <v>1</v>
      </c>
      <c r="F9969" t="s">
        <v>407</v>
      </c>
      <c r="G9969" t="str">
        <f>"03-I19-02"</f>
        <v>03-I19-02</v>
      </c>
      <c r="H9969">
        <v>0.88829999999999998</v>
      </c>
      <c r="I9969" t="s">
        <v>6802</v>
      </c>
      <c r="J9969" t="s">
        <v>14</v>
      </c>
      <c r="K9969" t="str">
        <f>"6F5"</f>
        <v>6F5</v>
      </c>
      <c r="L9969" t="s">
        <v>15</v>
      </c>
    </row>
    <row r="9970" spans="1:12" x14ac:dyDescent="0.25">
      <c r="A9970" t="str">
        <f>"7402255784"</f>
        <v>7402255784</v>
      </c>
      <c r="B9970" t="str">
        <f t="shared" si="426"/>
        <v>89301000</v>
      </c>
      <c r="C9970" s="1">
        <v>44376</v>
      </c>
      <c r="D9970" s="1">
        <v>44399</v>
      </c>
      <c r="E9970">
        <v>4</v>
      </c>
      <c r="F9970" t="s">
        <v>6584</v>
      </c>
      <c r="G9970" t="str">
        <f>"19-K06-02"</f>
        <v>19-K06-02</v>
      </c>
      <c r="H9970">
        <v>2.4085000000000001</v>
      </c>
      <c r="I9970" t="s">
        <v>2178</v>
      </c>
      <c r="J9970" t="s">
        <v>27</v>
      </c>
      <c r="K9970" t="str">
        <f>"3F5"</f>
        <v>3F5</v>
      </c>
      <c r="L9970" t="s">
        <v>15</v>
      </c>
    </row>
    <row r="9971" spans="1:12" x14ac:dyDescent="0.25">
      <c r="A9971" t="str">
        <f>"7402265365"</f>
        <v>7402265365</v>
      </c>
      <c r="B9971" t="str">
        <f t="shared" si="426"/>
        <v>89301000</v>
      </c>
      <c r="C9971" s="1">
        <v>44458</v>
      </c>
      <c r="D9971" s="1">
        <v>44461</v>
      </c>
      <c r="E9971">
        <v>1</v>
      </c>
      <c r="F9971" t="s">
        <v>309</v>
      </c>
      <c r="G9971" t="str">
        <f>"08-M03-05"</f>
        <v>08-M03-05</v>
      </c>
      <c r="H9971">
        <v>0.51759999999999995</v>
      </c>
      <c r="I9971" t="s">
        <v>3894</v>
      </c>
      <c r="J9971" t="s">
        <v>14</v>
      </c>
      <c r="K9971" t="str">
        <f>"6F6"</f>
        <v>6F6</v>
      </c>
      <c r="L9971" t="s">
        <v>15</v>
      </c>
    </row>
    <row r="9972" spans="1:12" x14ac:dyDescent="0.25">
      <c r="A9972" t="str">
        <f>"7403064471"</f>
        <v>7403064471</v>
      </c>
      <c r="B9972" t="str">
        <f t="shared" si="426"/>
        <v>89301000</v>
      </c>
      <c r="C9972" s="1">
        <v>44389</v>
      </c>
      <c r="D9972" s="1">
        <v>44391</v>
      </c>
      <c r="E9972">
        <v>1</v>
      </c>
      <c r="F9972" t="s">
        <v>457</v>
      </c>
      <c r="G9972" t="str">
        <f>"08-I16-04"</f>
        <v>08-I16-04</v>
      </c>
      <c r="H9972">
        <v>0.92159999999999997</v>
      </c>
      <c r="I9972" t="s">
        <v>6803</v>
      </c>
      <c r="J9972" t="s">
        <v>17</v>
      </c>
      <c r="K9972" t="str">
        <f>"5F3"</f>
        <v>5F3</v>
      </c>
      <c r="L9972" t="s">
        <v>15</v>
      </c>
    </row>
    <row r="9973" spans="1:12" x14ac:dyDescent="0.25">
      <c r="A9973" t="str">
        <f>"7403125807"</f>
        <v>7403125807</v>
      </c>
      <c r="B9973" t="str">
        <f t="shared" si="426"/>
        <v>89301000</v>
      </c>
      <c r="C9973" s="1">
        <v>44356</v>
      </c>
      <c r="D9973" s="1">
        <v>44358</v>
      </c>
      <c r="E9973">
        <v>1</v>
      </c>
      <c r="F9973" t="s">
        <v>550</v>
      </c>
      <c r="G9973" t="str">
        <f>"07-M02-04"</f>
        <v>07-M02-04</v>
      </c>
      <c r="H9973">
        <v>0.8528</v>
      </c>
      <c r="I9973" t="s">
        <v>6804</v>
      </c>
      <c r="J9973" t="s">
        <v>17</v>
      </c>
      <c r="K9973" t="str">
        <f>"1F5"</f>
        <v>1F5</v>
      </c>
      <c r="L9973" t="s">
        <v>15</v>
      </c>
    </row>
    <row r="9974" spans="1:12" x14ac:dyDescent="0.25">
      <c r="A9974" t="str">
        <f>"7403125807"</f>
        <v>7403125807</v>
      </c>
      <c r="B9974" t="str">
        <f t="shared" si="426"/>
        <v>89301000</v>
      </c>
      <c r="C9974" s="1">
        <v>44437</v>
      </c>
      <c r="D9974" s="1">
        <v>44442</v>
      </c>
      <c r="E9974">
        <v>1</v>
      </c>
      <c r="F9974" t="s">
        <v>4208</v>
      </c>
      <c r="G9974" t="str">
        <f>"01-I06-04"</f>
        <v>01-I06-04</v>
      </c>
      <c r="H9974">
        <v>3.6231</v>
      </c>
      <c r="J9974" t="s">
        <v>17</v>
      </c>
      <c r="K9974" t="str">
        <f>"5F6"</f>
        <v>5F6</v>
      </c>
      <c r="L9974" t="s">
        <v>15</v>
      </c>
    </row>
    <row r="9975" spans="1:12" x14ac:dyDescent="0.25">
      <c r="A9975" t="str">
        <f>"7403155397"</f>
        <v>7403155397</v>
      </c>
      <c r="B9975" t="str">
        <f t="shared" si="426"/>
        <v>89301000</v>
      </c>
      <c r="C9975" s="1">
        <v>44433</v>
      </c>
      <c r="D9975" s="1">
        <v>44435</v>
      </c>
      <c r="E9975">
        <v>1</v>
      </c>
      <c r="F9975" t="s">
        <v>5236</v>
      </c>
      <c r="G9975" t="str">
        <f>"08-I19-03"</f>
        <v>08-I19-03</v>
      </c>
      <c r="H9975">
        <v>0.65149999999999997</v>
      </c>
      <c r="I9975" t="s">
        <v>6805</v>
      </c>
      <c r="J9975" t="s">
        <v>17</v>
      </c>
      <c r="K9975" t="str">
        <f>"5F3"</f>
        <v>5F3</v>
      </c>
      <c r="L9975" t="s">
        <v>15</v>
      </c>
    </row>
    <row r="9976" spans="1:12" x14ac:dyDescent="0.25">
      <c r="A9976" t="str">
        <f>"7404144462"</f>
        <v>7404144462</v>
      </c>
      <c r="B9976" t="str">
        <f t="shared" si="426"/>
        <v>89301000</v>
      </c>
      <c r="C9976" s="1">
        <v>44529</v>
      </c>
      <c r="D9976" s="1">
        <v>44532</v>
      </c>
      <c r="E9976">
        <v>1</v>
      </c>
      <c r="F9976" t="s">
        <v>4773</v>
      </c>
      <c r="G9976" t="str">
        <f>"03-K09-01"</f>
        <v>03-K09-01</v>
      </c>
      <c r="H9976">
        <v>0.59919999999999995</v>
      </c>
      <c r="I9976" t="s">
        <v>6311</v>
      </c>
      <c r="J9976" t="s">
        <v>14</v>
      </c>
      <c r="K9976" t="str">
        <f>"6F5"</f>
        <v>6F5</v>
      </c>
      <c r="L9976" t="s">
        <v>15</v>
      </c>
    </row>
    <row r="9977" spans="1:12" x14ac:dyDescent="0.25">
      <c r="A9977" t="str">
        <f>"7404175339"</f>
        <v>7404175339</v>
      </c>
      <c r="B9977" t="str">
        <f t="shared" si="426"/>
        <v>89301000</v>
      </c>
      <c r="C9977" s="1">
        <v>44391</v>
      </c>
      <c r="D9977" s="1">
        <v>44392</v>
      </c>
      <c r="E9977">
        <v>1</v>
      </c>
      <c r="F9977" t="s">
        <v>186</v>
      </c>
      <c r="G9977" t="str">
        <f>"05-M05-03"</f>
        <v>05-M05-03</v>
      </c>
      <c r="H9977">
        <v>1.9991000000000001</v>
      </c>
      <c r="J9977" t="s">
        <v>24</v>
      </c>
      <c r="K9977" t="str">
        <f>"1F1"</f>
        <v>1F1</v>
      </c>
      <c r="L9977" t="s">
        <v>15</v>
      </c>
    </row>
    <row r="9978" spans="1:12" x14ac:dyDescent="0.25">
      <c r="A9978" t="str">
        <f>"7404185360"</f>
        <v>7404185360</v>
      </c>
      <c r="B9978" t="str">
        <f t="shared" si="426"/>
        <v>89301000</v>
      </c>
      <c r="C9978" s="1">
        <v>44301</v>
      </c>
      <c r="D9978" s="1">
        <v>44303</v>
      </c>
      <c r="E9978">
        <v>1</v>
      </c>
      <c r="F9978" t="s">
        <v>496</v>
      </c>
      <c r="G9978" t="str">
        <f>"08-M03-05"</f>
        <v>08-M03-05</v>
      </c>
      <c r="H9978">
        <v>0.51759999999999995</v>
      </c>
      <c r="I9978" t="s">
        <v>6806</v>
      </c>
      <c r="J9978" t="s">
        <v>14</v>
      </c>
      <c r="K9978" t="str">
        <f>"6F6"</f>
        <v>6F6</v>
      </c>
      <c r="L9978" t="s">
        <v>15</v>
      </c>
    </row>
    <row r="9979" spans="1:12" x14ac:dyDescent="0.25">
      <c r="A9979" t="str">
        <f>"7404185360"</f>
        <v>7404185360</v>
      </c>
      <c r="B9979" t="str">
        <f t="shared" si="426"/>
        <v>89301000</v>
      </c>
      <c r="C9979" s="1">
        <v>44360</v>
      </c>
      <c r="D9979" s="1">
        <v>44362</v>
      </c>
      <c r="E9979">
        <v>1</v>
      </c>
      <c r="F9979" t="s">
        <v>390</v>
      </c>
      <c r="G9979" t="str">
        <f>"12-I13-02"</f>
        <v>12-I13-02</v>
      </c>
      <c r="H9979">
        <v>0.57240000000000002</v>
      </c>
      <c r="J9979" t="s">
        <v>24</v>
      </c>
      <c r="K9979" t="str">
        <f>"7F6"</f>
        <v>7F6</v>
      </c>
      <c r="L9979" t="s">
        <v>15</v>
      </c>
    </row>
    <row r="9980" spans="1:12" x14ac:dyDescent="0.25">
      <c r="A9980" t="str">
        <f>"7404195788"</f>
        <v>7404195788</v>
      </c>
      <c r="B9980" t="str">
        <f t="shared" si="426"/>
        <v>89301000</v>
      </c>
      <c r="C9980" s="1">
        <v>44368</v>
      </c>
      <c r="D9980" s="1">
        <v>44369</v>
      </c>
      <c r="E9980">
        <v>1</v>
      </c>
      <c r="F9980" t="s">
        <v>457</v>
      </c>
      <c r="G9980" t="str">
        <f>"08-I16-04"</f>
        <v>08-I16-04</v>
      </c>
      <c r="H9980">
        <v>0.92159999999999997</v>
      </c>
      <c r="I9980" t="s">
        <v>512</v>
      </c>
      <c r="J9980" t="s">
        <v>17</v>
      </c>
      <c r="K9980" t="str">
        <f>"5F3"</f>
        <v>5F3</v>
      </c>
      <c r="L9980" t="s">
        <v>15</v>
      </c>
    </row>
    <row r="9981" spans="1:12" x14ac:dyDescent="0.25">
      <c r="A9981" t="str">
        <f t="shared" ref="A9981:A9987" si="427">"7404225312"</f>
        <v>7404225312</v>
      </c>
      <c r="B9981" t="str">
        <f t="shared" si="426"/>
        <v>89301000</v>
      </c>
      <c r="C9981" s="1">
        <v>44446</v>
      </c>
      <c r="D9981" s="1">
        <v>44456</v>
      </c>
      <c r="E9981">
        <v>1</v>
      </c>
      <c r="F9981" t="s">
        <v>1602</v>
      </c>
      <c r="G9981" t="str">
        <f>"05-K07-03"</f>
        <v>05-K07-03</v>
      </c>
      <c r="H9981">
        <v>1.7625999999999999</v>
      </c>
      <c r="I9981" t="s">
        <v>6807</v>
      </c>
      <c r="J9981" t="s">
        <v>14</v>
      </c>
      <c r="K9981" t="str">
        <f>"1F1"</f>
        <v>1F1</v>
      </c>
      <c r="L9981" t="s">
        <v>15</v>
      </c>
    </row>
    <row r="9982" spans="1:12" x14ac:dyDescent="0.25">
      <c r="A9982" t="str">
        <f t="shared" si="427"/>
        <v>7404225312</v>
      </c>
      <c r="B9982" t="str">
        <f t="shared" si="426"/>
        <v>89301000</v>
      </c>
      <c r="C9982" s="1">
        <v>44472</v>
      </c>
      <c r="D9982" s="1">
        <v>44485</v>
      </c>
      <c r="E9982">
        <v>7</v>
      </c>
      <c r="F9982" t="s">
        <v>998</v>
      </c>
      <c r="G9982" t="str">
        <f>"00-M01-03"</f>
        <v>00-M01-03</v>
      </c>
      <c r="H9982">
        <v>10.007999999999999</v>
      </c>
      <c r="I9982" t="s">
        <v>6808</v>
      </c>
      <c r="J9982" t="s">
        <v>14</v>
      </c>
      <c r="K9982" t="str">
        <f>"7T8"</f>
        <v>7T8</v>
      </c>
      <c r="L9982" t="s">
        <v>15</v>
      </c>
    </row>
    <row r="9983" spans="1:12" x14ac:dyDescent="0.25">
      <c r="A9983" t="str">
        <f t="shared" si="427"/>
        <v>7404225312</v>
      </c>
      <c r="B9983" t="str">
        <f t="shared" si="426"/>
        <v>89301000</v>
      </c>
      <c r="C9983" s="1">
        <v>44306</v>
      </c>
      <c r="D9983" s="1">
        <v>44322</v>
      </c>
      <c r="E9983">
        <v>4</v>
      </c>
      <c r="F9983" t="s">
        <v>1842</v>
      </c>
      <c r="G9983" t="str">
        <f>"05-I14-03"</f>
        <v>05-I14-03</v>
      </c>
      <c r="H9983">
        <v>8.1590000000000007</v>
      </c>
      <c r="I9983" t="s">
        <v>6809</v>
      </c>
      <c r="J9983" t="s">
        <v>14</v>
      </c>
      <c r="K9983" t="str">
        <f>"1F1"</f>
        <v>1F1</v>
      </c>
      <c r="L9983" t="s">
        <v>15</v>
      </c>
    </row>
    <row r="9984" spans="1:12" x14ac:dyDescent="0.25">
      <c r="A9984" t="str">
        <f t="shared" si="427"/>
        <v>7404225312</v>
      </c>
      <c r="B9984" t="str">
        <f t="shared" si="426"/>
        <v>89301000</v>
      </c>
      <c r="C9984" s="1">
        <v>44286</v>
      </c>
      <c r="D9984" s="1">
        <v>44293</v>
      </c>
      <c r="E9984">
        <v>5</v>
      </c>
      <c r="F9984" t="s">
        <v>821</v>
      </c>
      <c r="G9984" t="str">
        <f>"05-I21-02"</f>
        <v>05-I21-02</v>
      </c>
      <c r="H9984">
        <v>1.6566000000000001</v>
      </c>
      <c r="I9984" t="s">
        <v>6810</v>
      </c>
      <c r="J9984" t="s">
        <v>14</v>
      </c>
      <c r="K9984" t="str">
        <f>"1F1"</f>
        <v>1F1</v>
      </c>
      <c r="L9984" t="s">
        <v>15</v>
      </c>
    </row>
    <row r="9985" spans="1:12" x14ac:dyDescent="0.25">
      <c r="A9985" t="str">
        <f t="shared" si="427"/>
        <v>7404225312</v>
      </c>
      <c r="B9985" t="str">
        <f t="shared" si="426"/>
        <v>89301000</v>
      </c>
      <c r="C9985" s="1">
        <v>44234</v>
      </c>
      <c r="D9985" s="1">
        <v>44237</v>
      </c>
      <c r="E9985">
        <v>4</v>
      </c>
      <c r="F9985" t="s">
        <v>3158</v>
      </c>
      <c r="G9985" t="str">
        <f>"05-M07-06"</f>
        <v>05-M07-06</v>
      </c>
      <c r="H9985">
        <v>1.365</v>
      </c>
      <c r="I9985" t="s">
        <v>6811</v>
      </c>
      <c r="J9985" t="s">
        <v>17</v>
      </c>
      <c r="K9985" t="str">
        <f>"5F1"</f>
        <v>5F1</v>
      </c>
      <c r="L9985" t="s">
        <v>15</v>
      </c>
    </row>
    <row r="9986" spans="1:12" x14ac:dyDescent="0.25">
      <c r="A9986" t="str">
        <f t="shared" si="427"/>
        <v>7404225312</v>
      </c>
      <c r="B9986" t="str">
        <f t="shared" si="426"/>
        <v>89301000</v>
      </c>
      <c r="C9986" s="1">
        <v>44201</v>
      </c>
      <c r="D9986" s="1">
        <v>44209</v>
      </c>
      <c r="E9986">
        <v>5</v>
      </c>
      <c r="F9986" t="s">
        <v>1420</v>
      </c>
      <c r="G9986" t="str">
        <f>"03-K02-02"</f>
        <v>03-K02-02</v>
      </c>
      <c r="H9986">
        <v>0.56889999999999996</v>
      </c>
      <c r="I9986" t="s">
        <v>6812</v>
      </c>
      <c r="J9986" t="s">
        <v>14</v>
      </c>
      <c r="K9986" t="str">
        <f>"1F6"</f>
        <v>1F6</v>
      </c>
      <c r="L9986" t="s">
        <v>15</v>
      </c>
    </row>
    <row r="9987" spans="1:12" x14ac:dyDescent="0.25">
      <c r="A9987" t="str">
        <f t="shared" si="427"/>
        <v>7404225312</v>
      </c>
      <c r="B9987" t="str">
        <f t="shared" si="426"/>
        <v>89301000</v>
      </c>
      <c r="C9987" s="1">
        <v>44221</v>
      </c>
      <c r="D9987" s="1">
        <v>44234</v>
      </c>
      <c r="E9987">
        <v>3</v>
      </c>
      <c r="F9987" t="s">
        <v>109</v>
      </c>
      <c r="G9987" t="str">
        <f>"24-M07-02"</f>
        <v>24-M07-02</v>
      </c>
      <c r="H9987">
        <v>1.5094000000000001</v>
      </c>
      <c r="I9987" t="s">
        <v>6813</v>
      </c>
      <c r="J9987" t="s">
        <v>14</v>
      </c>
      <c r="K9987" t="str">
        <f>"2F1"</f>
        <v>2F1</v>
      </c>
      <c r="L9987" t="s">
        <v>15</v>
      </c>
    </row>
    <row r="9988" spans="1:12" x14ac:dyDescent="0.25">
      <c r="A9988" t="str">
        <f>"7404305425"</f>
        <v>7404305425</v>
      </c>
      <c r="B9988" t="str">
        <f t="shared" si="426"/>
        <v>89301000</v>
      </c>
      <c r="C9988" s="1">
        <v>44521</v>
      </c>
      <c r="D9988" s="1">
        <v>44532</v>
      </c>
      <c r="E9988">
        <v>5</v>
      </c>
      <c r="F9988" t="s">
        <v>6814</v>
      </c>
      <c r="G9988" t="str">
        <f>"25-I02-02"</f>
        <v>25-I02-02</v>
      </c>
      <c r="H9988">
        <v>5.8459000000000003</v>
      </c>
      <c r="I9988" t="s">
        <v>6815</v>
      </c>
      <c r="J9988" t="s">
        <v>17</v>
      </c>
      <c r="K9988" t="str">
        <f>"5F3"</f>
        <v>5F3</v>
      </c>
      <c r="L9988" t="s">
        <v>15</v>
      </c>
    </row>
    <row r="9989" spans="1:12" x14ac:dyDescent="0.25">
      <c r="A9989" t="str">
        <f>"7405185436"</f>
        <v>7405185436</v>
      </c>
      <c r="B9989" t="str">
        <f t="shared" si="426"/>
        <v>89301000</v>
      </c>
      <c r="C9989" s="1">
        <v>44320</v>
      </c>
      <c r="D9989" s="1">
        <v>44322</v>
      </c>
      <c r="E9989">
        <v>1</v>
      </c>
      <c r="F9989" t="s">
        <v>1716</v>
      </c>
      <c r="G9989" t="str">
        <f>"11-M05-01"</f>
        <v>11-M05-01</v>
      </c>
      <c r="H9989">
        <v>1.2476</v>
      </c>
      <c r="I9989" t="s">
        <v>6816</v>
      </c>
      <c r="J9989" t="s">
        <v>17</v>
      </c>
      <c r="K9989" t="str">
        <f>"7F6"</f>
        <v>7F6</v>
      </c>
      <c r="L9989" t="s">
        <v>15</v>
      </c>
    </row>
    <row r="9990" spans="1:12" x14ac:dyDescent="0.25">
      <c r="A9990" t="str">
        <f>"7405215763"</f>
        <v>7405215763</v>
      </c>
      <c r="B9990" t="str">
        <f t="shared" si="426"/>
        <v>89301000</v>
      </c>
      <c r="C9990" s="1">
        <v>44341</v>
      </c>
      <c r="D9990" s="1">
        <v>44343</v>
      </c>
      <c r="E9990">
        <v>1</v>
      </c>
      <c r="F9990" t="s">
        <v>1557</v>
      </c>
      <c r="G9990" t="str">
        <f>"05-D01-08"</f>
        <v>05-D01-08</v>
      </c>
      <c r="H9990">
        <v>0.70130000000000003</v>
      </c>
      <c r="I9990" t="s">
        <v>2428</v>
      </c>
      <c r="J9990" t="s">
        <v>14</v>
      </c>
      <c r="K9990" t="str">
        <f>"1F1"</f>
        <v>1F1</v>
      </c>
      <c r="L9990" t="s">
        <v>15</v>
      </c>
    </row>
    <row r="9991" spans="1:12" x14ac:dyDescent="0.25">
      <c r="A9991" t="str">
        <f>"7405215763"</f>
        <v>7405215763</v>
      </c>
      <c r="B9991" t="str">
        <f t="shared" si="426"/>
        <v>89301000</v>
      </c>
      <c r="C9991" s="1">
        <v>44311</v>
      </c>
      <c r="D9991" s="1">
        <v>44313</v>
      </c>
      <c r="E9991">
        <v>1</v>
      </c>
      <c r="F9991" t="s">
        <v>38</v>
      </c>
      <c r="G9991" t="str">
        <f>"05-M06-06"</f>
        <v>05-M06-06</v>
      </c>
      <c r="H9991">
        <v>1.7652000000000001</v>
      </c>
      <c r="I9991" t="s">
        <v>2283</v>
      </c>
      <c r="J9991" t="s">
        <v>17</v>
      </c>
      <c r="K9991" t="str">
        <f>"1F1"</f>
        <v>1F1</v>
      </c>
      <c r="L9991" t="s">
        <v>15</v>
      </c>
    </row>
    <row r="9992" spans="1:12" x14ac:dyDescent="0.25">
      <c r="A9992" t="str">
        <f>"7405244484"</f>
        <v>7405244484</v>
      </c>
      <c r="B9992" t="str">
        <f t="shared" si="426"/>
        <v>89301000</v>
      </c>
      <c r="C9992" s="1">
        <v>44518</v>
      </c>
      <c r="D9992" s="1">
        <v>44520</v>
      </c>
      <c r="E9992">
        <v>1</v>
      </c>
      <c r="F9992" t="s">
        <v>309</v>
      </c>
      <c r="G9992" t="str">
        <f>"08-M03-05"</f>
        <v>08-M03-05</v>
      </c>
      <c r="H9992">
        <v>0.51759999999999995</v>
      </c>
      <c r="I9992" t="s">
        <v>6817</v>
      </c>
      <c r="J9992" t="s">
        <v>14</v>
      </c>
      <c r="K9992" t="str">
        <f>"6F6"</f>
        <v>6F6</v>
      </c>
      <c r="L9992" t="s">
        <v>15</v>
      </c>
    </row>
    <row r="9993" spans="1:12" x14ac:dyDescent="0.25">
      <c r="A9993" t="str">
        <f>"7406185765"</f>
        <v>7406185765</v>
      </c>
      <c r="B9993" t="str">
        <f t="shared" si="426"/>
        <v>89301000</v>
      </c>
      <c r="C9993" s="1">
        <v>44214</v>
      </c>
      <c r="D9993" s="1">
        <v>44231</v>
      </c>
      <c r="E9993">
        <v>1</v>
      </c>
      <c r="F9993" t="s">
        <v>5534</v>
      </c>
      <c r="G9993" t="str">
        <f>"20-K05-02"</f>
        <v>20-K05-02</v>
      </c>
      <c r="H9993">
        <v>1.9813000000000001</v>
      </c>
      <c r="I9993" t="s">
        <v>6818</v>
      </c>
      <c r="J9993" t="s">
        <v>14</v>
      </c>
      <c r="K9993" t="str">
        <f>"3F5"</f>
        <v>3F5</v>
      </c>
      <c r="L9993" t="s">
        <v>15</v>
      </c>
    </row>
    <row r="9994" spans="1:12" x14ac:dyDescent="0.25">
      <c r="A9994" t="str">
        <f>"7406185820"</f>
        <v>7406185820</v>
      </c>
      <c r="B9994" t="str">
        <f t="shared" si="426"/>
        <v>89301000</v>
      </c>
      <c r="C9994" s="1">
        <v>44348</v>
      </c>
      <c r="D9994" s="1">
        <v>44354</v>
      </c>
      <c r="E9994">
        <v>1</v>
      </c>
      <c r="F9994" t="s">
        <v>6819</v>
      </c>
      <c r="G9994" t="str">
        <f>"04-I05-03"</f>
        <v>04-I05-03</v>
      </c>
      <c r="H9994">
        <v>2.1143000000000001</v>
      </c>
      <c r="J9994" t="s">
        <v>106</v>
      </c>
      <c r="K9994" t="str">
        <f>"5F1"</f>
        <v>5F1</v>
      </c>
      <c r="L9994" t="s">
        <v>15</v>
      </c>
    </row>
    <row r="9995" spans="1:12" x14ac:dyDescent="0.25">
      <c r="A9995" t="str">
        <f>"7406185820"</f>
        <v>7406185820</v>
      </c>
      <c r="B9995" t="str">
        <f t="shared" si="426"/>
        <v>89301000</v>
      </c>
      <c r="C9995" s="1">
        <v>44280</v>
      </c>
      <c r="D9995" s="1">
        <v>44281</v>
      </c>
      <c r="E9995">
        <v>1</v>
      </c>
      <c r="F9995" t="s">
        <v>6820</v>
      </c>
      <c r="G9995" t="str">
        <f>"16-K07-00"</f>
        <v>16-K07-00</v>
      </c>
      <c r="H9995">
        <v>0.64170000000000005</v>
      </c>
      <c r="J9995" t="s">
        <v>14</v>
      </c>
      <c r="K9995" t="str">
        <f>"1F1"</f>
        <v>1F1</v>
      </c>
      <c r="L9995" t="s">
        <v>15</v>
      </c>
    </row>
    <row r="9996" spans="1:12" x14ac:dyDescent="0.25">
      <c r="A9996" t="str">
        <f>"7406285381"</f>
        <v>7406285381</v>
      </c>
      <c r="B9996" t="str">
        <f t="shared" si="426"/>
        <v>89301000</v>
      </c>
      <c r="C9996" s="1">
        <v>44306</v>
      </c>
      <c r="D9996" s="1">
        <v>44311</v>
      </c>
      <c r="E9996">
        <v>1</v>
      </c>
      <c r="F9996" t="s">
        <v>217</v>
      </c>
      <c r="G9996" t="str">
        <f>"04-K02-04"</f>
        <v>04-K02-04</v>
      </c>
      <c r="H9996">
        <v>0.82469999999999999</v>
      </c>
      <c r="I9996" t="s">
        <v>6821</v>
      </c>
      <c r="J9996" t="s">
        <v>14</v>
      </c>
      <c r="K9996" t="str">
        <f>"1F1"</f>
        <v>1F1</v>
      </c>
      <c r="L9996" t="s">
        <v>15</v>
      </c>
    </row>
    <row r="9997" spans="1:12" x14ac:dyDescent="0.25">
      <c r="A9997" t="str">
        <f>"7406295369"</f>
        <v>7406295369</v>
      </c>
      <c r="B9997" t="str">
        <f t="shared" si="426"/>
        <v>89301000</v>
      </c>
      <c r="C9997" s="1">
        <v>44491</v>
      </c>
      <c r="D9997" s="1">
        <v>44492</v>
      </c>
      <c r="E9997">
        <v>1</v>
      </c>
      <c r="F9997" t="s">
        <v>174</v>
      </c>
      <c r="G9997" t="str">
        <f>"12-I14-00"</f>
        <v>12-I14-00</v>
      </c>
      <c r="H9997">
        <v>0.44350000000000001</v>
      </c>
      <c r="J9997" t="s">
        <v>14</v>
      </c>
      <c r="K9997" t="str">
        <f>"7F6"</f>
        <v>7F6</v>
      </c>
      <c r="L9997" t="s">
        <v>15</v>
      </c>
    </row>
    <row r="9998" spans="1:12" x14ac:dyDescent="0.25">
      <c r="A9998" t="str">
        <f>"7406305390"</f>
        <v>7406305390</v>
      </c>
      <c r="B9998" t="str">
        <f t="shared" si="426"/>
        <v>89301000</v>
      </c>
      <c r="C9998" s="1">
        <v>44281</v>
      </c>
      <c r="D9998" s="1">
        <v>44287</v>
      </c>
      <c r="E9998">
        <v>1</v>
      </c>
      <c r="F9998" t="s">
        <v>401</v>
      </c>
      <c r="G9998" t="str">
        <f>"04-K04-02"</f>
        <v>04-K04-02</v>
      </c>
      <c r="H9998">
        <v>0.50619999999999998</v>
      </c>
      <c r="I9998" t="s">
        <v>489</v>
      </c>
      <c r="J9998" t="s">
        <v>14</v>
      </c>
      <c r="K9998" t="str">
        <f>"2F5"</f>
        <v>2F5</v>
      </c>
      <c r="L9998" t="s">
        <v>15</v>
      </c>
    </row>
    <row r="9999" spans="1:12" x14ac:dyDescent="0.25">
      <c r="A9999" t="str">
        <f>"7407064423"</f>
        <v>7407064423</v>
      </c>
      <c r="B9999" t="str">
        <f t="shared" si="426"/>
        <v>89301000</v>
      </c>
      <c r="C9999" s="1">
        <v>44552</v>
      </c>
      <c r="D9999" s="1">
        <v>44558</v>
      </c>
      <c r="E9999">
        <v>1</v>
      </c>
      <c r="F9999" t="s">
        <v>6822</v>
      </c>
      <c r="G9999" t="str">
        <f>"04-K14-03"</f>
        <v>04-K14-03</v>
      </c>
      <c r="H9999">
        <v>0.78710000000000002</v>
      </c>
      <c r="I9999" t="s">
        <v>6823</v>
      </c>
      <c r="J9999" t="s">
        <v>14</v>
      </c>
      <c r="K9999" t="str">
        <f>"5F3"</f>
        <v>5F3</v>
      </c>
      <c r="L9999" t="s">
        <v>15</v>
      </c>
    </row>
    <row r="10000" spans="1:12" x14ac:dyDescent="0.25">
      <c r="A10000" t="str">
        <f>"7407154491"</f>
        <v>7407154491</v>
      </c>
      <c r="B10000" t="str">
        <f t="shared" si="426"/>
        <v>89301000</v>
      </c>
      <c r="C10000" s="1">
        <v>44420</v>
      </c>
      <c r="D10000" s="1">
        <v>44426</v>
      </c>
      <c r="E10000">
        <v>1</v>
      </c>
      <c r="F10000" t="s">
        <v>718</v>
      </c>
      <c r="G10000" t="str">
        <f>"06-I12-03"</f>
        <v>06-I12-03</v>
      </c>
      <c r="H10000">
        <v>1.8894</v>
      </c>
      <c r="J10000" t="s">
        <v>14</v>
      </c>
      <c r="K10000" t="str">
        <f>"5F1"</f>
        <v>5F1</v>
      </c>
      <c r="L10000" t="s">
        <v>15</v>
      </c>
    </row>
    <row r="10001" spans="1:12" x14ac:dyDescent="0.25">
      <c r="A10001" t="str">
        <f>"7407185797"</f>
        <v>7407185797</v>
      </c>
      <c r="B10001" t="str">
        <f t="shared" si="426"/>
        <v>89301000</v>
      </c>
      <c r="C10001" s="1">
        <v>44427</v>
      </c>
      <c r="D10001" s="1">
        <v>44428</v>
      </c>
      <c r="E10001">
        <v>1</v>
      </c>
      <c r="F10001" t="s">
        <v>41</v>
      </c>
      <c r="G10001" t="str">
        <f>"01-D01-03"</f>
        <v>01-D01-03</v>
      </c>
      <c r="H10001">
        <v>0.158</v>
      </c>
      <c r="I10001" t="s">
        <v>4487</v>
      </c>
      <c r="J10001" t="s">
        <v>14</v>
      </c>
      <c r="K10001" t="str">
        <f>"2F5"</f>
        <v>2F5</v>
      </c>
      <c r="L10001" t="s">
        <v>15</v>
      </c>
    </row>
    <row r="10002" spans="1:12" x14ac:dyDescent="0.25">
      <c r="A10002" t="str">
        <f>"7407185797"</f>
        <v>7407185797</v>
      </c>
      <c r="B10002" t="str">
        <f t="shared" si="426"/>
        <v>89301000</v>
      </c>
      <c r="C10002" s="1">
        <v>44505</v>
      </c>
      <c r="D10002" s="1">
        <v>44508</v>
      </c>
      <c r="E10002">
        <v>1</v>
      </c>
      <c r="F10002" t="s">
        <v>41</v>
      </c>
      <c r="G10002" t="str">
        <f>"01-D01-03"</f>
        <v>01-D01-03</v>
      </c>
      <c r="H10002">
        <v>0.2054</v>
      </c>
      <c r="I10002" t="s">
        <v>6824</v>
      </c>
      <c r="J10002" t="s">
        <v>14</v>
      </c>
      <c r="K10002" t="str">
        <f>"2F5"</f>
        <v>2F5</v>
      </c>
      <c r="L10002" t="s">
        <v>15</v>
      </c>
    </row>
    <row r="10003" spans="1:12" x14ac:dyDescent="0.25">
      <c r="A10003" t="str">
        <f>"7407265305"</f>
        <v>7407265305</v>
      </c>
      <c r="B10003" t="str">
        <f t="shared" si="426"/>
        <v>89301000</v>
      </c>
      <c r="C10003" s="1">
        <v>44250</v>
      </c>
      <c r="D10003" s="1">
        <v>44252</v>
      </c>
      <c r="E10003">
        <v>1</v>
      </c>
      <c r="F10003" t="s">
        <v>635</v>
      </c>
      <c r="G10003" t="str">
        <f>"01-K16-06"</f>
        <v>01-K16-06</v>
      </c>
      <c r="H10003">
        <v>0.26469999999999999</v>
      </c>
      <c r="I10003" t="s">
        <v>6825</v>
      </c>
      <c r="J10003" t="s">
        <v>14</v>
      </c>
      <c r="K10003" t="str">
        <f>"5F3"</f>
        <v>5F3</v>
      </c>
      <c r="L10003" t="s">
        <v>15</v>
      </c>
    </row>
    <row r="10004" spans="1:12" x14ac:dyDescent="0.25">
      <c r="A10004" t="str">
        <f>"7407308601"</f>
        <v>7407308601</v>
      </c>
      <c r="B10004" t="str">
        <f t="shared" si="426"/>
        <v>89301000</v>
      </c>
      <c r="C10004" s="1">
        <v>44264</v>
      </c>
      <c r="D10004" s="1">
        <v>44267</v>
      </c>
      <c r="E10004">
        <v>1</v>
      </c>
      <c r="F10004" t="s">
        <v>41</v>
      </c>
      <c r="G10004" t="str">
        <f>"01-D01-03"</f>
        <v>01-D01-03</v>
      </c>
      <c r="H10004">
        <v>0.2054</v>
      </c>
      <c r="I10004" t="s">
        <v>1892</v>
      </c>
      <c r="J10004" t="s">
        <v>14</v>
      </c>
      <c r="K10004" t="str">
        <f>"2F5"</f>
        <v>2F5</v>
      </c>
      <c r="L10004" t="s">
        <v>15</v>
      </c>
    </row>
    <row r="10005" spans="1:12" x14ac:dyDescent="0.25">
      <c r="A10005" t="str">
        <f>"7407314475"</f>
        <v>7407314475</v>
      </c>
      <c r="B10005" t="str">
        <f t="shared" si="426"/>
        <v>89301000</v>
      </c>
      <c r="C10005" s="1">
        <v>44536</v>
      </c>
      <c r="D10005" s="1">
        <v>44538</v>
      </c>
      <c r="E10005">
        <v>1</v>
      </c>
      <c r="F10005" t="s">
        <v>2111</v>
      </c>
      <c r="G10005" t="str">
        <f>"10-K15-02"</f>
        <v>10-K15-02</v>
      </c>
      <c r="H10005">
        <v>0.77639999999999998</v>
      </c>
      <c r="I10005" t="s">
        <v>5026</v>
      </c>
      <c r="J10005" t="s">
        <v>14</v>
      </c>
      <c r="K10005" t="str">
        <f>"2F5"</f>
        <v>2F5</v>
      </c>
      <c r="L10005" t="s">
        <v>15</v>
      </c>
    </row>
    <row r="10006" spans="1:12" x14ac:dyDescent="0.25">
      <c r="A10006" t="str">
        <f>"7408045766"</f>
        <v>7408045766</v>
      </c>
      <c r="B10006" t="str">
        <f t="shared" si="426"/>
        <v>89301000</v>
      </c>
      <c r="C10006" s="1">
        <v>44242</v>
      </c>
      <c r="D10006" s="1">
        <v>44243</v>
      </c>
      <c r="E10006">
        <v>1</v>
      </c>
      <c r="F10006" t="s">
        <v>2111</v>
      </c>
      <c r="G10006" t="str">
        <f>"10-K15-02"</f>
        <v>10-K15-02</v>
      </c>
      <c r="H10006">
        <v>0.51819999999999999</v>
      </c>
      <c r="I10006" t="s">
        <v>6826</v>
      </c>
      <c r="J10006" t="s">
        <v>14</v>
      </c>
      <c r="K10006" t="str">
        <f>"2F5"</f>
        <v>2F5</v>
      </c>
      <c r="L10006" t="s">
        <v>15</v>
      </c>
    </row>
    <row r="10007" spans="1:12" x14ac:dyDescent="0.25">
      <c r="A10007" t="str">
        <f>"7408155238"</f>
        <v>7408155238</v>
      </c>
      <c r="B10007" t="str">
        <f t="shared" si="426"/>
        <v>89301000</v>
      </c>
      <c r="C10007" s="1">
        <v>44424</v>
      </c>
      <c r="D10007" s="1">
        <v>44442</v>
      </c>
      <c r="E10007">
        <v>5</v>
      </c>
      <c r="F10007" t="s">
        <v>5250</v>
      </c>
      <c r="G10007" t="str">
        <f>"00-M02-04"</f>
        <v>00-M02-04</v>
      </c>
      <c r="H10007">
        <v>12.351900000000001</v>
      </c>
      <c r="I10007" t="s">
        <v>6827</v>
      </c>
      <c r="J10007" t="s">
        <v>14</v>
      </c>
      <c r="K10007" t="str">
        <f>"7T8"</f>
        <v>7T8</v>
      </c>
      <c r="L10007" t="s">
        <v>15</v>
      </c>
    </row>
    <row r="10008" spans="1:12" x14ac:dyDescent="0.25">
      <c r="A10008" t="str">
        <f>"7408155238"</f>
        <v>7408155238</v>
      </c>
      <c r="B10008" t="str">
        <f t="shared" si="426"/>
        <v>89301000</v>
      </c>
      <c r="C10008" s="1">
        <v>44459</v>
      </c>
      <c r="D10008" s="1">
        <v>44481</v>
      </c>
      <c r="E10008">
        <v>2</v>
      </c>
      <c r="F10008" t="s">
        <v>962</v>
      </c>
      <c r="G10008" t="str">
        <f>"04-K08-02"</f>
        <v>04-K08-02</v>
      </c>
      <c r="H10008">
        <v>2.6110000000000002</v>
      </c>
      <c r="I10008" t="s">
        <v>6828</v>
      </c>
      <c r="J10008" t="s">
        <v>14</v>
      </c>
      <c r="K10008" t="str">
        <f>"1F1"</f>
        <v>1F1</v>
      </c>
      <c r="L10008" t="s">
        <v>15</v>
      </c>
    </row>
    <row r="10009" spans="1:12" x14ac:dyDescent="0.25">
      <c r="A10009" t="str">
        <f>"7408165787"</f>
        <v>7408165787</v>
      </c>
      <c r="B10009" t="str">
        <f t="shared" si="426"/>
        <v>89301000</v>
      </c>
      <c r="C10009" s="1">
        <v>44199</v>
      </c>
      <c r="D10009" s="1">
        <v>44202</v>
      </c>
      <c r="E10009">
        <v>5</v>
      </c>
      <c r="F10009" t="s">
        <v>217</v>
      </c>
      <c r="G10009" t="str">
        <f>"04-K02-03"</f>
        <v>04-K02-03</v>
      </c>
      <c r="H10009">
        <v>1.2859</v>
      </c>
      <c r="I10009" t="s">
        <v>6829</v>
      </c>
      <c r="J10009" t="s">
        <v>14</v>
      </c>
      <c r="K10009" t="str">
        <f>"1F1"</f>
        <v>1F1</v>
      </c>
      <c r="L10009" t="s">
        <v>15</v>
      </c>
    </row>
    <row r="10010" spans="1:12" x14ac:dyDescent="0.25">
      <c r="A10010" t="str">
        <f>"7408275754"</f>
        <v>7408275754</v>
      </c>
      <c r="B10010" t="str">
        <f t="shared" si="426"/>
        <v>89301000</v>
      </c>
      <c r="C10010" s="1">
        <v>44414</v>
      </c>
      <c r="D10010" s="1">
        <v>44418</v>
      </c>
      <c r="E10010">
        <v>1</v>
      </c>
      <c r="F10010" t="s">
        <v>974</v>
      </c>
      <c r="G10010" t="str">
        <f>"05-K02-02"</f>
        <v>05-K02-02</v>
      </c>
      <c r="H10010">
        <v>0.84079999999999999</v>
      </c>
      <c r="I10010" t="s">
        <v>1959</v>
      </c>
      <c r="J10010" t="s">
        <v>14</v>
      </c>
      <c r="K10010" t="str">
        <f>"1F7"</f>
        <v>1F7</v>
      </c>
      <c r="L10010" t="s">
        <v>15</v>
      </c>
    </row>
    <row r="10011" spans="1:12" x14ac:dyDescent="0.25">
      <c r="A10011" t="str">
        <f>"7408275754"</f>
        <v>7408275754</v>
      </c>
      <c r="B10011" t="str">
        <f t="shared" si="426"/>
        <v>89301000</v>
      </c>
      <c r="C10011" s="1">
        <v>44305</v>
      </c>
      <c r="D10011" s="1">
        <v>44315</v>
      </c>
      <c r="E10011">
        <v>4</v>
      </c>
      <c r="F10011" t="s">
        <v>3002</v>
      </c>
      <c r="G10011" t="str">
        <f>"05-I08-02"</f>
        <v>05-I08-02</v>
      </c>
      <c r="H10011">
        <v>7.0251999999999999</v>
      </c>
      <c r="I10011" t="s">
        <v>2859</v>
      </c>
      <c r="J10011" t="s">
        <v>17</v>
      </c>
      <c r="K10011" t="str">
        <f>"5F5"</f>
        <v>5F5</v>
      </c>
      <c r="L10011" t="s">
        <v>15</v>
      </c>
    </row>
    <row r="10012" spans="1:12" x14ac:dyDescent="0.25">
      <c r="A10012" t="str">
        <f>"7409135349"</f>
        <v>7409135349</v>
      </c>
      <c r="B10012" t="str">
        <f t="shared" si="426"/>
        <v>89301000</v>
      </c>
      <c r="C10012" s="1">
        <v>44462</v>
      </c>
      <c r="D10012" s="1">
        <v>44466</v>
      </c>
      <c r="E10012">
        <v>1</v>
      </c>
      <c r="F10012" t="s">
        <v>4541</v>
      </c>
      <c r="G10012" t="str">
        <f>"03-K04-01"</f>
        <v>03-K04-01</v>
      </c>
      <c r="H10012">
        <v>0.46660000000000001</v>
      </c>
      <c r="J10012" t="s">
        <v>14</v>
      </c>
      <c r="K10012" t="str">
        <f>"7F1"</f>
        <v>7F1</v>
      </c>
      <c r="L10012" t="s">
        <v>15</v>
      </c>
    </row>
    <row r="10013" spans="1:12" x14ac:dyDescent="0.25">
      <c r="A10013" t="str">
        <f>"7409235823"</f>
        <v>7409235823</v>
      </c>
      <c r="B10013" t="str">
        <f t="shared" si="426"/>
        <v>89301000</v>
      </c>
      <c r="C10013" s="1">
        <v>44259</v>
      </c>
      <c r="D10013" s="1">
        <v>44260</v>
      </c>
      <c r="E10013">
        <v>1</v>
      </c>
      <c r="F10013" t="s">
        <v>5705</v>
      </c>
      <c r="G10013" t="str">
        <f>"08-I25-02"</f>
        <v>08-I25-02</v>
      </c>
      <c r="H10013">
        <v>0.5746</v>
      </c>
      <c r="J10013" t="s">
        <v>14</v>
      </c>
      <c r="K10013" t="str">
        <f>"6F1"</f>
        <v>6F1</v>
      </c>
      <c r="L10013" t="s">
        <v>15</v>
      </c>
    </row>
    <row r="10014" spans="1:12" x14ac:dyDescent="0.25">
      <c r="A10014" t="str">
        <f>"7410045753"</f>
        <v>7410045753</v>
      </c>
      <c r="B10014" t="str">
        <f t="shared" si="426"/>
        <v>89301000</v>
      </c>
      <c r="C10014" s="1">
        <v>44414</v>
      </c>
      <c r="D10014" s="1">
        <v>44417</v>
      </c>
      <c r="E10014">
        <v>1</v>
      </c>
      <c r="F10014" t="s">
        <v>41</v>
      </c>
      <c r="G10014" t="str">
        <f>"01-D01-03"</f>
        <v>01-D01-03</v>
      </c>
      <c r="H10014">
        <v>0.2054</v>
      </c>
      <c r="I10014" t="s">
        <v>489</v>
      </c>
      <c r="J10014" t="s">
        <v>14</v>
      </c>
      <c r="K10014" t="str">
        <f>"2F5"</f>
        <v>2F5</v>
      </c>
      <c r="L10014" t="s">
        <v>15</v>
      </c>
    </row>
    <row r="10015" spans="1:12" x14ac:dyDescent="0.25">
      <c r="A10015" t="str">
        <f>"7410115317"</f>
        <v>7410115317</v>
      </c>
      <c r="B10015" t="str">
        <f t="shared" si="426"/>
        <v>89301000</v>
      </c>
      <c r="C10015" s="1">
        <v>44221</v>
      </c>
      <c r="D10015" s="1">
        <v>44225</v>
      </c>
      <c r="E10015">
        <v>1</v>
      </c>
      <c r="F10015" t="s">
        <v>593</v>
      </c>
      <c r="G10015" t="str">
        <f>"07-I10-06"</f>
        <v>07-I10-06</v>
      </c>
      <c r="H10015">
        <v>0.9728</v>
      </c>
      <c r="J10015" t="s">
        <v>17</v>
      </c>
      <c r="K10015" t="str">
        <f>"5F1"</f>
        <v>5F1</v>
      </c>
      <c r="L10015" t="s">
        <v>15</v>
      </c>
    </row>
    <row r="10016" spans="1:12" x14ac:dyDescent="0.25">
      <c r="A10016" t="str">
        <f>"7410154455"</f>
        <v>7410154455</v>
      </c>
      <c r="B10016" t="str">
        <f t="shared" si="426"/>
        <v>89301000</v>
      </c>
      <c r="C10016" s="1">
        <v>44316</v>
      </c>
      <c r="D10016" s="1">
        <v>44320</v>
      </c>
      <c r="E10016">
        <v>1</v>
      </c>
      <c r="F10016" t="s">
        <v>217</v>
      </c>
      <c r="G10016" t="str">
        <f>"04-K02-03"</f>
        <v>04-K02-03</v>
      </c>
      <c r="H10016">
        <v>1.2859</v>
      </c>
      <c r="I10016" t="s">
        <v>6830</v>
      </c>
      <c r="J10016" t="s">
        <v>14</v>
      </c>
      <c r="K10016" t="str">
        <f>"1F1"</f>
        <v>1F1</v>
      </c>
      <c r="L10016" t="s">
        <v>15</v>
      </c>
    </row>
    <row r="10017" spans="1:12" x14ac:dyDescent="0.25">
      <c r="A10017" t="str">
        <f>"7410274322"</f>
        <v>7410274322</v>
      </c>
      <c r="B10017" t="str">
        <f t="shared" si="426"/>
        <v>89301000</v>
      </c>
      <c r="C10017" s="1">
        <v>44212</v>
      </c>
      <c r="D10017" s="1">
        <v>44216</v>
      </c>
      <c r="E10017">
        <v>1</v>
      </c>
      <c r="F10017" t="s">
        <v>2696</v>
      </c>
      <c r="G10017" t="str">
        <f>"01-K09-02"</f>
        <v>01-K09-02</v>
      </c>
      <c r="H10017">
        <v>0.71889999999999998</v>
      </c>
      <c r="I10017" t="s">
        <v>6831</v>
      </c>
      <c r="J10017" t="s">
        <v>14</v>
      </c>
      <c r="K10017" t="str">
        <f>"2F9"</f>
        <v>2F9</v>
      </c>
      <c r="L10017" t="s">
        <v>15</v>
      </c>
    </row>
    <row r="10018" spans="1:12" x14ac:dyDescent="0.25">
      <c r="A10018" t="str">
        <f>"7411305803"</f>
        <v>7411305803</v>
      </c>
      <c r="B10018" t="str">
        <f t="shared" si="426"/>
        <v>89301000</v>
      </c>
      <c r="C10018" s="1">
        <v>44286</v>
      </c>
      <c r="D10018" s="1">
        <v>44287</v>
      </c>
      <c r="E10018">
        <v>1</v>
      </c>
      <c r="F10018" t="s">
        <v>6832</v>
      </c>
      <c r="G10018" t="str">
        <f>"17-K09-02"</f>
        <v>17-K09-02</v>
      </c>
      <c r="H10018">
        <v>0.71240000000000003</v>
      </c>
      <c r="I10018" t="s">
        <v>145</v>
      </c>
      <c r="J10018" t="s">
        <v>14</v>
      </c>
      <c r="K10018" t="str">
        <f>"4F2"</f>
        <v>4F2</v>
      </c>
      <c r="L10018" t="s">
        <v>15</v>
      </c>
    </row>
    <row r="10019" spans="1:12" x14ac:dyDescent="0.25">
      <c r="A10019" t="str">
        <f>"7412015765"</f>
        <v>7412015765</v>
      </c>
      <c r="B10019" t="str">
        <f t="shared" si="426"/>
        <v>89301000</v>
      </c>
      <c r="C10019" s="1">
        <v>44221</v>
      </c>
      <c r="D10019" s="1">
        <v>44221</v>
      </c>
      <c r="E10019">
        <v>1</v>
      </c>
      <c r="F10019" t="s">
        <v>1599</v>
      </c>
      <c r="G10019" t="str">
        <f>"05-I14-04"</f>
        <v>05-I14-04</v>
      </c>
      <c r="H10019">
        <v>5.1692</v>
      </c>
      <c r="I10019" t="s">
        <v>6833</v>
      </c>
      <c r="J10019" t="s">
        <v>14</v>
      </c>
      <c r="K10019" t="str">
        <f>"1F7"</f>
        <v>1F7</v>
      </c>
      <c r="L10019" t="s">
        <v>15</v>
      </c>
    </row>
    <row r="10020" spans="1:12" x14ac:dyDescent="0.25">
      <c r="A10020" t="str">
        <f>"7412024455"</f>
        <v>7412024455</v>
      </c>
      <c r="B10020" t="str">
        <f t="shared" si="426"/>
        <v>89301000</v>
      </c>
      <c r="C10020" s="1">
        <v>44273</v>
      </c>
      <c r="D10020" s="1">
        <v>44275</v>
      </c>
      <c r="E10020">
        <v>1</v>
      </c>
      <c r="F10020" t="s">
        <v>2595</v>
      </c>
      <c r="G10020" t="str">
        <f>"08-M03-05"</f>
        <v>08-M03-05</v>
      </c>
      <c r="H10020">
        <v>0.51759999999999995</v>
      </c>
      <c r="J10020" t="s">
        <v>14</v>
      </c>
      <c r="K10020" t="str">
        <f>"6F6"</f>
        <v>6F6</v>
      </c>
      <c r="L10020" t="s">
        <v>15</v>
      </c>
    </row>
    <row r="10021" spans="1:12" x14ac:dyDescent="0.25">
      <c r="A10021" t="str">
        <f>"7412115777"</f>
        <v>7412115777</v>
      </c>
      <c r="B10021" t="str">
        <f t="shared" ref="B10021:B10084" si="428">"89301000"</f>
        <v>89301000</v>
      </c>
      <c r="C10021" s="1">
        <v>44373</v>
      </c>
      <c r="D10021" s="1">
        <v>44379</v>
      </c>
      <c r="E10021">
        <v>1</v>
      </c>
      <c r="F10021" t="s">
        <v>4025</v>
      </c>
      <c r="G10021" t="str">
        <f>"08-I31-04"</f>
        <v>08-I31-04</v>
      </c>
      <c r="H10021">
        <v>0.50949999999999995</v>
      </c>
      <c r="J10021" t="s">
        <v>14</v>
      </c>
      <c r="K10021" t="str">
        <f>"6F6"</f>
        <v>6F6</v>
      </c>
      <c r="L10021" t="s">
        <v>15</v>
      </c>
    </row>
    <row r="10022" spans="1:12" x14ac:dyDescent="0.25">
      <c r="A10022" t="str">
        <f>"7412115777"</f>
        <v>7412115777</v>
      </c>
      <c r="B10022" t="str">
        <f t="shared" si="428"/>
        <v>89301000</v>
      </c>
      <c r="C10022" s="1">
        <v>44388</v>
      </c>
      <c r="D10022" s="1">
        <v>44393</v>
      </c>
      <c r="E10022">
        <v>1</v>
      </c>
      <c r="F10022" t="s">
        <v>6834</v>
      </c>
      <c r="G10022" t="str">
        <f>"16-C01-02"</f>
        <v>16-C01-02</v>
      </c>
      <c r="H10022">
        <v>2.3643000000000001</v>
      </c>
      <c r="I10022" t="s">
        <v>6835</v>
      </c>
      <c r="J10022" t="s">
        <v>14</v>
      </c>
      <c r="K10022" t="str">
        <f>"2F2"</f>
        <v>2F2</v>
      </c>
      <c r="L10022" t="s">
        <v>15</v>
      </c>
    </row>
    <row r="10023" spans="1:12" x14ac:dyDescent="0.25">
      <c r="A10023" t="str">
        <f>"7412295308"</f>
        <v>7412295308</v>
      </c>
      <c r="B10023" t="str">
        <f t="shared" si="428"/>
        <v>89301000</v>
      </c>
      <c r="C10023" s="1">
        <v>44200</v>
      </c>
      <c r="D10023" s="1">
        <v>44202</v>
      </c>
      <c r="E10023">
        <v>1</v>
      </c>
      <c r="F10023" t="s">
        <v>1716</v>
      </c>
      <c r="G10023" t="str">
        <f>"11-M05-02"</f>
        <v>11-M05-02</v>
      </c>
      <c r="H10023">
        <v>0.65690000000000004</v>
      </c>
      <c r="I10023" t="s">
        <v>6836</v>
      </c>
      <c r="J10023" t="s">
        <v>17</v>
      </c>
      <c r="K10023" t="str">
        <f>"7F6"</f>
        <v>7F6</v>
      </c>
      <c r="L10023" t="s">
        <v>15</v>
      </c>
    </row>
    <row r="10024" spans="1:12" x14ac:dyDescent="0.25">
      <c r="A10024" t="str">
        <f>"7451104144"</f>
        <v>7451104144</v>
      </c>
      <c r="B10024" t="str">
        <f t="shared" si="428"/>
        <v>89301000</v>
      </c>
      <c r="C10024" s="1">
        <v>44546</v>
      </c>
      <c r="D10024" s="1">
        <v>44550</v>
      </c>
      <c r="E10024">
        <v>1</v>
      </c>
      <c r="F10024" t="s">
        <v>4206</v>
      </c>
      <c r="G10024" t="str">
        <f>"08-K01-03"</f>
        <v>08-K01-03</v>
      </c>
      <c r="H10024">
        <v>0.6542</v>
      </c>
      <c r="I10024" t="s">
        <v>6837</v>
      </c>
      <c r="J10024" t="s">
        <v>14</v>
      </c>
      <c r="K10024" t="str">
        <f>"2F5"</f>
        <v>2F5</v>
      </c>
      <c r="L10024" t="s">
        <v>15</v>
      </c>
    </row>
    <row r="10025" spans="1:12" x14ac:dyDescent="0.25">
      <c r="A10025" t="str">
        <f>"7451195312"</f>
        <v>7451195312</v>
      </c>
      <c r="B10025" t="str">
        <f t="shared" si="428"/>
        <v>89301000</v>
      </c>
      <c r="C10025" s="1">
        <v>44539</v>
      </c>
      <c r="D10025" s="1">
        <v>44541</v>
      </c>
      <c r="E10025">
        <v>1</v>
      </c>
      <c r="F10025" t="s">
        <v>1551</v>
      </c>
      <c r="G10025" t="str">
        <f>"09-I06-04"</f>
        <v>09-I06-04</v>
      </c>
      <c r="H10025">
        <v>0.98829999999999996</v>
      </c>
      <c r="J10025" t="s">
        <v>17</v>
      </c>
      <c r="K10025" t="str">
        <f>"5F1"</f>
        <v>5F1</v>
      </c>
      <c r="L10025" t="s">
        <v>15</v>
      </c>
    </row>
    <row r="10026" spans="1:12" x14ac:dyDescent="0.25">
      <c r="A10026" t="str">
        <f>"7451274468"</f>
        <v>7451274468</v>
      </c>
      <c r="B10026" t="str">
        <f t="shared" si="428"/>
        <v>89301000</v>
      </c>
      <c r="C10026" s="1">
        <v>44328</v>
      </c>
      <c r="D10026" s="1">
        <v>44334</v>
      </c>
      <c r="E10026">
        <v>1</v>
      </c>
      <c r="F10026" t="s">
        <v>1565</v>
      </c>
      <c r="G10026" t="str">
        <f>"01-I06-04"</f>
        <v>01-I06-04</v>
      </c>
      <c r="H10026">
        <v>3.6231</v>
      </c>
      <c r="I10026" t="s">
        <v>489</v>
      </c>
      <c r="J10026" t="s">
        <v>17</v>
      </c>
      <c r="K10026" t="str">
        <f>"5F6"</f>
        <v>5F6</v>
      </c>
      <c r="L10026" t="s">
        <v>15</v>
      </c>
    </row>
    <row r="10027" spans="1:12" x14ac:dyDescent="0.25">
      <c r="A10027" t="str">
        <f>"7451285325"</f>
        <v>7451285325</v>
      </c>
      <c r="B10027" t="str">
        <f t="shared" si="428"/>
        <v>89301000</v>
      </c>
      <c r="C10027" s="1">
        <v>44339</v>
      </c>
      <c r="D10027" s="1">
        <v>44342</v>
      </c>
      <c r="E10027">
        <v>1</v>
      </c>
      <c r="F10027" t="s">
        <v>47</v>
      </c>
      <c r="G10027" t="str">
        <f>"08-M03-05"</f>
        <v>08-M03-05</v>
      </c>
      <c r="H10027">
        <v>0.51759999999999995</v>
      </c>
      <c r="I10027" t="s">
        <v>6838</v>
      </c>
      <c r="J10027" t="s">
        <v>14</v>
      </c>
      <c r="K10027" t="str">
        <f>"6F6"</f>
        <v>6F6</v>
      </c>
      <c r="L10027" t="s">
        <v>15</v>
      </c>
    </row>
    <row r="10028" spans="1:12" x14ac:dyDescent="0.25">
      <c r="A10028" t="str">
        <f>"7452074465"</f>
        <v>7452074465</v>
      </c>
      <c r="B10028" t="str">
        <f t="shared" si="428"/>
        <v>89301000</v>
      </c>
      <c r="C10028" s="1">
        <v>44477</v>
      </c>
      <c r="D10028" s="1">
        <v>44496</v>
      </c>
      <c r="E10028">
        <v>1</v>
      </c>
      <c r="F10028" t="s">
        <v>5467</v>
      </c>
      <c r="G10028" t="str">
        <f>"19-K05-02"</f>
        <v>19-K05-02</v>
      </c>
      <c r="H10028">
        <v>1.8835999999999999</v>
      </c>
      <c r="I10028" t="s">
        <v>6839</v>
      </c>
      <c r="J10028" t="s">
        <v>27</v>
      </c>
      <c r="K10028" t="str">
        <f>"3F5"</f>
        <v>3F5</v>
      </c>
      <c r="L10028" t="s">
        <v>15</v>
      </c>
    </row>
    <row r="10029" spans="1:12" x14ac:dyDescent="0.25">
      <c r="A10029" t="str">
        <f>"7452115330"</f>
        <v>7452115330</v>
      </c>
      <c r="B10029" t="str">
        <f t="shared" si="428"/>
        <v>89301000</v>
      </c>
      <c r="C10029" s="1">
        <v>44529</v>
      </c>
      <c r="D10029" s="1">
        <v>44536</v>
      </c>
      <c r="E10029">
        <v>1</v>
      </c>
      <c r="F10029" t="s">
        <v>5527</v>
      </c>
      <c r="G10029" t="str">
        <f>"01-K18-01"</f>
        <v>01-K18-01</v>
      </c>
      <c r="H10029">
        <v>2.5028999999999999</v>
      </c>
      <c r="I10029" t="s">
        <v>6840</v>
      </c>
      <c r="J10029" t="s">
        <v>14</v>
      </c>
      <c r="K10029" t="str">
        <f>"2F9"</f>
        <v>2F9</v>
      </c>
      <c r="L10029" t="s">
        <v>15</v>
      </c>
    </row>
    <row r="10030" spans="1:12" x14ac:dyDescent="0.25">
      <c r="A10030" t="str">
        <f>"7452119939"</f>
        <v>7452119939</v>
      </c>
      <c r="B10030" t="str">
        <f t="shared" si="428"/>
        <v>89301000</v>
      </c>
      <c r="C10030" s="1">
        <v>44260</v>
      </c>
      <c r="D10030" s="1">
        <v>44265</v>
      </c>
      <c r="E10030">
        <v>1</v>
      </c>
      <c r="F10030" t="s">
        <v>1553</v>
      </c>
      <c r="G10030" t="str">
        <f>"04-K05-03"</f>
        <v>04-K05-03</v>
      </c>
      <c r="H10030">
        <v>0.74980000000000002</v>
      </c>
      <c r="I10030" t="s">
        <v>6841</v>
      </c>
      <c r="J10030" t="s">
        <v>14</v>
      </c>
      <c r="K10030" t="str">
        <f>"1F1"</f>
        <v>1F1</v>
      </c>
      <c r="L10030" t="s">
        <v>15</v>
      </c>
    </row>
    <row r="10031" spans="1:12" x14ac:dyDescent="0.25">
      <c r="A10031" t="str">
        <f>"7452155755"</f>
        <v>7452155755</v>
      </c>
      <c r="B10031" t="str">
        <f t="shared" si="428"/>
        <v>89301000</v>
      </c>
      <c r="C10031" s="1">
        <v>44284</v>
      </c>
      <c r="D10031" s="1">
        <v>44319</v>
      </c>
      <c r="E10031">
        <v>1</v>
      </c>
      <c r="F10031" t="s">
        <v>6842</v>
      </c>
      <c r="G10031" t="str">
        <f>"19-K07-02"</f>
        <v>19-K07-02</v>
      </c>
      <c r="H10031">
        <v>2.8759999999999999</v>
      </c>
      <c r="I10031" t="s">
        <v>6843</v>
      </c>
      <c r="J10031" t="s">
        <v>27</v>
      </c>
      <c r="K10031" t="str">
        <f>"3F5"</f>
        <v>3F5</v>
      </c>
      <c r="L10031" t="s">
        <v>15</v>
      </c>
    </row>
    <row r="10032" spans="1:12" x14ac:dyDescent="0.25">
      <c r="A10032" t="str">
        <f>"7452165754"</f>
        <v>7452165754</v>
      </c>
      <c r="B10032" t="str">
        <f t="shared" si="428"/>
        <v>89301000</v>
      </c>
      <c r="C10032" s="1">
        <v>44233</v>
      </c>
      <c r="D10032" s="1">
        <v>44235</v>
      </c>
      <c r="E10032">
        <v>1</v>
      </c>
      <c r="F10032" t="s">
        <v>210</v>
      </c>
      <c r="G10032" t="str">
        <f>"08-I15-03"</f>
        <v>08-I15-03</v>
      </c>
      <c r="H10032">
        <v>1.3229</v>
      </c>
      <c r="I10032" t="s">
        <v>6844</v>
      </c>
      <c r="J10032" t="s">
        <v>17</v>
      </c>
      <c r="K10032" t="str">
        <f>"5F3"</f>
        <v>5F3</v>
      </c>
      <c r="L10032" t="s">
        <v>15</v>
      </c>
    </row>
    <row r="10033" spans="1:12" x14ac:dyDescent="0.25">
      <c r="A10033" t="str">
        <f>"7452255327"</f>
        <v>7452255327</v>
      </c>
      <c r="B10033" t="str">
        <f t="shared" si="428"/>
        <v>89301000</v>
      </c>
      <c r="C10033" s="1">
        <v>44440</v>
      </c>
      <c r="D10033" s="1">
        <v>44442</v>
      </c>
      <c r="E10033">
        <v>1</v>
      </c>
      <c r="F10033" t="s">
        <v>6845</v>
      </c>
      <c r="G10033" t="str">
        <f>"08-I26-03"</f>
        <v>08-I26-03</v>
      </c>
      <c r="H10033">
        <v>0.45679999999999998</v>
      </c>
      <c r="J10033" t="s">
        <v>14</v>
      </c>
      <c r="K10033" t="str">
        <f>"6F6"</f>
        <v>6F6</v>
      </c>
      <c r="L10033" t="s">
        <v>15</v>
      </c>
    </row>
    <row r="10034" spans="1:12" x14ac:dyDescent="0.25">
      <c r="A10034" t="str">
        <f>"7452265832"</f>
        <v>7452265832</v>
      </c>
      <c r="B10034" t="str">
        <f t="shared" si="428"/>
        <v>89301000</v>
      </c>
      <c r="C10034" s="1">
        <v>44221</v>
      </c>
      <c r="D10034" s="1">
        <v>44224</v>
      </c>
      <c r="E10034">
        <v>1</v>
      </c>
      <c r="F10034" t="s">
        <v>182</v>
      </c>
      <c r="G10034" t="str">
        <f>"20-K02-03"</f>
        <v>20-K02-03</v>
      </c>
      <c r="H10034">
        <v>0.57279999999999998</v>
      </c>
      <c r="I10034" t="s">
        <v>6846</v>
      </c>
      <c r="J10034" t="s">
        <v>14</v>
      </c>
      <c r="K10034" t="str">
        <f>"3F5"</f>
        <v>3F5</v>
      </c>
      <c r="L10034" t="s">
        <v>15</v>
      </c>
    </row>
    <row r="10035" spans="1:12" x14ac:dyDescent="0.25">
      <c r="A10035" t="str">
        <f>"7453025800"</f>
        <v>7453025800</v>
      </c>
      <c r="B10035" t="str">
        <f t="shared" si="428"/>
        <v>89301000</v>
      </c>
      <c r="C10035" s="1">
        <v>44308</v>
      </c>
      <c r="D10035" s="1">
        <v>44313</v>
      </c>
      <c r="E10035">
        <v>1</v>
      </c>
      <c r="F10035" t="s">
        <v>1551</v>
      </c>
      <c r="G10035" t="str">
        <f>"09-I06-04"</f>
        <v>09-I06-04</v>
      </c>
      <c r="H10035">
        <v>0.98829999999999996</v>
      </c>
      <c r="J10035" t="s">
        <v>17</v>
      </c>
      <c r="K10035" t="str">
        <f>"5F1"</f>
        <v>5F1</v>
      </c>
      <c r="L10035" t="s">
        <v>15</v>
      </c>
    </row>
    <row r="10036" spans="1:12" x14ac:dyDescent="0.25">
      <c r="A10036" t="str">
        <f>"7453035337"</f>
        <v>7453035337</v>
      </c>
      <c r="B10036" t="str">
        <f t="shared" si="428"/>
        <v>89301000</v>
      </c>
      <c r="C10036" s="1">
        <v>44210</v>
      </c>
      <c r="D10036" s="1">
        <v>44213</v>
      </c>
      <c r="E10036">
        <v>1</v>
      </c>
      <c r="F10036" t="s">
        <v>700</v>
      </c>
      <c r="G10036" t="str">
        <f>"88-I13-00"</f>
        <v>88-I13-00</v>
      </c>
      <c r="H10036">
        <v>0.11459999999999999</v>
      </c>
      <c r="J10036" t="s">
        <v>14</v>
      </c>
      <c r="K10036" t="str">
        <f>"6F3"</f>
        <v>6F3</v>
      </c>
      <c r="L10036" t="s">
        <v>15</v>
      </c>
    </row>
    <row r="10037" spans="1:12" x14ac:dyDescent="0.25">
      <c r="A10037" t="str">
        <f>"7453145381"</f>
        <v>7453145381</v>
      </c>
      <c r="B10037" t="str">
        <f t="shared" si="428"/>
        <v>89301000</v>
      </c>
      <c r="C10037" s="1">
        <v>44207</v>
      </c>
      <c r="D10037" s="1">
        <v>44207</v>
      </c>
      <c r="E10037">
        <v>1</v>
      </c>
      <c r="F10037" t="s">
        <v>1567</v>
      </c>
      <c r="G10037" t="str">
        <f>"05-I25-04"</f>
        <v>05-I25-04</v>
      </c>
      <c r="H10037">
        <v>0.90890000000000004</v>
      </c>
      <c r="J10037" t="s">
        <v>17</v>
      </c>
      <c r="K10037" t="str">
        <f>"1F7"</f>
        <v>1F7</v>
      </c>
      <c r="L10037" t="s">
        <v>15</v>
      </c>
    </row>
    <row r="10038" spans="1:12" x14ac:dyDescent="0.25">
      <c r="A10038" t="str">
        <f>"7453155765"</f>
        <v>7453155765</v>
      </c>
      <c r="B10038" t="str">
        <f t="shared" si="428"/>
        <v>89301000</v>
      </c>
      <c r="C10038" s="1">
        <v>44466</v>
      </c>
      <c r="D10038" s="1">
        <v>44475</v>
      </c>
      <c r="E10038">
        <v>1</v>
      </c>
      <c r="F10038" t="s">
        <v>260</v>
      </c>
      <c r="G10038" t="str">
        <f>"03-I16-01"</f>
        <v>03-I16-01</v>
      </c>
      <c r="H10038">
        <v>1.4655</v>
      </c>
      <c r="I10038" t="s">
        <v>6847</v>
      </c>
      <c r="J10038" t="s">
        <v>24</v>
      </c>
      <c r="K10038" t="str">
        <f>"7F1"</f>
        <v>7F1</v>
      </c>
      <c r="L10038" t="s">
        <v>15</v>
      </c>
    </row>
    <row r="10039" spans="1:12" x14ac:dyDescent="0.25">
      <c r="A10039" t="str">
        <f>"7453215341"</f>
        <v>7453215341</v>
      </c>
      <c r="B10039" t="str">
        <f t="shared" si="428"/>
        <v>89301000</v>
      </c>
      <c r="C10039" s="1">
        <v>44414</v>
      </c>
      <c r="D10039" s="1">
        <v>44416</v>
      </c>
      <c r="E10039">
        <v>1</v>
      </c>
      <c r="F10039" t="s">
        <v>6848</v>
      </c>
      <c r="G10039" t="str">
        <f>"13-I19-00"</f>
        <v>13-I19-00</v>
      </c>
      <c r="H10039">
        <v>0.24679999999999999</v>
      </c>
      <c r="J10039" t="s">
        <v>14</v>
      </c>
      <c r="K10039" t="str">
        <f>"6F3"</f>
        <v>6F3</v>
      </c>
      <c r="L10039" t="s">
        <v>15</v>
      </c>
    </row>
    <row r="10040" spans="1:12" x14ac:dyDescent="0.25">
      <c r="A10040" t="str">
        <f>"7453215693"</f>
        <v>7453215693</v>
      </c>
      <c r="B10040" t="str">
        <f t="shared" si="428"/>
        <v>89301000</v>
      </c>
      <c r="C10040" s="1">
        <v>44371</v>
      </c>
      <c r="D10040" s="1">
        <v>44372</v>
      </c>
      <c r="E10040">
        <v>1</v>
      </c>
      <c r="F10040" t="s">
        <v>240</v>
      </c>
      <c r="G10040" t="str">
        <f>"03-K13-02"</f>
        <v>03-K13-02</v>
      </c>
      <c r="H10040">
        <v>0.2555</v>
      </c>
      <c r="I10040" t="s">
        <v>6849</v>
      </c>
      <c r="J10040" t="s">
        <v>14</v>
      </c>
      <c r="K10040" t="str">
        <f>"2F5"</f>
        <v>2F5</v>
      </c>
      <c r="L10040" t="s">
        <v>15</v>
      </c>
    </row>
    <row r="10041" spans="1:12" x14ac:dyDescent="0.25">
      <c r="A10041" t="str">
        <f>"7453284982"</f>
        <v>7453284982</v>
      </c>
      <c r="B10041" t="str">
        <f t="shared" si="428"/>
        <v>89301000</v>
      </c>
      <c r="C10041" s="1">
        <v>44403</v>
      </c>
      <c r="D10041" s="1">
        <v>44405</v>
      </c>
      <c r="E10041">
        <v>1</v>
      </c>
      <c r="F10041" t="s">
        <v>4382</v>
      </c>
      <c r="G10041" t="str">
        <f>"05-K13-02"</f>
        <v>05-K13-02</v>
      </c>
      <c r="H10041">
        <v>0.60950000000000004</v>
      </c>
      <c r="J10041" t="s">
        <v>14</v>
      </c>
      <c r="K10041" t="str">
        <f>"5F1"</f>
        <v>5F1</v>
      </c>
      <c r="L10041" t="s">
        <v>15</v>
      </c>
    </row>
    <row r="10042" spans="1:12" x14ac:dyDescent="0.25">
      <c r="A10042" t="str">
        <f>"7453304463"</f>
        <v>7453304463</v>
      </c>
      <c r="B10042" t="str">
        <f t="shared" si="428"/>
        <v>89301000</v>
      </c>
      <c r="C10042" s="1">
        <v>44541</v>
      </c>
      <c r="D10042" s="1">
        <v>44552</v>
      </c>
      <c r="E10042">
        <v>1</v>
      </c>
      <c r="F10042" t="s">
        <v>3642</v>
      </c>
      <c r="G10042" t="str">
        <f>"08-I21-01"</f>
        <v>08-I21-01</v>
      </c>
      <c r="H10042">
        <v>2.4729999999999999</v>
      </c>
      <c r="I10042" t="s">
        <v>308</v>
      </c>
      <c r="J10042" t="s">
        <v>17</v>
      </c>
      <c r="K10042" t="str">
        <f>"6F6"</f>
        <v>6F6</v>
      </c>
      <c r="L10042" t="s">
        <v>15</v>
      </c>
    </row>
    <row r="10043" spans="1:12" x14ac:dyDescent="0.25">
      <c r="A10043" t="str">
        <f>"7454024490"</f>
        <v>7454024490</v>
      </c>
      <c r="B10043" t="str">
        <f t="shared" si="428"/>
        <v>89301000</v>
      </c>
      <c r="C10043" s="1">
        <v>44337</v>
      </c>
      <c r="D10043" s="1">
        <v>44338</v>
      </c>
      <c r="E10043">
        <v>1</v>
      </c>
      <c r="F10043" t="s">
        <v>6130</v>
      </c>
      <c r="G10043" t="str">
        <f>"13-I19-00"</f>
        <v>13-I19-00</v>
      </c>
      <c r="H10043">
        <v>0.24679999999999999</v>
      </c>
      <c r="J10043" t="s">
        <v>14</v>
      </c>
      <c r="K10043" t="str">
        <f>"6F3"</f>
        <v>6F3</v>
      </c>
      <c r="L10043" t="s">
        <v>15</v>
      </c>
    </row>
    <row r="10044" spans="1:12" x14ac:dyDescent="0.25">
      <c r="A10044" t="str">
        <f>"7454035380"</f>
        <v>7454035380</v>
      </c>
      <c r="B10044" t="str">
        <f t="shared" si="428"/>
        <v>89301000</v>
      </c>
      <c r="C10044" s="1">
        <v>44546</v>
      </c>
      <c r="D10044" s="1">
        <v>44548</v>
      </c>
      <c r="E10044">
        <v>1</v>
      </c>
      <c r="F10044" t="s">
        <v>496</v>
      </c>
      <c r="G10044" t="str">
        <f>"08-M03-05"</f>
        <v>08-M03-05</v>
      </c>
      <c r="H10044">
        <v>0.51759999999999995</v>
      </c>
      <c r="J10044" t="s">
        <v>14</v>
      </c>
      <c r="K10044" t="str">
        <f>"6F6"</f>
        <v>6F6</v>
      </c>
      <c r="L10044" t="s">
        <v>15</v>
      </c>
    </row>
    <row r="10045" spans="1:12" x14ac:dyDescent="0.25">
      <c r="A10045" t="str">
        <f>"7454084440"</f>
        <v>7454084440</v>
      </c>
      <c r="B10045" t="str">
        <f t="shared" si="428"/>
        <v>89301000</v>
      </c>
      <c r="C10045" s="1">
        <v>44357</v>
      </c>
      <c r="D10045" s="1">
        <v>44362</v>
      </c>
      <c r="E10045">
        <v>1</v>
      </c>
      <c r="F10045" t="s">
        <v>6850</v>
      </c>
      <c r="G10045" t="str">
        <f>"08-I23-01"</f>
        <v>08-I23-01</v>
      </c>
      <c r="H10045">
        <v>1.7242999999999999</v>
      </c>
      <c r="I10045" t="s">
        <v>6851</v>
      </c>
      <c r="J10045" t="s">
        <v>17</v>
      </c>
      <c r="K10045" t="str">
        <f>"6F6"</f>
        <v>6F6</v>
      </c>
      <c r="L10045" t="s">
        <v>15</v>
      </c>
    </row>
    <row r="10046" spans="1:12" x14ac:dyDescent="0.25">
      <c r="A10046" t="str">
        <f>"7454105307"</f>
        <v>7454105307</v>
      </c>
      <c r="B10046" t="str">
        <f t="shared" si="428"/>
        <v>89301000</v>
      </c>
      <c r="C10046" s="1">
        <v>44371</v>
      </c>
      <c r="D10046" s="1">
        <v>44379</v>
      </c>
      <c r="E10046">
        <v>1</v>
      </c>
      <c r="F10046" t="s">
        <v>2497</v>
      </c>
      <c r="G10046" t="str">
        <f>"13-I08-01"</f>
        <v>13-I08-01</v>
      </c>
      <c r="H10046">
        <v>1.6611</v>
      </c>
      <c r="I10046" t="s">
        <v>6852</v>
      </c>
      <c r="J10046" t="s">
        <v>106</v>
      </c>
      <c r="K10046" t="str">
        <f>"6F3"</f>
        <v>6F3</v>
      </c>
      <c r="L10046" t="s">
        <v>15</v>
      </c>
    </row>
    <row r="10047" spans="1:12" x14ac:dyDescent="0.25">
      <c r="A10047" t="str">
        <f>"7454284497"</f>
        <v>7454284497</v>
      </c>
      <c r="B10047" t="str">
        <f t="shared" si="428"/>
        <v>89301000</v>
      </c>
      <c r="C10047" s="1">
        <v>44502</v>
      </c>
      <c r="D10047" s="1">
        <v>44502</v>
      </c>
      <c r="E10047">
        <v>1</v>
      </c>
      <c r="F10047" t="s">
        <v>6853</v>
      </c>
      <c r="G10047" t="str">
        <f>"06-K22-03"</f>
        <v>06-K22-03</v>
      </c>
      <c r="H10047">
        <v>0.15939999999999999</v>
      </c>
      <c r="I10047" t="s">
        <v>489</v>
      </c>
      <c r="J10047" t="s">
        <v>14</v>
      </c>
      <c r="K10047" t="str">
        <f>"5F1"</f>
        <v>5F1</v>
      </c>
      <c r="L10047" t="s">
        <v>15</v>
      </c>
    </row>
    <row r="10048" spans="1:12" x14ac:dyDescent="0.25">
      <c r="A10048" t="str">
        <f>"7454305309"</f>
        <v>7454305309</v>
      </c>
      <c r="B10048" t="str">
        <f t="shared" si="428"/>
        <v>89301000</v>
      </c>
      <c r="C10048" s="1">
        <v>44256</v>
      </c>
      <c r="D10048" s="1">
        <v>44256</v>
      </c>
      <c r="E10048">
        <v>1</v>
      </c>
      <c r="F10048" t="s">
        <v>1604</v>
      </c>
      <c r="G10048" t="str">
        <f>"05-I25-03"</f>
        <v>05-I25-03</v>
      </c>
      <c r="H10048">
        <v>1.2622</v>
      </c>
      <c r="J10048" t="s">
        <v>17</v>
      </c>
      <c r="K10048" t="str">
        <f>"1F1"</f>
        <v>1F1</v>
      </c>
      <c r="L10048" t="s">
        <v>15</v>
      </c>
    </row>
    <row r="10049" spans="1:12" x14ac:dyDescent="0.25">
      <c r="A10049" t="str">
        <f>"7454305364"</f>
        <v>7454305364</v>
      </c>
      <c r="B10049" t="str">
        <f t="shared" si="428"/>
        <v>89301000</v>
      </c>
      <c r="C10049" s="1">
        <v>44523</v>
      </c>
      <c r="D10049" s="1">
        <v>44529</v>
      </c>
      <c r="E10049">
        <v>1</v>
      </c>
      <c r="F10049" t="s">
        <v>4491</v>
      </c>
      <c r="G10049" t="str">
        <f>"01-K01-01"</f>
        <v>01-K01-01</v>
      </c>
      <c r="H10049">
        <v>0.84930000000000005</v>
      </c>
      <c r="I10049" t="s">
        <v>6854</v>
      </c>
      <c r="J10049" t="s">
        <v>14</v>
      </c>
      <c r="K10049" t="str">
        <f>"2F9"</f>
        <v>2F9</v>
      </c>
      <c r="L10049" t="s">
        <v>15</v>
      </c>
    </row>
    <row r="10050" spans="1:12" x14ac:dyDescent="0.25">
      <c r="A10050" t="str">
        <f>"7455034477"</f>
        <v>7455034477</v>
      </c>
      <c r="B10050" t="str">
        <f t="shared" si="428"/>
        <v>89301000</v>
      </c>
      <c r="C10050" s="1">
        <v>44370</v>
      </c>
      <c r="D10050" s="1">
        <v>44375</v>
      </c>
      <c r="E10050">
        <v>4</v>
      </c>
      <c r="F10050" t="s">
        <v>6855</v>
      </c>
      <c r="G10050" t="str">
        <f>"04-K14-02"</f>
        <v>04-K14-02</v>
      </c>
      <c r="H10050">
        <v>1.3401000000000001</v>
      </c>
      <c r="I10050" t="s">
        <v>6856</v>
      </c>
      <c r="J10050" t="s">
        <v>14</v>
      </c>
      <c r="K10050" t="str">
        <f>"5F3"</f>
        <v>5F3</v>
      </c>
      <c r="L10050" t="s">
        <v>15</v>
      </c>
    </row>
    <row r="10051" spans="1:12" x14ac:dyDescent="0.25">
      <c r="A10051" t="str">
        <f>"7455034477"</f>
        <v>7455034477</v>
      </c>
      <c r="B10051" t="str">
        <f t="shared" si="428"/>
        <v>89301000</v>
      </c>
      <c r="C10051" s="1">
        <v>44329</v>
      </c>
      <c r="D10051" s="1">
        <v>44361</v>
      </c>
      <c r="E10051">
        <v>4</v>
      </c>
      <c r="F10051" t="s">
        <v>406</v>
      </c>
      <c r="G10051" t="str">
        <f>"25-K01-02"</f>
        <v>25-K01-02</v>
      </c>
      <c r="H10051">
        <v>4.6166</v>
      </c>
      <c r="I10051" t="s">
        <v>6857</v>
      </c>
      <c r="J10051" t="s">
        <v>17</v>
      </c>
      <c r="K10051" t="str">
        <f>"3F5"</f>
        <v>3F5</v>
      </c>
      <c r="L10051" t="s">
        <v>15</v>
      </c>
    </row>
    <row r="10052" spans="1:12" x14ac:dyDescent="0.25">
      <c r="A10052" t="str">
        <f>"7455075331"</f>
        <v>7455075331</v>
      </c>
      <c r="B10052" t="str">
        <f t="shared" si="428"/>
        <v>89301000</v>
      </c>
      <c r="C10052" s="1">
        <v>44498</v>
      </c>
      <c r="D10052" s="1">
        <v>44512</v>
      </c>
      <c r="E10052">
        <v>1</v>
      </c>
      <c r="F10052" t="s">
        <v>109</v>
      </c>
      <c r="G10052" t="str">
        <f>"24-M07-02"</f>
        <v>24-M07-02</v>
      </c>
      <c r="H10052">
        <v>1.5094000000000001</v>
      </c>
      <c r="I10052" t="s">
        <v>4114</v>
      </c>
      <c r="J10052" t="s">
        <v>14</v>
      </c>
      <c r="K10052" t="str">
        <f>"2F1"</f>
        <v>2F1</v>
      </c>
      <c r="L10052" t="s">
        <v>15</v>
      </c>
    </row>
    <row r="10053" spans="1:12" x14ac:dyDescent="0.25">
      <c r="A10053" t="str">
        <f>"7455125304"</f>
        <v>7455125304</v>
      </c>
      <c r="B10053" t="str">
        <f t="shared" si="428"/>
        <v>89301000</v>
      </c>
      <c r="C10053" s="1">
        <v>44504</v>
      </c>
      <c r="D10053" s="1">
        <v>44507</v>
      </c>
      <c r="E10053">
        <v>1</v>
      </c>
      <c r="F10053" t="s">
        <v>593</v>
      </c>
      <c r="G10053" t="str">
        <f>"07-I10-06"</f>
        <v>07-I10-06</v>
      </c>
      <c r="H10053">
        <v>0.9728</v>
      </c>
      <c r="I10053" t="s">
        <v>348</v>
      </c>
      <c r="J10053" t="s">
        <v>17</v>
      </c>
      <c r="K10053" t="str">
        <f>"5F1"</f>
        <v>5F1</v>
      </c>
      <c r="L10053" t="s">
        <v>15</v>
      </c>
    </row>
    <row r="10054" spans="1:12" x14ac:dyDescent="0.25">
      <c r="A10054" t="str">
        <f>"7455135347"</f>
        <v>7455135347</v>
      </c>
      <c r="B10054" t="str">
        <f t="shared" si="428"/>
        <v>89301000</v>
      </c>
      <c r="C10054" s="1">
        <v>44275</v>
      </c>
      <c r="D10054" s="1">
        <v>44283</v>
      </c>
      <c r="E10054">
        <v>1</v>
      </c>
      <c r="F10054" t="s">
        <v>217</v>
      </c>
      <c r="G10054" t="str">
        <f>"04-K02-02"</f>
        <v>04-K02-02</v>
      </c>
      <c r="H10054">
        <v>2.5186000000000002</v>
      </c>
      <c r="I10054" t="s">
        <v>6858</v>
      </c>
      <c r="J10054" t="s">
        <v>14</v>
      </c>
      <c r="K10054" t="str">
        <f>"5F1"</f>
        <v>5F1</v>
      </c>
      <c r="L10054" t="s">
        <v>15</v>
      </c>
    </row>
    <row r="10055" spans="1:12" x14ac:dyDescent="0.25">
      <c r="A10055" t="str">
        <f>"7455145324"</f>
        <v>7455145324</v>
      </c>
      <c r="B10055" t="str">
        <f t="shared" si="428"/>
        <v>89301000</v>
      </c>
      <c r="C10055" s="1">
        <v>44431</v>
      </c>
      <c r="D10055" s="1">
        <v>44439</v>
      </c>
      <c r="E10055">
        <v>1</v>
      </c>
      <c r="F10055" t="s">
        <v>4249</v>
      </c>
      <c r="G10055" t="str">
        <f>"04-K05-02"</f>
        <v>04-K05-02</v>
      </c>
      <c r="H10055">
        <v>1.2657</v>
      </c>
      <c r="I10055" t="s">
        <v>6859</v>
      </c>
      <c r="J10055" t="s">
        <v>14</v>
      </c>
      <c r="K10055" t="str">
        <f>"1F1"</f>
        <v>1F1</v>
      </c>
      <c r="L10055" t="s">
        <v>15</v>
      </c>
    </row>
    <row r="10056" spans="1:12" x14ac:dyDescent="0.25">
      <c r="A10056" t="str">
        <f>"7455184847"</f>
        <v>7455184847</v>
      </c>
      <c r="B10056" t="str">
        <f t="shared" si="428"/>
        <v>89301000</v>
      </c>
      <c r="C10056" s="1">
        <v>44487</v>
      </c>
      <c r="D10056" s="1">
        <v>44489</v>
      </c>
      <c r="E10056">
        <v>1</v>
      </c>
      <c r="F10056" t="s">
        <v>1716</v>
      </c>
      <c r="G10056" t="str">
        <f>"11-M05-02"</f>
        <v>11-M05-02</v>
      </c>
      <c r="H10056">
        <v>0.65690000000000004</v>
      </c>
      <c r="I10056" t="s">
        <v>6860</v>
      </c>
      <c r="J10056" t="s">
        <v>17</v>
      </c>
      <c r="K10056" t="str">
        <f>"7F6"</f>
        <v>7F6</v>
      </c>
      <c r="L10056" t="s">
        <v>15</v>
      </c>
    </row>
    <row r="10057" spans="1:12" x14ac:dyDescent="0.25">
      <c r="A10057" t="str">
        <f>"7455214470"</f>
        <v>7455214470</v>
      </c>
      <c r="B10057" t="str">
        <f t="shared" si="428"/>
        <v>89301000</v>
      </c>
      <c r="C10057" s="1">
        <v>44378</v>
      </c>
      <c r="D10057" s="1">
        <v>44382</v>
      </c>
      <c r="E10057">
        <v>1</v>
      </c>
      <c r="F10057" t="s">
        <v>114</v>
      </c>
      <c r="G10057" t="str">
        <f>"03-I17-00"</f>
        <v>03-I17-00</v>
      </c>
      <c r="H10057">
        <v>0.84960000000000002</v>
      </c>
      <c r="I10057" t="s">
        <v>6861</v>
      </c>
      <c r="J10057" t="s">
        <v>24</v>
      </c>
      <c r="K10057" t="str">
        <f>"7F1"</f>
        <v>7F1</v>
      </c>
      <c r="L10057" t="s">
        <v>15</v>
      </c>
    </row>
    <row r="10058" spans="1:12" x14ac:dyDescent="0.25">
      <c r="A10058" t="str">
        <f>"7455255324"</f>
        <v>7455255324</v>
      </c>
      <c r="B10058" t="str">
        <f t="shared" si="428"/>
        <v>89301000</v>
      </c>
      <c r="C10058" s="1">
        <v>44473</v>
      </c>
      <c r="D10058" s="1">
        <v>44475</v>
      </c>
      <c r="E10058">
        <v>1</v>
      </c>
      <c r="F10058" t="s">
        <v>1551</v>
      </c>
      <c r="G10058" t="str">
        <f>"09-I06-04"</f>
        <v>09-I06-04</v>
      </c>
      <c r="H10058">
        <v>0.98829999999999996</v>
      </c>
      <c r="J10058" t="s">
        <v>17</v>
      </c>
      <c r="K10058" t="str">
        <f>"5F1"</f>
        <v>5F1</v>
      </c>
      <c r="L10058" t="s">
        <v>15</v>
      </c>
    </row>
    <row r="10059" spans="1:12" x14ac:dyDescent="0.25">
      <c r="A10059" t="str">
        <f>"7455255324"</f>
        <v>7455255324</v>
      </c>
      <c r="B10059" t="str">
        <f t="shared" si="428"/>
        <v>89301000</v>
      </c>
      <c r="C10059" s="1">
        <v>44490</v>
      </c>
      <c r="D10059" s="1">
        <v>44491</v>
      </c>
      <c r="E10059">
        <v>1</v>
      </c>
      <c r="F10059" t="s">
        <v>1551</v>
      </c>
      <c r="G10059" t="str">
        <f>"09-I09-02"</f>
        <v>09-I09-02</v>
      </c>
      <c r="H10059">
        <v>0.84140000000000004</v>
      </c>
      <c r="J10059" t="s">
        <v>17</v>
      </c>
      <c r="K10059" t="str">
        <f>"5F1"</f>
        <v>5F1</v>
      </c>
      <c r="L10059" t="s">
        <v>15</v>
      </c>
    </row>
    <row r="10060" spans="1:12" x14ac:dyDescent="0.25">
      <c r="A10060" t="str">
        <f>"7456103138"</f>
        <v>7456103138</v>
      </c>
      <c r="B10060" t="str">
        <f t="shared" si="428"/>
        <v>89301000</v>
      </c>
      <c r="C10060" s="1">
        <v>44321</v>
      </c>
      <c r="D10060" s="1">
        <v>44326</v>
      </c>
      <c r="E10060">
        <v>1</v>
      </c>
      <c r="F10060" t="s">
        <v>197</v>
      </c>
      <c r="G10060" t="str">
        <f>"03-I18-02"</f>
        <v>03-I18-02</v>
      </c>
      <c r="H10060">
        <v>0.84370000000000001</v>
      </c>
      <c r="I10060" t="s">
        <v>6862</v>
      </c>
      <c r="J10060" t="s">
        <v>24</v>
      </c>
      <c r="K10060" t="str">
        <f>"7F1"</f>
        <v>7F1</v>
      </c>
      <c r="L10060" t="s">
        <v>15</v>
      </c>
    </row>
    <row r="10061" spans="1:12" x14ac:dyDescent="0.25">
      <c r="A10061" t="str">
        <f>"7456103138"</f>
        <v>7456103138</v>
      </c>
      <c r="B10061" t="str">
        <f t="shared" si="428"/>
        <v>89301000</v>
      </c>
      <c r="C10061" s="1">
        <v>44460</v>
      </c>
      <c r="D10061" s="1">
        <v>44487</v>
      </c>
      <c r="E10061">
        <v>1</v>
      </c>
      <c r="F10061" t="s">
        <v>6863</v>
      </c>
      <c r="G10061" t="str">
        <f>"09-K07-02"</f>
        <v>09-K07-02</v>
      </c>
      <c r="H10061">
        <v>1.4651000000000001</v>
      </c>
      <c r="I10061" t="s">
        <v>6864</v>
      </c>
      <c r="J10061" t="s">
        <v>14</v>
      </c>
      <c r="K10061" t="str">
        <f>"4F2"</f>
        <v>4F2</v>
      </c>
      <c r="L10061" t="s">
        <v>15</v>
      </c>
    </row>
    <row r="10062" spans="1:12" x14ac:dyDescent="0.25">
      <c r="A10062" t="str">
        <f>"7456103138"</f>
        <v>7456103138</v>
      </c>
      <c r="B10062" t="str">
        <f t="shared" si="428"/>
        <v>89301000</v>
      </c>
      <c r="C10062" s="1">
        <v>44428</v>
      </c>
      <c r="D10062" s="1">
        <v>44440</v>
      </c>
      <c r="E10062">
        <v>1</v>
      </c>
      <c r="F10062" t="s">
        <v>6863</v>
      </c>
      <c r="G10062" t="str">
        <f>"09-K07-02"</f>
        <v>09-K07-02</v>
      </c>
      <c r="H10062">
        <v>0.58130000000000004</v>
      </c>
      <c r="I10062" t="s">
        <v>145</v>
      </c>
      <c r="J10062" t="s">
        <v>14</v>
      </c>
      <c r="K10062" t="str">
        <f>"4F2"</f>
        <v>4F2</v>
      </c>
      <c r="L10062" t="s">
        <v>15</v>
      </c>
    </row>
    <row r="10063" spans="1:12" x14ac:dyDescent="0.25">
      <c r="A10063" t="str">
        <f>"7456135346"</f>
        <v>7456135346</v>
      </c>
      <c r="B10063" t="str">
        <f t="shared" si="428"/>
        <v>89301000</v>
      </c>
      <c r="C10063" s="1">
        <v>44349</v>
      </c>
      <c r="D10063" s="1">
        <v>44352</v>
      </c>
      <c r="E10063">
        <v>1</v>
      </c>
      <c r="F10063" t="s">
        <v>593</v>
      </c>
      <c r="G10063" t="str">
        <f>"07-I10-06"</f>
        <v>07-I10-06</v>
      </c>
      <c r="H10063">
        <v>0.9728</v>
      </c>
      <c r="I10063" t="s">
        <v>2253</v>
      </c>
      <c r="J10063" t="s">
        <v>17</v>
      </c>
      <c r="K10063" t="str">
        <f>"5F1"</f>
        <v>5F1</v>
      </c>
      <c r="L10063" t="s">
        <v>15</v>
      </c>
    </row>
    <row r="10064" spans="1:12" x14ac:dyDescent="0.25">
      <c r="A10064" t="str">
        <f>"7456234467"</f>
        <v>7456234467</v>
      </c>
      <c r="B10064" t="str">
        <f t="shared" si="428"/>
        <v>89301000</v>
      </c>
      <c r="C10064" s="1">
        <v>44370</v>
      </c>
      <c r="D10064" s="1">
        <v>44371</v>
      </c>
      <c r="E10064">
        <v>1</v>
      </c>
      <c r="F10064" t="s">
        <v>4537</v>
      </c>
      <c r="G10064" t="str">
        <f>"05-M03-00"</f>
        <v>05-M03-00</v>
      </c>
      <c r="H10064">
        <v>1.2451000000000001</v>
      </c>
      <c r="J10064" t="s">
        <v>24</v>
      </c>
      <c r="K10064" t="str">
        <f>"1F1"</f>
        <v>1F1</v>
      </c>
      <c r="L10064" t="s">
        <v>15</v>
      </c>
    </row>
    <row r="10065" spans="1:12" x14ac:dyDescent="0.25">
      <c r="A10065" t="str">
        <f>"7456245313"</f>
        <v>7456245313</v>
      </c>
      <c r="B10065" t="str">
        <f t="shared" si="428"/>
        <v>89301000</v>
      </c>
      <c r="C10065" s="1">
        <v>44371</v>
      </c>
      <c r="D10065" s="1">
        <v>44374</v>
      </c>
      <c r="E10065">
        <v>1</v>
      </c>
      <c r="F10065" t="s">
        <v>309</v>
      </c>
      <c r="G10065" t="str">
        <f>"08-M03-05"</f>
        <v>08-M03-05</v>
      </c>
      <c r="H10065">
        <v>0.51759999999999995</v>
      </c>
      <c r="I10065" t="s">
        <v>6865</v>
      </c>
      <c r="J10065" t="s">
        <v>14</v>
      </c>
      <c r="K10065" t="str">
        <f>"6F6"</f>
        <v>6F6</v>
      </c>
      <c r="L10065" t="s">
        <v>15</v>
      </c>
    </row>
    <row r="10066" spans="1:12" x14ac:dyDescent="0.25">
      <c r="A10066" t="str">
        <f>"7456265322"</f>
        <v>7456265322</v>
      </c>
      <c r="B10066" t="str">
        <f t="shared" si="428"/>
        <v>89301000</v>
      </c>
      <c r="C10066" s="1">
        <v>44543</v>
      </c>
      <c r="D10066" s="1">
        <v>44546</v>
      </c>
      <c r="E10066">
        <v>1</v>
      </c>
      <c r="F10066" t="s">
        <v>6866</v>
      </c>
      <c r="G10066" t="str">
        <f>"08-I22-01"</f>
        <v>08-I22-01</v>
      </c>
      <c r="H10066">
        <v>1.88</v>
      </c>
      <c r="J10066" t="s">
        <v>17</v>
      </c>
      <c r="K10066" t="str">
        <f>"5F3"</f>
        <v>5F3</v>
      </c>
      <c r="L10066" t="s">
        <v>15</v>
      </c>
    </row>
    <row r="10067" spans="1:12" x14ac:dyDescent="0.25">
      <c r="A10067" t="str">
        <f>"7456265322"</f>
        <v>7456265322</v>
      </c>
      <c r="B10067" t="str">
        <f t="shared" si="428"/>
        <v>89301000</v>
      </c>
      <c r="C10067" s="1">
        <v>44390</v>
      </c>
      <c r="D10067" s="1">
        <v>44393</v>
      </c>
      <c r="E10067">
        <v>1</v>
      </c>
      <c r="F10067" t="s">
        <v>371</v>
      </c>
      <c r="G10067" t="str">
        <f>"08-I14-02"</f>
        <v>08-I14-02</v>
      </c>
      <c r="H10067">
        <v>1.7324999999999999</v>
      </c>
      <c r="I10067" t="s">
        <v>6867</v>
      </c>
      <c r="J10067" t="s">
        <v>17</v>
      </c>
      <c r="K10067" t="str">
        <f>"5F3"</f>
        <v>5F3</v>
      </c>
      <c r="L10067" t="s">
        <v>15</v>
      </c>
    </row>
    <row r="10068" spans="1:12" x14ac:dyDescent="0.25">
      <c r="A10068" t="str">
        <f>"7456275387"</f>
        <v>7456275387</v>
      </c>
      <c r="B10068" t="str">
        <f t="shared" si="428"/>
        <v>89301000</v>
      </c>
      <c r="C10068" s="1">
        <v>44498</v>
      </c>
      <c r="D10068" s="1">
        <v>44500</v>
      </c>
      <c r="E10068">
        <v>1</v>
      </c>
      <c r="F10068" t="s">
        <v>413</v>
      </c>
      <c r="G10068" t="str">
        <f>"09-I08-02"</f>
        <v>09-I08-02</v>
      </c>
      <c r="H10068">
        <v>1.2053</v>
      </c>
      <c r="J10068" t="s">
        <v>24</v>
      </c>
      <c r="K10068" t="str">
        <f>"6F1"</f>
        <v>6F1</v>
      </c>
      <c r="L10068" t="s">
        <v>15</v>
      </c>
    </row>
    <row r="10069" spans="1:12" x14ac:dyDescent="0.25">
      <c r="A10069" t="str">
        <f>"7456285793"</f>
        <v>7456285793</v>
      </c>
      <c r="B10069" t="str">
        <f t="shared" si="428"/>
        <v>89301000</v>
      </c>
      <c r="C10069" s="1">
        <v>44304</v>
      </c>
      <c r="D10069" s="1">
        <v>44306</v>
      </c>
      <c r="E10069">
        <v>1</v>
      </c>
      <c r="F10069" t="s">
        <v>309</v>
      </c>
      <c r="G10069" t="str">
        <f>"08-M03-05"</f>
        <v>08-M03-05</v>
      </c>
      <c r="H10069">
        <v>0.51759999999999995</v>
      </c>
      <c r="J10069" t="s">
        <v>14</v>
      </c>
      <c r="K10069" t="str">
        <f>"6F6"</f>
        <v>6F6</v>
      </c>
      <c r="L10069" t="s">
        <v>15</v>
      </c>
    </row>
    <row r="10070" spans="1:12" x14ac:dyDescent="0.25">
      <c r="A10070" t="str">
        <f>"7456295319"</f>
        <v>7456295319</v>
      </c>
      <c r="B10070" t="str">
        <f t="shared" si="428"/>
        <v>89301000</v>
      </c>
      <c r="C10070" s="1">
        <v>44343</v>
      </c>
      <c r="D10070" s="1">
        <v>44344</v>
      </c>
      <c r="E10070">
        <v>1</v>
      </c>
      <c r="F10070" t="s">
        <v>41</v>
      </c>
      <c r="G10070" t="str">
        <f>"01-D01-03"</f>
        <v>01-D01-03</v>
      </c>
      <c r="H10070">
        <v>0.158</v>
      </c>
      <c r="I10070" t="s">
        <v>6868</v>
      </c>
      <c r="J10070" t="s">
        <v>14</v>
      </c>
      <c r="K10070" t="str">
        <f>"2F5"</f>
        <v>2F5</v>
      </c>
      <c r="L10070" t="s">
        <v>15</v>
      </c>
    </row>
    <row r="10071" spans="1:12" x14ac:dyDescent="0.25">
      <c r="A10071" t="str">
        <f>"7456295682"</f>
        <v>7456295682</v>
      </c>
      <c r="B10071" t="str">
        <f t="shared" si="428"/>
        <v>89301000</v>
      </c>
      <c r="C10071" s="1">
        <v>44221</v>
      </c>
      <c r="D10071" s="1">
        <v>44225</v>
      </c>
      <c r="E10071">
        <v>1</v>
      </c>
      <c r="F10071" t="s">
        <v>3852</v>
      </c>
      <c r="G10071" t="str">
        <f>"13-I11-03"</f>
        <v>13-I11-03</v>
      </c>
      <c r="H10071">
        <v>1.3809</v>
      </c>
      <c r="J10071" t="s">
        <v>24</v>
      </c>
      <c r="K10071" t="str">
        <f>"6F3"</f>
        <v>6F3</v>
      </c>
      <c r="L10071" t="s">
        <v>15</v>
      </c>
    </row>
    <row r="10072" spans="1:12" x14ac:dyDescent="0.25">
      <c r="A10072" t="str">
        <f>"7457015313"</f>
        <v>7457015313</v>
      </c>
      <c r="B10072" t="str">
        <f t="shared" si="428"/>
        <v>89301000</v>
      </c>
      <c r="C10072" s="1">
        <v>44504</v>
      </c>
      <c r="D10072" s="1">
        <v>44507</v>
      </c>
      <c r="E10072">
        <v>1</v>
      </c>
      <c r="F10072" t="s">
        <v>413</v>
      </c>
      <c r="G10072" t="str">
        <f>"09-I09-04"</f>
        <v>09-I09-04</v>
      </c>
      <c r="H10072">
        <v>0.85640000000000005</v>
      </c>
      <c r="I10072" t="s">
        <v>6609</v>
      </c>
      <c r="J10072" t="s">
        <v>17</v>
      </c>
      <c r="K10072" t="str">
        <f>"6F1"</f>
        <v>6F1</v>
      </c>
      <c r="L10072" t="s">
        <v>15</v>
      </c>
    </row>
    <row r="10073" spans="1:12" x14ac:dyDescent="0.25">
      <c r="A10073" t="str">
        <f>"7457025312"</f>
        <v>7457025312</v>
      </c>
      <c r="B10073" t="str">
        <f t="shared" si="428"/>
        <v>89301000</v>
      </c>
      <c r="C10073" s="1">
        <v>44477</v>
      </c>
      <c r="D10073" s="1">
        <v>44478</v>
      </c>
      <c r="E10073">
        <v>1</v>
      </c>
      <c r="F10073" t="s">
        <v>2573</v>
      </c>
      <c r="G10073" t="str">
        <f>"13-I19-00"</f>
        <v>13-I19-00</v>
      </c>
      <c r="H10073">
        <v>0.24679999999999999</v>
      </c>
      <c r="J10073" t="s">
        <v>14</v>
      </c>
      <c r="K10073" t="str">
        <f>"6F3"</f>
        <v>6F3</v>
      </c>
      <c r="L10073" t="s">
        <v>15</v>
      </c>
    </row>
    <row r="10074" spans="1:12" x14ac:dyDescent="0.25">
      <c r="A10074" t="str">
        <f>"7457175121"</f>
        <v>7457175121</v>
      </c>
      <c r="B10074" t="str">
        <f t="shared" si="428"/>
        <v>89301000</v>
      </c>
      <c r="C10074" s="1">
        <v>44312</v>
      </c>
      <c r="D10074" s="1">
        <v>44319</v>
      </c>
      <c r="E10074">
        <v>1</v>
      </c>
      <c r="F10074" t="s">
        <v>3200</v>
      </c>
      <c r="G10074" t="str">
        <f>"08-K01-03"</f>
        <v>08-K01-03</v>
      </c>
      <c r="H10074">
        <v>0.66720000000000002</v>
      </c>
      <c r="I10074" t="s">
        <v>6869</v>
      </c>
      <c r="J10074" t="s">
        <v>14</v>
      </c>
      <c r="K10074" t="str">
        <f>"1F9"</f>
        <v>1F9</v>
      </c>
      <c r="L10074" t="s">
        <v>15</v>
      </c>
    </row>
    <row r="10075" spans="1:12" x14ac:dyDescent="0.25">
      <c r="A10075" t="str">
        <f>"7457195328"</f>
        <v>7457195328</v>
      </c>
      <c r="B10075" t="str">
        <f t="shared" si="428"/>
        <v>89301000</v>
      </c>
      <c r="C10075" s="1">
        <v>44358</v>
      </c>
      <c r="D10075" s="1">
        <v>44368</v>
      </c>
      <c r="E10075">
        <v>4</v>
      </c>
      <c r="F10075" t="s">
        <v>2931</v>
      </c>
      <c r="G10075" t="str">
        <f>"07-K04-03"</f>
        <v>07-K04-03</v>
      </c>
      <c r="H10075">
        <v>1.0898000000000001</v>
      </c>
      <c r="I10075" t="s">
        <v>6870</v>
      </c>
      <c r="J10075" t="s">
        <v>14</v>
      </c>
      <c r="K10075" t="str">
        <f>"1F5"</f>
        <v>1F5</v>
      </c>
      <c r="L10075" t="s">
        <v>15</v>
      </c>
    </row>
    <row r="10076" spans="1:12" x14ac:dyDescent="0.25">
      <c r="A10076" t="str">
        <f>"7457295758"</f>
        <v>7457295758</v>
      </c>
      <c r="B10076" t="str">
        <f t="shared" si="428"/>
        <v>89301000</v>
      </c>
      <c r="C10076" s="1">
        <v>44501</v>
      </c>
      <c r="D10076" s="1">
        <v>44503</v>
      </c>
      <c r="E10076">
        <v>1</v>
      </c>
      <c r="F10076" t="s">
        <v>1859</v>
      </c>
      <c r="G10076" t="str">
        <f>"03-I23-00"</f>
        <v>03-I23-00</v>
      </c>
      <c r="H10076">
        <v>0.47639999999999999</v>
      </c>
      <c r="I10076" t="s">
        <v>6871</v>
      </c>
      <c r="J10076" t="s">
        <v>14</v>
      </c>
      <c r="K10076" t="str">
        <f>"6F5"</f>
        <v>6F5</v>
      </c>
      <c r="L10076" t="s">
        <v>15</v>
      </c>
    </row>
    <row r="10077" spans="1:12" x14ac:dyDescent="0.25">
      <c r="A10077" t="str">
        <f>"7457315316"</f>
        <v>7457315316</v>
      </c>
      <c r="B10077" t="str">
        <f t="shared" si="428"/>
        <v>89301000</v>
      </c>
      <c r="C10077" s="1">
        <v>44499</v>
      </c>
      <c r="D10077" s="1">
        <v>44501</v>
      </c>
      <c r="E10077">
        <v>1</v>
      </c>
      <c r="F10077" t="s">
        <v>217</v>
      </c>
      <c r="G10077" t="str">
        <f>"04-K02-04"</f>
        <v>04-K02-04</v>
      </c>
      <c r="H10077">
        <v>0.82469999999999999</v>
      </c>
      <c r="I10077" t="s">
        <v>274</v>
      </c>
      <c r="J10077" t="s">
        <v>14</v>
      </c>
      <c r="K10077" t="str">
        <f>"1F1"</f>
        <v>1F1</v>
      </c>
      <c r="L10077" t="s">
        <v>15</v>
      </c>
    </row>
    <row r="10078" spans="1:12" x14ac:dyDescent="0.25">
      <c r="A10078" t="str">
        <f>"7458075834"</f>
        <v>7458075834</v>
      </c>
      <c r="B10078" t="str">
        <f t="shared" si="428"/>
        <v>89301000</v>
      </c>
      <c r="C10078" s="1">
        <v>44286</v>
      </c>
      <c r="D10078" s="1">
        <v>44291</v>
      </c>
      <c r="E10078">
        <v>1</v>
      </c>
      <c r="F10078" t="s">
        <v>575</v>
      </c>
      <c r="G10078" t="str">
        <f>"18-K02-03"</f>
        <v>18-K02-03</v>
      </c>
      <c r="H10078">
        <v>0.87570000000000003</v>
      </c>
      <c r="I10078" t="s">
        <v>3058</v>
      </c>
      <c r="J10078" t="s">
        <v>14</v>
      </c>
      <c r="K10078" t="str">
        <f>"6F3"</f>
        <v>6F3</v>
      </c>
      <c r="L10078" t="s">
        <v>15</v>
      </c>
    </row>
    <row r="10079" spans="1:12" x14ac:dyDescent="0.25">
      <c r="A10079" t="str">
        <f>"7458075834"</f>
        <v>7458075834</v>
      </c>
      <c r="B10079" t="str">
        <f t="shared" si="428"/>
        <v>89301000</v>
      </c>
      <c r="C10079" s="1">
        <v>44259</v>
      </c>
      <c r="D10079" s="1">
        <v>44264</v>
      </c>
      <c r="E10079">
        <v>1</v>
      </c>
      <c r="F10079" t="s">
        <v>6872</v>
      </c>
      <c r="G10079" t="str">
        <f>"13-I11-03"</f>
        <v>13-I11-03</v>
      </c>
      <c r="H10079">
        <v>1.3809</v>
      </c>
      <c r="I10079" t="s">
        <v>6873</v>
      </c>
      <c r="J10079" t="s">
        <v>24</v>
      </c>
      <c r="K10079" t="str">
        <f>"6F3"</f>
        <v>6F3</v>
      </c>
      <c r="L10079" t="s">
        <v>15</v>
      </c>
    </row>
    <row r="10080" spans="1:12" x14ac:dyDescent="0.25">
      <c r="A10080" t="str">
        <f>"7458075834"</f>
        <v>7458075834</v>
      </c>
      <c r="B10080" t="str">
        <f t="shared" si="428"/>
        <v>89301000</v>
      </c>
      <c r="C10080" s="1">
        <v>44204</v>
      </c>
      <c r="D10080" s="1">
        <v>44205</v>
      </c>
      <c r="E10080">
        <v>1</v>
      </c>
      <c r="F10080" t="s">
        <v>5453</v>
      </c>
      <c r="G10080" t="str">
        <f>"13-I19-00"</f>
        <v>13-I19-00</v>
      </c>
      <c r="H10080">
        <v>0.24679999999999999</v>
      </c>
      <c r="J10080" t="s">
        <v>14</v>
      </c>
      <c r="K10080" t="str">
        <f>"6F3"</f>
        <v>6F3</v>
      </c>
      <c r="L10080" t="s">
        <v>15</v>
      </c>
    </row>
    <row r="10081" spans="1:12" x14ac:dyDescent="0.25">
      <c r="A10081" t="str">
        <f>"7458155331"</f>
        <v>7458155331</v>
      </c>
      <c r="B10081" t="str">
        <f t="shared" si="428"/>
        <v>89301000</v>
      </c>
      <c r="C10081" s="1">
        <v>44209</v>
      </c>
      <c r="D10081" s="1">
        <v>44214</v>
      </c>
      <c r="E10081">
        <v>1</v>
      </c>
      <c r="F10081" t="s">
        <v>1802</v>
      </c>
      <c r="G10081" t="str">
        <f>"13-I04-01"</f>
        <v>13-I04-01</v>
      </c>
      <c r="H10081">
        <v>2.6413000000000002</v>
      </c>
      <c r="J10081" t="s">
        <v>14</v>
      </c>
      <c r="K10081" t="str">
        <f>"6F3"</f>
        <v>6F3</v>
      </c>
      <c r="L10081" t="s">
        <v>15</v>
      </c>
    </row>
    <row r="10082" spans="1:12" x14ac:dyDescent="0.25">
      <c r="A10082" t="str">
        <f>"7458155331"</f>
        <v>7458155331</v>
      </c>
      <c r="B10082" t="str">
        <f t="shared" si="428"/>
        <v>89301000</v>
      </c>
      <c r="C10082" s="1">
        <v>44503</v>
      </c>
      <c r="D10082" s="1">
        <v>44507</v>
      </c>
      <c r="E10082">
        <v>1</v>
      </c>
      <c r="F10082" t="s">
        <v>28</v>
      </c>
      <c r="G10082" t="str">
        <f>"03-I12-02"</f>
        <v>03-I12-02</v>
      </c>
      <c r="H10082">
        <v>1.3254999999999999</v>
      </c>
      <c r="I10082" t="s">
        <v>2807</v>
      </c>
      <c r="J10082" t="s">
        <v>17</v>
      </c>
      <c r="K10082" t="str">
        <f>"7F1"</f>
        <v>7F1</v>
      </c>
      <c r="L10082" t="s">
        <v>15</v>
      </c>
    </row>
    <row r="10083" spans="1:12" x14ac:dyDescent="0.25">
      <c r="A10083" t="str">
        <f>"7458195327"</f>
        <v>7458195327</v>
      </c>
      <c r="B10083" t="str">
        <f t="shared" si="428"/>
        <v>89301000</v>
      </c>
      <c r="C10083" s="1">
        <v>44453</v>
      </c>
      <c r="D10083" s="1">
        <v>44455</v>
      </c>
      <c r="E10083">
        <v>1</v>
      </c>
      <c r="F10083" t="s">
        <v>6874</v>
      </c>
      <c r="G10083" t="str">
        <f>"13-I19-00"</f>
        <v>13-I19-00</v>
      </c>
      <c r="H10083">
        <v>0.24679999999999999</v>
      </c>
      <c r="J10083" t="s">
        <v>14</v>
      </c>
      <c r="K10083" t="str">
        <f>"6F3"</f>
        <v>6F3</v>
      </c>
      <c r="L10083" t="s">
        <v>15</v>
      </c>
    </row>
    <row r="10084" spans="1:12" x14ac:dyDescent="0.25">
      <c r="A10084" t="str">
        <f t="shared" ref="A10084:A10090" si="429">"7458245806"</f>
        <v>7458245806</v>
      </c>
      <c r="B10084" t="str">
        <f t="shared" si="428"/>
        <v>89301000</v>
      </c>
      <c r="C10084" s="1">
        <v>44389</v>
      </c>
      <c r="D10084" s="1">
        <v>44413</v>
      </c>
      <c r="E10084">
        <v>5</v>
      </c>
      <c r="F10084" t="s">
        <v>920</v>
      </c>
      <c r="G10084" t="str">
        <f>"01-I07-01"</f>
        <v>01-I07-01</v>
      </c>
      <c r="H10084">
        <v>7.4310999999999998</v>
      </c>
      <c r="I10084" t="s">
        <v>6875</v>
      </c>
      <c r="J10084" t="s">
        <v>17</v>
      </c>
      <c r="K10084" t="str">
        <f>"5T6"</f>
        <v>5T6</v>
      </c>
      <c r="L10084" t="s">
        <v>15</v>
      </c>
    </row>
    <row r="10085" spans="1:12" x14ac:dyDescent="0.25">
      <c r="A10085" t="str">
        <f t="shared" si="429"/>
        <v>7458245806</v>
      </c>
      <c r="B10085" t="str">
        <f t="shared" ref="B10085:B10148" si="430">"89301000"</f>
        <v>89301000</v>
      </c>
      <c r="C10085" s="1">
        <v>44268</v>
      </c>
      <c r="D10085" s="1">
        <v>44275</v>
      </c>
      <c r="E10085">
        <v>1</v>
      </c>
      <c r="F10085" t="s">
        <v>6876</v>
      </c>
      <c r="G10085" t="str">
        <f>"08-K10-00"</f>
        <v>08-K10-00</v>
      </c>
      <c r="H10085">
        <v>0.81889999999999996</v>
      </c>
      <c r="I10085" t="s">
        <v>6877</v>
      </c>
      <c r="J10085" t="s">
        <v>14</v>
      </c>
      <c r="K10085" t="str">
        <f>"2F9"</f>
        <v>2F9</v>
      </c>
      <c r="L10085" t="s">
        <v>15</v>
      </c>
    </row>
    <row r="10086" spans="1:12" x14ac:dyDescent="0.25">
      <c r="A10086" t="str">
        <f t="shared" si="429"/>
        <v>7458245806</v>
      </c>
      <c r="B10086" t="str">
        <f t="shared" si="430"/>
        <v>89301000</v>
      </c>
      <c r="C10086" s="1">
        <v>44284</v>
      </c>
      <c r="D10086" s="1">
        <v>44300</v>
      </c>
      <c r="E10086">
        <v>1</v>
      </c>
      <c r="F10086" t="s">
        <v>4982</v>
      </c>
      <c r="G10086" t="str">
        <f>"01-I07-01"</f>
        <v>01-I07-01</v>
      </c>
      <c r="H10086">
        <v>7.7576999999999998</v>
      </c>
      <c r="I10086" t="s">
        <v>6878</v>
      </c>
      <c r="J10086" t="s">
        <v>17</v>
      </c>
      <c r="K10086" t="str">
        <f>"5F6"</f>
        <v>5F6</v>
      </c>
      <c r="L10086" t="s">
        <v>15</v>
      </c>
    </row>
    <row r="10087" spans="1:12" x14ac:dyDescent="0.25">
      <c r="A10087" t="str">
        <f t="shared" si="429"/>
        <v>7458245806</v>
      </c>
      <c r="B10087" t="str">
        <f t="shared" si="430"/>
        <v>89301000</v>
      </c>
      <c r="C10087" s="1">
        <v>44442</v>
      </c>
      <c r="D10087" s="1">
        <v>44461</v>
      </c>
      <c r="E10087">
        <v>5</v>
      </c>
      <c r="F10087" t="s">
        <v>4982</v>
      </c>
      <c r="G10087" t="str">
        <f>"00-M02-03"</f>
        <v>00-M02-03</v>
      </c>
      <c r="H10087">
        <v>15.9742</v>
      </c>
      <c r="I10087" t="s">
        <v>6879</v>
      </c>
      <c r="J10087" t="s">
        <v>14</v>
      </c>
      <c r="K10087" t="str">
        <f>"5T6"</f>
        <v>5T6</v>
      </c>
      <c r="L10087" t="s">
        <v>15</v>
      </c>
    </row>
    <row r="10088" spans="1:12" x14ac:dyDescent="0.25">
      <c r="A10088" t="str">
        <f t="shared" si="429"/>
        <v>7458245806</v>
      </c>
      <c r="B10088" t="str">
        <f t="shared" si="430"/>
        <v>89301000</v>
      </c>
      <c r="C10088" s="1">
        <v>44262</v>
      </c>
      <c r="D10088" s="1">
        <v>44265</v>
      </c>
      <c r="E10088">
        <v>1</v>
      </c>
      <c r="F10088" t="s">
        <v>714</v>
      </c>
      <c r="G10088" t="str">
        <f>"03-I14-02"</f>
        <v>03-I14-02</v>
      </c>
      <c r="H10088">
        <v>1.1086</v>
      </c>
      <c r="I10088" t="s">
        <v>6880</v>
      </c>
      <c r="J10088" t="s">
        <v>14</v>
      </c>
      <c r="K10088" t="str">
        <f>"7F1"</f>
        <v>7F1</v>
      </c>
      <c r="L10088" t="s">
        <v>15</v>
      </c>
    </row>
    <row r="10089" spans="1:12" x14ac:dyDescent="0.25">
      <c r="A10089" t="str">
        <f t="shared" si="429"/>
        <v>7458245806</v>
      </c>
      <c r="B10089" t="str">
        <f t="shared" si="430"/>
        <v>89301000</v>
      </c>
      <c r="C10089" s="1">
        <v>44416</v>
      </c>
      <c r="D10089" s="1">
        <v>44419</v>
      </c>
      <c r="E10089">
        <v>5</v>
      </c>
      <c r="F10089" t="s">
        <v>599</v>
      </c>
      <c r="G10089" t="str">
        <f>"01-I07-03"</f>
        <v>01-I07-03</v>
      </c>
      <c r="H10089">
        <v>2.177</v>
      </c>
      <c r="I10089" t="s">
        <v>6881</v>
      </c>
      <c r="J10089" t="s">
        <v>17</v>
      </c>
      <c r="K10089" t="str">
        <f>"5T6"</f>
        <v>5T6</v>
      </c>
      <c r="L10089" t="s">
        <v>15</v>
      </c>
    </row>
    <row r="10090" spans="1:12" x14ac:dyDescent="0.25">
      <c r="A10090" t="str">
        <f t="shared" si="429"/>
        <v>7458245806</v>
      </c>
      <c r="B10090" t="str">
        <f t="shared" si="430"/>
        <v>89301000</v>
      </c>
      <c r="C10090" s="1">
        <v>44354</v>
      </c>
      <c r="D10090" s="1">
        <v>44384</v>
      </c>
      <c r="E10090">
        <v>1</v>
      </c>
      <c r="F10090" t="s">
        <v>920</v>
      </c>
      <c r="G10090" t="str">
        <f>"01-I06-01"</f>
        <v>01-I06-01</v>
      </c>
      <c r="H10090">
        <v>7.2766000000000002</v>
      </c>
      <c r="I10090" t="s">
        <v>6882</v>
      </c>
      <c r="J10090" t="s">
        <v>17</v>
      </c>
      <c r="K10090" t="str">
        <f>"5F6"</f>
        <v>5F6</v>
      </c>
      <c r="L10090" t="s">
        <v>15</v>
      </c>
    </row>
    <row r="10091" spans="1:12" x14ac:dyDescent="0.25">
      <c r="A10091" t="str">
        <f>"7459025321"</f>
        <v>7459025321</v>
      </c>
      <c r="B10091" t="str">
        <f t="shared" si="430"/>
        <v>89301000</v>
      </c>
      <c r="C10091" s="1">
        <v>44452</v>
      </c>
      <c r="D10091" s="1">
        <v>44454</v>
      </c>
      <c r="E10091">
        <v>1</v>
      </c>
      <c r="F10091" t="s">
        <v>3967</v>
      </c>
      <c r="G10091" t="str">
        <f>"03-K07-00"</f>
        <v>03-K07-00</v>
      </c>
      <c r="H10091">
        <v>0.36380000000000001</v>
      </c>
      <c r="I10091" t="s">
        <v>6883</v>
      </c>
      <c r="J10091" t="s">
        <v>14</v>
      </c>
      <c r="K10091" t="str">
        <f>"7F1"</f>
        <v>7F1</v>
      </c>
      <c r="L10091" t="s">
        <v>15</v>
      </c>
    </row>
    <row r="10092" spans="1:12" x14ac:dyDescent="0.25">
      <c r="A10092" t="str">
        <f>"7459055340"</f>
        <v>7459055340</v>
      </c>
      <c r="B10092" t="str">
        <f t="shared" si="430"/>
        <v>89301000</v>
      </c>
      <c r="C10092" s="1">
        <v>44462</v>
      </c>
      <c r="D10092" s="1">
        <v>44465</v>
      </c>
      <c r="E10092">
        <v>1</v>
      </c>
      <c r="F10092" t="s">
        <v>4382</v>
      </c>
      <c r="G10092" t="str">
        <f>"05-I30-03"</f>
        <v>05-I30-03</v>
      </c>
      <c r="H10092">
        <v>0.53239999999999998</v>
      </c>
      <c r="J10092" t="s">
        <v>14</v>
      </c>
      <c r="K10092" t="str">
        <f>"5F1"</f>
        <v>5F1</v>
      </c>
      <c r="L10092" t="s">
        <v>15</v>
      </c>
    </row>
    <row r="10093" spans="1:12" x14ac:dyDescent="0.25">
      <c r="A10093" t="str">
        <f>"7459074590"</f>
        <v>7459074590</v>
      </c>
      <c r="B10093" t="str">
        <f t="shared" si="430"/>
        <v>89301000</v>
      </c>
      <c r="C10093" s="1">
        <v>44404</v>
      </c>
      <c r="D10093" s="1">
        <v>44405</v>
      </c>
      <c r="E10093">
        <v>1</v>
      </c>
      <c r="F10093" t="s">
        <v>41</v>
      </c>
      <c r="G10093" t="str">
        <f>"01-D01-03"</f>
        <v>01-D01-03</v>
      </c>
      <c r="H10093">
        <v>0.158</v>
      </c>
      <c r="I10093" t="s">
        <v>6884</v>
      </c>
      <c r="J10093" t="s">
        <v>14</v>
      </c>
      <c r="K10093" t="str">
        <f>"2F5"</f>
        <v>2F5</v>
      </c>
      <c r="L10093" t="s">
        <v>15</v>
      </c>
    </row>
    <row r="10094" spans="1:12" x14ac:dyDescent="0.25">
      <c r="A10094" t="str">
        <f>"7459075360"</f>
        <v>7459075360</v>
      </c>
      <c r="B10094" t="str">
        <f t="shared" si="430"/>
        <v>89301000</v>
      </c>
      <c r="C10094" s="1">
        <v>44493</v>
      </c>
      <c r="D10094" s="1">
        <v>44496</v>
      </c>
      <c r="E10094">
        <v>1</v>
      </c>
      <c r="F10094" t="s">
        <v>6885</v>
      </c>
      <c r="G10094" t="str">
        <f>"08-I26-03"</f>
        <v>08-I26-03</v>
      </c>
      <c r="H10094">
        <v>0.45679999999999998</v>
      </c>
      <c r="J10094" t="s">
        <v>14</v>
      </c>
      <c r="K10094" t="str">
        <f>"6F6"</f>
        <v>6F6</v>
      </c>
      <c r="L10094" t="s">
        <v>15</v>
      </c>
    </row>
    <row r="10095" spans="1:12" x14ac:dyDescent="0.25">
      <c r="A10095" t="str">
        <f>"7459105324"</f>
        <v>7459105324</v>
      </c>
      <c r="B10095" t="str">
        <f t="shared" si="430"/>
        <v>89301000</v>
      </c>
      <c r="C10095" s="1">
        <v>44336</v>
      </c>
      <c r="D10095" s="1">
        <v>44344</v>
      </c>
      <c r="E10095">
        <v>1</v>
      </c>
      <c r="F10095" t="s">
        <v>4506</v>
      </c>
      <c r="G10095" t="str">
        <f>"01-K16-02"</f>
        <v>01-K16-02</v>
      </c>
      <c r="H10095">
        <v>1.0797000000000001</v>
      </c>
      <c r="I10095" t="s">
        <v>381</v>
      </c>
      <c r="J10095" t="s">
        <v>14</v>
      </c>
      <c r="K10095" t="str">
        <f>"5F6"</f>
        <v>5F6</v>
      </c>
      <c r="L10095" t="s">
        <v>15</v>
      </c>
    </row>
    <row r="10096" spans="1:12" x14ac:dyDescent="0.25">
      <c r="A10096" t="str">
        <f>"7459161897"</f>
        <v>7459161897</v>
      </c>
      <c r="B10096" t="str">
        <f t="shared" si="430"/>
        <v>89301000</v>
      </c>
      <c r="C10096" s="1">
        <v>44221</v>
      </c>
      <c r="D10096" s="1">
        <v>44228</v>
      </c>
      <c r="E10096">
        <v>1</v>
      </c>
      <c r="F10096" t="s">
        <v>6886</v>
      </c>
      <c r="G10096" t="str">
        <f>"09-K11-00"</f>
        <v>09-K11-00</v>
      </c>
      <c r="H10096">
        <v>1.034</v>
      </c>
      <c r="I10096" t="s">
        <v>6887</v>
      </c>
      <c r="J10096" t="s">
        <v>14</v>
      </c>
      <c r="K10096" t="str">
        <f>"7F1"</f>
        <v>7F1</v>
      </c>
      <c r="L10096" t="s">
        <v>15</v>
      </c>
    </row>
    <row r="10097" spans="1:12" x14ac:dyDescent="0.25">
      <c r="A10097" t="str">
        <f>"7459194457"</f>
        <v>7459194457</v>
      </c>
      <c r="B10097" t="str">
        <f t="shared" si="430"/>
        <v>89301000</v>
      </c>
      <c r="C10097" s="1">
        <v>44231</v>
      </c>
      <c r="D10097" s="1">
        <v>44251</v>
      </c>
      <c r="E10097">
        <v>1</v>
      </c>
      <c r="F10097" t="s">
        <v>4287</v>
      </c>
      <c r="G10097" t="str">
        <f>"00-M07-00"</f>
        <v>00-M07-00</v>
      </c>
      <c r="H10097">
        <v>8.0892999999999997</v>
      </c>
      <c r="I10097" t="s">
        <v>6888</v>
      </c>
      <c r="J10097" t="s">
        <v>17</v>
      </c>
      <c r="K10097" t="str">
        <f>"2T2"</f>
        <v>2T2</v>
      </c>
      <c r="L10097" t="s">
        <v>15</v>
      </c>
    </row>
    <row r="10098" spans="1:12" x14ac:dyDescent="0.25">
      <c r="A10098" t="str">
        <f>"7459194457"</f>
        <v>7459194457</v>
      </c>
      <c r="B10098" t="str">
        <f t="shared" si="430"/>
        <v>89301000</v>
      </c>
      <c r="C10098" s="1">
        <v>44329</v>
      </c>
      <c r="D10098" s="1">
        <v>44333</v>
      </c>
      <c r="E10098">
        <v>1</v>
      </c>
      <c r="F10098" t="s">
        <v>4287</v>
      </c>
      <c r="G10098" t="str">
        <f>"17-K05-02"</f>
        <v>17-K05-02</v>
      </c>
      <c r="H10098">
        <v>0.94220000000000004</v>
      </c>
      <c r="I10098" t="s">
        <v>168</v>
      </c>
      <c r="J10098" t="s">
        <v>14</v>
      </c>
      <c r="K10098" t="str">
        <f>"2F2"</f>
        <v>2F2</v>
      </c>
      <c r="L10098" t="s">
        <v>15</v>
      </c>
    </row>
    <row r="10099" spans="1:12" x14ac:dyDescent="0.25">
      <c r="A10099" t="str">
        <f>"7459253769"</f>
        <v>7459253769</v>
      </c>
      <c r="B10099" t="str">
        <f t="shared" si="430"/>
        <v>89301000</v>
      </c>
      <c r="C10099" s="1">
        <v>44537</v>
      </c>
      <c r="D10099" s="1">
        <v>44540</v>
      </c>
      <c r="E10099">
        <v>1</v>
      </c>
      <c r="F10099" t="s">
        <v>266</v>
      </c>
      <c r="G10099" t="str">
        <f>"13-I14-03"</f>
        <v>13-I14-03</v>
      </c>
      <c r="H10099">
        <v>0.83199999999999996</v>
      </c>
      <c r="J10099" t="s">
        <v>24</v>
      </c>
      <c r="K10099" t="str">
        <f>"6F3"</f>
        <v>6F3</v>
      </c>
      <c r="L10099" t="s">
        <v>15</v>
      </c>
    </row>
    <row r="10100" spans="1:12" x14ac:dyDescent="0.25">
      <c r="A10100" t="str">
        <f>"7460075304"</f>
        <v>7460075304</v>
      </c>
      <c r="B10100" t="str">
        <f t="shared" si="430"/>
        <v>89301000</v>
      </c>
      <c r="C10100" s="1">
        <v>44338</v>
      </c>
      <c r="D10100" s="1">
        <v>44341</v>
      </c>
      <c r="E10100">
        <v>1</v>
      </c>
      <c r="F10100" t="s">
        <v>132</v>
      </c>
      <c r="G10100" t="str">
        <f>"03-I23-00"</f>
        <v>03-I23-00</v>
      </c>
      <c r="H10100">
        <v>0.47639999999999999</v>
      </c>
      <c r="I10100" t="s">
        <v>6889</v>
      </c>
      <c r="J10100" t="s">
        <v>14</v>
      </c>
      <c r="K10100" t="str">
        <f>"6F5"</f>
        <v>6F5</v>
      </c>
      <c r="L10100" t="s">
        <v>15</v>
      </c>
    </row>
    <row r="10101" spans="1:12" x14ac:dyDescent="0.25">
      <c r="A10101" t="str">
        <f>"7461025341"</f>
        <v>7461025341</v>
      </c>
      <c r="B10101" t="str">
        <f t="shared" si="430"/>
        <v>89301000</v>
      </c>
      <c r="C10101" s="1">
        <v>44367</v>
      </c>
      <c r="D10101" s="1">
        <v>44368</v>
      </c>
      <c r="E10101">
        <v>1</v>
      </c>
      <c r="F10101" t="s">
        <v>6890</v>
      </c>
      <c r="G10101" t="str">
        <f>"21-K05-03"</f>
        <v>21-K05-03</v>
      </c>
      <c r="H10101">
        <v>0.46750000000000003</v>
      </c>
      <c r="I10101" t="s">
        <v>443</v>
      </c>
      <c r="J10101" t="s">
        <v>14</v>
      </c>
      <c r="K10101" t="str">
        <f>"1T1"</f>
        <v>1T1</v>
      </c>
      <c r="L10101" t="s">
        <v>15</v>
      </c>
    </row>
    <row r="10102" spans="1:12" x14ac:dyDescent="0.25">
      <c r="A10102" t="str">
        <f>"7461115321"</f>
        <v>7461115321</v>
      </c>
      <c r="B10102" t="str">
        <f t="shared" si="430"/>
        <v>89301000</v>
      </c>
      <c r="C10102" s="1">
        <v>44452</v>
      </c>
      <c r="D10102" s="1">
        <v>44455</v>
      </c>
      <c r="E10102">
        <v>1</v>
      </c>
      <c r="F10102" t="s">
        <v>343</v>
      </c>
      <c r="G10102" t="str">
        <f>"11-M05-02"</f>
        <v>11-M05-02</v>
      </c>
      <c r="H10102">
        <v>0.65690000000000004</v>
      </c>
      <c r="J10102" t="s">
        <v>17</v>
      </c>
      <c r="K10102" t="str">
        <f>"7F6"</f>
        <v>7F6</v>
      </c>
      <c r="L10102" t="s">
        <v>15</v>
      </c>
    </row>
    <row r="10103" spans="1:12" x14ac:dyDescent="0.25">
      <c r="A10103" t="str">
        <f>"7461115321"</f>
        <v>7461115321</v>
      </c>
      <c r="B10103" t="str">
        <f t="shared" si="430"/>
        <v>89301000</v>
      </c>
      <c r="C10103" s="1">
        <v>44508</v>
      </c>
      <c r="D10103" s="1">
        <v>44510</v>
      </c>
      <c r="E10103">
        <v>1</v>
      </c>
      <c r="F10103" t="s">
        <v>343</v>
      </c>
      <c r="G10103" t="str">
        <f>"11-M05-02"</f>
        <v>11-M05-02</v>
      </c>
      <c r="H10103">
        <v>0.65690000000000004</v>
      </c>
      <c r="I10103" t="s">
        <v>2478</v>
      </c>
      <c r="J10103" t="s">
        <v>17</v>
      </c>
      <c r="K10103" t="str">
        <f>"7F6"</f>
        <v>7F6</v>
      </c>
      <c r="L10103" t="s">
        <v>15</v>
      </c>
    </row>
    <row r="10104" spans="1:12" x14ac:dyDescent="0.25">
      <c r="A10104" t="str">
        <f>"7461135913"</f>
        <v>7461135913</v>
      </c>
      <c r="B10104" t="str">
        <f t="shared" si="430"/>
        <v>89301000</v>
      </c>
      <c r="C10104" s="1">
        <v>44258</v>
      </c>
      <c r="D10104" s="1">
        <v>44259</v>
      </c>
      <c r="E10104">
        <v>1</v>
      </c>
      <c r="F10104" t="s">
        <v>41</v>
      </c>
      <c r="G10104" t="str">
        <f>"01-D01-03"</f>
        <v>01-D01-03</v>
      </c>
      <c r="H10104">
        <v>0.158</v>
      </c>
      <c r="I10104" t="s">
        <v>6891</v>
      </c>
      <c r="J10104" t="s">
        <v>14</v>
      </c>
      <c r="K10104" t="str">
        <f>"2F5"</f>
        <v>2F5</v>
      </c>
      <c r="L10104" t="s">
        <v>15</v>
      </c>
    </row>
    <row r="10105" spans="1:12" x14ac:dyDescent="0.25">
      <c r="A10105" t="str">
        <f>"7461215322"</f>
        <v>7461215322</v>
      </c>
      <c r="B10105" t="str">
        <f t="shared" si="430"/>
        <v>89301000</v>
      </c>
      <c r="C10105" s="1">
        <v>44482</v>
      </c>
      <c r="D10105" s="1">
        <v>44501</v>
      </c>
      <c r="E10105">
        <v>1</v>
      </c>
      <c r="F10105" t="s">
        <v>6892</v>
      </c>
      <c r="G10105" t="str">
        <f>"00-M08-00"</f>
        <v>00-M08-00</v>
      </c>
      <c r="H10105">
        <v>4.0544000000000002</v>
      </c>
      <c r="I10105" t="s">
        <v>6893</v>
      </c>
      <c r="J10105" t="s">
        <v>17</v>
      </c>
      <c r="K10105" t="str">
        <f>"2T2"</f>
        <v>2T2</v>
      </c>
      <c r="L10105" t="s">
        <v>15</v>
      </c>
    </row>
    <row r="10106" spans="1:12" x14ac:dyDescent="0.25">
      <c r="A10106" t="str">
        <f>"7461215322"</f>
        <v>7461215322</v>
      </c>
      <c r="B10106" t="str">
        <f t="shared" si="430"/>
        <v>89301000</v>
      </c>
      <c r="C10106" s="1">
        <v>44431</v>
      </c>
      <c r="D10106" s="1">
        <v>44435</v>
      </c>
      <c r="E10106">
        <v>1</v>
      </c>
      <c r="F10106" t="s">
        <v>6892</v>
      </c>
      <c r="G10106" t="str">
        <f>"00-M10-02"</f>
        <v>00-M10-02</v>
      </c>
      <c r="H10106">
        <v>1.2450000000000001</v>
      </c>
      <c r="I10106" t="s">
        <v>168</v>
      </c>
      <c r="J10106" t="s">
        <v>24</v>
      </c>
      <c r="K10106" t="str">
        <f>"2F2"</f>
        <v>2F2</v>
      </c>
      <c r="L10106" t="s">
        <v>15</v>
      </c>
    </row>
    <row r="10107" spans="1:12" x14ac:dyDescent="0.25">
      <c r="A10107" t="str">
        <f>"7461215322"</f>
        <v>7461215322</v>
      </c>
      <c r="B10107" t="str">
        <f t="shared" si="430"/>
        <v>89301000</v>
      </c>
      <c r="C10107" s="1">
        <v>44241</v>
      </c>
      <c r="D10107" s="1">
        <v>44248</v>
      </c>
      <c r="E10107">
        <v>1</v>
      </c>
      <c r="F10107" t="s">
        <v>6894</v>
      </c>
      <c r="G10107" t="str">
        <f>"01-I06-02"</f>
        <v>01-I06-02</v>
      </c>
      <c r="H10107">
        <v>5.1687000000000003</v>
      </c>
      <c r="I10107" t="s">
        <v>6895</v>
      </c>
      <c r="J10107" t="s">
        <v>17</v>
      </c>
      <c r="K10107" t="str">
        <f>"5F6"</f>
        <v>5F6</v>
      </c>
      <c r="L10107" t="s">
        <v>15</v>
      </c>
    </row>
    <row r="10108" spans="1:12" x14ac:dyDescent="0.25">
      <c r="A10108" t="str">
        <f>"7461215322"</f>
        <v>7461215322</v>
      </c>
      <c r="B10108" t="str">
        <f t="shared" si="430"/>
        <v>89301000</v>
      </c>
      <c r="C10108" s="1">
        <v>44424</v>
      </c>
      <c r="D10108" s="1">
        <v>44425</v>
      </c>
      <c r="E10108">
        <v>1</v>
      </c>
      <c r="F10108" t="s">
        <v>6892</v>
      </c>
      <c r="G10108" t="str">
        <f>"17-C05-06"</f>
        <v>17-C05-06</v>
      </c>
      <c r="H10108">
        <v>0.50260000000000005</v>
      </c>
      <c r="I10108" t="s">
        <v>6896</v>
      </c>
      <c r="J10108" t="s">
        <v>14</v>
      </c>
      <c r="K10108" t="str">
        <f>"2F2"</f>
        <v>2F2</v>
      </c>
      <c r="L10108" t="s">
        <v>15</v>
      </c>
    </row>
    <row r="10109" spans="1:12" x14ac:dyDescent="0.25">
      <c r="A10109" t="str">
        <f>"7461255329"</f>
        <v>7461255329</v>
      </c>
      <c r="B10109" t="str">
        <f t="shared" si="430"/>
        <v>89301000</v>
      </c>
      <c r="C10109" s="1">
        <v>44434</v>
      </c>
      <c r="D10109" s="1">
        <v>44437</v>
      </c>
      <c r="E10109">
        <v>1</v>
      </c>
      <c r="F10109" t="s">
        <v>29</v>
      </c>
      <c r="G10109" t="str">
        <f>"08-M03-05"</f>
        <v>08-M03-05</v>
      </c>
      <c r="H10109">
        <v>0.51759999999999995</v>
      </c>
      <c r="I10109" t="s">
        <v>6897</v>
      </c>
      <c r="J10109" t="s">
        <v>14</v>
      </c>
      <c r="K10109" t="str">
        <f>"6F6"</f>
        <v>6F6</v>
      </c>
      <c r="L10109" t="s">
        <v>15</v>
      </c>
    </row>
    <row r="10110" spans="1:12" x14ac:dyDescent="0.25">
      <c r="A10110" t="str">
        <f>"7462035361"</f>
        <v>7462035361</v>
      </c>
      <c r="B10110" t="str">
        <f t="shared" si="430"/>
        <v>89301000</v>
      </c>
      <c r="C10110" s="1">
        <v>44220</v>
      </c>
      <c r="D10110" s="1">
        <v>44222</v>
      </c>
      <c r="E10110">
        <v>1</v>
      </c>
      <c r="F10110" t="s">
        <v>496</v>
      </c>
      <c r="G10110" t="str">
        <f>"08-M03-05"</f>
        <v>08-M03-05</v>
      </c>
      <c r="H10110">
        <v>0.51759999999999995</v>
      </c>
      <c r="I10110" t="s">
        <v>47</v>
      </c>
      <c r="J10110" t="s">
        <v>14</v>
      </c>
      <c r="K10110" t="str">
        <f>"6F6"</f>
        <v>6F6</v>
      </c>
      <c r="L10110" t="s">
        <v>15</v>
      </c>
    </row>
    <row r="10111" spans="1:12" x14ac:dyDescent="0.25">
      <c r="A10111" t="str">
        <f>"7462064247"</f>
        <v>7462064247</v>
      </c>
      <c r="B10111" t="str">
        <f t="shared" si="430"/>
        <v>89301000</v>
      </c>
      <c r="C10111" s="1">
        <v>44532</v>
      </c>
      <c r="D10111" s="1">
        <v>44537</v>
      </c>
      <c r="E10111">
        <v>1</v>
      </c>
      <c r="F10111" t="s">
        <v>4491</v>
      </c>
      <c r="G10111" t="str">
        <f>"01-K01-02"</f>
        <v>01-K01-02</v>
      </c>
      <c r="H10111">
        <v>0.50700000000000001</v>
      </c>
      <c r="I10111" t="s">
        <v>6898</v>
      </c>
      <c r="J10111" t="s">
        <v>14</v>
      </c>
      <c r="K10111" t="str">
        <f>"2F9"</f>
        <v>2F9</v>
      </c>
      <c r="L10111" t="s">
        <v>15</v>
      </c>
    </row>
    <row r="10112" spans="1:12" x14ac:dyDescent="0.25">
      <c r="A10112" t="str">
        <f>"7462085334"</f>
        <v>7462085334</v>
      </c>
      <c r="B10112" t="str">
        <f t="shared" si="430"/>
        <v>89301000</v>
      </c>
      <c r="C10112" s="1">
        <v>44315</v>
      </c>
      <c r="D10112" s="1">
        <v>44319</v>
      </c>
      <c r="E10112">
        <v>1</v>
      </c>
      <c r="F10112" t="s">
        <v>5155</v>
      </c>
      <c r="G10112" t="str">
        <f>"07-I10-06"</f>
        <v>07-I10-06</v>
      </c>
      <c r="H10112">
        <v>0.9728</v>
      </c>
      <c r="J10112" t="s">
        <v>17</v>
      </c>
      <c r="K10112" t="str">
        <f>"5F1"</f>
        <v>5F1</v>
      </c>
      <c r="L10112" t="s">
        <v>15</v>
      </c>
    </row>
    <row r="10113" spans="1:12" x14ac:dyDescent="0.25">
      <c r="A10113" t="str">
        <f>"7462183597"</f>
        <v>7462183597</v>
      </c>
      <c r="B10113" t="str">
        <f t="shared" si="430"/>
        <v>89301000</v>
      </c>
      <c r="C10113" s="1">
        <v>44550</v>
      </c>
      <c r="D10113" s="1">
        <v>44552</v>
      </c>
      <c r="E10113">
        <v>1</v>
      </c>
      <c r="F10113" t="s">
        <v>1859</v>
      </c>
      <c r="G10113" t="str">
        <f>"03-I23-00"</f>
        <v>03-I23-00</v>
      </c>
      <c r="H10113">
        <v>0.47639999999999999</v>
      </c>
      <c r="I10113" t="s">
        <v>6899</v>
      </c>
      <c r="J10113" t="s">
        <v>14</v>
      </c>
      <c r="K10113" t="str">
        <f>"6F5"</f>
        <v>6F5</v>
      </c>
      <c r="L10113" t="s">
        <v>15</v>
      </c>
    </row>
    <row r="10114" spans="1:12" x14ac:dyDescent="0.25">
      <c r="A10114" t="str">
        <f>"7501105315"</f>
        <v>7501105315</v>
      </c>
      <c r="B10114" t="str">
        <f t="shared" si="430"/>
        <v>89301000</v>
      </c>
      <c r="C10114" s="1">
        <v>44482</v>
      </c>
      <c r="D10114" s="1">
        <v>44495</v>
      </c>
      <c r="E10114">
        <v>1</v>
      </c>
      <c r="F10114" t="s">
        <v>130</v>
      </c>
      <c r="G10114" t="str">
        <f>"19-K04-02"</f>
        <v>19-K04-02</v>
      </c>
      <c r="H10114">
        <v>1.4597</v>
      </c>
      <c r="I10114" t="s">
        <v>3488</v>
      </c>
      <c r="J10114" t="s">
        <v>27</v>
      </c>
      <c r="K10114" t="str">
        <f>"3F5"</f>
        <v>3F5</v>
      </c>
      <c r="L10114" t="s">
        <v>15</v>
      </c>
    </row>
    <row r="10115" spans="1:12" x14ac:dyDescent="0.25">
      <c r="A10115" t="str">
        <f>"7501105315"</f>
        <v>7501105315</v>
      </c>
      <c r="B10115" t="str">
        <f t="shared" si="430"/>
        <v>89301000</v>
      </c>
      <c r="C10115" s="1">
        <v>44369</v>
      </c>
      <c r="D10115" s="1">
        <v>44385</v>
      </c>
      <c r="E10115">
        <v>1</v>
      </c>
      <c r="F10115" t="s">
        <v>3488</v>
      </c>
      <c r="G10115" t="str">
        <f>"19-K05-02"</f>
        <v>19-K05-02</v>
      </c>
      <c r="H10115">
        <v>1.8835999999999999</v>
      </c>
      <c r="I10115" t="s">
        <v>6900</v>
      </c>
      <c r="J10115" t="s">
        <v>27</v>
      </c>
      <c r="K10115" t="str">
        <f>"3F5"</f>
        <v>3F5</v>
      </c>
      <c r="L10115" t="s">
        <v>15</v>
      </c>
    </row>
    <row r="10116" spans="1:12" x14ac:dyDescent="0.25">
      <c r="A10116" t="str">
        <f>"7501135312"</f>
        <v>7501135312</v>
      </c>
      <c r="B10116" t="str">
        <f t="shared" si="430"/>
        <v>89301000</v>
      </c>
      <c r="C10116" s="1">
        <v>44353</v>
      </c>
      <c r="D10116" s="1">
        <v>44358</v>
      </c>
      <c r="E10116">
        <v>1</v>
      </c>
      <c r="F10116" t="s">
        <v>98</v>
      </c>
      <c r="G10116" t="str">
        <f>"19-K03-03"</f>
        <v>19-K03-03</v>
      </c>
      <c r="H10116">
        <v>0.93169999999999997</v>
      </c>
      <c r="I10116" t="s">
        <v>6901</v>
      </c>
      <c r="J10116" t="s">
        <v>27</v>
      </c>
      <c r="K10116" t="str">
        <f>"3F5"</f>
        <v>3F5</v>
      </c>
      <c r="L10116" t="s">
        <v>15</v>
      </c>
    </row>
    <row r="10117" spans="1:12" x14ac:dyDescent="0.25">
      <c r="A10117" t="str">
        <f>"7501174483"</f>
        <v>7501174483</v>
      </c>
      <c r="B10117" t="str">
        <f t="shared" si="430"/>
        <v>89301000</v>
      </c>
      <c r="C10117" s="1">
        <v>44312</v>
      </c>
      <c r="D10117" s="1">
        <v>44314</v>
      </c>
      <c r="E10117">
        <v>1</v>
      </c>
      <c r="F10117" t="s">
        <v>31</v>
      </c>
      <c r="G10117" t="str">
        <f>"08-K08-00"</f>
        <v>08-K08-00</v>
      </c>
      <c r="H10117">
        <v>0.51670000000000005</v>
      </c>
      <c r="I10117" t="s">
        <v>6902</v>
      </c>
      <c r="J10117" t="s">
        <v>14</v>
      </c>
      <c r="K10117" t="str">
        <f>"2F9"</f>
        <v>2F9</v>
      </c>
      <c r="L10117" t="s">
        <v>15</v>
      </c>
    </row>
    <row r="10118" spans="1:12" x14ac:dyDescent="0.25">
      <c r="A10118" t="str">
        <f>"7501265398"</f>
        <v>7501265398</v>
      </c>
      <c r="B10118" t="str">
        <f t="shared" si="430"/>
        <v>89301000</v>
      </c>
      <c r="C10118" s="1">
        <v>44464</v>
      </c>
      <c r="D10118" s="1">
        <v>44470</v>
      </c>
      <c r="E10118">
        <v>1</v>
      </c>
      <c r="F10118" t="s">
        <v>1986</v>
      </c>
      <c r="G10118" t="str">
        <f>"01-K12-01"</f>
        <v>01-K12-01</v>
      </c>
      <c r="H10118">
        <v>0.71289999999999998</v>
      </c>
      <c r="J10118" t="s">
        <v>14</v>
      </c>
      <c r="K10118" t="str">
        <f>"2F9"</f>
        <v>2F9</v>
      </c>
      <c r="L10118" t="s">
        <v>15</v>
      </c>
    </row>
    <row r="10119" spans="1:12" x14ac:dyDescent="0.25">
      <c r="A10119" t="str">
        <f>"7501315382"</f>
        <v>7501315382</v>
      </c>
      <c r="B10119" t="str">
        <f t="shared" si="430"/>
        <v>89301000</v>
      </c>
      <c r="C10119" s="1">
        <v>44375</v>
      </c>
      <c r="D10119" s="1">
        <v>44376</v>
      </c>
      <c r="E10119">
        <v>1</v>
      </c>
      <c r="F10119" t="s">
        <v>6634</v>
      </c>
      <c r="G10119" t="str">
        <f>"08-I16-04"</f>
        <v>08-I16-04</v>
      </c>
      <c r="H10119">
        <v>0.92159999999999997</v>
      </c>
      <c r="I10119" t="s">
        <v>395</v>
      </c>
      <c r="J10119" t="s">
        <v>17</v>
      </c>
      <c r="K10119" t="str">
        <f>"5F3"</f>
        <v>5F3</v>
      </c>
      <c r="L10119" t="s">
        <v>15</v>
      </c>
    </row>
    <row r="10120" spans="1:12" x14ac:dyDescent="0.25">
      <c r="A10120" t="str">
        <f>"7501319958"</f>
        <v>7501319958</v>
      </c>
      <c r="B10120" t="str">
        <f t="shared" si="430"/>
        <v>89301000</v>
      </c>
      <c r="C10120" s="1">
        <v>44448</v>
      </c>
      <c r="D10120" s="1">
        <v>44452</v>
      </c>
      <c r="E10120">
        <v>1</v>
      </c>
      <c r="F10120" t="s">
        <v>114</v>
      </c>
      <c r="G10120" t="str">
        <f>"03-I17-00"</f>
        <v>03-I17-00</v>
      </c>
      <c r="H10120">
        <v>0.84960000000000002</v>
      </c>
      <c r="J10120" t="s">
        <v>24</v>
      </c>
      <c r="K10120" t="str">
        <f>"7F1"</f>
        <v>7F1</v>
      </c>
      <c r="L10120" t="s">
        <v>15</v>
      </c>
    </row>
    <row r="10121" spans="1:12" x14ac:dyDescent="0.25">
      <c r="A10121" t="str">
        <f>"7502105336"</f>
        <v>7502105336</v>
      </c>
      <c r="B10121" t="str">
        <f t="shared" si="430"/>
        <v>89301000</v>
      </c>
      <c r="C10121" s="1">
        <v>44478</v>
      </c>
      <c r="D10121" s="1">
        <v>44481</v>
      </c>
      <c r="E10121">
        <v>1</v>
      </c>
      <c r="F10121" t="s">
        <v>780</v>
      </c>
      <c r="G10121" t="str">
        <f>"01-K16-05"</f>
        <v>01-K16-05</v>
      </c>
      <c r="H10121">
        <v>0.57979999999999998</v>
      </c>
      <c r="I10121" t="s">
        <v>6903</v>
      </c>
      <c r="J10121" t="s">
        <v>14</v>
      </c>
      <c r="K10121" t="str">
        <f>"5F3"</f>
        <v>5F3</v>
      </c>
      <c r="L10121" t="s">
        <v>15</v>
      </c>
    </row>
    <row r="10122" spans="1:12" x14ac:dyDescent="0.25">
      <c r="A10122" t="str">
        <f>"7502204457"</f>
        <v>7502204457</v>
      </c>
      <c r="B10122" t="str">
        <f t="shared" si="430"/>
        <v>89301000</v>
      </c>
      <c r="C10122" s="1">
        <v>44474</v>
      </c>
      <c r="D10122" s="1">
        <v>44477</v>
      </c>
      <c r="E10122">
        <v>1</v>
      </c>
      <c r="F10122" t="s">
        <v>4382</v>
      </c>
      <c r="G10122" t="str">
        <f>"05-I30-01"</f>
        <v>05-I30-01</v>
      </c>
      <c r="H10122">
        <v>0.64139999999999997</v>
      </c>
      <c r="I10122" t="s">
        <v>6505</v>
      </c>
      <c r="J10122" t="s">
        <v>14</v>
      </c>
      <c r="K10122" t="str">
        <f>"5F1"</f>
        <v>5F1</v>
      </c>
      <c r="L10122" t="s">
        <v>15</v>
      </c>
    </row>
    <row r="10123" spans="1:12" x14ac:dyDescent="0.25">
      <c r="A10123" t="str">
        <f>"7502234509"</f>
        <v>7502234509</v>
      </c>
      <c r="B10123" t="str">
        <f t="shared" si="430"/>
        <v>89301000</v>
      </c>
      <c r="C10123" s="1">
        <v>44227</v>
      </c>
      <c r="D10123" s="1">
        <v>44245</v>
      </c>
      <c r="E10123">
        <v>1</v>
      </c>
      <c r="F10123" t="s">
        <v>1953</v>
      </c>
      <c r="G10123" t="str">
        <f>"07-I03-01"</f>
        <v>07-I03-01</v>
      </c>
      <c r="H10123">
        <v>4.6047000000000002</v>
      </c>
      <c r="I10123" t="s">
        <v>6904</v>
      </c>
      <c r="J10123" t="s">
        <v>17</v>
      </c>
      <c r="K10123" t="str">
        <f>"5F1"</f>
        <v>5F1</v>
      </c>
      <c r="L10123" t="s">
        <v>15</v>
      </c>
    </row>
    <row r="10124" spans="1:12" x14ac:dyDescent="0.25">
      <c r="A10124" t="str">
        <f>"7502234509"</f>
        <v>7502234509</v>
      </c>
      <c r="B10124" t="str">
        <f t="shared" si="430"/>
        <v>89301000</v>
      </c>
      <c r="C10124" s="1">
        <v>44486</v>
      </c>
      <c r="D10124" s="1">
        <v>44501</v>
      </c>
      <c r="E10124">
        <v>1</v>
      </c>
      <c r="F10124" t="s">
        <v>1953</v>
      </c>
      <c r="G10124" t="str">
        <f>"07-I01-02"</f>
        <v>07-I01-02</v>
      </c>
      <c r="H10124">
        <v>5.4947999999999997</v>
      </c>
      <c r="J10124" t="s">
        <v>17</v>
      </c>
      <c r="K10124" t="str">
        <f>"5F1"</f>
        <v>5F1</v>
      </c>
      <c r="L10124" t="s">
        <v>15</v>
      </c>
    </row>
    <row r="10125" spans="1:12" x14ac:dyDescent="0.25">
      <c r="A10125" t="str">
        <f>"7503084479"</f>
        <v>7503084479</v>
      </c>
      <c r="B10125" t="str">
        <f t="shared" si="430"/>
        <v>89301000</v>
      </c>
      <c r="C10125" s="1">
        <v>44223</v>
      </c>
      <c r="D10125" s="1">
        <v>44224</v>
      </c>
      <c r="E10125">
        <v>1</v>
      </c>
      <c r="F10125" t="s">
        <v>1557</v>
      </c>
      <c r="G10125" t="str">
        <f>"05-M06-08"</f>
        <v>05-M06-08</v>
      </c>
      <c r="H10125">
        <v>1.4719</v>
      </c>
      <c r="I10125" t="s">
        <v>1892</v>
      </c>
      <c r="J10125" t="s">
        <v>17</v>
      </c>
      <c r="K10125" t="str">
        <f>"1F1"</f>
        <v>1F1</v>
      </c>
      <c r="L10125" t="s">
        <v>15</v>
      </c>
    </row>
    <row r="10126" spans="1:12" x14ac:dyDescent="0.25">
      <c r="A10126" t="str">
        <f>"7503085337"</f>
        <v>7503085337</v>
      </c>
      <c r="B10126" t="str">
        <f t="shared" si="430"/>
        <v>89301000</v>
      </c>
      <c r="C10126" s="1">
        <v>44551</v>
      </c>
      <c r="D10126" s="1">
        <v>44557</v>
      </c>
      <c r="E10126">
        <v>1</v>
      </c>
      <c r="F10126" t="s">
        <v>5250</v>
      </c>
      <c r="G10126" t="str">
        <f>"07-K02-02"</f>
        <v>07-K02-02</v>
      </c>
      <c r="H10126">
        <v>1.4137</v>
      </c>
      <c r="I10126" t="s">
        <v>6905</v>
      </c>
      <c r="J10126" t="s">
        <v>14</v>
      </c>
      <c r="K10126" t="str">
        <f>"1F1"</f>
        <v>1F1</v>
      </c>
      <c r="L10126" t="s">
        <v>15</v>
      </c>
    </row>
    <row r="10127" spans="1:12" x14ac:dyDescent="0.25">
      <c r="A10127" t="str">
        <f>"7503124145"</f>
        <v>7503124145</v>
      </c>
      <c r="B10127" t="str">
        <f t="shared" si="430"/>
        <v>89301000</v>
      </c>
      <c r="C10127" s="1">
        <v>44229</v>
      </c>
      <c r="D10127" s="1">
        <v>44232</v>
      </c>
      <c r="E10127">
        <v>1</v>
      </c>
      <c r="F10127" t="s">
        <v>6906</v>
      </c>
      <c r="G10127" t="str">
        <f>"08-I17-02"</f>
        <v>08-I17-02</v>
      </c>
      <c r="H10127">
        <v>0.98309999999999997</v>
      </c>
      <c r="I10127" t="s">
        <v>211</v>
      </c>
      <c r="J10127" t="s">
        <v>14</v>
      </c>
      <c r="K10127" t="str">
        <f>"5F3"</f>
        <v>5F3</v>
      </c>
      <c r="L10127" t="s">
        <v>15</v>
      </c>
    </row>
    <row r="10128" spans="1:12" x14ac:dyDescent="0.25">
      <c r="A10128" t="str">
        <f>"7503175724"</f>
        <v>7503175724</v>
      </c>
      <c r="B10128" t="str">
        <f t="shared" si="430"/>
        <v>89301000</v>
      </c>
      <c r="C10128" s="1">
        <v>44215</v>
      </c>
      <c r="D10128" s="1">
        <v>44218</v>
      </c>
      <c r="E10128">
        <v>1</v>
      </c>
      <c r="F10128" t="s">
        <v>2082</v>
      </c>
      <c r="G10128" t="str">
        <f>"03-I19-03"</f>
        <v>03-I19-03</v>
      </c>
      <c r="H10128">
        <v>0.60699999999999998</v>
      </c>
      <c r="J10128" t="s">
        <v>14</v>
      </c>
      <c r="K10128" t="str">
        <f>"6F5"</f>
        <v>6F5</v>
      </c>
      <c r="L10128" t="s">
        <v>15</v>
      </c>
    </row>
    <row r="10129" spans="1:12" x14ac:dyDescent="0.25">
      <c r="A10129" t="str">
        <f>"7503184249"</f>
        <v>7503184249</v>
      </c>
      <c r="B10129" t="str">
        <f t="shared" si="430"/>
        <v>89301000</v>
      </c>
      <c r="C10129" s="1">
        <v>44370</v>
      </c>
      <c r="D10129" s="1">
        <v>44371</v>
      </c>
      <c r="E10129">
        <v>1</v>
      </c>
      <c r="F10129" t="s">
        <v>4537</v>
      </c>
      <c r="G10129" t="str">
        <f>"05-M03-00"</f>
        <v>05-M03-00</v>
      </c>
      <c r="H10129">
        <v>3.3506999999999998</v>
      </c>
      <c r="J10129" t="s">
        <v>24</v>
      </c>
      <c r="K10129" t="str">
        <f>"1F7"</f>
        <v>1F7</v>
      </c>
      <c r="L10129" t="s">
        <v>15</v>
      </c>
    </row>
    <row r="10130" spans="1:12" x14ac:dyDescent="0.25">
      <c r="A10130" t="str">
        <f>"7503184249"</f>
        <v>7503184249</v>
      </c>
      <c r="B10130" t="str">
        <f t="shared" si="430"/>
        <v>89301000</v>
      </c>
      <c r="C10130" s="1">
        <v>44191</v>
      </c>
      <c r="D10130" s="1">
        <v>44200</v>
      </c>
      <c r="E10130">
        <v>1</v>
      </c>
      <c r="F10130" t="s">
        <v>67</v>
      </c>
      <c r="G10130" t="str">
        <f>"01-M02-00"</f>
        <v>01-M02-00</v>
      </c>
      <c r="H10130">
        <v>5.4023000000000003</v>
      </c>
      <c r="I10130" t="s">
        <v>1553</v>
      </c>
      <c r="J10130" t="s">
        <v>17</v>
      </c>
      <c r="K10130" t="str">
        <f t="shared" ref="K10130:K10135" si="431">"2F9"</f>
        <v>2F9</v>
      </c>
      <c r="L10130" t="s">
        <v>15</v>
      </c>
    </row>
    <row r="10131" spans="1:12" x14ac:dyDescent="0.25">
      <c r="A10131" t="str">
        <f>"7503234475"</f>
        <v>7503234475</v>
      </c>
      <c r="B10131" t="str">
        <f t="shared" si="430"/>
        <v>89301000</v>
      </c>
      <c r="C10131" s="1">
        <v>44249</v>
      </c>
      <c r="D10131" s="1">
        <v>44253</v>
      </c>
      <c r="E10131">
        <v>1</v>
      </c>
      <c r="F10131" t="s">
        <v>4491</v>
      </c>
      <c r="G10131" t="str">
        <f>"01-K01-02"</f>
        <v>01-K01-02</v>
      </c>
      <c r="H10131">
        <v>0.50700000000000001</v>
      </c>
      <c r="J10131" t="s">
        <v>14</v>
      </c>
      <c r="K10131" t="str">
        <f t="shared" si="431"/>
        <v>2F9</v>
      </c>
      <c r="L10131" t="s">
        <v>15</v>
      </c>
    </row>
    <row r="10132" spans="1:12" x14ac:dyDescent="0.25">
      <c r="A10132" t="str">
        <f>"7503234475"</f>
        <v>7503234475</v>
      </c>
      <c r="B10132" t="str">
        <f t="shared" si="430"/>
        <v>89301000</v>
      </c>
      <c r="C10132" s="1">
        <v>44516</v>
      </c>
      <c r="D10132" s="1">
        <v>44520</v>
      </c>
      <c r="E10132">
        <v>1</v>
      </c>
      <c r="F10132" t="s">
        <v>4491</v>
      </c>
      <c r="G10132" t="str">
        <f>"01-K01-02"</f>
        <v>01-K01-02</v>
      </c>
      <c r="H10132">
        <v>0.50700000000000001</v>
      </c>
      <c r="I10132" t="s">
        <v>6907</v>
      </c>
      <c r="J10132" t="s">
        <v>14</v>
      </c>
      <c r="K10132" t="str">
        <f t="shared" si="431"/>
        <v>2F9</v>
      </c>
      <c r="L10132" t="s">
        <v>15</v>
      </c>
    </row>
    <row r="10133" spans="1:12" x14ac:dyDescent="0.25">
      <c r="A10133" t="str">
        <f>"7503234475"</f>
        <v>7503234475</v>
      </c>
      <c r="B10133" t="str">
        <f t="shared" si="430"/>
        <v>89301000</v>
      </c>
      <c r="C10133" s="1">
        <v>44434</v>
      </c>
      <c r="D10133" s="1">
        <v>44438</v>
      </c>
      <c r="E10133">
        <v>1</v>
      </c>
      <c r="F10133" t="s">
        <v>4491</v>
      </c>
      <c r="G10133" t="str">
        <f>"01-K01-02"</f>
        <v>01-K01-02</v>
      </c>
      <c r="H10133">
        <v>0.50700000000000001</v>
      </c>
      <c r="I10133" t="s">
        <v>6908</v>
      </c>
      <c r="J10133" t="s">
        <v>14</v>
      </c>
      <c r="K10133" t="str">
        <f t="shared" si="431"/>
        <v>2F9</v>
      </c>
      <c r="L10133" t="s">
        <v>15</v>
      </c>
    </row>
    <row r="10134" spans="1:12" x14ac:dyDescent="0.25">
      <c r="A10134" t="str">
        <f>"7503234475"</f>
        <v>7503234475</v>
      </c>
      <c r="B10134" t="str">
        <f t="shared" si="430"/>
        <v>89301000</v>
      </c>
      <c r="C10134" s="1">
        <v>44340</v>
      </c>
      <c r="D10134" s="1">
        <v>44344</v>
      </c>
      <c r="E10134">
        <v>1</v>
      </c>
      <c r="F10134" t="s">
        <v>4491</v>
      </c>
      <c r="G10134" t="str">
        <f>"01-K01-02"</f>
        <v>01-K01-02</v>
      </c>
      <c r="H10134">
        <v>0.50700000000000001</v>
      </c>
      <c r="I10134" t="s">
        <v>6909</v>
      </c>
      <c r="J10134" t="s">
        <v>14</v>
      </c>
      <c r="K10134" t="str">
        <f t="shared" si="431"/>
        <v>2F9</v>
      </c>
      <c r="L10134" t="s">
        <v>15</v>
      </c>
    </row>
    <row r="10135" spans="1:12" x14ac:dyDescent="0.25">
      <c r="A10135" t="str">
        <f>"7503234475"</f>
        <v>7503234475</v>
      </c>
      <c r="B10135" t="str">
        <f t="shared" si="430"/>
        <v>89301000</v>
      </c>
      <c r="C10135" s="1">
        <v>44229</v>
      </c>
      <c r="D10135" s="1">
        <v>44229</v>
      </c>
      <c r="E10135">
        <v>1</v>
      </c>
      <c r="F10135" t="s">
        <v>4491</v>
      </c>
      <c r="G10135" t="str">
        <f>"01-K01-02"</f>
        <v>01-K01-02</v>
      </c>
      <c r="H10135">
        <v>0.25490000000000002</v>
      </c>
      <c r="I10135" t="s">
        <v>248</v>
      </c>
      <c r="J10135" t="s">
        <v>14</v>
      </c>
      <c r="K10135" t="str">
        <f t="shared" si="431"/>
        <v>2F9</v>
      </c>
      <c r="L10135" t="s">
        <v>15</v>
      </c>
    </row>
    <row r="10136" spans="1:12" x14ac:dyDescent="0.25">
      <c r="A10136" t="str">
        <f>"7503295349"</f>
        <v>7503295349</v>
      </c>
      <c r="B10136" t="str">
        <f t="shared" si="430"/>
        <v>89301000</v>
      </c>
      <c r="C10136" s="1">
        <v>44354</v>
      </c>
      <c r="D10136" s="1">
        <v>44361</v>
      </c>
      <c r="E10136">
        <v>4</v>
      </c>
      <c r="F10136" t="s">
        <v>866</v>
      </c>
      <c r="G10136" t="str">
        <f>"08-I13-06"</f>
        <v>08-I13-06</v>
      </c>
      <c r="H10136">
        <v>2.0099</v>
      </c>
      <c r="I10136" t="s">
        <v>6910</v>
      </c>
      <c r="J10136" t="s">
        <v>17</v>
      </c>
      <c r="K10136" t="str">
        <f>"5F3"</f>
        <v>5F3</v>
      </c>
      <c r="L10136" t="s">
        <v>15</v>
      </c>
    </row>
    <row r="10137" spans="1:12" x14ac:dyDescent="0.25">
      <c r="A10137" t="str">
        <f>"7504134880"</f>
        <v>7504134880</v>
      </c>
      <c r="B10137" t="str">
        <f t="shared" si="430"/>
        <v>89301000</v>
      </c>
      <c r="C10137" s="1">
        <v>44346</v>
      </c>
      <c r="D10137" s="1">
        <v>44351</v>
      </c>
      <c r="E10137">
        <v>1</v>
      </c>
      <c r="F10137" t="s">
        <v>335</v>
      </c>
      <c r="G10137" t="str">
        <f>"07-I10-06"</f>
        <v>07-I10-06</v>
      </c>
      <c r="H10137">
        <v>0.9728</v>
      </c>
      <c r="J10137" t="s">
        <v>17</v>
      </c>
      <c r="K10137" t="str">
        <f>"5F1"</f>
        <v>5F1</v>
      </c>
      <c r="L10137" t="s">
        <v>15</v>
      </c>
    </row>
    <row r="10138" spans="1:12" x14ac:dyDescent="0.25">
      <c r="A10138" t="str">
        <f>"7504174997"</f>
        <v>7504174997</v>
      </c>
      <c r="B10138" t="str">
        <f t="shared" si="430"/>
        <v>89301000</v>
      </c>
      <c r="C10138" s="1">
        <v>44540</v>
      </c>
      <c r="D10138" s="1">
        <v>44542</v>
      </c>
      <c r="E10138">
        <v>1</v>
      </c>
      <c r="F10138" t="s">
        <v>41</v>
      </c>
      <c r="G10138" t="str">
        <f>"01-D01-03"</f>
        <v>01-D01-03</v>
      </c>
      <c r="H10138">
        <v>0.158</v>
      </c>
      <c r="J10138" t="s">
        <v>14</v>
      </c>
      <c r="K10138" t="str">
        <f>"2F5"</f>
        <v>2F5</v>
      </c>
      <c r="L10138" t="s">
        <v>15</v>
      </c>
    </row>
    <row r="10139" spans="1:12" x14ac:dyDescent="0.25">
      <c r="A10139" t="str">
        <f>"7504174997"</f>
        <v>7504174997</v>
      </c>
      <c r="B10139" t="str">
        <f t="shared" si="430"/>
        <v>89301000</v>
      </c>
      <c r="C10139" s="1">
        <v>44455</v>
      </c>
      <c r="D10139" s="1">
        <v>44456</v>
      </c>
      <c r="E10139">
        <v>1</v>
      </c>
      <c r="F10139" t="s">
        <v>41</v>
      </c>
      <c r="G10139" t="str">
        <f>"01-D01-03"</f>
        <v>01-D01-03</v>
      </c>
      <c r="H10139">
        <v>0.158</v>
      </c>
      <c r="J10139" t="s">
        <v>14</v>
      </c>
      <c r="K10139" t="str">
        <f>"2F5"</f>
        <v>2F5</v>
      </c>
      <c r="L10139" t="s">
        <v>15</v>
      </c>
    </row>
    <row r="10140" spans="1:12" x14ac:dyDescent="0.25">
      <c r="A10140" t="str">
        <f>"7504185315"</f>
        <v>7504185315</v>
      </c>
      <c r="B10140" t="str">
        <f t="shared" si="430"/>
        <v>89301000</v>
      </c>
      <c r="C10140" s="1">
        <v>44229</v>
      </c>
      <c r="D10140" s="1">
        <v>44231</v>
      </c>
      <c r="E10140">
        <v>1</v>
      </c>
      <c r="F10140" t="s">
        <v>2828</v>
      </c>
      <c r="G10140" t="str">
        <f>"08-I23-02"</f>
        <v>08-I23-02</v>
      </c>
      <c r="H10140">
        <v>0.93840000000000001</v>
      </c>
      <c r="J10140" t="s">
        <v>17</v>
      </c>
      <c r="K10140" t="str">
        <f>"6F6"</f>
        <v>6F6</v>
      </c>
      <c r="L10140" t="s">
        <v>15</v>
      </c>
    </row>
    <row r="10141" spans="1:12" x14ac:dyDescent="0.25">
      <c r="A10141" t="str">
        <f>"7504235332"</f>
        <v>7504235332</v>
      </c>
      <c r="B10141" t="str">
        <f t="shared" si="430"/>
        <v>89301000</v>
      </c>
      <c r="C10141" s="1">
        <v>44510</v>
      </c>
      <c r="D10141" s="1">
        <v>44516</v>
      </c>
      <c r="E10141">
        <v>1</v>
      </c>
      <c r="F10141" t="s">
        <v>2634</v>
      </c>
      <c r="G10141" t="str">
        <f>"01-K18-02"</f>
        <v>01-K18-02</v>
      </c>
      <c r="H10141">
        <v>1.117</v>
      </c>
      <c r="I10141" t="s">
        <v>6911</v>
      </c>
      <c r="J10141" t="s">
        <v>14</v>
      </c>
      <c r="K10141" t="str">
        <f>"2F9"</f>
        <v>2F9</v>
      </c>
      <c r="L10141" t="s">
        <v>15</v>
      </c>
    </row>
    <row r="10142" spans="1:12" x14ac:dyDescent="0.25">
      <c r="A10142" t="str">
        <f>"7504295799"</f>
        <v>7504295799</v>
      </c>
      <c r="B10142" t="str">
        <f t="shared" si="430"/>
        <v>89301000</v>
      </c>
      <c r="C10142" s="1">
        <v>44548</v>
      </c>
      <c r="D10142" s="1">
        <v>44552</v>
      </c>
      <c r="E10142">
        <v>5</v>
      </c>
      <c r="F10142" t="s">
        <v>290</v>
      </c>
      <c r="G10142" t="str">
        <f>"05-D01-04"</f>
        <v>05-D01-04</v>
      </c>
      <c r="H10142">
        <v>2.0049000000000001</v>
      </c>
      <c r="I10142" t="s">
        <v>6912</v>
      </c>
      <c r="J10142" t="s">
        <v>14</v>
      </c>
      <c r="K10142" t="str">
        <f>"1T1"</f>
        <v>1T1</v>
      </c>
      <c r="L10142" t="s">
        <v>15</v>
      </c>
    </row>
    <row r="10143" spans="1:12" x14ac:dyDescent="0.25">
      <c r="A10143" t="str">
        <f>"7505054480"</f>
        <v>7505054480</v>
      </c>
      <c r="B10143" t="str">
        <f t="shared" si="430"/>
        <v>89301000</v>
      </c>
      <c r="C10143" s="1">
        <v>44235</v>
      </c>
      <c r="D10143" s="1">
        <v>44238</v>
      </c>
      <c r="E10143">
        <v>5</v>
      </c>
      <c r="F10143" t="s">
        <v>1225</v>
      </c>
      <c r="G10143" t="str">
        <f>"01-I07-02"</f>
        <v>01-I07-02</v>
      </c>
      <c r="H10143">
        <v>3.2526999999999999</v>
      </c>
      <c r="I10143" t="s">
        <v>6913</v>
      </c>
      <c r="J10143" t="s">
        <v>17</v>
      </c>
      <c r="K10143" t="str">
        <f>"5T6"</f>
        <v>5T6</v>
      </c>
      <c r="L10143" t="s">
        <v>15</v>
      </c>
    </row>
    <row r="10144" spans="1:12" x14ac:dyDescent="0.25">
      <c r="A10144" t="str">
        <f>"7505064622"</f>
        <v>7505064622</v>
      </c>
      <c r="B10144" t="str">
        <f t="shared" si="430"/>
        <v>89301000</v>
      </c>
      <c r="C10144" s="1">
        <v>44280</v>
      </c>
      <c r="D10144" s="1">
        <v>44280</v>
      </c>
      <c r="E10144">
        <v>1</v>
      </c>
      <c r="F10144" t="s">
        <v>1198</v>
      </c>
      <c r="G10144" t="str">
        <f>"05-D01-06"</f>
        <v>05-D01-06</v>
      </c>
      <c r="H10144">
        <v>0.40649999999999997</v>
      </c>
      <c r="I10144" t="s">
        <v>2283</v>
      </c>
      <c r="J10144" t="s">
        <v>14</v>
      </c>
      <c r="K10144" t="str">
        <f>"1F1"</f>
        <v>1F1</v>
      </c>
      <c r="L10144" t="s">
        <v>15</v>
      </c>
    </row>
    <row r="10145" spans="1:12" x14ac:dyDescent="0.25">
      <c r="A10145" t="str">
        <f>"7505125353"</f>
        <v>7505125353</v>
      </c>
      <c r="B10145" t="str">
        <f t="shared" si="430"/>
        <v>89301000</v>
      </c>
      <c r="C10145" s="1">
        <v>44321</v>
      </c>
      <c r="D10145" s="1">
        <v>44325</v>
      </c>
      <c r="E10145">
        <v>1</v>
      </c>
      <c r="F10145" t="s">
        <v>28</v>
      </c>
      <c r="G10145" t="str">
        <f>"03-I12-04"</f>
        <v>03-I12-04</v>
      </c>
      <c r="H10145">
        <v>0.90649999999999997</v>
      </c>
      <c r="I10145" t="s">
        <v>6914</v>
      </c>
      <c r="J10145" t="s">
        <v>17</v>
      </c>
      <c r="K10145" t="str">
        <f>"7F1"</f>
        <v>7F1</v>
      </c>
      <c r="L10145" t="s">
        <v>15</v>
      </c>
    </row>
    <row r="10146" spans="1:12" x14ac:dyDescent="0.25">
      <c r="A10146" t="str">
        <f>"7505143745"</f>
        <v>7505143745</v>
      </c>
      <c r="B10146" t="str">
        <f t="shared" si="430"/>
        <v>89301000</v>
      </c>
      <c r="C10146" s="1">
        <v>44414</v>
      </c>
      <c r="D10146" s="1">
        <v>44418</v>
      </c>
      <c r="E10146">
        <v>1</v>
      </c>
      <c r="F10146" t="s">
        <v>2057</v>
      </c>
      <c r="G10146" t="str">
        <f>"05-D01-06"</f>
        <v>05-D01-06</v>
      </c>
      <c r="H10146">
        <v>0.7611</v>
      </c>
      <c r="I10146" t="s">
        <v>489</v>
      </c>
      <c r="J10146" t="s">
        <v>14</v>
      </c>
      <c r="K10146" t="str">
        <f>"1F1"</f>
        <v>1F1</v>
      </c>
      <c r="L10146" t="s">
        <v>15</v>
      </c>
    </row>
    <row r="10147" spans="1:12" x14ac:dyDescent="0.25">
      <c r="A10147" t="str">
        <f>"7505143745"</f>
        <v>7505143745</v>
      </c>
      <c r="B10147" t="str">
        <f t="shared" si="430"/>
        <v>89301000</v>
      </c>
      <c r="C10147" s="1">
        <v>44473</v>
      </c>
      <c r="D10147" s="1">
        <v>44474</v>
      </c>
      <c r="E10147">
        <v>1</v>
      </c>
      <c r="F10147" t="s">
        <v>2397</v>
      </c>
      <c r="G10147" t="str">
        <f>"05-I14-04"</f>
        <v>05-I14-04</v>
      </c>
      <c r="H10147">
        <v>5.4002999999999997</v>
      </c>
      <c r="I10147" t="s">
        <v>2057</v>
      </c>
      <c r="J10147" t="s">
        <v>14</v>
      </c>
      <c r="K10147" t="str">
        <f>"1F1"</f>
        <v>1F1</v>
      </c>
      <c r="L10147" t="s">
        <v>15</v>
      </c>
    </row>
    <row r="10148" spans="1:12" x14ac:dyDescent="0.25">
      <c r="A10148" t="str">
        <f>"7505145351"</f>
        <v>7505145351</v>
      </c>
      <c r="B10148" t="str">
        <f t="shared" si="430"/>
        <v>89301000</v>
      </c>
      <c r="C10148" s="1">
        <v>44515</v>
      </c>
      <c r="D10148" s="1">
        <v>44517</v>
      </c>
      <c r="E10148">
        <v>1</v>
      </c>
      <c r="F10148" t="s">
        <v>2407</v>
      </c>
      <c r="G10148" t="str">
        <f>"08-M03-04"</f>
        <v>08-M03-04</v>
      </c>
      <c r="H10148">
        <v>0.8609</v>
      </c>
      <c r="I10148" t="s">
        <v>47</v>
      </c>
      <c r="J10148" t="s">
        <v>14</v>
      </c>
      <c r="K10148" t="str">
        <f>"6F6"</f>
        <v>6F6</v>
      </c>
      <c r="L10148" t="s">
        <v>15</v>
      </c>
    </row>
    <row r="10149" spans="1:12" x14ac:dyDescent="0.25">
      <c r="A10149" t="str">
        <f>"7505155394"</f>
        <v>7505155394</v>
      </c>
      <c r="B10149" t="str">
        <f t="shared" ref="B10149:B10212" si="432">"89301000"</f>
        <v>89301000</v>
      </c>
      <c r="C10149" s="1">
        <v>44348</v>
      </c>
      <c r="D10149" s="1">
        <v>44350</v>
      </c>
      <c r="E10149">
        <v>1</v>
      </c>
      <c r="F10149" t="s">
        <v>29</v>
      </c>
      <c r="G10149" t="str">
        <f>"08-M03-05"</f>
        <v>08-M03-05</v>
      </c>
      <c r="H10149">
        <v>0.51759999999999995</v>
      </c>
      <c r="I10149" t="s">
        <v>244</v>
      </c>
      <c r="J10149" t="s">
        <v>14</v>
      </c>
      <c r="K10149" t="str">
        <f>"5F3"</f>
        <v>5F3</v>
      </c>
      <c r="L10149" t="s">
        <v>15</v>
      </c>
    </row>
    <row r="10150" spans="1:12" x14ac:dyDescent="0.25">
      <c r="A10150" t="str">
        <f>"7505155746"</f>
        <v>7505155746</v>
      </c>
      <c r="B10150" t="str">
        <f t="shared" si="432"/>
        <v>89301000</v>
      </c>
      <c r="C10150" s="1">
        <v>44336</v>
      </c>
      <c r="D10150" s="1">
        <v>44337</v>
      </c>
      <c r="E10150">
        <v>1</v>
      </c>
      <c r="F10150" t="s">
        <v>2111</v>
      </c>
      <c r="G10150" t="str">
        <f>"10-K15-02"</f>
        <v>10-K15-02</v>
      </c>
      <c r="H10150">
        <v>0.51819999999999999</v>
      </c>
      <c r="I10150" t="s">
        <v>5026</v>
      </c>
      <c r="J10150" t="s">
        <v>14</v>
      </c>
      <c r="K10150" t="str">
        <f>"2F5"</f>
        <v>2F5</v>
      </c>
      <c r="L10150" t="s">
        <v>15</v>
      </c>
    </row>
    <row r="10151" spans="1:12" x14ac:dyDescent="0.25">
      <c r="A10151" t="str">
        <f>"7505155746"</f>
        <v>7505155746</v>
      </c>
      <c r="B10151" t="str">
        <f t="shared" si="432"/>
        <v>89301000</v>
      </c>
      <c r="C10151" s="1">
        <v>44447</v>
      </c>
      <c r="D10151" s="1">
        <v>44448</v>
      </c>
      <c r="E10151">
        <v>1</v>
      </c>
      <c r="F10151" t="s">
        <v>41</v>
      </c>
      <c r="G10151" t="str">
        <f>"01-D01-03"</f>
        <v>01-D01-03</v>
      </c>
      <c r="H10151">
        <v>0.158</v>
      </c>
      <c r="I10151" t="s">
        <v>6915</v>
      </c>
      <c r="J10151" t="s">
        <v>14</v>
      </c>
      <c r="K10151" t="str">
        <f>"2F5"</f>
        <v>2F5</v>
      </c>
      <c r="L10151" t="s">
        <v>15</v>
      </c>
    </row>
    <row r="10152" spans="1:12" x14ac:dyDescent="0.25">
      <c r="A10152" t="str">
        <f>"7505225310"</f>
        <v>7505225310</v>
      </c>
      <c r="B10152" t="str">
        <f t="shared" si="432"/>
        <v>89301000</v>
      </c>
      <c r="C10152" s="1">
        <v>44477</v>
      </c>
      <c r="D10152" s="1">
        <v>44479</v>
      </c>
      <c r="E10152">
        <v>1</v>
      </c>
      <c r="F10152" t="s">
        <v>41</v>
      </c>
      <c r="G10152" t="str">
        <f>"01-D01-03"</f>
        <v>01-D01-03</v>
      </c>
      <c r="H10152">
        <v>0.158</v>
      </c>
      <c r="I10152" t="s">
        <v>6916</v>
      </c>
      <c r="J10152" t="s">
        <v>14</v>
      </c>
      <c r="K10152" t="str">
        <f>"2F5"</f>
        <v>2F5</v>
      </c>
      <c r="L10152" t="s">
        <v>15</v>
      </c>
    </row>
    <row r="10153" spans="1:12" x14ac:dyDescent="0.25">
      <c r="A10153" t="str">
        <f>"7506145779"</f>
        <v>7506145779</v>
      </c>
      <c r="B10153" t="str">
        <f t="shared" si="432"/>
        <v>89301000</v>
      </c>
      <c r="C10153" s="1">
        <v>44306</v>
      </c>
      <c r="D10153" s="1">
        <v>44306</v>
      </c>
      <c r="E10153">
        <v>1</v>
      </c>
      <c r="F10153" t="s">
        <v>489</v>
      </c>
      <c r="G10153" t="str">
        <f>"05-D01-08"</f>
        <v>05-D01-08</v>
      </c>
      <c r="H10153">
        <v>0.21890000000000001</v>
      </c>
      <c r="J10153" t="s">
        <v>14</v>
      </c>
      <c r="K10153" t="str">
        <f>"1F1"</f>
        <v>1F1</v>
      </c>
      <c r="L10153" t="s">
        <v>15</v>
      </c>
    </row>
    <row r="10154" spans="1:12" x14ac:dyDescent="0.25">
      <c r="A10154" t="str">
        <f>"7506165337"</f>
        <v>7506165337</v>
      </c>
      <c r="B10154" t="str">
        <f t="shared" si="432"/>
        <v>89301000</v>
      </c>
      <c r="C10154" s="1">
        <v>44515</v>
      </c>
      <c r="D10154" s="1">
        <v>44524</v>
      </c>
      <c r="E10154">
        <v>4</v>
      </c>
      <c r="F10154" t="s">
        <v>2914</v>
      </c>
      <c r="G10154" t="str">
        <f>"08-I14-01"</f>
        <v>08-I14-01</v>
      </c>
      <c r="H10154">
        <v>3.8473000000000002</v>
      </c>
      <c r="I10154" t="s">
        <v>6917</v>
      </c>
      <c r="J10154" t="s">
        <v>17</v>
      </c>
      <c r="K10154" t="str">
        <f>"5F3"</f>
        <v>5F3</v>
      </c>
      <c r="L10154" t="s">
        <v>15</v>
      </c>
    </row>
    <row r="10155" spans="1:12" x14ac:dyDescent="0.25">
      <c r="A10155" t="str">
        <f>"7506165337"</f>
        <v>7506165337</v>
      </c>
      <c r="B10155" t="str">
        <f t="shared" si="432"/>
        <v>89301000</v>
      </c>
      <c r="C10155" s="1">
        <v>44551</v>
      </c>
      <c r="D10155" s="1">
        <v>44557</v>
      </c>
      <c r="E10155">
        <v>1</v>
      </c>
      <c r="F10155" t="s">
        <v>173</v>
      </c>
      <c r="G10155" t="str">
        <f>"08-I32-02"</f>
        <v>08-I32-02</v>
      </c>
      <c r="H10155">
        <v>0.57969999999999999</v>
      </c>
      <c r="J10155" t="s">
        <v>14</v>
      </c>
      <c r="K10155" t="str">
        <f>"5F3"</f>
        <v>5F3</v>
      </c>
      <c r="L10155" t="s">
        <v>15</v>
      </c>
    </row>
    <row r="10156" spans="1:12" x14ac:dyDescent="0.25">
      <c r="A10156" t="str">
        <f>"7506205311"</f>
        <v>7506205311</v>
      </c>
      <c r="B10156" t="str">
        <f t="shared" si="432"/>
        <v>89301000</v>
      </c>
      <c r="C10156" s="1">
        <v>44458</v>
      </c>
      <c r="D10156" s="1">
        <v>44460</v>
      </c>
      <c r="E10156">
        <v>1</v>
      </c>
      <c r="F10156" t="s">
        <v>6918</v>
      </c>
      <c r="G10156" t="str">
        <f>"02-I11-02"</f>
        <v>02-I11-02</v>
      </c>
      <c r="H10156">
        <v>0.64790000000000003</v>
      </c>
      <c r="I10156" t="s">
        <v>6919</v>
      </c>
      <c r="J10156" t="s">
        <v>17</v>
      </c>
      <c r="K10156" t="str">
        <f>"7F5"</f>
        <v>7F5</v>
      </c>
      <c r="L10156" t="s">
        <v>15</v>
      </c>
    </row>
    <row r="10157" spans="1:12" x14ac:dyDescent="0.25">
      <c r="A10157" t="str">
        <f>"7506245318"</f>
        <v>7506245318</v>
      </c>
      <c r="B10157" t="str">
        <f t="shared" si="432"/>
        <v>89301000</v>
      </c>
      <c r="C10157" s="1">
        <v>44452</v>
      </c>
      <c r="D10157" s="1">
        <v>44460</v>
      </c>
      <c r="E10157">
        <v>1</v>
      </c>
      <c r="F10157" t="s">
        <v>343</v>
      </c>
      <c r="G10157" t="str">
        <f>"11-M03-02"</f>
        <v>11-M03-02</v>
      </c>
      <c r="H10157">
        <v>1.2824</v>
      </c>
      <c r="I10157" t="s">
        <v>6920</v>
      </c>
      <c r="J10157" t="s">
        <v>17</v>
      </c>
      <c r="K10157" t="str">
        <f>"7F6"</f>
        <v>7F6</v>
      </c>
      <c r="L10157" t="s">
        <v>15</v>
      </c>
    </row>
    <row r="10158" spans="1:12" x14ac:dyDescent="0.25">
      <c r="A10158" t="str">
        <f>"7507185708"</f>
        <v>7507185708</v>
      </c>
      <c r="B10158" t="str">
        <f t="shared" si="432"/>
        <v>89301000</v>
      </c>
      <c r="C10158" s="1">
        <v>44308</v>
      </c>
      <c r="D10158" s="1">
        <v>44312</v>
      </c>
      <c r="E10158">
        <v>1</v>
      </c>
      <c r="F10158" t="s">
        <v>79</v>
      </c>
      <c r="G10158" t="str">
        <f>"10-I12-00"</f>
        <v>10-I12-00</v>
      </c>
      <c r="H10158">
        <v>1.6471</v>
      </c>
      <c r="J10158" t="s">
        <v>17</v>
      </c>
      <c r="K10158" t="str">
        <f>"5F1"</f>
        <v>5F1</v>
      </c>
      <c r="L10158" t="s">
        <v>15</v>
      </c>
    </row>
    <row r="10159" spans="1:12" x14ac:dyDescent="0.25">
      <c r="A10159" t="str">
        <f>"7507204485"</f>
        <v>7507204485</v>
      </c>
      <c r="B10159" t="str">
        <f t="shared" si="432"/>
        <v>89301000</v>
      </c>
      <c r="C10159" s="1">
        <v>44257</v>
      </c>
      <c r="D10159" s="1">
        <v>44258</v>
      </c>
      <c r="E10159">
        <v>1</v>
      </c>
      <c r="F10159" t="s">
        <v>41</v>
      </c>
      <c r="G10159" t="str">
        <f>"01-D01-03"</f>
        <v>01-D01-03</v>
      </c>
      <c r="H10159">
        <v>0.158</v>
      </c>
      <c r="I10159" t="s">
        <v>6921</v>
      </c>
      <c r="J10159" t="s">
        <v>14</v>
      </c>
      <c r="K10159" t="str">
        <f>"2F5"</f>
        <v>2F5</v>
      </c>
      <c r="L10159" t="s">
        <v>15</v>
      </c>
    </row>
    <row r="10160" spans="1:12" x14ac:dyDescent="0.25">
      <c r="A10160" t="str">
        <f>"7507204485"</f>
        <v>7507204485</v>
      </c>
      <c r="B10160" t="str">
        <f t="shared" si="432"/>
        <v>89301000</v>
      </c>
      <c r="C10160" s="1">
        <v>44302</v>
      </c>
      <c r="D10160" s="1">
        <v>44305</v>
      </c>
      <c r="E10160">
        <v>1</v>
      </c>
      <c r="F10160" t="s">
        <v>41</v>
      </c>
      <c r="G10160" t="str">
        <f>"01-D01-03"</f>
        <v>01-D01-03</v>
      </c>
      <c r="H10160">
        <v>0.2054</v>
      </c>
      <c r="I10160" t="s">
        <v>6922</v>
      </c>
      <c r="J10160" t="s">
        <v>14</v>
      </c>
      <c r="K10160" t="str">
        <f>"2F5"</f>
        <v>2F5</v>
      </c>
      <c r="L10160" t="s">
        <v>15</v>
      </c>
    </row>
    <row r="10161" spans="1:12" x14ac:dyDescent="0.25">
      <c r="A10161" t="str">
        <f>"7507275754"</f>
        <v>7507275754</v>
      </c>
      <c r="B10161" t="str">
        <f t="shared" si="432"/>
        <v>89301000</v>
      </c>
      <c r="C10161" s="1">
        <v>44266</v>
      </c>
      <c r="D10161" s="1">
        <v>44272</v>
      </c>
      <c r="E10161">
        <v>1</v>
      </c>
      <c r="F10161" t="s">
        <v>2232</v>
      </c>
      <c r="G10161" t="str">
        <f>"11-I08-02"</f>
        <v>11-I08-02</v>
      </c>
      <c r="H10161">
        <v>3.0028999999999999</v>
      </c>
      <c r="I10161" t="s">
        <v>6923</v>
      </c>
      <c r="J10161" t="s">
        <v>17</v>
      </c>
      <c r="K10161" t="str">
        <f>"7F6"</f>
        <v>7F6</v>
      </c>
      <c r="L10161" t="s">
        <v>15</v>
      </c>
    </row>
    <row r="10162" spans="1:12" x14ac:dyDescent="0.25">
      <c r="A10162" t="str">
        <f>"7508045787"</f>
        <v>7508045787</v>
      </c>
      <c r="B10162" t="str">
        <f t="shared" si="432"/>
        <v>89301000</v>
      </c>
      <c r="C10162" s="1">
        <v>44351</v>
      </c>
      <c r="D10162" s="1">
        <v>44368</v>
      </c>
      <c r="E10162">
        <v>1</v>
      </c>
      <c r="F10162" t="s">
        <v>1619</v>
      </c>
      <c r="G10162" t="str">
        <f>"05-I14-02"</f>
        <v>05-I14-02</v>
      </c>
      <c r="H10162">
        <v>6.7476000000000003</v>
      </c>
      <c r="I10162" t="s">
        <v>6924</v>
      </c>
      <c r="J10162" t="s">
        <v>14</v>
      </c>
      <c r="K10162" t="str">
        <f>"1T1"</f>
        <v>1T1</v>
      </c>
      <c r="L10162" t="s">
        <v>15</v>
      </c>
    </row>
    <row r="10163" spans="1:12" x14ac:dyDescent="0.25">
      <c r="A10163" t="str">
        <f>"7508063739"</f>
        <v>7508063739</v>
      </c>
      <c r="B10163" t="str">
        <f t="shared" si="432"/>
        <v>89301000</v>
      </c>
      <c r="C10163" s="1">
        <v>44384</v>
      </c>
      <c r="D10163" s="1">
        <v>44391</v>
      </c>
      <c r="E10163">
        <v>1</v>
      </c>
      <c r="F10163" t="s">
        <v>4557</v>
      </c>
      <c r="G10163" t="str">
        <f>"20-K03-03"</f>
        <v>20-K03-03</v>
      </c>
      <c r="H10163">
        <v>1.0109999999999999</v>
      </c>
      <c r="I10163" t="s">
        <v>6925</v>
      </c>
      <c r="J10163" t="s">
        <v>14</v>
      </c>
      <c r="K10163" t="str">
        <f>"3F5"</f>
        <v>3F5</v>
      </c>
      <c r="L10163" t="s">
        <v>15</v>
      </c>
    </row>
    <row r="10164" spans="1:12" x14ac:dyDescent="0.25">
      <c r="A10164" t="str">
        <f>"7508075322"</f>
        <v>7508075322</v>
      </c>
      <c r="B10164" t="str">
        <f t="shared" si="432"/>
        <v>89301000</v>
      </c>
      <c r="C10164" s="1">
        <v>44190</v>
      </c>
      <c r="D10164" s="1">
        <v>44202</v>
      </c>
      <c r="E10164">
        <v>3</v>
      </c>
      <c r="F10164" t="s">
        <v>217</v>
      </c>
      <c r="G10164" t="str">
        <f>"04-K02-04"</f>
        <v>04-K02-04</v>
      </c>
      <c r="H10164">
        <v>0.82469999999999999</v>
      </c>
      <c r="I10164" t="s">
        <v>6926</v>
      </c>
      <c r="J10164" t="s">
        <v>14</v>
      </c>
      <c r="K10164" t="str">
        <f>"2F5"</f>
        <v>2F5</v>
      </c>
      <c r="L10164" t="s">
        <v>15</v>
      </c>
    </row>
    <row r="10165" spans="1:12" x14ac:dyDescent="0.25">
      <c r="A10165" t="str">
        <f>"7508075322"</f>
        <v>7508075322</v>
      </c>
      <c r="B10165" t="str">
        <f t="shared" si="432"/>
        <v>89301000</v>
      </c>
      <c r="C10165" s="1">
        <v>44361</v>
      </c>
      <c r="D10165" s="1">
        <v>44363</v>
      </c>
      <c r="E10165">
        <v>1</v>
      </c>
      <c r="F10165" t="s">
        <v>4080</v>
      </c>
      <c r="G10165" t="str">
        <f>"04-K07-03"</f>
        <v>04-K07-03</v>
      </c>
      <c r="H10165">
        <v>0.66259999999999997</v>
      </c>
      <c r="I10165" t="s">
        <v>3562</v>
      </c>
      <c r="J10165" t="s">
        <v>14</v>
      </c>
      <c r="K10165" t="str">
        <f>"2F5"</f>
        <v>2F5</v>
      </c>
      <c r="L10165" t="s">
        <v>15</v>
      </c>
    </row>
    <row r="10166" spans="1:12" x14ac:dyDescent="0.25">
      <c r="A10166" t="str">
        <f>"7508075322"</f>
        <v>7508075322</v>
      </c>
      <c r="B10166" t="str">
        <f t="shared" si="432"/>
        <v>89301000</v>
      </c>
      <c r="C10166" s="1">
        <v>44202</v>
      </c>
      <c r="D10166" s="1">
        <v>44232</v>
      </c>
      <c r="E10166">
        <v>4</v>
      </c>
      <c r="F10166" t="s">
        <v>109</v>
      </c>
      <c r="G10166" t="str">
        <f>"24-M10-02"</f>
        <v>24-M10-02</v>
      </c>
      <c r="H10166">
        <v>4.4729000000000001</v>
      </c>
      <c r="I10166" t="s">
        <v>6927</v>
      </c>
      <c r="J10166" t="s">
        <v>14</v>
      </c>
      <c r="K10166" t="str">
        <f>"2F1"</f>
        <v>2F1</v>
      </c>
      <c r="L10166" t="s">
        <v>15</v>
      </c>
    </row>
    <row r="10167" spans="1:12" x14ac:dyDescent="0.25">
      <c r="A10167" t="str">
        <f>"7508175697"</f>
        <v>7508175697</v>
      </c>
      <c r="B10167" t="str">
        <f t="shared" si="432"/>
        <v>89301000</v>
      </c>
      <c r="C10167" s="1">
        <v>44298</v>
      </c>
      <c r="D10167" s="1">
        <v>44302</v>
      </c>
      <c r="E10167">
        <v>1</v>
      </c>
      <c r="F10167" t="s">
        <v>2914</v>
      </c>
      <c r="G10167" t="str">
        <f>"08-I14-02"</f>
        <v>08-I14-02</v>
      </c>
      <c r="H10167">
        <v>1.7324999999999999</v>
      </c>
      <c r="I10167" t="s">
        <v>6928</v>
      </c>
      <c r="J10167" t="s">
        <v>17</v>
      </c>
      <c r="K10167" t="str">
        <f>"5F3"</f>
        <v>5F3</v>
      </c>
      <c r="L10167" t="s">
        <v>15</v>
      </c>
    </row>
    <row r="10168" spans="1:12" x14ac:dyDescent="0.25">
      <c r="A10168" t="str">
        <f>"7508175697"</f>
        <v>7508175697</v>
      </c>
      <c r="B10168" t="str">
        <f t="shared" si="432"/>
        <v>89301000</v>
      </c>
      <c r="C10168" s="1">
        <v>44308</v>
      </c>
      <c r="D10168" s="1">
        <v>44310</v>
      </c>
      <c r="E10168">
        <v>1</v>
      </c>
      <c r="F10168" t="s">
        <v>5063</v>
      </c>
      <c r="G10168" t="str">
        <f>"08-M03-05"</f>
        <v>08-M03-05</v>
      </c>
      <c r="H10168">
        <v>0.51759999999999995</v>
      </c>
      <c r="I10168" t="s">
        <v>6929</v>
      </c>
      <c r="J10168" t="s">
        <v>14</v>
      </c>
      <c r="K10168" t="str">
        <f>"5F3"</f>
        <v>5F3</v>
      </c>
      <c r="L10168" t="s">
        <v>15</v>
      </c>
    </row>
    <row r="10169" spans="1:12" x14ac:dyDescent="0.25">
      <c r="A10169" t="str">
        <f>"7508274664"</f>
        <v>7508274664</v>
      </c>
      <c r="B10169" t="str">
        <f t="shared" si="432"/>
        <v>89301000</v>
      </c>
      <c r="C10169" s="1">
        <v>44553</v>
      </c>
      <c r="D10169" s="1">
        <v>44555</v>
      </c>
      <c r="E10169">
        <v>1</v>
      </c>
      <c r="F10169" t="s">
        <v>1602</v>
      </c>
      <c r="G10169" t="str">
        <f>"05-D01-06"</f>
        <v>05-D01-06</v>
      </c>
      <c r="H10169">
        <v>0.7611</v>
      </c>
      <c r="I10169" t="s">
        <v>6930</v>
      </c>
      <c r="J10169" t="s">
        <v>14</v>
      </c>
      <c r="K10169" t="str">
        <f>"1F1"</f>
        <v>1F1</v>
      </c>
      <c r="L10169" t="s">
        <v>15</v>
      </c>
    </row>
    <row r="10170" spans="1:12" x14ac:dyDescent="0.25">
      <c r="A10170" t="str">
        <f>"7509075442"</f>
        <v>7509075442</v>
      </c>
      <c r="B10170" t="str">
        <f t="shared" si="432"/>
        <v>89301000</v>
      </c>
      <c r="C10170" s="1">
        <v>44308</v>
      </c>
      <c r="D10170" s="1">
        <v>44313</v>
      </c>
      <c r="E10170">
        <v>1</v>
      </c>
      <c r="F10170" t="s">
        <v>4189</v>
      </c>
      <c r="G10170" t="str">
        <f>"08-K01-03"</f>
        <v>08-K01-03</v>
      </c>
      <c r="H10170">
        <v>0.65310000000000001</v>
      </c>
      <c r="I10170" t="s">
        <v>6931</v>
      </c>
      <c r="J10170" t="s">
        <v>14</v>
      </c>
      <c r="K10170" t="str">
        <f>"1F9"</f>
        <v>1F9</v>
      </c>
      <c r="L10170" t="s">
        <v>15</v>
      </c>
    </row>
    <row r="10171" spans="1:12" x14ac:dyDescent="0.25">
      <c r="A10171" t="str">
        <f>"7509165389"</f>
        <v>7509165389</v>
      </c>
      <c r="B10171" t="str">
        <f t="shared" si="432"/>
        <v>89301000</v>
      </c>
      <c r="C10171" s="1">
        <v>44279</v>
      </c>
      <c r="D10171" s="1">
        <v>44284</v>
      </c>
      <c r="E10171">
        <v>1</v>
      </c>
      <c r="F10171" t="s">
        <v>3416</v>
      </c>
      <c r="G10171" t="str">
        <f>"08-K08-00"</f>
        <v>08-K08-00</v>
      </c>
      <c r="H10171">
        <v>0.51670000000000005</v>
      </c>
      <c r="J10171" t="s">
        <v>14</v>
      </c>
      <c r="K10171" t="str">
        <f>"2F9"</f>
        <v>2F9</v>
      </c>
      <c r="L10171" t="s">
        <v>15</v>
      </c>
    </row>
    <row r="10172" spans="1:12" x14ac:dyDescent="0.25">
      <c r="A10172" t="str">
        <f>"7509165389"</f>
        <v>7509165389</v>
      </c>
      <c r="B10172" t="str">
        <f t="shared" si="432"/>
        <v>89301000</v>
      </c>
      <c r="C10172" s="1">
        <v>44425</v>
      </c>
      <c r="D10172" s="1">
        <v>44429</v>
      </c>
      <c r="E10172">
        <v>1</v>
      </c>
      <c r="F10172" t="s">
        <v>16</v>
      </c>
      <c r="G10172" t="str">
        <f>"08-I04-03"</f>
        <v>08-I04-03</v>
      </c>
      <c r="H10172">
        <v>1.331</v>
      </c>
      <c r="J10172" t="s">
        <v>17</v>
      </c>
      <c r="K10172" t="str">
        <f>"5F6"</f>
        <v>5F6</v>
      </c>
      <c r="L10172" t="s">
        <v>15</v>
      </c>
    </row>
    <row r="10173" spans="1:12" x14ac:dyDescent="0.25">
      <c r="A10173" t="str">
        <f>"7509251970"</f>
        <v>7509251970</v>
      </c>
      <c r="B10173" t="str">
        <f t="shared" si="432"/>
        <v>89301000</v>
      </c>
      <c r="C10173" s="1">
        <v>44407</v>
      </c>
      <c r="D10173" s="1">
        <v>44410</v>
      </c>
      <c r="E10173">
        <v>1</v>
      </c>
      <c r="F10173" t="s">
        <v>1553</v>
      </c>
      <c r="G10173" t="str">
        <f>"04-K05-03"</f>
        <v>04-K05-03</v>
      </c>
      <c r="H10173">
        <v>0.74980000000000002</v>
      </c>
      <c r="J10173" t="s">
        <v>14</v>
      </c>
      <c r="K10173" t="str">
        <f>"1F7"</f>
        <v>1F7</v>
      </c>
      <c r="L10173" t="s">
        <v>15</v>
      </c>
    </row>
    <row r="10174" spans="1:12" x14ac:dyDescent="0.25">
      <c r="A10174" t="str">
        <f>"7510015370"</f>
        <v>7510015370</v>
      </c>
      <c r="B10174" t="str">
        <f t="shared" si="432"/>
        <v>89301000</v>
      </c>
      <c r="C10174" s="1">
        <v>44204</v>
      </c>
      <c r="D10174" s="1">
        <v>44211</v>
      </c>
      <c r="E10174">
        <v>1</v>
      </c>
      <c r="F10174" t="s">
        <v>1931</v>
      </c>
      <c r="G10174" t="str">
        <f>"03-K04-01"</f>
        <v>03-K04-01</v>
      </c>
      <c r="H10174">
        <v>0.46660000000000001</v>
      </c>
      <c r="J10174" t="s">
        <v>14</v>
      </c>
      <c r="K10174" t="str">
        <f>"7F1"</f>
        <v>7F1</v>
      </c>
      <c r="L10174" t="s">
        <v>15</v>
      </c>
    </row>
    <row r="10175" spans="1:12" x14ac:dyDescent="0.25">
      <c r="A10175" t="str">
        <f>"7510075364"</f>
        <v>7510075364</v>
      </c>
      <c r="B10175" t="str">
        <f t="shared" si="432"/>
        <v>89301000</v>
      </c>
      <c r="C10175" s="1">
        <v>44318</v>
      </c>
      <c r="D10175" s="1">
        <v>44320</v>
      </c>
      <c r="E10175">
        <v>1</v>
      </c>
      <c r="F10175" t="s">
        <v>174</v>
      </c>
      <c r="G10175" t="str">
        <f>"12-I14-00"</f>
        <v>12-I14-00</v>
      </c>
      <c r="H10175">
        <v>0.44350000000000001</v>
      </c>
      <c r="J10175" t="s">
        <v>14</v>
      </c>
      <c r="K10175" t="str">
        <f>"7F6"</f>
        <v>7F6</v>
      </c>
      <c r="L10175" t="s">
        <v>15</v>
      </c>
    </row>
    <row r="10176" spans="1:12" x14ac:dyDescent="0.25">
      <c r="A10176" t="str">
        <f>"7510115767"</f>
        <v>7510115767</v>
      </c>
      <c r="B10176" t="str">
        <f t="shared" si="432"/>
        <v>89301000</v>
      </c>
      <c r="C10176" s="1">
        <v>44537</v>
      </c>
      <c r="D10176" s="1">
        <v>44550</v>
      </c>
      <c r="E10176">
        <v>1</v>
      </c>
      <c r="F10176" t="s">
        <v>2434</v>
      </c>
      <c r="G10176" t="str">
        <f>"04-I02-04"</f>
        <v>04-I02-04</v>
      </c>
      <c r="H10176">
        <v>3.1617999999999999</v>
      </c>
      <c r="J10176" t="s">
        <v>106</v>
      </c>
      <c r="K10176" t="str">
        <f>"5F1"</f>
        <v>5F1</v>
      </c>
      <c r="L10176" t="s">
        <v>15</v>
      </c>
    </row>
    <row r="10177" spans="1:12" x14ac:dyDescent="0.25">
      <c r="A10177" t="str">
        <f>"7510215339"</f>
        <v>7510215339</v>
      </c>
      <c r="B10177" t="str">
        <f t="shared" si="432"/>
        <v>89301000</v>
      </c>
      <c r="C10177" s="1">
        <v>44540</v>
      </c>
      <c r="D10177" s="1">
        <v>44543</v>
      </c>
      <c r="E10177">
        <v>1</v>
      </c>
      <c r="F10177" t="s">
        <v>6360</v>
      </c>
      <c r="G10177" t="str">
        <f>"08-I19-01"</f>
        <v>08-I19-01</v>
      </c>
      <c r="H10177">
        <v>1.0456000000000001</v>
      </c>
      <c r="I10177" t="s">
        <v>381</v>
      </c>
      <c r="J10177" t="s">
        <v>17</v>
      </c>
      <c r="K10177" t="str">
        <f>"5F3"</f>
        <v>5F3</v>
      </c>
      <c r="L10177" t="s">
        <v>15</v>
      </c>
    </row>
    <row r="10178" spans="1:12" x14ac:dyDescent="0.25">
      <c r="A10178" t="str">
        <f>"7510235326"</f>
        <v>7510235326</v>
      </c>
      <c r="B10178" t="str">
        <f t="shared" si="432"/>
        <v>89301000</v>
      </c>
      <c r="C10178" s="1">
        <v>44437</v>
      </c>
      <c r="D10178" s="1">
        <v>44442</v>
      </c>
      <c r="E10178">
        <v>1</v>
      </c>
      <c r="F10178" t="s">
        <v>5226</v>
      </c>
      <c r="G10178" t="str">
        <f>"20-K03-03"</f>
        <v>20-K03-03</v>
      </c>
      <c r="H10178">
        <v>1.0109999999999999</v>
      </c>
      <c r="I10178" t="s">
        <v>6932</v>
      </c>
      <c r="J10178" t="s">
        <v>14</v>
      </c>
      <c r="K10178" t="str">
        <f>"3F5"</f>
        <v>3F5</v>
      </c>
      <c r="L10178" t="s">
        <v>15</v>
      </c>
    </row>
    <row r="10179" spans="1:12" x14ac:dyDescent="0.25">
      <c r="A10179" t="str">
        <f>"7511029977"</f>
        <v>7511029977</v>
      </c>
      <c r="B10179" t="str">
        <f t="shared" si="432"/>
        <v>89301000</v>
      </c>
      <c r="C10179" s="1">
        <v>44293</v>
      </c>
      <c r="D10179" s="1">
        <v>44294</v>
      </c>
      <c r="E10179">
        <v>1</v>
      </c>
      <c r="F10179" t="s">
        <v>41</v>
      </c>
      <c r="G10179" t="str">
        <f>"01-D01-03"</f>
        <v>01-D01-03</v>
      </c>
      <c r="H10179">
        <v>0.158</v>
      </c>
      <c r="I10179" t="s">
        <v>6933</v>
      </c>
      <c r="J10179" t="s">
        <v>14</v>
      </c>
      <c r="K10179" t="str">
        <f>"2F5"</f>
        <v>2F5</v>
      </c>
      <c r="L10179" t="s">
        <v>15</v>
      </c>
    </row>
    <row r="10180" spans="1:12" x14ac:dyDescent="0.25">
      <c r="A10180" t="str">
        <f>"7511065826"</f>
        <v>7511065826</v>
      </c>
      <c r="B10180" t="str">
        <f t="shared" si="432"/>
        <v>89301000</v>
      </c>
      <c r="C10180" s="1">
        <v>44416</v>
      </c>
      <c r="D10180" s="1">
        <v>44420</v>
      </c>
      <c r="E10180">
        <v>1</v>
      </c>
      <c r="F10180" t="s">
        <v>6934</v>
      </c>
      <c r="G10180" t="str">
        <f>"12-I07-03"</f>
        <v>12-I07-03</v>
      </c>
      <c r="H10180">
        <v>1.014</v>
      </c>
      <c r="J10180" t="s">
        <v>17</v>
      </c>
      <c r="K10180" t="str">
        <f>"7F6"</f>
        <v>7F6</v>
      </c>
      <c r="L10180" t="s">
        <v>15</v>
      </c>
    </row>
    <row r="10181" spans="1:12" x14ac:dyDescent="0.25">
      <c r="A10181" t="str">
        <f>"7511115304"</f>
        <v>7511115304</v>
      </c>
      <c r="B10181" t="str">
        <f t="shared" si="432"/>
        <v>89301000</v>
      </c>
      <c r="C10181" s="1">
        <v>44399</v>
      </c>
      <c r="D10181" s="1">
        <v>44403</v>
      </c>
      <c r="E10181">
        <v>1</v>
      </c>
      <c r="F10181" t="s">
        <v>401</v>
      </c>
      <c r="G10181" t="str">
        <f>"04-K04-02"</f>
        <v>04-K04-02</v>
      </c>
      <c r="H10181">
        <v>0.50470000000000004</v>
      </c>
      <c r="J10181" t="s">
        <v>14</v>
      </c>
      <c r="K10181" t="str">
        <f>"2F5"</f>
        <v>2F5</v>
      </c>
      <c r="L10181" t="s">
        <v>15</v>
      </c>
    </row>
    <row r="10182" spans="1:12" x14ac:dyDescent="0.25">
      <c r="A10182" t="str">
        <f>"7511145312"</f>
        <v>7511145312</v>
      </c>
      <c r="B10182" t="str">
        <f t="shared" si="432"/>
        <v>89301000</v>
      </c>
      <c r="C10182" s="1">
        <v>44297</v>
      </c>
      <c r="D10182" s="1">
        <v>44306</v>
      </c>
      <c r="E10182">
        <v>1</v>
      </c>
      <c r="F10182" t="s">
        <v>217</v>
      </c>
      <c r="G10182" t="str">
        <f>"04-K02-04"</f>
        <v>04-K02-04</v>
      </c>
      <c r="H10182">
        <v>0.82469999999999999</v>
      </c>
      <c r="I10182" t="s">
        <v>6935</v>
      </c>
      <c r="J10182" t="s">
        <v>14</v>
      </c>
      <c r="K10182" t="str">
        <f>"1F1"</f>
        <v>1F1</v>
      </c>
      <c r="L10182" t="s">
        <v>15</v>
      </c>
    </row>
    <row r="10183" spans="1:12" x14ac:dyDescent="0.25">
      <c r="A10183" t="str">
        <f>"7511155355"</f>
        <v>7511155355</v>
      </c>
      <c r="B10183" t="str">
        <f t="shared" si="432"/>
        <v>89301000</v>
      </c>
      <c r="C10183" s="1">
        <v>44274</v>
      </c>
      <c r="D10183" s="1">
        <v>44277</v>
      </c>
      <c r="E10183">
        <v>1</v>
      </c>
      <c r="F10183" t="s">
        <v>197</v>
      </c>
      <c r="G10183" t="str">
        <f>"03-I18-02"</f>
        <v>03-I18-02</v>
      </c>
      <c r="H10183">
        <v>0.84370000000000001</v>
      </c>
      <c r="I10183" t="s">
        <v>114</v>
      </c>
      <c r="J10183" t="s">
        <v>24</v>
      </c>
      <c r="K10183" t="str">
        <f>"7F1"</f>
        <v>7F1</v>
      </c>
      <c r="L10183" t="s">
        <v>15</v>
      </c>
    </row>
    <row r="10184" spans="1:12" x14ac:dyDescent="0.25">
      <c r="A10184" t="str">
        <f>"7511205306"</f>
        <v>7511205306</v>
      </c>
      <c r="B10184" t="str">
        <f t="shared" si="432"/>
        <v>89301000</v>
      </c>
      <c r="C10184" s="1">
        <v>44498</v>
      </c>
      <c r="D10184" s="1">
        <v>44501</v>
      </c>
      <c r="E10184">
        <v>1</v>
      </c>
      <c r="F10184" t="s">
        <v>41</v>
      </c>
      <c r="G10184" t="str">
        <f>"01-D01-03"</f>
        <v>01-D01-03</v>
      </c>
      <c r="H10184">
        <v>0.2054</v>
      </c>
      <c r="I10184" t="s">
        <v>40</v>
      </c>
      <c r="J10184" t="s">
        <v>14</v>
      </c>
      <c r="K10184" t="str">
        <f>"2F5"</f>
        <v>2F5</v>
      </c>
      <c r="L10184" t="s">
        <v>15</v>
      </c>
    </row>
    <row r="10185" spans="1:12" x14ac:dyDescent="0.25">
      <c r="A10185" t="str">
        <f>"7511305758"</f>
        <v>7511305758</v>
      </c>
      <c r="B10185" t="str">
        <f t="shared" si="432"/>
        <v>89301000</v>
      </c>
      <c r="C10185" s="1">
        <v>44525</v>
      </c>
      <c r="D10185" s="1">
        <v>44538</v>
      </c>
      <c r="E10185">
        <v>4</v>
      </c>
      <c r="F10185" t="s">
        <v>3002</v>
      </c>
      <c r="G10185" t="str">
        <f>"05-I07-03"</f>
        <v>05-I07-03</v>
      </c>
      <c r="H10185">
        <v>8.3796999999999997</v>
      </c>
      <c r="J10185" t="s">
        <v>17</v>
      </c>
      <c r="K10185" t="str">
        <f>"5F5"</f>
        <v>5F5</v>
      </c>
      <c r="L10185" t="s">
        <v>15</v>
      </c>
    </row>
    <row r="10186" spans="1:12" x14ac:dyDescent="0.25">
      <c r="A10186" t="str">
        <f>"7512085361"</f>
        <v>7512085361</v>
      </c>
      <c r="B10186" t="str">
        <f t="shared" si="432"/>
        <v>89301000</v>
      </c>
      <c r="C10186" s="1">
        <v>44538</v>
      </c>
      <c r="D10186" s="1">
        <v>44539</v>
      </c>
      <c r="E10186">
        <v>1</v>
      </c>
      <c r="F10186" t="s">
        <v>2457</v>
      </c>
      <c r="G10186" t="str">
        <f>"05-D01-08"</f>
        <v>05-D01-08</v>
      </c>
      <c r="H10186">
        <v>0.4093</v>
      </c>
      <c r="I10186" t="s">
        <v>6936</v>
      </c>
      <c r="J10186" t="s">
        <v>14</v>
      </c>
      <c r="K10186" t="str">
        <f>"1F7"</f>
        <v>1F7</v>
      </c>
      <c r="L10186" t="s">
        <v>15</v>
      </c>
    </row>
    <row r="10187" spans="1:12" x14ac:dyDescent="0.25">
      <c r="A10187" t="str">
        <f>"7512125775"</f>
        <v>7512125775</v>
      </c>
      <c r="B10187" t="str">
        <f t="shared" si="432"/>
        <v>89301000</v>
      </c>
      <c r="C10187" s="1">
        <v>44523</v>
      </c>
      <c r="D10187" s="1">
        <v>44526</v>
      </c>
      <c r="E10187">
        <v>1</v>
      </c>
      <c r="F10187" t="s">
        <v>12</v>
      </c>
      <c r="G10187" t="str">
        <f>"03-I14-02"</f>
        <v>03-I14-02</v>
      </c>
      <c r="H10187">
        <v>1.1086</v>
      </c>
      <c r="I10187" t="s">
        <v>754</v>
      </c>
      <c r="J10187" t="s">
        <v>14</v>
      </c>
      <c r="K10187" t="str">
        <f>"7F1"</f>
        <v>7F1</v>
      </c>
      <c r="L10187" t="s">
        <v>15</v>
      </c>
    </row>
    <row r="10188" spans="1:12" x14ac:dyDescent="0.25">
      <c r="A10188" t="str">
        <f>"7512285341"</f>
        <v>7512285341</v>
      </c>
      <c r="B10188" t="str">
        <f t="shared" si="432"/>
        <v>89301000</v>
      </c>
      <c r="C10188" s="1">
        <v>44267</v>
      </c>
      <c r="D10188" s="1">
        <v>44272</v>
      </c>
      <c r="E10188">
        <v>1</v>
      </c>
      <c r="F10188" t="s">
        <v>2864</v>
      </c>
      <c r="G10188" t="str">
        <f>"19-K01-03"</f>
        <v>19-K01-03</v>
      </c>
      <c r="H10188">
        <v>0.60250000000000004</v>
      </c>
      <c r="I10188" t="s">
        <v>274</v>
      </c>
      <c r="J10188" t="s">
        <v>27</v>
      </c>
      <c r="K10188" t="str">
        <f>"1F1"</f>
        <v>1F1</v>
      </c>
      <c r="L10188" t="s">
        <v>15</v>
      </c>
    </row>
    <row r="10189" spans="1:12" x14ac:dyDescent="0.25">
      <c r="A10189" t="str">
        <f>"7512285341"</f>
        <v>7512285341</v>
      </c>
      <c r="B10189" t="str">
        <f t="shared" si="432"/>
        <v>89301000</v>
      </c>
      <c r="C10189" s="1">
        <v>44309</v>
      </c>
      <c r="D10189" s="1">
        <v>44313</v>
      </c>
      <c r="E10189">
        <v>1</v>
      </c>
      <c r="F10189" t="s">
        <v>6937</v>
      </c>
      <c r="G10189" t="str">
        <f>"10-K04-04"</f>
        <v>10-K04-04</v>
      </c>
      <c r="H10189">
        <v>0.56330000000000002</v>
      </c>
      <c r="I10189" t="s">
        <v>6938</v>
      </c>
      <c r="J10189" t="s">
        <v>14</v>
      </c>
      <c r="K10189" t="str">
        <f>"1F1"</f>
        <v>1F1</v>
      </c>
      <c r="L10189" t="s">
        <v>15</v>
      </c>
    </row>
    <row r="10190" spans="1:12" x14ac:dyDescent="0.25">
      <c r="A10190" t="str">
        <f>"7512295362"</f>
        <v>7512295362</v>
      </c>
      <c r="B10190" t="str">
        <f t="shared" si="432"/>
        <v>89301000</v>
      </c>
      <c r="C10190" s="1">
        <v>44559</v>
      </c>
      <c r="D10190" s="1">
        <v>44561</v>
      </c>
      <c r="E10190">
        <v>1</v>
      </c>
      <c r="F10190" t="s">
        <v>97</v>
      </c>
      <c r="G10190" t="str">
        <f>"01-K03-08"</f>
        <v>01-K03-08</v>
      </c>
      <c r="H10190">
        <v>0.34789999999999999</v>
      </c>
      <c r="J10190" t="s">
        <v>14</v>
      </c>
      <c r="K10190" t="str">
        <f>"2F9"</f>
        <v>2F9</v>
      </c>
      <c r="L10190" t="s">
        <v>15</v>
      </c>
    </row>
    <row r="10191" spans="1:12" x14ac:dyDescent="0.25">
      <c r="A10191" t="str">
        <f>"7551035316"</f>
        <v>7551035316</v>
      </c>
      <c r="B10191" t="str">
        <f t="shared" si="432"/>
        <v>89301000</v>
      </c>
      <c r="C10191" s="1">
        <v>44432</v>
      </c>
      <c r="D10191" s="1">
        <v>44435</v>
      </c>
      <c r="E10191">
        <v>1</v>
      </c>
      <c r="F10191" t="s">
        <v>266</v>
      </c>
      <c r="G10191" t="str">
        <f>"13-I14-03"</f>
        <v>13-I14-03</v>
      </c>
      <c r="H10191">
        <v>0.83199999999999996</v>
      </c>
      <c r="I10191" t="s">
        <v>6939</v>
      </c>
      <c r="J10191" t="s">
        <v>24</v>
      </c>
      <c r="K10191" t="str">
        <f>"6F3"</f>
        <v>6F3</v>
      </c>
      <c r="L10191" t="s">
        <v>15</v>
      </c>
    </row>
    <row r="10192" spans="1:12" x14ac:dyDescent="0.25">
      <c r="A10192" t="str">
        <f>"7551044468"</f>
        <v>7551044468</v>
      </c>
      <c r="B10192" t="str">
        <f t="shared" si="432"/>
        <v>89301000</v>
      </c>
      <c r="C10192" s="1">
        <v>44333</v>
      </c>
      <c r="D10192" s="1">
        <v>44337</v>
      </c>
      <c r="E10192">
        <v>1</v>
      </c>
      <c r="F10192" t="s">
        <v>43</v>
      </c>
      <c r="G10192" t="str">
        <f>"06-I18-05"</f>
        <v>06-I18-05</v>
      </c>
      <c r="H10192">
        <v>0.873</v>
      </c>
      <c r="J10192" t="s">
        <v>24</v>
      </c>
      <c r="K10192" t="str">
        <f>"5F1"</f>
        <v>5F1</v>
      </c>
      <c r="L10192" t="s">
        <v>15</v>
      </c>
    </row>
    <row r="10193" spans="1:12" x14ac:dyDescent="0.25">
      <c r="A10193" t="str">
        <f>"7551055358"</f>
        <v>7551055358</v>
      </c>
      <c r="B10193" t="str">
        <f t="shared" si="432"/>
        <v>89301000</v>
      </c>
      <c r="C10193" s="1">
        <v>44501</v>
      </c>
      <c r="D10193" s="1">
        <v>44505</v>
      </c>
      <c r="E10193">
        <v>1</v>
      </c>
      <c r="F10193" t="s">
        <v>2495</v>
      </c>
      <c r="G10193" t="str">
        <f>"13-I11-03"</f>
        <v>13-I11-03</v>
      </c>
      <c r="H10193">
        <v>1.3809</v>
      </c>
      <c r="J10193" t="s">
        <v>24</v>
      </c>
      <c r="K10193" t="str">
        <f>"6F3"</f>
        <v>6F3</v>
      </c>
      <c r="L10193" t="s">
        <v>15</v>
      </c>
    </row>
    <row r="10194" spans="1:12" x14ac:dyDescent="0.25">
      <c r="A10194" t="str">
        <f>"7551055380"</f>
        <v>7551055380</v>
      </c>
      <c r="B10194" t="str">
        <f t="shared" si="432"/>
        <v>89301000</v>
      </c>
      <c r="C10194" s="1">
        <v>44361</v>
      </c>
      <c r="D10194" s="1">
        <v>44363</v>
      </c>
      <c r="E10194">
        <v>1</v>
      </c>
      <c r="F10194" t="s">
        <v>1551</v>
      </c>
      <c r="G10194" t="str">
        <f>"09-I06-04"</f>
        <v>09-I06-04</v>
      </c>
      <c r="H10194">
        <v>0.98829999999999996</v>
      </c>
      <c r="J10194" t="s">
        <v>17</v>
      </c>
      <c r="K10194" t="str">
        <f>"5F1"</f>
        <v>5F1</v>
      </c>
      <c r="L10194" t="s">
        <v>15</v>
      </c>
    </row>
    <row r="10195" spans="1:12" x14ac:dyDescent="0.25">
      <c r="A10195" t="str">
        <f>"7551105342"</f>
        <v>7551105342</v>
      </c>
      <c r="B10195" t="str">
        <f t="shared" si="432"/>
        <v>89301000</v>
      </c>
      <c r="C10195" s="1">
        <v>44341</v>
      </c>
      <c r="D10195" s="1">
        <v>44344</v>
      </c>
      <c r="E10195">
        <v>1</v>
      </c>
      <c r="F10195" t="s">
        <v>3568</v>
      </c>
      <c r="G10195" t="str">
        <f>"08-I03-08"</f>
        <v>08-I03-08</v>
      </c>
      <c r="H10195">
        <v>2.0605000000000002</v>
      </c>
      <c r="I10195" t="s">
        <v>6388</v>
      </c>
      <c r="J10195" t="s">
        <v>17</v>
      </c>
      <c r="K10195" t="str">
        <f>"5F6"</f>
        <v>5F6</v>
      </c>
      <c r="L10195" t="s">
        <v>15</v>
      </c>
    </row>
    <row r="10196" spans="1:12" x14ac:dyDescent="0.25">
      <c r="A10196" t="str">
        <f>"7551175313"</f>
        <v>7551175313</v>
      </c>
      <c r="B10196" t="str">
        <f t="shared" si="432"/>
        <v>89301000</v>
      </c>
      <c r="C10196" s="1">
        <v>44482</v>
      </c>
      <c r="D10196" s="1">
        <v>44484</v>
      </c>
      <c r="E10196">
        <v>1</v>
      </c>
      <c r="F10196" t="s">
        <v>4382</v>
      </c>
      <c r="G10196" t="str">
        <f>"05-I30-01"</f>
        <v>05-I30-01</v>
      </c>
      <c r="H10196">
        <v>0.64139999999999997</v>
      </c>
      <c r="I10196" t="s">
        <v>6552</v>
      </c>
      <c r="J10196" t="s">
        <v>14</v>
      </c>
      <c r="K10196" t="str">
        <f>"5F1"</f>
        <v>5F1</v>
      </c>
      <c r="L10196" t="s">
        <v>15</v>
      </c>
    </row>
    <row r="10197" spans="1:12" x14ac:dyDescent="0.25">
      <c r="A10197" t="str">
        <f>"7551175808"</f>
        <v>7551175808</v>
      </c>
      <c r="B10197" t="str">
        <f t="shared" si="432"/>
        <v>89301000</v>
      </c>
      <c r="C10197" s="1">
        <v>44379</v>
      </c>
      <c r="D10197" s="1">
        <v>44381</v>
      </c>
      <c r="E10197">
        <v>5</v>
      </c>
      <c r="F10197" t="s">
        <v>6940</v>
      </c>
      <c r="G10197" t="str">
        <f>"07-K01-02"</f>
        <v>07-K01-02</v>
      </c>
      <c r="H10197">
        <v>0.93010000000000004</v>
      </c>
      <c r="I10197" t="s">
        <v>6941</v>
      </c>
      <c r="J10197" t="s">
        <v>14</v>
      </c>
      <c r="K10197" t="str">
        <f>"1T1"</f>
        <v>1T1</v>
      </c>
      <c r="L10197" t="s">
        <v>15</v>
      </c>
    </row>
    <row r="10198" spans="1:12" x14ac:dyDescent="0.25">
      <c r="A10198" t="str">
        <f>"7551185796"</f>
        <v>7551185796</v>
      </c>
      <c r="B10198" t="str">
        <f t="shared" si="432"/>
        <v>89301000</v>
      </c>
      <c r="C10198" s="1">
        <v>44248</v>
      </c>
      <c r="D10198" s="1">
        <v>44250</v>
      </c>
      <c r="E10198">
        <v>1</v>
      </c>
      <c r="F10198" t="s">
        <v>6942</v>
      </c>
      <c r="G10198" t="str">
        <f>"02-I07-02"</f>
        <v>02-I07-02</v>
      </c>
      <c r="H10198">
        <v>1.0971</v>
      </c>
      <c r="I10198" t="s">
        <v>6943</v>
      </c>
      <c r="J10198" t="s">
        <v>17</v>
      </c>
      <c r="K10198" t="str">
        <f>"7F5"</f>
        <v>7F5</v>
      </c>
      <c r="L10198" t="s">
        <v>15</v>
      </c>
    </row>
    <row r="10199" spans="1:12" x14ac:dyDescent="0.25">
      <c r="A10199" t="str">
        <f>"7551224296"</f>
        <v>7551224296</v>
      </c>
      <c r="B10199" t="str">
        <f t="shared" si="432"/>
        <v>89301000</v>
      </c>
      <c r="C10199" s="1">
        <v>44225</v>
      </c>
      <c r="D10199" s="1">
        <v>44228</v>
      </c>
      <c r="E10199">
        <v>1</v>
      </c>
      <c r="F10199" t="s">
        <v>413</v>
      </c>
      <c r="G10199" t="str">
        <f>"09-I08-02"</f>
        <v>09-I08-02</v>
      </c>
      <c r="H10199">
        <v>1.129</v>
      </c>
      <c r="I10199" t="s">
        <v>6761</v>
      </c>
      <c r="J10199" t="s">
        <v>24</v>
      </c>
      <c r="K10199" t="str">
        <f>"6F1"</f>
        <v>6F1</v>
      </c>
      <c r="L10199" t="s">
        <v>15</v>
      </c>
    </row>
    <row r="10200" spans="1:12" x14ac:dyDescent="0.25">
      <c r="A10200" t="str">
        <f>"7551303749"</f>
        <v>7551303749</v>
      </c>
      <c r="B10200" t="str">
        <f t="shared" si="432"/>
        <v>89301000</v>
      </c>
      <c r="C10200" s="1">
        <v>44251</v>
      </c>
      <c r="D10200" s="1">
        <v>44253</v>
      </c>
      <c r="E10200">
        <v>1</v>
      </c>
      <c r="F10200" t="s">
        <v>2303</v>
      </c>
      <c r="G10200" t="str">
        <f>"13-I19-00"</f>
        <v>13-I19-00</v>
      </c>
      <c r="H10200">
        <v>0.24679999999999999</v>
      </c>
      <c r="J10200" t="s">
        <v>14</v>
      </c>
      <c r="K10200" t="str">
        <f>"6F3"</f>
        <v>6F3</v>
      </c>
      <c r="L10200" t="s">
        <v>15</v>
      </c>
    </row>
    <row r="10201" spans="1:12" x14ac:dyDescent="0.25">
      <c r="A10201" t="str">
        <f>"7551305311"</f>
        <v>7551305311</v>
      </c>
      <c r="B10201" t="str">
        <f t="shared" si="432"/>
        <v>89301000</v>
      </c>
      <c r="C10201" s="1">
        <v>44276</v>
      </c>
      <c r="D10201" s="1">
        <v>44278</v>
      </c>
      <c r="E10201">
        <v>5</v>
      </c>
      <c r="F10201" t="s">
        <v>217</v>
      </c>
      <c r="G10201" t="str">
        <f>"04-K02-04"</f>
        <v>04-K02-04</v>
      </c>
      <c r="H10201">
        <v>0.82469999999999999</v>
      </c>
      <c r="I10201" t="s">
        <v>6944</v>
      </c>
      <c r="J10201" t="s">
        <v>14</v>
      </c>
      <c r="K10201" t="str">
        <f>"7F6"</f>
        <v>7F6</v>
      </c>
      <c r="L10201" t="s">
        <v>15</v>
      </c>
    </row>
    <row r="10202" spans="1:12" x14ac:dyDescent="0.25">
      <c r="A10202" t="str">
        <f>"7552055324"</f>
        <v>7552055324</v>
      </c>
      <c r="B10202" t="str">
        <f t="shared" si="432"/>
        <v>89301000</v>
      </c>
      <c r="C10202" s="1">
        <v>44468</v>
      </c>
      <c r="D10202" s="1">
        <v>44471</v>
      </c>
      <c r="E10202">
        <v>1</v>
      </c>
      <c r="F10202" t="s">
        <v>1553</v>
      </c>
      <c r="G10202" t="str">
        <f>"04-K05-02"</f>
        <v>04-K05-02</v>
      </c>
      <c r="H10202">
        <v>1.2657</v>
      </c>
      <c r="I10202" t="s">
        <v>6945</v>
      </c>
      <c r="J10202" t="s">
        <v>14</v>
      </c>
      <c r="K10202" t="str">
        <f>"1F1"</f>
        <v>1F1</v>
      </c>
      <c r="L10202" t="s">
        <v>15</v>
      </c>
    </row>
    <row r="10203" spans="1:12" x14ac:dyDescent="0.25">
      <c r="A10203" t="str">
        <f>"7552115340"</f>
        <v>7552115340</v>
      </c>
      <c r="B10203" t="str">
        <f t="shared" si="432"/>
        <v>89301000</v>
      </c>
      <c r="C10203" s="1">
        <v>44524</v>
      </c>
      <c r="D10203" s="1">
        <v>44525</v>
      </c>
      <c r="E10203">
        <v>1</v>
      </c>
      <c r="F10203" t="s">
        <v>1561</v>
      </c>
      <c r="G10203" t="str">
        <f>"07-K05-03"</f>
        <v>07-K05-03</v>
      </c>
      <c r="H10203">
        <v>0.35770000000000002</v>
      </c>
      <c r="I10203" t="s">
        <v>348</v>
      </c>
      <c r="J10203" t="s">
        <v>14</v>
      </c>
      <c r="K10203" t="str">
        <f>"1F5"</f>
        <v>1F5</v>
      </c>
      <c r="L10203" t="s">
        <v>15</v>
      </c>
    </row>
    <row r="10204" spans="1:12" x14ac:dyDescent="0.25">
      <c r="A10204" t="str">
        <f>"7552155325"</f>
        <v>7552155325</v>
      </c>
      <c r="B10204" t="str">
        <f t="shared" si="432"/>
        <v>89301000</v>
      </c>
      <c r="C10204" s="1">
        <v>44493</v>
      </c>
      <c r="D10204" s="1">
        <v>44498</v>
      </c>
      <c r="E10204">
        <v>1</v>
      </c>
      <c r="F10204" t="s">
        <v>2495</v>
      </c>
      <c r="G10204" t="str">
        <f>"13-I11-03"</f>
        <v>13-I11-03</v>
      </c>
      <c r="H10204">
        <v>1.3809</v>
      </c>
      <c r="I10204" t="s">
        <v>489</v>
      </c>
      <c r="J10204" t="s">
        <v>24</v>
      </c>
      <c r="K10204" t="str">
        <f>"6F3"</f>
        <v>6F3</v>
      </c>
      <c r="L10204" t="s">
        <v>15</v>
      </c>
    </row>
    <row r="10205" spans="1:12" x14ac:dyDescent="0.25">
      <c r="A10205" t="str">
        <f>"7552165302"</f>
        <v>7552165302</v>
      </c>
      <c r="B10205" t="str">
        <f t="shared" si="432"/>
        <v>89301000</v>
      </c>
      <c r="C10205" s="1">
        <v>44298</v>
      </c>
      <c r="D10205" s="1">
        <v>44302</v>
      </c>
      <c r="E10205">
        <v>1</v>
      </c>
      <c r="F10205" t="s">
        <v>2495</v>
      </c>
      <c r="G10205" t="str">
        <f>"13-I11-03"</f>
        <v>13-I11-03</v>
      </c>
      <c r="H10205">
        <v>1.3809</v>
      </c>
      <c r="J10205" t="s">
        <v>24</v>
      </c>
      <c r="K10205" t="str">
        <f>"6F3"</f>
        <v>6F3</v>
      </c>
      <c r="L10205" t="s">
        <v>15</v>
      </c>
    </row>
    <row r="10206" spans="1:12" x14ac:dyDescent="0.25">
      <c r="A10206" t="str">
        <f>"7552173519"</f>
        <v>7552173519</v>
      </c>
      <c r="B10206" t="str">
        <f t="shared" si="432"/>
        <v>89301000</v>
      </c>
      <c r="C10206" s="1">
        <v>44280</v>
      </c>
      <c r="D10206" s="1">
        <v>44283</v>
      </c>
      <c r="E10206">
        <v>1</v>
      </c>
      <c r="F10206" t="s">
        <v>311</v>
      </c>
      <c r="G10206" t="str">
        <f>"03-I14-02"</f>
        <v>03-I14-02</v>
      </c>
      <c r="H10206">
        <v>1.1086</v>
      </c>
      <c r="I10206" t="s">
        <v>6946</v>
      </c>
      <c r="J10206" t="s">
        <v>14</v>
      </c>
      <c r="K10206" t="str">
        <f>"7F1"</f>
        <v>7F1</v>
      </c>
      <c r="L10206" t="s">
        <v>15</v>
      </c>
    </row>
    <row r="10207" spans="1:12" x14ac:dyDescent="0.25">
      <c r="A10207" t="str">
        <f>"7552173519"</f>
        <v>7552173519</v>
      </c>
      <c r="B10207" t="str">
        <f t="shared" si="432"/>
        <v>89301000</v>
      </c>
      <c r="C10207" s="1">
        <v>44395</v>
      </c>
      <c r="D10207" s="1">
        <v>44397</v>
      </c>
      <c r="E10207">
        <v>1</v>
      </c>
      <c r="F10207" t="s">
        <v>689</v>
      </c>
      <c r="G10207" t="str">
        <f>"03-I14-02"</f>
        <v>03-I14-02</v>
      </c>
      <c r="H10207">
        <v>1.1086</v>
      </c>
      <c r="I10207" t="s">
        <v>6947</v>
      </c>
      <c r="J10207" t="s">
        <v>14</v>
      </c>
      <c r="K10207" t="str">
        <f>"7F1"</f>
        <v>7F1</v>
      </c>
      <c r="L10207" t="s">
        <v>15</v>
      </c>
    </row>
    <row r="10208" spans="1:12" x14ac:dyDescent="0.25">
      <c r="A10208" t="str">
        <f>"7552225329"</f>
        <v>7552225329</v>
      </c>
      <c r="B10208" t="str">
        <f t="shared" si="432"/>
        <v>89301000</v>
      </c>
      <c r="C10208" s="1">
        <v>44466</v>
      </c>
      <c r="D10208" s="1">
        <v>44469</v>
      </c>
      <c r="E10208">
        <v>1</v>
      </c>
      <c r="F10208" t="s">
        <v>5527</v>
      </c>
      <c r="G10208" t="str">
        <f>"01-K18-04"</f>
        <v>01-K18-04</v>
      </c>
      <c r="H10208">
        <v>0.49890000000000001</v>
      </c>
      <c r="J10208" t="s">
        <v>14</v>
      </c>
      <c r="K10208" t="str">
        <f>"2F9"</f>
        <v>2F9</v>
      </c>
      <c r="L10208" t="s">
        <v>15</v>
      </c>
    </row>
    <row r="10209" spans="1:12" x14ac:dyDescent="0.25">
      <c r="A10209" t="str">
        <f>"7552225758"</f>
        <v>7552225758</v>
      </c>
      <c r="B10209" t="str">
        <f t="shared" si="432"/>
        <v>89301000</v>
      </c>
      <c r="C10209" s="1">
        <v>44211</v>
      </c>
      <c r="D10209" s="1">
        <v>44214</v>
      </c>
      <c r="E10209">
        <v>1</v>
      </c>
      <c r="F10209" t="s">
        <v>2111</v>
      </c>
      <c r="G10209" t="str">
        <f>"10-K15-02"</f>
        <v>10-K15-02</v>
      </c>
      <c r="H10209">
        <v>1.0346</v>
      </c>
      <c r="I10209" t="s">
        <v>6948</v>
      </c>
      <c r="J10209" t="s">
        <v>14</v>
      </c>
      <c r="K10209" t="str">
        <f>"2F5"</f>
        <v>2F5</v>
      </c>
      <c r="L10209" t="s">
        <v>15</v>
      </c>
    </row>
    <row r="10210" spans="1:12" x14ac:dyDescent="0.25">
      <c r="A10210" t="str">
        <f>"7552253830"</f>
        <v>7552253830</v>
      </c>
      <c r="B10210" t="str">
        <f t="shared" si="432"/>
        <v>89301000</v>
      </c>
      <c r="C10210" s="1">
        <v>44200</v>
      </c>
      <c r="D10210" s="1">
        <v>44209</v>
      </c>
      <c r="E10210">
        <v>1</v>
      </c>
      <c r="F10210" t="s">
        <v>217</v>
      </c>
      <c r="G10210" t="str">
        <f>"04-K02-04"</f>
        <v>04-K02-04</v>
      </c>
      <c r="H10210">
        <v>0.82469999999999999</v>
      </c>
      <c r="I10210" t="s">
        <v>6949</v>
      </c>
      <c r="J10210" t="s">
        <v>14</v>
      </c>
      <c r="K10210" t="str">
        <f>"1F1"</f>
        <v>1F1</v>
      </c>
      <c r="L10210" t="s">
        <v>15</v>
      </c>
    </row>
    <row r="10211" spans="1:12" x14ac:dyDescent="0.25">
      <c r="A10211" t="str">
        <f>"7553054476"</f>
        <v>7553054476</v>
      </c>
      <c r="B10211" t="str">
        <f t="shared" si="432"/>
        <v>89301000</v>
      </c>
      <c r="C10211" s="1">
        <v>44514</v>
      </c>
      <c r="D10211" s="1">
        <v>44518</v>
      </c>
      <c r="E10211">
        <v>1</v>
      </c>
      <c r="F10211" t="s">
        <v>81</v>
      </c>
      <c r="G10211" t="str">
        <f>"10-I13-02"</f>
        <v>10-I13-02</v>
      </c>
      <c r="H10211">
        <v>1.1468</v>
      </c>
      <c r="J10211" t="s">
        <v>24</v>
      </c>
      <c r="K10211" t="str">
        <f>"5F1"</f>
        <v>5F1</v>
      </c>
      <c r="L10211" t="s">
        <v>15</v>
      </c>
    </row>
    <row r="10212" spans="1:12" x14ac:dyDescent="0.25">
      <c r="A10212" t="str">
        <f>"7553165334"</f>
        <v>7553165334</v>
      </c>
      <c r="B10212" t="str">
        <f t="shared" si="432"/>
        <v>89301000</v>
      </c>
      <c r="C10212" s="1">
        <v>44451</v>
      </c>
      <c r="D10212" s="1">
        <v>44456</v>
      </c>
      <c r="E10212">
        <v>1</v>
      </c>
      <c r="F10212" t="s">
        <v>1946</v>
      </c>
      <c r="G10212" t="str">
        <f>"07-M02-02"</f>
        <v>07-M02-02</v>
      </c>
      <c r="H10212">
        <v>2.1716000000000002</v>
      </c>
      <c r="I10212" t="s">
        <v>6950</v>
      </c>
      <c r="J10212" t="s">
        <v>17</v>
      </c>
      <c r="K10212" t="str">
        <f>"1F1"</f>
        <v>1F1</v>
      </c>
      <c r="L10212" t="s">
        <v>15</v>
      </c>
    </row>
    <row r="10213" spans="1:12" x14ac:dyDescent="0.25">
      <c r="A10213" t="str">
        <f>"7553195749"</f>
        <v>7553195749</v>
      </c>
      <c r="B10213" t="str">
        <f t="shared" ref="B10213:B10276" si="433">"89301000"</f>
        <v>89301000</v>
      </c>
      <c r="C10213" s="1">
        <v>44456</v>
      </c>
      <c r="D10213" s="1">
        <v>44461</v>
      </c>
      <c r="E10213">
        <v>1</v>
      </c>
      <c r="F10213" t="s">
        <v>3416</v>
      </c>
      <c r="G10213" t="str">
        <f>"08-K08-00"</f>
        <v>08-K08-00</v>
      </c>
      <c r="H10213">
        <v>0.51670000000000005</v>
      </c>
      <c r="I10213" t="s">
        <v>6951</v>
      </c>
      <c r="J10213" t="s">
        <v>14</v>
      </c>
      <c r="K10213" t="str">
        <f>"2F9"</f>
        <v>2F9</v>
      </c>
      <c r="L10213" t="s">
        <v>15</v>
      </c>
    </row>
    <row r="10214" spans="1:12" x14ac:dyDescent="0.25">
      <c r="A10214" t="str">
        <f>"7553205352"</f>
        <v>7553205352</v>
      </c>
      <c r="B10214" t="str">
        <f t="shared" si="433"/>
        <v>89301000</v>
      </c>
      <c r="C10214" s="1">
        <v>44251</v>
      </c>
      <c r="D10214" s="1">
        <v>44256</v>
      </c>
      <c r="E10214">
        <v>1</v>
      </c>
      <c r="F10214" t="s">
        <v>1551</v>
      </c>
      <c r="G10214" t="str">
        <f>"09-I06-04"</f>
        <v>09-I06-04</v>
      </c>
      <c r="H10214">
        <v>0.98829999999999996</v>
      </c>
      <c r="J10214" t="s">
        <v>17</v>
      </c>
      <c r="K10214" t="str">
        <f>"5F1"</f>
        <v>5F1</v>
      </c>
      <c r="L10214" t="s">
        <v>15</v>
      </c>
    </row>
    <row r="10215" spans="1:12" x14ac:dyDescent="0.25">
      <c r="A10215" t="str">
        <f>"7553254599"</f>
        <v>7553254599</v>
      </c>
      <c r="B10215" t="str">
        <f t="shared" si="433"/>
        <v>89301000</v>
      </c>
      <c r="C10215" s="1">
        <v>44546</v>
      </c>
      <c r="D10215" s="1">
        <v>44548</v>
      </c>
      <c r="E10215">
        <v>1</v>
      </c>
      <c r="F10215" t="s">
        <v>1030</v>
      </c>
      <c r="G10215" t="str">
        <f>"02-K09-00"</f>
        <v>02-K09-00</v>
      </c>
      <c r="H10215">
        <v>0.40720000000000001</v>
      </c>
      <c r="I10215" t="s">
        <v>6952</v>
      </c>
      <c r="J10215" t="s">
        <v>14</v>
      </c>
      <c r="K10215" t="str">
        <f>"5F3"</f>
        <v>5F3</v>
      </c>
      <c r="L10215" t="s">
        <v>15</v>
      </c>
    </row>
    <row r="10216" spans="1:12" x14ac:dyDescent="0.25">
      <c r="A10216" t="str">
        <f>"7553294463"</f>
        <v>7553294463</v>
      </c>
      <c r="B10216" t="str">
        <f t="shared" si="433"/>
        <v>89301000</v>
      </c>
      <c r="C10216" s="1">
        <v>44500</v>
      </c>
      <c r="D10216" s="1">
        <v>44503</v>
      </c>
      <c r="E10216">
        <v>1</v>
      </c>
      <c r="F10216" t="s">
        <v>6953</v>
      </c>
      <c r="G10216" t="str">
        <f>"19-K02-03"</f>
        <v>19-K02-03</v>
      </c>
      <c r="H10216">
        <v>0.67269999999999996</v>
      </c>
      <c r="I10216" t="s">
        <v>6954</v>
      </c>
      <c r="J10216" t="s">
        <v>27</v>
      </c>
      <c r="K10216" t="str">
        <f>"3F5"</f>
        <v>3F5</v>
      </c>
      <c r="L10216" t="s">
        <v>15</v>
      </c>
    </row>
    <row r="10217" spans="1:12" x14ac:dyDescent="0.25">
      <c r="A10217" t="str">
        <f>"7553295310"</f>
        <v>7553295310</v>
      </c>
      <c r="B10217" t="str">
        <f t="shared" si="433"/>
        <v>89301000</v>
      </c>
      <c r="C10217" s="1">
        <v>44503</v>
      </c>
      <c r="D10217" s="1">
        <v>44504</v>
      </c>
      <c r="E10217">
        <v>1</v>
      </c>
      <c r="F10217" t="s">
        <v>700</v>
      </c>
      <c r="G10217" t="str">
        <f>"13-I19-00"</f>
        <v>13-I19-00</v>
      </c>
      <c r="H10217">
        <v>0.24679999999999999</v>
      </c>
      <c r="J10217" t="s">
        <v>14</v>
      </c>
      <c r="K10217" t="str">
        <f>"6F3"</f>
        <v>6F3</v>
      </c>
      <c r="L10217" t="s">
        <v>15</v>
      </c>
    </row>
    <row r="10218" spans="1:12" x14ac:dyDescent="0.25">
      <c r="A10218" t="str">
        <f>"7554035764"</f>
        <v>7554035764</v>
      </c>
      <c r="B10218" t="str">
        <f t="shared" si="433"/>
        <v>89301000</v>
      </c>
      <c r="C10218" s="1">
        <v>44230</v>
      </c>
      <c r="D10218" s="1">
        <v>44237</v>
      </c>
      <c r="E10218">
        <v>1</v>
      </c>
      <c r="F10218" t="s">
        <v>4082</v>
      </c>
      <c r="G10218" t="str">
        <f>"01-I06-04"</f>
        <v>01-I06-04</v>
      </c>
      <c r="H10218">
        <v>3.6231</v>
      </c>
      <c r="I10218" t="s">
        <v>6955</v>
      </c>
      <c r="J10218" t="s">
        <v>17</v>
      </c>
      <c r="K10218" t="str">
        <f>"5F6"</f>
        <v>5F6</v>
      </c>
      <c r="L10218" t="s">
        <v>15</v>
      </c>
    </row>
    <row r="10219" spans="1:12" x14ac:dyDescent="0.25">
      <c r="A10219" t="str">
        <f>"7554035764"</f>
        <v>7554035764</v>
      </c>
      <c r="B10219" t="str">
        <f t="shared" si="433"/>
        <v>89301000</v>
      </c>
      <c r="C10219" s="1">
        <v>44208</v>
      </c>
      <c r="D10219" s="1">
        <v>44217</v>
      </c>
      <c r="E10219">
        <v>1</v>
      </c>
      <c r="F10219" t="s">
        <v>4082</v>
      </c>
      <c r="G10219" t="str">
        <f>"01-I06-01"</f>
        <v>01-I06-01</v>
      </c>
      <c r="H10219">
        <v>7.2766000000000002</v>
      </c>
      <c r="I10219" t="s">
        <v>6956</v>
      </c>
      <c r="J10219" t="s">
        <v>17</v>
      </c>
      <c r="K10219" t="str">
        <f>"5F6"</f>
        <v>5F6</v>
      </c>
      <c r="L10219" t="s">
        <v>15</v>
      </c>
    </row>
    <row r="10220" spans="1:12" x14ac:dyDescent="0.25">
      <c r="A10220" t="str">
        <f>"7554065893"</f>
        <v>7554065893</v>
      </c>
      <c r="B10220" t="str">
        <f t="shared" si="433"/>
        <v>89301000</v>
      </c>
      <c r="C10220" s="1">
        <v>44469</v>
      </c>
      <c r="D10220" s="1">
        <v>44474</v>
      </c>
      <c r="E10220">
        <v>1</v>
      </c>
      <c r="F10220" t="s">
        <v>2495</v>
      </c>
      <c r="G10220" t="str">
        <f>"13-I11-03"</f>
        <v>13-I11-03</v>
      </c>
      <c r="H10220">
        <v>1.3809</v>
      </c>
      <c r="J10220" t="s">
        <v>24</v>
      </c>
      <c r="K10220" t="str">
        <f>"6F3"</f>
        <v>6F3</v>
      </c>
      <c r="L10220" t="s">
        <v>15</v>
      </c>
    </row>
    <row r="10221" spans="1:12" x14ac:dyDescent="0.25">
      <c r="A10221" t="str">
        <f>"7554074462"</f>
        <v>7554074462</v>
      </c>
      <c r="B10221" t="str">
        <f t="shared" si="433"/>
        <v>89301000</v>
      </c>
      <c r="C10221" s="1">
        <v>44460</v>
      </c>
      <c r="D10221" s="1">
        <v>44462</v>
      </c>
      <c r="E10221">
        <v>1</v>
      </c>
      <c r="F10221" t="s">
        <v>387</v>
      </c>
      <c r="G10221" t="str">
        <f>"08-M03-05"</f>
        <v>08-M03-05</v>
      </c>
      <c r="H10221">
        <v>0.51759999999999995</v>
      </c>
      <c r="I10221" t="s">
        <v>6957</v>
      </c>
      <c r="J10221" t="s">
        <v>14</v>
      </c>
      <c r="K10221" t="str">
        <f>"5F3"</f>
        <v>5F3</v>
      </c>
      <c r="L10221" t="s">
        <v>15</v>
      </c>
    </row>
    <row r="10222" spans="1:12" x14ac:dyDescent="0.25">
      <c r="A10222" t="str">
        <f>"7554095417"</f>
        <v>7554095417</v>
      </c>
      <c r="B10222" t="str">
        <f t="shared" si="433"/>
        <v>89301000</v>
      </c>
      <c r="C10222" s="1">
        <v>44368</v>
      </c>
      <c r="D10222" s="1">
        <v>44369</v>
      </c>
      <c r="E10222">
        <v>1</v>
      </c>
      <c r="F10222" t="s">
        <v>413</v>
      </c>
      <c r="G10222" t="str">
        <f>"09-I04-02"</f>
        <v>09-I04-02</v>
      </c>
      <c r="H10222">
        <v>1.0098</v>
      </c>
      <c r="J10222" t="s">
        <v>17</v>
      </c>
      <c r="K10222" t="str">
        <f>"6F1"</f>
        <v>6F1</v>
      </c>
      <c r="L10222" t="s">
        <v>15</v>
      </c>
    </row>
    <row r="10223" spans="1:12" x14ac:dyDescent="0.25">
      <c r="A10223" t="str">
        <f>"7554115327"</f>
        <v>7554115327</v>
      </c>
      <c r="B10223" t="str">
        <f t="shared" si="433"/>
        <v>89301000</v>
      </c>
      <c r="C10223" s="1">
        <v>44483</v>
      </c>
      <c r="D10223" s="1">
        <v>44486</v>
      </c>
      <c r="E10223">
        <v>1</v>
      </c>
      <c r="F10223" t="s">
        <v>6958</v>
      </c>
      <c r="G10223" t="str">
        <f>"13-I18-03"</f>
        <v>13-I18-03</v>
      </c>
      <c r="H10223">
        <v>0.63680000000000003</v>
      </c>
      <c r="J10223" t="s">
        <v>14</v>
      </c>
      <c r="K10223" t="str">
        <f>"6F3"</f>
        <v>6F3</v>
      </c>
      <c r="L10223" t="s">
        <v>15</v>
      </c>
    </row>
    <row r="10224" spans="1:12" x14ac:dyDescent="0.25">
      <c r="A10224" t="str">
        <f>"7554285310"</f>
        <v>7554285310</v>
      </c>
      <c r="B10224" t="str">
        <f t="shared" si="433"/>
        <v>89301000</v>
      </c>
      <c r="C10224" s="1">
        <v>44392</v>
      </c>
      <c r="D10224" s="1">
        <v>44393</v>
      </c>
      <c r="E10224">
        <v>1</v>
      </c>
      <c r="F10224" t="s">
        <v>3852</v>
      </c>
      <c r="G10224" t="str">
        <f>"13-I19-00"</f>
        <v>13-I19-00</v>
      </c>
      <c r="H10224">
        <v>0.24679999999999999</v>
      </c>
      <c r="J10224" t="s">
        <v>14</v>
      </c>
      <c r="K10224" t="str">
        <f>"6F3"</f>
        <v>6F3</v>
      </c>
      <c r="L10224" t="s">
        <v>15</v>
      </c>
    </row>
    <row r="10225" spans="1:12" x14ac:dyDescent="0.25">
      <c r="A10225" t="str">
        <f>"7555025192"</f>
        <v>7555025192</v>
      </c>
      <c r="B10225" t="str">
        <f t="shared" si="433"/>
        <v>89301000</v>
      </c>
      <c r="C10225" s="1">
        <v>44200</v>
      </c>
      <c r="D10225" s="1">
        <v>44211</v>
      </c>
      <c r="E10225">
        <v>1</v>
      </c>
      <c r="F10225" t="s">
        <v>4682</v>
      </c>
      <c r="G10225" t="str">
        <f>"07-I03-02"</f>
        <v>07-I03-02</v>
      </c>
      <c r="H10225">
        <v>3.3117000000000001</v>
      </c>
      <c r="J10225" t="s">
        <v>17</v>
      </c>
      <c r="K10225" t="str">
        <f>"5F1"</f>
        <v>5F1</v>
      </c>
      <c r="L10225" t="s">
        <v>15</v>
      </c>
    </row>
    <row r="10226" spans="1:12" x14ac:dyDescent="0.25">
      <c r="A10226" t="str">
        <f>"7555055343"</f>
        <v>7555055343</v>
      </c>
      <c r="B10226" t="str">
        <f t="shared" si="433"/>
        <v>89301000</v>
      </c>
      <c r="C10226" s="1">
        <v>44335</v>
      </c>
      <c r="D10226" s="1">
        <v>44337</v>
      </c>
      <c r="E10226">
        <v>1</v>
      </c>
      <c r="F10226" t="s">
        <v>173</v>
      </c>
      <c r="G10226" t="str">
        <f>"08-I32-02"</f>
        <v>08-I32-02</v>
      </c>
      <c r="H10226">
        <v>0.4143</v>
      </c>
      <c r="J10226" t="s">
        <v>14</v>
      </c>
      <c r="K10226" t="str">
        <f>"5F3"</f>
        <v>5F3</v>
      </c>
      <c r="L10226" t="s">
        <v>15</v>
      </c>
    </row>
    <row r="10227" spans="1:12" x14ac:dyDescent="0.25">
      <c r="A10227" t="str">
        <f>"7555075319"</f>
        <v>7555075319</v>
      </c>
      <c r="B10227" t="str">
        <f t="shared" si="433"/>
        <v>89301000</v>
      </c>
      <c r="C10227" s="1">
        <v>44503</v>
      </c>
      <c r="D10227" s="1">
        <v>44504</v>
      </c>
      <c r="E10227">
        <v>1</v>
      </c>
      <c r="F10227" t="s">
        <v>186</v>
      </c>
      <c r="G10227" t="str">
        <f>"05-M05-03"</f>
        <v>05-M05-03</v>
      </c>
      <c r="H10227">
        <v>1.9991000000000001</v>
      </c>
      <c r="J10227" t="s">
        <v>24</v>
      </c>
      <c r="K10227" t="str">
        <f>"1F1"</f>
        <v>1F1</v>
      </c>
      <c r="L10227" t="s">
        <v>15</v>
      </c>
    </row>
    <row r="10228" spans="1:12" x14ac:dyDescent="0.25">
      <c r="A10228" t="str">
        <f>"7555125765"</f>
        <v>7555125765</v>
      </c>
      <c r="B10228" t="str">
        <f t="shared" si="433"/>
        <v>89301000</v>
      </c>
      <c r="C10228" s="1">
        <v>44407</v>
      </c>
      <c r="D10228" s="1">
        <v>44411</v>
      </c>
      <c r="E10228">
        <v>1</v>
      </c>
      <c r="F10228" t="s">
        <v>61</v>
      </c>
      <c r="G10228" t="str">
        <f>"14-I01-05"</f>
        <v>14-I01-05</v>
      </c>
      <c r="H10228">
        <v>0.80030000000000001</v>
      </c>
      <c r="I10228" t="s">
        <v>6959</v>
      </c>
      <c r="J10228" t="s">
        <v>59</v>
      </c>
      <c r="K10228" t="str">
        <f>"6F3"</f>
        <v>6F3</v>
      </c>
      <c r="L10228" t="s">
        <v>15</v>
      </c>
    </row>
    <row r="10229" spans="1:12" x14ac:dyDescent="0.25">
      <c r="A10229" t="str">
        <f>"7555155355"</f>
        <v>7555155355</v>
      </c>
      <c r="B10229" t="str">
        <f t="shared" si="433"/>
        <v>89301000</v>
      </c>
      <c r="C10229" s="1">
        <v>44532</v>
      </c>
      <c r="D10229" s="1">
        <v>44539</v>
      </c>
      <c r="E10229">
        <v>1</v>
      </c>
      <c r="F10229" t="s">
        <v>217</v>
      </c>
      <c r="G10229" t="str">
        <f>"04-K02-03"</f>
        <v>04-K02-03</v>
      </c>
      <c r="H10229">
        <v>1.2859</v>
      </c>
      <c r="I10229" t="s">
        <v>6960</v>
      </c>
      <c r="J10229" t="s">
        <v>14</v>
      </c>
      <c r="K10229" t="str">
        <f>"1F1"</f>
        <v>1F1</v>
      </c>
      <c r="L10229" t="s">
        <v>15</v>
      </c>
    </row>
    <row r="10230" spans="1:12" x14ac:dyDescent="0.25">
      <c r="A10230" t="str">
        <f>"7555195681"</f>
        <v>7555195681</v>
      </c>
      <c r="B10230" t="str">
        <f t="shared" si="433"/>
        <v>89301000</v>
      </c>
      <c r="C10230" s="1">
        <v>44362</v>
      </c>
      <c r="D10230" s="1">
        <v>44365</v>
      </c>
      <c r="E10230">
        <v>1</v>
      </c>
      <c r="F10230" t="s">
        <v>2495</v>
      </c>
      <c r="G10230" t="str">
        <f>"13-I11-03"</f>
        <v>13-I11-03</v>
      </c>
      <c r="H10230">
        <v>1.3809</v>
      </c>
      <c r="J10230" t="s">
        <v>24</v>
      </c>
      <c r="K10230" t="str">
        <f>"6F3"</f>
        <v>6F3</v>
      </c>
      <c r="L10230" t="s">
        <v>15</v>
      </c>
    </row>
    <row r="10231" spans="1:12" x14ac:dyDescent="0.25">
      <c r="A10231" t="str">
        <f>"7555215360"</f>
        <v>7555215360</v>
      </c>
      <c r="B10231" t="str">
        <f t="shared" si="433"/>
        <v>89301000</v>
      </c>
      <c r="C10231" s="1">
        <v>44530</v>
      </c>
      <c r="D10231" s="1">
        <v>44533</v>
      </c>
      <c r="E10231">
        <v>1</v>
      </c>
      <c r="F10231" t="s">
        <v>194</v>
      </c>
      <c r="G10231" t="str">
        <f>"01-K07-02"</f>
        <v>01-K07-02</v>
      </c>
      <c r="H10231">
        <v>0.59279999999999999</v>
      </c>
      <c r="I10231" t="s">
        <v>6961</v>
      </c>
      <c r="J10231" t="s">
        <v>14</v>
      </c>
      <c r="K10231" t="str">
        <f>"2F9"</f>
        <v>2F9</v>
      </c>
      <c r="L10231" t="s">
        <v>15</v>
      </c>
    </row>
    <row r="10232" spans="1:12" x14ac:dyDescent="0.25">
      <c r="A10232" t="str">
        <f>"7555215767"</f>
        <v>7555215767</v>
      </c>
      <c r="B10232" t="str">
        <f t="shared" si="433"/>
        <v>89301000</v>
      </c>
      <c r="C10232" s="1">
        <v>44510</v>
      </c>
      <c r="D10232" s="1">
        <v>44523</v>
      </c>
      <c r="E10232">
        <v>1</v>
      </c>
      <c r="F10232" t="s">
        <v>600</v>
      </c>
      <c r="G10232" t="str">
        <f>"01-I06-02"</f>
        <v>01-I06-02</v>
      </c>
      <c r="H10232">
        <v>5.1687000000000003</v>
      </c>
      <c r="I10232" t="s">
        <v>2500</v>
      </c>
      <c r="J10232" t="s">
        <v>17</v>
      </c>
      <c r="K10232" t="str">
        <f>"5F6"</f>
        <v>5F6</v>
      </c>
      <c r="L10232" t="s">
        <v>15</v>
      </c>
    </row>
    <row r="10233" spans="1:12" x14ac:dyDescent="0.25">
      <c r="A10233" t="str">
        <f>"7555305307"</f>
        <v>7555305307</v>
      </c>
      <c r="B10233" t="str">
        <f t="shared" si="433"/>
        <v>89301000</v>
      </c>
      <c r="C10233" s="1">
        <v>44242</v>
      </c>
      <c r="D10233" s="1">
        <v>44243</v>
      </c>
      <c r="E10233">
        <v>1</v>
      </c>
      <c r="F10233" t="s">
        <v>445</v>
      </c>
      <c r="G10233" t="str">
        <f>"08-I17-02"</f>
        <v>08-I17-02</v>
      </c>
      <c r="H10233">
        <v>0.98309999999999997</v>
      </c>
      <c r="I10233" t="s">
        <v>21</v>
      </c>
      <c r="J10233" t="s">
        <v>14</v>
      </c>
      <c r="K10233" t="str">
        <f>"5F3"</f>
        <v>5F3</v>
      </c>
      <c r="L10233" t="s">
        <v>15</v>
      </c>
    </row>
    <row r="10234" spans="1:12" x14ac:dyDescent="0.25">
      <c r="A10234" t="str">
        <f>"7556085768"</f>
        <v>7556085768</v>
      </c>
      <c r="B10234" t="str">
        <f t="shared" si="433"/>
        <v>89301000</v>
      </c>
      <c r="C10234" s="1">
        <v>44304</v>
      </c>
      <c r="D10234" s="1">
        <v>44310</v>
      </c>
      <c r="E10234">
        <v>7</v>
      </c>
      <c r="F10234" t="s">
        <v>38</v>
      </c>
      <c r="G10234" t="str">
        <f>"05-I03-02"</f>
        <v>05-I03-02</v>
      </c>
      <c r="H10234">
        <v>17.600200000000001</v>
      </c>
      <c r="I10234" t="s">
        <v>6962</v>
      </c>
      <c r="J10234" t="s">
        <v>14</v>
      </c>
      <c r="K10234" t="str">
        <f>"5T5"</f>
        <v>5T5</v>
      </c>
      <c r="L10234" t="s">
        <v>15</v>
      </c>
    </row>
    <row r="10235" spans="1:12" x14ac:dyDescent="0.25">
      <c r="A10235" t="str">
        <f>"7556115754"</f>
        <v>7556115754</v>
      </c>
      <c r="B10235" t="str">
        <f t="shared" si="433"/>
        <v>89301000</v>
      </c>
      <c r="C10235" s="1">
        <v>44361</v>
      </c>
      <c r="D10235" s="1">
        <v>44363</v>
      </c>
      <c r="E10235">
        <v>1</v>
      </c>
      <c r="F10235" t="s">
        <v>84</v>
      </c>
      <c r="G10235" t="str">
        <f>"09-I09-05"</f>
        <v>09-I09-05</v>
      </c>
      <c r="H10235">
        <v>0.47210000000000002</v>
      </c>
      <c r="J10235" t="s">
        <v>17</v>
      </c>
      <c r="K10235" t="str">
        <f>"5F1"</f>
        <v>5F1</v>
      </c>
      <c r="L10235" t="s">
        <v>15</v>
      </c>
    </row>
    <row r="10236" spans="1:12" x14ac:dyDescent="0.25">
      <c r="A10236" t="str">
        <f>"7556125324"</f>
        <v>7556125324</v>
      </c>
      <c r="B10236" t="str">
        <f t="shared" si="433"/>
        <v>89301000</v>
      </c>
      <c r="C10236" s="1">
        <v>44319</v>
      </c>
      <c r="D10236" s="1">
        <v>44322</v>
      </c>
      <c r="E10236">
        <v>1</v>
      </c>
      <c r="F10236" t="s">
        <v>6963</v>
      </c>
      <c r="G10236" t="str">
        <f>"01-K18-04"</f>
        <v>01-K18-04</v>
      </c>
      <c r="H10236">
        <v>0.49890000000000001</v>
      </c>
      <c r="I10236" t="s">
        <v>6964</v>
      </c>
      <c r="J10236" t="s">
        <v>14</v>
      </c>
      <c r="K10236" t="str">
        <f>"2F9"</f>
        <v>2F9</v>
      </c>
      <c r="L10236" t="s">
        <v>15</v>
      </c>
    </row>
    <row r="10237" spans="1:12" x14ac:dyDescent="0.25">
      <c r="A10237" t="str">
        <f>"7556185384"</f>
        <v>7556185384</v>
      </c>
      <c r="B10237" t="str">
        <f t="shared" si="433"/>
        <v>89301000</v>
      </c>
      <c r="C10237" s="1">
        <v>44535</v>
      </c>
      <c r="D10237" s="1">
        <v>44538</v>
      </c>
      <c r="E10237">
        <v>1</v>
      </c>
      <c r="F10237" t="s">
        <v>81</v>
      </c>
      <c r="G10237" t="str">
        <f>"10-I13-02"</f>
        <v>10-I13-02</v>
      </c>
      <c r="H10237">
        <v>1.1468</v>
      </c>
      <c r="J10237" t="s">
        <v>24</v>
      </c>
      <c r="K10237" t="str">
        <f>"5F1"</f>
        <v>5F1</v>
      </c>
      <c r="L10237" t="s">
        <v>15</v>
      </c>
    </row>
    <row r="10238" spans="1:12" x14ac:dyDescent="0.25">
      <c r="A10238" t="str">
        <f>"7556264892"</f>
        <v>7556264892</v>
      </c>
      <c r="B10238" t="str">
        <f t="shared" si="433"/>
        <v>89301000</v>
      </c>
      <c r="C10238" s="1">
        <v>44378</v>
      </c>
      <c r="D10238" s="1">
        <v>44384</v>
      </c>
      <c r="E10238">
        <v>1</v>
      </c>
      <c r="F10238" t="s">
        <v>6965</v>
      </c>
      <c r="G10238" t="str">
        <f>"09-I13-03"</f>
        <v>09-I13-03</v>
      </c>
      <c r="H10238">
        <v>0.77380000000000004</v>
      </c>
      <c r="I10238" t="s">
        <v>6966</v>
      </c>
      <c r="J10238" t="s">
        <v>14</v>
      </c>
      <c r="K10238" t="str">
        <f>"6F1"</f>
        <v>6F1</v>
      </c>
      <c r="L10238" t="s">
        <v>15</v>
      </c>
    </row>
    <row r="10239" spans="1:12" x14ac:dyDescent="0.25">
      <c r="A10239" t="str">
        <f>"7556285363"</f>
        <v>7556285363</v>
      </c>
      <c r="B10239" t="str">
        <f t="shared" si="433"/>
        <v>89301000</v>
      </c>
      <c r="C10239" s="1">
        <v>44551</v>
      </c>
      <c r="D10239" s="1">
        <v>44554</v>
      </c>
      <c r="E10239">
        <v>1</v>
      </c>
      <c r="F10239" t="s">
        <v>2120</v>
      </c>
      <c r="G10239" t="str">
        <f>"06-K07-02"</f>
        <v>06-K07-02</v>
      </c>
      <c r="H10239">
        <v>0.44419999999999998</v>
      </c>
      <c r="J10239" t="s">
        <v>14</v>
      </c>
      <c r="K10239" t="str">
        <f>"5F1"</f>
        <v>5F1</v>
      </c>
      <c r="L10239" t="s">
        <v>15</v>
      </c>
    </row>
    <row r="10240" spans="1:12" x14ac:dyDescent="0.25">
      <c r="A10240" t="str">
        <f>"7557015389"</f>
        <v>7557015389</v>
      </c>
      <c r="B10240" t="str">
        <f t="shared" si="433"/>
        <v>89301000</v>
      </c>
      <c r="C10240" s="1">
        <v>44300</v>
      </c>
      <c r="D10240" s="1">
        <v>44302</v>
      </c>
      <c r="E10240">
        <v>1</v>
      </c>
      <c r="F10240" t="s">
        <v>6967</v>
      </c>
      <c r="G10240" t="str">
        <f>"10-K04-04"</f>
        <v>10-K04-04</v>
      </c>
      <c r="H10240">
        <v>0.56330000000000002</v>
      </c>
      <c r="I10240" t="s">
        <v>6968</v>
      </c>
      <c r="J10240" t="s">
        <v>14</v>
      </c>
      <c r="K10240" t="str">
        <f>"1F1"</f>
        <v>1F1</v>
      </c>
      <c r="L10240" t="s">
        <v>15</v>
      </c>
    </row>
    <row r="10241" spans="1:12" x14ac:dyDescent="0.25">
      <c r="A10241" t="str">
        <f>"7557015389"</f>
        <v>7557015389</v>
      </c>
      <c r="B10241" t="str">
        <f t="shared" si="433"/>
        <v>89301000</v>
      </c>
      <c r="C10241" s="1">
        <v>44265</v>
      </c>
      <c r="D10241" s="1">
        <v>44270</v>
      </c>
      <c r="E10241">
        <v>1</v>
      </c>
      <c r="F10241" t="s">
        <v>2550</v>
      </c>
      <c r="G10241" t="str">
        <f>"10-K04-04"</f>
        <v>10-K04-04</v>
      </c>
      <c r="H10241">
        <v>0.56330000000000002</v>
      </c>
      <c r="I10241" t="s">
        <v>6969</v>
      </c>
      <c r="J10241" t="s">
        <v>14</v>
      </c>
      <c r="K10241" t="str">
        <f>"1F1"</f>
        <v>1F1</v>
      </c>
      <c r="L10241" t="s">
        <v>15</v>
      </c>
    </row>
    <row r="10242" spans="1:12" x14ac:dyDescent="0.25">
      <c r="A10242" t="str">
        <f>"7557085360"</f>
        <v>7557085360</v>
      </c>
      <c r="B10242" t="str">
        <f t="shared" si="433"/>
        <v>89301000</v>
      </c>
      <c r="C10242" s="1">
        <v>44543</v>
      </c>
      <c r="D10242" s="1">
        <v>44547</v>
      </c>
      <c r="E10242">
        <v>1</v>
      </c>
      <c r="F10242" t="s">
        <v>1553</v>
      </c>
      <c r="G10242" t="str">
        <f>"04-K05-03"</f>
        <v>04-K05-03</v>
      </c>
      <c r="H10242">
        <v>0.74980000000000002</v>
      </c>
      <c r="I10242" t="s">
        <v>1586</v>
      </c>
      <c r="J10242" t="s">
        <v>14</v>
      </c>
      <c r="K10242" t="str">
        <f>"1F1"</f>
        <v>1F1</v>
      </c>
      <c r="L10242" t="s">
        <v>15</v>
      </c>
    </row>
    <row r="10243" spans="1:12" x14ac:dyDescent="0.25">
      <c r="A10243" t="str">
        <f>"7557114499"</f>
        <v>7557114499</v>
      </c>
      <c r="B10243" t="str">
        <f t="shared" si="433"/>
        <v>89301000</v>
      </c>
      <c r="C10243" s="1">
        <v>44298</v>
      </c>
      <c r="D10243" s="1">
        <v>44300</v>
      </c>
      <c r="E10243">
        <v>1</v>
      </c>
      <c r="F10243" t="s">
        <v>4491</v>
      </c>
      <c r="G10243" t="str">
        <f>"01-K01-01"</f>
        <v>01-K01-01</v>
      </c>
      <c r="H10243">
        <v>0.84930000000000005</v>
      </c>
      <c r="I10243" t="s">
        <v>6970</v>
      </c>
      <c r="J10243" t="s">
        <v>14</v>
      </c>
      <c r="K10243" t="str">
        <f>"2F9"</f>
        <v>2F9</v>
      </c>
      <c r="L10243" t="s">
        <v>15</v>
      </c>
    </row>
    <row r="10244" spans="1:12" x14ac:dyDescent="0.25">
      <c r="A10244" t="str">
        <f>"7557115313"</f>
        <v>7557115313</v>
      </c>
      <c r="B10244" t="str">
        <f t="shared" si="433"/>
        <v>89301000</v>
      </c>
      <c r="C10244" s="1">
        <v>44460</v>
      </c>
      <c r="D10244" s="1">
        <v>44462</v>
      </c>
      <c r="E10244">
        <v>1</v>
      </c>
      <c r="F10244" t="s">
        <v>6971</v>
      </c>
      <c r="G10244" t="str">
        <f>"08-K03-03"</f>
        <v>08-K03-03</v>
      </c>
      <c r="H10244">
        <v>0.80700000000000005</v>
      </c>
      <c r="J10244" t="s">
        <v>14</v>
      </c>
      <c r="K10244" t="str">
        <f>"5F3"</f>
        <v>5F3</v>
      </c>
      <c r="L10244" t="s">
        <v>15</v>
      </c>
    </row>
    <row r="10245" spans="1:12" x14ac:dyDescent="0.25">
      <c r="A10245" t="str">
        <f>"7557115313"</f>
        <v>7557115313</v>
      </c>
      <c r="B10245" t="str">
        <f t="shared" si="433"/>
        <v>89301000</v>
      </c>
      <c r="C10245" s="1">
        <v>44469</v>
      </c>
      <c r="D10245" s="1">
        <v>44473</v>
      </c>
      <c r="E10245">
        <v>1</v>
      </c>
      <c r="F10245" t="s">
        <v>6972</v>
      </c>
      <c r="G10245" t="str">
        <f>"08-I23-01"</f>
        <v>08-I23-01</v>
      </c>
      <c r="H10245">
        <v>1.7343</v>
      </c>
      <c r="I10245" t="s">
        <v>6973</v>
      </c>
      <c r="J10245" t="s">
        <v>17</v>
      </c>
      <c r="K10245" t="str">
        <f>"5F3"</f>
        <v>5F3</v>
      </c>
      <c r="L10245" t="s">
        <v>15</v>
      </c>
    </row>
    <row r="10246" spans="1:12" x14ac:dyDescent="0.25">
      <c r="A10246" t="str">
        <f>"7557205304"</f>
        <v>7557205304</v>
      </c>
      <c r="B10246" t="str">
        <f t="shared" si="433"/>
        <v>89301000</v>
      </c>
      <c r="C10246" s="1">
        <v>44329</v>
      </c>
      <c r="D10246" s="1">
        <v>44332</v>
      </c>
      <c r="E10246">
        <v>1</v>
      </c>
      <c r="F10246" t="s">
        <v>1551</v>
      </c>
      <c r="G10246" t="str">
        <f>"09-I06-04"</f>
        <v>09-I06-04</v>
      </c>
      <c r="H10246">
        <v>0.98829999999999996</v>
      </c>
      <c r="J10246" t="s">
        <v>17</v>
      </c>
      <c r="K10246" t="str">
        <f>"5F1"</f>
        <v>5F1</v>
      </c>
      <c r="L10246" t="s">
        <v>15</v>
      </c>
    </row>
    <row r="10247" spans="1:12" x14ac:dyDescent="0.25">
      <c r="A10247" t="str">
        <f>"7558045352"</f>
        <v>7558045352</v>
      </c>
      <c r="B10247" t="str">
        <f t="shared" si="433"/>
        <v>89301000</v>
      </c>
      <c r="C10247" s="1">
        <v>44494</v>
      </c>
      <c r="D10247" s="1">
        <v>44496</v>
      </c>
      <c r="E10247">
        <v>1</v>
      </c>
      <c r="F10247" t="s">
        <v>173</v>
      </c>
      <c r="G10247" t="str">
        <f>"08-I32-02"</f>
        <v>08-I32-02</v>
      </c>
      <c r="H10247">
        <v>0.4143</v>
      </c>
      <c r="J10247" t="s">
        <v>14</v>
      </c>
      <c r="K10247" t="str">
        <f>"5F3"</f>
        <v>5F3</v>
      </c>
      <c r="L10247" t="s">
        <v>15</v>
      </c>
    </row>
    <row r="10248" spans="1:12" x14ac:dyDescent="0.25">
      <c r="A10248" t="str">
        <f>"7558045352"</f>
        <v>7558045352</v>
      </c>
      <c r="B10248" t="str">
        <f t="shared" si="433"/>
        <v>89301000</v>
      </c>
      <c r="C10248" s="1">
        <v>44360</v>
      </c>
      <c r="D10248" s="1">
        <v>44362</v>
      </c>
      <c r="E10248">
        <v>1</v>
      </c>
      <c r="F10248" t="s">
        <v>6974</v>
      </c>
      <c r="G10248" t="str">
        <f>"08-I24-01"</f>
        <v>08-I24-01</v>
      </c>
      <c r="H10248">
        <v>1.0648</v>
      </c>
      <c r="J10248" t="s">
        <v>14</v>
      </c>
      <c r="K10248" t="str">
        <f>"5F3"</f>
        <v>5F3</v>
      </c>
      <c r="L10248" t="s">
        <v>15</v>
      </c>
    </row>
    <row r="10249" spans="1:12" x14ac:dyDescent="0.25">
      <c r="A10249" t="str">
        <f>"7558045352"</f>
        <v>7558045352</v>
      </c>
      <c r="B10249" t="str">
        <f t="shared" si="433"/>
        <v>89301000</v>
      </c>
      <c r="C10249" s="1">
        <v>44298</v>
      </c>
      <c r="D10249" s="1">
        <v>44301</v>
      </c>
      <c r="E10249">
        <v>1</v>
      </c>
      <c r="F10249" t="s">
        <v>457</v>
      </c>
      <c r="G10249" t="str">
        <f>"08-I16-04"</f>
        <v>08-I16-04</v>
      </c>
      <c r="H10249">
        <v>0.92159999999999997</v>
      </c>
      <c r="I10249" t="s">
        <v>6975</v>
      </c>
      <c r="J10249" t="s">
        <v>17</v>
      </c>
      <c r="K10249" t="str">
        <f>"5F3"</f>
        <v>5F3</v>
      </c>
      <c r="L10249" t="s">
        <v>15</v>
      </c>
    </row>
    <row r="10250" spans="1:12" x14ac:dyDescent="0.25">
      <c r="A10250" t="str">
        <f>"7558045352"</f>
        <v>7558045352</v>
      </c>
      <c r="B10250" t="str">
        <f t="shared" si="433"/>
        <v>89301000</v>
      </c>
      <c r="C10250" s="1">
        <v>44452</v>
      </c>
      <c r="D10250" s="1">
        <v>44470</v>
      </c>
      <c r="E10250">
        <v>1</v>
      </c>
      <c r="F10250" t="s">
        <v>109</v>
      </c>
      <c r="G10250" t="str">
        <f>"24-M08-02"</f>
        <v>24-M08-02</v>
      </c>
      <c r="H10250">
        <v>2.3557000000000001</v>
      </c>
      <c r="I10250" t="s">
        <v>6976</v>
      </c>
      <c r="J10250" t="s">
        <v>14</v>
      </c>
      <c r="K10250" t="str">
        <f>"2F1"</f>
        <v>2F1</v>
      </c>
      <c r="L10250" t="s">
        <v>15</v>
      </c>
    </row>
    <row r="10251" spans="1:12" x14ac:dyDescent="0.25">
      <c r="A10251" t="str">
        <f>"7558095325"</f>
        <v>7558095325</v>
      </c>
      <c r="B10251" t="str">
        <f t="shared" si="433"/>
        <v>89301000</v>
      </c>
      <c r="C10251" s="1">
        <v>44201</v>
      </c>
      <c r="D10251" s="1">
        <v>44202</v>
      </c>
      <c r="E10251">
        <v>1</v>
      </c>
      <c r="F10251" t="s">
        <v>3852</v>
      </c>
      <c r="G10251" t="str">
        <f>"13-I19-00"</f>
        <v>13-I19-00</v>
      </c>
      <c r="H10251">
        <v>0.24679999999999999</v>
      </c>
      <c r="J10251" t="s">
        <v>14</v>
      </c>
      <c r="K10251" t="str">
        <f>"6F3"</f>
        <v>6F3</v>
      </c>
      <c r="L10251" t="s">
        <v>15</v>
      </c>
    </row>
    <row r="10252" spans="1:12" x14ac:dyDescent="0.25">
      <c r="A10252" t="str">
        <f>"7558113827"</f>
        <v>7558113827</v>
      </c>
      <c r="B10252" t="str">
        <f t="shared" si="433"/>
        <v>89301000</v>
      </c>
      <c r="C10252" s="1">
        <v>44375</v>
      </c>
      <c r="D10252" s="1">
        <v>44378</v>
      </c>
      <c r="E10252">
        <v>1</v>
      </c>
      <c r="F10252" t="s">
        <v>1690</v>
      </c>
      <c r="G10252" t="str">
        <f>"07-I10-06"</f>
        <v>07-I10-06</v>
      </c>
      <c r="H10252">
        <v>0.9728</v>
      </c>
      <c r="I10252" t="s">
        <v>2236</v>
      </c>
      <c r="J10252" t="s">
        <v>17</v>
      </c>
      <c r="K10252" t="str">
        <f>"5F1"</f>
        <v>5F1</v>
      </c>
      <c r="L10252" t="s">
        <v>15</v>
      </c>
    </row>
    <row r="10253" spans="1:12" x14ac:dyDescent="0.25">
      <c r="A10253" t="str">
        <f>"7558185811"</f>
        <v>7558185811</v>
      </c>
      <c r="B10253" t="str">
        <f t="shared" si="433"/>
        <v>89301000</v>
      </c>
      <c r="C10253" s="1">
        <v>44541</v>
      </c>
      <c r="D10253" s="1">
        <v>44545</v>
      </c>
      <c r="E10253">
        <v>1</v>
      </c>
      <c r="F10253" t="s">
        <v>217</v>
      </c>
      <c r="G10253" t="str">
        <f>"04-K02-04"</f>
        <v>04-K02-04</v>
      </c>
      <c r="H10253">
        <v>0.82469999999999999</v>
      </c>
      <c r="I10253" t="s">
        <v>274</v>
      </c>
      <c r="J10253" t="s">
        <v>14</v>
      </c>
      <c r="K10253" t="str">
        <f>"1F1"</f>
        <v>1F1</v>
      </c>
      <c r="L10253" t="s">
        <v>15</v>
      </c>
    </row>
    <row r="10254" spans="1:12" x14ac:dyDescent="0.25">
      <c r="A10254" t="str">
        <f>"7558225323"</f>
        <v>7558225323</v>
      </c>
      <c r="B10254" t="str">
        <f t="shared" si="433"/>
        <v>89301000</v>
      </c>
      <c r="C10254" s="1">
        <v>44523</v>
      </c>
      <c r="D10254" s="1">
        <v>44525</v>
      </c>
      <c r="E10254">
        <v>1</v>
      </c>
      <c r="F10254" t="s">
        <v>29</v>
      </c>
      <c r="G10254" t="str">
        <f>"08-M03-05"</f>
        <v>08-M03-05</v>
      </c>
      <c r="H10254">
        <v>0.51759999999999995</v>
      </c>
      <c r="I10254" t="s">
        <v>381</v>
      </c>
      <c r="J10254" t="s">
        <v>14</v>
      </c>
      <c r="K10254" t="str">
        <f>"5F3"</f>
        <v>5F3</v>
      </c>
      <c r="L10254" t="s">
        <v>15</v>
      </c>
    </row>
    <row r="10255" spans="1:12" x14ac:dyDescent="0.25">
      <c r="A10255" t="str">
        <f>"7559055878"</f>
        <v>7559055878</v>
      </c>
      <c r="B10255" t="str">
        <f t="shared" si="433"/>
        <v>89301000</v>
      </c>
      <c r="C10255" s="1">
        <v>44434</v>
      </c>
      <c r="D10255" s="1">
        <v>44438</v>
      </c>
      <c r="E10255">
        <v>1</v>
      </c>
      <c r="F10255" t="s">
        <v>2407</v>
      </c>
      <c r="G10255" t="str">
        <f>"08-I22-02"</f>
        <v>08-I22-02</v>
      </c>
      <c r="H10255">
        <v>1.1049</v>
      </c>
      <c r="J10255" t="s">
        <v>17</v>
      </c>
      <c r="K10255" t="str">
        <f>"6F6"</f>
        <v>6F6</v>
      </c>
      <c r="L10255" t="s">
        <v>15</v>
      </c>
    </row>
    <row r="10256" spans="1:12" x14ac:dyDescent="0.25">
      <c r="A10256" t="str">
        <f>"7559095753"</f>
        <v>7559095753</v>
      </c>
      <c r="B10256" t="str">
        <f t="shared" si="433"/>
        <v>89301000</v>
      </c>
      <c r="C10256" s="1">
        <v>44491</v>
      </c>
      <c r="D10256" s="1">
        <v>44494</v>
      </c>
      <c r="E10256">
        <v>1</v>
      </c>
      <c r="F10256" t="s">
        <v>2311</v>
      </c>
      <c r="G10256" t="str">
        <f>"08-I03-08"</f>
        <v>08-I03-08</v>
      </c>
      <c r="H10256">
        <v>2.0605000000000002</v>
      </c>
      <c r="I10256" t="s">
        <v>489</v>
      </c>
      <c r="J10256" t="s">
        <v>17</v>
      </c>
      <c r="K10256" t="str">
        <f>"5F6"</f>
        <v>5F6</v>
      </c>
      <c r="L10256" t="s">
        <v>15</v>
      </c>
    </row>
    <row r="10257" spans="1:12" x14ac:dyDescent="0.25">
      <c r="A10257" t="str">
        <f>"7559155725"</f>
        <v>7559155725</v>
      </c>
      <c r="B10257" t="str">
        <f t="shared" si="433"/>
        <v>89301000</v>
      </c>
      <c r="C10257" s="1">
        <v>44442</v>
      </c>
      <c r="D10257" s="1">
        <v>44443</v>
      </c>
      <c r="E10257">
        <v>1</v>
      </c>
      <c r="F10257" t="s">
        <v>186</v>
      </c>
      <c r="G10257" t="str">
        <f>"05-M05-03"</f>
        <v>05-M05-03</v>
      </c>
      <c r="H10257">
        <v>1.9991000000000001</v>
      </c>
      <c r="J10257" t="s">
        <v>24</v>
      </c>
      <c r="K10257" t="str">
        <f>"1F1"</f>
        <v>1F1</v>
      </c>
      <c r="L10257" t="s">
        <v>15</v>
      </c>
    </row>
    <row r="10258" spans="1:12" x14ac:dyDescent="0.25">
      <c r="A10258" t="str">
        <f>"7559294468"</f>
        <v>7559294468</v>
      </c>
      <c r="B10258" t="str">
        <f t="shared" si="433"/>
        <v>89301000</v>
      </c>
      <c r="C10258" s="1">
        <v>44337</v>
      </c>
      <c r="D10258" s="1">
        <v>44344</v>
      </c>
      <c r="E10258">
        <v>1</v>
      </c>
      <c r="F10258" t="s">
        <v>5226</v>
      </c>
      <c r="G10258" t="str">
        <f>"20-K03-03"</f>
        <v>20-K03-03</v>
      </c>
      <c r="H10258">
        <v>1.0109999999999999</v>
      </c>
      <c r="I10258" t="s">
        <v>6977</v>
      </c>
      <c r="J10258" t="s">
        <v>14</v>
      </c>
      <c r="K10258" t="str">
        <f>"3F5"</f>
        <v>3F5</v>
      </c>
      <c r="L10258" t="s">
        <v>15</v>
      </c>
    </row>
    <row r="10259" spans="1:12" x14ac:dyDescent="0.25">
      <c r="A10259" t="str">
        <f>"7560015320"</f>
        <v>7560015320</v>
      </c>
      <c r="B10259" t="str">
        <f t="shared" si="433"/>
        <v>89301000</v>
      </c>
      <c r="C10259" s="1">
        <v>44202</v>
      </c>
      <c r="D10259" s="1">
        <v>44206</v>
      </c>
      <c r="E10259">
        <v>1</v>
      </c>
      <c r="F10259" t="s">
        <v>81</v>
      </c>
      <c r="G10259" t="str">
        <f>"10-I13-02"</f>
        <v>10-I13-02</v>
      </c>
      <c r="H10259">
        <v>1.1468</v>
      </c>
      <c r="J10259" t="s">
        <v>24</v>
      </c>
      <c r="K10259" t="str">
        <f>"5F5"</f>
        <v>5F5</v>
      </c>
      <c r="L10259" t="s">
        <v>15</v>
      </c>
    </row>
    <row r="10260" spans="1:12" x14ac:dyDescent="0.25">
      <c r="A10260" t="str">
        <f>"7560072806"</f>
        <v>7560072806</v>
      </c>
      <c r="B10260" t="str">
        <f t="shared" si="433"/>
        <v>89301000</v>
      </c>
      <c r="C10260" s="1">
        <v>44329</v>
      </c>
      <c r="D10260" s="1">
        <v>44331</v>
      </c>
      <c r="E10260">
        <v>1</v>
      </c>
      <c r="F10260" t="s">
        <v>84</v>
      </c>
      <c r="G10260" t="str">
        <f>"09-I09-05"</f>
        <v>09-I09-05</v>
      </c>
      <c r="H10260">
        <v>0.47210000000000002</v>
      </c>
      <c r="J10260" t="s">
        <v>17</v>
      </c>
      <c r="K10260" t="str">
        <f>"5F1"</f>
        <v>5F1</v>
      </c>
      <c r="L10260" t="s">
        <v>15</v>
      </c>
    </row>
    <row r="10261" spans="1:12" x14ac:dyDescent="0.25">
      <c r="A10261" t="str">
        <f>"7560175304"</f>
        <v>7560175304</v>
      </c>
      <c r="B10261" t="str">
        <f t="shared" si="433"/>
        <v>89301000</v>
      </c>
      <c r="C10261" s="1">
        <v>44531</v>
      </c>
      <c r="D10261" s="1">
        <v>44538</v>
      </c>
      <c r="E10261">
        <v>1</v>
      </c>
      <c r="F10261" t="s">
        <v>3678</v>
      </c>
      <c r="G10261" t="str">
        <f>"05-K13-01"</f>
        <v>05-K13-01</v>
      </c>
      <c r="H10261">
        <v>1.2979000000000001</v>
      </c>
      <c r="I10261" t="s">
        <v>3342</v>
      </c>
      <c r="J10261" t="s">
        <v>14</v>
      </c>
      <c r="K10261" t="str">
        <f>"1F1"</f>
        <v>1F1</v>
      </c>
      <c r="L10261" t="s">
        <v>15</v>
      </c>
    </row>
    <row r="10262" spans="1:12" x14ac:dyDescent="0.25">
      <c r="A10262" t="str">
        <f>"7560204410"</f>
        <v>7560204410</v>
      </c>
      <c r="B10262" t="str">
        <f t="shared" si="433"/>
        <v>89301000</v>
      </c>
      <c r="C10262" s="1">
        <v>44354</v>
      </c>
      <c r="D10262" s="1">
        <v>44358</v>
      </c>
      <c r="E10262">
        <v>1</v>
      </c>
      <c r="F10262" t="s">
        <v>2495</v>
      </c>
      <c r="G10262" t="str">
        <f>"13-I11-03"</f>
        <v>13-I11-03</v>
      </c>
      <c r="H10262">
        <v>1.3809</v>
      </c>
      <c r="J10262" t="s">
        <v>24</v>
      </c>
      <c r="K10262" t="str">
        <f>"6F3"</f>
        <v>6F3</v>
      </c>
      <c r="L10262" t="s">
        <v>15</v>
      </c>
    </row>
    <row r="10263" spans="1:12" x14ac:dyDescent="0.25">
      <c r="A10263" t="str">
        <f>"7560211131"</f>
        <v>7560211131</v>
      </c>
      <c r="B10263" t="str">
        <f t="shared" si="433"/>
        <v>89301000</v>
      </c>
      <c r="C10263" s="1">
        <v>44518</v>
      </c>
      <c r="D10263" s="1">
        <v>44523</v>
      </c>
      <c r="E10263">
        <v>1</v>
      </c>
      <c r="F10263" t="s">
        <v>994</v>
      </c>
      <c r="G10263" t="str">
        <f>"01-I07-03"</f>
        <v>01-I07-03</v>
      </c>
      <c r="H10263">
        <v>3.2458</v>
      </c>
      <c r="J10263" t="s">
        <v>17</v>
      </c>
      <c r="K10263" t="str">
        <f>"5F6"</f>
        <v>5F6</v>
      </c>
      <c r="L10263" t="s">
        <v>15</v>
      </c>
    </row>
    <row r="10264" spans="1:12" x14ac:dyDescent="0.25">
      <c r="A10264" t="str">
        <f>"7560211131"</f>
        <v>7560211131</v>
      </c>
      <c r="B10264" t="str">
        <f t="shared" si="433"/>
        <v>89301000</v>
      </c>
      <c r="C10264" s="1">
        <v>44455</v>
      </c>
      <c r="D10264" s="1">
        <v>44459</v>
      </c>
      <c r="E10264">
        <v>1</v>
      </c>
      <c r="F10264" t="s">
        <v>377</v>
      </c>
      <c r="G10264" t="str">
        <f>"01-I06-05"</f>
        <v>01-I06-05</v>
      </c>
      <c r="H10264">
        <v>2.6736</v>
      </c>
      <c r="J10264" t="s">
        <v>17</v>
      </c>
      <c r="K10264" t="str">
        <f>"5F6"</f>
        <v>5F6</v>
      </c>
      <c r="L10264" t="s">
        <v>15</v>
      </c>
    </row>
    <row r="10265" spans="1:12" x14ac:dyDescent="0.25">
      <c r="A10265" t="str">
        <f>"7561145350"</f>
        <v>7561145350</v>
      </c>
      <c r="B10265" t="str">
        <f t="shared" si="433"/>
        <v>89301000</v>
      </c>
      <c r="C10265" s="1">
        <v>44368</v>
      </c>
      <c r="D10265" s="1">
        <v>44370</v>
      </c>
      <c r="E10265">
        <v>1</v>
      </c>
      <c r="F10265" t="s">
        <v>5313</v>
      </c>
      <c r="G10265" t="str">
        <f>"09-I06-04"</f>
        <v>09-I06-04</v>
      </c>
      <c r="H10265">
        <v>0.98829999999999996</v>
      </c>
      <c r="J10265" t="s">
        <v>17</v>
      </c>
      <c r="K10265" t="str">
        <f>"5F1"</f>
        <v>5F1</v>
      </c>
      <c r="L10265" t="s">
        <v>15</v>
      </c>
    </row>
    <row r="10266" spans="1:12" x14ac:dyDescent="0.25">
      <c r="A10266" t="str">
        <f>"7561185324"</f>
        <v>7561185324</v>
      </c>
      <c r="B10266" t="str">
        <f t="shared" si="433"/>
        <v>89301000</v>
      </c>
      <c r="C10266" s="1">
        <v>44462</v>
      </c>
      <c r="D10266" s="1">
        <v>44463</v>
      </c>
      <c r="E10266">
        <v>1</v>
      </c>
      <c r="F10266" t="s">
        <v>4714</v>
      </c>
      <c r="G10266" t="str">
        <f>"05-K14-03"</f>
        <v>05-K14-03</v>
      </c>
      <c r="H10266">
        <v>0.44159999999999999</v>
      </c>
      <c r="I10266" t="s">
        <v>1892</v>
      </c>
      <c r="J10266" t="s">
        <v>14</v>
      </c>
      <c r="K10266" t="str">
        <f>"1F1"</f>
        <v>1F1</v>
      </c>
      <c r="L10266" t="s">
        <v>15</v>
      </c>
    </row>
    <row r="10267" spans="1:12" x14ac:dyDescent="0.25">
      <c r="A10267" t="str">
        <f>"7561214683"</f>
        <v>7561214683</v>
      </c>
      <c r="B10267" t="str">
        <f t="shared" si="433"/>
        <v>89301000</v>
      </c>
      <c r="C10267" s="1">
        <v>44495</v>
      </c>
      <c r="D10267" s="1">
        <v>44497</v>
      </c>
      <c r="E10267">
        <v>1</v>
      </c>
      <c r="F10267" t="s">
        <v>173</v>
      </c>
      <c r="G10267" t="str">
        <f>"08-I32-02"</f>
        <v>08-I32-02</v>
      </c>
      <c r="H10267">
        <v>0.4143</v>
      </c>
      <c r="J10267" t="s">
        <v>14</v>
      </c>
      <c r="K10267" t="str">
        <f>"5F3"</f>
        <v>5F3</v>
      </c>
      <c r="L10267" t="s">
        <v>15</v>
      </c>
    </row>
    <row r="10268" spans="1:12" x14ac:dyDescent="0.25">
      <c r="A10268" t="str">
        <f>"7561223901"</f>
        <v>7561223901</v>
      </c>
      <c r="B10268" t="str">
        <f t="shared" si="433"/>
        <v>89301000</v>
      </c>
      <c r="C10268" s="1">
        <v>44538</v>
      </c>
      <c r="D10268" s="1">
        <v>44540</v>
      </c>
      <c r="E10268">
        <v>1</v>
      </c>
      <c r="F10268" t="s">
        <v>5453</v>
      </c>
      <c r="G10268" t="str">
        <f>"13-I19-00"</f>
        <v>13-I19-00</v>
      </c>
      <c r="H10268">
        <v>0.24679999999999999</v>
      </c>
      <c r="J10268" t="s">
        <v>14</v>
      </c>
      <c r="K10268" t="str">
        <f>"6F3"</f>
        <v>6F3</v>
      </c>
      <c r="L10268" t="s">
        <v>15</v>
      </c>
    </row>
    <row r="10269" spans="1:12" x14ac:dyDescent="0.25">
      <c r="A10269" t="str">
        <f>"7561275777"</f>
        <v>7561275777</v>
      </c>
      <c r="B10269" t="str">
        <f t="shared" si="433"/>
        <v>89301000</v>
      </c>
      <c r="C10269" s="1">
        <v>44483</v>
      </c>
      <c r="D10269" s="1">
        <v>44486</v>
      </c>
      <c r="E10269">
        <v>1</v>
      </c>
      <c r="F10269" t="s">
        <v>3568</v>
      </c>
      <c r="G10269" t="str">
        <f>"08-I03-08"</f>
        <v>08-I03-08</v>
      </c>
      <c r="H10269">
        <v>2.0605000000000002</v>
      </c>
      <c r="I10269" t="s">
        <v>4021</v>
      </c>
      <c r="J10269" t="s">
        <v>17</v>
      </c>
      <c r="K10269" t="str">
        <f>"5F6"</f>
        <v>5F6</v>
      </c>
      <c r="L10269" t="s">
        <v>15</v>
      </c>
    </row>
    <row r="10270" spans="1:12" x14ac:dyDescent="0.25">
      <c r="A10270" t="str">
        <f>"7562054852"</f>
        <v>7562054852</v>
      </c>
      <c r="B10270" t="str">
        <f t="shared" si="433"/>
        <v>89301000</v>
      </c>
      <c r="C10270" s="1">
        <v>44474</v>
      </c>
      <c r="D10270" s="1">
        <v>44475</v>
      </c>
      <c r="E10270">
        <v>1</v>
      </c>
      <c r="F10270" t="s">
        <v>41</v>
      </c>
      <c r="G10270" t="str">
        <f>"01-D01-03"</f>
        <v>01-D01-03</v>
      </c>
      <c r="H10270">
        <v>0.158</v>
      </c>
      <c r="I10270" t="s">
        <v>1586</v>
      </c>
      <c r="J10270" t="s">
        <v>14</v>
      </c>
      <c r="K10270" t="str">
        <f>"2F5"</f>
        <v>2F5</v>
      </c>
      <c r="L10270" t="s">
        <v>15</v>
      </c>
    </row>
    <row r="10271" spans="1:12" x14ac:dyDescent="0.25">
      <c r="A10271" t="str">
        <f>"7562055303"</f>
        <v>7562055303</v>
      </c>
      <c r="B10271" t="str">
        <f t="shared" si="433"/>
        <v>89301000</v>
      </c>
      <c r="C10271" s="1">
        <v>44470</v>
      </c>
      <c r="D10271" s="1">
        <v>44475</v>
      </c>
      <c r="E10271">
        <v>1</v>
      </c>
      <c r="F10271" t="s">
        <v>6978</v>
      </c>
      <c r="G10271" t="str">
        <f>"11-K03-02"</f>
        <v>11-K03-02</v>
      </c>
      <c r="H10271">
        <v>0.6008</v>
      </c>
      <c r="I10271" t="s">
        <v>6979</v>
      </c>
      <c r="J10271" t="s">
        <v>14</v>
      </c>
      <c r="K10271" t="str">
        <f>"1F1"</f>
        <v>1F1</v>
      </c>
      <c r="L10271" t="s">
        <v>15</v>
      </c>
    </row>
    <row r="10272" spans="1:12" x14ac:dyDescent="0.25">
      <c r="A10272" t="str">
        <f>"7562085322"</f>
        <v>7562085322</v>
      </c>
      <c r="B10272" t="str">
        <f t="shared" si="433"/>
        <v>89301000</v>
      </c>
      <c r="C10272" s="1">
        <v>44403</v>
      </c>
      <c r="D10272" s="1">
        <v>44404</v>
      </c>
      <c r="E10272">
        <v>1</v>
      </c>
      <c r="F10272" t="s">
        <v>5664</v>
      </c>
      <c r="G10272" t="str">
        <f>"08-K08-00"</f>
        <v>08-K08-00</v>
      </c>
      <c r="H10272">
        <v>0.51670000000000005</v>
      </c>
      <c r="I10272" t="s">
        <v>6980</v>
      </c>
      <c r="J10272" t="s">
        <v>14</v>
      </c>
      <c r="K10272" t="str">
        <f>"1F1"</f>
        <v>1F1</v>
      </c>
      <c r="L10272" t="s">
        <v>15</v>
      </c>
    </row>
    <row r="10273" spans="1:12" x14ac:dyDescent="0.25">
      <c r="A10273" t="str">
        <f>"7562085773"</f>
        <v>7562085773</v>
      </c>
      <c r="B10273" t="str">
        <f t="shared" si="433"/>
        <v>89301000</v>
      </c>
      <c r="C10273" s="1">
        <v>44550</v>
      </c>
      <c r="D10273" s="1">
        <v>44552</v>
      </c>
      <c r="E10273">
        <v>2</v>
      </c>
      <c r="F10273" t="s">
        <v>948</v>
      </c>
      <c r="G10273" t="str">
        <f>"17-K10-02"</f>
        <v>17-K10-02</v>
      </c>
      <c r="H10273">
        <v>0.65480000000000005</v>
      </c>
      <c r="J10273" t="s">
        <v>14</v>
      </c>
      <c r="K10273" t="str">
        <f>"6F6"</f>
        <v>6F6</v>
      </c>
      <c r="L10273" t="s">
        <v>15</v>
      </c>
    </row>
    <row r="10274" spans="1:12" x14ac:dyDescent="0.25">
      <c r="A10274" t="str">
        <f>"7562105199"</f>
        <v>7562105199</v>
      </c>
      <c r="B10274" t="str">
        <f t="shared" si="433"/>
        <v>89301000</v>
      </c>
      <c r="C10274" s="1">
        <v>44272</v>
      </c>
      <c r="D10274" s="1">
        <v>44273</v>
      </c>
      <c r="E10274">
        <v>1</v>
      </c>
      <c r="F10274" t="s">
        <v>6981</v>
      </c>
      <c r="G10274" t="str">
        <f>"17-K04-00"</f>
        <v>17-K04-00</v>
      </c>
      <c r="H10274">
        <v>0.86660000000000004</v>
      </c>
      <c r="I10274" t="s">
        <v>6982</v>
      </c>
      <c r="J10274" t="s">
        <v>14</v>
      </c>
      <c r="K10274" t="str">
        <f>"2F2"</f>
        <v>2F2</v>
      </c>
      <c r="L10274" t="s">
        <v>15</v>
      </c>
    </row>
    <row r="10275" spans="1:12" x14ac:dyDescent="0.25">
      <c r="A10275" t="str">
        <f>"7562105199"</f>
        <v>7562105199</v>
      </c>
      <c r="B10275" t="str">
        <f t="shared" si="433"/>
        <v>89301000</v>
      </c>
      <c r="C10275" s="1">
        <v>44242</v>
      </c>
      <c r="D10275" s="1">
        <v>44245</v>
      </c>
      <c r="E10275">
        <v>1</v>
      </c>
      <c r="F10275" t="s">
        <v>3320</v>
      </c>
      <c r="G10275" t="str">
        <f>"17-I09-02"</f>
        <v>17-I09-02</v>
      </c>
      <c r="H10275">
        <v>1.2549999999999999</v>
      </c>
      <c r="I10275" t="s">
        <v>6981</v>
      </c>
      <c r="J10275" t="s">
        <v>14</v>
      </c>
      <c r="K10275" t="str">
        <f>"6F5"</f>
        <v>6F5</v>
      </c>
      <c r="L10275" t="s">
        <v>15</v>
      </c>
    </row>
    <row r="10276" spans="1:12" x14ac:dyDescent="0.25">
      <c r="A10276" t="str">
        <f t="shared" ref="A10276:A10282" si="434">"7562105287"</f>
        <v>7562105287</v>
      </c>
      <c r="B10276" t="str">
        <f t="shared" si="433"/>
        <v>89301000</v>
      </c>
      <c r="C10276" s="1">
        <v>44449</v>
      </c>
      <c r="D10276" s="1">
        <v>44450</v>
      </c>
      <c r="E10276">
        <v>1</v>
      </c>
      <c r="F10276" t="s">
        <v>4488</v>
      </c>
      <c r="G10276" t="str">
        <f>"09-C03-02"</f>
        <v>09-C03-02</v>
      </c>
      <c r="H10276">
        <v>0.378</v>
      </c>
      <c r="I10276" t="s">
        <v>6983</v>
      </c>
      <c r="J10276" t="s">
        <v>14</v>
      </c>
      <c r="K10276" t="str">
        <f t="shared" ref="K10276:K10283" si="435">"4F2"</f>
        <v>4F2</v>
      </c>
      <c r="L10276" t="s">
        <v>15</v>
      </c>
    </row>
    <row r="10277" spans="1:12" x14ac:dyDescent="0.25">
      <c r="A10277" t="str">
        <f t="shared" si="434"/>
        <v>7562105287</v>
      </c>
      <c r="B10277" t="str">
        <f t="shared" ref="B10277:B10340" si="436">"89301000"</f>
        <v>89301000</v>
      </c>
      <c r="C10277" s="1">
        <v>44456</v>
      </c>
      <c r="D10277" s="1">
        <v>44457</v>
      </c>
      <c r="E10277">
        <v>1</v>
      </c>
      <c r="F10277" t="s">
        <v>4488</v>
      </c>
      <c r="G10277" t="str">
        <f>"09-C03-02"</f>
        <v>09-C03-02</v>
      </c>
      <c r="H10277">
        <v>0.378</v>
      </c>
      <c r="I10277" t="s">
        <v>6984</v>
      </c>
      <c r="J10277" t="s">
        <v>14</v>
      </c>
      <c r="K10277" t="str">
        <f t="shared" si="435"/>
        <v>4F2</v>
      </c>
      <c r="L10277" t="s">
        <v>15</v>
      </c>
    </row>
    <row r="10278" spans="1:12" x14ac:dyDescent="0.25">
      <c r="A10278" t="str">
        <f t="shared" si="434"/>
        <v>7562105287</v>
      </c>
      <c r="B10278" t="str">
        <f t="shared" si="436"/>
        <v>89301000</v>
      </c>
      <c r="C10278" s="1">
        <v>44463</v>
      </c>
      <c r="D10278" s="1">
        <v>44470</v>
      </c>
      <c r="E10278">
        <v>1</v>
      </c>
      <c r="F10278" t="s">
        <v>4488</v>
      </c>
      <c r="G10278" t="str">
        <f>"09-K08-02"</f>
        <v>09-K08-02</v>
      </c>
      <c r="H10278">
        <v>0.54849999999999999</v>
      </c>
      <c r="I10278" t="s">
        <v>6985</v>
      </c>
      <c r="J10278" t="s">
        <v>14</v>
      </c>
      <c r="K10278" t="str">
        <f t="shared" si="435"/>
        <v>4F2</v>
      </c>
      <c r="L10278" t="s">
        <v>15</v>
      </c>
    </row>
    <row r="10279" spans="1:12" x14ac:dyDescent="0.25">
      <c r="A10279" t="str">
        <f t="shared" si="434"/>
        <v>7562105287</v>
      </c>
      <c r="B10279" t="str">
        <f t="shared" si="436"/>
        <v>89301000</v>
      </c>
      <c r="C10279" s="1">
        <v>44442</v>
      </c>
      <c r="D10279" s="1">
        <v>44443</v>
      </c>
      <c r="E10279">
        <v>1</v>
      </c>
      <c r="F10279" t="s">
        <v>4488</v>
      </c>
      <c r="G10279" t="str">
        <f>"09-C03-02"</f>
        <v>09-C03-02</v>
      </c>
      <c r="H10279">
        <v>0.378</v>
      </c>
      <c r="I10279" t="s">
        <v>6984</v>
      </c>
      <c r="J10279" t="s">
        <v>14</v>
      </c>
      <c r="K10279" t="str">
        <f t="shared" si="435"/>
        <v>4F2</v>
      </c>
      <c r="L10279" t="s">
        <v>15</v>
      </c>
    </row>
    <row r="10280" spans="1:12" x14ac:dyDescent="0.25">
      <c r="A10280" t="str">
        <f t="shared" si="434"/>
        <v>7562105287</v>
      </c>
      <c r="B10280" t="str">
        <f t="shared" si="436"/>
        <v>89301000</v>
      </c>
      <c r="C10280" s="1">
        <v>44320</v>
      </c>
      <c r="D10280" s="1">
        <v>44342</v>
      </c>
      <c r="E10280">
        <v>1</v>
      </c>
      <c r="F10280" t="s">
        <v>4488</v>
      </c>
      <c r="G10280" t="str">
        <f>"09-R01-06"</f>
        <v>09-R01-06</v>
      </c>
      <c r="H10280">
        <v>1.502</v>
      </c>
      <c r="I10280" t="s">
        <v>6986</v>
      </c>
      <c r="J10280" t="s">
        <v>14</v>
      </c>
      <c r="K10280" t="str">
        <f t="shared" si="435"/>
        <v>4F2</v>
      </c>
      <c r="L10280" t="s">
        <v>15</v>
      </c>
    </row>
    <row r="10281" spans="1:12" x14ac:dyDescent="0.25">
      <c r="A10281" t="str">
        <f t="shared" si="434"/>
        <v>7562105287</v>
      </c>
      <c r="B10281" t="str">
        <f t="shared" si="436"/>
        <v>89301000</v>
      </c>
      <c r="C10281" s="1">
        <v>44425</v>
      </c>
      <c r="D10281" s="1">
        <v>44428</v>
      </c>
      <c r="E10281">
        <v>1</v>
      </c>
      <c r="F10281" t="s">
        <v>3042</v>
      </c>
      <c r="G10281" t="str">
        <f>"01-K13-01"</f>
        <v>01-K13-01</v>
      </c>
      <c r="H10281">
        <v>1.2432000000000001</v>
      </c>
      <c r="I10281" t="s">
        <v>6987</v>
      </c>
      <c r="J10281" t="s">
        <v>14</v>
      </c>
      <c r="K10281" t="str">
        <f t="shared" si="435"/>
        <v>4F2</v>
      </c>
      <c r="L10281" t="s">
        <v>15</v>
      </c>
    </row>
    <row r="10282" spans="1:12" x14ac:dyDescent="0.25">
      <c r="A10282" t="str">
        <f t="shared" si="434"/>
        <v>7562105287</v>
      </c>
      <c r="B10282" t="str">
        <f t="shared" si="436"/>
        <v>89301000</v>
      </c>
      <c r="C10282" s="1">
        <v>44435</v>
      </c>
      <c r="D10282" s="1">
        <v>44436</v>
      </c>
      <c r="E10282">
        <v>1</v>
      </c>
      <c r="F10282" t="s">
        <v>4488</v>
      </c>
      <c r="G10282" t="str">
        <f>"09-C03-02"</f>
        <v>09-C03-02</v>
      </c>
      <c r="H10282">
        <v>0.378</v>
      </c>
      <c r="I10282" t="s">
        <v>6988</v>
      </c>
      <c r="J10282" t="s">
        <v>14</v>
      </c>
      <c r="K10282" t="str">
        <f t="shared" si="435"/>
        <v>4F2</v>
      </c>
      <c r="L10282" t="s">
        <v>15</v>
      </c>
    </row>
    <row r="10283" spans="1:12" x14ac:dyDescent="0.25">
      <c r="A10283" t="str">
        <f>"7562234856"</f>
        <v>7562234856</v>
      </c>
      <c r="B10283" t="str">
        <f t="shared" si="436"/>
        <v>89301000</v>
      </c>
      <c r="C10283" s="1">
        <v>44375</v>
      </c>
      <c r="D10283" s="1">
        <v>44377</v>
      </c>
      <c r="E10283">
        <v>1</v>
      </c>
      <c r="F10283" t="s">
        <v>2146</v>
      </c>
      <c r="G10283" t="str">
        <f>"06-K14-02"</f>
        <v>06-K14-02</v>
      </c>
      <c r="H10283">
        <v>0.57279999999999998</v>
      </c>
      <c r="I10283" t="s">
        <v>3541</v>
      </c>
      <c r="J10283" t="s">
        <v>14</v>
      </c>
      <c r="K10283" t="str">
        <f t="shared" si="435"/>
        <v>4F2</v>
      </c>
      <c r="L10283" t="s">
        <v>15</v>
      </c>
    </row>
    <row r="10284" spans="1:12" x14ac:dyDescent="0.25">
      <c r="A10284" t="str">
        <f>"7562264457"</f>
        <v>7562264457</v>
      </c>
      <c r="B10284" t="str">
        <f t="shared" si="436"/>
        <v>89301000</v>
      </c>
      <c r="C10284" s="1">
        <v>44419</v>
      </c>
      <c r="D10284" s="1">
        <v>44420</v>
      </c>
      <c r="E10284">
        <v>1</v>
      </c>
      <c r="F10284" t="s">
        <v>3799</v>
      </c>
      <c r="G10284" t="str">
        <f>"11-M02-07"</f>
        <v>11-M02-07</v>
      </c>
      <c r="H10284">
        <v>0.53769999999999996</v>
      </c>
      <c r="I10284" t="s">
        <v>6989</v>
      </c>
      <c r="J10284" t="s">
        <v>14</v>
      </c>
      <c r="K10284" t="str">
        <f>"1F1"</f>
        <v>1F1</v>
      </c>
      <c r="L10284" t="s">
        <v>15</v>
      </c>
    </row>
    <row r="10285" spans="1:12" x14ac:dyDescent="0.25">
      <c r="A10285" t="str">
        <f>"7562264457"</f>
        <v>7562264457</v>
      </c>
      <c r="B10285" t="str">
        <f t="shared" si="436"/>
        <v>89301000</v>
      </c>
      <c r="C10285" s="1">
        <v>44547</v>
      </c>
      <c r="D10285" s="1">
        <v>44558</v>
      </c>
      <c r="E10285">
        <v>1</v>
      </c>
      <c r="F10285" t="s">
        <v>1928</v>
      </c>
      <c r="G10285" t="str">
        <f>"00-I05-01"</f>
        <v>00-I05-01</v>
      </c>
      <c r="H10285">
        <v>11.886799999999999</v>
      </c>
      <c r="I10285" t="s">
        <v>6990</v>
      </c>
      <c r="J10285" t="s">
        <v>17</v>
      </c>
      <c r="K10285" t="str">
        <f>"1F1"</f>
        <v>1F1</v>
      </c>
      <c r="L10285" t="s">
        <v>15</v>
      </c>
    </row>
    <row r="10286" spans="1:12" x14ac:dyDescent="0.25">
      <c r="A10286" t="str">
        <f>"7601095788"</f>
        <v>7601095788</v>
      </c>
      <c r="B10286" t="str">
        <f t="shared" si="436"/>
        <v>89301000</v>
      </c>
      <c r="C10286" s="1">
        <v>44376</v>
      </c>
      <c r="D10286" s="1">
        <v>44377</v>
      </c>
      <c r="E10286">
        <v>1</v>
      </c>
      <c r="F10286" t="s">
        <v>1557</v>
      </c>
      <c r="G10286" t="str">
        <f>"05-D01-08"</f>
        <v>05-D01-08</v>
      </c>
      <c r="H10286">
        <v>0.4093</v>
      </c>
      <c r="J10286" t="s">
        <v>14</v>
      </c>
      <c r="K10286" t="str">
        <f>"1F1"</f>
        <v>1F1</v>
      </c>
      <c r="L10286" t="s">
        <v>15</v>
      </c>
    </row>
    <row r="10287" spans="1:12" x14ac:dyDescent="0.25">
      <c r="A10287" t="str">
        <f>"7601163262"</f>
        <v>7601163262</v>
      </c>
      <c r="B10287" t="str">
        <f t="shared" si="436"/>
        <v>89301000</v>
      </c>
      <c r="C10287" s="1">
        <v>44236</v>
      </c>
      <c r="D10287" s="1">
        <v>44236</v>
      </c>
      <c r="E10287">
        <v>7</v>
      </c>
      <c r="F10287" t="s">
        <v>962</v>
      </c>
      <c r="G10287" t="str">
        <f>"04-K08-01"</f>
        <v>04-K08-01</v>
      </c>
      <c r="H10287">
        <v>0.52829999999999999</v>
      </c>
      <c r="I10287" t="s">
        <v>6991</v>
      </c>
      <c r="J10287" t="s">
        <v>14</v>
      </c>
      <c r="K10287" t="str">
        <f>"7T8"</f>
        <v>7T8</v>
      </c>
      <c r="L10287" t="s">
        <v>15</v>
      </c>
    </row>
    <row r="10288" spans="1:12" x14ac:dyDescent="0.25">
      <c r="A10288" t="str">
        <f>"7601205821"</f>
        <v>7601205821</v>
      </c>
      <c r="B10288" t="str">
        <f t="shared" si="436"/>
        <v>89301000</v>
      </c>
      <c r="C10288" s="1">
        <v>44448</v>
      </c>
      <c r="D10288" s="1">
        <v>44449</v>
      </c>
      <c r="E10288">
        <v>1</v>
      </c>
      <c r="F10288" t="s">
        <v>41</v>
      </c>
      <c r="G10288" t="str">
        <f>"01-D01-03"</f>
        <v>01-D01-03</v>
      </c>
      <c r="H10288">
        <v>0.158</v>
      </c>
      <c r="I10288" t="s">
        <v>6992</v>
      </c>
      <c r="J10288" t="s">
        <v>14</v>
      </c>
      <c r="K10288" t="str">
        <f>"2F5"</f>
        <v>2F5</v>
      </c>
      <c r="L10288" t="s">
        <v>15</v>
      </c>
    </row>
    <row r="10289" spans="1:12" x14ac:dyDescent="0.25">
      <c r="A10289" t="str">
        <f>"7601245773"</f>
        <v>7601245773</v>
      </c>
      <c r="B10289" t="str">
        <f t="shared" si="436"/>
        <v>89301000</v>
      </c>
      <c r="C10289" s="1">
        <v>44316</v>
      </c>
      <c r="D10289" s="1">
        <v>44317</v>
      </c>
      <c r="E10289">
        <v>1</v>
      </c>
      <c r="F10289" t="s">
        <v>41</v>
      </c>
      <c r="G10289" t="str">
        <f>"01-D01-03"</f>
        <v>01-D01-03</v>
      </c>
      <c r="H10289">
        <v>0.158</v>
      </c>
      <c r="I10289" t="s">
        <v>6993</v>
      </c>
      <c r="J10289" t="s">
        <v>14</v>
      </c>
      <c r="K10289" t="str">
        <f>"2F5"</f>
        <v>2F5</v>
      </c>
      <c r="L10289" t="s">
        <v>15</v>
      </c>
    </row>
    <row r="10290" spans="1:12" x14ac:dyDescent="0.25">
      <c r="A10290" t="str">
        <f>"7601245773"</f>
        <v>7601245773</v>
      </c>
      <c r="B10290" t="str">
        <f t="shared" si="436"/>
        <v>89301000</v>
      </c>
      <c r="C10290" s="1">
        <v>44263</v>
      </c>
      <c r="D10290" s="1">
        <v>44264</v>
      </c>
      <c r="E10290">
        <v>1</v>
      </c>
      <c r="F10290" t="s">
        <v>41</v>
      </c>
      <c r="G10290" t="str">
        <f>"01-D01-03"</f>
        <v>01-D01-03</v>
      </c>
      <c r="H10290">
        <v>0.158</v>
      </c>
      <c r="I10290" t="s">
        <v>6993</v>
      </c>
      <c r="J10290" t="s">
        <v>14</v>
      </c>
      <c r="K10290" t="str">
        <f>"2F5"</f>
        <v>2F5</v>
      </c>
      <c r="L10290" t="s">
        <v>15</v>
      </c>
    </row>
    <row r="10291" spans="1:12" x14ac:dyDescent="0.25">
      <c r="A10291" t="str">
        <f>"7601255189"</f>
        <v>7601255189</v>
      </c>
      <c r="B10291" t="str">
        <f t="shared" si="436"/>
        <v>89301000</v>
      </c>
      <c r="C10291" s="1">
        <v>44403</v>
      </c>
      <c r="D10291" s="1">
        <v>44428</v>
      </c>
      <c r="E10291">
        <v>1</v>
      </c>
      <c r="F10291" t="s">
        <v>109</v>
      </c>
      <c r="G10291" t="str">
        <f>"24-M09-02"</f>
        <v>24-M09-02</v>
      </c>
      <c r="H10291">
        <v>3.2679999999999998</v>
      </c>
      <c r="I10291" t="s">
        <v>6994</v>
      </c>
      <c r="J10291" t="s">
        <v>14</v>
      </c>
      <c r="K10291" t="str">
        <f>"2F1"</f>
        <v>2F1</v>
      </c>
      <c r="L10291" t="s">
        <v>15</v>
      </c>
    </row>
    <row r="10292" spans="1:12" x14ac:dyDescent="0.25">
      <c r="A10292" t="str">
        <f>"7601255189"</f>
        <v>7601255189</v>
      </c>
      <c r="B10292" t="str">
        <f t="shared" si="436"/>
        <v>89301000</v>
      </c>
      <c r="C10292" s="1">
        <v>44362</v>
      </c>
      <c r="D10292" s="1">
        <v>44375</v>
      </c>
      <c r="E10292">
        <v>5</v>
      </c>
      <c r="F10292" t="s">
        <v>866</v>
      </c>
      <c r="G10292" t="str">
        <f>"08-I13-01"</f>
        <v>08-I13-01</v>
      </c>
      <c r="H10292">
        <v>5.2111000000000001</v>
      </c>
      <c r="I10292" t="s">
        <v>6995</v>
      </c>
      <c r="J10292" t="s">
        <v>17</v>
      </c>
      <c r="K10292" t="str">
        <f>"5F3"</f>
        <v>5F3</v>
      </c>
      <c r="L10292" t="s">
        <v>15</v>
      </c>
    </row>
    <row r="10293" spans="1:12" x14ac:dyDescent="0.25">
      <c r="A10293" t="str">
        <f>"7601255794"</f>
        <v>7601255794</v>
      </c>
      <c r="B10293" t="str">
        <f t="shared" si="436"/>
        <v>89301000</v>
      </c>
      <c r="C10293" s="1">
        <v>44523</v>
      </c>
      <c r="D10293" s="1">
        <v>44532</v>
      </c>
      <c r="E10293">
        <v>1</v>
      </c>
      <c r="F10293" t="s">
        <v>157</v>
      </c>
      <c r="G10293" t="str">
        <f>"03-I11-03"</f>
        <v>03-I11-03</v>
      </c>
      <c r="H10293">
        <v>1.0253000000000001</v>
      </c>
      <c r="I10293" t="s">
        <v>6996</v>
      </c>
      <c r="J10293" t="s">
        <v>17</v>
      </c>
      <c r="K10293" t="str">
        <f>"6F5"</f>
        <v>6F5</v>
      </c>
      <c r="L10293" t="s">
        <v>15</v>
      </c>
    </row>
    <row r="10294" spans="1:12" x14ac:dyDescent="0.25">
      <c r="A10294" t="str">
        <f>"7602025772"</f>
        <v>7602025772</v>
      </c>
      <c r="B10294" t="str">
        <f t="shared" si="436"/>
        <v>89301000</v>
      </c>
      <c r="C10294" s="1">
        <v>44516</v>
      </c>
      <c r="D10294" s="1">
        <v>44535</v>
      </c>
      <c r="E10294">
        <v>1</v>
      </c>
      <c r="F10294" t="s">
        <v>5467</v>
      </c>
      <c r="G10294" t="str">
        <f>"19-K05-02"</f>
        <v>19-K05-02</v>
      </c>
      <c r="H10294">
        <v>1.8835999999999999</v>
      </c>
      <c r="I10294" t="s">
        <v>6997</v>
      </c>
      <c r="J10294" t="s">
        <v>27</v>
      </c>
      <c r="K10294" t="str">
        <f>"3F5"</f>
        <v>3F5</v>
      </c>
      <c r="L10294" t="s">
        <v>15</v>
      </c>
    </row>
    <row r="10295" spans="1:12" x14ac:dyDescent="0.25">
      <c r="A10295" t="str">
        <f>"7602055373"</f>
        <v>7602055373</v>
      </c>
      <c r="B10295" t="str">
        <f t="shared" si="436"/>
        <v>89301000</v>
      </c>
      <c r="C10295" s="1">
        <v>44492</v>
      </c>
      <c r="D10295" s="1">
        <v>44494</v>
      </c>
      <c r="E10295">
        <v>1</v>
      </c>
      <c r="F10295" t="s">
        <v>2902</v>
      </c>
      <c r="G10295" t="str">
        <f>"07-K04-03"</f>
        <v>07-K04-03</v>
      </c>
      <c r="H10295">
        <v>1.0898000000000001</v>
      </c>
      <c r="I10295" t="s">
        <v>6998</v>
      </c>
      <c r="J10295" t="s">
        <v>14</v>
      </c>
      <c r="K10295" t="str">
        <f>"1F1"</f>
        <v>1F1</v>
      </c>
      <c r="L10295" t="s">
        <v>15</v>
      </c>
    </row>
    <row r="10296" spans="1:12" x14ac:dyDescent="0.25">
      <c r="A10296" t="str">
        <f>"7602165780"</f>
        <v>7602165780</v>
      </c>
      <c r="B10296" t="str">
        <f t="shared" si="436"/>
        <v>89301000</v>
      </c>
      <c r="C10296" s="1">
        <v>44455</v>
      </c>
      <c r="D10296" s="1">
        <v>44457</v>
      </c>
      <c r="E10296">
        <v>1</v>
      </c>
      <c r="F10296" t="s">
        <v>2311</v>
      </c>
      <c r="G10296" t="str">
        <f>"08-I03-08"</f>
        <v>08-I03-08</v>
      </c>
      <c r="H10296">
        <v>2.0605000000000002</v>
      </c>
      <c r="J10296" t="s">
        <v>17</v>
      </c>
      <c r="K10296" t="str">
        <f>"5F6"</f>
        <v>5F6</v>
      </c>
      <c r="L10296" t="s">
        <v>15</v>
      </c>
    </row>
    <row r="10297" spans="1:12" x14ac:dyDescent="0.25">
      <c r="A10297" t="str">
        <f>"7602275802"</f>
        <v>7602275802</v>
      </c>
      <c r="B10297" t="str">
        <f t="shared" si="436"/>
        <v>89301000</v>
      </c>
      <c r="C10297" s="1">
        <v>44389</v>
      </c>
      <c r="D10297" s="1">
        <v>44393</v>
      </c>
      <c r="E10297">
        <v>1</v>
      </c>
      <c r="F10297" t="s">
        <v>114</v>
      </c>
      <c r="G10297" t="str">
        <f>"03-I17-00"</f>
        <v>03-I17-00</v>
      </c>
      <c r="H10297">
        <v>0.84960000000000002</v>
      </c>
      <c r="I10297" t="s">
        <v>6999</v>
      </c>
      <c r="J10297" t="s">
        <v>24</v>
      </c>
      <c r="K10297" t="str">
        <f>"7F1"</f>
        <v>7F1</v>
      </c>
      <c r="L10297" t="s">
        <v>15</v>
      </c>
    </row>
    <row r="10298" spans="1:12" x14ac:dyDescent="0.25">
      <c r="A10298" t="str">
        <f>"7603034461"</f>
        <v>7603034461</v>
      </c>
      <c r="B10298" t="str">
        <f t="shared" si="436"/>
        <v>89301000</v>
      </c>
      <c r="C10298" s="1">
        <v>44315</v>
      </c>
      <c r="D10298" s="1">
        <v>44321</v>
      </c>
      <c r="E10298">
        <v>2</v>
      </c>
      <c r="F10298" t="s">
        <v>4491</v>
      </c>
      <c r="G10298" t="str">
        <f>"01-K01-02"</f>
        <v>01-K01-02</v>
      </c>
      <c r="H10298">
        <v>0.50700000000000001</v>
      </c>
      <c r="I10298" t="s">
        <v>544</v>
      </c>
      <c r="J10298" t="s">
        <v>14</v>
      </c>
      <c r="K10298" t="str">
        <f>"2F9"</f>
        <v>2F9</v>
      </c>
      <c r="L10298" t="s">
        <v>15</v>
      </c>
    </row>
    <row r="10299" spans="1:12" x14ac:dyDescent="0.25">
      <c r="A10299" t="str">
        <f>"7603054822"</f>
        <v>7603054822</v>
      </c>
      <c r="B10299" t="str">
        <f t="shared" si="436"/>
        <v>89301000</v>
      </c>
      <c r="C10299" s="1">
        <v>44376</v>
      </c>
      <c r="D10299" s="1">
        <v>44376</v>
      </c>
      <c r="E10299">
        <v>1</v>
      </c>
      <c r="F10299" t="s">
        <v>4096</v>
      </c>
      <c r="G10299" t="str">
        <f>"08-I26-03"</f>
        <v>08-I26-03</v>
      </c>
      <c r="H10299">
        <v>0.22869999999999999</v>
      </c>
      <c r="J10299" t="s">
        <v>14</v>
      </c>
      <c r="K10299" t="str">
        <f>"5F3"</f>
        <v>5F3</v>
      </c>
      <c r="L10299" t="s">
        <v>15</v>
      </c>
    </row>
    <row r="10300" spans="1:12" x14ac:dyDescent="0.25">
      <c r="A10300" t="str">
        <f>"7603155802"</f>
        <v>7603155802</v>
      </c>
      <c r="B10300" t="str">
        <f t="shared" si="436"/>
        <v>89301000</v>
      </c>
      <c r="C10300" s="1">
        <v>44419</v>
      </c>
      <c r="D10300" s="1">
        <v>44424</v>
      </c>
      <c r="E10300">
        <v>1</v>
      </c>
      <c r="F10300" t="s">
        <v>7000</v>
      </c>
      <c r="G10300" t="str">
        <f>"02-K03-00"</f>
        <v>02-K03-00</v>
      </c>
      <c r="H10300">
        <v>0.43609999999999999</v>
      </c>
      <c r="J10300" t="s">
        <v>14</v>
      </c>
      <c r="K10300" t="str">
        <f>"7F5"</f>
        <v>7F5</v>
      </c>
      <c r="L10300" t="s">
        <v>15</v>
      </c>
    </row>
    <row r="10301" spans="1:12" x14ac:dyDescent="0.25">
      <c r="A10301" t="str">
        <f>"7603215356"</f>
        <v>7603215356</v>
      </c>
      <c r="B10301" t="str">
        <f t="shared" si="436"/>
        <v>89301000</v>
      </c>
      <c r="C10301" s="1">
        <v>44392</v>
      </c>
      <c r="D10301" s="1">
        <v>44397</v>
      </c>
      <c r="E10301">
        <v>1</v>
      </c>
      <c r="F10301" t="s">
        <v>197</v>
      </c>
      <c r="G10301" t="str">
        <f>"03-I17-00"</f>
        <v>03-I17-00</v>
      </c>
      <c r="H10301">
        <v>0.84960000000000002</v>
      </c>
      <c r="I10301" t="s">
        <v>7001</v>
      </c>
      <c r="J10301" t="s">
        <v>24</v>
      </c>
      <c r="K10301" t="str">
        <f>"7F1"</f>
        <v>7F1</v>
      </c>
      <c r="L10301" t="s">
        <v>15</v>
      </c>
    </row>
    <row r="10302" spans="1:12" x14ac:dyDescent="0.25">
      <c r="A10302" t="str">
        <f>"7603254461"</f>
        <v>7603254461</v>
      </c>
      <c r="B10302" t="str">
        <f t="shared" si="436"/>
        <v>89301000</v>
      </c>
      <c r="C10302" s="1">
        <v>44235</v>
      </c>
      <c r="D10302" s="1">
        <v>44237</v>
      </c>
      <c r="E10302">
        <v>1</v>
      </c>
      <c r="F10302" t="s">
        <v>41</v>
      </c>
      <c r="G10302" t="str">
        <f>"01-D01-03"</f>
        <v>01-D01-03</v>
      </c>
      <c r="H10302">
        <v>0.158</v>
      </c>
      <c r="J10302" t="s">
        <v>14</v>
      </c>
      <c r="K10302" t="str">
        <f>"2F5"</f>
        <v>2F5</v>
      </c>
      <c r="L10302" t="s">
        <v>15</v>
      </c>
    </row>
    <row r="10303" spans="1:12" x14ac:dyDescent="0.25">
      <c r="A10303" t="str">
        <f>"7603285393"</f>
        <v>7603285393</v>
      </c>
      <c r="B10303" t="str">
        <f t="shared" si="436"/>
        <v>89301000</v>
      </c>
      <c r="C10303" s="1">
        <v>44508</v>
      </c>
      <c r="D10303" s="1">
        <v>44512</v>
      </c>
      <c r="E10303">
        <v>1</v>
      </c>
      <c r="F10303" t="s">
        <v>49</v>
      </c>
      <c r="G10303" t="str">
        <f>"01-K18-04"</f>
        <v>01-K18-04</v>
      </c>
      <c r="H10303">
        <v>0.49890000000000001</v>
      </c>
      <c r="J10303" t="s">
        <v>14</v>
      </c>
      <c r="K10303" t="str">
        <f>"2F9"</f>
        <v>2F9</v>
      </c>
      <c r="L10303" t="s">
        <v>15</v>
      </c>
    </row>
    <row r="10304" spans="1:12" x14ac:dyDescent="0.25">
      <c r="A10304" t="str">
        <f>"7604085368"</f>
        <v>7604085368</v>
      </c>
      <c r="B10304" t="str">
        <f t="shared" si="436"/>
        <v>89301000</v>
      </c>
      <c r="C10304" s="1">
        <v>44402</v>
      </c>
      <c r="D10304" s="1">
        <v>44421</v>
      </c>
      <c r="E10304">
        <v>1</v>
      </c>
      <c r="F10304" t="s">
        <v>418</v>
      </c>
      <c r="G10304" t="str">
        <f>"18-K02-02"</f>
        <v>18-K02-02</v>
      </c>
      <c r="H10304">
        <v>1.2563</v>
      </c>
      <c r="I10304" t="s">
        <v>7002</v>
      </c>
      <c r="J10304" t="s">
        <v>14</v>
      </c>
      <c r="K10304" t="str">
        <f>"2F5"</f>
        <v>2F5</v>
      </c>
      <c r="L10304" t="s">
        <v>15</v>
      </c>
    </row>
    <row r="10305" spans="1:12" x14ac:dyDescent="0.25">
      <c r="A10305" t="str">
        <f>"7604155757"</f>
        <v>7604155757</v>
      </c>
      <c r="B10305" t="str">
        <f t="shared" si="436"/>
        <v>89301000</v>
      </c>
      <c r="C10305" s="1">
        <v>44292</v>
      </c>
      <c r="D10305" s="1">
        <v>44298</v>
      </c>
      <c r="E10305">
        <v>1</v>
      </c>
      <c r="F10305" t="s">
        <v>544</v>
      </c>
      <c r="G10305" t="str">
        <f>"09-K02-00"</f>
        <v>09-K02-00</v>
      </c>
      <c r="H10305">
        <v>1.1361000000000001</v>
      </c>
      <c r="I10305" t="s">
        <v>7003</v>
      </c>
      <c r="J10305" t="s">
        <v>14</v>
      </c>
      <c r="K10305" t="str">
        <f>"4F4"</f>
        <v>4F4</v>
      </c>
      <c r="L10305" t="s">
        <v>15</v>
      </c>
    </row>
    <row r="10306" spans="1:12" x14ac:dyDescent="0.25">
      <c r="A10306" t="str">
        <f>"7604224496"</f>
        <v>7604224496</v>
      </c>
      <c r="B10306" t="str">
        <f t="shared" si="436"/>
        <v>89301000</v>
      </c>
      <c r="C10306" s="1">
        <v>44216</v>
      </c>
      <c r="D10306" s="1">
        <v>44230</v>
      </c>
      <c r="E10306">
        <v>1</v>
      </c>
      <c r="F10306" t="s">
        <v>231</v>
      </c>
      <c r="G10306" t="str">
        <f>"19-K04-02"</f>
        <v>19-K04-02</v>
      </c>
      <c r="H10306">
        <v>1.4597</v>
      </c>
      <c r="I10306" t="s">
        <v>7004</v>
      </c>
      <c r="J10306" t="s">
        <v>27</v>
      </c>
      <c r="K10306" t="str">
        <f>"3F5"</f>
        <v>3F5</v>
      </c>
      <c r="L10306" t="s">
        <v>15</v>
      </c>
    </row>
    <row r="10307" spans="1:12" x14ac:dyDescent="0.25">
      <c r="A10307" t="str">
        <f>"7604245341"</f>
        <v>7604245341</v>
      </c>
      <c r="B10307" t="str">
        <f t="shared" si="436"/>
        <v>89301000</v>
      </c>
      <c r="C10307" s="1">
        <v>44507</v>
      </c>
      <c r="D10307" s="1">
        <v>44510</v>
      </c>
      <c r="E10307">
        <v>1</v>
      </c>
      <c r="F10307" t="s">
        <v>28</v>
      </c>
      <c r="G10307" t="str">
        <f>"03-I12-04"</f>
        <v>03-I12-04</v>
      </c>
      <c r="H10307">
        <v>0.94040000000000001</v>
      </c>
      <c r="I10307" t="s">
        <v>7005</v>
      </c>
      <c r="J10307" t="s">
        <v>17</v>
      </c>
      <c r="K10307" t="str">
        <f>"7F1"</f>
        <v>7F1</v>
      </c>
      <c r="L10307" t="s">
        <v>15</v>
      </c>
    </row>
    <row r="10308" spans="1:12" x14ac:dyDescent="0.25">
      <c r="A10308" t="str">
        <f>"7604285777"</f>
        <v>7604285777</v>
      </c>
      <c r="B10308" t="str">
        <f t="shared" si="436"/>
        <v>89301000</v>
      </c>
      <c r="C10308" s="1">
        <v>44335</v>
      </c>
      <c r="D10308" s="1">
        <v>44357</v>
      </c>
      <c r="E10308">
        <v>1</v>
      </c>
      <c r="F10308" t="s">
        <v>109</v>
      </c>
      <c r="G10308" t="str">
        <f>"24-M08-02"</f>
        <v>24-M08-02</v>
      </c>
      <c r="H10308">
        <v>2.3557000000000001</v>
      </c>
      <c r="I10308" t="s">
        <v>7006</v>
      </c>
      <c r="J10308" t="s">
        <v>14</v>
      </c>
      <c r="K10308" t="str">
        <f>"2F1"</f>
        <v>2F1</v>
      </c>
      <c r="L10308" t="s">
        <v>15</v>
      </c>
    </row>
    <row r="10309" spans="1:12" x14ac:dyDescent="0.25">
      <c r="A10309" t="str">
        <f>"7604285777"</f>
        <v>7604285777</v>
      </c>
      <c r="B10309" t="str">
        <f t="shared" si="436"/>
        <v>89301000</v>
      </c>
      <c r="C10309" s="1">
        <v>44277</v>
      </c>
      <c r="D10309" s="1">
        <v>44285</v>
      </c>
      <c r="E10309">
        <v>1</v>
      </c>
      <c r="F10309" t="s">
        <v>109</v>
      </c>
      <c r="G10309" t="str">
        <f>"24-M06-02"</f>
        <v>24-M06-02</v>
      </c>
      <c r="H10309">
        <v>1.0233000000000001</v>
      </c>
      <c r="I10309" t="s">
        <v>7007</v>
      </c>
      <c r="J10309" t="s">
        <v>14</v>
      </c>
      <c r="K10309" t="str">
        <f>"2F1"</f>
        <v>2F1</v>
      </c>
      <c r="L10309" t="s">
        <v>15</v>
      </c>
    </row>
    <row r="10310" spans="1:12" x14ac:dyDescent="0.25">
      <c r="A10310" t="str">
        <f>"7605063884"</f>
        <v>7605063884</v>
      </c>
      <c r="B10310" t="str">
        <f t="shared" si="436"/>
        <v>89301000</v>
      </c>
      <c r="C10310" s="1">
        <v>44237</v>
      </c>
      <c r="D10310" s="1">
        <v>44238</v>
      </c>
      <c r="E10310">
        <v>1</v>
      </c>
      <c r="F10310" t="s">
        <v>2698</v>
      </c>
      <c r="G10310" t="str">
        <f>"01-K15-00"</f>
        <v>01-K15-00</v>
      </c>
      <c r="H10310">
        <v>0.66039999999999999</v>
      </c>
      <c r="J10310" t="s">
        <v>14</v>
      </c>
      <c r="K10310" t="str">
        <f>"5F6"</f>
        <v>5F6</v>
      </c>
      <c r="L10310" t="s">
        <v>286</v>
      </c>
    </row>
    <row r="10311" spans="1:12" x14ac:dyDescent="0.25">
      <c r="A10311" t="str">
        <f>"7605095762"</f>
        <v>7605095762</v>
      </c>
      <c r="B10311" t="str">
        <f t="shared" si="436"/>
        <v>89301000</v>
      </c>
      <c r="C10311" s="1">
        <v>44383</v>
      </c>
      <c r="D10311" s="1">
        <v>44389</v>
      </c>
      <c r="E10311">
        <v>1</v>
      </c>
      <c r="F10311" t="s">
        <v>144</v>
      </c>
      <c r="G10311" t="str">
        <f>"04-I03-04"</f>
        <v>04-I03-04</v>
      </c>
      <c r="H10311">
        <v>2.0316000000000001</v>
      </c>
      <c r="I10311" t="s">
        <v>500</v>
      </c>
      <c r="J10311" t="s">
        <v>106</v>
      </c>
      <c r="K10311" t="str">
        <f>"5F1"</f>
        <v>5F1</v>
      </c>
      <c r="L10311" t="s">
        <v>15</v>
      </c>
    </row>
    <row r="10312" spans="1:12" x14ac:dyDescent="0.25">
      <c r="A10312" t="str">
        <f>"7605104485"</f>
        <v>7605104485</v>
      </c>
      <c r="B10312" t="str">
        <f t="shared" si="436"/>
        <v>89301000</v>
      </c>
      <c r="C10312" s="1">
        <v>44340</v>
      </c>
      <c r="D10312" s="1">
        <v>44341</v>
      </c>
      <c r="E10312">
        <v>1</v>
      </c>
      <c r="F10312" t="s">
        <v>5491</v>
      </c>
      <c r="G10312" t="str">
        <f>"17-C06-02"</f>
        <v>17-C06-02</v>
      </c>
      <c r="H10312">
        <v>0.3826</v>
      </c>
      <c r="I10312" t="s">
        <v>7008</v>
      </c>
      <c r="J10312" t="s">
        <v>14</v>
      </c>
      <c r="K10312" t="str">
        <f>"4F2"</f>
        <v>4F2</v>
      </c>
      <c r="L10312" t="s">
        <v>15</v>
      </c>
    </row>
    <row r="10313" spans="1:12" x14ac:dyDescent="0.25">
      <c r="A10313" t="str">
        <f>"7605104485"</f>
        <v>7605104485</v>
      </c>
      <c r="B10313" t="str">
        <f t="shared" si="436"/>
        <v>89301000</v>
      </c>
      <c r="C10313" s="1">
        <v>44461</v>
      </c>
      <c r="D10313" s="1">
        <v>44462</v>
      </c>
      <c r="E10313">
        <v>1</v>
      </c>
      <c r="F10313" t="s">
        <v>5491</v>
      </c>
      <c r="G10313" t="str">
        <f>"17-C06-02"</f>
        <v>17-C06-02</v>
      </c>
      <c r="H10313">
        <v>0.3826</v>
      </c>
      <c r="I10313" t="s">
        <v>7009</v>
      </c>
      <c r="J10313" t="s">
        <v>14</v>
      </c>
      <c r="K10313" t="str">
        <f>"4F2"</f>
        <v>4F2</v>
      </c>
      <c r="L10313" t="s">
        <v>15</v>
      </c>
    </row>
    <row r="10314" spans="1:12" x14ac:dyDescent="0.25">
      <c r="A10314" t="str">
        <f>"7605104485"</f>
        <v>7605104485</v>
      </c>
      <c r="B10314" t="str">
        <f t="shared" si="436"/>
        <v>89301000</v>
      </c>
      <c r="C10314" s="1">
        <v>44488</v>
      </c>
      <c r="D10314" s="1">
        <v>44489</v>
      </c>
      <c r="E10314">
        <v>1</v>
      </c>
      <c r="F10314" t="s">
        <v>5491</v>
      </c>
      <c r="G10314" t="str">
        <f>"17-C06-02"</f>
        <v>17-C06-02</v>
      </c>
      <c r="H10314">
        <v>0.3826</v>
      </c>
      <c r="I10314" t="s">
        <v>7009</v>
      </c>
      <c r="J10314" t="s">
        <v>14</v>
      </c>
      <c r="K10314" t="str">
        <f>"4F2"</f>
        <v>4F2</v>
      </c>
      <c r="L10314" t="s">
        <v>15</v>
      </c>
    </row>
    <row r="10315" spans="1:12" x14ac:dyDescent="0.25">
      <c r="A10315" t="str">
        <f>"7605104485"</f>
        <v>7605104485</v>
      </c>
      <c r="B10315" t="str">
        <f t="shared" si="436"/>
        <v>89301000</v>
      </c>
      <c r="C10315" s="1">
        <v>44368</v>
      </c>
      <c r="D10315" s="1">
        <v>44369</v>
      </c>
      <c r="E10315">
        <v>1</v>
      </c>
      <c r="F10315" t="s">
        <v>5491</v>
      </c>
      <c r="G10315" t="str">
        <f>"17-C06-02"</f>
        <v>17-C06-02</v>
      </c>
      <c r="H10315">
        <v>0.3826</v>
      </c>
      <c r="I10315" t="s">
        <v>7010</v>
      </c>
      <c r="J10315" t="s">
        <v>14</v>
      </c>
      <c r="K10315" t="str">
        <f>"4F2"</f>
        <v>4F2</v>
      </c>
      <c r="L10315" t="s">
        <v>15</v>
      </c>
    </row>
    <row r="10316" spans="1:12" x14ac:dyDescent="0.25">
      <c r="A10316" t="str">
        <f>"7605104485"</f>
        <v>7605104485</v>
      </c>
      <c r="B10316" t="str">
        <f t="shared" si="436"/>
        <v>89301000</v>
      </c>
      <c r="C10316" s="1">
        <v>44389</v>
      </c>
      <c r="D10316" s="1">
        <v>44390</v>
      </c>
      <c r="E10316">
        <v>1</v>
      </c>
      <c r="F10316" t="s">
        <v>5491</v>
      </c>
      <c r="G10316" t="str">
        <f>"17-K09-02"</f>
        <v>17-K09-02</v>
      </c>
      <c r="H10316">
        <v>0.71240000000000003</v>
      </c>
      <c r="I10316" t="s">
        <v>7011</v>
      </c>
      <c r="J10316" t="s">
        <v>14</v>
      </c>
      <c r="K10316" t="str">
        <f>"4F2"</f>
        <v>4F2</v>
      </c>
      <c r="L10316" t="s">
        <v>15</v>
      </c>
    </row>
    <row r="10317" spans="1:12" x14ac:dyDescent="0.25">
      <c r="A10317" t="str">
        <f>"7605315795"</f>
        <v>7605315795</v>
      </c>
      <c r="B10317" t="str">
        <f t="shared" si="436"/>
        <v>89301000</v>
      </c>
      <c r="C10317" s="1">
        <v>44548</v>
      </c>
      <c r="D10317" s="1">
        <v>44551</v>
      </c>
      <c r="E10317">
        <v>1</v>
      </c>
      <c r="F10317" t="s">
        <v>7012</v>
      </c>
      <c r="G10317" t="str">
        <f>"19-K02-03"</f>
        <v>19-K02-03</v>
      </c>
      <c r="H10317">
        <v>0.67269999999999996</v>
      </c>
      <c r="I10317" t="s">
        <v>7013</v>
      </c>
      <c r="J10317" t="s">
        <v>27</v>
      </c>
      <c r="K10317" t="str">
        <f>"3F5"</f>
        <v>3F5</v>
      </c>
      <c r="L10317" t="s">
        <v>15</v>
      </c>
    </row>
    <row r="10318" spans="1:12" x14ac:dyDescent="0.25">
      <c r="A10318" t="str">
        <f>"7606295708"</f>
        <v>7606295708</v>
      </c>
      <c r="B10318" t="str">
        <f t="shared" si="436"/>
        <v>89301000</v>
      </c>
      <c r="C10318" s="1">
        <v>44306</v>
      </c>
      <c r="D10318" s="1">
        <v>44308</v>
      </c>
      <c r="E10318">
        <v>4</v>
      </c>
      <c r="F10318" t="s">
        <v>7014</v>
      </c>
      <c r="G10318" t="str">
        <f>"19-K01-03"</f>
        <v>19-K01-03</v>
      </c>
      <c r="H10318">
        <v>0.60250000000000004</v>
      </c>
      <c r="I10318" t="s">
        <v>3727</v>
      </c>
      <c r="J10318" t="s">
        <v>27</v>
      </c>
      <c r="K10318" t="str">
        <f>"1F1"</f>
        <v>1F1</v>
      </c>
      <c r="L10318" t="s">
        <v>15</v>
      </c>
    </row>
    <row r="10319" spans="1:12" x14ac:dyDescent="0.25">
      <c r="A10319" t="str">
        <f>"7606305333"</f>
        <v>7606305333</v>
      </c>
      <c r="B10319" t="str">
        <f t="shared" si="436"/>
        <v>89301000</v>
      </c>
      <c r="C10319" s="1">
        <v>44363</v>
      </c>
      <c r="D10319" s="1">
        <v>44366</v>
      </c>
      <c r="E10319">
        <v>1</v>
      </c>
      <c r="F10319" t="s">
        <v>496</v>
      </c>
      <c r="G10319" t="str">
        <f>"08-M03-05"</f>
        <v>08-M03-05</v>
      </c>
      <c r="H10319">
        <v>0.51759999999999995</v>
      </c>
      <c r="I10319" t="s">
        <v>7015</v>
      </c>
      <c r="J10319" t="s">
        <v>14</v>
      </c>
      <c r="K10319" t="str">
        <f>"6F6"</f>
        <v>6F6</v>
      </c>
      <c r="L10319" t="s">
        <v>15</v>
      </c>
    </row>
    <row r="10320" spans="1:12" x14ac:dyDescent="0.25">
      <c r="A10320" t="str">
        <f>"7607015317"</f>
        <v>7607015317</v>
      </c>
      <c r="B10320" t="str">
        <f t="shared" si="436"/>
        <v>89301000</v>
      </c>
      <c r="C10320" s="1">
        <v>44274</v>
      </c>
      <c r="D10320" s="1">
        <v>44281</v>
      </c>
      <c r="E10320">
        <v>1</v>
      </c>
      <c r="F10320" t="s">
        <v>217</v>
      </c>
      <c r="G10320" t="str">
        <f>"04-K02-04"</f>
        <v>04-K02-04</v>
      </c>
      <c r="H10320">
        <v>0.82469999999999999</v>
      </c>
      <c r="I10320" t="s">
        <v>248</v>
      </c>
      <c r="J10320" t="s">
        <v>14</v>
      </c>
      <c r="K10320" t="str">
        <f>"5F1"</f>
        <v>5F1</v>
      </c>
      <c r="L10320" t="s">
        <v>15</v>
      </c>
    </row>
    <row r="10321" spans="1:12" x14ac:dyDescent="0.25">
      <c r="A10321" t="str">
        <f>"7607215330"</f>
        <v>7607215330</v>
      </c>
      <c r="B10321" t="str">
        <f t="shared" si="436"/>
        <v>89301000</v>
      </c>
      <c r="C10321" s="1">
        <v>44348</v>
      </c>
      <c r="D10321" s="1">
        <v>44350</v>
      </c>
      <c r="E10321">
        <v>1</v>
      </c>
      <c r="F10321" t="s">
        <v>3083</v>
      </c>
      <c r="G10321" t="str">
        <f>"04-K10-02"</f>
        <v>04-K10-02</v>
      </c>
      <c r="H10321">
        <v>0.38879999999999998</v>
      </c>
      <c r="I10321" t="s">
        <v>7016</v>
      </c>
      <c r="J10321" t="s">
        <v>14</v>
      </c>
      <c r="K10321" t="str">
        <f>"2F5"</f>
        <v>2F5</v>
      </c>
      <c r="L10321" t="s">
        <v>15</v>
      </c>
    </row>
    <row r="10322" spans="1:12" x14ac:dyDescent="0.25">
      <c r="A10322" t="str">
        <f>"7607275313"</f>
        <v>7607275313</v>
      </c>
      <c r="B10322" t="str">
        <f t="shared" si="436"/>
        <v>89301000</v>
      </c>
      <c r="C10322" s="1">
        <v>44322</v>
      </c>
      <c r="D10322" s="1">
        <v>44330</v>
      </c>
      <c r="E10322">
        <v>1</v>
      </c>
      <c r="F10322" t="s">
        <v>1557</v>
      </c>
      <c r="G10322" t="str">
        <f>"05-I16-06"</f>
        <v>05-I16-06</v>
      </c>
      <c r="H10322">
        <v>5.2988</v>
      </c>
      <c r="J10322" t="s">
        <v>17</v>
      </c>
      <c r="K10322" t="str">
        <f>"5F5"</f>
        <v>5F5</v>
      </c>
      <c r="L10322" t="s">
        <v>15</v>
      </c>
    </row>
    <row r="10323" spans="1:12" x14ac:dyDescent="0.25">
      <c r="A10323" t="str">
        <f>"7607275313"</f>
        <v>7607275313</v>
      </c>
      <c r="B10323" t="str">
        <f t="shared" si="436"/>
        <v>89301000</v>
      </c>
      <c r="C10323" s="1">
        <v>44306</v>
      </c>
      <c r="D10323" s="1">
        <v>44309</v>
      </c>
      <c r="E10323">
        <v>1</v>
      </c>
      <c r="F10323" t="s">
        <v>1925</v>
      </c>
      <c r="G10323" t="str">
        <f>"05-D01-06"</f>
        <v>05-D01-06</v>
      </c>
      <c r="H10323">
        <v>0.7611</v>
      </c>
      <c r="I10323" t="s">
        <v>489</v>
      </c>
      <c r="J10323" t="s">
        <v>14</v>
      </c>
      <c r="K10323" t="str">
        <f>"1F1"</f>
        <v>1F1</v>
      </c>
      <c r="L10323" t="s">
        <v>15</v>
      </c>
    </row>
    <row r="10324" spans="1:12" x14ac:dyDescent="0.25">
      <c r="A10324" t="str">
        <f>"7608074474"</f>
        <v>7608074474</v>
      </c>
      <c r="B10324" t="str">
        <f t="shared" si="436"/>
        <v>89301000</v>
      </c>
      <c r="C10324" s="1">
        <v>44235</v>
      </c>
      <c r="D10324" s="1">
        <v>44237</v>
      </c>
      <c r="E10324">
        <v>1</v>
      </c>
      <c r="F10324" t="s">
        <v>2457</v>
      </c>
      <c r="G10324" t="str">
        <f>"05-D01-08"</f>
        <v>05-D01-08</v>
      </c>
      <c r="H10324">
        <v>0.4093</v>
      </c>
      <c r="J10324" t="s">
        <v>14</v>
      </c>
      <c r="K10324" t="str">
        <f>"1F1"</f>
        <v>1F1</v>
      </c>
      <c r="L10324" t="s">
        <v>15</v>
      </c>
    </row>
    <row r="10325" spans="1:12" x14ac:dyDescent="0.25">
      <c r="A10325" t="str">
        <f>"7608095363"</f>
        <v>7608095363</v>
      </c>
      <c r="B10325" t="str">
        <f t="shared" si="436"/>
        <v>89301000</v>
      </c>
      <c r="C10325" s="1">
        <v>44402</v>
      </c>
      <c r="D10325" s="1">
        <v>44406</v>
      </c>
      <c r="E10325">
        <v>1</v>
      </c>
      <c r="F10325" t="s">
        <v>425</v>
      </c>
      <c r="G10325" t="str">
        <f>"07-I10-03"</f>
        <v>07-I10-03</v>
      </c>
      <c r="H10325">
        <v>2.21</v>
      </c>
      <c r="I10325" t="s">
        <v>7017</v>
      </c>
      <c r="J10325" t="s">
        <v>17</v>
      </c>
      <c r="K10325" t="str">
        <f>"5F1"</f>
        <v>5F1</v>
      </c>
      <c r="L10325" t="s">
        <v>15</v>
      </c>
    </row>
    <row r="10326" spans="1:12" x14ac:dyDescent="0.25">
      <c r="A10326" t="str">
        <f>"7608214482"</f>
        <v>7608214482</v>
      </c>
      <c r="B10326" t="str">
        <f t="shared" si="436"/>
        <v>89301000</v>
      </c>
      <c r="C10326" s="1">
        <v>44523</v>
      </c>
      <c r="D10326" s="1">
        <v>44530</v>
      </c>
      <c r="E10326">
        <v>1</v>
      </c>
      <c r="F10326" t="s">
        <v>217</v>
      </c>
      <c r="G10326" t="str">
        <f>"04-K02-04"</f>
        <v>04-K02-04</v>
      </c>
      <c r="H10326">
        <v>0.82469999999999999</v>
      </c>
      <c r="I10326" t="s">
        <v>7018</v>
      </c>
      <c r="J10326" t="s">
        <v>14</v>
      </c>
      <c r="K10326" t="str">
        <f>"5F1"</f>
        <v>5F1</v>
      </c>
      <c r="L10326" t="s">
        <v>15</v>
      </c>
    </row>
    <row r="10327" spans="1:12" x14ac:dyDescent="0.25">
      <c r="A10327" t="str">
        <f>"7608235393"</f>
        <v>7608235393</v>
      </c>
      <c r="B10327" t="str">
        <f t="shared" si="436"/>
        <v>89301000</v>
      </c>
      <c r="C10327" s="1">
        <v>44317</v>
      </c>
      <c r="D10327" s="1">
        <v>44318</v>
      </c>
      <c r="E10327">
        <v>1</v>
      </c>
      <c r="F10327" t="s">
        <v>6047</v>
      </c>
      <c r="G10327" t="str">
        <f>"05-D01-03"</f>
        <v>05-D01-03</v>
      </c>
      <c r="H10327">
        <v>1.0068999999999999</v>
      </c>
      <c r="J10327" t="s">
        <v>14</v>
      </c>
      <c r="K10327" t="str">
        <f>"1F1"</f>
        <v>1F1</v>
      </c>
      <c r="L10327" t="s">
        <v>15</v>
      </c>
    </row>
    <row r="10328" spans="1:12" x14ac:dyDescent="0.25">
      <c r="A10328" t="str">
        <f>"7608255787"</f>
        <v>7608255787</v>
      </c>
      <c r="B10328" t="str">
        <f t="shared" si="436"/>
        <v>89301000</v>
      </c>
      <c r="C10328" s="1">
        <v>44473</v>
      </c>
      <c r="D10328" s="1">
        <v>44477</v>
      </c>
      <c r="E10328">
        <v>1</v>
      </c>
      <c r="F10328" t="s">
        <v>5760</v>
      </c>
      <c r="G10328" t="str">
        <f>"02-I04-00"</f>
        <v>02-I04-00</v>
      </c>
      <c r="H10328">
        <v>0.96789999999999998</v>
      </c>
      <c r="I10328" t="s">
        <v>7019</v>
      </c>
      <c r="J10328" t="s">
        <v>17</v>
      </c>
      <c r="K10328" t="str">
        <f>"6F5"</f>
        <v>6F5</v>
      </c>
      <c r="L10328" t="s">
        <v>15</v>
      </c>
    </row>
    <row r="10329" spans="1:12" x14ac:dyDescent="0.25">
      <c r="A10329" t="str">
        <f>"7608275356"</f>
        <v>7608275356</v>
      </c>
      <c r="B10329" t="str">
        <f t="shared" si="436"/>
        <v>89301000</v>
      </c>
      <c r="C10329" s="1">
        <v>44214</v>
      </c>
      <c r="D10329" s="1">
        <v>44216</v>
      </c>
      <c r="E10329">
        <v>1</v>
      </c>
      <c r="F10329" t="s">
        <v>38</v>
      </c>
      <c r="G10329" t="str">
        <f>"05-M06-06"</f>
        <v>05-M06-06</v>
      </c>
      <c r="H10329">
        <v>1.7652000000000001</v>
      </c>
      <c r="J10329" t="s">
        <v>17</v>
      </c>
      <c r="K10329" t="str">
        <f>"1F1"</f>
        <v>1F1</v>
      </c>
      <c r="L10329" t="s">
        <v>15</v>
      </c>
    </row>
    <row r="10330" spans="1:12" x14ac:dyDescent="0.25">
      <c r="A10330" t="str">
        <f>"7608275356"</f>
        <v>7608275356</v>
      </c>
      <c r="B10330" t="str">
        <f t="shared" si="436"/>
        <v>89301000</v>
      </c>
      <c r="C10330" s="1">
        <v>44256</v>
      </c>
      <c r="D10330" s="1">
        <v>44257</v>
      </c>
      <c r="E10330">
        <v>1</v>
      </c>
      <c r="F10330" t="s">
        <v>1557</v>
      </c>
      <c r="G10330" t="str">
        <f>"05-M06-04"</f>
        <v>05-M06-04</v>
      </c>
      <c r="H10330">
        <v>2.1958000000000002</v>
      </c>
      <c r="J10330" t="s">
        <v>17</v>
      </c>
      <c r="K10330" t="str">
        <f>"1F1"</f>
        <v>1F1</v>
      </c>
      <c r="L10330" t="s">
        <v>15</v>
      </c>
    </row>
    <row r="10331" spans="1:12" x14ac:dyDescent="0.25">
      <c r="A10331" t="str">
        <f>"7609055828"</f>
        <v>7609055828</v>
      </c>
      <c r="B10331" t="str">
        <f t="shared" si="436"/>
        <v>89301000</v>
      </c>
      <c r="C10331" s="1">
        <v>44394</v>
      </c>
      <c r="D10331" s="1">
        <v>44400</v>
      </c>
      <c r="E10331">
        <v>1</v>
      </c>
      <c r="F10331" t="s">
        <v>157</v>
      </c>
      <c r="G10331" t="str">
        <f>"03-I11-03"</f>
        <v>03-I11-03</v>
      </c>
      <c r="H10331">
        <v>1.0253000000000001</v>
      </c>
      <c r="I10331" t="s">
        <v>7020</v>
      </c>
      <c r="J10331" t="s">
        <v>17</v>
      </c>
      <c r="K10331" t="str">
        <f>"6F5"</f>
        <v>6F5</v>
      </c>
      <c r="L10331" t="s">
        <v>15</v>
      </c>
    </row>
    <row r="10332" spans="1:12" x14ac:dyDescent="0.25">
      <c r="A10332" t="str">
        <f>"7609065794"</f>
        <v>7609065794</v>
      </c>
      <c r="B10332" t="str">
        <f t="shared" si="436"/>
        <v>89301000</v>
      </c>
      <c r="C10332" s="1">
        <v>44483</v>
      </c>
      <c r="D10332" s="1">
        <v>44485</v>
      </c>
      <c r="E10332">
        <v>1</v>
      </c>
      <c r="F10332" t="s">
        <v>1925</v>
      </c>
      <c r="G10332" t="str">
        <f>"05-M06-08"</f>
        <v>05-M06-08</v>
      </c>
      <c r="H10332">
        <v>1.4719</v>
      </c>
      <c r="I10332" t="s">
        <v>1892</v>
      </c>
      <c r="J10332" t="s">
        <v>17</v>
      </c>
      <c r="K10332" t="str">
        <f>"1F7"</f>
        <v>1F7</v>
      </c>
      <c r="L10332" t="s">
        <v>15</v>
      </c>
    </row>
    <row r="10333" spans="1:12" x14ac:dyDescent="0.25">
      <c r="A10333" t="str">
        <f>"7609083009"</f>
        <v>7609083009</v>
      </c>
      <c r="B10333" t="str">
        <f t="shared" si="436"/>
        <v>89301000</v>
      </c>
      <c r="C10333" s="1">
        <v>44501</v>
      </c>
      <c r="D10333" s="1">
        <v>44504</v>
      </c>
      <c r="E10333">
        <v>1</v>
      </c>
      <c r="F10333" t="s">
        <v>41</v>
      </c>
      <c r="G10333" t="str">
        <f>"01-D01-03"</f>
        <v>01-D01-03</v>
      </c>
      <c r="H10333">
        <v>0.2054</v>
      </c>
      <c r="I10333" t="s">
        <v>7021</v>
      </c>
      <c r="J10333" t="s">
        <v>14</v>
      </c>
      <c r="K10333" t="str">
        <f>"2F5"</f>
        <v>2F5</v>
      </c>
      <c r="L10333" t="s">
        <v>15</v>
      </c>
    </row>
    <row r="10334" spans="1:12" x14ac:dyDescent="0.25">
      <c r="A10334" t="str">
        <f>"7609155389"</f>
        <v>7609155389</v>
      </c>
      <c r="B10334" t="str">
        <f t="shared" si="436"/>
        <v>89301000</v>
      </c>
      <c r="C10334" s="1">
        <v>44523</v>
      </c>
      <c r="D10334" s="1">
        <v>44525</v>
      </c>
      <c r="E10334">
        <v>1</v>
      </c>
      <c r="F10334" t="s">
        <v>217</v>
      </c>
      <c r="G10334" t="str">
        <f>"04-K02-04"</f>
        <v>04-K02-04</v>
      </c>
      <c r="H10334">
        <v>0.82469999999999999</v>
      </c>
      <c r="I10334" t="s">
        <v>274</v>
      </c>
      <c r="J10334" t="s">
        <v>14</v>
      </c>
      <c r="K10334" t="str">
        <f>"1F1"</f>
        <v>1F1</v>
      </c>
      <c r="L10334" t="s">
        <v>15</v>
      </c>
    </row>
    <row r="10335" spans="1:12" x14ac:dyDescent="0.25">
      <c r="A10335" t="str">
        <f>"7609184264"</f>
        <v>7609184264</v>
      </c>
      <c r="B10335" t="str">
        <f t="shared" si="436"/>
        <v>89301000</v>
      </c>
      <c r="C10335" s="1">
        <v>44285</v>
      </c>
      <c r="D10335" s="1">
        <v>44286</v>
      </c>
      <c r="E10335">
        <v>1</v>
      </c>
      <c r="F10335" t="s">
        <v>41</v>
      </c>
      <c r="G10335" t="str">
        <f>"01-D01-03"</f>
        <v>01-D01-03</v>
      </c>
      <c r="H10335">
        <v>0.158</v>
      </c>
      <c r="J10335" t="s">
        <v>14</v>
      </c>
      <c r="K10335" t="str">
        <f>"2F5"</f>
        <v>2F5</v>
      </c>
      <c r="L10335" t="s">
        <v>15</v>
      </c>
    </row>
    <row r="10336" spans="1:12" x14ac:dyDescent="0.25">
      <c r="A10336" t="str">
        <f>"7609184264"</f>
        <v>7609184264</v>
      </c>
      <c r="B10336" t="str">
        <f t="shared" si="436"/>
        <v>89301000</v>
      </c>
      <c r="C10336" s="1">
        <v>44344</v>
      </c>
      <c r="D10336" s="1">
        <v>44347</v>
      </c>
      <c r="E10336">
        <v>1</v>
      </c>
      <c r="F10336" t="s">
        <v>41</v>
      </c>
      <c r="G10336" t="str">
        <f>"01-D01-03"</f>
        <v>01-D01-03</v>
      </c>
      <c r="H10336">
        <v>0.2054</v>
      </c>
      <c r="J10336" t="s">
        <v>14</v>
      </c>
      <c r="K10336" t="str">
        <f>"2F5"</f>
        <v>2F5</v>
      </c>
      <c r="L10336" t="s">
        <v>15</v>
      </c>
    </row>
    <row r="10337" spans="1:12" x14ac:dyDescent="0.25">
      <c r="A10337" t="str">
        <f>"7609195330"</f>
        <v>7609195330</v>
      </c>
      <c r="B10337" t="str">
        <f t="shared" si="436"/>
        <v>89301000</v>
      </c>
      <c r="C10337" s="1">
        <v>44373</v>
      </c>
      <c r="D10337" s="1">
        <v>44386</v>
      </c>
      <c r="E10337">
        <v>1</v>
      </c>
      <c r="F10337" t="s">
        <v>883</v>
      </c>
      <c r="G10337" t="str">
        <f>"06-K20-02"</f>
        <v>06-K20-02</v>
      </c>
      <c r="H10337">
        <v>1.1281000000000001</v>
      </c>
      <c r="I10337" t="s">
        <v>7022</v>
      </c>
      <c r="J10337" t="s">
        <v>14</v>
      </c>
      <c r="K10337" t="str">
        <f>"1F5"</f>
        <v>1F5</v>
      </c>
      <c r="L10337" t="s">
        <v>15</v>
      </c>
    </row>
    <row r="10338" spans="1:12" x14ac:dyDescent="0.25">
      <c r="A10338" t="str">
        <f>"7609195407"</f>
        <v>7609195407</v>
      </c>
      <c r="B10338" t="str">
        <f t="shared" si="436"/>
        <v>89301000</v>
      </c>
      <c r="C10338" s="1">
        <v>44403</v>
      </c>
      <c r="D10338" s="1">
        <v>44408</v>
      </c>
      <c r="E10338">
        <v>1</v>
      </c>
      <c r="F10338" t="s">
        <v>5760</v>
      </c>
      <c r="G10338" t="str">
        <f>"02-I04-00"</f>
        <v>02-I04-00</v>
      </c>
      <c r="H10338">
        <v>0.96789999999999998</v>
      </c>
      <c r="I10338" t="s">
        <v>543</v>
      </c>
      <c r="J10338" t="s">
        <v>17</v>
      </c>
      <c r="K10338" t="str">
        <f>"6F5"</f>
        <v>6F5</v>
      </c>
      <c r="L10338" t="s">
        <v>15</v>
      </c>
    </row>
    <row r="10339" spans="1:12" x14ac:dyDescent="0.25">
      <c r="A10339" t="str">
        <f>"7609235755"</f>
        <v>7609235755</v>
      </c>
      <c r="B10339" t="str">
        <f t="shared" si="436"/>
        <v>89301000</v>
      </c>
      <c r="C10339" s="1">
        <v>44236</v>
      </c>
      <c r="D10339" s="1">
        <v>44238</v>
      </c>
      <c r="E10339">
        <v>1</v>
      </c>
      <c r="F10339" t="s">
        <v>7023</v>
      </c>
      <c r="G10339" t="str">
        <f>"12-I08-03"</f>
        <v>12-I08-03</v>
      </c>
      <c r="H10339">
        <v>0.7036</v>
      </c>
      <c r="I10339" t="s">
        <v>7024</v>
      </c>
      <c r="J10339" t="s">
        <v>14</v>
      </c>
      <c r="K10339" t="str">
        <f>"7F6"</f>
        <v>7F6</v>
      </c>
      <c r="L10339" t="s">
        <v>15</v>
      </c>
    </row>
    <row r="10340" spans="1:12" x14ac:dyDescent="0.25">
      <c r="A10340" t="str">
        <f>"7609235755"</f>
        <v>7609235755</v>
      </c>
      <c r="B10340" t="str">
        <f t="shared" si="436"/>
        <v>89301000</v>
      </c>
      <c r="C10340" s="1">
        <v>44278</v>
      </c>
      <c r="D10340" s="1">
        <v>44282</v>
      </c>
      <c r="E10340">
        <v>1</v>
      </c>
      <c r="F10340" t="s">
        <v>4908</v>
      </c>
      <c r="G10340" t="str">
        <f>"12-C01-01"</f>
        <v>12-C01-01</v>
      </c>
      <c r="H10340">
        <v>0.65110000000000001</v>
      </c>
      <c r="I10340" t="s">
        <v>7025</v>
      </c>
      <c r="J10340" t="s">
        <v>14</v>
      </c>
      <c r="K10340" t="str">
        <f>"4F2"</f>
        <v>4F2</v>
      </c>
      <c r="L10340" t="s">
        <v>15</v>
      </c>
    </row>
    <row r="10341" spans="1:12" x14ac:dyDescent="0.25">
      <c r="A10341" t="str">
        <f>"7609235755"</f>
        <v>7609235755</v>
      </c>
      <c r="B10341" t="str">
        <f t="shared" ref="B10341:B10403" si="437">"89301000"</f>
        <v>89301000</v>
      </c>
      <c r="C10341" s="1">
        <v>44256</v>
      </c>
      <c r="D10341" s="1">
        <v>44261</v>
      </c>
      <c r="E10341">
        <v>1</v>
      </c>
      <c r="F10341" t="s">
        <v>4908</v>
      </c>
      <c r="G10341" t="str">
        <f>"12-C01-01"</f>
        <v>12-C01-01</v>
      </c>
      <c r="H10341">
        <v>0.65110000000000001</v>
      </c>
      <c r="I10341" t="s">
        <v>541</v>
      </c>
      <c r="J10341" t="s">
        <v>14</v>
      </c>
      <c r="K10341" t="str">
        <f>"4F2"</f>
        <v>4F2</v>
      </c>
      <c r="L10341" t="s">
        <v>15</v>
      </c>
    </row>
    <row r="10342" spans="1:12" x14ac:dyDescent="0.25">
      <c r="A10342" t="str">
        <f>"7609235755"</f>
        <v>7609235755</v>
      </c>
      <c r="B10342" t="str">
        <f t="shared" si="437"/>
        <v>89301000</v>
      </c>
      <c r="C10342" s="1">
        <v>44299</v>
      </c>
      <c r="D10342" s="1">
        <v>44303</v>
      </c>
      <c r="E10342">
        <v>1</v>
      </c>
      <c r="F10342" t="s">
        <v>4908</v>
      </c>
      <c r="G10342" t="str">
        <f>"12-C01-01"</f>
        <v>12-C01-01</v>
      </c>
      <c r="H10342">
        <v>0.65110000000000001</v>
      </c>
      <c r="I10342" t="s">
        <v>2558</v>
      </c>
      <c r="J10342" t="s">
        <v>14</v>
      </c>
      <c r="K10342" t="str">
        <f>"4F2"</f>
        <v>4F2</v>
      </c>
      <c r="L10342" t="s">
        <v>15</v>
      </c>
    </row>
    <row r="10343" spans="1:12" x14ac:dyDescent="0.25">
      <c r="A10343" t="str">
        <f>"7610015336"</f>
        <v>7610015336</v>
      </c>
      <c r="B10343" t="str">
        <f t="shared" si="437"/>
        <v>89301000</v>
      </c>
      <c r="C10343" s="1">
        <v>44385</v>
      </c>
      <c r="D10343" s="1">
        <v>44386</v>
      </c>
      <c r="E10343">
        <v>1</v>
      </c>
      <c r="F10343" t="s">
        <v>3901</v>
      </c>
      <c r="G10343" t="str">
        <f>"07-K04-03"</f>
        <v>07-K04-03</v>
      </c>
      <c r="H10343">
        <v>0.74419999999999997</v>
      </c>
      <c r="I10343" t="s">
        <v>7026</v>
      </c>
      <c r="J10343" t="s">
        <v>14</v>
      </c>
      <c r="K10343" t="str">
        <f>"1F1"</f>
        <v>1F1</v>
      </c>
      <c r="L10343" t="s">
        <v>15</v>
      </c>
    </row>
    <row r="10344" spans="1:12" x14ac:dyDescent="0.25">
      <c r="A10344" t="str">
        <f>"7610015336"</f>
        <v>7610015336</v>
      </c>
      <c r="B10344" t="str">
        <f t="shared" si="437"/>
        <v>89301000</v>
      </c>
      <c r="C10344" s="1">
        <v>44491</v>
      </c>
      <c r="D10344" s="1">
        <v>44501</v>
      </c>
      <c r="E10344">
        <v>1</v>
      </c>
      <c r="F10344" t="s">
        <v>874</v>
      </c>
      <c r="G10344" t="str">
        <f>"07-M02-01"</f>
        <v>07-M02-01</v>
      </c>
      <c r="H10344">
        <v>2.5634999999999999</v>
      </c>
      <c r="I10344" t="s">
        <v>7027</v>
      </c>
      <c r="J10344" t="s">
        <v>17</v>
      </c>
      <c r="K10344" t="str">
        <f>"1F1"</f>
        <v>1F1</v>
      </c>
      <c r="L10344" t="s">
        <v>15</v>
      </c>
    </row>
    <row r="10345" spans="1:12" x14ac:dyDescent="0.25">
      <c r="A10345" t="str">
        <f>"7610015336"</f>
        <v>7610015336</v>
      </c>
      <c r="B10345" t="str">
        <f t="shared" si="437"/>
        <v>89301000</v>
      </c>
      <c r="C10345" s="1">
        <v>44512</v>
      </c>
      <c r="D10345" s="1">
        <v>44518</v>
      </c>
      <c r="E10345">
        <v>1</v>
      </c>
      <c r="F10345" t="s">
        <v>1561</v>
      </c>
      <c r="G10345" t="str">
        <f>"07-M02-04"</f>
        <v>07-M02-04</v>
      </c>
      <c r="H10345">
        <v>0.90690000000000004</v>
      </c>
      <c r="I10345" t="s">
        <v>7028</v>
      </c>
      <c r="J10345" t="s">
        <v>17</v>
      </c>
      <c r="K10345" t="str">
        <f>"1F1"</f>
        <v>1F1</v>
      </c>
      <c r="L10345" t="s">
        <v>15</v>
      </c>
    </row>
    <row r="10346" spans="1:12" x14ac:dyDescent="0.25">
      <c r="A10346" t="str">
        <f>"7610015336"</f>
        <v>7610015336</v>
      </c>
      <c r="B10346" t="str">
        <f t="shared" si="437"/>
        <v>89301000</v>
      </c>
      <c r="C10346" s="1">
        <v>44361</v>
      </c>
      <c r="D10346" s="1">
        <v>44365</v>
      </c>
      <c r="E10346">
        <v>1</v>
      </c>
      <c r="F10346" t="s">
        <v>7029</v>
      </c>
      <c r="G10346" t="str">
        <f>"06-K20-01"</f>
        <v>06-K20-01</v>
      </c>
      <c r="H10346">
        <v>1.4596</v>
      </c>
      <c r="I10346" t="s">
        <v>7030</v>
      </c>
      <c r="J10346" t="s">
        <v>14</v>
      </c>
      <c r="K10346" t="str">
        <f>"1F5"</f>
        <v>1F5</v>
      </c>
      <c r="L10346" t="s">
        <v>15</v>
      </c>
    </row>
    <row r="10347" spans="1:12" x14ac:dyDescent="0.25">
      <c r="A10347" t="str">
        <f>"7610045355"</f>
        <v>7610045355</v>
      </c>
      <c r="B10347" t="str">
        <f t="shared" si="437"/>
        <v>89301000</v>
      </c>
      <c r="C10347" s="1">
        <v>44284</v>
      </c>
      <c r="D10347" s="1">
        <v>44285</v>
      </c>
      <c r="E10347">
        <v>1</v>
      </c>
      <c r="F10347" t="s">
        <v>215</v>
      </c>
      <c r="G10347" t="str">
        <f>"08-I15-03"</f>
        <v>08-I15-03</v>
      </c>
      <c r="H10347">
        <v>1.1838</v>
      </c>
      <c r="I10347" t="s">
        <v>7031</v>
      </c>
      <c r="J10347" t="s">
        <v>17</v>
      </c>
      <c r="K10347" t="str">
        <f>"5F3"</f>
        <v>5F3</v>
      </c>
      <c r="L10347" t="s">
        <v>15</v>
      </c>
    </row>
    <row r="10348" spans="1:12" x14ac:dyDescent="0.25">
      <c r="A10348" t="str">
        <f>"7610055365"</f>
        <v>7610055365</v>
      </c>
      <c r="B10348" t="str">
        <f t="shared" si="437"/>
        <v>89301000</v>
      </c>
      <c r="C10348" s="1">
        <v>44439</v>
      </c>
      <c r="D10348" s="1">
        <v>44444</v>
      </c>
      <c r="E10348">
        <v>1</v>
      </c>
      <c r="F10348" t="s">
        <v>2232</v>
      </c>
      <c r="G10348" t="str">
        <f>"11-I07-01"</f>
        <v>11-I07-01</v>
      </c>
      <c r="H10348">
        <v>2.5975999999999999</v>
      </c>
      <c r="I10348" t="s">
        <v>7032</v>
      </c>
      <c r="J10348" t="s">
        <v>14</v>
      </c>
      <c r="K10348" t="str">
        <f>"7F6"</f>
        <v>7F6</v>
      </c>
      <c r="L10348" t="s">
        <v>15</v>
      </c>
    </row>
    <row r="10349" spans="1:12" x14ac:dyDescent="0.25">
      <c r="A10349" t="str">
        <f>"7610065023"</f>
        <v>7610065023</v>
      </c>
      <c r="B10349" t="str">
        <f t="shared" si="437"/>
        <v>89301000</v>
      </c>
      <c r="C10349" s="1">
        <v>44447</v>
      </c>
      <c r="D10349" s="1">
        <v>44449</v>
      </c>
      <c r="E10349">
        <v>1</v>
      </c>
      <c r="F10349" t="s">
        <v>3308</v>
      </c>
      <c r="G10349" t="str">
        <f>"11-K03-02"</f>
        <v>11-K03-02</v>
      </c>
      <c r="H10349">
        <v>0.6008</v>
      </c>
      <c r="I10349" t="s">
        <v>7033</v>
      </c>
      <c r="J10349" t="s">
        <v>14</v>
      </c>
      <c r="K10349" t="str">
        <f>"1F1"</f>
        <v>1F1</v>
      </c>
      <c r="L10349" t="s">
        <v>15</v>
      </c>
    </row>
    <row r="10350" spans="1:12" x14ac:dyDescent="0.25">
      <c r="A10350" t="str">
        <f>"7610305351"</f>
        <v>7610305351</v>
      </c>
      <c r="B10350" t="str">
        <f t="shared" si="437"/>
        <v>89301000</v>
      </c>
      <c r="C10350" s="1">
        <v>44424</v>
      </c>
      <c r="D10350" s="1">
        <v>44426</v>
      </c>
      <c r="E10350">
        <v>1</v>
      </c>
      <c r="F10350" t="s">
        <v>4541</v>
      </c>
      <c r="G10350" t="str">
        <f>"03-K04-01"</f>
        <v>03-K04-01</v>
      </c>
      <c r="H10350">
        <v>0.46660000000000001</v>
      </c>
      <c r="I10350" t="s">
        <v>489</v>
      </c>
      <c r="J10350" t="s">
        <v>14</v>
      </c>
      <c r="K10350" t="str">
        <f>"7F1"</f>
        <v>7F1</v>
      </c>
      <c r="L10350" t="s">
        <v>15</v>
      </c>
    </row>
    <row r="10351" spans="1:12" x14ac:dyDescent="0.25">
      <c r="A10351" t="str">
        <f>"7611015709"</f>
        <v>7611015709</v>
      </c>
      <c r="B10351" t="str">
        <f t="shared" si="437"/>
        <v>89301000</v>
      </c>
      <c r="C10351" s="1">
        <v>44481</v>
      </c>
      <c r="D10351" s="1">
        <v>44487</v>
      </c>
      <c r="E10351">
        <v>6</v>
      </c>
      <c r="F10351" t="s">
        <v>1574</v>
      </c>
      <c r="G10351" t="str">
        <f>"05-I26-02"</f>
        <v>05-I26-02</v>
      </c>
      <c r="H10351">
        <v>1.5084</v>
      </c>
      <c r="I10351" t="s">
        <v>2036</v>
      </c>
      <c r="J10351" t="s">
        <v>14</v>
      </c>
      <c r="K10351" t="str">
        <f>"5T1"</f>
        <v>5T1</v>
      </c>
      <c r="L10351" t="s">
        <v>15</v>
      </c>
    </row>
    <row r="10352" spans="1:12" x14ac:dyDescent="0.25">
      <c r="A10352" t="str">
        <f>"7611055771"</f>
        <v>7611055771</v>
      </c>
      <c r="B10352" t="str">
        <f t="shared" si="437"/>
        <v>89301000</v>
      </c>
      <c r="C10352" s="1">
        <v>44503</v>
      </c>
      <c r="D10352" s="1">
        <v>44505</v>
      </c>
      <c r="E10352">
        <v>1</v>
      </c>
      <c r="F10352" t="s">
        <v>34</v>
      </c>
      <c r="G10352" t="str">
        <f>"08-I19-03"</f>
        <v>08-I19-03</v>
      </c>
      <c r="H10352">
        <v>0.61250000000000004</v>
      </c>
      <c r="I10352" t="s">
        <v>30</v>
      </c>
      <c r="J10352" t="s">
        <v>17</v>
      </c>
      <c r="K10352" t="str">
        <f>"5F3"</f>
        <v>5F3</v>
      </c>
      <c r="L10352" t="s">
        <v>15</v>
      </c>
    </row>
    <row r="10353" spans="1:12" x14ac:dyDescent="0.25">
      <c r="A10353" t="str">
        <f>"7611055782"</f>
        <v>7611055782</v>
      </c>
      <c r="B10353" t="str">
        <f t="shared" si="437"/>
        <v>89301000</v>
      </c>
      <c r="C10353" s="1">
        <v>44202</v>
      </c>
      <c r="D10353" s="1">
        <v>44211</v>
      </c>
      <c r="E10353">
        <v>1</v>
      </c>
      <c r="F10353" t="s">
        <v>4721</v>
      </c>
      <c r="G10353" t="str">
        <f>"04-I05-03"</f>
        <v>04-I05-03</v>
      </c>
      <c r="H10353">
        <v>2.1143000000000001</v>
      </c>
      <c r="I10353" t="s">
        <v>4136</v>
      </c>
      <c r="J10353" t="s">
        <v>106</v>
      </c>
      <c r="K10353" t="str">
        <f>"5F1"</f>
        <v>5F1</v>
      </c>
      <c r="L10353" t="s">
        <v>15</v>
      </c>
    </row>
    <row r="10354" spans="1:12" x14ac:dyDescent="0.25">
      <c r="A10354" t="str">
        <f>"7611135378"</f>
        <v>7611135378</v>
      </c>
      <c r="B10354" t="str">
        <f t="shared" si="437"/>
        <v>89301000</v>
      </c>
      <c r="C10354" s="1">
        <v>44412</v>
      </c>
      <c r="D10354" s="1">
        <v>44414</v>
      </c>
      <c r="E10354">
        <v>1</v>
      </c>
      <c r="F10354" t="s">
        <v>6634</v>
      </c>
      <c r="G10354" t="str">
        <f>"08-I16-04"</f>
        <v>08-I16-04</v>
      </c>
      <c r="H10354">
        <v>0.92159999999999997</v>
      </c>
      <c r="I10354" t="s">
        <v>381</v>
      </c>
      <c r="J10354" t="s">
        <v>17</v>
      </c>
      <c r="K10354" t="str">
        <f>"5F3"</f>
        <v>5F3</v>
      </c>
      <c r="L10354" t="s">
        <v>15</v>
      </c>
    </row>
    <row r="10355" spans="1:12" x14ac:dyDescent="0.25">
      <c r="A10355" t="str">
        <f>"7611135378"</f>
        <v>7611135378</v>
      </c>
      <c r="B10355" t="str">
        <f t="shared" si="437"/>
        <v>89301000</v>
      </c>
      <c r="C10355" s="1">
        <v>44448</v>
      </c>
      <c r="D10355" s="1">
        <v>44453</v>
      </c>
      <c r="E10355">
        <v>1</v>
      </c>
      <c r="F10355" t="s">
        <v>307</v>
      </c>
      <c r="G10355" t="str">
        <f>"08-K03-03"</f>
        <v>08-K03-03</v>
      </c>
      <c r="H10355">
        <v>0.80700000000000005</v>
      </c>
      <c r="I10355" t="s">
        <v>381</v>
      </c>
      <c r="J10355" t="s">
        <v>14</v>
      </c>
      <c r="K10355" t="str">
        <f>"5F3"</f>
        <v>5F3</v>
      </c>
      <c r="L10355" t="s">
        <v>15</v>
      </c>
    </row>
    <row r="10356" spans="1:12" x14ac:dyDescent="0.25">
      <c r="A10356" t="str">
        <f>"7611154606"</f>
        <v>7611154606</v>
      </c>
      <c r="B10356" t="str">
        <f t="shared" si="437"/>
        <v>89301000</v>
      </c>
      <c r="C10356" s="1">
        <v>44197</v>
      </c>
      <c r="D10356" s="1">
        <v>44198</v>
      </c>
      <c r="E10356">
        <v>1</v>
      </c>
      <c r="F10356" t="s">
        <v>5693</v>
      </c>
      <c r="G10356" t="str">
        <f>"12-K10-00"</f>
        <v>12-K10-00</v>
      </c>
      <c r="H10356">
        <v>0.38219999999999998</v>
      </c>
      <c r="I10356" t="s">
        <v>381</v>
      </c>
      <c r="J10356" t="s">
        <v>14</v>
      </c>
      <c r="K10356" t="str">
        <f>"7F6"</f>
        <v>7F6</v>
      </c>
      <c r="L10356" t="s">
        <v>15</v>
      </c>
    </row>
    <row r="10357" spans="1:12" x14ac:dyDescent="0.25">
      <c r="A10357" t="str">
        <f>"7611155354"</f>
        <v>7611155354</v>
      </c>
      <c r="B10357" t="str">
        <f t="shared" si="437"/>
        <v>89301000</v>
      </c>
      <c r="C10357" s="1">
        <v>44429</v>
      </c>
      <c r="D10357" s="1">
        <v>44429</v>
      </c>
      <c r="E10357">
        <v>8</v>
      </c>
      <c r="F10357" t="s">
        <v>5994</v>
      </c>
      <c r="G10357" t="str">
        <f>"12-K06-00"</f>
        <v>12-K06-00</v>
      </c>
      <c r="H10357">
        <v>0.28449999999999998</v>
      </c>
      <c r="I10357" t="s">
        <v>2559</v>
      </c>
      <c r="J10357" t="s">
        <v>14</v>
      </c>
      <c r="K10357" t="str">
        <f>"4F2"</f>
        <v>4F2</v>
      </c>
      <c r="L10357" t="s">
        <v>15</v>
      </c>
    </row>
    <row r="10358" spans="1:12" x14ac:dyDescent="0.25">
      <c r="A10358" t="str">
        <f>"7611155354"</f>
        <v>7611155354</v>
      </c>
      <c r="B10358" t="str">
        <f t="shared" si="437"/>
        <v>89301000</v>
      </c>
      <c r="C10358" s="1">
        <v>44221</v>
      </c>
      <c r="D10358" s="1">
        <v>44237</v>
      </c>
      <c r="E10358">
        <v>1</v>
      </c>
      <c r="F10358" t="s">
        <v>5994</v>
      </c>
      <c r="G10358" t="str">
        <f>"12-C01-01"</f>
        <v>12-C01-01</v>
      </c>
      <c r="H10358">
        <v>1.0096000000000001</v>
      </c>
      <c r="I10358" t="s">
        <v>7034</v>
      </c>
      <c r="J10358" t="s">
        <v>14</v>
      </c>
      <c r="K10358" t="str">
        <f>"1F6"</f>
        <v>1F6</v>
      </c>
      <c r="L10358" t="s">
        <v>15</v>
      </c>
    </row>
    <row r="10359" spans="1:12" x14ac:dyDescent="0.25">
      <c r="A10359" t="str">
        <f>"7611155354"</f>
        <v>7611155354</v>
      </c>
      <c r="B10359" t="str">
        <f t="shared" si="437"/>
        <v>89301000</v>
      </c>
      <c r="C10359" s="1">
        <v>44245</v>
      </c>
      <c r="D10359" s="1">
        <v>44250</v>
      </c>
      <c r="E10359">
        <v>1</v>
      </c>
      <c r="F10359" t="s">
        <v>5994</v>
      </c>
      <c r="G10359" t="str">
        <f>"12-C01-01"</f>
        <v>12-C01-01</v>
      </c>
      <c r="H10359">
        <v>0.65110000000000001</v>
      </c>
      <c r="I10359" t="s">
        <v>7035</v>
      </c>
      <c r="J10359" t="s">
        <v>14</v>
      </c>
      <c r="K10359" t="str">
        <f>"4F2"</f>
        <v>4F2</v>
      </c>
      <c r="L10359" t="s">
        <v>15</v>
      </c>
    </row>
    <row r="10360" spans="1:12" x14ac:dyDescent="0.25">
      <c r="A10360" t="str">
        <f>"7611155354"</f>
        <v>7611155354</v>
      </c>
      <c r="B10360" t="str">
        <f t="shared" si="437"/>
        <v>89301000</v>
      </c>
      <c r="C10360" s="1">
        <v>44270</v>
      </c>
      <c r="D10360" s="1">
        <v>44274</v>
      </c>
      <c r="E10360">
        <v>1</v>
      </c>
      <c r="F10360" t="s">
        <v>5994</v>
      </c>
      <c r="G10360" t="str">
        <f>"12-C01-01"</f>
        <v>12-C01-01</v>
      </c>
      <c r="H10360">
        <v>0.65110000000000001</v>
      </c>
      <c r="I10360" t="s">
        <v>7035</v>
      </c>
      <c r="J10360" t="s">
        <v>14</v>
      </c>
      <c r="K10360" t="str">
        <f>"4F2"</f>
        <v>4F2</v>
      </c>
      <c r="L10360" t="s">
        <v>15</v>
      </c>
    </row>
    <row r="10361" spans="1:12" x14ac:dyDescent="0.25">
      <c r="A10361" t="str">
        <f>"7611225677"</f>
        <v>7611225677</v>
      </c>
      <c r="B10361" t="str">
        <f t="shared" si="437"/>
        <v>89301000</v>
      </c>
      <c r="C10361" s="1">
        <v>44539</v>
      </c>
      <c r="D10361" s="1">
        <v>44542</v>
      </c>
      <c r="E10361">
        <v>1</v>
      </c>
      <c r="F10361" t="s">
        <v>47</v>
      </c>
      <c r="G10361" t="str">
        <f>"08-M03-04"</f>
        <v>08-M03-04</v>
      </c>
      <c r="H10361">
        <v>1.1169</v>
      </c>
      <c r="J10361" t="s">
        <v>14</v>
      </c>
      <c r="K10361" t="str">
        <f>"6F6"</f>
        <v>6F6</v>
      </c>
      <c r="L10361" t="s">
        <v>15</v>
      </c>
    </row>
    <row r="10362" spans="1:12" x14ac:dyDescent="0.25">
      <c r="A10362" t="str">
        <f>"7611225699"</f>
        <v>7611225699</v>
      </c>
      <c r="B10362" t="str">
        <f t="shared" si="437"/>
        <v>89301000</v>
      </c>
      <c r="C10362" s="1">
        <v>44342</v>
      </c>
      <c r="D10362" s="1">
        <v>44345</v>
      </c>
      <c r="E10362">
        <v>1</v>
      </c>
      <c r="F10362" t="s">
        <v>5236</v>
      </c>
      <c r="G10362" t="str">
        <f>"08-I19-03"</f>
        <v>08-I19-03</v>
      </c>
      <c r="H10362">
        <v>0.61250000000000004</v>
      </c>
      <c r="I10362" t="s">
        <v>137</v>
      </c>
      <c r="J10362" t="s">
        <v>17</v>
      </c>
      <c r="K10362" t="str">
        <f>"6F6"</f>
        <v>6F6</v>
      </c>
      <c r="L10362" t="s">
        <v>15</v>
      </c>
    </row>
    <row r="10363" spans="1:12" x14ac:dyDescent="0.25">
      <c r="A10363" t="str">
        <f>"7612015367"</f>
        <v>7612015367</v>
      </c>
      <c r="B10363" t="str">
        <f t="shared" si="437"/>
        <v>89301000</v>
      </c>
      <c r="C10363" s="1">
        <v>44360</v>
      </c>
      <c r="D10363" s="1">
        <v>44362</v>
      </c>
      <c r="E10363">
        <v>1</v>
      </c>
      <c r="F10363" t="s">
        <v>457</v>
      </c>
      <c r="G10363" t="str">
        <f>"08-I16-04"</f>
        <v>08-I16-04</v>
      </c>
      <c r="H10363">
        <v>0.92159999999999997</v>
      </c>
      <c r="I10363" t="s">
        <v>244</v>
      </c>
      <c r="J10363" t="s">
        <v>17</v>
      </c>
      <c r="K10363" t="str">
        <f>"5F3"</f>
        <v>5F3</v>
      </c>
      <c r="L10363" t="s">
        <v>15</v>
      </c>
    </row>
    <row r="10364" spans="1:12" x14ac:dyDescent="0.25">
      <c r="A10364" t="str">
        <f>"7612165308"</f>
        <v>7612165308</v>
      </c>
      <c r="B10364" t="str">
        <f t="shared" si="437"/>
        <v>89301000</v>
      </c>
      <c r="C10364" s="1">
        <v>44221</v>
      </c>
      <c r="D10364" s="1">
        <v>44223</v>
      </c>
      <c r="E10364">
        <v>1</v>
      </c>
      <c r="F10364" t="s">
        <v>7036</v>
      </c>
      <c r="G10364" t="str">
        <f>"08-M03-03"</f>
        <v>08-M03-03</v>
      </c>
      <c r="H10364">
        <v>0.69450000000000001</v>
      </c>
      <c r="I10364" t="s">
        <v>7037</v>
      </c>
      <c r="J10364" t="s">
        <v>14</v>
      </c>
      <c r="K10364" t="str">
        <f>"5F3"</f>
        <v>5F3</v>
      </c>
      <c r="L10364" t="s">
        <v>15</v>
      </c>
    </row>
    <row r="10365" spans="1:12" x14ac:dyDescent="0.25">
      <c r="A10365" t="str">
        <f>"7612315348"</f>
        <v>7612315348</v>
      </c>
      <c r="B10365" t="str">
        <f t="shared" si="437"/>
        <v>89301000</v>
      </c>
      <c r="C10365" s="1">
        <v>44363</v>
      </c>
      <c r="D10365" s="1">
        <v>44365</v>
      </c>
      <c r="E10365">
        <v>1</v>
      </c>
      <c r="F10365" t="s">
        <v>16</v>
      </c>
      <c r="G10365" t="str">
        <f>"08-I04-03"</f>
        <v>08-I04-03</v>
      </c>
      <c r="H10365">
        <v>1.331</v>
      </c>
      <c r="J10365" t="s">
        <v>17</v>
      </c>
      <c r="K10365" t="str">
        <f>"5F6"</f>
        <v>5F6</v>
      </c>
      <c r="L10365" t="s">
        <v>15</v>
      </c>
    </row>
    <row r="10366" spans="1:12" x14ac:dyDescent="0.25">
      <c r="A10366" t="str">
        <f>"7651135822"</f>
        <v>7651135822</v>
      </c>
      <c r="B10366" t="str">
        <f t="shared" si="437"/>
        <v>89301000</v>
      </c>
      <c r="C10366" s="1">
        <v>44481</v>
      </c>
      <c r="D10366" s="1">
        <v>44484</v>
      </c>
      <c r="E10366">
        <v>1</v>
      </c>
      <c r="F10366" t="s">
        <v>631</v>
      </c>
      <c r="G10366" t="str">
        <f>"06-I18-05"</f>
        <v>06-I18-05</v>
      </c>
      <c r="H10366">
        <v>0.85550000000000004</v>
      </c>
      <c r="I10366" t="s">
        <v>43</v>
      </c>
      <c r="J10366" t="s">
        <v>24</v>
      </c>
      <c r="K10366" t="str">
        <f>"5F1"</f>
        <v>5F1</v>
      </c>
      <c r="L10366" t="s">
        <v>15</v>
      </c>
    </row>
    <row r="10367" spans="1:12" x14ac:dyDescent="0.25">
      <c r="A10367" t="str">
        <f>"7651135822"</f>
        <v>7651135822</v>
      </c>
      <c r="B10367" t="str">
        <f t="shared" si="437"/>
        <v>89301000</v>
      </c>
      <c r="C10367" s="1">
        <v>44411</v>
      </c>
      <c r="D10367" s="1">
        <v>44420</v>
      </c>
      <c r="E10367">
        <v>1</v>
      </c>
      <c r="F10367" t="s">
        <v>43</v>
      </c>
      <c r="G10367" t="str">
        <f>"06-K05-02"</f>
        <v>06-K05-02</v>
      </c>
      <c r="H10367">
        <v>0.48309999999999997</v>
      </c>
      <c r="I10367" t="s">
        <v>489</v>
      </c>
      <c r="J10367" t="s">
        <v>14</v>
      </c>
      <c r="K10367" t="str">
        <f>"5F1"</f>
        <v>5F1</v>
      </c>
      <c r="L10367" t="s">
        <v>15</v>
      </c>
    </row>
    <row r="10368" spans="1:12" x14ac:dyDescent="0.25">
      <c r="A10368" t="str">
        <f>"7651184464"</f>
        <v>7651184464</v>
      </c>
      <c r="B10368" t="str">
        <f t="shared" si="437"/>
        <v>89301000</v>
      </c>
      <c r="C10368" s="1">
        <v>44225</v>
      </c>
      <c r="D10368" s="1">
        <v>44253</v>
      </c>
      <c r="E10368">
        <v>1</v>
      </c>
      <c r="F10368" t="s">
        <v>109</v>
      </c>
      <c r="G10368" t="str">
        <f>"24-M09-02"</f>
        <v>24-M09-02</v>
      </c>
      <c r="H10368">
        <v>3.2679999999999998</v>
      </c>
      <c r="I10368" t="s">
        <v>7038</v>
      </c>
      <c r="J10368" t="s">
        <v>14</v>
      </c>
      <c r="K10368" t="str">
        <f>"2F1"</f>
        <v>2F1</v>
      </c>
      <c r="L10368" t="s">
        <v>15</v>
      </c>
    </row>
    <row r="10369" spans="1:12" x14ac:dyDescent="0.25">
      <c r="A10369" t="str">
        <f>"7651184464"</f>
        <v>7651184464</v>
      </c>
      <c r="B10369" t="str">
        <f t="shared" si="437"/>
        <v>89301000</v>
      </c>
      <c r="C10369" s="1">
        <v>44197</v>
      </c>
      <c r="D10369" s="1">
        <v>44225</v>
      </c>
      <c r="E10369">
        <v>3</v>
      </c>
      <c r="F10369" t="s">
        <v>217</v>
      </c>
      <c r="G10369" t="str">
        <f>"00-M02-04"</f>
        <v>00-M02-04</v>
      </c>
      <c r="H10369">
        <v>12.071199999999999</v>
      </c>
      <c r="I10369" t="s">
        <v>7039</v>
      </c>
      <c r="J10369" t="s">
        <v>14</v>
      </c>
      <c r="K10369" t="str">
        <f>"2F5"</f>
        <v>2F5</v>
      </c>
      <c r="L10369" t="s">
        <v>15</v>
      </c>
    </row>
    <row r="10370" spans="1:12" x14ac:dyDescent="0.25">
      <c r="A10370" t="str">
        <f>"7651185311"</f>
        <v>7651185311</v>
      </c>
      <c r="B10370" t="str">
        <f t="shared" si="437"/>
        <v>89301000</v>
      </c>
      <c r="C10370" s="1">
        <v>44286</v>
      </c>
      <c r="D10370" s="1">
        <v>44290</v>
      </c>
      <c r="E10370">
        <v>1</v>
      </c>
      <c r="F10370" t="s">
        <v>2495</v>
      </c>
      <c r="G10370" t="str">
        <f>"13-I11-03"</f>
        <v>13-I11-03</v>
      </c>
      <c r="H10370">
        <v>1.3809</v>
      </c>
      <c r="J10370" t="s">
        <v>24</v>
      </c>
      <c r="K10370" t="str">
        <f>"6F3"</f>
        <v>6F3</v>
      </c>
      <c r="L10370" t="s">
        <v>15</v>
      </c>
    </row>
    <row r="10371" spans="1:12" x14ac:dyDescent="0.25">
      <c r="A10371" t="str">
        <f>"7651225384"</f>
        <v>7651225384</v>
      </c>
      <c r="B10371" t="str">
        <f t="shared" si="437"/>
        <v>89301000</v>
      </c>
      <c r="C10371" s="1">
        <v>44222</v>
      </c>
      <c r="D10371" s="1">
        <v>44228</v>
      </c>
      <c r="E10371">
        <v>8</v>
      </c>
      <c r="F10371" t="s">
        <v>718</v>
      </c>
      <c r="G10371" t="str">
        <f>"00-M01-03"</f>
        <v>00-M01-03</v>
      </c>
      <c r="H10371">
        <v>8.7936999999999994</v>
      </c>
      <c r="I10371" t="s">
        <v>7040</v>
      </c>
      <c r="J10371" t="s">
        <v>14</v>
      </c>
      <c r="K10371" t="str">
        <f>"5T1"</f>
        <v>5T1</v>
      </c>
      <c r="L10371" t="s">
        <v>15</v>
      </c>
    </row>
    <row r="10372" spans="1:12" x14ac:dyDescent="0.25">
      <c r="A10372" t="str">
        <f>"7651235317"</f>
        <v>7651235317</v>
      </c>
      <c r="B10372" t="str">
        <f t="shared" si="437"/>
        <v>89301000</v>
      </c>
      <c r="C10372" s="1">
        <v>44489</v>
      </c>
      <c r="D10372" s="1">
        <v>44493</v>
      </c>
      <c r="E10372">
        <v>1</v>
      </c>
      <c r="F10372" t="s">
        <v>2495</v>
      </c>
      <c r="G10372" t="str">
        <f>"13-I11-03"</f>
        <v>13-I11-03</v>
      </c>
      <c r="H10372">
        <v>1.3809</v>
      </c>
      <c r="J10372" t="s">
        <v>24</v>
      </c>
      <c r="K10372" t="str">
        <f>"6F3"</f>
        <v>6F3</v>
      </c>
      <c r="L10372" t="s">
        <v>15</v>
      </c>
    </row>
    <row r="10373" spans="1:12" x14ac:dyDescent="0.25">
      <c r="A10373" t="str">
        <f>"7651294860"</f>
        <v>7651294860</v>
      </c>
      <c r="B10373" t="str">
        <f t="shared" si="437"/>
        <v>89301000</v>
      </c>
      <c r="C10373" s="1">
        <v>44266</v>
      </c>
      <c r="D10373" s="1">
        <v>44267</v>
      </c>
      <c r="E10373">
        <v>2</v>
      </c>
      <c r="F10373" t="s">
        <v>496</v>
      </c>
      <c r="G10373" t="str">
        <f>"08-M03-05"</f>
        <v>08-M03-05</v>
      </c>
      <c r="H10373">
        <v>0.51759999999999995</v>
      </c>
      <c r="I10373" t="s">
        <v>2407</v>
      </c>
      <c r="J10373" t="s">
        <v>14</v>
      </c>
      <c r="K10373" t="str">
        <f>"6F6"</f>
        <v>6F6</v>
      </c>
      <c r="L10373" t="s">
        <v>15</v>
      </c>
    </row>
    <row r="10374" spans="1:12" x14ac:dyDescent="0.25">
      <c r="A10374" t="str">
        <f>"7652034456"</f>
        <v>7652034456</v>
      </c>
      <c r="B10374" t="str">
        <f t="shared" si="437"/>
        <v>89301000</v>
      </c>
      <c r="C10374" s="1">
        <v>44433</v>
      </c>
      <c r="D10374" s="1">
        <v>44435</v>
      </c>
      <c r="E10374">
        <v>1</v>
      </c>
      <c r="F10374" t="s">
        <v>2576</v>
      </c>
      <c r="G10374" t="str">
        <f>"11-I14-02"</f>
        <v>11-I14-02</v>
      </c>
      <c r="H10374">
        <v>0.63060000000000005</v>
      </c>
      <c r="J10374" t="s">
        <v>24</v>
      </c>
      <c r="K10374" t="str">
        <f>"6F3"</f>
        <v>6F3</v>
      </c>
      <c r="L10374" t="s">
        <v>15</v>
      </c>
    </row>
    <row r="10375" spans="1:12" x14ac:dyDescent="0.25">
      <c r="A10375" t="str">
        <f>"7652095374"</f>
        <v>7652095374</v>
      </c>
      <c r="B10375" t="str">
        <f t="shared" si="437"/>
        <v>89301000</v>
      </c>
      <c r="C10375" s="1">
        <v>44365</v>
      </c>
      <c r="D10375" s="1">
        <v>44366</v>
      </c>
      <c r="E10375">
        <v>1</v>
      </c>
      <c r="F10375" t="s">
        <v>7041</v>
      </c>
      <c r="G10375" t="str">
        <f>"13-I19-00"</f>
        <v>13-I19-00</v>
      </c>
      <c r="H10375">
        <v>0.24679999999999999</v>
      </c>
      <c r="J10375" t="s">
        <v>14</v>
      </c>
      <c r="K10375" t="str">
        <f>"6F3"</f>
        <v>6F3</v>
      </c>
      <c r="L10375" t="s">
        <v>15</v>
      </c>
    </row>
    <row r="10376" spans="1:12" x14ac:dyDescent="0.25">
      <c r="A10376" t="str">
        <f>"7652185310"</f>
        <v>7652185310</v>
      </c>
      <c r="B10376" t="str">
        <f t="shared" si="437"/>
        <v>89301000</v>
      </c>
      <c r="C10376" s="1">
        <v>44216</v>
      </c>
      <c r="D10376" s="1">
        <v>44217</v>
      </c>
      <c r="E10376">
        <v>1</v>
      </c>
      <c r="F10376" t="s">
        <v>700</v>
      </c>
      <c r="G10376" t="str">
        <f>"13-I19-00"</f>
        <v>13-I19-00</v>
      </c>
      <c r="H10376">
        <v>0.24679999999999999</v>
      </c>
      <c r="J10376" t="s">
        <v>14</v>
      </c>
      <c r="K10376" t="str">
        <f>"6F3"</f>
        <v>6F3</v>
      </c>
      <c r="L10376" t="s">
        <v>15</v>
      </c>
    </row>
    <row r="10377" spans="1:12" x14ac:dyDescent="0.25">
      <c r="A10377" t="str">
        <f>"7652204868"</f>
        <v>7652204868</v>
      </c>
      <c r="B10377" t="str">
        <f t="shared" si="437"/>
        <v>89301000</v>
      </c>
      <c r="C10377" s="1">
        <v>44481</v>
      </c>
      <c r="D10377" s="1">
        <v>44484</v>
      </c>
      <c r="E10377">
        <v>1</v>
      </c>
      <c r="F10377" t="s">
        <v>4237</v>
      </c>
      <c r="G10377" t="str">
        <f>"03-I23-00"</f>
        <v>03-I23-00</v>
      </c>
      <c r="H10377">
        <v>0.47639999999999999</v>
      </c>
      <c r="I10377" t="s">
        <v>320</v>
      </c>
      <c r="J10377" t="s">
        <v>14</v>
      </c>
      <c r="K10377" t="str">
        <f>"6F5"</f>
        <v>6F5</v>
      </c>
      <c r="L10377" t="s">
        <v>15</v>
      </c>
    </row>
    <row r="10378" spans="1:12" x14ac:dyDescent="0.25">
      <c r="A10378" t="str">
        <f>"7652245799"</f>
        <v>7652245799</v>
      </c>
      <c r="B10378" t="str">
        <f t="shared" si="437"/>
        <v>89301000</v>
      </c>
      <c r="C10378" s="1">
        <v>44536</v>
      </c>
      <c r="D10378" s="1">
        <v>44540</v>
      </c>
      <c r="E10378">
        <v>1</v>
      </c>
      <c r="F10378" t="s">
        <v>1551</v>
      </c>
      <c r="G10378" t="str">
        <f>"09-I06-04"</f>
        <v>09-I06-04</v>
      </c>
      <c r="H10378">
        <v>0.98829999999999996</v>
      </c>
      <c r="J10378" t="s">
        <v>17</v>
      </c>
      <c r="K10378" t="str">
        <f>"5F1"</f>
        <v>5F1</v>
      </c>
      <c r="L10378" t="s">
        <v>15</v>
      </c>
    </row>
    <row r="10379" spans="1:12" x14ac:dyDescent="0.25">
      <c r="A10379" t="str">
        <f>"7653065343"</f>
        <v>7653065343</v>
      </c>
      <c r="B10379" t="str">
        <f t="shared" si="437"/>
        <v>89301000</v>
      </c>
      <c r="C10379" s="1">
        <v>44459</v>
      </c>
      <c r="D10379" s="1">
        <v>44464</v>
      </c>
      <c r="E10379">
        <v>1</v>
      </c>
      <c r="F10379" t="s">
        <v>2350</v>
      </c>
      <c r="G10379" t="str">
        <f>"01-I09-01"</f>
        <v>01-I09-01</v>
      </c>
      <c r="H10379">
        <v>2.2982</v>
      </c>
      <c r="I10379" t="s">
        <v>7042</v>
      </c>
      <c r="J10379" t="s">
        <v>17</v>
      </c>
      <c r="K10379" t="str">
        <f>"5F1"</f>
        <v>5F1</v>
      </c>
      <c r="L10379" t="s">
        <v>15</v>
      </c>
    </row>
    <row r="10380" spans="1:12" x14ac:dyDescent="0.25">
      <c r="A10380" t="str">
        <f>"7653065706"</f>
        <v>7653065706</v>
      </c>
      <c r="B10380" t="str">
        <f t="shared" si="437"/>
        <v>89301000</v>
      </c>
      <c r="C10380" s="1">
        <v>44270</v>
      </c>
      <c r="D10380" s="1">
        <v>44293</v>
      </c>
      <c r="E10380">
        <v>1</v>
      </c>
      <c r="F10380" t="s">
        <v>5728</v>
      </c>
      <c r="G10380" t="str">
        <f>"19-M01-00"</f>
        <v>19-M01-00</v>
      </c>
      <c r="H10380">
        <v>2.39</v>
      </c>
      <c r="I10380" t="s">
        <v>7043</v>
      </c>
      <c r="J10380" t="s">
        <v>27</v>
      </c>
      <c r="K10380" t="str">
        <f>"3F5"</f>
        <v>3F5</v>
      </c>
      <c r="L10380" t="s">
        <v>15</v>
      </c>
    </row>
    <row r="10381" spans="1:12" x14ac:dyDescent="0.25">
      <c r="A10381" t="str">
        <f>"7653185331"</f>
        <v>7653185331</v>
      </c>
      <c r="B10381" t="str">
        <f t="shared" si="437"/>
        <v>89301000</v>
      </c>
      <c r="C10381" s="1">
        <v>44340</v>
      </c>
      <c r="D10381" s="1">
        <v>44343</v>
      </c>
      <c r="E10381">
        <v>1</v>
      </c>
      <c r="F10381" t="s">
        <v>173</v>
      </c>
      <c r="G10381" t="str">
        <f>"08-I32-02"</f>
        <v>08-I32-02</v>
      </c>
      <c r="H10381">
        <v>0.4143</v>
      </c>
      <c r="J10381" t="s">
        <v>14</v>
      </c>
      <c r="K10381" t="str">
        <f>"5F3"</f>
        <v>5F3</v>
      </c>
      <c r="L10381" t="s">
        <v>15</v>
      </c>
    </row>
    <row r="10382" spans="1:12" x14ac:dyDescent="0.25">
      <c r="A10382" t="str">
        <f>"7653195781"</f>
        <v>7653195781</v>
      </c>
      <c r="B10382" t="str">
        <f t="shared" si="437"/>
        <v>89301000</v>
      </c>
      <c r="C10382" s="1">
        <v>44271</v>
      </c>
      <c r="D10382" s="1">
        <v>44281</v>
      </c>
      <c r="E10382">
        <v>1</v>
      </c>
      <c r="F10382" t="s">
        <v>109</v>
      </c>
      <c r="G10382" t="str">
        <f>"24-M06-02"</f>
        <v>24-M06-02</v>
      </c>
      <c r="H10382">
        <v>1.0233000000000001</v>
      </c>
      <c r="I10382" t="s">
        <v>7044</v>
      </c>
      <c r="J10382" t="s">
        <v>14</v>
      </c>
      <c r="K10382" t="str">
        <f>"2F1"</f>
        <v>2F1</v>
      </c>
      <c r="L10382" t="s">
        <v>15</v>
      </c>
    </row>
    <row r="10383" spans="1:12" x14ac:dyDescent="0.25">
      <c r="A10383" t="str">
        <f>"7653235821"</f>
        <v>7653235821</v>
      </c>
      <c r="B10383" t="str">
        <f t="shared" si="437"/>
        <v>89301000</v>
      </c>
      <c r="C10383" s="1">
        <v>44503</v>
      </c>
      <c r="D10383" s="1">
        <v>44518</v>
      </c>
      <c r="E10383">
        <v>1</v>
      </c>
      <c r="F10383" t="s">
        <v>98</v>
      </c>
      <c r="G10383" t="str">
        <f>"19-K05-02"</f>
        <v>19-K05-02</v>
      </c>
      <c r="H10383">
        <v>1.8835999999999999</v>
      </c>
      <c r="J10383" t="s">
        <v>27</v>
      </c>
      <c r="K10383" t="str">
        <f>"3F5"</f>
        <v>3F5</v>
      </c>
      <c r="L10383" t="s">
        <v>15</v>
      </c>
    </row>
    <row r="10384" spans="1:12" x14ac:dyDescent="0.25">
      <c r="A10384" t="str">
        <f>"7653244808"</f>
        <v>7653244808</v>
      </c>
      <c r="B10384" t="str">
        <f t="shared" si="437"/>
        <v>89301000</v>
      </c>
      <c r="C10384" s="1">
        <v>44403</v>
      </c>
      <c r="D10384" s="1">
        <v>44406</v>
      </c>
      <c r="E10384">
        <v>1</v>
      </c>
      <c r="F10384" t="s">
        <v>2373</v>
      </c>
      <c r="G10384" t="str">
        <f>"06-M01-02"</f>
        <v>06-M01-02</v>
      </c>
      <c r="H10384">
        <v>1.3001</v>
      </c>
      <c r="I10384" t="s">
        <v>1586</v>
      </c>
      <c r="J10384" t="s">
        <v>14</v>
      </c>
      <c r="K10384" t="str">
        <f>"1F5"</f>
        <v>1F5</v>
      </c>
      <c r="L10384" t="s">
        <v>15</v>
      </c>
    </row>
    <row r="10385" spans="1:12" x14ac:dyDescent="0.25">
      <c r="A10385" t="str">
        <f>"7654015336"</f>
        <v>7654015336</v>
      </c>
      <c r="B10385" t="str">
        <f t="shared" si="437"/>
        <v>89301000</v>
      </c>
      <c r="C10385" s="1">
        <v>44542</v>
      </c>
      <c r="D10385" s="1">
        <v>44553</v>
      </c>
      <c r="E10385">
        <v>1</v>
      </c>
      <c r="F10385" t="s">
        <v>4491</v>
      </c>
      <c r="G10385" t="str">
        <f>"01-K01-02"</f>
        <v>01-K01-02</v>
      </c>
      <c r="H10385">
        <v>0.6885</v>
      </c>
      <c r="I10385" t="s">
        <v>7045</v>
      </c>
      <c r="J10385" t="s">
        <v>14</v>
      </c>
      <c r="K10385" t="str">
        <f>"3F5"</f>
        <v>3F5</v>
      </c>
      <c r="L10385" t="s">
        <v>15</v>
      </c>
    </row>
    <row r="10386" spans="1:12" x14ac:dyDescent="0.25">
      <c r="A10386" t="str">
        <f>"7654015336"</f>
        <v>7654015336</v>
      </c>
      <c r="B10386" t="str">
        <f t="shared" si="437"/>
        <v>89301000</v>
      </c>
      <c r="C10386" s="1">
        <v>44264</v>
      </c>
      <c r="D10386" s="1">
        <v>44266</v>
      </c>
      <c r="E10386">
        <v>1</v>
      </c>
      <c r="F10386" t="s">
        <v>649</v>
      </c>
      <c r="G10386" t="str">
        <f>"18-K02-04"</f>
        <v>18-K02-04</v>
      </c>
      <c r="H10386">
        <v>0.83260000000000001</v>
      </c>
      <c r="I10386" t="s">
        <v>5660</v>
      </c>
      <c r="J10386" t="s">
        <v>14</v>
      </c>
      <c r="K10386" t="str">
        <f>"1F1"</f>
        <v>1F1</v>
      </c>
      <c r="L10386" t="s">
        <v>15</v>
      </c>
    </row>
    <row r="10387" spans="1:12" x14ac:dyDescent="0.25">
      <c r="A10387" t="str">
        <f>"7654035785"</f>
        <v>7654035785</v>
      </c>
      <c r="B10387" t="str">
        <f t="shared" si="437"/>
        <v>89301000</v>
      </c>
      <c r="C10387" s="1">
        <v>44299</v>
      </c>
      <c r="D10387" s="1">
        <v>44302</v>
      </c>
      <c r="E10387">
        <v>1</v>
      </c>
      <c r="F10387" t="s">
        <v>38</v>
      </c>
      <c r="G10387" t="str">
        <f>"05-D01-06"</f>
        <v>05-D01-06</v>
      </c>
      <c r="H10387">
        <v>0.7611</v>
      </c>
      <c r="I10387" t="s">
        <v>2183</v>
      </c>
      <c r="J10387" t="s">
        <v>14</v>
      </c>
      <c r="K10387" t="str">
        <f>"1F1"</f>
        <v>1F1</v>
      </c>
      <c r="L10387" t="s">
        <v>15</v>
      </c>
    </row>
    <row r="10388" spans="1:12" x14ac:dyDescent="0.25">
      <c r="A10388" t="str">
        <f>"7654045322"</f>
        <v>7654045322</v>
      </c>
      <c r="B10388" t="str">
        <f t="shared" si="437"/>
        <v>89301000</v>
      </c>
      <c r="C10388" s="1">
        <v>44535</v>
      </c>
      <c r="D10388" s="1">
        <v>44537</v>
      </c>
      <c r="E10388">
        <v>1</v>
      </c>
      <c r="F10388" t="s">
        <v>217</v>
      </c>
      <c r="G10388" t="str">
        <f>"04-K02-04"</f>
        <v>04-K02-04</v>
      </c>
      <c r="H10388">
        <v>0.82469999999999999</v>
      </c>
      <c r="I10388" t="s">
        <v>7046</v>
      </c>
      <c r="J10388" t="s">
        <v>14</v>
      </c>
      <c r="K10388" t="str">
        <f>"1F1"</f>
        <v>1F1</v>
      </c>
      <c r="L10388" t="s">
        <v>15</v>
      </c>
    </row>
    <row r="10389" spans="1:12" x14ac:dyDescent="0.25">
      <c r="A10389" t="str">
        <f>"7654045344"</f>
        <v>7654045344</v>
      </c>
      <c r="B10389" t="str">
        <f t="shared" si="437"/>
        <v>89301000</v>
      </c>
      <c r="C10389" s="1">
        <v>44291</v>
      </c>
      <c r="D10389" s="1">
        <v>44295</v>
      </c>
      <c r="E10389">
        <v>1</v>
      </c>
      <c r="F10389" t="s">
        <v>7047</v>
      </c>
      <c r="G10389" t="str">
        <f>"08-K08-00"</f>
        <v>08-K08-00</v>
      </c>
      <c r="H10389">
        <v>0.51670000000000005</v>
      </c>
      <c r="I10389" t="s">
        <v>2316</v>
      </c>
      <c r="J10389" t="s">
        <v>14</v>
      </c>
      <c r="K10389" t="str">
        <f>"2F9"</f>
        <v>2F9</v>
      </c>
      <c r="L10389" t="s">
        <v>15</v>
      </c>
    </row>
    <row r="10390" spans="1:12" x14ac:dyDescent="0.25">
      <c r="A10390" t="str">
        <f>"7654045344"</f>
        <v>7654045344</v>
      </c>
      <c r="B10390" t="str">
        <f t="shared" si="437"/>
        <v>89301000</v>
      </c>
      <c r="C10390" s="1">
        <v>44444</v>
      </c>
      <c r="D10390" s="1">
        <v>44448</v>
      </c>
      <c r="E10390">
        <v>1</v>
      </c>
      <c r="F10390" t="s">
        <v>7048</v>
      </c>
      <c r="G10390" t="str">
        <f>"13-I11-03"</f>
        <v>13-I11-03</v>
      </c>
      <c r="H10390">
        <v>1.3809</v>
      </c>
      <c r="I10390" t="s">
        <v>2495</v>
      </c>
      <c r="J10390" t="s">
        <v>24</v>
      </c>
      <c r="K10390" t="str">
        <f>"6F3"</f>
        <v>6F3</v>
      </c>
      <c r="L10390" t="s">
        <v>15</v>
      </c>
    </row>
    <row r="10391" spans="1:12" x14ac:dyDescent="0.25">
      <c r="A10391" t="str">
        <f>"7654084394"</f>
        <v>7654084394</v>
      </c>
      <c r="B10391" t="str">
        <f t="shared" si="437"/>
        <v>89301000</v>
      </c>
      <c r="C10391" s="1">
        <v>44222</v>
      </c>
      <c r="D10391" s="1">
        <v>44223</v>
      </c>
      <c r="E10391">
        <v>1</v>
      </c>
      <c r="F10391" t="s">
        <v>2527</v>
      </c>
      <c r="G10391" t="str">
        <f>"13-K10-00"</f>
        <v>13-K10-00</v>
      </c>
      <c r="H10391">
        <v>0.2843</v>
      </c>
      <c r="J10391" t="s">
        <v>14</v>
      </c>
      <c r="K10391" t="str">
        <f>"6F3"</f>
        <v>6F3</v>
      </c>
      <c r="L10391" t="s">
        <v>15</v>
      </c>
    </row>
    <row r="10392" spans="1:12" x14ac:dyDescent="0.25">
      <c r="A10392" t="str">
        <f>"7654085373"</f>
        <v>7654085373</v>
      </c>
      <c r="B10392" t="str">
        <f t="shared" si="437"/>
        <v>89301000</v>
      </c>
      <c r="C10392" s="1">
        <v>44466</v>
      </c>
      <c r="D10392" s="1">
        <v>44468</v>
      </c>
      <c r="E10392">
        <v>1</v>
      </c>
      <c r="F10392" t="s">
        <v>92</v>
      </c>
      <c r="G10392" t="str">
        <f>"05-K15-02"</f>
        <v>05-K15-02</v>
      </c>
      <c r="H10392">
        <v>0.47510000000000002</v>
      </c>
      <c r="J10392" t="s">
        <v>14</v>
      </c>
      <c r="K10392" t="str">
        <f>"2F9"</f>
        <v>2F9</v>
      </c>
      <c r="L10392" t="s">
        <v>15</v>
      </c>
    </row>
    <row r="10393" spans="1:12" x14ac:dyDescent="0.25">
      <c r="A10393" t="str">
        <f>"7654095306"</f>
        <v>7654095306</v>
      </c>
      <c r="B10393" t="str">
        <f t="shared" si="437"/>
        <v>89301000</v>
      </c>
      <c r="C10393" s="1">
        <v>44349</v>
      </c>
      <c r="D10393" s="1">
        <v>44351</v>
      </c>
      <c r="E10393">
        <v>1</v>
      </c>
      <c r="F10393" t="s">
        <v>413</v>
      </c>
      <c r="G10393" t="str">
        <f>"09-I04-02"</f>
        <v>09-I04-02</v>
      </c>
      <c r="H10393">
        <v>1.5007999999999999</v>
      </c>
      <c r="I10393" t="s">
        <v>6061</v>
      </c>
      <c r="J10393" t="s">
        <v>17</v>
      </c>
      <c r="K10393" t="str">
        <f>"6F1"</f>
        <v>6F1</v>
      </c>
      <c r="L10393" t="s">
        <v>15</v>
      </c>
    </row>
    <row r="10394" spans="1:12" x14ac:dyDescent="0.25">
      <c r="A10394" t="str">
        <f>"7654114666"</f>
        <v>7654114666</v>
      </c>
      <c r="B10394" t="str">
        <f t="shared" si="437"/>
        <v>89301000</v>
      </c>
      <c r="C10394" s="1">
        <v>44480</v>
      </c>
      <c r="D10394" s="1">
        <v>44483</v>
      </c>
      <c r="E10394">
        <v>1</v>
      </c>
      <c r="F10394" t="s">
        <v>496</v>
      </c>
      <c r="G10394" t="str">
        <f>"08-M03-05"</f>
        <v>08-M03-05</v>
      </c>
      <c r="H10394">
        <v>0.51759999999999995</v>
      </c>
      <c r="I10394" t="s">
        <v>2407</v>
      </c>
      <c r="J10394" t="s">
        <v>14</v>
      </c>
      <c r="K10394" t="str">
        <f>"6F6"</f>
        <v>6F6</v>
      </c>
      <c r="L10394" t="s">
        <v>15</v>
      </c>
    </row>
    <row r="10395" spans="1:12" x14ac:dyDescent="0.25">
      <c r="A10395" t="str">
        <f>"7654164683"</f>
        <v>7654164683</v>
      </c>
      <c r="B10395" t="str">
        <f t="shared" si="437"/>
        <v>89301000</v>
      </c>
      <c r="C10395" s="1">
        <v>44489</v>
      </c>
      <c r="D10395" s="1">
        <v>44510</v>
      </c>
      <c r="E10395">
        <v>1</v>
      </c>
      <c r="F10395" t="s">
        <v>2281</v>
      </c>
      <c r="G10395" t="str">
        <f>"19-K05-02"</f>
        <v>19-K05-02</v>
      </c>
      <c r="H10395">
        <v>1.8835999999999999</v>
      </c>
      <c r="J10395" t="s">
        <v>27</v>
      </c>
      <c r="K10395" t="str">
        <f>"3F5"</f>
        <v>3F5</v>
      </c>
      <c r="L10395" t="s">
        <v>15</v>
      </c>
    </row>
    <row r="10396" spans="1:12" x14ac:dyDescent="0.25">
      <c r="A10396" t="str">
        <f>"7654164683"</f>
        <v>7654164683</v>
      </c>
      <c r="B10396" t="str">
        <f t="shared" si="437"/>
        <v>89301000</v>
      </c>
      <c r="C10396" s="1">
        <v>44396</v>
      </c>
      <c r="D10396" s="1">
        <v>44400</v>
      </c>
      <c r="E10396">
        <v>1</v>
      </c>
      <c r="F10396" t="s">
        <v>7049</v>
      </c>
      <c r="G10396" t="str">
        <f>"19-K02-03"</f>
        <v>19-K02-03</v>
      </c>
      <c r="H10396">
        <v>0.67269999999999996</v>
      </c>
      <c r="J10396" t="s">
        <v>27</v>
      </c>
      <c r="K10396" t="str">
        <f>"2F9"</f>
        <v>2F9</v>
      </c>
      <c r="L10396" t="s">
        <v>15</v>
      </c>
    </row>
    <row r="10397" spans="1:12" x14ac:dyDescent="0.25">
      <c r="A10397" t="str">
        <f>"7654185781"</f>
        <v>7654185781</v>
      </c>
      <c r="B10397" t="str">
        <f t="shared" si="437"/>
        <v>89301000</v>
      </c>
      <c r="C10397" s="1">
        <v>44551</v>
      </c>
      <c r="D10397" s="1">
        <v>44554</v>
      </c>
      <c r="E10397">
        <v>1</v>
      </c>
      <c r="F10397" t="s">
        <v>6425</v>
      </c>
      <c r="G10397" t="str">
        <f>"13-I08-02"</f>
        <v>13-I08-02</v>
      </c>
      <c r="H10397">
        <v>1.5502</v>
      </c>
      <c r="I10397" t="s">
        <v>489</v>
      </c>
      <c r="J10397" t="s">
        <v>106</v>
      </c>
      <c r="K10397" t="str">
        <f>"6F3"</f>
        <v>6F3</v>
      </c>
      <c r="L10397" t="s">
        <v>15</v>
      </c>
    </row>
    <row r="10398" spans="1:12" x14ac:dyDescent="0.25">
      <c r="A10398" t="str">
        <f>"7654205372"</f>
        <v>7654205372</v>
      </c>
      <c r="B10398" t="str">
        <f t="shared" si="437"/>
        <v>89301000</v>
      </c>
      <c r="C10398" s="1">
        <v>44363</v>
      </c>
      <c r="D10398" s="1">
        <v>44366</v>
      </c>
      <c r="E10398">
        <v>1</v>
      </c>
      <c r="F10398" t="s">
        <v>343</v>
      </c>
      <c r="G10398" t="str">
        <f>"11-M03-02"</f>
        <v>11-M03-02</v>
      </c>
      <c r="H10398">
        <v>1.2824</v>
      </c>
      <c r="J10398" t="s">
        <v>17</v>
      </c>
      <c r="K10398" t="str">
        <f>"7F6"</f>
        <v>7F6</v>
      </c>
      <c r="L10398" t="s">
        <v>15</v>
      </c>
    </row>
    <row r="10399" spans="1:12" x14ac:dyDescent="0.25">
      <c r="A10399" t="str">
        <f>"7654235314"</f>
        <v>7654235314</v>
      </c>
      <c r="B10399" t="str">
        <f t="shared" si="437"/>
        <v>89301000</v>
      </c>
      <c r="C10399" s="1">
        <v>44229</v>
      </c>
      <c r="D10399" s="1">
        <v>44232</v>
      </c>
      <c r="E10399">
        <v>1</v>
      </c>
      <c r="F10399" t="s">
        <v>6312</v>
      </c>
      <c r="G10399" t="str">
        <f>"13-I16-00"</f>
        <v>13-I16-00</v>
      </c>
      <c r="H10399">
        <v>1.0256000000000001</v>
      </c>
      <c r="J10399" t="s">
        <v>17</v>
      </c>
      <c r="K10399" t="str">
        <f>"6F3"</f>
        <v>6F3</v>
      </c>
      <c r="L10399" t="s">
        <v>15</v>
      </c>
    </row>
    <row r="10400" spans="1:12" x14ac:dyDescent="0.25">
      <c r="A10400" t="str">
        <f>"7654265355"</f>
        <v>7654265355</v>
      </c>
      <c r="B10400" t="str">
        <f t="shared" si="437"/>
        <v>89301000</v>
      </c>
      <c r="C10400" s="1">
        <v>44262</v>
      </c>
      <c r="D10400" s="1">
        <v>44264</v>
      </c>
      <c r="E10400">
        <v>1</v>
      </c>
      <c r="F10400" t="s">
        <v>2099</v>
      </c>
      <c r="G10400" t="str">
        <f>"08-I14-04"</f>
        <v>08-I14-04</v>
      </c>
      <c r="H10400">
        <v>1.0787</v>
      </c>
      <c r="I10400" t="s">
        <v>196</v>
      </c>
      <c r="J10400" t="s">
        <v>17</v>
      </c>
      <c r="K10400" t="str">
        <f>"5F3"</f>
        <v>5F3</v>
      </c>
      <c r="L10400" t="s">
        <v>15</v>
      </c>
    </row>
    <row r="10401" spans="1:12" x14ac:dyDescent="0.25">
      <c r="A10401" t="str">
        <f>"7654295352"</f>
        <v>7654295352</v>
      </c>
      <c r="B10401" t="str">
        <f t="shared" si="437"/>
        <v>89301000</v>
      </c>
      <c r="C10401" s="1">
        <v>44359</v>
      </c>
      <c r="D10401" s="1">
        <v>44361</v>
      </c>
      <c r="E10401">
        <v>1</v>
      </c>
      <c r="F10401" t="s">
        <v>3568</v>
      </c>
      <c r="G10401" t="str">
        <f>"08-I03-08"</f>
        <v>08-I03-08</v>
      </c>
      <c r="H10401">
        <v>2.0605000000000002</v>
      </c>
      <c r="I10401" t="s">
        <v>6388</v>
      </c>
      <c r="J10401" t="s">
        <v>17</v>
      </c>
      <c r="K10401" t="str">
        <f>"5F6"</f>
        <v>5F6</v>
      </c>
      <c r="L10401" t="s">
        <v>15</v>
      </c>
    </row>
    <row r="10402" spans="1:12" x14ac:dyDescent="0.25">
      <c r="A10402" t="str">
        <f>"7655035377"</f>
        <v>7655035377</v>
      </c>
      <c r="B10402" t="str">
        <f t="shared" si="437"/>
        <v>89301000</v>
      </c>
      <c r="C10402" s="1">
        <v>44390</v>
      </c>
      <c r="D10402" s="1">
        <v>44391</v>
      </c>
      <c r="E10402">
        <v>1</v>
      </c>
      <c r="F10402" t="s">
        <v>1132</v>
      </c>
      <c r="G10402" t="str">
        <f>"23-K04-02"</f>
        <v>23-K04-02</v>
      </c>
      <c r="H10402">
        <v>0.38690000000000002</v>
      </c>
      <c r="J10402" t="s">
        <v>14</v>
      </c>
      <c r="K10402" t="str">
        <f>"2F9"</f>
        <v>2F9</v>
      </c>
      <c r="L10402" t="s">
        <v>15</v>
      </c>
    </row>
    <row r="10403" spans="1:12" x14ac:dyDescent="0.25">
      <c r="A10403" t="str">
        <f>"7655085339"</f>
        <v>7655085339</v>
      </c>
      <c r="B10403" t="str">
        <f t="shared" si="437"/>
        <v>89301000</v>
      </c>
      <c r="C10403" s="1">
        <v>44410</v>
      </c>
      <c r="D10403" s="1">
        <v>44415</v>
      </c>
      <c r="E10403">
        <v>1</v>
      </c>
      <c r="F10403" t="s">
        <v>4491</v>
      </c>
      <c r="G10403" t="str">
        <f>"01-K01-02"</f>
        <v>01-K01-02</v>
      </c>
      <c r="H10403">
        <v>0.50700000000000001</v>
      </c>
      <c r="J10403" t="s">
        <v>14</v>
      </c>
      <c r="K10403" t="str">
        <f>"2F9"</f>
        <v>2F9</v>
      </c>
      <c r="L10403" t="s">
        <v>15</v>
      </c>
    </row>
    <row r="10404" spans="1:12" x14ac:dyDescent="0.25">
      <c r="A10404" t="str">
        <f>"7655095316"</f>
        <v>7655095316</v>
      </c>
      <c r="B10404" t="str">
        <f t="shared" ref="B10404:B10467" si="438">"89301000"</f>
        <v>89301000</v>
      </c>
      <c r="C10404" s="1">
        <v>44486</v>
      </c>
      <c r="D10404" s="1">
        <v>44488</v>
      </c>
      <c r="E10404">
        <v>1</v>
      </c>
      <c r="F10404" t="s">
        <v>16</v>
      </c>
      <c r="G10404" t="str">
        <f>"08-I04-03"</f>
        <v>08-I04-03</v>
      </c>
      <c r="H10404">
        <v>1.331</v>
      </c>
      <c r="I10404" t="s">
        <v>489</v>
      </c>
      <c r="J10404" t="s">
        <v>17</v>
      </c>
      <c r="K10404" t="str">
        <f>"5F6"</f>
        <v>5F6</v>
      </c>
      <c r="L10404" t="s">
        <v>15</v>
      </c>
    </row>
    <row r="10405" spans="1:12" x14ac:dyDescent="0.25">
      <c r="A10405" t="str">
        <f>"7655114841"</f>
        <v>7655114841</v>
      </c>
      <c r="B10405" t="str">
        <f t="shared" si="438"/>
        <v>89301000</v>
      </c>
      <c r="C10405" s="1">
        <v>44445</v>
      </c>
      <c r="D10405" s="1">
        <v>44448</v>
      </c>
      <c r="E10405">
        <v>1</v>
      </c>
      <c r="F10405" t="s">
        <v>3377</v>
      </c>
      <c r="G10405" t="str">
        <f>"13-I13-02"</f>
        <v>13-I13-02</v>
      </c>
      <c r="H10405">
        <v>0.98650000000000004</v>
      </c>
      <c r="J10405" t="s">
        <v>17</v>
      </c>
      <c r="K10405" t="str">
        <f>"6F3"</f>
        <v>6F3</v>
      </c>
      <c r="L10405" t="s">
        <v>15</v>
      </c>
    </row>
    <row r="10406" spans="1:12" x14ac:dyDescent="0.25">
      <c r="A10406" t="str">
        <f>"7655125313"</f>
        <v>7655125313</v>
      </c>
      <c r="B10406" t="str">
        <f t="shared" si="438"/>
        <v>89301000</v>
      </c>
      <c r="C10406" s="1">
        <v>44462</v>
      </c>
      <c r="D10406" s="1">
        <v>44466</v>
      </c>
      <c r="E10406">
        <v>1</v>
      </c>
      <c r="F10406" t="s">
        <v>4100</v>
      </c>
      <c r="G10406" t="str">
        <f>"09-K02-00"</f>
        <v>09-K02-00</v>
      </c>
      <c r="H10406">
        <v>1.1361000000000001</v>
      </c>
      <c r="I10406" t="s">
        <v>7050</v>
      </c>
      <c r="J10406" t="s">
        <v>14</v>
      </c>
      <c r="K10406" t="str">
        <f>"4F4"</f>
        <v>4F4</v>
      </c>
      <c r="L10406" t="s">
        <v>15</v>
      </c>
    </row>
    <row r="10407" spans="1:12" x14ac:dyDescent="0.25">
      <c r="A10407" t="str">
        <f>"7655175308"</f>
        <v>7655175308</v>
      </c>
      <c r="B10407" t="str">
        <f t="shared" si="438"/>
        <v>89301000</v>
      </c>
      <c r="C10407" s="1">
        <v>44544</v>
      </c>
      <c r="D10407" s="1">
        <v>44550</v>
      </c>
      <c r="E10407">
        <v>1</v>
      </c>
      <c r="F10407" t="s">
        <v>3145</v>
      </c>
      <c r="G10407" t="str">
        <f>"10-I13-02"</f>
        <v>10-I13-02</v>
      </c>
      <c r="H10407">
        <v>1.1751</v>
      </c>
      <c r="I10407" t="s">
        <v>7051</v>
      </c>
      <c r="J10407" t="s">
        <v>24</v>
      </c>
      <c r="K10407" t="str">
        <f>"7F1"</f>
        <v>7F1</v>
      </c>
      <c r="L10407" t="s">
        <v>15</v>
      </c>
    </row>
    <row r="10408" spans="1:12" x14ac:dyDescent="0.25">
      <c r="A10408" t="str">
        <f>"7655175308"</f>
        <v>7655175308</v>
      </c>
      <c r="B10408" t="str">
        <f t="shared" si="438"/>
        <v>89301000</v>
      </c>
      <c r="C10408" s="1">
        <v>44441</v>
      </c>
      <c r="D10408" s="1">
        <v>44444</v>
      </c>
      <c r="E10408">
        <v>1</v>
      </c>
      <c r="F10408" t="s">
        <v>134</v>
      </c>
      <c r="G10408" t="str">
        <f>"16-I04-01"</f>
        <v>16-I04-01</v>
      </c>
      <c r="H10408">
        <v>1.0085999999999999</v>
      </c>
      <c r="I10408" t="s">
        <v>3869</v>
      </c>
      <c r="J10408" t="s">
        <v>17</v>
      </c>
      <c r="K10408" t="str">
        <f>"7F1"</f>
        <v>7F1</v>
      </c>
      <c r="L10408" t="s">
        <v>15</v>
      </c>
    </row>
    <row r="10409" spans="1:12" x14ac:dyDescent="0.25">
      <c r="A10409" t="str">
        <f>"7655215689"</f>
        <v>7655215689</v>
      </c>
      <c r="B10409" t="str">
        <f t="shared" si="438"/>
        <v>89301000</v>
      </c>
      <c r="C10409" s="1">
        <v>44348</v>
      </c>
      <c r="D10409" s="1">
        <v>44352</v>
      </c>
      <c r="E10409">
        <v>1</v>
      </c>
      <c r="F10409" t="s">
        <v>31</v>
      </c>
      <c r="G10409" t="str">
        <f>"08-I04-03"</f>
        <v>08-I04-03</v>
      </c>
      <c r="H10409">
        <v>1.331</v>
      </c>
      <c r="J10409" t="s">
        <v>17</v>
      </c>
      <c r="K10409" t="str">
        <f>"5F6"</f>
        <v>5F6</v>
      </c>
      <c r="L10409" t="s">
        <v>15</v>
      </c>
    </row>
    <row r="10410" spans="1:12" x14ac:dyDescent="0.25">
      <c r="A10410" t="str">
        <f>"7655234466"</f>
        <v>7655234466</v>
      </c>
      <c r="B10410" t="str">
        <f t="shared" si="438"/>
        <v>89301000</v>
      </c>
      <c r="C10410" s="1">
        <v>44270</v>
      </c>
      <c r="D10410" s="1">
        <v>44272</v>
      </c>
      <c r="E10410">
        <v>1</v>
      </c>
      <c r="F10410" t="s">
        <v>84</v>
      </c>
      <c r="G10410" t="str">
        <f>"09-I09-05"</f>
        <v>09-I09-05</v>
      </c>
      <c r="H10410">
        <v>0.47210000000000002</v>
      </c>
      <c r="J10410" t="s">
        <v>17</v>
      </c>
      <c r="K10410" t="str">
        <f>"5F1"</f>
        <v>5F1</v>
      </c>
      <c r="L10410" t="s">
        <v>15</v>
      </c>
    </row>
    <row r="10411" spans="1:12" x14ac:dyDescent="0.25">
      <c r="A10411" t="str">
        <f>"7656175329"</f>
        <v>7656175329</v>
      </c>
      <c r="B10411" t="str">
        <f t="shared" si="438"/>
        <v>89301000</v>
      </c>
      <c r="C10411" s="1">
        <v>44291</v>
      </c>
      <c r="D10411" s="1">
        <v>44296</v>
      </c>
      <c r="E10411">
        <v>1</v>
      </c>
      <c r="F10411" t="s">
        <v>217</v>
      </c>
      <c r="G10411" t="str">
        <f>"04-K02-04"</f>
        <v>04-K02-04</v>
      </c>
      <c r="H10411">
        <v>0.82469999999999999</v>
      </c>
      <c r="I10411" t="s">
        <v>274</v>
      </c>
      <c r="J10411" t="s">
        <v>14</v>
      </c>
      <c r="K10411" t="str">
        <f>"1F1"</f>
        <v>1F1</v>
      </c>
      <c r="L10411" t="s">
        <v>15</v>
      </c>
    </row>
    <row r="10412" spans="1:12" x14ac:dyDescent="0.25">
      <c r="A10412" t="str">
        <f>"7656175329"</f>
        <v>7656175329</v>
      </c>
      <c r="B10412" t="str">
        <f t="shared" si="438"/>
        <v>89301000</v>
      </c>
      <c r="C10412" s="1">
        <v>44277</v>
      </c>
      <c r="D10412" s="1">
        <v>44279</v>
      </c>
      <c r="E10412">
        <v>1</v>
      </c>
      <c r="F10412" t="s">
        <v>7052</v>
      </c>
      <c r="G10412" t="str">
        <f>"01-K12-01"</f>
        <v>01-K12-01</v>
      </c>
      <c r="H10412">
        <v>0.71289999999999998</v>
      </c>
      <c r="I10412" t="s">
        <v>6762</v>
      </c>
      <c r="J10412" t="s">
        <v>14</v>
      </c>
      <c r="K10412" t="str">
        <f>"2F9"</f>
        <v>2F9</v>
      </c>
      <c r="L10412" t="s">
        <v>15</v>
      </c>
    </row>
    <row r="10413" spans="1:12" x14ac:dyDescent="0.25">
      <c r="A10413" t="str">
        <f>"7656205348"</f>
        <v>7656205348</v>
      </c>
      <c r="B10413" t="str">
        <f t="shared" si="438"/>
        <v>89301000</v>
      </c>
      <c r="C10413" s="1">
        <v>44508</v>
      </c>
      <c r="D10413" s="1">
        <v>44511</v>
      </c>
      <c r="E10413">
        <v>1</v>
      </c>
      <c r="F10413" t="s">
        <v>1551</v>
      </c>
      <c r="G10413" t="str">
        <f>"09-I06-03"</f>
        <v>09-I06-03</v>
      </c>
      <c r="H10413">
        <v>1.4382999999999999</v>
      </c>
      <c r="J10413" t="s">
        <v>17</v>
      </c>
      <c r="K10413" t="str">
        <f>"5F1"</f>
        <v>5F1</v>
      </c>
      <c r="L10413" t="s">
        <v>15</v>
      </c>
    </row>
    <row r="10414" spans="1:12" x14ac:dyDescent="0.25">
      <c r="A10414" t="str">
        <f>"7656304458"</f>
        <v>7656304458</v>
      </c>
      <c r="B10414" t="str">
        <f t="shared" si="438"/>
        <v>89301000</v>
      </c>
      <c r="C10414" s="1">
        <v>44258</v>
      </c>
      <c r="D10414" s="1">
        <v>44259</v>
      </c>
      <c r="E10414">
        <v>1</v>
      </c>
      <c r="F10414" t="s">
        <v>39</v>
      </c>
      <c r="G10414" t="str">
        <f>"03-I19-03"</f>
        <v>03-I19-03</v>
      </c>
      <c r="H10414">
        <v>0.60699999999999998</v>
      </c>
      <c r="I10414" t="s">
        <v>7053</v>
      </c>
      <c r="J10414" t="s">
        <v>14</v>
      </c>
      <c r="K10414" t="str">
        <f>"6F5"</f>
        <v>6F5</v>
      </c>
      <c r="L10414" t="s">
        <v>15</v>
      </c>
    </row>
    <row r="10415" spans="1:12" x14ac:dyDescent="0.25">
      <c r="A10415" t="str">
        <f>"7657015388"</f>
        <v>7657015388</v>
      </c>
      <c r="B10415" t="str">
        <f t="shared" si="438"/>
        <v>89301000</v>
      </c>
      <c r="C10415" s="1">
        <v>44340</v>
      </c>
      <c r="D10415" s="1">
        <v>44341</v>
      </c>
      <c r="E10415">
        <v>1</v>
      </c>
      <c r="F10415" t="s">
        <v>700</v>
      </c>
      <c r="G10415" t="str">
        <f>"13-I19-00"</f>
        <v>13-I19-00</v>
      </c>
      <c r="H10415">
        <v>0.24679999999999999</v>
      </c>
      <c r="J10415" t="s">
        <v>14</v>
      </c>
      <c r="K10415" t="str">
        <f>"6F3"</f>
        <v>6F3</v>
      </c>
      <c r="L10415" t="s">
        <v>15</v>
      </c>
    </row>
    <row r="10416" spans="1:12" x14ac:dyDescent="0.25">
      <c r="A10416" t="str">
        <f>"7657045341"</f>
        <v>7657045341</v>
      </c>
      <c r="B10416" t="str">
        <f t="shared" si="438"/>
        <v>89301000</v>
      </c>
      <c r="C10416" s="1">
        <v>44452</v>
      </c>
      <c r="D10416" s="1">
        <v>44454</v>
      </c>
      <c r="E10416">
        <v>1</v>
      </c>
      <c r="F10416" t="s">
        <v>4382</v>
      </c>
      <c r="G10416" t="str">
        <f>"05-I30-01"</f>
        <v>05-I30-01</v>
      </c>
      <c r="H10416">
        <v>0.64139999999999997</v>
      </c>
      <c r="I10416" t="s">
        <v>7054</v>
      </c>
      <c r="J10416" t="s">
        <v>14</v>
      </c>
      <c r="K10416" t="str">
        <f>"5F1"</f>
        <v>5F1</v>
      </c>
      <c r="L10416" t="s">
        <v>15</v>
      </c>
    </row>
    <row r="10417" spans="1:12" x14ac:dyDescent="0.25">
      <c r="A10417" t="str">
        <f>"7657055318"</f>
        <v>7657055318</v>
      </c>
      <c r="B10417" t="str">
        <f t="shared" si="438"/>
        <v>89301000</v>
      </c>
      <c r="C10417" s="1">
        <v>44271</v>
      </c>
      <c r="D10417" s="1">
        <v>44281</v>
      </c>
      <c r="E10417">
        <v>1</v>
      </c>
      <c r="F10417" t="s">
        <v>152</v>
      </c>
      <c r="G10417" t="str">
        <f>"19-K03-03"</f>
        <v>19-K03-03</v>
      </c>
      <c r="H10417">
        <v>0.93169999999999997</v>
      </c>
      <c r="I10417" t="s">
        <v>7055</v>
      </c>
      <c r="J10417" t="s">
        <v>27</v>
      </c>
      <c r="K10417" t="str">
        <f>"3F5"</f>
        <v>3F5</v>
      </c>
      <c r="L10417" t="s">
        <v>15</v>
      </c>
    </row>
    <row r="10418" spans="1:12" x14ac:dyDescent="0.25">
      <c r="A10418" t="str">
        <f>"7657075349"</f>
        <v>7657075349</v>
      </c>
      <c r="B10418" t="str">
        <f t="shared" si="438"/>
        <v>89301000</v>
      </c>
      <c r="C10418" s="1">
        <v>44320</v>
      </c>
      <c r="D10418" s="1">
        <v>44322</v>
      </c>
      <c r="E10418">
        <v>1</v>
      </c>
      <c r="F10418" t="s">
        <v>6863</v>
      </c>
      <c r="G10418" t="str">
        <f>"09-I13-04"</f>
        <v>09-I13-04</v>
      </c>
      <c r="H10418">
        <v>0.57730000000000004</v>
      </c>
      <c r="I10418" t="s">
        <v>7056</v>
      </c>
      <c r="J10418" t="s">
        <v>14</v>
      </c>
      <c r="K10418" t="str">
        <f>"6F1"</f>
        <v>6F1</v>
      </c>
      <c r="L10418" t="s">
        <v>15</v>
      </c>
    </row>
    <row r="10419" spans="1:12" x14ac:dyDescent="0.25">
      <c r="A10419" t="str">
        <f>"7657083588"</f>
        <v>7657083588</v>
      </c>
      <c r="B10419" t="str">
        <f t="shared" si="438"/>
        <v>89301000</v>
      </c>
      <c r="C10419" s="1">
        <v>44496</v>
      </c>
      <c r="D10419" s="1">
        <v>44511</v>
      </c>
      <c r="E10419">
        <v>1</v>
      </c>
      <c r="F10419" t="s">
        <v>7057</v>
      </c>
      <c r="G10419" t="str">
        <f>"21-K01-00"</f>
        <v>21-K01-00</v>
      </c>
      <c r="H10419">
        <v>1.0834999999999999</v>
      </c>
      <c r="I10419" t="s">
        <v>381</v>
      </c>
      <c r="J10419" t="s">
        <v>14</v>
      </c>
      <c r="K10419" t="str">
        <f>"5F3"</f>
        <v>5F3</v>
      </c>
      <c r="L10419" t="s">
        <v>15</v>
      </c>
    </row>
    <row r="10420" spans="1:12" x14ac:dyDescent="0.25">
      <c r="A10420" t="str">
        <f>"7657153680"</f>
        <v>7657153680</v>
      </c>
      <c r="B10420" t="str">
        <f t="shared" si="438"/>
        <v>89301000</v>
      </c>
      <c r="C10420" s="1">
        <v>44201</v>
      </c>
      <c r="D10420" s="1">
        <v>44238</v>
      </c>
      <c r="E10420">
        <v>1</v>
      </c>
      <c r="F10420" t="s">
        <v>77</v>
      </c>
      <c r="G10420" t="str">
        <f>"19-K07-02"</f>
        <v>19-K07-02</v>
      </c>
      <c r="H10420">
        <v>2.8759999999999999</v>
      </c>
      <c r="I10420" t="s">
        <v>7058</v>
      </c>
      <c r="J10420" t="s">
        <v>27</v>
      </c>
      <c r="K10420" t="str">
        <f>"3F5"</f>
        <v>3F5</v>
      </c>
      <c r="L10420" t="s">
        <v>15</v>
      </c>
    </row>
    <row r="10421" spans="1:12" x14ac:dyDescent="0.25">
      <c r="A10421" t="str">
        <f>"7657184491"</f>
        <v>7657184491</v>
      </c>
      <c r="B10421" t="str">
        <f t="shared" si="438"/>
        <v>89301000</v>
      </c>
      <c r="C10421" s="1">
        <v>44518</v>
      </c>
      <c r="D10421" s="1">
        <v>44522</v>
      </c>
      <c r="E10421">
        <v>1</v>
      </c>
      <c r="F10421" t="s">
        <v>79</v>
      </c>
      <c r="G10421" t="str">
        <f>"10-K06-00"</f>
        <v>10-K06-00</v>
      </c>
      <c r="H10421">
        <v>0.49630000000000002</v>
      </c>
      <c r="I10421" t="s">
        <v>4498</v>
      </c>
      <c r="J10421" t="s">
        <v>14</v>
      </c>
      <c r="K10421" t="str">
        <f>"4F7"</f>
        <v>4F7</v>
      </c>
      <c r="L10421" t="s">
        <v>15</v>
      </c>
    </row>
    <row r="10422" spans="1:12" x14ac:dyDescent="0.25">
      <c r="A10422" t="str">
        <f>"7657245332"</f>
        <v>7657245332</v>
      </c>
      <c r="B10422" t="str">
        <f t="shared" si="438"/>
        <v>89301000</v>
      </c>
      <c r="C10422" s="1">
        <v>44269</v>
      </c>
      <c r="D10422" s="1">
        <v>44271</v>
      </c>
      <c r="E10422">
        <v>1</v>
      </c>
      <c r="F10422" t="s">
        <v>116</v>
      </c>
      <c r="G10422" t="str">
        <f>"14-M01-05"</f>
        <v>14-M01-05</v>
      </c>
      <c r="H10422">
        <v>0.54239999999999999</v>
      </c>
      <c r="I10422" t="s">
        <v>7059</v>
      </c>
      <c r="J10422" t="s">
        <v>59</v>
      </c>
      <c r="K10422" t="str">
        <f>"6F3"</f>
        <v>6F3</v>
      </c>
      <c r="L10422" t="s">
        <v>15</v>
      </c>
    </row>
    <row r="10423" spans="1:12" x14ac:dyDescent="0.25">
      <c r="A10423" t="str">
        <f>"7657264472"</f>
        <v>7657264472</v>
      </c>
      <c r="B10423" t="str">
        <f t="shared" si="438"/>
        <v>89301000</v>
      </c>
      <c r="C10423" s="1">
        <v>44411</v>
      </c>
      <c r="D10423" s="1">
        <v>44412</v>
      </c>
      <c r="E10423">
        <v>1</v>
      </c>
      <c r="F10423" t="s">
        <v>7060</v>
      </c>
      <c r="G10423" t="str">
        <f>"20-K01-05"</f>
        <v>20-K01-05</v>
      </c>
      <c r="H10423">
        <v>0.32890000000000003</v>
      </c>
      <c r="I10423" t="s">
        <v>7061</v>
      </c>
      <c r="J10423" t="s">
        <v>14</v>
      </c>
      <c r="K10423" t="str">
        <f>"1T1"</f>
        <v>1T1</v>
      </c>
      <c r="L10423" t="s">
        <v>15</v>
      </c>
    </row>
    <row r="10424" spans="1:12" x14ac:dyDescent="0.25">
      <c r="A10424" t="str">
        <f>"7658095313"</f>
        <v>7658095313</v>
      </c>
      <c r="B10424" t="str">
        <f t="shared" si="438"/>
        <v>89301000</v>
      </c>
      <c r="C10424" s="1">
        <v>44347</v>
      </c>
      <c r="D10424" s="1">
        <v>44350</v>
      </c>
      <c r="E10424">
        <v>1</v>
      </c>
      <c r="F10424" t="s">
        <v>2023</v>
      </c>
      <c r="G10424" t="str">
        <f>"08-I03-07"</f>
        <v>08-I03-07</v>
      </c>
      <c r="H10424">
        <v>3.0385</v>
      </c>
      <c r="I10424" t="s">
        <v>3772</v>
      </c>
      <c r="J10424" t="s">
        <v>17</v>
      </c>
      <c r="K10424" t="str">
        <f>"5F6"</f>
        <v>5F6</v>
      </c>
      <c r="L10424" t="s">
        <v>15</v>
      </c>
    </row>
    <row r="10425" spans="1:12" x14ac:dyDescent="0.25">
      <c r="A10425" t="str">
        <f>"7658124463"</f>
        <v>7658124463</v>
      </c>
      <c r="B10425" t="str">
        <f t="shared" si="438"/>
        <v>89301000</v>
      </c>
      <c r="C10425" s="1">
        <v>44305</v>
      </c>
      <c r="D10425" s="1">
        <v>44307</v>
      </c>
      <c r="E10425">
        <v>1</v>
      </c>
      <c r="F10425" t="s">
        <v>2311</v>
      </c>
      <c r="G10425" t="str">
        <f>"08-I03-08"</f>
        <v>08-I03-08</v>
      </c>
      <c r="H10425">
        <v>2.0605000000000002</v>
      </c>
      <c r="J10425" t="s">
        <v>17</v>
      </c>
      <c r="K10425" t="str">
        <f>"5F6"</f>
        <v>5F6</v>
      </c>
      <c r="L10425" t="s">
        <v>15</v>
      </c>
    </row>
    <row r="10426" spans="1:12" x14ac:dyDescent="0.25">
      <c r="A10426" t="str">
        <f>"7658178451"</f>
        <v>7658178451</v>
      </c>
      <c r="B10426" t="str">
        <f t="shared" si="438"/>
        <v>89301000</v>
      </c>
      <c r="C10426" s="1">
        <v>44508</v>
      </c>
      <c r="D10426" s="1">
        <v>44512</v>
      </c>
      <c r="E10426">
        <v>1</v>
      </c>
      <c r="F10426" t="s">
        <v>6439</v>
      </c>
      <c r="G10426" t="str">
        <f>"23-I07-00"</f>
        <v>23-I07-00</v>
      </c>
      <c r="H10426">
        <v>1.3815999999999999</v>
      </c>
      <c r="J10426" t="s">
        <v>24</v>
      </c>
      <c r="K10426" t="str">
        <f>"6F3"</f>
        <v>6F3</v>
      </c>
      <c r="L10426" t="s">
        <v>15</v>
      </c>
    </row>
    <row r="10427" spans="1:12" x14ac:dyDescent="0.25">
      <c r="A10427" t="str">
        <f>"7658178451"</f>
        <v>7658178451</v>
      </c>
      <c r="B10427" t="str">
        <f t="shared" si="438"/>
        <v>89301000</v>
      </c>
      <c r="C10427" s="1">
        <v>44245</v>
      </c>
      <c r="D10427" s="1">
        <v>44246</v>
      </c>
      <c r="E10427">
        <v>1</v>
      </c>
      <c r="F10427" t="s">
        <v>2368</v>
      </c>
      <c r="G10427" t="str">
        <f>"08-K09-02"</f>
        <v>08-K09-02</v>
      </c>
      <c r="H10427">
        <v>1.0061</v>
      </c>
      <c r="I10427" t="s">
        <v>7062</v>
      </c>
      <c r="J10427" t="s">
        <v>14</v>
      </c>
      <c r="K10427" t="str">
        <f>"4F2"</f>
        <v>4F2</v>
      </c>
      <c r="L10427" t="s">
        <v>15</v>
      </c>
    </row>
    <row r="10428" spans="1:12" x14ac:dyDescent="0.25">
      <c r="A10428" t="str">
        <f>"7658178451"</f>
        <v>7658178451</v>
      </c>
      <c r="B10428" t="str">
        <f t="shared" si="438"/>
        <v>89301000</v>
      </c>
      <c r="C10428" s="1">
        <v>44322</v>
      </c>
      <c r="D10428" s="1">
        <v>44326</v>
      </c>
      <c r="E10428">
        <v>1</v>
      </c>
      <c r="F10428" t="s">
        <v>1551</v>
      </c>
      <c r="G10428" t="str">
        <f>"09-I07-01"</f>
        <v>09-I07-01</v>
      </c>
      <c r="H10428">
        <v>1.7783</v>
      </c>
      <c r="J10428" t="s">
        <v>24</v>
      </c>
      <c r="K10428" t="str">
        <f>"6F1"</f>
        <v>6F1</v>
      </c>
      <c r="L10428" t="s">
        <v>15</v>
      </c>
    </row>
    <row r="10429" spans="1:12" x14ac:dyDescent="0.25">
      <c r="A10429" t="str">
        <f>"7658224464"</f>
        <v>7658224464</v>
      </c>
      <c r="B10429" t="str">
        <f t="shared" si="438"/>
        <v>89301000</v>
      </c>
      <c r="C10429" s="1">
        <v>44201</v>
      </c>
      <c r="D10429" s="1">
        <v>44202</v>
      </c>
      <c r="E10429">
        <v>1</v>
      </c>
      <c r="F10429" t="s">
        <v>7063</v>
      </c>
      <c r="G10429" t="str">
        <f>"03-K02-03"</f>
        <v>03-K02-03</v>
      </c>
      <c r="H10429">
        <v>0.33960000000000001</v>
      </c>
      <c r="I10429" t="s">
        <v>261</v>
      </c>
      <c r="J10429" t="s">
        <v>14</v>
      </c>
      <c r="K10429" t="str">
        <f>"7F1"</f>
        <v>7F1</v>
      </c>
      <c r="L10429" t="s">
        <v>15</v>
      </c>
    </row>
    <row r="10430" spans="1:12" x14ac:dyDescent="0.25">
      <c r="A10430" t="str">
        <f>"7658225685"</f>
        <v>7658225685</v>
      </c>
      <c r="B10430" t="str">
        <f t="shared" si="438"/>
        <v>89301000</v>
      </c>
      <c r="C10430" s="1">
        <v>44196</v>
      </c>
      <c r="D10430" s="1">
        <v>44199</v>
      </c>
      <c r="E10430">
        <v>1</v>
      </c>
      <c r="F10430" t="s">
        <v>102</v>
      </c>
      <c r="G10430" t="str">
        <f>"03-K06-01"</f>
        <v>03-K06-01</v>
      </c>
      <c r="H10430">
        <v>0.4718</v>
      </c>
      <c r="I10430" t="s">
        <v>168</v>
      </c>
      <c r="J10430" t="s">
        <v>14</v>
      </c>
      <c r="K10430" t="str">
        <f>"7F1"</f>
        <v>7F1</v>
      </c>
      <c r="L10430" t="s">
        <v>15</v>
      </c>
    </row>
    <row r="10431" spans="1:12" x14ac:dyDescent="0.25">
      <c r="A10431" t="str">
        <f>"7658225806"</f>
        <v>7658225806</v>
      </c>
      <c r="B10431" t="str">
        <f t="shared" si="438"/>
        <v>89301000</v>
      </c>
      <c r="C10431" s="1">
        <v>44288</v>
      </c>
      <c r="D10431" s="1">
        <v>44292</v>
      </c>
      <c r="E10431">
        <v>1</v>
      </c>
      <c r="F10431" t="s">
        <v>31</v>
      </c>
      <c r="G10431" t="str">
        <f>"08-I04-03"</f>
        <v>08-I04-03</v>
      </c>
      <c r="H10431">
        <v>1.331</v>
      </c>
      <c r="J10431" t="s">
        <v>17</v>
      </c>
      <c r="K10431" t="str">
        <f>"5F6"</f>
        <v>5F6</v>
      </c>
      <c r="L10431" t="s">
        <v>15</v>
      </c>
    </row>
    <row r="10432" spans="1:12" x14ac:dyDescent="0.25">
      <c r="A10432" t="str">
        <f>"7659113858"</f>
        <v>7659113858</v>
      </c>
      <c r="B10432" t="str">
        <f t="shared" si="438"/>
        <v>89301000</v>
      </c>
      <c r="C10432" s="1">
        <v>44237</v>
      </c>
      <c r="D10432" s="1">
        <v>44241</v>
      </c>
      <c r="E10432">
        <v>1</v>
      </c>
      <c r="F10432" t="s">
        <v>6270</v>
      </c>
      <c r="G10432" t="str">
        <f>"13-I11-03"</f>
        <v>13-I11-03</v>
      </c>
      <c r="H10432">
        <v>1.3809</v>
      </c>
      <c r="J10432" t="s">
        <v>24</v>
      </c>
      <c r="K10432" t="str">
        <f>"6F3"</f>
        <v>6F3</v>
      </c>
      <c r="L10432" t="s">
        <v>15</v>
      </c>
    </row>
    <row r="10433" spans="1:12" x14ac:dyDescent="0.25">
      <c r="A10433" t="str">
        <f>"7659144482"</f>
        <v>7659144482</v>
      </c>
      <c r="B10433" t="str">
        <f t="shared" si="438"/>
        <v>89301000</v>
      </c>
      <c r="C10433" s="1">
        <v>44362</v>
      </c>
      <c r="D10433" s="1">
        <v>44365</v>
      </c>
      <c r="E10433">
        <v>1</v>
      </c>
      <c r="F10433" t="s">
        <v>3744</v>
      </c>
      <c r="G10433" t="str">
        <f>"08-I25-02"</f>
        <v>08-I25-02</v>
      </c>
      <c r="H10433">
        <v>0.83209999999999995</v>
      </c>
      <c r="J10433" t="s">
        <v>14</v>
      </c>
      <c r="K10433" t="str">
        <f>"6F6"</f>
        <v>6F6</v>
      </c>
      <c r="L10433" t="s">
        <v>15</v>
      </c>
    </row>
    <row r="10434" spans="1:12" x14ac:dyDescent="0.25">
      <c r="A10434" t="str">
        <f>"7659154481"</f>
        <v>7659154481</v>
      </c>
      <c r="B10434" t="str">
        <f t="shared" si="438"/>
        <v>89301000</v>
      </c>
      <c r="C10434" s="1">
        <v>44349</v>
      </c>
      <c r="D10434" s="1">
        <v>44351</v>
      </c>
      <c r="E10434">
        <v>1</v>
      </c>
      <c r="F10434" t="s">
        <v>39</v>
      </c>
      <c r="G10434" t="str">
        <f>"03-I19-03"</f>
        <v>03-I19-03</v>
      </c>
      <c r="H10434">
        <v>0.60699999999999998</v>
      </c>
      <c r="I10434" t="s">
        <v>7064</v>
      </c>
      <c r="J10434" t="s">
        <v>14</v>
      </c>
      <c r="K10434" t="str">
        <f>"6F5"</f>
        <v>6F5</v>
      </c>
      <c r="L10434" t="s">
        <v>15</v>
      </c>
    </row>
    <row r="10435" spans="1:12" x14ac:dyDescent="0.25">
      <c r="A10435" t="str">
        <f>"7659160487"</f>
        <v>7659160487</v>
      </c>
      <c r="B10435" t="str">
        <f t="shared" si="438"/>
        <v>89301000</v>
      </c>
      <c r="C10435" s="1">
        <v>44305</v>
      </c>
      <c r="D10435" s="1">
        <v>44308</v>
      </c>
      <c r="E10435">
        <v>1</v>
      </c>
      <c r="F10435" t="s">
        <v>12</v>
      </c>
      <c r="G10435" t="str">
        <f>"03-K04-01"</f>
        <v>03-K04-01</v>
      </c>
      <c r="H10435">
        <v>0.47989999999999999</v>
      </c>
      <c r="I10435" t="s">
        <v>7065</v>
      </c>
      <c r="J10435" t="s">
        <v>14</v>
      </c>
      <c r="K10435" t="str">
        <f>"7F1"</f>
        <v>7F1</v>
      </c>
      <c r="L10435" t="s">
        <v>15</v>
      </c>
    </row>
    <row r="10436" spans="1:12" x14ac:dyDescent="0.25">
      <c r="A10436" t="str">
        <f>"7659215377"</f>
        <v>7659215377</v>
      </c>
      <c r="B10436" t="str">
        <f t="shared" si="438"/>
        <v>89301000</v>
      </c>
      <c r="C10436" s="1">
        <v>44214</v>
      </c>
      <c r="D10436" s="1">
        <v>44215</v>
      </c>
      <c r="E10436">
        <v>1</v>
      </c>
      <c r="F10436" t="s">
        <v>6874</v>
      </c>
      <c r="G10436" t="str">
        <f>"13-I19-00"</f>
        <v>13-I19-00</v>
      </c>
      <c r="H10436">
        <v>0.24679999999999999</v>
      </c>
      <c r="J10436" t="s">
        <v>14</v>
      </c>
      <c r="K10436" t="str">
        <f>"6F3"</f>
        <v>6F3</v>
      </c>
      <c r="L10436" t="s">
        <v>15</v>
      </c>
    </row>
    <row r="10437" spans="1:12" x14ac:dyDescent="0.25">
      <c r="A10437" t="str">
        <f>"7659215377"</f>
        <v>7659215377</v>
      </c>
      <c r="B10437" t="str">
        <f t="shared" si="438"/>
        <v>89301000</v>
      </c>
      <c r="C10437" s="1">
        <v>44304</v>
      </c>
      <c r="D10437" s="1">
        <v>44308</v>
      </c>
      <c r="E10437">
        <v>1</v>
      </c>
      <c r="F10437" t="s">
        <v>6874</v>
      </c>
      <c r="G10437" t="str">
        <f>"13-I11-03"</f>
        <v>13-I11-03</v>
      </c>
      <c r="H10437">
        <v>1.3809</v>
      </c>
      <c r="J10437" t="s">
        <v>24</v>
      </c>
      <c r="K10437" t="str">
        <f>"6F3"</f>
        <v>6F3</v>
      </c>
      <c r="L10437" t="s">
        <v>15</v>
      </c>
    </row>
    <row r="10438" spans="1:12" x14ac:dyDescent="0.25">
      <c r="A10438" t="str">
        <f>"7659255340"</f>
        <v>7659255340</v>
      </c>
      <c r="B10438" t="str">
        <f t="shared" si="438"/>
        <v>89301000</v>
      </c>
      <c r="C10438" s="1">
        <v>44227</v>
      </c>
      <c r="D10438" s="1">
        <v>44232</v>
      </c>
      <c r="E10438">
        <v>1</v>
      </c>
      <c r="F10438" t="s">
        <v>720</v>
      </c>
      <c r="G10438" t="str">
        <f>"06-K02-04"</f>
        <v>06-K02-04</v>
      </c>
      <c r="H10438">
        <v>0.3634</v>
      </c>
      <c r="I10438" t="s">
        <v>7066</v>
      </c>
      <c r="J10438" t="s">
        <v>14</v>
      </c>
      <c r="K10438" t="str">
        <f>"1F5"</f>
        <v>1F5</v>
      </c>
      <c r="L10438" t="s">
        <v>15</v>
      </c>
    </row>
    <row r="10439" spans="1:12" x14ac:dyDescent="0.25">
      <c r="A10439" t="str">
        <f>"7660045217"</f>
        <v>7660045217</v>
      </c>
      <c r="B10439" t="str">
        <f t="shared" si="438"/>
        <v>89301000</v>
      </c>
      <c r="C10439" s="1">
        <v>44433</v>
      </c>
      <c r="D10439" s="1">
        <v>44434</v>
      </c>
      <c r="E10439">
        <v>1</v>
      </c>
      <c r="F10439" t="s">
        <v>6717</v>
      </c>
      <c r="G10439" t="str">
        <f>"08-I18-02"</f>
        <v>08-I18-02</v>
      </c>
      <c r="H10439">
        <v>0.65769999999999995</v>
      </c>
      <c r="I10439" t="s">
        <v>381</v>
      </c>
      <c r="J10439" t="s">
        <v>17</v>
      </c>
      <c r="K10439" t="str">
        <f>"5F3"</f>
        <v>5F3</v>
      </c>
      <c r="L10439" t="s">
        <v>15</v>
      </c>
    </row>
    <row r="10440" spans="1:12" x14ac:dyDescent="0.25">
      <c r="A10440" t="str">
        <f>"7660125308"</f>
        <v>7660125308</v>
      </c>
      <c r="B10440" t="str">
        <f t="shared" si="438"/>
        <v>89301000</v>
      </c>
      <c r="C10440" s="1">
        <v>44351</v>
      </c>
      <c r="D10440" s="1">
        <v>44352</v>
      </c>
      <c r="E10440">
        <v>1</v>
      </c>
      <c r="F10440" t="s">
        <v>3852</v>
      </c>
      <c r="G10440" t="str">
        <f>"13-I19-00"</f>
        <v>13-I19-00</v>
      </c>
      <c r="H10440">
        <v>0.24679999999999999</v>
      </c>
      <c r="J10440" t="s">
        <v>14</v>
      </c>
      <c r="K10440" t="str">
        <f>"6F3"</f>
        <v>6F3</v>
      </c>
      <c r="L10440" t="s">
        <v>15</v>
      </c>
    </row>
    <row r="10441" spans="1:12" x14ac:dyDescent="0.25">
      <c r="A10441" t="str">
        <f>"7660185335"</f>
        <v>7660185335</v>
      </c>
      <c r="B10441" t="str">
        <f t="shared" si="438"/>
        <v>89301000</v>
      </c>
      <c r="C10441" s="1">
        <v>44444</v>
      </c>
      <c r="D10441" s="1">
        <v>44449</v>
      </c>
      <c r="E10441">
        <v>1</v>
      </c>
      <c r="F10441" t="s">
        <v>316</v>
      </c>
      <c r="G10441" t="str">
        <f>"01-I08-04"</f>
        <v>01-I08-04</v>
      </c>
      <c r="H10441">
        <v>1.6155999999999999</v>
      </c>
      <c r="I10441" t="s">
        <v>7067</v>
      </c>
      <c r="J10441" t="s">
        <v>17</v>
      </c>
      <c r="K10441" t="str">
        <f>"5F6"</f>
        <v>5F6</v>
      </c>
      <c r="L10441" t="s">
        <v>15</v>
      </c>
    </row>
    <row r="10442" spans="1:12" x14ac:dyDescent="0.25">
      <c r="A10442" t="str">
        <f>"7660185335"</f>
        <v>7660185335</v>
      </c>
      <c r="B10442" t="str">
        <f t="shared" si="438"/>
        <v>89301000</v>
      </c>
      <c r="C10442" s="1">
        <v>44403</v>
      </c>
      <c r="D10442" s="1">
        <v>44407</v>
      </c>
      <c r="E10442">
        <v>1</v>
      </c>
      <c r="F10442" t="s">
        <v>194</v>
      </c>
      <c r="G10442" t="str">
        <f>"01-K07-03"</f>
        <v>01-K07-03</v>
      </c>
      <c r="H10442">
        <v>0.4642</v>
      </c>
      <c r="J10442" t="s">
        <v>14</v>
      </c>
      <c r="K10442" t="str">
        <f>"2F9"</f>
        <v>2F9</v>
      </c>
      <c r="L10442" t="s">
        <v>15</v>
      </c>
    </row>
    <row r="10443" spans="1:12" x14ac:dyDescent="0.25">
      <c r="A10443" t="str">
        <f>"7660205883"</f>
        <v>7660205883</v>
      </c>
      <c r="B10443" t="str">
        <f t="shared" si="438"/>
        <v>89301000</v>
      </c>
      <c r="C10443" s="1">
        <v>44393</v>
      </c>
      <c r="D10443" s="1">
        <v>44398</v>
      </c>
      <c r="E10443">
        <v>1</v>
      </c>
      <c r="F10443" t="s">
        <v>7068</v>
      </c>
      <c r="G10443" t="str">
        <f>"09-K04-02"</f>
        <v>09-K04-02</v>
      </c>
      <c r="H10443">
        <v>0.68279999999999996</v>
      </c>
      <c r="I10443" t="s">
        <v>241</v>
      </c>
      <c r="J10443" t="s">
        <v>14</v>
      </c>
      <c r="K10443" t="str">
        <f>"4F4"</f>
        <v>4F4</v>
      </c>
      <c r="L10443" t="s">
        <v>15</v>
      </c>
    </row>
    <row r="10444" spans="1:12" x14ac:dyDescent="0.25">
      <c r="A10444" t="str">
        <f>"7660255339"</f>
        <v>7660255339</v>
      </c>
      <c r="B10444" t="str">
        <f t="shared" si="438"/>
        <v>89301000</v>
      </c>
      <c r="C10444" s="1">
        <v>44371</v>
      </c>
      <c r="D10444" s="1">
        <v>44373</v>
      </c>
      <c r="E10444">
        <v>1</v>
      </c>
      <c r="F10444" t="s">
        <v>3381</v>
      </c>
      <c r="G10444" t="str">
        <f>"09-I06-03"</f>
        <v>09-I06-03</v>
      </c>
      <c r="H10444">
        <v>1.4382999999999999</v>
      </c>
      <c r="I10444" t="s">
        <v>7069</v>
      </c>
      <c r="J10444" t="s">
        <v>17</v>
      </c>
      <c r="K10444" t="str">
        <f>"5F1"</f>
        <v>5F1</v>
      </c>
      <c r="L10444" t="s">
        <v>15</v>
      </c>
    </row>
    <row r="10445" spans="1:12" x14ac:dyDescent="0.25">
      <c r="A10445" t="str">
        <f>"7660295313"</f>
        <v>7660295313</v>
      </c>
      <c r="B10445" t="str">
        <f t="shared" si="438"/>
        <v>89301000</v>
      </c>
      <c r="C10445" s="1">
        <v>44328</v>
      </c>
      <c r="D10445" s="1">
        <v>44333</v>
      </c>
      <c r="E10445">
        <v>1</v>
      </c>
      <c r="F10445" t="s">
        <v>81</v>
      </c>
      <c r="G10445" t="str">
        <f>"10-I13-02"</f>
        <v>10-I13-02</v>
      </c>
      <c r="H10445">
        <v>1.1468</v>
      </c>
      <c r="I10445" t="s">
        <v>302</v>
      </c>
      <c r="J10445" t="s">
        <v>24</v>
      </c>
      <c r="K10445" t="str">
        <f>"5F1"</f>
        <v>5F1</v>
      </c>
      <c r="L10445" t="s">
        <v>15</v>
      </c>
    </row>
    <row r="10446" spans="1:12" x14ac:dyDescent="0.25">
      <c r="A10446" t="str">
        <f>"7660295313"</f>
        <v>7660295313</v>
      </c>
      <c r="B10446" t="str">
        <f t="shared" si="438"/>
        <v>89301000</v>
      </c>
      <c r="C10446" s="1">
        <v>44361</v>
      </c>
      <c r="D10446" s="1">
        <v>44369</v>
      </c>
      <c r="E10446">
        <v>1</v>
      </c>
      <c r="F10446" t="s">
        <v>79</v>
      </c>
      <c r="G10446" t="str">
        <f>"10-R02-01"</f>
        <v>10-R02-01</v>
      </c>
      <c r="H10446">
        <v>0.9698</v>
      </c>
      <c r="I10446" t="s">
        <v>80</v>
      </c>
      <c r="J10446" t="s">
        <v>24</v>
      </c>
      <c r="K10446" t="str">
        <f>"4F7"</f>
        <v>4F7</v>
      </c>
      <c r="L10446" t="s">
        <v>15</v>
      </c>
    </row>
    <row r="10447" spans="1:12" x14ac:dyDescent="0.25">
      <c r="A10447" t="str">
        <f>"7660305345"</f>
        <v>7660305345</v>
      </c>
      <c r="B10447" t="str">
        <f t="shared" si="438"/>
        <v>89301000</v>
      </c>
      <c r="C10447" s="1">
        <v>44424</v>
      </c>
      <c r="D10447" s="1">
        <v>44426</v>
      </c>
      <c r="E10447">
        <v>1</v>
      </c>
      <c r="F10447" t="s">
        <v>2068</v>
      </c>
      <c r="G10447" t="str">
        <f>"02-I06-02"</f>
        <v>02-I06-02</v>
      </c>
      <c r="H10447">
        <v>0.90300000000000002</v>
      </c>
      <c r="J10447" t="s">
        <v>17</v>
      </c>
      <c r="K10447" t="str">
        <f>"7F5"</f>
        <v>7F5</v>
      </c>
      <c r="L10447" t="s">
        <v>15</v>
      </c>
    </row>
    <row r="10448" spans="1:12" x14ac:dyDescent="0.25">
      <c r="A10448" t="str">
        <f>"7660309943"</f>
        <v>7660309943</v>
      </c>
      <c r="B10448" t="str">
        <f t="shared" si="438"/>
        <v>89301000</v>
      </c>
      <c r="C10448" s="1">
        <v>44356</v>
      </c>
      <c r="D10448" s="1">
        <v>44368</v>
      </c>
      <c r="E10448">
        <v>1</v>
      </c>
      <c r="F10448" t="s">
        <v>82</v>
      </c>
      <c r="G10448" t="str">
        <f>"14-I01-01"</f>
        <v>14-I01-01</v>
      </c>
      <c r="H10448">
        <v>1.5294000000000001</v>
      </c>
      <c r="I10448" t="s">
        <v>7070</v>
      </c>
      <c r="J10448" t="s">
        <v>59</v>
      </c>
      <c r="K10448" t="str">
        <f>"6F3"</f>
        <v>6F3</v>
      </c>
      <c r="L10448" t="s">
        <v>15</v>
      </c>
    </row>
    <row r="10449" spans="1:12" x14ac:dyDescent="0.25">
      <c r="A10449" t="str">
        <f>"7661035338"</f>
        <v>7661035338</v>
      </c>
      <c r="B10449" t="str">
        <f t="shared" si="438"/>
        <v>89301000</v>
      </c>
      <c r="C10449" s="1">
        <v>44255</v>
      </c>
      <c r="D10449" s="1">
        <v>44258</v>
      </c>
      <c r="E10449">
        <v>1</v>
      </c>
      <c r="F10449" t="s">
        <v>167</v>
      </c>
      <c r="G10449" t="str">
        <f>"08-M03-04"</f>
        <v>08-M03-04</v>
      </c>
      <c r="H10449">
        <v>0.8609</v>
      </c>
      <c r="I10449" t="s">
        <v>7071</v>
      </c>
      <c r="J10449" t="s">
        <v>14</v>
      </c>
      <c r="K10449" t="str">
        <f>"6F6"</f>
        <v>6F6</v>
      </c>
      <c r="L10449" t="s">
        <v>15</v>
      </c>
    </row>
    <row r="10450" spans="1:12" x14ac:dyDescent="0.25">
      <c r="A10450" t="str">
        <f>"7661134899"</f>
        <v>7661134899</v>
      </c>
      <c r="B10450" t="str">
        <f t="shared" si="438"/>
        <v>89301000</v>
      </c>
      <c r="C10450" s="1">
        <v>44399</v>
      </c>
      <c r="D10450" s="1">
        <v>44400</v>
      </c>
      <c r="E10450">
        <v>1</v>
      </c>
      <c r="F10450" t="s">
        <v>7072</v>
      </c>
      <c r="G10450" t="str">
        <f>"13-I19-00"</f>
        <v>13-I19-00</v>
      </c>
      <c r="H10450">
        <v>0.24679999999999999</v>
      </c>
      <c r="J10450" t="s">
        <v>14</v>
      </c>
      <c r="K10450" t="str">
        <f>"6F3"</f>
        <v>6F3</v>
      </c>
      <c r="L10450" t="s">
        <v>15</v>
      </c>
    </row>
    <row r="10451" spans="1:12" x14ac:dyDescent="0.25">
      <c r="A10451" t="str">
        <f>"7661134899"</f>
        <v>7661134899</v>
      </c>
      <c r="B10451" t="str">
        <f t="shared" si="438"/>
        <v>89301000</v>
      </c>
      <c r="C10451" s="1">
        <v>44447</v>
      </c>
      <c r="D10451" s="1">
        <v>44452</v>
      </c>
      <c r="E10451">
        <v>1</v>
      </c>
      <c r="F10451" t="s">
        <v>2495</v>
      </c>
      <c r="G10451" t="str">
        <f>"13-I11-03"</f>
        <v>13-I11-03</v>
      </c>
      <c r="H10451">
        <v>1.3809</v>
      </c>
      <c r="I10451" t="s">
        <v>860</v>
      </c>
      <c r="J10451" t="s">
        <v>24</v>
      </c>
      <c r="K10451" t="str">
        <f>"6F3"</f>
        <v>6F3</v>
      </c>
      <c r="L10451" t="s">
        <v>15</v>
      </c>
    </row>
    <row r="10452" spans="1:12" x14ac:dyDescent="0.25">
      <c r="A10452" t="str">
        <f>"7661205321"</f>
        <v>7661205321</v>
      </c>
      <c r="B10452" t="str">
        <f t="shared" si="438"/>
        <v>89301000</v>
      </c>
      <c r="C10452" s="1">
        <v>44348</v>
      </c>
      <c r="D10452" s="1">
        <v>44377</v>
      </c>
      <c r="E10452">
        <v>1</v>
      </c>
      <c r="F10452" t="s">
        <v>78</v>
      </c>
      <c r="G10452" t="str">
        <f>"19-K07-02"</f>
        <v>19-K07-02</v>
      </c>
      <c r="H10452">
        <v>2.8759999999999999</v>
      </c>
      <c r="I10452" t="s">
        <v>7073</v>
      </c>
      <c r="J10452" t="s">
        <v>27</v>
      </c>
      <c r="K10452" t="str">
        <f>"3F5"</f>
        <v>3F5</v>
      </c>
      <c r="L10452" t="s">
        <v>15</v>
      </c>
    </row>
    <row r="10453" spans="1:12" x14ac:dyDescent="0.25">
      <c r="A10453" t="str">
        <f>"7662145337"</f>
        <v>7662145337</v>
      </c>
      <c r="B10453" t="str">
        <f t="shared" si="438"/>
        <v>89301000</v>
      </c>
      <c r="C10453" s="1">
        <v>44487</v>
      </c>
      <c r="D10453" s="1">
        <v>44488</v>
      </c>
      <c r="E10453">
        <v>1</v>
      </c>
      <c r="F10453" t="s">
        <v>240</v>
      </c>
      <c r="G10453" t="str">
        <f>"03-K13-02"</f>
        <v>03-K13-02</v>
      </c>
      <c r="H10453">
        <v>0.2555</v>
      </c>
      <c r="J10453" t="s">
        <v>14</v>
      </c>
      <c r="K10453" t="str">
        <f>"2F5"</f>
        <v>2F5</v>
      </c>
      <c r="L10453" t="s">
        <v>15</v>
      </c>
    </row>
    <row r="10454" spans="1:12" x14ac:dyDescent="0.25">
      <c r="A10454" t="str">
        <f>"7662195354"</f>
        <v>7662195354</v>
      </c>
      <c r="B10454" t="str">
        <f t="shared" si="438"/>
        <v>89301000</v>
      </c>
      <c r="C10454" s="1">
        <v>44336</v>
      </c>
      <c r="D10454" s="1">
        <v>44338</v>
      </c>
      <c r="E10454">
        <v>1</v>
      </c>
      <c r="F10454" t="s">
        <v>2679</v>
      </c>
      <c r="G10454" t="str">
        <f>"08-K08-00"</f>
        <v>08-K08-00</v>
      </c>
      <c r="H10454">
        <v>0.51670000000000005</v>
      </c>
      <c r="I10454" t="s">
        <v>3416</v>
      </c>
      <c r="J10454" t="s">
        <v>14</v>
      </c>
      <c r="K10454" t="str">
        <f>"2F9"</f>
        <v>2F9</v>
      </c>
      <c r="L10454" t="s">
        <v>15</v>
      </c>
    </row>
    <row r="10455" spans="1:12" x14ac:dyDescent="0.25">
      <c r="A10455" t="str">
        <f>"7662255326"</f>
        <v>7662255326</v>
      </c>
      <c r="B10455" t="str">
        <f t="shared" si="438"/>
        <v>89301000</v>
      </c>
      <c r="C10455" s="1">
        <v>44378</v>
      </c>
      <c r="D10455" s="1">
        <v>44379</v>
      </c>
      <c r="E10455">
        <v>1</v>
      </c>
      <c r="F10455" t="s">
        <v>475</v>
      </c>
      <c r="G10455" t="str">
        <f>"10-K04-04"</f>
        <v>10-K04-04</v>
      </c>
      <c r="H10455">
        <v>0.56330000000000002</v>
      </c>
      <c r="I10455" t="s">
        <v>1959</v>
      </c>
      <c r="J10455" t="s">
        <v>14</v>
      </c>
      <c r="K10455" t="str">
        <f>"1F1"</f>
        <v>1F1</v>
      </c>
      <c r="L10455" t="s">
        <v>15</v>
      </c>
    </row>
    <row r="10456" spans="1:12" x14ac:dyDescent="0.25">
      <c r="A10456" t="str">
        <f>"7662295333"</f>
        <v>7662295333</v>
      </c>
      <c r="B10456" t="str">
        <f t="shared" si="438"/>
        <v>89301000</v>
      </c>
      <c r="C10456" s="1">
        <v>44478</v>
      </c>
      <c r="D10456" s="1">
        <v>44491</v>
      </c>
      <c r="E10456">
        <v>1</v>
      </c>
      <c r="F10456" t="s">
        <v>5226</v>
      </c>
      <c r="G10456" t="str">
        <f>"20-K04-02"</f>
        <v>20-K04-02</v>
      </c>
      <c r="H10456">
        <v>1.4984</v>
      </c>
      <c r="I10456" t="s">
        <v>5555</v>
      </c>
      <c r="J10456" t="s">
        <v>14</v>
      </c>
      <c r="K10456" t="str">
        <f>"3F5"</f>
        <v>3F5</v>
      </c>
      <c r="L10456" t="s">
        <v>15</v>
      </c>
    </row>
    <row r="10457" spans="1:12" x14ac:dyDescent="0.25">
      <c r="A10457" t="str">
        <f>"7701035309"</f>
        <v>7701035309</v>
      </c>
      <c r="B10457" t="str">
        <f t="shared" si="438"/>
        <v>89301000</v>
      </c>
      <c r="C10457" s="1">
        <v>44420</v>
      </c>
      <c r="D10457" s="1">
        <v>44422</v>
      </c>
      <c r="E10457">
        <v>1</v>
      </c>
      <c r="F10457" t="s">
        <v>445</v>
      </c>
      <c r="G10457" t="str">
        <f>"08-I17-02"</f>
        <v>08-I17-02</v>
      </c>
      <c r="H10457">
        <v>0.98309999999999997</v>
      </c>
      <c r="I10457" t="s">
        <v>30</v>
      </c>
      <c r="J10457" t="s">
        <v>14</v>
      </c>
      <c r="K10457" t="str">
        <f>"5F3"</f>
        <v>5F3</v>
      </c>
      <c r="L10457" t="s">
        <v>15</v>
      </c>
    </row>
    <row r="10458" spans="1:12" x14ac:dyDescent="0.25">
      <c r="A10458" t="str">
        <f>"7701141448"</f>
        <v>7701141448</v>
      </c>
      <c r="B10458" t="str">
        <f t="shared" si="438"/>
        <v>89301000</v>
      </c>
      <c r="C10458" s="1">
        <v>44315</v>
      </c>
      <c r="D10458" s="1">
        <v>44316</v>
      </c>
      <c r="E10458">
        <v>1</v>
      </c>
      <c r="F10458" t="s">
        <v>71</v>
      </c>
      <c r="G10458" t="str">
        <f>"08-M03-05"</f>
        <v>08-M03-05</v>
      </c>
      <c r="H10458">
        <v>0.51759999999999995</v>
      </c>
      <c r="I10458" t="s">
        <v>21</v>
      </c>
      <c r="J10458" t="s">
        <v>14</v>
      </c>
      <c r="K10458" t="str">
        <f>"5F3"</f>
        <v>5F3</v>
      </c>
      <c r="L10458" t="s">
        <v>15</v>
      </c>
    </row>
    <row r="10459" spans="1:12" x14ac:dyDescent="0.25">
      <c r="A10459" t="str">
        <f>"7701145320"</f>
        <v>7701145320</v>
      </c>
      <c r="B10459" t="str">
        <f t="shared" si="438"/>
        <v>89301000</v>
      </c>
      <c r="C10459" s="1">
        <v>44516</v>
      </c>
      <c r="D10459" s="1">
        <v>44518</v>
      </c>
      <c r="E10459">
        <v>1</v>
      </c>
      <c r="F10459" t="s">
        <v>1683</v>
      </c>
      <c r="G10459" t="str">
        <f>"05-M06-06"</f>
        <v>05-M06-06</v>
      </c>
      <c r="H10459">
        <v>1.7652000000000001</v>
      </c>
      <c r="I10459" t="s">
        <v>2283</v>
      </c>
      <c r="J10459" t="s">
        <v>17</v>
      </c>
      <c r="K10459" t="str">
        <f>"1F1"</f>
        <v>1F1</v>
      </c>
      <c r="L10459" t="s">
        <v>15</v>
      </c>
    </row>
    <row r="10460" spans="1:12" x14ac:dyDescent="0.25">
      <c r="A10460" t="str">
        <f>"7701315765"</f>
        <v>7701315765</v>
      </c>
      <c r="B10460" t="str">
        <f t="shared" si="438"/>
        <v>89301000</v>
      </c>
      <c r="C10460" s="1">
        <v>44508</v>
      </c>
      <c r="D10460" s="1">
        <v>44515</v>
      </c>
      <c r="E10460">
        <v>1</v>
      </c>
      <c r="F10460" t="s">
        <v>7074</v>
      </c>
      <c r="G10460" t="str">
        <f>"07-I02-02"</f>
        <v>07-I02-02</v>
      </c>
      <c r="H10460">
        <v>3.5583999999999998</v>
      </c>
      <c r="I10460" t="s">
        <v>7075</v>
      </c>
      <c r="J10460" t="s">
        <v>17</v>
      </c>
      <c r="K10460" t="str">
        <f>"5F1"</f>
        <v>5F1</v>
      </c>
      <c r="L10460" t="s">
        <v>15</v>
      </c>
    </row>
    <row r="10461" spans="1:12" x14ac:dyDescent="0.25">
      <c r="A10461" t="str">
        <f>"7701315765"</f>
        <v>7701315765</v>
      </c>
      <c r="B10461" t="str">
        <f t="shared" si="438"/>
        <v>89301000</v>
      </c>
      <c r="C10461" s="1">
        <v>44462</v>
      </c>
      <c r="D10461" s="1">
        <v>44464</v>
      </c>
      <c r="E10461">
        <v>1</v>
      </c>
      <c r="F10461" t="s">
        <v>2055</v>
      </c>
      <c r="G10461" t="str">
        <f>"07-K08-02"</f>
        <v>07-K08-02</v>
      </c>
      <c r="H10461">
        <v>0.37209999999999999</v>
      </c>
      <c r="I10461" t="s">
        <v>489</v>
      </c>
      <c r="J10461" t="s">
        <v>14</v>
      </c>
      <c r="K10461" t="str">
        <f>"1F1"</f>
        <v>1F1</v>
      </c>
      <c r="L10461" t="s">
        <v>15</v>
      </c>
    </row>
    <row r="10462" spans="1:12" x14ac:dyDescent="0.25">
      <c r="A10462" t="str">
        <f>"7702025309"</f>
        <v>7702025309</v>
      </c>
      <c r="B10462" t="str">
        <f t="shared" si="438"/>
        <v>89301000</v>
      </c>
      <c r="C10462" s="1">
        <v>44202</v>
      </c>
      <c r="D10462" s="1">
        <v>44207</v>
      </c>
      <c r="E10462">
        <v>1</v>
      </c>
      <c r="F10462" t="s">
        <v>31</v>
      </c>
      <c r="G10462" t="str">
        <f>"08-I03-06"</f>
        <v>08-I03-06</v>
      </c>
      <c r="H10462">
        <v>3.3738000000000001</v>
      </c>
      <c r="J10462" t="s">
        <v>17</v>
      </c>
      <c r="K10462" t="str">
        <f>"5F6"</f>
        <v>5F6</v>
      </c>
      <c r="L10462" t="s">
        <v>15</v>
      </c>
    </row>
    <row r="10463" spans="1:12" x14ac:dyDescent="0.25">
      <c r="A10463" t="str">
        <f>"7702083488"</f>
        <v>7702083488</v>
      </c>
      <c r="B10463" t="str">
        <f t="shared" si="438"/>
        <v>89301000</v>
      </c>
      <c r="C10463" s="1">
        <v>44222</v>
      </c>
      <c r="D10463" s="1">
        <v>44225</v>
      </c>
      <c r="E10463">
        <v>1</v>
      </c>
      <c r="F10463" t="s">
        <v>496</v>
      </c>
      <c r="G10463" t="str">
        <f>"08-M03-05"</f>
        <v>08-M03-05</v>
      </c>
      <c r="H10463">
        <v>0.51759999999999995</v>
      </c>
      <c r="I10463" t="s">
        <v>5577</v>
      </c>
      <c r="J10463" t="s">
        <v>14</v>
      </c>
      <c r="K10463" t="str">
        <f>"6F6"</f>
        <v>6F6</v>
      </c>
      <c r="L10463" t="s">
        <v>15</v>
      </c>
    </row>
    <row r="10464" spans="1:12" x14ac:dyDescent="0.25">
      <c r="A10464" t="str">
        <f>"7702085820"</f>
        <v>7702085820</v>
      </c>
      <c r="B10464" t="str">
        <f t="shared" si="438"/>
        <v>89301000</v>
      </c>
      <c r="C10464" s="1">
        <v>44473</v>
      </c>
      <c r="D10464" s="1">
        <v>44488</v>
      </c>
      <c r="E10464">
        <v>1</v>
      </c>
      <c r="F10464" t="s">
        <v>1847</v>
      </c>
      <c r="G10464" t="str">
        <f>"04-K07-03"</f>
        <v>04-K07-03</v>
      </c>
      <c r="H10464">
        <v>0.85599999999999998</v>
      </c>
      <c r="I10464" t="s">
        <v>7076</v>
      </c>
      <c r="J10464" t="s">
        <v>14</v>
      </c>
      <c r="K10464" t="str">
        <f>"2F5"</f>
        <v>2F5</v>
      </c>
      <c r="L10464" t="s">
        <v>15</v>
      </c>
    </row>
    <row r="10465" spans="1:12" x14ac:dyDescent="0.25">
      <c r="A10465" t="str">
        <f>"7702155769"</f>
        <v>7702155769</v>
      </c>
      <c r="B10465" t="str">
        <f t="shared" si="438"/>
        <v>89301000</v>
      </c>
      <c r="C10465" s="1">
        <v>44397</v>
      </c>
      <c r="D10465" s="1">
        <v>44401</v>
      </c>
      <c r="E10465">
        <v>1</v>
      </c>
      <c r="F10465" t="s">
        <v>593</v>
      </c>
      <c r="G10465" t="str">
        <f>"07-I10-05"</f>
        <v>07-I10-05</v>
      </c>
      <c r="H10465">
        <v>1.2605999999999999</v>
      </c>
      <c r="I10465" t="s">
        <v>3632</v>
      </c>
      <c r="J10465" t="s">
        <v>17</v>
      </c>
      <c r="K10465" t="str">
        <f>"5F1"</f>
        <v>5F1</v>
      </c>
      <c r="L10465" t="s">
        <v>15</v>
      </c>
    </row>
    <row r="10466" spans="1:12" x14ac:dyDescent="0.25">
      <c r="A10466" t="str">
        <f>"7702155769"</f>
        <v>7702155769</v>
      </c>
      <c r="B10466" t="str">
        <f t="shared" si="438"/>
        <v>89301000</v>
      </c>
      <c r="C10466" s="1">
        <v>44356</v>
      </c>
      <c r="D10466" s="1">
        <v>44361</v>
      </c>
      <c r="E10466">
        <v>1</v>
      </c>
      <c r="F10466" t="s">
        <v>3632</v>
      </c>
      <c r="G10466" t="str">
        <f>"07-M02-03"</f>
        <v>07-M02-03</v>
      </c>
      <c r="H10466">
        <v>1.3401000000000001</v>
      </c>
      <c r="I10466" t="s">
        <v>7077</v>
      </c>
      <c r="J10466" t="s">
        <v>17</v>
      </c>
      <c r="K10466" t="str">
        <f>"1F1"</f>
        <v>1F1</v>
      </c>
      <c r="L10466" t="s">
        <v>15</v>
      </c>
    </row>
    <row r="10467" spans="1:12" x14ac:dyDescent="0.25">
      <c r="A10467" t="str">
        <f>"7702204466"</f>
        <v>7702204466</v>
      </c>
      <c r="B10467" t="str">
        <f t="shared" si="438"/>
        <v>89301000</v>
      </c>
      <c r="C10467" s="1">
        <v>44193</v>
      </c>
      <c r="D10467" s="1">
        <v>44204</v>
      </c>
      <c r="E10467">
        <v>1</v>
      </c>
      <c r="F10467" t="s">
        <v>3883</v>
      </c>
      <c r="G10467" t="str">
        <f>"06-K13-02"</f>
        <v>06-K13-02</v>
      </c>
      <c r="H10467">
        <v>0.60880000000000001</v>
      </c>
      <c r="I10467" t="s">
        <v>7078</v>
      </c>
      <c r="J10467" t="s">
        <v>14</v>
      </c>
      <c r="K10467" t="str">
        <f>"4F2"</f>
        <v>4F2</v>
      </c>
      <c r="L10467" t="s">
        <v>15</v>
      </c>
    </row>
    <row r="10468" spans="1:12" x14ac:dyDescent="0.25">
      <c r="A10468" t="str">
        <f>"7702204466"</f>
        <v>7702204466</v>
      </c>
      <c r="B10468" t="str">
        <f t="shared" ref="B10468:B10531" si="439">"89301000"</f>
        <v>89301000</v>
      </c>
      <c r="C10468" s="1">
        <v>44217</v>
      </c>
      <c r="D10468" s="1">
        <v>44223</v>
      </c>
      <c r="E10468">
        <v>1</v>
      </c>
      <c r="F10468" t="s">
        <v>3883</v>
      </c>
      <c r="G10468" t="str">
        <f>"06-C02-02"</f>
        <v>06-C02-02</v>
      </c>
      <c r="H10468">
        <v>0.34710000000000002</v>
      </c>
      <c r="I10468" t="s">
        <v>7079</v>
      </c>
      <c r="J10468" t="s">
        <v>14</v>
      </c>
      <c r="K10468" t="str">
        <f>"4F2"</f>
        <v>4F2</v>
      </c>
      <c r="L10468" t="s">
        <v>15</v>
      </c>
    </row>
    <row r="10469" spans="1:12" x14ac:dyDescent="0.25">
      <c r="A10469" t="str">
        <f>"7702204466"</f>
        <v>7702204466</v>
      </c>
      <c r="B10469" t="str">
        <f t="shared" si="439"/>
        <v>89301000</v>
      </c>
      <c r="C10469" s="1">
        <v>44280</v>
      </c>
      <c r="D10469" s="1">
        <v>44286</v>
      </c>
      <c r="E10469">
        <v>1</v>
      </c>
      <c r="F10469" t="s">
        <v>3883</v>
      </c>
      <c r="G10469" t="str">
        <f>"06-C02-02"</f>
        <v>06-C02-02</v>
      </c>
      <c r="H10469">
        <v>0.34710000000000002</v>
      </c>
      <c r="I10469" t="s">
        <v>7079</v>
      </c>
      <c r="J10469" t="s">
        <v>14</v>
      </c>
      <c r="K10469" t="str">
        <f>"4F2"</f>
        <v>4F2</v>
      </c>
      <c r="L10469" t="s">
        <v>15</v>
      </c>
    </row>
    <row r="10470" spans="1:12" x14ac:dyDescent="0.25">
      <c r="A10470" t="str">
        <f>"7702204466"</f>
        <v>7702204466</v>
      </c>
      <c r="B10470" t="str">
        <f t="shared" si="439"/>
        <v>89301000</v>
      </c>
      <c r="C10470" s="1">
        <v>44259</v>
      </c>
      <c r="D10470" s="1">
        <v>44265</v>
      </c>
      <c r="E10470">
        <v>1</v>
      </c>
      <c r="F10470" t="s">
        <v>3883</v>
      </c>
      <c r="G10470" t="str">
        <f>"06-K13-02"</f>
        <v>06-K13-02</v>
      </c>
      <c r="H10470">
        <v>0.60880000000000001</v>
      </c>
      <c r="I10470" t="s">
        <v>4167</v>
      </c>
      <c r="J10470" t="s">
        <v>14</v>
      </c>
      <c r="K10470" t="str">
        <f>"4F2"</f>
        <v>4F2</v>
      </c>
      <c r="L10470" t="s">
        <v>15</v>
      </c>
    </row>
    <row r="10471" spans="1:12" x14ac:dyDescent="0.25">
      <c r="A10471" t="str">
        <f>"7702204466"</f>
        <v>7702204466</v>
      </c>
      <c r="B10471" t="str">
        <f t="shared" si="439"/>
        <v>89301000</v>
      </c>
      <c r="C10471" s="1">
        <v>44238</v>
      </c>
      <c r="D10471" s="1">
        <v>44245</v>
      </c>
      <c r="E10471">
        <v>1</v>
      </c>
      <c r="F10471" t="s">
        <v>3883</v>
      </c>
      <c r="G10471" t="str">
        <f>"06-K13-02"</f>
        <v>06-K13-02</v>
      </c>
      <c r="H10471">
        <v>0.60880000000000001</v>
      </c>
      <c r="I10471" t="s">
        <v>4167</v>
      </c>
      <c r="J10471" t="s">
        <v>14</v>
      </c>
      <c r="K10471" t="str">
        <f>"4F2"</f>
        <v>4F2</v>
      </c>
      <c r="L10471" t="s">
        <v>15</v>
      </c>
    </row>
    <row r="10472" spans="1:12" x14ac:dyDescent="0.25">
      <c r="A10472" t="str">
        <f>"7702235376"</f>
        <v>7702235376</v>
      </c>
      <c r="B10472" t="str">
        <f t="shared" si="439"/>
        <v>89301000</v>
      </c>
      <c r="C10472" s="1">
        <v>44507</v>
      </c>
      <c r="D10472" s="1">
        <v>44513</v>
      </c>
      <c r="E10472">
        <v>1</v>
      </c>
      <c r="F10472" t="s">
        <v>217</v>
      </c>
      <c r="G10472" t="str">
        <f>"04-K02-04"</f>
        <v>04-K02-04</v>
      </c>
      <c r="H10472">
        <v>0.82469999999999999</v>
      </c>
      <c r="I10472" t="s">
        <v>274</v>
      </c>
      <c r="J10472" t="s">
        <v>14</v>
      </c>
      <c r="K10472" t="str">
        <f>"1F1"</f>
        <v>1F1</v>
      </c>
      <c r="L10472" t="s">
        <v>15</v>
      </c>
    </row>
    <row r="10473" spans="1:12" x14ac:dyDescent="0.25">
      <c r="A10473" t="str">
        <f>"7702275790"</f>
        <v>7702275790</v>
      </c>
      <c r="B10473" t="str">
        <f t="shared" si="439"/>
        <v>89301000</v>
      </c>
      <c r="C10473" s="1">
        <v>44315</v>
      </c>
      <c r="D10473" s="1">
        <v>44320</v>
      </c>
      <c r="E10473">
        <v>1</v>
      </c>
      <c r="F10473" t="s">
        <v>260</v>
      </c>
      <c r="G10473" t="str">
        <f>"03-K06-01"</f>
        <v>03-K06-01</v>
      </c>
      <c r="H10473">
        <v>0.4718</v>
      </c>
      <c r="I10473" t="s">
        <v>7080</v>
      </c>
      <c r="J10473" t="s">
        <v>14</v>
      </c>
      <c r="K10473" t="str">
        <f>"7F1"</f>
        <v>7F1</v>
      </c>
      <c r="L10473" t="s">
        <v>15</v>
      </c>
    </row>
    <row r="10474" spans="1:12" x14ac:dyDescent="0.25">
      <c r="A10474" t="str">
        <f>"7703093508"</f>
        <v>7703093508</v>
      </c>
      <c r="B10474" t="str">
        <f t="shared" si="439"/>
        <v>89301000</v>
      </c>
      <c r="C10474" s="1">
        <v>44430</v>
      </c>
      <c r="D10474" s="1">
        <v>44432</v>
      </c>
      <c r="E10474">
        <v>5</v>
      </c>
      <c r="F10474" t="s">
        <v>316</v>
      </c>
      <c r="G10474" t="str">
        <f>"25-I02-01"</f>
        <v>25-I02-01</v>
      </c>
      <c r="H10474">
        <v>4.2931999999999997</v>
      </c>
      <c r="I10474" t="s">
        <v>7081</v>
      </c>
      <c r="J10474" t="s">
        <v>17</v>
      </c>
      <c r="K10474" t="str">
        <f>"5T6"</f>
        <v>5T6</v>
      </c>
      <c r="L10474" t="s">
        <v>15</v>
      </c>
    </row>
    <row r="10475" spans="1:12" x14ac:dyDescent="0.25">
      <c r="A10475" t="str">
        <f>"7703295325"</f>
        <v>7703295325</v>
      </c>
      <c r="B10475" t="str">
        <f t="shared" si="439"/>
        <v>89301000</v>
      </c>
      <c r="C10475" s="1">
        <v>44234</v>
      </c>
      <c r="D10475" s="1">
        <v>44236</v>
      </c>
      <c r="E10475">
        <v>1</v>
      </c>
      <c r="F10475" t="s">
        <v>210</v>
      </c>
      <c r="G10475" t="str">
        <f>"08-I15-03"</f>
        <v>08-I15-03</v>
      </c>
      <c r="H10475">
        <v>1.1838</v>
      </c>
      <c r="I10475" t="s">
        <v>21</v>
      </c>
      <c r="J10475" t="s">
        <v>17</v>
      </c>
      <c r="K10475" t="str">
        <f>"5F3"</f>
        <v>5F3</v>
      </c>
      <c r="L10475" t="s">
        <v>15</v>
      </c>
    </row>
    <row r="10476" spans="1:12" x14ac:dyDescent="0.25">
      <c r="A10476" t="str">
        <f>"7704045305"</f>
        <v>7704045305</v>
      </c>
      <c r="B10476" t="str">
        <f t="shared" si="439"/>
        <v>89301000</v>
      </c>
      <c r="C10476" s="1">
        <v>44290</v>
      </c>
      <c r="D10476" s="1">
        <v>44294</v>
      </c>
      <c r="E10476">
        <v>1</v>
      </c>
      <c r="F10476" t="s">
        <v>475</v>
      </c>
      <c r="G10476" t="str">
        <f>"10-K04-04"</f>
        <v>10-K04-04</v>
      </c>
      <c r="H10476">
        <v>0.56330000000000002</v>
      </c>
      <c r="I10476" t="s">
        <v>7082</v>
      </c>
      <c r="J10476" t="s">
        <v>14</v>
      </c>
      <c r="K10476" t="str">
        <f>"1F1"</f>
        <v>1F1</v>
      </c>
      <c r="L10476" t="s">
        <v>15</v>
      </c>
    </row>
    <row r="10477" spans="1:12" x14ac:dyDescent="0.25">
      <c r="A10477" t="str">
        <f>"7704045305"</f>
        <v>7704045305</v>
      </c>
      <c r="B10477" t="str">
        <f t="shared" si="439"/>
        <v>89301000</v>
      </c>
      <c r="C10477" s="1">
        <v>44265</v>
      </c>
      <c r="D10477" s="1">
        <v>44267</v>
      </c>
      <c r="E10477">
        <v>1</v>
      </c>
      <c r="F10477" t="s">
        <v>217</v>
      </c>
      <c r="G10477" t="str">
        <f>"04-K02-04"</f>
        <v>04-K02-04</v>
      </c>
      <c r="H10477">
        <v>0.82469999999999999</v>
      </c>
      <c r="I10477" t="s">
        <v>7083</v>
      </c>
      <c r="J10477" t="s">
        <v>14</v>
      </c>
      <c r="K10477" t="str">
        <f>"5F1"</f>
        <v>5F1</v>
      </c>
      <c r="L10477" t="s">
        <v>15</v>
      </c>
    </row>
    <row r="10478" spans="1:12" x14ac:dyDescent="0.25">
      <c r="A10478" t="str">
        <f>"7704135351"</f>
        <v>7704135351</v>
      </c>
      <c r="B10478" t="str">
        <f t="shared" si="439"/>
        <v>89301000</v>
      </c>
      <c r="C10478" s="1">
        <v>44326</v>
      </c>
      <c r="D10478" s="1">
        <v>44330</v>
      </c>
      <c r="E10478">
        <v>1</v>
      </c>
      <c r="F10478" t="s">
        <v>2433</v>
      </c>
      <c r="G10478" t="str">
        <f>"09-K04-02"</f>
        <v>09-K04-02</v>
      </c>
      <c r="H10478">
        <v>0.68279999999999996</v>
      </c>
      <c r="I10478" t="s">
        <v>489</v>
      </c>
      <c r="J10478" t="s">
        <v>14</v>
      </c>
      <c r="K10478" t="str">
        <f>"4F4"</f>
        <v>4F4</v>
      </c>
      <c r="L10478" t="s">
        <v>15</v>
      </c>
    </row>
    <row r="10479" spans="1:12" x14ac:dyDescent="0.25">
      <c r="A10479" t="str">
        <f>"7704215376"</f>
        <v>7704215376</v>
      </c>
      <c r="B10479" t="str">
        <f t="shared" si="439"/>
        <v>89301000</v>
      </c>
      <c r="C10479" s="1">
        <v>44494</v>
      </c>
      <c r="D10479" s="1">
        <v>44496</v>
      </c>
      <c r="E10479">
        <v>1</v>
      </c>
      <c r="F10479" t="s">
        <v>4382</v>
      </c>
      <c r="G10479" t="str">
        <f>"05-I30-01"</f>
        <v>05-I30-01</v>
      </c>
      <c r="H10479">
        <v>0.64139999999999997</v>
      </c>
      <c r="J10479" t="s">
        <v>14</v>
      </c>
      <c r="K10479" t="str">
        <f>"5F1"</f>
        <v>5F1</v>
      </c>
      <c r="L10479" t="s">
        <v>15</v>
      </c>
    </row>
    <row r="10480" spans="1:12" x14ac:dyDescent="0.25">
      <c r="A10480" t="str">
        <f>"7704234516"</f>
        <v>7704234516</v>
      </c>
      <c r="B10480" t="str">
        <f t="shared" si="439"/>
        <v>89301000</v>
      </c>
      <c r="C10480" s="1">
        <v>44510</v>
      </c>
      <c r="D10480" s="1">
        <v>44510</v>
      </c>
      <c r="E10480">
        <v>1</v>
      </c>
      <c r="F10480" t="s">
        <v>1936</v>
      </c>
      <c r="G10480" t="str">
        <f>"05-I14-04"</f>
        <v>05-I14-04</v>
      </c>
      <c r="H10480">
        <v>5.1692</v>
      </c>
      <c r="I10480" t="s">
        <v>2397</v>
      </c>
      <c r="J10480" t="s">
        <v>14</v>
      </c>
      <c r="K10480" t="str">
        <f>"1F1"</f>
        <v>1F1</v>
      </c>
      <c r="L10480" t="s">
        <v>15</v>
      </c>
    </row>
    <row r="10481" spans="1:12" x14ac:dyDescent="0.25">
      <c r="A10481" t="str">
        <f>"7704235341"</f>
        <v>7704235341</v>
      </c>
      <c r="B10481" t="str">
        <f t="shared" si="439"/>
        <v>89301000</v>
      </c>
      <c r="C10481" s="1">
        <v>44207</v>
      </c>
      <c r="D10481" s="1">
        <v>44209</v>
      </c>
      <c r="E10481">
        <v>1</v>
      </c>
      <c r="F10481" t="s">
        <v>71</v>
      </c>
      <c r="G10481" t="str">
        <f>"08-M03-06"</f>
        <v>08-M03-06</v>
      </c>
      <c r="H10481">
        <v>0.41899999999999998</v>
      </c>
      <c r="I10481" t="s">
        <v>7084</v>
      </c>
      <c r="J10481" t="s">
        <v>14</v>
      </c>
      <c r="K10481" t="str">
        <f>"5F3"</f>
        <v>5F3</v>
      </c>
      <c r="L10481" t="s">
        <v>15</v>
      </c>
    </row>
    <row r="10482" spans="1:12" x14ac:dyDescent="0.25">
      <c r="A10482" t="str">
        <f>"7704295357"</f>
        <v>7704295357</v>
      </c>
      <c r="B10482" t="str">
        <f t="shared" si="439"/>
        <v>89301000</v>
      </c>
      <c r="C10482" s="1">
        <v>44523</v>
      </c>
      <c r="D10482" s="1">
        <v>44533</v>
      </c>
      <c r="E10482">
        <v>1</v>
      </c>
      <c r="F10482" t="s">
        <v>217</v>
      </c>
      <c r="G10482" t="str">
        <f>"04-K02-04"</f>
        <v>04-K02-04</v>
      </c>
      <c r="H10482">
        <v>0.82469999999999999</v>
      </c>
      <c r="I10482" t="s">
        <v>274</v>
      </c>
      <c r="J10482" t="s">
        <v>14</v>
      </c>
      <c r="K10482" t="str">
        <f>"1F1"</f>
        <v>1F1</v>
      </c>
      <c r="L10482" t="s">
        <v>15</v>
      </c>
    </row>
    <row r="10483" spans="1:12" x14ac:dyDescent="0.25">
      <c r="A10483" t="str">
        <f>"7705055809"</f>
        <v>7705055809</v>
      </c>
      <c r="B10483" t="str">
        <f t="shared" si="439"/>
        <v>89301000</v>
      </c>
      <c r="C10483" s="1">
        <v>44246</v>
      </c>
      <c r="D10483" s="1">
        <v>44256</v>
      </c>
      <c r="E10483">
        <v>1</v>
      </c>
      <c r="F10483" t="s">
        <v>2902</v>
      </c>
      <c r="G10483" t="str">
        <f>"07-I06-01"</f>
        <v>07-I06-01</v>
      </c>
      <c r="H10483">
        <v>5.3661000000000003</v>
      </c>
      <c r="I10483" t="s">
        <v>7085</v>
      </c>
      <c r="J10483" t="s">
        <v>17</v>
      </c>
      <c r="K10483" t="str">
        <f>"1F1"</f>
        <v>1F1</v>
      </c>
      <c r="L10483" t="s">
        <v>15</v>
      </c>
    </row>
    <row r="10484" spans="1:12" x14ac:dyDescent="0.25">
      <c r="A10484" t="str">
        <f>"7705095332"</f>
        <v>7705095332</v>
      </c>
      <c r="B10484" t="str">
        <f t="shared" si="439"/>
        <v>89301000</v>
      </c>
      <c r="C10484" s="1">
        <v>44322</v>
      </c>
      <c r="D10484" s="1">
        <v>44325</v>
      </c>
      <c r="E10484">
        <v>1</v>
      </c>
      <c r="F10484" t="s">
        <v>3567</v>
      </c>
      <c r="G10484" t="str">
        <f>"08-M03-04"</f>
        <v>08-M03-04</v>
      </c>
      <c r="H10484">
        <v>0.8609</v>
      </c>
      <c r="I10484" t="s">
        <v>5589</v>
      </c>
      <c r="J10484" t="s">
        <v>14</v>
      </c>
      <c r="K10484" t="str">
        <f>"6F6"</f>
        <v>6F6</v>
      </c>
      <c r="L10484" t="s">
        <v>15</v>
      </c>
    </row>
    <row r="10485" spans="1:12" x14ac:dyDescent="0.25">
      <c r="A10485" t="str">
        <f>"7705115330"</f>
        <v>7705115330</v>
      </c>
      <c r="B10485" t="str">
        <f t="shared" si="439"/>
        <v>89301000</v>
      </c>
      <c r="C10485" s="1">
        <v>44514</v>
      </c>
      <c r="D10485" s="1">
        <v>44516</v>
      </c>
      <c r="E10485">
        <v>6</v>
      </c>
      <c r="F10485" t="s">
        <v>49</v>
      </c>
      <c r="G10485" t="str">
        <f>"01-K18-04"</f>
        <v>01-K18-04</v>
      </c>
      <c r="H10485">
        <v>0.49890000000000001</v>
      </c>
      <c r="I10485" t="s">
        <v>7086</v>
      </c>
      <c r="J10485" t="s">
        <v>14</v>
      </c>
      <c r="K10485" t="str">
        <f>"2F9"</f>
        <v>2F9</v>
      </c>
      <c r="L10485" t="s">
        <v>15</v>
      </c>
    </row>
    <row r="10486" spans="1:12" x14ac:dyDescent="0.25">
      <c r="A10486" t="str">
        <f>"7705115330"</f>
        <v>7705115330</v>
      </c>
      <c r="B10486" t="str">
        <f t="shared" si="439"/>
        <v>89301000</v>
      </c>
      <c r="C10486" s="1">
        <v>44538</v>
      </c>
      <c r="D10486" s="1">
        <v>44544</v>
      </c>
      <c r="E10486">
        <v>1</v>
      </c>
      <c r="F10486" t="s">
        <v>1699</v>
      </c>
      <c r="G10486" t="str">
        <f>"01-K10-03"</f>
        <v>01-K10-03</v>
      </c>
      <c r="H10486">
        <v>1.0016</v>
      </c>
      <c r="I10486" t="s">
        <v>7087</v>
      </c>
      <c r="J10486" t="s">
        <v>14</v>
      </c>
      <c r="K10486" t="str">
        <f>"2F9"</f>
        <v>2F9</v>
      </c>
      <c r="L10486" t="s">
        <v>15</v>
      </c>
    </row>
    <row r="10487" spans="1:12" x14ac:dyDescent="0.25">
      <c r="A10487" t="str">
        <f>"7706095353"</f>
        <v>7706095353</v>
      </c>
      <c r="B10487" t="str">
        <f t="shared" si="439"/>
        <v>89301000</v>
      </c>
      <c r="C10487" s="1">
        <v>44388</v>
      </c>
      <c r="D10487" s="1">
        <v>44395</v>
      </c>
      <c r="E10487">
        <v>7</v>
      </c>
      <c r="F10487" t="s">
        <v>4163</v>
      </c>
      <c r="G10487" t="str">
        <f>"88-I06-00"</f>
        <v>88-I06-00</v>
      </c>
      <c r="H10487">
        <v>0.11459999999999999</v>
      </c>
      <c r="I10487" t="s">
        <v>7088</v>
      </c>
      <c r="J10487" t="s">
        <v>14</v>
      </c>
      <c r="K10487" t="str">
        <f>"5T1"</f>
        <v>5T1</v>
      </c>
      <c r="L10487" t="s">
        <v>15</v>
      </c>
    </row>
    <row r="10488" spans="1:12" x14ac:dyDescent="0.25">
      <c r="A10488" t="str">
        <f>"7706095353"</f>
        <v>7706095353</v>
      </c>
      <c r="B10488" t="str">
        <f t="shared" si="439"/>
        <v>89301000</v>
      </c>
      <c r="C10488" s="1">
        <v>44261</v>
      </c>
      <c r="D10488" s="1">
        <v>44270</v>
      </c>
      <c r="E10488">
        <v>1</v>
      </c>
      <c r="F10488" t="s">
        <v>4163</v>
      </c>
      <c r="G10488" t="str">
        <f>"06-I13-02"</f>
        <v>06-I13-02</v>
      </c>
      <c r="H10488">
        <v>2.0766</v>
      </c>
      <c r="J10488" t="s">
        <v>14</v>
      </c>
      <c r="K10488" t="str">
        <f>"5F1"</f>
        <v>5F1</v>
      </c>
      <c r="L10488" t="s">
        <v>15</v>
      </c>
    </row>
    <row r="10489" spans="1:12" x14ac:dyDescent="0.25">
      <c r="A10489" t="str">
        <f>"7706115340"</f>
        <v>7706115340</v>
      </c>
      <c r="B10489" t="str">
        <f t="shared" si="439"/>
        <v>89301000</v>
      </c>
      <c r="C10489" s="1">
        <v>44341</v>
      </c>
      <c r="D10489" s="1">
        <v>44342</v>
      </c>
      <c r="E10489">
        <v>1</v>
      </c>
      <c r="F10489" t="s">
        <v>1716</v>
      </c>
      <c r="G10489" t="str">
        <f>"11-M05-02"</f>
        <v>11-M05-02</v>
      </c>
      <c r="H10489">
        <v>0.65690000000000004</v>
      </c>
      <c r="I10489" t="s">
        <v>489</v>
      </c>
      <c r="J10489" t="s">
        <v>17</v>
      </c>
      <c r="K10489" t="str">
        <f>"7F6"</f>
        <v>7F6</v>
      </c>
      <c r="L10489" t="s">
        <v>15</v>
      </c>
    </row>
    <row r="10490" spans="1:12" x14ac:dyDescent="0.25">
      <c r="A10490" t="str">
        <f>"7706135327"</f>
        <v>7706135327</v>
      </c>
      <c r="B10490" t="str">
        <f t="shared" si="439"/>
        <v>89301000</v>
      </c>
      <c r="C10490" s="1">
        <v>44502</v>
      </c>
      <c r="D10490" s="1">
        <v>44505</v>
      </c>
      <c r="E10490">
        <v>1</v>
      </c>
      <c r="F10490" t="s">
        <v>1198</v>
      </c>
      <c r="G10490" t="str">
        <f>"05-I14-04"</f>
        <v>05-I14-04</v>
      </c>
      <c r="H10490">
        <v>6.0814000000000004</v>
      </c>
      <c r="J10490" t="s">
        <v>14</v>
      </c>
      <c r="K10490" t="str">
        <f>"1F1"</f>
        <v>1F1</v>
      </c>
      <c r="L10490" t="s">
        <v>15</v>
      </c>
    </row>
    <row r="10491" spans="1:12" x14ac:dyDescent="0.25">
      <c r="A10491" t="str">
        <f>"7706145788"</f>
        <v>7706145788</v>
      </c>
      <c r="B10491" t="str">
        <f t="shared" si="439"/>
        <v>89301000</v>
      </c>
      <c r="C10491" s="1">
        <v>44349</v>
      </c>
      <c r="D10491" s="1">
        <v>44352</v>
      </c>
      <c r="E10491">
        <v>1</v>
      </c>
      <c r="F10491" t="s">
        <v>210</v>
      </c>
      <c r="G10491" t="str">
        <f>"08-M03-06"</f>
        <v>08-M03-06</v>
      </c>
      <c r="H10491">
        <v>0.41899999999999998</v>
      </c>
      <c r="I10491" t="s">
        <v>395</v>
      </c>
      <c r="J10491" t="s">
        <v>14</v>
      </c>
      <c r="K10491" t="str">
        <f>"5F3"</f>
        <v>5F3</v>
      </c>
      <c r="L10491" t="s">
        <v>15</v>
      </c>
    </row>
    <row r="10492" spans="1:12" x14ac:dyDescent="0.25">
      <c r="A10492" t="str">
        <f>"7706154478"</f>
        <v>7706154478</v>
      </c>
      <c r="B10492" t="str">
        <f t="shared" si="439"/>
        <v>89301000</v>
      </c>
      <c r="C10492" s="1">
        <v>44417</v>
      </c>
      <c r="D10492" s="1">
        <v>44420</v>
      </c>
      <c r="E10492">
        <v>1</v>
      </c>
      <c r="F10492" t="s">
        <v>1764</v>
      </c>
      <c r="G10492" t="str">
        <f>"01-K08-02"</f>
        <v>01-K08-02</v>
      </c>
      <c r="H10492">
        <v>0.60519999999999996</v>
      </c>
      <c r="J10492" t="s">
        <v>14</v>
      </c>
      <c r="K10492" t="str">
        <f>"2F9"</f>
        <v>2F9</v>
      </c>
      <c r="L10492" t="s">
        <v>15</v>
      </c>
    </row>
    <row r="10493" spans="1:12" x14ac:dyDescent="0.25">
      <c r="A10493" t="str">
        <f>"7706185344"</f>
        <v>7706185344</v>
      </c>
      <c r="B10493" t="str">
        <f t="shared" si="439"/>
        <v>89301000</v>
      </c>
      <c r="C10493" s="1">
        <v>44270</v>
      </c>
      <c r="D10493" s="1">
        <v>44273</v>
      </c>
      <c r="E10493">
        <v>1</v>
      </c>
      <c r="F10493" t="s">
        <v>3294</v>
      </c>
      <c r="G10493" t="str">
        <f>"03-I19-03"</f>
        <v>03-I19-03</v>
      </c>
      <c r="H10493">
        <v>0.60699999999999998</v>
      </c>
      <c r="J10493" t="s">
        <v>14</v>
      </c>
      <c r="K10493" t="str">
        <f>"6F5"</f>
        <v>6F5</v>
      </c>
      <c r="L10493" t="s">
        <v>15</v>
      </c>
    </row>
    <row r="10494" spans="1:12" x14ac:dyDescent="0.25">
      <c r="A10494" t="str">
        <f>"7707255336"</f>
        <v>7707255336</v>
      </c>
      <c r="B10494" t="str">
        <f t="shared" si="439"/>
        <v>89301000</v>
      </c>
      <c r="C10494" s="1">
        <v>44486</v>
      </c>
      <c r="D10494" s="1">
        <v>44488</v>
      </c>
      <c r="E10494">
        <v>1</v>
      </c>
      <c r="F10494" t="s">
        <v>173</v>
      </c>
      <c r="G10494" t="str">
        <f>"08-I32-02"</f>
        <v>08-I32-02</v>
      </c>
      <c r="H10494">
        <v>0.4143</v>
      </c>
      <c r="J10494" t="s">
        <v>14</v>
      </c>
      <c r="K10494" t="str">
        <f>"5F3"</f>
        <v>5F3</v>
      </c>
      <c r="L10494" t="s">
        <v>15</v>
      </c>
    </row>
    <row r="10495" spans="1:12" x14ac:dyDescent="0.25">
      <c r="A10495" t="str">
        <f>"7708015084"</f>
        <v>7708015084</v>
      </c>
      <c r="B10495" t="str">
        <f t="shared" si="439"/>
        <v>89301000</v>
      </c>
      <c r="C10495" s="1">
        <v>44204</v>
      </c>
      <c r="D10495" s="1">
        <v>44209</v>
      </c>
      <c r="E10495">
        <v>1</v>
      </c>
      <c r="F10495" t="s">
        <v>1420</v>
      </c>
      <c r="G10495" t="str">
        <f>"03-K02-02"</f>
        <v>03-K02-02</v>
      </c>
      <c r="H10495">
        <v>0.56889999999999996</v>
      </c>
      <c r="I10495" t="s">
        <v>5660</v>
      </c>
      <c r="J10495" t="s">
        <v>14</v>
      </c>
      <c r="K10495" t="str">
        <f>"1F6"</f>
        <v>1F6</v>
      </c>
      <c r="L10495" t="s">
        <v>15</v>
      </c>
    </row>
    <row r="10496" spans="1:12" x14ac:dyDescent="0.25">
      <c r="A10496" t="str">
        <f>"7708055410"</f>
        <v>7708055410</v>
      </c>
      <c r="B10496" t="str">
        <f t="shared" si="439"/>
        <v>89301000</v>
      </c>
      <c r="C10496" s="1">
        <v>44449</v>
      </c>
      <c r="D10496" s="1">
        <v>44450</v>
      </c>
      <c r="E10496">
        <v>1</v>
      </c>
      <c r="F10496" t="s">
        <v>34</v>
      </c>
      <c r="G10496" t="str">
        <f>"08-I19-03"</f>
        <v>08-I19-03</v>
      </c>
      <c r="H10496">
        <v>0.61250000000000004</v>
      </c>
      <c r="I10496" t="s">
        <v>410</v>
      </c>
      <c r="J10496" t="s">
        <v>17</v>
      </c>
      <c r="K10496" t="str">
        <f>"5F3"</f>
        <v>5F3</v>
      </c>
      <c r="L10496" t="s">
        <v>15</v>
      </c>
    </row>
    <row r="10497" spans="1:12" x14ac:dyDescent="0.25">
      <c r="A10497" t="str">
        <f>"7708085759"</f>
        <v>7708085759</v>
      </c>
      <c r="B10497" t="str">
        <f t="shared" si="439"/>
        <v>89301000</v>
      </c>
      <c r="C10497" s="1">
        <v>44515</v>
      </c>
      <c r="D10497" s="1">
        <v>44517</v>
      </c>
      <c r="E10497">
        <v>1</v>
      </c>
      <c r="F10497" t="s">
        <v>34</v>
      </c>
      <c r="G10497" t="str">
        <f>"08-I19-03"</f>
        <v>08-I19-03</v>
      </c>
      <c r="H10497">
        <v>0.61250000000000004</v>
      </c>
      <c r="I10497" t="s">
        <v>381</v>
      </c>
      <c r="J10497" t="s">
        <v>17</v>
      </c>
      <c r="K10497" t="str">
        <f>"5F3"</f>
        <v>5F3</v>
      </c>
      <c r="L10497" t="s">
        <v>15</v>
      </c>
    </row>
    <row r="10498" spans="1:12" x14ac:dyDescent="0.25">
      <c r="A10498" t="str">
        <f>"7708155763"</f>
        <v>7708155763</v>
      </c>
      <c r="B10498" t="str">
        <f t="shared" si="439"/>
        <v>89301000</v>
      </c>
      <c r="C10498" s="1">
        <v>44273</v>
      </c>
      <c r="D10498" s="1">
        <v>44290</v>
      </c>
      <c r="E10498">
        <v>7</v>
      </c>
      <c r="F10498" t="s">
        <v>217</v>
      </c>
      <c r="G10498" t="str">
        <f>"00-M02-04"</f>
        <v>00-M02-04</v>
      </c>
      <c r="H10498">
        <v>12.071199999999999</v>
      </c>
      <c r="I10498" t="s">
        <v>7089</v>
      </c>
      <c r="J10498" t="s">
        <v>14</v>
      </c>
      <c r="K10498" t="str">
        <f>"1T1"</f>
        <v>1T1</v>
      </c>
      <c r="L10498" t="s">
        <v>15</v>
      </c>
    </row>
    <row r="10499" spans="1:12" x14ac:dyDescent="0.25">
      <c r="A10499" t="str">
        <f>"7708185342"</f>
        <v>7708185342</v>
      </c>
      <c r="B10499" t="str">
        <f t="shared" si="439"/>
        <v>89301000</v>
      </c>
      <c r="C10499" s="1">
        <v>44217</v>
      </c>
      <c r="D10499" s="1">
        <v>44218</v>
      </c>
      <c r="E10499">
        <v>1</v>
      </c>
      <c r="F10499" t="s">
        <v>71</v>
      </c>
      <c r="G10499" t="str">
        <f>"08-M03-04"</f>
        <v>08-M03-04</v>
      </c>
      <c r="H10499">
        <v>0.8609</v>
      </c>
      <c r="I10499" t="s">
        <v>244</v>
      </c>
      <c r="J10499" t="s">
        <v>14</v>
      </c>
      <c r="K10499" t="str">
        <f>"6F6"</f>
        <v>6F6</v>
      </c>
      <c r="L10499" t="s">
        <v>15</v>
      </c>
    </row>
    <row r="10500" spans="1:12" x14ac:dyDescent="0.25">
      <c r="A10500" t="str">
        <f>"7709045344"</f>
        <v>7709045344</v>
      </c>
      <c r="B10500" t="str">
        <f t="shared" si="439"/>
        <v>89301000</v>
      </c>
      <c r="C10500" s="1">
        <v>44453</v>
      </c>
      <c r="D10500" s="1">
        <v>44458</v>
      </c>
      <c r="E10500">
        <v>1</v>
      </c>
      <c r="F10500" t="s">
        <v>903</v>
      </c>
      <c r="G10500" t="str">
        <f>"06-I22-02"</f>
        <v>06-I22-02</v>
      </c>
      <c r="H10500">
        <v>0.436</v>
      </c>
      <c r="I10500" t="s">
        <v>904</v>
      </c>
      <c r="J10500" t="s">
        <v>14</v>
      </c>
      <c r="K10500" t="str">
        <f>"5F1"</f>
        <v>5F1</v>
      </c>
      <c r="L10500" t="s">
        <v>15</v>
      </c>
    </row>
    <row r="10501" spans="1:12" x14ac:dyDescent="0.25">
      <c r="A10501" t="str">
        <f>"7709125314"</f>
        <v>7709125314</v>
      </c>
      <c r="B10501" t="str">
        <f t="shared" si="439"/>
        <v>89301000</v>
      </c>
      <c r="C10501" s="1">
        <v>44257</v>
      </c>
      <c r="D10501" s="1">
        <v>44269</v>
      </c>
      <c r="E10501">
        <v>1</v>
      </c>
      <c r="F10501" t="s">
        <v>1794</v>
      </c>
      <c r="G10501" t="str">
        <f>"04-M01-05"</f>
        <v>04-M01-05</v>
      </c>
      <c r="H10501">
        <v>6.2100999999999997</v>
      </c>
      <c r="I10501" t="s">
        <v>7090</v>
      </c>
      <c r="J10501" t="s">
        <v>14</v>
      </c>
      <c r="K10501" t="str">
        <f>"5F1"</f>
        <v>5F1</v>
      </c>
      <c r="L10501" t="s">
        <v>15</v>
      </c>
    </row>
    <row r="10502" spans="1:12" x14ac:dyDescent="0.25">
      <c r="A10502" t="str">
        <f>"7709295341"</f>
        <v>7709295341</v>
      </c>
      <c r="B10502" t="str">
        <f t="shared" si="439"/>
        <v>89301000</v>
      </c>
      <c r="C10502" s="1">
        <v>44447</v>
      </c>
      <c r="D10502" s="1">
        <v>44450</v>
      </c>
      <c r="E10502">
        <v>1</v>
      </c>
      <c r="F10502" t="s">
        <v>1683</v>
      </c>
      <c r="G10502" t="str">
        <f>"05-M06-06"</f>
        <v>05-M06-06</v>
      </c>
      <c r="H10502">
        <v>1.7652000000000001</v>
      </c>
      <c r="I10502" t="s">
        <v>7091</v>
      </c>
      <c r="J10502" t="s">
        <v>17</v>
      </c>
      <c r="K10502" t="str">
        <f>"1F1"</f>
        <v>1F1</v>
      </c>
      <c r="L10502" t="s">
        <v>15</v>
      </c>
    </row>
    <row r="10503" spans="1:12" x14ac:dyDescent="0.25">
      <c r="A10503" t="str">
        <f>"7709305340"</f>
        <v>7709305340</v>
      </c>
      <c r="B10503" t="str">
        <f t="shared" si="439"/>
        <v>89301000</v>
      </c>
      <c r="C10503" s="1">
        <v>44410</v>
      </c>
      <c r="D10503" s="1">
        <v>44411</v>
      </c>
      <c r="E10503">
        <v>1</v>
      </c>
      <c r="F10503" t="s">
        <v>41</v>
      </c>
      <c r="G10503" t="str">
        <f>"01-D01-03"</f>
        <v>01-D01-03</v>
      </c>
      <c r="H10503">
        <v>0.158</v>
      </c>
      <c r="I10503" t="s">
        <v>241</v>
      </c>
      <c r="J10503" t="s">
        <v>14</v>
      </c>
      <c r="K10503" t="str">
        <f>"2F5"</f>
        <v>2F5</v>
      </c>
      <c r="L10503" t="s">
        <v>15</v>
      </c>
    </row>
    <row r="10504" spans="1:12" x14ac:dyDescent="0.25">
      <c r="A10504" t="str">
        <f>"7710105370"</f>
        <v>7710105370</v>
      </c>
      <c r="B10504" t="str">
        <f t="shared" si="439"/>
        <v>89301000</v>
      </c>
      <c r="C10504" s="1">
        <v>44482</v>
      </c>
      <c r="D10504" s="1">
        <v>44484</v>
      </c>
      <c r="E10504">
        <v>1</v>
      </c>
      <c r="F10504" t="s">
        <v>2111</v>
      </c>
      <c r="G10504" t="str">
        <f>"10-K15-02"</f>
        <v>10-K15-02</v>
      </c>
      <c r="H10504">
        <v>0.77639999999999998</v>
      </c>
      <c r="I10504" t="s">
        <v>2421</v>
      </c>
      <c r="J10504" t="s">
        <v>14</v>
      </c>
      <c r="K10504" t="str">
        <f>"2F5"</f>
        <v>2F5</v>
      </c>
      <c r="L10504" t="s">
        <v>15</v>
      </c>
    </row>
    <row r="10505" spans="1:12" x14ac:dyDescent="0.25">
      <c r="A10505" t="str">
        <f>"7710155310"</f>
        <v>7710155310</v>
      </c>
      <c r="B10505" t="str">
        <f t="shared" si="439"/>
        <v>89301000</v>
      </c>
      <c r="C10505" s="1">
        <v>44347</v>
      </c>
      <c r="D10505" s="1">
        <v>44349</v>
      </c>
      <c r="E10505">
        <v>1</v>
      </c>
      <c r="F10505" t="s">
        <v>447</v>
      </c>
      <c r="G10505" t="str">
        <f>"11-I17-03"</f>
        <v>11-I17-03</v>
      </c>
      <c r="H10505">
        <v>0.50609999999999999</v>
      </c>
      <c r="I10505" t="s">
        <v>168</v>
      </c>
      <c r="J10505" t="s">
        <v>14</v>
      </c>
      <c r="K10505" t="str">
        <f>"7F6"</f>
        <v>7F6</v>
      </c>
      <c r="L10505" t="s">
        <v>15</v>
      </c>
    </row>
    <row r="10506" spans="1:12" x14ac:dyDescent="0.25">
      <c r="A10506" t="str">
        <f>"7710155310"</f>
        <v>7710155310</v>
      </c>
      <c r="B10506" t="str">
        <f t="shared" si="439"/>
        <v>89301000</v>
      </c>
      <c r="C10506" s="1">
        <v>44514</v>
      </c>
      <c r="D10506" s="1">
        <v>44519</v>
      </c>
      <c r="E10506">
        <v>1</v>
      </c>
      <c r="F10506" t="s">
        <v>447</v>
      </c>
      <c r="G10506" t="str">
        <f>"11-I12-00"</f>
        <v>11-I12-00</v>
      </c>
      <c r="H10506">
        <v>1.7518</v>
      </c>
      <c r="J10506" t="s">
        <v>17</v>
      </c>
      <c r="K10506" t="str">
        <f>"7F6"</f>
        <v>7F6</v>
      </c>
      <c r="L10506" t="s">
        <v>15</v>
      </c>
    </row>
    <row r="10507" spans="1:12" x14ac:dyDescent="0.25">
      <c r="A10507" t="str">
        <f>"7710194481"</f>
        <v>7710194481</v>
      </c>
      <c r="B10507" t="str">
        <f t="shared" si="439"/>
        <v>89301000</v>
      </c>
      <c r="C10507" s="1">
        <v>44354</v>
      </c>
      <c r="D10507" s="1">
        <v>44355</v>
      </c>
      <c r="E10507">
        <v>1</v>
      </c>
      <c r="F10507" t="s">
        <v>41</v>
      </c>
      <c r="G10507" t="str">
        <f>"01-D01-03"</f>
        <v>01-D01-03</v>
      </c>
      <c r="H10507">
        <v>0.158</v>
      </c>
      <c r="I10507" t="s">
        <v>7092</v>
      </c>
      <c r="J10507" t="s">
        <v>14</v>
      </c>
      <c r="K10507" t="str">
        <f>"2F5"</f>
        <v>2F5</v>
      </c>
      <c r="L10507" t="s">
        <v>15</v>
      </c>
    </row>
    <row r="10508" spans="1:12" x14ac:dyDescent="0.25">
      <c r="A10508" t="str">
        <f>"7711074140"</f>
        <v>7711074140</v>
      </c>
      <c r="B10508" t="str">
        <f t="shared" si="439"/>
        <v>89301000</v>
      </c>
      <c r="C10508" s="1">
        <v>44370</v>
      </c>
      <c r="D10508" s="1">
        <v>44371</v>
      </c>
      <c r="E10508">
        <v>1</v>
      </c>
      <c r="F10508" t="s">
        <v>41</v>
      </c>
      <c r="G10508" t="str">
        <f>"01-I11-01"</f>
        <v>01-I11-01</v>
      </c>
      <c r="H10508">
        <v>0.99990000000000001</v>
      </c>
      <c r="J10508" t="s">
        <v>17</v>
      </c>
      <c r="K10508" t="str">
        <f>"7F1"</f>
        <v>7F1</v>
      </c>
      <c r="L10508" t="s">
        <v>15</v>
      </c>
    </row>
    <row r="10509" spans="1:12" x14ac:dyDescent="0.25">
      <c r="A10509" t="str">
        <f>"7711175813"</f>
        <v>7711175813</v>
      </c>
      <c r="B10509" t="str">
        <f t="shared" si="439"/>
        <v>89301000</v>
      </c>
      <c r="C10509" s="1">
        <v>44377</v>
      </c>
      <c r="D10509" s="1">
        <v>44386</v>
      </c>
      <c r="E10509">
        <v>1</v>
      </c>
      <c r="F10509" t="s">
        <v>67</v>
      </c>
      <c r="G10509" t="str">
        <f>"01-M02-00"</f>
        <v>01-M02-00</v>
      </c>
      <c r="H10509">
        <v>6.1048999999999998</v>
      </c>
      <c r="I10509" t="s">
        <v>7093</v>
      </c>
      <c r="J10509" t="s">
        <v>17</v>
      </c>
      <c r="K10509" t="str">
        <f>"2F9"</f>
        <v>2F9</v>
      </c>
      <c r="L10509" t="s">
        <v>15</v>
      </c>
    </row>
    <row r="10510" spans="1:12" x14ac:dyDescent="0.25">
      <c r="A10510" t="str">
        <f>"7711205359"</f>
        <v>7711205359</v>
      </c>
      <c r="B10510" t="str">
        <f t="shared" si="439"/>
        <v>89301000</v>
      </c>
      <c r="C10510" s="1">
        <v>44433</v>
      </c>
      <c r="D10510" s="1">
        <v>44434</v>
      </c>
      <c r="E10510">
        <v>1</v>
      </c>
      <c r="F10510" t="s">
        <v>240</v>
      </c>
      <c r="G10510" t="str">
        <f>"03-K13-02"</f>
        <v>03-K13-02</v>
      </c>
      <c r="H10510">
        <v>0.2555</v>
      </c>
      <c r="I10510" t="s">
        <v>489</v>
      </c>
      <c r="J10510" t="s">
        <v>14</v>
      </c>
      <c r="K10510" t="str">
        <f>"2F5"</f>
        <v>2F5</v>
      </c>
      <c r="L10510" t="s">
        <v>15</v>
      </c>
    </row>
    <row r="10511" spans="1:12" x14ac:dyDescent="0.25">
      <c r="A10511" t="str">
        <f>"7712045759"</f>
        <v>7712045759</v>
      </c>
      <c r="B10511" t="str">
        <f t="shared" si="439"/>
        <v>89301000</v>
      </c>
      <c r="C10511" s="1">
        <v>44413</v>
      </c>
      <c r="D10511" s="1">
        <v>44415</v>
      </c>
      <c r="E10511">
        <v>1</v>
      </c>
      <c r="F10511" t="s">
        <v>5174</v>
      </c>
      <c r="G10511" t="str">
        <f>"09-I12-01"</f>
        <v>09-I12-01</v>
      </c>
      <c r="H10511">
        <v>1.1513</v>
      </c>
      <c r="I10511" t="s">
        <v>7094</v>
      </c>
      <c r="J10511" t="s">
        <v>14</v>
      </c>
      <c r="K10511" t="str">
        <f>"5F1"</f>
        <v>5F1</v>
      </c>
      <c r="L10511" t="s">
        <v>15</v>
      </c>
    </row>
    <row r="10512" spans="1:12" x14ac:dyDescent="0.25">
      <c r="A10512" t="str">
        <f>"7712185778"</f>
        <v>7712185778</v>
      </c>
      <c r="B10512" t="str">
        <f t="shared" si="439"/>
        <v>89301000</v>
      </c>
      <c r="C10512" s="1">
        <v>44216</v>
      </c>
      <c r="D10512" s="1">
        <v>44220</v>
      </c>
      <c r="E10512">
        <v>1</v>
      </c>
      <c r="F10512" t="s">
        <v>31</v>
      </c>
      <c r="G10512" t="str">
        <f>"08-I04-03"</f>
        <v>08-I04-03</v>
      </c>
      <c r="H10512">
        <v>1.331</v>
      </c>
      <c r="I10512" t="s">
        <v>168</v>
      </c>
      <c r="J10512" t="s">
        <v>17</v>
      </c>
      <c r="K10512" t="str">
        <f>"5F6"</f>
        <v>5F6</v>
      </c>
      <c r="L10512" t="s">
        <v>15</v>
      </c>
    </row>
    <row r="10513" spans="1:12" x14ac:dyDescent="0.25">
      <c r="A10513" t="str">
        <f>"7712200089"</f>
        <v>7712200089</v>
      </c>
      <c r="B10513" t="str">
        <f t="shared" si="439"/>
        <v>89301000</v>
      </c>
      <c r="C10513" s="1">
        <v>44252</v>
      </c>
      <c r="D10513" s="1">
        <v>44254</v>
      </c>
      <c r="E10513">
        <v>1</v>
      </c>
      <c r="F10513" t="s">
        <v>2914</v>
      </c>
      <c r="G10513" t="str">
        <f>"08-M03-04"</f>
        <v>08-M03-04</v>
      </c>
      <c r="H10513">
        <v>0.8609</v>
      </c>
      <c r="I10513" t="s">
        <v>7095</v>
      </c>
      <c r="J10513" t="s">
        <v>14</v>
      </c>
      <c r="K10513" t="str">
        <f>"5F3"</f>
        <v>5F3</v>
      </c>
      <c r="L10513" t="s">
        <v>15</v>
      </c>
    </row>
    <row r="10514" spans="1:12" x14ac:dyDescent="0.25">
      <c r="A10514" t="str">
        <f>"7751055345"</f>
        <v>7751055345</v>
      </c>
      <c r="B10514" t="str">
        <f t="shared" si="439"/>
        <v>89301000</v>
      </c>
      <c r="C10514" s="1">
        <v>44363</v>
      </c>
      <c r="D10514" s="1">
        <v>44367</v>
      </c>
      <c r="E10514">
        <v>1</v>
      </c>
      <c r="F10514" t="s">
        <v>43</v>
      </c>
      <c r="G10514" t="str">
        <f>"06-I18-05"</f>
        <v>06-I18-05</v>
      </c>
      <c r="H10514">
        <v>0.85550000000000004</v>
      </c>
      <c r="J10514" t="s">
        <v>24</v>
      </c>
      <c r="K10514" t="str">
        <f>"5F1"</f>
        <v>5F1</v>
      </c>
      <c r="L10514" t="s">
        <v>15</v>
      </c>
    </row>
    <row r="10515" spans="1:12" x14ac:dyDescent="0.25">
      <c r="A10515" t="str">
        <f>"7751094879"</f>
        <v>7751094879</v>
      </c>
      <c r="B10515" t="str">
        <f t="shared" si="439"/>
        <v>89301000</v>
      </c>
      <c r="C10515" s="1">
        <v>44518</v>
      </c>
      <c r="D10515" s="1">
        <v>44523</v>
      </c>
      <c r="E10515">
        <v>1</v>
      </c>
      <c r="F10515" t="s">
        <v>98</v>
      </c>
      <c r="G10515" t="str">
        <f>"19-K03-03"</f>
        <v>19-K03-03</v>
      </c>
      <c r="H10515">
        <v>0.93169999999999997</v>
      </c>
      <c r="I10515" t="s">
        <v>7096</v>
      </c>
      <c r="J10515" t="s">
        <v>27</v>
      </c>
      <c r="K10515" t="str">
        <f>"3F5"</f>
        <v>3F5</v>
      </c>
      <c r="L10515" t="s">
        <v>15</v>
      </c>
    </row>
    <row r="10516" spans="1:12" x14ac:dyDescent="0.25">
      <c r="A10516" t="str">
        <f>"7751105351"</f>
        <v>7751105351</v>
      </c>
      <c r="B10516" t="str">
        <f t="shared" si="439"/>
        <v>89301000</v>
      </c>
      <c r="C10516" s="1">
        <v>44444</v>
      </c>
      <c r="D10516" s="1">
        <v>44446</v>
      </c>
      <c r="E10516">
        <v>1</v>
      </c>
      <c r="F10516" t="s">
        <v>65</v>
      </c>
      <c r="G10516" t="str">
        <f>"21-K06-00"</f>
        <v>21-K06-00</v>
      </c>
      <c r="H10516">
        <v>0.49320000000000003</v>
      </c>
      <c r="I10516" t="s">
        <v>3058</v>
      </c>
      <c r="J10516" t="s">
        <v>14</v>
      </c>
      <c r="K10516" t="str">
        <f>"6F3"</f>
        <v>6F3</v>
      </c>
      <c r="L10516" t="s">
        <v>15</v>
      </c>
    </row>
    <row r="10517" spans="1:12" x14ac:dyDescent="0.25">
      <c r="A10517" t="str">
        <f>"7751105351"</f>
        <v>7751105351</v>
      </c>
      <c r="B10517" t="str">
        <f t="shared" si="439"/>
        <v>89301000</v>
      </c>
      <c r="C10517" s="1">
        <v>44431</v>
      </c>
      <c r="D10517" s="1">
        <v>44432</v>
      </c>
      <c r="E10517">
        <v>1</v>
      </c>
      <c r="F10517" t="s">
        <v>3852</v>
      </c>
      <c r="G10517" t="str">
        <f>"13-I19-00"</f>
        <v>13-I19-00</v>
      </c>
      <c r="H10517">
        <v>0.24679999999999999</v>
      </c>
      <c r="J10517" t="s">
        <v>14</v>
      </c>
      <c r="K10517" t="str">
        <f>"6F3"</f>
        <v>6F3</v>
      </c>
      <c r="L10517" t="s">
        <v>15</v>
      </c>
    </row>
    <row r="10518" spans="1:12" x14ac:dyDescent="0.25">
      <c r="A10518" t="str">
        <f>"7751125338"</f>
        <v>7751125338</v>
      </c>
      <c r="B10518" t="str">
        <f t="shared" si="439"/>
        <v>89301000</v>
      </c>
      <c r="C10518" s="1">
        <v>44207</v>
      </c>
      <c r="D10518" s="1">
        <v>44210</v>
      </c>
      <c r="E10518">
        <v>1</v>
      </c>
      <c r="F10518" t="s">
        <v>3940</v>
      </c>
      <c r="G10518" t="str">
        <f>"08-I04-03"</f>
        <v>08-I04-03</v>
      </c>
      <c r="H10518">
        <v>1.331</v>
      </c>
      <c r="I10518" t="s">
        <v>7097</v>
      </c>
      <c r="J10518" t="s">
        <v>17</v>
      </c>
      <c r="K10518" t="str">
        <f>"5F6"</f>
        <v>5F6</v>
      </c>
      <c r="L10518" t="s">
        <v>15</v>
      </c>
    </row>
    <row r="10519" spans="1:12" x14ac:dyDescent="0.25">
      <c r="A10519" t="str">
        <f>"7751174398"</f>
        <v>7751174398</v>
      </c>
      <c r="B10519" t="str">
        <f t="shared" si="439"/>
        <v>89301000</v>
      </c>
      <c r="C10519" s="1">
        <v>44530</v>
      </c>
      <c r="D10519" s="1">
        <v>44532</v>
      </c>
      <c r="E10519">
        <v>1</v>
      </c>
      <c r="F10519" t="s">
        <v>3371</v>
      </c>
      <c r="G10519" t="str">
        <f>"08-M03-05"</f>
        <v>08-M03-05</v>
      </c>
      <c r="H10519">
        <v>0.51759999999999995</v>
      </c>
      <c r="I10519" t="s">
        <v>512</v>
      </c>
      <c r="J10519" t="s">
        <v>14</v>
      </c>
      <c r="K10519" t="str">
        <f>"5F3"</f>
        <v>5F3</v>
      </c>
      <c r="L10519" t="s">
        <v>15</v>
      </c>
    </row>
    <row r="10520" spans="1:12" x14ac:dyDescent="0.25">
      <c r="A10520" t="str">
        <f>"7751205308"</f>
        <v>7751205308</v>
      </c>
      <c r="B10520" t="str">
        <f t="shared" si="439"/>
        <v>89301000</v>
      </c>
      <c r="C10520" s="1">
        <v>44473</v>
      </c>
      <c r="D10520" s="1">
        <v>44511</v>
      </c>
      <c r="E10520">
        <v>1</v>
      </c>
      <c r="F10520" t="s">
        <v>152</v>
      </c>
      <c r="G10520" t="str">
        <f>"19-K08-02"</f>
        <v>19-K08-02</v>
      </c>
      <c r="H10520">
        <v>4.1917</v>
      </c>
      <c r="I10520" t="s">
        <v>7098</v>
      </c>
      <c r="J10520" t="s">
        <v>27</v>
      </c>
      <c r="K10520" t="str">
        <f>"3F5"</f>
        <v>3F5</v>
      </c>
      <c r="L10520" t="s">
        <v>15</v>
      </c>
    </row>
    <row r="10521" spans="1:12" x14ac:dyDescent="0.25">
      <c r="A10521" t="str">
        <f>"7751245161"</f>
        <v>7751245161</v>
      </c>
      <c r="B10521" t="str">
        <f t="shared" si="439"/>
        <v>89301000</v>
      </c>
      <c r="C10521" s="1">
        <v>44307</v>
      </c>
      <c r="D10521" s="1">
        <v>44309</v>
      </c>
      <c r="E10521">
        <v>1</v>
      </c>
      <c r="F10521" t="s">
        <v>445</v>
      </c>
      <c r="G10521" t="str">
        <f>"08-I17-02"</f>
        <v>08-I17-02</v>
      </c>
      <c r="H10521">
        <v>0.98309999999999997</v>
      </c>
      <c r="I10521" t="s">
        <v>7099</v>
      </c>
      <c r="J10521" t="s">
        <v>14</v>
      </c>
      <c r="K10521" t="str">
        <f>"5F3"</f>
        <v>5F3</v>
      </c>
      <c r="L10521" t="s">
        <v>15</v>
      </c>
    </row>
    <row r="10522" spans="1:12" x14ac:dyDescent="0.25">
      <c r="A10522" t="str">
        <f>"7751255787"</f>
        <v>7751255787</v>
      </c>
      <c r="B10522" t="str">
        <f t="shared" si="439"/>
        <v>89301000</v>
      </c>
      <c r="C10522" s="1">
        <v>44452</v>
      </c>
      <c r="D10522" s="1">
        <v>44458</v>
      </c>
      <c r="E10522">
        <v>1</v>
      </c>
      <c r="F10522" t="s">
        <v>7100</v>
      </c>
      <c r="G10522" t="str">
        <f>"13-I18-01"</f>
        <v>13-I18-01</v>
      </c>
      <c r="H10522">
        <v>1.8514999999999999</v>
      </c>
      <c r="I10522" t="s">
        <v>7101</v>
      </c>
      <c r="J10522" t="s">
        <v>14</v>
      </c>
      <c r="K10522" t="str">
        <f>"6F3"</f>
        <v>6F3</v>
      </c>
      <c r="L10522" t="s">
        <v>15</v>
      </c>
    </row>
    <row r="10523" spans="1:12" x14ac:dyDescent="0.25">
      <c r="A10523" t="str">
        <f>"7751294463"</f>
        <v>7751294463</v>
      </c>
      <c r="B10523" t="str">
        <f t="shared" si="439"/>
        <v>89301000</v>
      </c>
      <c r="C10523" s="1">
        <v>44322</v>
      </c>
      <c r="D10523" s="1">
        <v>44324</v>
      </c>
      <c r="E10523">
        <v>1</v>
      </c>
      <c r="F10523" t="s">
        <v>2696</v>
      </c>
      <c r="G10523" t="str">
        <f>"01-C01-03"</f>
        <v>01-C01-03</v>
      </c>
      <c r="H10523">
        <v>1.6254999999999999</v>
      </c>
      <c r="I10523" t="s">
        <v>453</v>
      </c>
      <c r="J10523" t="s">
        <v>14</v>
      </c>
      <c r="K10523" t="str">
        <f>"2F9"</f>
        <v>2F9</v>
      </c>
      <c r="L10523" t="s">
        <v>15</v>
      </c>
    </row>
    <row r="10524" spans="1:12" x14ac:dyDescent="0.25">
      <c r="A10524" t="str">
        <f>"7751305793"</f>
        <v>7751305793</v>
      </c>
      <c r="B10524" t="str">
        <f t="shared" si="439"/>
        <v>89301000</v>
      </c>
      <c r="C10524" s="1">
        <v>44218</v>
      </c>
      <c r="D10524" s="1">
        <v>44232</v>
      </c>
      <c r="E10524">
        <v>5</v>
      </c>
      <c r="F10524" t="s">
        <v>199</v>
      </c>
      <c r="G10524" t="str">
        <f>"00-M01-01"</f>
        <v>00-M01-01</v>
      </c>
      <c r="H10524">
        <v>16.479500000000002</v>
      </c>
      <c r="I10524" t="s">
        <v>7102</v>
      </c>
      <c r="J10524" t="s">
        <v>14</v>
      </c>
      <c r="K10524" t="str">
        <f>"5T3"</f>
        <v>5T3</v>
      </c>
      <c r="L10524" t="s">
        <v>15</v>
      </c>
    </row>
    <row r="10525" spans="1:12" x14ac:dyDescent="0.25">
      <c r="A10525" t="str">
        <f>"7751305793"</f>
        <v>7751305793</v>
      </c>
      <c r="B10525" t="str">
        <f t="shared" si="439"/>
        <v>89301000</v>
      </c>
      <c r="C10525" s="1">
        <v>44398</v>
      </c>
      <c r="D10525" s="1">
        <v>44403</v>
      </c>
      <c r="E10525">
        <v>5</v>
      </c>
      <c r="F10525" t="s">
        <v>65</v>
      </c>
      <c r="G10525" t="str">
        <f>"21-K06-00"</f>
        <v>21-K06-00</v>
      </c>
      <c r="H10525">
        <v>0.49320000000000003</v>
      </c>
      <c r="I10525" t="s">
        <v>7103</v>
      </c>
      <c r="J10525" t="s">
        <v>14</v>
      </c>
      <c r="K10525" t="str">
        <f>"5F3"</f>
        <v>5F3</v>
      </c>
      <c r="L10525" t="s">
        <v>15</v>
      </c>
    </row>
    <row r="10526" spans="1:12" x14ac:dyDescent="0.25">
      <c r="A10526" t="str">
        <f>"7752025754"</f>
        <v>7752025754</v>
      </c>
      <c r="B10526" t="str">
        <f t="shared" si="439"/>
        <v>89301000</v>
      </c>
      <c r="C10526" s="1">
        <v>44319</v>
      </c>
      <c r="D10526" s="1">
        <v>44321</v>
      </c>
      <c r="E10526">
        <v>1</v>
      </c>
      <c r="F10526" t="s">
        <v>142</v>
      </c>
      <c r="G10526" t="str">
        <f>"03-K12-01"</f>
        <v>03-K12-01</v>
      </c>
      <c r="H10526">
        <v>0.376</v>
      </c>
      <c r="I10526" t="s">
        <v>7104</v>
      </c>
      <c r="J10526" t="s">
        <v>14</v>
      </c>
      <c r="K10526" t="str">
        <f>"6F5"</f>
        <v>6F5</v>
      </c>
      <c r="L10526" t="s">
        <v>15</v>
      </c>
    </row>
    <row r="10527" spans="1:12" x14ac:dyDescent="0.25">
      <c r="A10527" t="str">
        <f>"7752054134"</f>
        <v>7752054134</v>
      </c>
      <c r="B10527" t="str">
        <f t="shared" si="439"/>
        <v>89301000</v>
      </c>
      <c r="C10527" s="1">
        <v>44253</v>
      </c>
      <c r="D10527" s="1">
        <v>44257</v>
      </c>
      <c r="E10527">
        <v>7</v>
      </c>
      <c r="F10527" t="s">
        <v>7105</v>
      </c>
      <c r="G10527" t="str">
        <f>"00-M01-03"</f>
        <v>00-M01-03</v>
      </c>
      <c r="H10527">
        <v>9.0159000000000002</v>
      </c>
      <c r="I10527" t="s">
        <v>7106</v>
      </c>
      <c r="J10527" t="s">
        <v>14</v>
      </c>
      <c r="K10527" t="str">
        <f>"5T1"</f>
        <v>5T1</v>
      </c>
      <c r="L10527" t="s">
        <v>15</v>
      </c>
    </row>
    <row r="10528" spans="1:12" x14ac:dyDescent="0.25">
      <c r="A10528" t="str">
        <f>"7752055729"</f>
        <v>7752055729</v>
      </c>
      <c r="B10528" t="str">
        <f t="shared" si="439"/>
        <v>89301000</v>
      </c>
      <c r="C10528" s="1">
        <v>44363</v>
      </c>
      <c r="D10528" s="1">
        <v>44366</v>
      </c>
      <c r="E10528">
        <v>1</v>
      </c>
      <c r="F10528" t="s">
        <v>6439</v>
      </c>
      <c r="G10528" t="str">
        <f>"23-I08-00"</f>
        <v>23-I08-00</v>
      </c>
      <c r="H10528">
        <v>0.79700000000000004</v>
      </c>
      <c r="J10528" t="s">
        <v>24</v>
      </c>
      <c r="K10528" t="str">
        <f>"6F3"</f>
        <v>6F3</v>
      </c>
      <c r="L10528" t="s">
        <v>15</v>
      </c>
    </row>
    <row r="10529" spans="1:12" x14ac:dyDescent="0.25">
      <c r="A10529" t="str">
        <f>"7752055729"</f>
        <v>7752055729</v>
      </c>
      <c r="B10529" t="str">
        <f t="shared" si="439"/>
        <v>89301000</v>
      </c>
      <c r="C10529" s="1">
        <v>44265</v>
      </c>
      <c r="D10529" s="1">
        <v>44268</v>
      </c>
      <c r="E10529">
        <v>1</v>
      </c>
      <c r="F10529" t="s">
        <v>1551</v>
      </c>
      <c r="G10529" t="str">
        <f>"09-I06-04"</f>
        <v>09-I06-04</v>
      </c>
      <c r="H10529">
        <v>0.98829999999999996</v>
      </c>
      <c r="J10529" t="s">
        <v>17</v>
      </c>
      <c r="K10529" t="str">
        <f>"5F1"</f>
        <v>5F1</v>
      </c>
      <c r="L10529" t="s">
        <v>15</v>
      </c>
    </row>
    <row r="10530" spans="1:12" x14ac:dyDescent="0.25">
      <c r="A10530" t="str">
        <f>"7752215306"</f>
        <v>7752215306</v>
      </c>
      <c r="B10530" t="str">
        <f t="shared" si="439"/>
        <v>89301000</v>
      </c>
      <c r="C10530" s="1">
        <v>44360</v>
      </c>
      <c r="D10530" s="1">
        <v>44368</v>
      </c>
      <c r="E10530">
        <v>1</v>
      </c>
      <c r="F10530" t="s">
        <v>86</v>
      </c>
      <c r="G10530" t="str">
        <f>"14-K05-02"</f>
        <v>14-K05-02</v>
      </c>
      <c r="H10530">
        <v>0.38190000000000002</v>
      </c>
      <c r="I10530" t="s">
        <v>7107</v>
      </c>
      <c r="J10530" t="s">
        <v>14</v>
      </c>
      <c r="K10530" t="str">
        <f>"6F3"</f>
        <v>6F3</v>
      </c>
      <c r="L10530" t="s">
        <v>15</v>
      </c>
    </row>
    <row r="10531" spans="1:12" x14ac:dyDescent="0.25">
      <c r="A10531" t="str">
        <f>"7752215306"</f>
        <v>7752215306</v>
      </c>
      <c r="B10531" t="str">
        <f t="shared" si="439"/>
        <v>89301000</v>
      </c>
      <c r="C10531" s="1">
        <v>44342</v>
      </c>
      <c r="D10531" s="1">
        <v>44345</v>
      </c>
      <c r="E10531">
        <v>1</v>
      </c>
      <c r="F10531" t="s">
        <v>75</v>
      </c>
      <c r="G10531" t="str">
        <f>"14-M01-05"</f>
        <v>14-M01-05</v>
      </c>
      <c r="H10531">
        <v>0.54239999999999999</v>
      </c>
      <c r="I10531" t="s">
        <v>7108</v>
      </c>
      <c r="J10531" t="s">
        <v>59</v>
      </c>
      <c r="K10531" t="str">
        <f>"6F3"</f>
        <v>6F3</v>
      </c>
      <c r="L10531" t="s">
        <v>15</v>
      </c>
    </row>
    <row r="10532" spans="1:12" x14ac:dyDescent="0.25">
      <c r="A10532" t="str">
        <f>"7752254466"</f>
        <v>7752254466</v>
      </c>
      <c r="B10532" t="str">
        <f t="shared" ref="B10532:B10595" si="440">"89301000"</f>
        <v>89301000</v>
      </c>
      <c r="C10532" s="1">
        <v>44255</v>
      </c>
      <c r="D10532" s="1">
        <v>44259</v>
      </c>
      <c r="E10532">
        <v>1</v>
      </c>
      <c r="F10532" t="s">
        <v>1378</v>
      </c>
      <c r="G10532" t="str">
        <f>"06-K20-03"</f>
        <v>06-K20-03</v>
      </c>
      <c r="H10532">
        <v>0.44230000000000003</v>
      </c>
      <c r="I10532" t="s">
        <v>7109</v>
      </c>
      <c r="J10532" t="s">
        <v>14</v>
      </c>
      <c r="K10532" t="str">
        <f>"1F5"</f>
        <v>1F5</v>
      </c>
      <c r="L10532" t="s">
        <v>15</v>
      </c>
    </row>
    <row r="10533" spans="1:12" x14ac:dyDescent="0.25">
      <c r="A10533" t="str">
        <f>"7753014467"</f>
        <v>7753014467</v>
      </c>
      <c r="B10533" t="str">
        <f t="shared" si="440"/>
        <v>89301000</v>
      </c>
      <c r="C10533" s="1">
        <v>44489</v>
      </c>
      <c r="D10533" s="1">
        <v>44495</v>
      </c>
      <c r="E10533">
        <v>1</v>
      </c>
      <c r="F10533" t="s">
        <v>31</v>
      </c>
      <c r="G10533" t="str">
        <f>"08-I03-06"</f>
        <v>08-I03-06</v>
      </c>
      <c r="H10533">
        <v>3.3738000000000001</v>
      </c>
      <c r="I10533" t="s">
        <v>7110</v>
      </c>
      <c r="J10533" t="s">
        <v>17</v>
      </c>
      <c r="K10533" t="str">
        <f>"5F6"</f>
        <v>5F6</v>
      </c>
      <c r="L10533" t="s">
        <v>15</v>
      </c>
    </row>
    <row r="10534" spans="1:12" x14ac:dyDescent="0.25">
      <c r="A10534" t="str">
        <f>"7753045322"</f>
        <v>7753045322</v>
      </c>
      <c r="B10534" t="str">
        <f t="shared" si="440"/>
        <v>89301000</v>
      </c>
      <c r="C10534" s="1">
        <v>44500</v>
      </c>
      <c r="D10534" s="1">
        <v>44502</v>
      </c>
      <c r="E10534">
        <v>1</v>
      </c>
      <c r="F10534" t="s">
        <v>7111</v>
      </c>
      <c r="G10534" t="str">
        <f>"01-K13-02"</f>
        <v>01-K13-02</v>
      </c>
      <c r="H10534">
        <v>0.7954</v>
      </c>
      <c r="J10534" t="s">
        <v>14</v>
      </c>
      <c r="K10534" t="str">
        <f>"2F9"</f>
        <v>2F9</v>
      </c>
      <c r="L10534" t="s">
        <v>15</v>
      </c>
    </row>
    <row r="10535" spans="1:12" x14ac:dyDescent="0.25">
      <c r="A10535" t="str">
        <f>"7753045322"</f>
        <v>7753045322</v>
      </c>
      <c r="B10535" t="str">
        <f t="shared" si="440"/>
        <v>89301000</v>
      </c>
      <c r="C10535" s="1">
        <v>44327</v>
      </c>
      <c r="D10535" s="1">
        <v>44329</v>
      </c>
      <c r="E10535">
        <v>1</v>
      </c>
      <c r="F10535" t="s">
        <v>920</v>
      </c>
      <c r="G10535" t="str">
        <f>"01-K13-02"</f>
        <v>01-K13-02</v>
      </c>
      <c r="H10535">
        <v>0.7954</v>
      </c>
      <c r="J10535" t="s">
        <v>14</v>
      </c>
      <c r="K10535" t="str">
        <f>"2F9"</f>
        <v>2F9</v>
      </c>
      <c r="L10535" t="s">
        <v>15</v>
      </c>
    </row>
    <row r="10536" spans="1:12" x14ac:dyDescent="0.25">
      <c r="A10536" t="str">
        <f>"7753045322"</f>
        <v>7753045322</v>
      </c>
      <c r="B10536" t="str">
        <f t="shared" si="440"/>
        <v>89301000</v>
      </c>
      <c r="C10536" s="1">
        <v>44523</v>
      </c>
      <c r="D10536" s="1">
        <v>44552</v>
      </c>
      <c r="E10536">
        <v>1</v>
      </c>
      <c r="F10536" t="s">
        <v>109</v>
      </c>
      <c r="G10536" t="str">
        <f>"24-M09-01"</f>
        <v>24-M09-01</v>
      </c>
      <c r="H10536">
        <v>3.4672000000000001</v>
      </c>
      <c r="I10536" t="s">
        <v>7112</v>
      </c>
      <c r="J10536" t="s">
        <v>14</v>
      </c>
      <c r="K10536" t="str">
        <f>"2F1"</f>
        <v>2F1</v>
      </c>
      <c r="L10536" t="s">
        <v>15</v>
      </c>
    </row>
    <row r="10537" spans="1:12" x14ac:dyDescent="0.25">
      <c r="A10537" t="str">
        <f>"7753045322"</f>
        <v>7753045322</v>
      </c>
      <c r="B10537" t="str">
        <f t="shared" si="440"/>
        <v>89301000</v>
      </c>
      <c r="C10537" s="1">
        <v>44345</v>
      </c>
      <c r="D10537" s="1">
        <v>44351</v>
      </c>
      <c r="E10537">
        <v>1</v>
      </c>
      <c r="F10537" t="s">
        <v>600</v>
      </c>
      <c r="G10537" t="str">
        <f>"01-I06-04"</f>
        <v>01-I06-04</v>
      </c>
      <c r="H10537">
        <v>3.6231</v>
      </c>
      <c r="J10537" t="s">
        <v>17</v>
      </c>
      <c r="K10537" t="str">
        <f>"5F6"</f>
        <v>5F6</v>
      </c>
      <c r="L10537" t="s">
        <v>15</v>
      </c>
    </row>
    <row r="10538" spans="1:12" x14ac:dyDescent="0.25">
      <c r="A10538" t="str">
        <f>"7753045322"</f>
        <v>7753045322</v>
      </c>
      <c r="B10538" t="str">
        <f t="shared" si="440"/>
        <v>89301000</v>
      </c>
      <c r="C10538" s="1">
        <v>44506</v>
      </c>
      <c r="D10538" s="1">
        <v>44523</v>
      </c>
      <c r="E10538">
        <v>3</v>
      </c>
      <c r="F10538" t="s">
        <v>5635</v>
      </c>
      <c r="G10538" t="str">
        <f>"01-I06-04"</f>
        <v>01-I06-04</v>
      </c>
      <c r="H10538">
        <v>3.6231</v>
      </c>
      <c r="I10538" t="s">
        <v>699</v>
      </c>
      <c r="J10538" t="s">
        <v>17</v>
      </c>
      <c r="K10538" t="str">
        <f>"5F6"</f>
        <v>5F6</v>
      </c>
      <c r="L10538" t="s">
        <v>15</v>
      </c>
    </row>
    <row r="10539" spans="1:12" x14ac:dyDescent="0.25">
      <c r="A10539" t="str">
        <f>"7753115359"</f>
        <v>7753115359</v>
      </c>
      <c r="B10539" t="str">
        <f t="shared" si="440"/>
        <v>89301000</v>
      </c>
      <c r="C10539" s="1">
        <v>44272</v>
      </c>
      <c r="D10539" s="1">
        <v>44275</v>
      </c>
      <c r="E10539">
        <v>1</v>
      </c>
      <c r="F10539" t="s">
        <v>266</v>
      </c>
      <c r="G10539" t="str">
        <f>"13-I14-03"</f>
        <v>13-I14-03</v>
      </c>
      <c r="H10539">
        <v>0.83199999999999996</v>
      </c>
      <c r="I10539" t="s">
        <v>52</v>
      </c>
      <c r="J10539" t="s">
        <v>24</v>
      </c>
      <c r="K10539" t="str">
        <f>"6F3"</f>
        <v>6F3</v>
      </c>
      <c r="L10539" t="s">
        <v>15</v>
      </c>
    </row>
    <row r="10540" spans="1:12" x14ac:dyDescent="0.25">
      <c r="A10540" t="str">
        <f>"7753155707"</f>
        <v>7753155707</v>
      </c>
      <c r="B10540" t="str">
        <f t="shared" si="440"/>
        <v>89301000</v>
      </c>
      <c r="C10540" s="1">
        <v>44464</v>
      </c>
      <c r="D10540" s="1">
        <v>44468</v>
      </c>
      <c r="E10540">
        <v>1</v>
      </c>
      <c r="F10540" t="s">
        <v>2068</v>
      </c>
      <c r="G10540" t="str">
        <f>"02-I06-02"</f>
        <v>02-I06-02</v>
      </c>
      <c r="H10540">
        <v>0.90300000000000002</v>
      </c>
      <c r="I10540" t="s">
        <v>621</v>
      </c>
      <c r="J10540" t="s">
        <v>17</v>
      </c>
      <c r="K10540" t="str">
        <f>"7F5"</f>
        <v>7F5</v>
      </c>
      <c r="L10540" t="s">
        <v>15</v>
      </c>
    </row>
    <row r="10541" spans="1:12" x14ac:dyDescent="0.25">
      <c r="A10541" t="str">
        <f>"7753164914"</f>
        <v>7753164914</v>
      </c>
      <c r="B10541" t="str">
        <f t="shared" si="440"/>
        <v>89301000</v>
      </c>
      <c r="C10541" s="1">
        <v>44545</v>
      </c>
      <c r="D10541" s="1">
        <v>44552</v>
      </c>
      <c r="E10541">
        <v>1</v>
      </c>
      <c r="F10541" t="s">
        <v>3625</v>
      </c>
      <c r="G10541" t="str">
        <f>"06-I07-05"</f>
        <v>06-I07-05</v>
      </c>
      <c r="H10541">
        <v>2.8466999999999998</v>
      </c>
      <c r="J10541" t="s">
        <v>17</v>
      </c>
      <c r="K10541" t="str">
        <f>"5F1"</f>
        <v>5F1</v>
      </c>
      <c r="L10541" t="s">
        <v>15</v>
      </c>
    </row>
    <row r="10542" spans="1:12" x14ac:dyDescent="0.25">
      <c r="A10542" t="str">
        <f>"7753165816"</f>
        <v>7753165816</v>
      </c>
      <c r="B10542" t="str">
        <f t="shared" si="440"/>
        <v>89301000</v>
      </c>
      <c r="C10542" s="1">
        <v>44465</v>
      </c>
      <c r="D10542" s="1">
        <v>44469</v>
      </c>
      <c r="E10542">
        <v>1</v>
      </c>
      <c r="F10542" t="s">
        <v>593</v>
      </c>
      <c r="G10542" t="str">
        <f>"07-I10-06"</f>
        <v>07-I10-06</v>
      </c>
      <c r="H10542">
        <v>0.9728</v>
      </c>
      <c r="J10542" t="s">
        <v>17</v>
      </c>
      <c r="K10542" t="str">
        <f>"5F1"</f>
        <v>5F1</v>
      </c>
      <c r="L10542" t="s">
        <v>15</v>
      </c>
    </row>
    <row r="10543" spans="1:12" x14ac:dyDescent="0.25">
      <c r="A10543" t="str">
        <f>"7753194471"</f>
        <v>7753194471</v>
      </c>
      <c r="B10543" t="str">
        <f t="shared" si="440"/>
        <v>89301000</v>
      </c>
      <c r="C10543" s="1">
        <v>44496</v>
      </c>
      <c r="D10543" s="1">
        <v>44561</v>
      </c>
      <c r="E10543">
        <v>1</v>
      </c>
      <c r="F10543" t="s">
        <v>911</v>
      </c>
      <c r="G10543" t="str">
        <f>"17-K01-01"</f>
        <v>17-K01-01</v>
      </c>
      <c r="H10543">
        <v>20.183499999999999</v>
      </c>
      <c r="I10543" t="s">
        <v>7113</v>
      </c>
      <c r="J10543" t="s">
        <v>14</v>
      </c>
      <c r="K10543" t="str">
        <f>"2T2"</f>
        <v>2T2</v>
      </c>
      <c r="L10543" t="s">
        <v>15</v>
      </c>
    </row>
    <row r="10544" spans="1:12" x14ac:dyDescent="0.25">
      <c r="A10544" t="str">
        <f>"7753194471"</f>
        <v>7753194471</v>
      </c>
      <c r="B10544" t="str">
        <f t="shared" si="440"/>
        <v>89301000</v>
      </c>
      <c r="C10544" s="1">
        <v>44394</v>
      </c>
      <c r="D10544" s="1">
        <v>44427</v>
      </c>
      <c r="E10544">
        <v>1</v>
      </c>
      <c r="F10544" t="s">
        <v>911</v>
      </c>
      <c r="G10544" t="str">
        <f>"17-K01-01"</f>
        <v>17-K01-01</v>
      </c>
      <c r="H10544">
        <v>7.1562999999999999</v>
      </c>
      <c r="I10544" t="s">
        <v>7114</v>
      </c>
      <c r="J10544" t="s">
        <v>14</v>
      </c>
      <c r="K10544" t="str">
        <f>"2T2"</f>
        <v>2T2</v>
      </c>
      <c r="L10544" t="s">
        <v>15</v>
      </c>
    </row>
    <row r="10545" spans="1:12" x14ac:dyDescent="0.25">
      <c r="A10545" t="str">
        <f>"7753194471"</f>
        <v>7753194471</v>
      </c>
      <c r="B10545" t="str">
        <f t="shared" si="440"/>
        <v>89301000</v>
      </c>
      <c r="C10545" s="1">
        <v>44333</v>
      </c>
      <c r="D10545" s="1">
        <v>44349</v>
      </c>
      <c r="E10545">
        <v>1</v>
      </c>
      <c r="F10545" t="s">
        <v>911</v>
      </c>
      <c r="G10545" t="str">
        <f>"17-K01-01"</f>
        <v>17-K01-01</v>
      </c>
      <c r="H10545">
        <v>5.0045999999999999</v>
      </c>
      <c r="I10545" t="s">
        <v>7115</v>
      </c>
      <c r="J10545" t="s">
        <v>14</v>
      </c>
      <c r="K10545" t="str">
        <f>"2T2"</f>
        <v>2T2</v>
      </c>
      <c r="L10545" t="s">
        <v>15</v>
      </c>
    </row>
    <row r="10546" spans="1:12" x14ac:dyDescent="0.25">
      <c r="A10546" t="str">
        <f>"7753194471"</f>
        <v>7753194471</v>
      </c>
      <c r="B10546" t="str">
        <f t="shared" si="440"/>
        <v>89301000</v>
      </c>
      <c r="C10546" s="1">
        <v>44293</v>
      </c>
      <c r="D10546" s="1">
        <v>44323</v>
      </c>
      <c r="E10546">
        <v>1</v>
      </c>
      <c r="F10546" t="s">
        <v>911</v>
      </c>
      <c r="G10546" t="str">
        <f>"00-M06-02"</f>
        <v>00-M06-02</v>
      </c>
      <c r="H10546">
        <v>22.061199999999999</v>
      </c>
      <c r="I10546" t="s">
        <v>7116</v>
      </c>
      <c r="J10546" t="s">
        <v>17</v>
      </c>
      <c r="K10546" t="str">
        <f>"2T2"</f>
        <v>2T2</v>
      </c>
      <c r="L10546" t="s">
        <v>15</v>
      </c>
    </row>
    <row r="10547" spans="1:12" x14ac:dyDescent="0.25">
      <c r="A10547" t="str">
        <f>"7753194471"</f>
        <v>7753194471</v>
      </c>
      <c r="B10547" t="str">
        <f t="shared" si="440"/>
        <v>89301000</v>
      </c>
      <c r="C10547" s="1">
        <v>44446</v>
      </c>
      <c r="D10547" s="1">
        <v>44491</v>
      </c>
      <c r="E10547">
        <v>1</v>
      </c>
      <c r="F10547" t="s">
        <v>911</v>
      </c>
      <c r="G10547" t="str">
        <f>"17-K01-01"</f>
        <v>17-K01-01</v>
      </c>
      <c r="H10547">
        <v>12.835800000000001</v>
      </c>
      <c r="I10547" t="s">
        <v>7117</v>
      </c>
      <c r="J10547" t="s">
        <v>14</v>
      </c>
      <c r="K10547" t="str">
        <f>"2T2"</f>
        <v>2T2</v>
      </c>
      <c r="L10547" t="s">
        <v>15</v>
      </c>
    </row>
    <row r="10548" spans="1:12" x14ac:dyDescent="0.25">
      <c r="A10548" t="str">
        <f>"7753205702"</f>
        <v>7753205702</v>
      </c>
      <c r="B10548" t="str">
        <f t="shared" si="440"/>
        <v>89301000</v>
      </c>
      <c r="C10548" s="1">
        <v>44247</v>
      </c>
      <c r="D10548" s="1">
        <v>44248</v>
      </c>
      <c r="E10548">
        <v>1</v>
      </c>
      <c r="F10548" t="s">
        <v>2766</v>
      </c>
      <c r="G10548" t="str">
        <f>"08-I15-03"</f>
        <v>08-I15-03</v>
      </c>
      <c r="H10548">
        <v>1.1838</v>
      </c>
      <c r="I10548" t="s">
        <v>7118</v>
      </c>
      <c r="J10548" t="s">
        <v>17</v>
      </c>
      <c r="K10548" t="str">
        <f>"5F3"</f>
        <v>5F3</v>
      </c>
      <c r="L10548" t="s">
        <v>15</v>
      </c>
    </row>
    <row r="10549" spans="1:12" x14ac:dyDescent="0.25">
      <c r="A10549" t="str">
        <f>"7753225315"</f>
        <v>7753225315</v>
      </c>
      <c r="B10549" t="str">
        <f t="shared" si="440"/>
        <v>89301000</v>
      </c>
      <c r="C10549" s="1">
        <v>44269</v>
      </c>
      <c r="D10549" s="1">
        <v>44273</v>
      </c>
      <c r="E10549">
        <v>1</v>
      </c>
      <c r="F10549" t="s">
        <v>6425</v>
      </c>
      <c r="G10549" t="str">
        <f>"13-I08-02"</f>
        <v>13-I08-02</v>
      </c>
      <c r="H10549">
        <v>1.5502</v>
      </c>
      <c r="J10549" t="s">
        <v>106</v>
      </c>
      <c r="K10549" t="str">
        <f>"6F3"</f>
        <v>6F3</v>
      </c>
      <c r="L10549" t="s">
        <v>15</v>
      </c>
    </row>
    <row r="10550" spans="1:12" x14ac:dyDescent="0.25">
      <c r="A10550" t="str">
        <f>"7753225315"</f>
        <v>7753225315</v>
      </c>
      <c r="B10550" t="str">
        <f t="shared" si="440"/>
        <v>89301000</v>
      </c>
      <c r="C10550" s="1">
        <v>44551</v>
      </c>
      <c r="D10550" s="1">
        <v>44554</v>
      </c>
      <c r="E10550">
        <v>1</v>
      </c>
      <c r="F10550" t="s">
        <v>217</v>
      </c>
      <c r="G10550" t="str">
        <f>"04-K02-04"</f>
        <v>04-K02-04</v>
      </c>
      <c r="H10550">
        <v>0.82469999999999999</v>
      </c>
      <c r="I10550" t="s">
        <v>274</v>
      </c>
      <c r="J10550" t="s">
        <v>14</v>
      </c>
      <c r="K10550" t="str">
        <f>"1F1"</f>
        <v>1F1</v>
      </c>
      <c r="L10550" t="s">
        <v>15</v>
      </c>
    </row>
    <row r="10551" spans="1:12" x14ac:dyDescent="0.25">
      <c r="A10551" t="str">
        <f>"7753225315"</f>
        <v>7753225315</v>
      </c>
      <c r="B10551" t="str">
        <f t="shared" si="440"/>
        <v>89301000</v>
      </c>
      <c r="C10551" s="1">
        <v>44222</v>
      </c>
      <c r="D10551" s="1">
        <v>44224</v>
      </c>
      <c r="E10551">
        <v>1</v>
      </c>
      <c r="F10551" t="s">
        <v>3852</v>
      </c>
      <c r="G10551" t="str">
        <f>"13-I19-00"</f>
        <v>13-I19-00</v>
      </c>
      <c r="H10551">
        <v>0.24679999999999999</v>
      </c>
      <c r="J10551" t="s">
        <v>14</v>
      </c>
      <c r="K10551" t="str">
        <f>"6F3"</f>
        <v>6F3</v>
      </c>
      <c r="L10551" t="s">
        <v>15</v>
      </c>
    </row>
    <row r="10552" spans="1:12" x14ac:dyDescent="0.25">
      <c r="A10552" t="str">
        <f>"7754065330"</f>
        <v>7754065330</v>
      </c>
      <c r="B10552" t="str">
        <f t="shared" si="440"/>
        <v>89301000</v>
      </c>
      <c r="C10552" s="1">
        <v>44497</v>
      </c>
      <c r="D10552" s="1">
        <v>44498</v>
      </c>
      <c r="E10552">
        <v>1</v>
      </c>
      <c r="F10552" t="s">
        <v>75</v>
      </c>
      <c r="G10552" t="str">
        <f>"14-M01-05"</f>
        <v>14-M01-05</v>
      </c>
      <c r="H10552">
        <v>0.54239999999999999</v>
      </c>
      <c r="I10552" t="s">
        <v>180</v>
      </c>
      <c r="J10552" t="s">
        <v>59</v>
      </c>
      <c r="K10552" t="str">
        <f>"6F3"</f>
        <v>6F3</v>
      </c>
      <c r="L10552" t="s">
        <v>15</v>
      </c>
    </row>
    <row r="10553" spans="1:12" x14ac:dyDescent="0.25">
      <c r="A10553" t="str">
        <f>"7754134476"</f>
        <v>7754134476</v>
      </c>
      <c r="B10553" t="str">
        <f t="shared" si="440"/>
        <v>89301000</v>
      </c>
      <c r="C10553" s="1">
        <v>44431</v>
      </c>
      <c r="D10553" s="1">
        <v>44434</v>
      </c>
      <c r="E10553">
        <v>1</v>
      </c>
      <c r="F10553" t="s">
        <v>18</v>
      </c>
      <c r="G10553" t="str">
        <f>"11-I10-01"</f>
        <v>11-I10-01</v>
      </c>
      <c r="H10553">
        <v>2.8389000000000002</v>
      </c>
      <c r="J10553" t="s">
        <v>14</v>
      </c>
      <c r="K10553" t="str">
        <f>"7F6"</f>
        <v>7F6</v>
      </c>
      <c r="L10553" t="s">
        <v>15</v>
      </c>
    </row>
    <row r="10554" spans="1:12" x14ac:dyDescent="0.25">
      <c r="A10554" t="str">
        <f>"7754165309"</f>
        <v>7754165309</v>
      </c>
      <c r="B10554" t="str">
        <f t="shared" si="440"/>
        <v>89301000</v>
      </c>
      <c r="C10554" s="1">
        <v>44277</v>
      </c>
      <c r="D10554" s="1">
        <v>44315</v>
      </c>
      <c r="E10554">
        <v>8</v>
      </c>
      <c r="F10554" t="s">
        <v>3656</v>
      </c>
      <c r="G10554" t="str">
        <f>"06-I12-01"</f>
        <v>06-I12-01</v>
      </c>
      <c r="H10554">
        <v>5.3738999999999999</v>
      </c>
      <c r="I10554" t="s">
        <v>7119</v>
      </c>
      <c r="J10554" t="s">
        <v>14</v>
      </c>
      <c r="K10554" t="str">
        <f>"5F1"</f>
        <v>5F1</v>
      </c>
      <c r="L10554" t="s">
        <v>15</v>
      </c>
    </row>
    <row r="10555" spans="1:12" x14ac:dyDescent="0.25">
      <c r="A10555" t="str">
        <f>"7754205767"</f>
        <v>7754205767</v>
      </c>
      <c r="B10555" t="str">
        <f t="shared" si="440"/>
        <v>89301000</v>
      </c>
      <c r="C10555" s="1">
        <v>44477</v>
      </c>
      <c r="D10555" s="1">
        <v>44478</v>
      </c>
      <c r="E10555">
        <v>1</v>
      </c>
      <c r="F10555" t="s">
        <v>3852</v>
      </c>
      <c r="G10555" t="str">
        <f>"13-I19-00"</f>
        <v>13-I19-00</v>
      </c>
      <c r="H10555">
        <v>0.24679999999999999</v>
      </c>
      <c r="J10555" t="s">
        <v>14</v>
      </c>
      <c r="K10555" t="str">
        <f>"6F3"</f>
        <v>6F3</v>
      </c>
      <c r="L10555" t="s">
        <v>15</v>
      </c>
    </row>
    <row r="10556" spans="1:12" x14ac:dyDescent="0.25">
      <c r="A10556" t="str">
        <f>"7755015334"</f>
        <v>7755015334</v>
      </c>
      <c r="B10556" t="str">
        <f t="shared" si="440"/>
        <v>89301000</v>
      </c>
      <c r="C10556" s="1">
        <v>44265</v>
      </c>
      <c r="D10556" s="1">
        <v>44266</v>
      </c>
      <c r="E10556">
        <v>1</v>
      </c>
      <c r="F10556" t="s">
        <v>2576</v>
      </c>
      <c r="G10556" t="str">
        <f>"11-I14-02"</f>
        <v>11-I14-02</v>
      </c>
      <c r="H10556">
        <v>0.63060000000000005</v>
      </c>
      <c r="J10556" t="s">
        <v>24</v>
      </c>
      <c r="K10556" t="str">
        <f>"6F3"</f>
        <v>6F3</v>
      </c>
      <c r="L10556" t="s">
        <v>15</v>
      </c>
    </row>
    <row r="10557" spans="1:12" x14ac:dyDescent="0.25">
      <c r="A10557" t="str">
        <f>"7755045397"</f>
        <v>7755045397</v>
      </c>
      <c r="B10557" t="str">
        <f t="shared" si="440"/>
        <v>89301000</v>
      </c>
      <c r="C10557" s="1">
        <v>44482</v>
      </c>
      <c r="D10557" s="1">
        <v>44496</v>
      </c>
      <c r="E10557">
        <v>1</v>
      </c>
      <c r="F10557" t="s">
        <v>78</v>
      </c>
      <c r="G10557" t="str">
        <f>"19-K04-02"</f>
        <v>19-K04-02</v>
      </c>
      <c r="H10557">
        <v>1.4597</v>
      </c>
      <c r="I10557" t="s">
        <v>194</v>
      </c>
      <c r="J10557" t="s">
        <v>27</v>
      </c>
      <c r="K10557" t="str">
        <f>"3F5"</f>
        <v>3F5</v>
      </c>
      <c r="L10557" t="s">
        <v>15</v>
      </c>
    </row>
    <row r="10558" spans="1:12" x14ac:dyDescent="0.25">
      <c r="A10558" t="str">
        <f>"7755055792"</f>
        <v>7755055792</v>
      </c>
      <c r="B10558" t="str">
        <f t="shared" si="440"/>
        <v>89301000</v>
      </c>
      <c r="C10558" s="1">
        <v>44439</v>
      </c>
      <c r="D10558" s="1">
        <v>44441</v>
      </c>
      <c r="E10558">
        <v>1</v>
      </c>
      <c r="F10558" t="s">
        <v>2634</v>
      </c>
      <c r="G10558" t="str">
        <f>"01-K18-04"</f>
        <v>01-K18-04</v>
      </c>
      <c r="H10558">
        <v>0.49890000000000001</v>
      </c>
      <c r="I10558" t="s">
        <v>7120</v>
      </c>
      <c r="J10558" t="s">
        <v>14</v>
      </c>
      <c r="K10558" t="str">
        <f>"2F9"</f>
        <v>2F9</v>
      </c>
      <c r="L10558" t="s">
        <v>15</v>
      </c>
    </row>
    <row r="10559" spans="1:12" x14ac:dyDescent="0.25">
      <c r="A10559" t="str">
        <f>"7755064075"</f>
        <v>7755064075</v>
      </c>
      <c r="B10559" t="str">
        <f t="shared" si="440"/>
        <v>89301000</v>
      </c>
      <c r="C10559" s="1">
        <v>44354</v>
      </c>
      <c r="D10559" s="1">
        <v>44363</v>
      </c>
      <c r="E10559">
        <v>1</v>
      </c>
      <c r="F10559" t="s">
        <v>2197</v>
      </c>
      <c r="G10559" t="str">
        <f>"04-M02-04"</f>
        <v>04-M02-04</v>
      </c>
      <c r="H10559">
        <v>0.91759999999999997</v>
      </c>
      <c r="I10559" t="s">
        <v>7121</v>
      </c>
      <c r="J10559" t="s">
        <v>14</v>
      </c>
      <c r="K10559" t="str">
        <f>"2F5"</f>
        <v>2F5</v>
      </c>
      <c r="L10559" t="s">
        <v>15</v>
      </c>
    </row>
    <row r="10560" spans="1:12" x14ac:dyDescent="0.25">
      <c r="A10560" t="str">
        <f>"7755065406"</f>
        <v>7755065406</v>
      </c>
      <c r="B10560" t="str">
        <f t="shared" si="440"/>
        <v>89301000</v>
      </c>
      <c r="C10560" s="1">
        <v>44201</v>
      </c>
      <c r="D10560" s="1">
        <v>44202</v>
      </c>
      <c r="E10560">
        <v>1</v>
      </c>
      <c r="F10560" t="s">
        <v>2701</v>
      </c>
      <c r="G10560" t="str">
        <f>"08-I04-01"</f>
        <v>08-I04-01</v>
      </c>
      <c r="H10560">
        <v>1.4977</v>
      </c>
      <c r="I10560" t="s">
        <v>7122</v>
      </c>
      <c r="J10560" t="s">
        <v>17</v>
      </c>
      <c r="K10560" t="str">
        <f>"5F6"</f>
        <v>5F6</v>
      </c>
      <c r="L10560" t="s">
        <v>15</v>
      </c>
    </row>
    <row r="10561" spans="1:12" x14ac:dyDescent="0.25">
      <c r="A10561" t="str">
        <f>"7755065406"</f>
        <v>7755065406</v>
      </c>
      <c r="B10561" t="str">
        <f t="shared" si="440"/>
        <v>89301000</v>
      </c>
      <c r="C10561" s="1">
        <v>44316</v>
      </c>
      <c r="D10561" s="1">
        <v>44318</v>
      </c>
      <c r="E10561">
        <v>1</v>
      </c>
      <c r="F10561" t="s">
        <v>81</v>
      </c>
      <c r="G10561" t="str">
        <f>"10-I13-02"</f>
        <v>10-I13-02</v>
      </c>
      <c r="H10561">
        <v>1.1468</v>
      </c>
      <c r="J10561" t="s">
        <v>24</v>
      </c>
      <c r="K10561" t="str">
        <f>"5F1"</f>
        <v>5F1</v>
      </c>
      <c r="L10561" t="s">
        <v>15</v>
      </c>
    </row>
    <row r="10562" spans="1:12" x14ac:dyDescent="0.25">
      <c r="A10562" t="str">
        <f>"7755085349"</f>
        <v>7755085349</v>
      </c>
      <c r="B10562" t="str">
        <f t="shared" si="440"/>
        <v>89301000</v>
      </c>
      <c r="C10562" s="1">
        <v>44279</v>
      </c>
      <c r="D10562" s="1">
        <v>44282</v>
      </c>
      <c r="E10562">
        <v>1</v>
      </c>
      <c r="F10562" t="s">
        <v>2089</v>
      </c>
      <c r="G10562" t="str">
        <f>"08-I03-04"</f>
        <v>08-I03-04</v>
      </c>
      <c r="H10562">
        <v>4.8169000000000004</v>
      </c>
      <c r="J10562" t="s">
        <v>17</v>
      </c>
      <c r="K10562" t="str">
        <f>"5F6"</f>
        <v>5F6</v>
      </c>
      <c r="L10562" t="s">
        <v>15</v>
      </c>
    </row>
    <row r="10563" spans="1:12" x14ac:dyDescent="0.25">
      <c r="A10563" t="str">
        <f>"7755165792"</f>
        <v>7755165792</v>
      </c>
      <c r="B10563" t="str">
        <f t="shared" si="440"/>
        <v>89301000</v>
      </c>
      <c r="C10563" s="1">
        <v>44226</v>
      </c>
      <c r="D10563" s="1">
        <v>44230</v>
      </c>
      <c r="E10563">
        <v>1</v>
      </c>
      <c r="F10563" t="s">
        <v>45</v>
      </c>
      <c r="G10563" t="str">
        <f>"05-D01-06"</f>
        <v>05-D01-06</v>
      </c>
      <c r="H10563">
        <v>0.7611</v>
      </c>
      <c r="J10563" t="s">
        <v>14</v>
      </c>
      <c r="K10563" t="str">
        <f>"1F1"</f>
        <v>1F1</v>
      </c>
      <c r="L10563" t="s">
        <v>15</v>
      </c>
    </row>
    <row r="10564" spans="1:12" x14ac:dyDescent="0.25">
      <c r="A10564" t="str">
        <f>"7755195745"</f>
        <v>7755195745</v>
      </c>
      <c r="B10564" t="str">
        <f t="shared" si="440"/>
        <v>89301000</v>
      </c>
      <c r="C10564" s="1">
        <v>44493</v>
      </c>
      <c r="D10564" s="1">
        <v>44496</v>
      </c>
      <c r="E10564">
        <v>1</v>
      </c>
      <c r="F10564" t="s">
        <v>2828</v>
      </c>
      <c r="G10564" t="str">
        <f>"08-M03-05"</f>
        <v>08-M03-05</v>
      </c>
      <c r="H10564">
        <v>0.51759999999999995</v>
      </c>
      <c r="J10564" t="s">
        <v>14</v>
      </c>
      <c r="K10564" t="str">
        <f>"6F6"</f>
        <v>6F6</v>
      </c>
      <c r="L10564" t="s">
        <v>15</v>
      </c>
    </row>
    <row r="10565" spans="1:12" x14ac:dyDescent="0.25">
      <c r="A10565" t="str">
        <f>"7755195767"</f>
        <v>7755195767</v>
      </c>
      <c r="B10565" t="str">
        <f t="shared" si="440"/>
        <v>89301000</v>
      </c>
      <c r="C10565" s="1">
        <v>44340</v>
      </c>
      <c r="D10565" s="1">
        <v>44342</v>
      </c>
      <c r="E10565">
        <v>1</v>
      </c>
      <c r="F10565" t="s">
        <v>6775</v>
      </c>
      <c r="G10565" t="str">
        <f>"08-I26-03"</f>
        <v>08-I26-03</v>
      </c>
      <c r="H10565">
        <v>0.45679999999999998</v>
      </c>
      <c r="J10565" t="s">
        <v>14</v>
      </c>
      <c r="K10565" t="str">
        <f>"6F6"</f>
        <v>6F6</v>
      </c>
      <c r="L10565" t="s">
        <v>15</v>
      </c>
    </row>
    <row r="10566" spans="1:12" x14ac:dyDescent="0.25">
      <c r="A10566" t="str">
        <f>"7755235312"</f>
        <v>7755235312</v>
      </c>
      <c r="B10566" t="str">
        <f t="shared" si="440"/>
        <v>89301000</v>
      </c>
      <c r="C10566" s="1">
        <v>44551</v>
      </c>
      <c r="D10566" s="1">
        <v>44553</v>
      </c>
      <c r="E10566">
        <v>1</v>
      </c>
      <c r="F10566" t="s">
        <v>336</v>
      </c>
      <c r="G10566" t="str">
        <f>"14-I08-03"</f>
        <v>14-I08-03</v>
      </c>
      <c r="H10566">
        <v>0.26910000000000001</v>
      </c>
      <c r="J10566" t="s">
        <v>14</v>
      </c>
      <c r="K10566" t="str">
        <f>"6F3"</f>
        <v>6F3</v>
      </c>
      <c r="L10566" t="s">
        <v>15</v>
      </c>
    </row>
    <row r="10567" spans="1:12" x14ac:dyDescent="0.25">
      <c r="A10567" t="str">
        <f>"7755279642"</f>
        <v>7755279642</v>
      </c>
      <c r="B10567" t="str">
        <f t="shared" si="440"/>
        <v>89301000</v>
      </c>
      <c r="C10567" s="1">
        <v>44305</v>
      </c>
      <c r="D10567" s="1">
        <v>44319</v>
      </c>
      <c r="E10567">
        <v>1</v>
      </c>
      <c r="F10567" t="s">
        <v>217</v>
      </c>
      <c r="G10567" t="str">
        <f>"00-M01-04"</f>
        <v>00-M01-04</v>
      </c>
      <c r="H10567">
        <v>6.85</v>
      </c>
      <c r="I10567" t="s">
        <v>274</v>
      </c>
      <c r="J10567" t="s">
        <v>14</v>
      </c>
      <c r="K10567" t="str">
        <f>"1F1"</f>
        <v>1F1</v>
      </c>
      <c r="L10567" t="s">
        <v>15</v>
      </c>
    </row>
    <row r="10568" spans="1:12" x14ac:dyDescent="0.25">
      <c r="A10568" t="str">
        <f>"7755294393"</f>
        <v>7755294393</v>
      </c>
      <c r="B10568" t="str">
        <f t="shared" si="440"/>
        <v>89301000</v>
      </c>
      <c r="C10568" s="1">
        <v>44459</v>
      </c>
      <c r="D10568" s="1">
        <v>44460</v>
      </c>
      <c r="E10568">
        <v>1</v>
      </c>
      <c r="F10568" t="s">
        <v>186</v>
      </c>
      <c r="G10568" t="str">
        <f>"05-D01-03"</f>
        <v>05-D01-03</v>
      </c>
      <c r="H10568">
        <v>1.0068999999999999</v>
      </c>
      <c r="J10568" t="s">
        <v>14</v>
      </c>
      <c r="K10568" t="str">
        <f>"1F7"</f>
        <v>1F7</v>
      </c>
      <c r="L10568" t="s">
        <v>15</v>
      </c>
    </row>
    <row r="10569" spans="1:12" x14ac:dyDescent="0.25">
      <c r="A10569" t="str">
        <f>"7755295306"</f>
        <v>7755295306</v>
      </c>
      <c r="B10569" t="str">
        <f t="shared" si="440"/>
        <v>89301000</v>
      </c>
      <c r="C10569" s="1">
        <v>44322</v>
      </c>
      <c r="D10569" s="1">
        <v>44323</v>
      </c>
      <c r="E10569">
        <v>1</v>
      </c>
      <c r="F10569" t="s">
        <v>7123</v>
      </c>
      <c r="G10569" t="str">
        <f>"08-K08-00"</f>
        <v>08-K08-00</v>
      </c>
      <c r="H10569">
        <v>0.51670000000000005</v>
      </c>
      <c r="I10569" t="s">
        <v>7124</v>
      </c>
      <c r="J10569" t="s">
        <v>14</v>
      </c>
      <c r="K10569" t="str">
        <f>"2F9"</f>
        <v>2F9</v>
      </c>
      <c r="L10569" t="s">
        <v>15</v>
      </c>
    </row>
    <row r="10570" spans="1:12" x14ac:dyDescent="0.25">
      <c r="A10570" t="str">
        <f>"7756014871"</f>
        <v>7756014871</v>
      </c>
      <c r="B10570" t="str">
        <f t="shared" si="440"/>
        <v>89301000</v>
      </c>
      <c r="C10570" s="1">
        <v>44370</v>
      </c>
      <c r="D10570" s="1">
        <v>44375</v>
      </c>
      <c r="E10570">
        <v>1</v>
      </c>
      <c r="F10570" t="s">
        <v>2637</v>
      </c>
      <c r="G10570" t="str">
        <f>"23-K05-01"</f>
        <v>23-K05-01</v>
      </c>
      <c r="H10570">
        <v>0.56999999999999995</v>
      </c>
      <c r="I10570" t="s">
        <v>2638</v>
      </c>
      <c r="J10570" t="s">
        <v>14</v>
      </c>
      <c r="K10570" t="str">
        <f>"4F7"</f>
        <v>4F7</v>
      </c>
      <c r="L10570" t="s">
        <v>15</v>
      </c>
    </row>
    <row r="10571" spans="1:12" x14ac:dyDescent="0.25">
      <c r="A10571" t="str">
        <f>"7756015773"</f>
        <v>7756015773</v>
      </c>
      <c r="B10571" t="str">
        <f t="shared" si="440"/>
        <v>89301000</v>
      </c>
      <c r="C10571" s="1">
        <v>44469</v>
      </c>
      <c r="D10571" s="1">
        <v>44472</v>
      </c>
      <c r="E10571">
        <v>1</v>
      </c>
      <c r="F10571" t="s">
        <v>4024</v>
      </c>
      <c r="G10571" t="str">
        <f>"09-I04-02"</f>
        <v>09-I04-02</v>
      </c>
      <c r="H10571">
        <v>1.5007999999999999</v>
      </c>
      <c r="I10571" t="s">
        <v>793</v>
      </c>
      <c r="J10571" t="s">
        <v>17</v>
      </c>
      <c r="K10571" t="str">
        <f>"6F1"</f>
        <v>6F1</v>
      </c>
      <c r="L10571" t="s">
        <v>15</v>
      </c>
    </row>
    <row r="10572" spans="1:12" x14ac:dyDescent="0.25">
      <c r="A10572" t="str">
        <f>"7756025321"</f>
        <v>7756025321</v>
      </c>
      <c r="B10572" t="str">
        <f t="shared" si="440"/>
        <v>89301000</v>
      </c>
      <c r="C10572" s="1">
        <v>44286</v>
      </c>
      <c r="D10572" s="1">
        <v>44291</v>
      </c>
      <c r="E10572">
        <v>1</v>
      </c>
      <c r="F10572" t="s">
        <v>61</v>
      </c>
      <c r="G10572" t="str">
        <f>"14-I01-01"</f>
        <v>14-I01-01</v>
      </c>
      <c r="H10572">
        <v>1.6404000000000001</v>
      </c>
      <c r="I10572" t="s">
        <v>7125</v>
      </c>
      <c r="J10572" t="s">
        <v>59</v>
      </c>
      <c r="K10572" t="str">
        <f>"6F3"</f>
        <v>6F3</v>
      </c>
      <c r="L10572" t="s">
        <v>15</v>
      </c>
    </row>
    <row r="10573" spans="1:12" x14ac:dyDescent="0.25">
      <c r="A10573" t="str">
        <f>"7756025332"</f>
        <v>7756025332</v>
      </c>
      <c r="B10573" t="str">
        <f t="shared" si="440"/>
        <v>89301000</v>
      </c>
      <c r="C10573" s="1">
        <v>44264</v>
      </c>
      <c r="D10573" s="1">
        <v>44271</v>
      </c>
      <c r="E10573">
        <v>1</v>
      </c>
      <c r="F10573" t="s">
        <v>2495</v>
      </c>
      <c r="G10573" t="str">
        <f>"13-I11-03"</f>
        <v>13-I11-03</v>
      </c>
      <c r="H10573">
        <v>1.4015</v>
      </c>
      <c r="I10573" t="s">
        <v>283</v>
      </c>
      <c r="J10573" t="s">
        <v>24</v>
      </c>
      <c r="K10573" t="str">
        <f>"6F3"</f>
        <v>6F3</v>
      </c>
      <c r="L10573" t="s">
        <v>15</v>
      </c>
    </row>
    <row r="10574" spans="1:12" x14ac:dyDescent="0.25">
      <c r="A10574" t="str">
        <f>"7756145320"</f>
        <v>7756145320</v>
      </c>
      <c r="B10574" t="str">
        <f t="shared" si="440"/>
        <v>89301000</v>
      </c>
      <c r="C10574" s="1">
        <v>44370</v>
      </c>
      <c r="D10574" s="1">
        <v>44375</v>
      </c>
      <c r="E10574">
        <v>1</v>
      </c>
      <c r="F10574" t="s">
        <v>6270</v>
      </c>
      <c r="G10574" t="str">
        <f>"13-I11-03"</f>
        <v>13-I11-03</v>
      </c>
      <c r="H10574">
        <v>1.3809</v>
      </c>
      <c r="I10574" t="s">
        <v>6958</v>
      </c>
      <c r="J10574" t="s">
        <v>24</v>
      </c>
      <c r="K10574" t="str">
        <f>"6F3"</f>
        <v>6F3</v>
      </c>
      <c r="L10574" t="s">
        <v>15</v>
      </c>
    </row>
    <row r="10575" spans="1:12" x14ac:dyDescent="0.25">
      <c r="A10575" t="str">
        <f>"7756165769"</f>
        <v>7756165769</v>
      </c>
      <c r="B10575" t="str">
        <f t="shared" si="440"/>
        <v>89301000</v>
      </c>
      <c r="C10575" s="1">
        <v>44510</v>
      </c>
      <c r="D10575" s="1">
        <v>44511</v>
      </c>
      <c r="E10575">
        <v>1</v>
      </c>
      <c r="F10575" t="s">
        <v>1766</v>
      </c>
      <c r="G10575" t="str">
        <f>"02-I13-02"</f>
        <v>02-I13-02</v>
      </c>
      <c r="H10575">
        <v>0.376</v>
      </c>
      <c r="I10575" t="s">
        <v>168</v>
      </c>
      <c r="J10575" t="s">
        <v>14</v>
      </c>
      <c r="K10575" t="str">
        <f>"7F5"</f>
        <v>7F5</v>
      </c>
      <c r="L10575" t="s">
        <v>15</v>
      </c>
    </row>
    <row r="10576" spans="1:12" x14ac:dyDescent="0.25">
      <c r="A10576" t="str">
        <f>"7756174987"</f>
        <v>7756174987</v>
      </c>
      <c r="B10576" t="str">
        <f t="shared" si="440"/>
        <v>89301000</v>
      </c>
      <c r="C10576" s="1">
        <v>44446</v>
      </c>
      <c r="D10576" s="1">
        <v>44451</v>
      </c>
      <c r="E10576">
        <v>1</v>
      </c>
      <c r="F10576" t="s">
        <v>6008</v>
      </c>
      <c r="G10576" t="str">
        <f>"08-K02-02"</f>
        <v>08-K02-02</v>
      </c>
      <c r="H10576">
        <v>1.2081999999999999</v>
      </c>
      <c r="I10576" t="s">
        <v>7126</v>
      </c>
      <c r="J10576" t="s">
        <v>14</v>
      </c>
      <c r="K10576" t="str">
        <f>"1F9"</f>
        <v>1F9</v>
      </c>
      <c r="L10576" t="s">
        <v>15</v>
      </c>
    </row>
    <row r="10577" spans="1:12" x14ac:dyDescent="0.25">
      <c r="A10577" t="str">
        <f>"7756174987"</f>
        <v>7756174987</v>
      </c>
      <c r="B10577" t="str">
        <f t="shared" si="440"/>
        <v>89301000</v>
      </c>
      <c r="C10577" s="1">
        <v>44263</v>
      </c>
      <c r="D10577" s="1">
        <v>44265</v>
      </c>
      <c r="E10577">
        <v>1</v>
      </c>
      <c r="F10577" t="s">
        <v>6008</v>
      </c>
      <c r="G10577" t="str">
        <f>"08-K02-02"</f>
        <v>08-K02-02</v>
      </c>
      <c r="H10577">
        <v>1.2081999999999999</v>
      </c>
      <c r="I10577" t="s">
        <v>7127</v>
      </c>
      <c r="J10577" t="s">
        <v>14</v>
      </c>
      <c r="K10577" t="str">
        <f>"1F9"</f>
        <v>1F9</v>
      </c>
      <c r="L10577" t="s">
        <v>15</v>
      </c>
    </row>
    <row r="10578" spans="1:12" x14ac:dyDescent="0.25">
      <c r="A10578" t="str">
        <f>"7756205336"</f>
        <v>7756205336</v>
      </c>
      <c r="B10578" t="str">
        <f t="shared" si="440"/>
        <v>89301000</v>
      </c>
      <c r="C10578" s="1">
        <v>44492</v>
      </c>
      <c r="D10578" s="1">
        <v>44496</v>
      </c>
      <c r="E10578">
        <v>1</v>
      </c>
      <c r="F10578" t="s">
        <v>473</v>
      </c>
      <c r="G10578" t="str">
        <f>"05-K13-02"</f>
        <v>05-K13-02</v>
      </c>
      <c r="H10578">
        <v>0.60950000000000004</v>
      </c>
      <c r="I10578" t="s">
        <v>302</v>
      </c>
      <c r="J10578" t="s">
        <v>14</v>
      </c>
      <c r="K10578" t="str">
        <f>"1F1"</f>
        <v>1F1</v>
      </c>
      <c r="L10578" t="s">
        <v>15</v>
      </c>
    </row>
    <row r="10579" spans="1:12" x14ac:dyDescent="0.25">
      <c r="A10579" t="str">
        <f>"7756225356"</f>
        <v>7756225356</v>
      </c>
      <c r="B10579" t="str">
        <f t="shared" si="440"/>
        <v>89301000</v>
      </c>
      <c r="C10579" s="1">
        <v>44348</v>
      </c>
      <c r="D10579" s="1">
        <v>44351</v>
      </c>
      <c r="E10579">
        <v>1</v>
      </c>
      <c r="F10579" t="s">
        <v>16</v>
      </c>
      <c r="G10579" t="str">
        <f>"08-I04-03"</f>
        <v>08-I04-03</v>
      </c>
      <c r="H10579">
        <v>1.331</v>
      </c>
      <c r="I10579" t="s">
        <v>302</v>
      </c>
      <c r="J10579" t="s">
        <v>17</v>
      </c>
      <c r="K10579" t="str">
        <f>"5F6"</f>
        <v>5F6</v>
      </c>
      <c r="L10579" t="s">
        <v>15</v>
      </c>
    </row>
    <row r="10580" spans="1:12" x14ac:dyDescent="0.25">
      <c r="A10580" t="str">
        <f>"7756225851"</f>
        <v>7756225851</v>
      </c>
      <c r="B10580" t="str">
        <f t="shared" si="440"/>
        <v>89301000</v>
      </c>
      <c r="C10580" s="1">
        <v>44195</v>
      </c>
      <c r="D10580" s="1">
        <v>44203</v>
      </c>
      <c r="E10580">
        <v>1</v>
      </c>
      <c r="F10580" t="s">
        <v>4557</v>
      </c>
      <c r="G10580" t="str">
        <f>"20-K03-03"</f>
        <v>20-K03-03</v>
      </c>
      <c r="H10580">
        <v>1.0109999999999999</v>
      </c>
      <c r="I10580" t="s">
        <v>7128</v>
      </c>
      <c r="J10580" t="s">
        <v>14</v>
      </c>
      <c r="K10580" t="str">
        <f>"3F5"</f>
        <v>3F5</v>
      </c>
      <c r="L10580" t="s">
        <v>15</v>
      </c>
    </row>
    <row r="10581" spans="1:12" x14ac:dyDescent="0.25">
      <c r="A10581" t="str">
        <f>"7756265363"</f>
        <v>7756265363</v>
      </c>
      <c r="B10581" t="str">
        <f t="shared" si="440"/>
        <v>89301000</v>
      </c>
      <c r="C10581" s="1">
        <v>44347</v>
      </c>
      <c r="D10581" s="1">
        <v>44358</v>
      </c>
      <c r="E10581">
        <v>1</v>
      </c>
      <c r="F10581" t="s">
        <v>2261</v>
      </c>
      <c r="G10581" t="str">
        <f>"02-K01-02"</f>
        <v>02-K01-02</v>
      </c>
      <c r="H10581">
        <v>0.77749999999999997</v>
      </c>
      <c r="I10581" t="s">
        <v>7129</v>
      </c>
      <c r="J10581" t="s">
        <v>14</v>
      </c>
      <c r="K10581" t="str">
        <f>"7F5"</f>
        <v>7F5</v>
      </c>
      <c r="L10581" t="s">
        <v>15</v>
      </c>
    </row>
    <row r="10582" spans="1:12" x14ac:dyDescent="0.25">
      <c r="A10582" t="str">
        <f>"7757084478"</f>
        <v>7757084478</v>
      </c>
      <c r="B10582" t="str">
        <f t="shared" si="440"/>
        <v>89301000</v>
      </c>
      <c r="C10582" s="1">
        <v>44228</v>
      </c>
      <c r="D10582" s="1">
        <v>44243</v>
      </c>
      <c r="E10582">
        <v>1</v>
      </c>
      <c r="F10582" t="s">
        <v>109</v>
      </c>
      <c r="G10582" t="str">
        <f>"24-M07-02"</f>
        <v>24-M07-02</v>
      </c>
      <c r="H10582">
        <v>1.5094000000000001</v>
      </c>
      <c r="I10582" t="s">
        <v>3527</v>
      </c>
      <c r="J10582" t="s">
        <v>14</v>
      </c>
      <c r="K10582" t="str">
        <f>"2F1"</f>
        <v>2F1</v>
      </c>
      <c r="L10582" t="s">
        <v>15</v>
      </c>
    </row>
    <row r="10583" spans="1:12" x14ac:dyDescent="0.25">
      <c r="A10583" t="str">
        <f>"7757165801"</f>
        <v>7757165801</v>
      </c>
      <c r="B10583" t="str">
        <f t="shared" si="440"/>
        <v>89301000</v>
      </c>
      <c r="C10583" s="1">
        <v>44210</v>
      </c>
      <c r="D10583" s="1">
        <v>44216</v>
      </c>
      <c r="E10583">
        <v>4</v>
      </c>
      <c r="F10583" t="s">
        <v>6584</v>
      </c>
      <c r="G10583" t="str">
        <f>"19-K02-03"</f>
        <v>19-K02-03</v>
      </c>
      <c r="H10583">
        <v>0.67269999999999996</v>
      </c>
      <c r="I10583" t="s">
        <v>7130</v>
      </c>
      <c r="J10583" t="s">
        <v>27</v>
      </c>
      <c r="K10583" t="str">
        <f>"3F5"</f>
        <v>3F5</v>
      </c>
      <c r="L10583" t="s">
        <v>15</v>
      </c>
    </row>
    <row r="10584" spans="1:12" x14ac:dyDescent="0.25">
      <c r="A10584" t="str">
        <f>"7757165801"</f>
        <v>7757165801</v>
      </c>
      <c r="B10584" t="str">
        <f t="shared" si="440"/>
        <v>89301000</v>
      </c>
      <c r="C10584" s="1">
        <v>44349</v>
      </c>
      <c r="D10584" s="1">
        <v>44355</v>
      </c>
      <c r="E10584">
        <v>1</v>
      </c>
      <c r="F10584" t="s">
        <v>6584</v>
      </c>
      <c r="G10584" t="str">
        <f>"19-K03-03"</f>
        <v>19-K03-03</v>
      </c>
      <c r="H10584">
        <v>0.93169999999999997</v>
      </c>
      <c r="I10584" t="s">
        <v>7130</v>
      </c>
      <c r="J10584" t="s">
        <v>27</v>
      </c>
      <c r="K10584" t="str">
        <f>"3F5"</f>
        <v>3F5</v>
      </c>
      <c r="L10584" t="s">
        <v>15</v>
      </c>
    </row>
    <row r="10585" spans="1:12" x14ac:dyDescent="0.25">
      <c r="A10585" t="str">
        <f>"7757195303"</f>
        <v>7757195303</v>
      </c>
      <c r="B10585" t="str">
        <f t="shared" si="440"/>
        <v>89301000</v>
      </c>
      <c r="C10585" s="1">
        <v>44461</v>
      </c>
      <c r="D10585" s="1">
        <v>44474</v>
      </c>
      <c r="E10585">
        <v>1</v>
      </c>
      <c r="F10585" t="s">
        <v>7131</v>
      </c>
      <c r="G10585" t="str">
        <f>"21-K05-03"</f>
        <v>21-K05-03</v>
      </c>
      <c r="H10585">
        <v>0.74709999999999999</v>
      </c>
      <c r="I10585" t="s">
        <v>7132</v>
      </c>
      <c r="J10585" t="s">
        <v>14</v>
      </c>
      <c r="K10585" t="str">
        <f>"3F5"</f>
        <v>3F5</v>
      </c>
      <c r="L10585" t="s">
        <v>15</v>
      </c>
    </row>
    <row r="10586" spans="1:12" x14ac:dyDescent="0.25">
      <c r="A10586" t="str">
        <f>"7757255330"</f>
        <v>7757255330</v>
      </c>
      <c r="B10586" t="str">
        <f t="shared" si="440"/>
        <v>89301000</v>
      </c>
      <c r="C10586" s="1">
        <v>44496</v>
      </c>
      <c r="D10586" s="1">
        <v>44497</v>
      </c>
      <c r="E10586">
        <v>1</v>
      </c>
      <c r="F10586" t="s">
        <v>41</v>
      </c>
      <c r="G10586" t="str">
        <f>"01-D01-03"</f>
        <v>01-D01-03</v>
      </c>
      <c r="H10586">
        <v>0.158</v>
      </c>
      <c r="I10586" t="s">
        <v>7133</v>
      </c>
      <c r="J10586" t="s">
        <v>14</v>
      </c>
      <c r="K10586" t="str">
        <f>"2F5"</f>
        <v>2F5</v>
      </c>
      <c r="L10586" t="s">
        <v>15</v>
      </c>
    </row>
    <row r="10587" spans="1:12" x14ac:dyDescent="0.25">
      <c r="A10587" t="str">
        <f>"7757255330"</f>
        <v>7757255330</v>
      </c>
      <c r="B10587" t="str">
        <f t="shared" si="440"/>
        <v>89301000</v>
      </c>
      <c r="C10587" s="1">
        <v>44231</v>
      </c>
      <c r="D10587" s="1">
        <v>44242</v>
      </c>
      <c r="E10587">
        <v>1</v>
      </c>
      <c r="F10587" t="s">
        <v>241</v>
      </c>
      <c r="G10587" t="str">
        <f>"04-K04-01"</f>
        <v>04-K04-01</v>
      </c>
      <c r="H10587">
        <v>1.1272</v>
      </c>
      <c r="I10587" t="s">
        <v>7134</v>
      </c>
      <c r="J10587" t="s">
        <v>14</v>
      </c>
      <c r="K10587" t="str">
        <f>"2F5"</f>
        <v>2F5</v>
      </c>
      <c r="L10587" t="s">
        <v>15</v>
      </c>
    </row>
    <row r="10588" spans="1:12" x14ac:dyDescent="0.25">
      <c r="A10588" t="str">
        <f>"7757265351"</f>
        <v>7757265351</v>
      </c>
      <c r="B10588" t="str">
        <f t="shared" si="440"/>
        <v>89301000</v>
      </c>
      <c r="C10588" s="1">
        <v>44477</v>
      </c>
      <c r="D10588" s="1">
        <v>44479</v>
      </c>
      <c r="E10588">
        <v>1</v>
      </c>
      <c r="F10588" t="s">
        <v>583</v>
      </c>
      <c r="G10588" t="str">
        <f>"05-K12-02"</f>
        <v>05-K12-02</v>
      </c>
      <c r="H10588">
        <v>0.53600000000000003</v>
      </c>
      <c r="J10588" t="s">
        <v>14</v>
      </c>
      <c r="K10588" t="str">
        <f>"1F1"</f>
        <v>1F1</v>
      </c>
      <c r="L10588" t="s">
        <v>15</v>
      </c>
    </row>
    <row r="10589" spans="1:12" x14ac:dyDescent="0.25">
      <c r="A10589" t="str">
        <f>"7757305765"</f>
        <v>7757305765</v>
      </c>
      <c r="B10589" t="str">
        <f t="shared" si="440"/>
        <v>89301000</v>
      </c>
      <c r="C10589" s="1">
        <v>44473</v>
      </c>
      <c r="D10589" s="1">
        <v>44474</v>
      </c>
      <c r="E10589">
        <v>1</v>
      </c>
      <c r="F10589" t="s">
        <v>186</v>
      </c>
      <c r="G10589" t="str">
        <f>"05-D01-03"</f>
        <v>05-D01-03</v>
      </c>
      <c r="H10589">
        <v>1.0068999999999999</v>
      </c>
      <c r="J10589" t="s">
        <v>14</v>
      </c>
      <c r="K10589" t="str">
        <f>"1F1"</f>
        <v>1F1</v>
      </c>
      <c r="L10589" t="s">
        <v>15</v>
      </c>
    </row>
    <row r="10590" spans="1:12" x14ac:dyDescent="0.25">
      <c r="A10590" t="str">
        <f>"7758055360"</f>
        <v>7758055360</v>
      </c>
      <c r="B10590" t="str">
        <f t="shared" si="440"/>
        <v>89301000</v>
      </c>
      <c r="C10590" s="1">
        <v>44272</v>
      </c>
      <c r="D10590" s="1">
        <v>44275</v>
      </c>
      <c r="E10590">
        <v>1</v>
      </c>
      <c r="F10590" t="s">
        <v>217</v>
      </c>
      <c r="G10590" t="str">
        <f>"04-K02-04"</f>
        <v>04-K02-04</v>
      </c>
      <c r="H10590">
        <v>0.82469999999999999</v>
      </c>
      <c r="I10590" t="s">
        <v>7135</v>
      </c>
      <c r="J10590" t="s">
        <v>14</v>
      </c>
      <c r="K10590" t="str">
        <f>"5F1"</f>
        <v>5F1</v>
      </c>
      <c r="L10590" t="s">
        <v>15</v>
      </c>
    </row>
    <row r="10591" spans="1:12" x14ac:dyDescent="0.25">
      <c r="A10591" t="str">
        <f>"7758125320"</f>
        <v>7758125320</v>
      </c>
      <c r="B10591" t="str">
        <f t="shared" si="440"/>
        <v>89301000</v>
      </c>
      <c r="C10591" s="1">
        <v>44375</v>
      </c>
      <c r="D10591" s="1">
        <v>44377</v>
      </c>
      <c r="E10591">
        <v>1</v>
      </c>
      <c r="F10591" t="s">
        <v>2433</v>
      </c>
      <c r="G10591" t="str">
        <f>"09-K04-02"</f>
        <v>09-K04-02</v>
      </c>
      <c r="H10591">
        <v>0.68279999999999996</v>
      </c>
      <c r="I10591" t="s">
        <v>3854</v>
      </c>
      <c r="J10591" t="s">
        <v>14</v>
      </c>
      <c r="K10591" t="str">
        <f>"4F4"</f>
        <v>4F4</v>
      </c>
      <c r="L10591" t="s">
        <v>15</v>
      </c>
    </row>
    <row r="10592" spans="1:12" x14ac:dyDescent="0.25">
      <c r="A10592" t="str">
        <f>"7758145758"</f>
        <v>7758145758</v>
      </c>
      <c r="B10592" t="str">
        <f t="shared" si="440"/>
        <v>89301000</v>
      </c>
      <c r="C10592" s="1">
        <v>44502</v>
      </c>
      <c r="D10592" s="1">
        <v>44504</v>
      </c>
      <c r="E10592">
        <v>1</v>
      </c>
      <c r="F10592" t="s">
        <v>593</v>
      </c>
      <c r="G10592" t="str">
        <f>"07-I10-06"</f>
        <v>07-I10-06</v>
      </c>
      <c r="H10592">
        <v>0.9728</v>
      </c>
      <c r="J10592" t="s">
        <v>17</v>
      </c>
      <c r="K10592" t="str">
        <f>"5F1"</f>
        <v>5F1</v>
      </c>
      <c r="L10592" t="s">
        <v>15</v>
      </c>
    </row>
    <row r="10593" spans="1:12" x14ac:dyDescent="0.25">
      <c r="A10593" t="str">
        <f>"7758175304"</f>
        <v>7758175304</v>
      </c>
      <c r="B10593" t="str">
        <f t="shared" si="440"/>
        <v>89301000</v>
      </c>
      <c r="C10593" s="1">
        <v>44451</v>
      </c>
      <c r="D10593" s="1">
        <v>44454</v>
      </c>
      <c r="E10593">
        <v>1</v>
      </c>
      <c r="F10593" t="s">
        <v>75</v>
      </c>
      <c r="G10593" t="str">
        <f>"14-M01-05"</f>
        <v>14-M01-05</v>
      </c>
      <c r="H10593">
        <v>0.54239999999999999</v>
      </c>
      <c r="J10593" t="s">
        <v>59</v>
      </c>
      <c r="K10593" t="str">
        <f>"6F3"</f>
        <v>6F3</v>
      </c>
      <c r="L10593" t="s">
        <v>15</v>
      </c>
    </row>
    <row r="10594" spans="1:12" x14ac:dyDescent="0.25">
      <c r="A10594" t="str">
        <f>"7758225761"</f>
        <v>7758225761</v>
      </c>
      <c r="B10594" t="str">
        <f t="shared" si="440"/>
        <v>89301000</v>
      </c>
      <c r="C10594" s="1">
        <v>44301</v>
      </c>
      <c r="D10594" s="1">
        <v>44303</v>
      </c>
      <c r="E10594">
        <v>1</v>
      </c>
      <c r="F10594" t="s">
        <v>4196</v>
      </c>
      <c r="G10594" t="str">
        <f>"08-M03-05"</f>
        <v>08-M03-05</v>
      </c>
      <c r="H10594">
        <v>0.51759999999999995</v>
      </c>
      <c r="I10594" t="s">
        <v>309</v>
      </c>
      <c r="J10594" t="s">
        <v>14</v>
      </c>
      <c r="K10594" t="str">
        <f>"6F6"</f>
        <v>6F6</v>
      </c>
      <c r="L10594" t="s">
        <v>15</v>
      </c>
    </row>
    <row r="10595" spans="1:12" x14ac:dyDescent="0.25">
      <c r="A10595" t="str">
        <f>"7758225761"</f>
        <v>7758225761</v>
      </c>
      <c r="B10595" t="str">
        <f t="shared" si="440"/>
        <v>89301000</v>
      </c>
      <c r="C10595" s="1">
        <v>44405</v>
      </c>
      <c r="D10595" s="1">
        <v>44421</v>
      </c>
      <c r="E10595">
        <v>1</v>
      </c>
      <c r="F10595" t="s">
        <v>109</v>
      </c>
      <c r="G10595" t="str">
        <f>"24-M07-02"</f>
        <v>24-M07-02</v>
      </c>
      <c r="H10595">
        <v>1.5094000000000001</v>
      </c>
      <c r="I10595" t="s">
        <v>7136</v>
      </c>
      <c r="J10595" t="s">
        <v>14</v>
      </c>
      <c r="K10595" t="str">
        <f>"2F1"</f>
        <v>2F1</v>
      </c>
      <c r="L10595" t="s">
        <v>15</v>
      </c>
    </row>
    <row r="10596" spans="1:12" x14ac:dyDescent="0.25">
      <c r="A10596" t="str">
        <f>"7758255769"</f>
        <v>7758255769</v>
      </c>
      <c r="B10596" t="str">
        <f t="shared" ref="B10596:B10659" si="441">"89301000"</f>
        <v>89301000</v>
      </c>
      <c r="C10596" s="1">
        <v>44350</v>
      </c>
      <c r="D10596" s="1">
        <v>44353</v>
      </c>
      <c r="E10596">
        <v>1</v>
      </c>
      <c r="F10596" t="s">
        <v>2527</v>
      </c>
      <c r="G10596" t="str">
        <f>"13-I14-03"</f>
        <v>13-I14-03</v>
      </c>
      <c r="H10596">
        <v>0.83199999999999996</v>
      </c>
      <c r="J10596" t="s">
        <v>24</v>
      </c>
      <c r="K10596" t="str">
        <f>"6F3"</f>
        <v>6F3</v>
      </c>
      <c r="L10596" t="s">
        <v>15</v>
      </c>
    </row>
    <row r="10597" spans="1:12" x14ac:dyDescent="0.25">
      <c r="A10597" t="str">
        <f>"7758315675"</f>
        <v>7758315675</v>
      </c>
      <c r="B10597" t="str">
        <f t="shared" si="441"/>
        <v>89301000</v>
      </c>
      <c r="C10597" s="1">
        <v>44473</v>
      </c>
      <c r="D10597" s="1">
        <v>44480</v>
      </c>
      <c r="E10597">
        <v>1</v>
      </c>
      <c r="F10597" t="s">
        <v>2495</v>
      </c>
      <c r="G10597" t="str">
        <f>"13-I11-03"</f>
        <v>13-I11-03</v>
      </c>
      <c r="H10597">
        <v>1.3809</v>
      </c>
      <c r="J10597" t="s">
        <v>24</v>
      </c>
      <c r="K10597" t="str">
        <f>"6F3"</f>
        <v>6F3</v>
      </c>
      <c r="L10597" t="s">
        <v>15</v>
      </c>
    </row>
    <row r="10598" spans="1:12" x14ac:dyDescent="0.25">
      <c r="A10598" t="str">
        <f>"7759013669"</f>
        <v>7759013669</v>
      </c>
      <c r="B10598" t="str">
        <f t="shared" si="441"/>
        <v>89301000</v>
      </c>
      <c r="C10598" s="1">
        <v>44290</v>
      </c>
      <c r="D10598" s="1">
        <v>44292</v>
      </c>
      <c r="E10598">
        <v>1</v>
      </c>
      <c r="F10598" t="s">
        <v>132</v>
      </c>
      <c r="G10598" t="str">
        <f>"03-K03-02"</f>
        <v>03-K03-02</v>
      </c>
      <c r="H10598">
        <v>0.49249999999999999</v>
      </c>
      <c r="J10598" t="s">
        <v>14</v>
      </c>
      <c r="K10598" t="str">
        <f>"6F5"</f>
        <v>6F5</v>
      </c>
      <c r="L10598" t="s">
        <v>15</v>
      </c>
    </row>
    <row r="10599" spans="1:12" x14ac:dyDescent="0.25">
      <c r="A10599" t="str">
        <f>"7759105332"</f>
        <v>7759105332</v>
      </c>
      <c r="B10599" t="str">
        <f t="shared" si="441"/>
        <v>89301000</v>
      </c>
      <c r="C10599" s="1">
        <v>44556</v>
      </c>
      <c r="D10599" s="1">
        <v>44560</v>
      </c>
      <c r="E10599">
        <v>1</v>
      </c>
      <c r="F10599" t="s">
        <v>866</v>
      </c>
      <c r="G10599" t="str">
        <f>"08-I13-06"</f>
        <v>08-I13-06</v>
      </c>
      <c r="H10599">
        <v>2.0099</v>
      </c>
      <c r="I10599" t="s">
        <v>381</v>
      </c>
      <c r="J10599" t="s">
        <v>17</v>
      </c>
      <c r="K10599" t="str">
        <f>"5F3"</f>
        <v>5F3</v>
      </c>
      <c r="L10599" t="s">
        <v>15</v>
      </c>
    </row>
    <row r="10600" spans="1:12" x14ac:dyDescent="0.25">
      <c r="A10600" t="str">
        <f>"7759124494"</f>
        <v>7759124494</v>
      </c>
      <c r="B10600" t="str">
        <f t="shared" si="441"/>
        <v>89301000</v>
      </c>
      <c r="C10600" s="1">
        <v>44445</v>
      </c>
      <c r="D10600" s="1">
        <v>44449</v>
      </c>
      <c r="E10600">
        <v>1</v>
      </c>
      <c r="F10600" t="s">
        <v>81</v>
      </c>
      <c r="G10600" t="str">
        <f>"10-I13-02"</f>
        <v>10-I13-02</v>
      </c>
      <c r="H10600">
        <v>1.1751</v>
      </c>
      <c r="I10600" t="s">
        <v>241</v>
      </c>
      <c r="J10600" t="s">
        <v>24</v>
      </c>
      <c r="K10600" t="str">
        <f>"7F1"</f>
        <v>7F1</v>
      </c>
      <c r="L10600" t="s">
        <v>15</v>
      </c>
    </row>
    <row r="10601" spans="1:12" x14ac:dyDescent="0.25">
      <c r="A10601" t="str">
        <f>"7760024470"</f>
        <v>7760024470</v>
      </c>
      <c r="B10601" t="str">
        <f t="shared" si="441"/>
        <v>89301000</v>
      </c>
      <c r="C10601" s="1">
        <v>44346</v>
      </c>
      <c r="D10601" s="1">
        <v>44352</v>
      </c>
      <c r="E10601">
        <v>1</v>
      </c>
      <c r="F10601" t="s">
        <v>313</v>
      </c>
      <c r="G10601" t="str">
        <f>"03-I16-02"</f>
        <v>03-I16-02</v>
      </c>
      <c r="H10601">
        <v>0.89539999999999997</v>
      </c>
      <c r="I10601" t="s">
        <v>7137</v>
      </c>
      <c r="J10601" t="s">
        <v>24</v>
      </c>
      <c r="K10601" t="str">
        <f>"7F1"</f>
        <v>7F1</v>
      </c>
      <c r="L10601" t="s">
        <v>15</v>
      </c>
    </row>
    <row r="10602" spans="1:12" x14ac:dyDescent="0.25">
      <c r="A10602" t="str">
        <f>"7760065302"</f>
        <v>7760065302</v>
      </c>
      <c r="B10602" t="str">
        <f t="shared" si="441"/>
        <v>89301000</v>
      </c>
      <c r="C10602" s="1">
        <v>44473</v>
      </c>
      <c r="D10602" s="1">
        <v>44477</v>
      </c>
      <c r="E10602">
        <v>1</v>
      </c>
      <c r="F10602" t="s">
        <v>109</v>
      </c>
      <c r="G10602" t="str">
        <f>"24-M05-02"</f>
        <v>24-M05-02</v>
      </c>
      <c r="H10602">
        <v>0.58960000000000001</v>
      </c>
      <c r="I10602" t="s">
        <v>7138</v>
      </c>
      <c r="J10602" t="s">
        <v>14</v>
      </c>
      <c r="K10602" t="str">
        <f>"2F1"</f>
        <v>2F1</v>
      </c>
      <c r="L10602" t="s">
        <v>15</v>
      </c>
    </row>
    <row r="10603" spans="1:12" x14ac:dyDescent="0.25">
      <c r="A10603" t="str">
        <f>"7760095805"</f>
        <v>7760095805</v>
      </c>
      <c r="B10603" t="str">
        <f t="shared" si="441"/>
        <v>89301000</v>
      </c>
      <c r="C10603" s="1">
        <v>44515</v>
      </c>
      <c r="D10603" s="1">
        <v>44517</v>
      </c>
      <c r="E10603">
        <v>1</v>
      </c>
      <c r="F10603" t="s">
        <v>4346</v>
      </c>
      <c r="G10603" t="str">
        <f>"04-K07-03"</f>
        <v>04-K07-03</v>
      </c>
      <c r="H10603">
        <v>0.67010000000000003</v>
      </c>
      <c r="I10603" t="s">
        <v>145</v>
      </c>
      <c r="J10603" t="s">
        <v>14</v>
      </c>
      <c r="K10603" t="str">
        <f>"2F5"</f>
        <v>2F5</v>
      </c>
      <c r="L10603" t="s">
        <v>15</v>
      </c>
    </row>
    <row r="10604" spans="1:12" x14ac:dyDescent="0.25">
      <c r="A10604" t="str">
        <f>"7760145569"</f>
        <v>7760145569</v>
      </c>
      <c r="B10604" t="str">
        <f t="shared" si="441"/>
        <v>89301000</v>
      </c>
      <c r="C10604" s="1">
        <v>44248</v>
      </c>
      <c r="D10604" s="1">
        <v>44258</v>
      </c>
      <c r="E10604">
        <v>1</v>
      </c>
      <c r="F10604" t="s">
        <v>500</v>
      </c>
      <c r="G10604" t="str">
        <f>"06-I07-05"</f>
        <v>06-I07-05</v>
      </c>
      <c r="H10604">
        <v>2.8466999999999998</v>
      </c>
      <c r="J10604" t="s">
        <v>17</v>
      </c>
      <c r="K10604" t="str">
        <f>"5F1"</f>
        <v>5F1</v>
      </c>
      <c r="L10604" t="s">
        <v>15</v>
      </c>
    </row>
    <row r="10605" spans="1:12" x14ac:dyDescent="0.25">
      <c r="A10605" t="str">
        <f>"7760145569"</f>
        <v>7760145569</v>
      </c>
      <c r="B10605" t="str">
        <f t="shared" si="441"/>
        <v>89301000</v>
      </c>
      <c r="C10605" s="1">
        <v>44322</v>
      </c>
      <c r="D10605" s="1">
        <v>44341</v>
      </c>
      <c r="E10605">
        <v>1</v>
      </c>
      <c r="F10605" t="s">
        <v>2648</v>
      </c>
      <c r="G10605" t="str">
        <f>"06-I12-03"</f>
        <v>06-I12-03</v>
      </c>
      <c r="H10605">
        <v>2.2193000000000001</v>
      </c>
      <c r="I10605" t="s">
        <v>7139</v>
      </c>
      <c r="J10605" t="s">
        <v>14</v>
      </c>
      <c r="K10605" t="str">
        <f>"5F1"</f>
        <v>5F1</v>
      </c>
      <c r="L10605" t="s">
        <v>15</v>
      </c>
    </row>
    <row r="10606" spans="1:12" x14ac:dyDescent="0.25">
      <c r="A10606" t="str">
        <f>"7760154468"</f>
        <v>7760154468</v>
      </c>
      <c r="B10606" t="str">
        <f t="shared" si="441"/>
        <v>89301000</v>
      </c>
      <c r="C10606" s="1">
        <v>44203</v>
      </c>
      <c r="D10606" s="1">
        <v>44206</v>
      </c>
      <c r="E10606">
        <v>1</v>
      </c>
      <c r="F10606" t="s">
        <v>6609</v>
      </c>
      <c r="G10606" t="str">
        <f>"09-I07-02"</f>
        <v>09-I07-02</v>
      </c>
      <c r="H10606">
        <v>1.4237</v>
      </c>
      <c r="I10606" t="s">
        <v>413</v>
      </c>
      <c r="J10606" t="s">
        <v>24</v>
      </c>
      <c r="K10606" t="str">
        <f>"6F1"</f>
        <v>6F1</v>
      </c>
      <c r="L10606" t="s">
        <v>15</v>
      </c>
    </row>
    <row r="10607" spans="1:12" x14ac:dyDescent="0.25">
      <c r="A10607" t="str">
        <f>"7760163741"</f>
        <v>7760163741</v>
      </c>
      <c r="B10607" t="str">
        <f t="shared" si="441"/>
        <v>89301000</v>
      </c>
      <c r="C10607" s="1">
        <v>44377</v>
      </c>
      <c r="D10607" s="1">
        <v>44378</v>
      </c>
      <c r="E10607">
        <v>1</v>
      </c>
      <c r="F10607" t="s">
        <v>41</v>
      </c>
      <c r="G10607" t="str">
        <f>"01-D01-03"</f>
        <v>01-D01-03</v>
      </c>
      <c r="H10607">
        <v>0.158</v>
      </c>
      <c r="J10607" t="s">
        <v>14</v>
      </c>
      <c r="K10607" t="str">
        <f>"2F5"</f>
        <v>2F5</v>
      </c>
      <c r="L10607" t="s">
        <v>15</v>
      </c>
    </row>
    <row r="10608" spans="1:12" x14ac:dyDescent="0.25">
      <c r="A10608" t="str">
        <f>"7761095320"</f>
        <v>7761095320</v>
      </c>
      <c r="B10608" t="str">
        <f t="shared" si="441"/>
        <v>89301000</v>
      </c>
      <c r="C10608" s="1">
        <v>44486</v>
      </c>
      <c r="D10608" s="1">
        <v>44489</v>
      </c>
      <c r="E10608">
        <v>1</v>
      </c>
      <c r="F10608" t="s">
        <v>384</v>
      </c>
      <c r="G10608" t="str">
        <f>"17-I10-02"</f>
        <v>17-I10-02</v>
      </c>
      <c r="H10608">
        <v>0.92959999999999998</v>
      </c>
      <c r="J10608" t="s">
        <v>14</v>
      </c>
      <c r="K10608" t="str">
        <f>"5F1"</f>
        <v>5F1</v>
      </c>
      <c r="L10608" t="s">
        <v>15</v>
      </c>
    </row>
    <row r="10609" spans="1:12" x14ac:dyDescent="0.25">
      <c r="A10609" t="str">
        <f>"7761185355"</f>
        <v>7761185355</v>
      </c>
      <c r="B10609" t="str">
        <f t="shared" si="441"/>
        <v>89301000</v>
      </c>
      <c r="C10609" s="1">
        <v>44223</v>
      </c>
      <c r="D10609" s="1">
        <v>44228</v>
      </c>
      <c r="E10609">
        <v>1</v>
      </c>
      <c r="F10609" t="s">
        <v>114</v>
      </c>
      <c r="G10609" t="str">
        <f>"03-I17-00"</f>
        <v>03-I17-00</v>
      </c>
      <c r="H10609">
        <v>0.84960000000000002</v>
      </c>
      <c r="I10609" t="s">
        <v>767</v>
      </c>
      <c r="J10609" t="s">
        <v>24</v>
      </c>
      <c r="K10609" t="str">
        <f>"7F1"</f>
        <v>7F1</v>
      </c>
      <c r="L10609" t="s">
        <v>15</v>
      </c>
    </row>
    <row r="10610" spans="1:12" x14ac:dyDescent="0.25">
      <c r="A10610" t="str">
        <f>"7761185355"</f>
        <v>7761185355</v>
      </c>
      <c r="B10610" t="str">
        <f t="shared" si="441"/>
        <v>89301000</v>
      </c>
      <c r="C10610" s="1">
        <v>44364</v>
      </c>
      <c r="D10610" s="1">
        <v>44365</v>
      </c>
      <c r="E10610">
        <v>1</v>
      </c>
      <c r="F10610" t="s">
        <v>194</v>
      </c>
      <c r="G10610" t="str">
        <f>"01-K07-03"</f>
        <v>01-K07-03</v>
      </c>
      <c r="H10610">
        <v>0.4642</v>
      </c>
      <c r="I10610" t="s">
        <v>348</v>
      </c>
      <c r="J10610" t="s">
        <v>14</v>
      </c>
      <c r="K10610" t="str">
        <f>"2F9"</f>
        <v>2F9</v>
      </c>
      <c r="L10610" t="s">
        <v>15</v>
      </c>
    </row>
    <row r="10611" spans="1:12" x14ac:dyDescent="0.25">
      <c r="A10611" t="str">
        <f>"7761262190"</f>
        <v>7761262190</v>
      </c>
      <c r="B10611" t="str">
        <f t="shared" si="441"/>
        <v>89301000</v>
      </c>
      <c r="C10611" s="1">
        <v>44363</v>
      </c>
      <c r="D10611" s="1">
        <v>44367</v>
      </c>
      <c r="E10611">
        <v>1</v>
      </c>
      <c r="F10611" t="s">
        <v>6312</v>
      </c>
      <c r="G10611" t="str">
        <f>"13-I16-00"</f>
        <v>13-I16-00</v>
      </c>
      <c r="H10611">
        <v>1.0256000000000001</v>
      </c>
      <c r="J10611" t="s">
        <v>17</v>
      </c>
      <c r="K10611" t="str">
        <f>"6F3"</f>
        <v>6F3</v>
      </c>
      <c r="L10611" t="s">
        <v>15</v>
      </c>
    </row>
    <row r="10612" spans="1:12" x14ac:dyDescent="0.25">
      <c r="A10612" t="str">
        <f>"7762015349"</f>
        <v>7762015349</v>
      </c>
      <c r="B10612" t="str">
        <f t="shared" si="441"/>
        <v>89301000</v>
      </c>
      <c r="C10612" s="1">
        <v>44530</v>
      </c>
      <c r="D10612" s="1">
        <v>44536</v>
      </c>
      <c r="E10612">
        <v>1</v>
      </c>
      <c r="F10612" t="s">
        <v>5176</v>
      </c>
      <c r="G10612" t="str">
        <f>"19-K03-03"</f>
        <v>19-K03-03</v>
      </c>
      <c r="H10612">
        <v>0.93169999999999997</v>
      </c>
      <c r="I10612" t="s">
        <v>130</v>
      </c>
      <c r="J10612" t="s">
        <v>27</v>
      </c>
      <c r="K10612" t="str">
        <f>"3F5"</f>
        <v>3F5</v>
      </c>
      <c r="L10612" t="s">
        <v>15</v>
      </c>
    </row>
    <row r="10613" spans="1:12" x14ac:dyDescent="0.25">
      <c r="A10613" t="str">
        <f>"7762015349"</f>
        <v>7762015349</v>
      </c>
      <c r="B10613" t="str">
        <f t="shared" si="441"/>
        <v>89301000</v>
      </c>
      <c r="C10613" s="1">
        <v>44447</v>
      </c>
      <c r="D10613" s="1">
        <v>44455</v>
      </c>
      <c r="E10613">
        <v>1</v>
      </c>
      <c r="F10613" t="s">
        <v>6584</v>
      </c>
      <c r="G10613" t="str">
        <f>"19-K03-03"</f>
        <v>19-K03-03</v>
      </c>
      <c r="H10613">
        <v>0.93169999999999997</v>
      </c>
      <c r="I10613" t="s">
        <v>130</v>
      </c>
      <c r="J10613" t="s">
        <v>27</v>
      </c>
      <c r="K10613" t="str">
        <f>"3F5"</f>
        <v>3F5</v>
      </c>
      <c r="L10613" t="s">
        <v>15</v>
      </c>
    </row>
    <row r="10614" spans="1:12" x14ac:dyDescent="0.25">
      <c r="A10614" t="str">
        <f>"7762015349"</f>
        <v>7762015349</v>
      </c>
      <c r="B10614" t="str">
        <f t="shared" si="441"/>
        <v>89301000</v>
      </c>
      <c r="C10614" s="1">
        <v>44300</v>
      </c>
      <c r="D10614" s="1">
        <v>44308</v>
      </c>
      <c r="E10614">
        <v>1</v>
      </c>
      <c r="F10614" t="s">
        <v>7012</v>
      </c>
      <c r="G10614" t="str">
        <f>"19-K03-03"</f>
        <v>19-K03-03</v>
      </c>
      <c r="H10614">
        <v>0.93169999999999997</v>
      </c>
      <c r="I10614" t="s">
        <v>7140</v>
      </c>
      <c r="J10614" t="s">
        <v>27</v>
      </c>
      <c r="K10614" t="str">
        <f>"3F5"</f>
        <v>3F5</v>
      </c>
      <c r="L10614" t="s">
        <v>15</v>
      </c>
    </row>
    <row r="10615" spans="1:12" x14ac:dyDescent="0.25">
      <c r="A10615" t="str">
        <f>"7762035314"</f>
        <v>7762035314</v>
      </c>
      <c r="B10615" t="str">
        <f t="shared" si="441"/>
        <v>89301000</v>
      </c>
      <c r="C10615" s="1">
        <v>44173</v>
      </c>
      <c r="D10615" s="1">
        <v>44203</v>
      </c>
      <c r="E10615">
        <v>1</v>
      </c>
      <c r="F10615" t="s">
        <v>3488</v>
      </c>
      <c r="G10615" t="str">
        <f>"19-K05-02"</f>
        <v>19-K05-02</v>
      </c>
      <c r="H10615">
        <v>1.8835999999999999</v>
      </c>
      <c r="I10615" t="s">
        <v>7141</v>
      </c>
      <c r="J10615" t="s">
        <v>27</v>
      </c>
      <c r="K10615" t="str">
        <f>"3F5"</f>
        <v>3F5</v>
      </c>
      <c r="L10615" t="s">
        <v>15</v>
      </c>
    </row>
    <row r="10616" spans="1:12" x14ac:dyDescent="0.25">
      <c r="A10616" t="str">
        <f>"7762045236"</f>
        <v>7762045236</v>
      </c>
      <c r="B10616" t="str">
        <f t="shared" si="441"/>
        <v>89301000</v>
      </c>
      <c r="C10616" s="1">
        <v>44332</v>
      </c>
      <c r="D10616" s="1">
        <v>44335</v>
      </c>
      <c r="E10616">
        <v>1</v>
      </c>
      <c r="F10616" t="s">
        <v>6312</v>
      </c>
      <c r="G10616" t="str">
        <f>"13-I16-00"</f>
        <v>13-I16-00</v>
      </c>
      <c r="H10616">
        <v>1.0256000000000001</v>
      </c>
      <c r="J10616" t="s">
        <v>17</v>
      </c>
      <c r="K10616" t="str">
        <f>"6F3"</f>
        <v>6F3</v>
      </c>
      <c r="L10616" t="s">
        <v>15</v>
      </c>
    </row>
    <row r="10617" spans="1:12" x14ac:dyDescent="0.25">
      <c r="A10617" t="str">
        <f>"7762065333"</f>
        <v>7762065333</v>
      </c>
      <c r="B10617" t="str">
        <f t="shared" si="441"/>
        <v>89301000</v>
      </c>
      <c r="C10617" s="1">
        <v>44475</v>
      </c>
      <c r="D10617" s="1">
        <v>44480</v>
      </c>
      <c r="E10617">
        <v>1</v>
      </c>
      <c r="F10617" t="s">
        <v>7142</v>
      </c>
      <c r="G10617" t="str">
        <f>"13-I11-03"</f>
        <v>13-I11-03</v>
      </c>
      <c r="H10617">
        <v>1.3809</v>
      </c>
      <c r="J10617" t="s">
        <v>24</v>
      </c>
      <c r="K10617" t="str">
        <f>"6F3"</f>
        <v>6F3</v>
      </c>
      <c r="L10617" t="s">
        <v>15</v>
      </c>
    </row>
    <row r="10618" spans="1:12" x14ac:dyDescent="0.25">
      <c r="A10618" t="str">
        <f>"7762105318"</f>
        <v>7762105318</v>
      </c>
      <c r="B10618" t="str">
        <f t="shared" si="441"/>
        <v>89301000</v>
      </c>
      <c r="C10618" s="1">
        <v>44476</v>
      </c>
      <c r="D10618" s="1">
        <v>44477</v>
      </c>
      <c r="E10618">
        <v>1</v>
      </c>
      <c r="F10618" t="s">
        <v>2457</v>
      </c>
      <c r="G10618" t="str">
        <f>"05-D01-08"</f>
        <v>05-D01-08</v>
      </c>
      <c r="H10618">
        <v>0.4093</v>
      </c>
      <c r="I10618" t="s">
        <v>937</v>
      </c>
      <c r="J10618" t="s">
        <v>14</v>
      </c>
      <c r="K10618" t="str">
        <f>"1F7"</f>
        <v>1F7</v>
      </c>
      <c r="L10618" t="s">
        <v>15</v>
      </c>
    </row>
    <row r="10619" spans="1:12" x14ac:dyDescent="0.25">
      <c r="A10619" t="str">
        <f>"7762115691"</f>
        <v>7762115691</v>
      </c>
      <c r="B10619" t="str">
        <f t="shared" si="441"/>
        <v>89301000</v>
      </c>
      <c r="C10619" s="1">
        <v>44559</v>
      </c>
      <c r="D10619" s="1">
        <v>44560</v>
      </c>
      <c r="E10619">
        <v>5</v>
      </c>
      <c r="F10619" t="s">
        <v>38</v>
      </c>
      <c r="G10619" t="str">
        <f>"05-M06-06"</f>
        <v>05-M06-06</v>
      </c>
      <c r="H10619">
        <v>1.7652000000000001</v>
      </c>
      <c r="J10619" t="s">
        <v>17</v>
      </c>
      <c r="K10619" t="str">
        <f>"1T1"</f>
        <v>1T1</v>
      </c>
      <c r="L10619" t="s">
        <v>15</v>
      </c>
    </row>
    <row r="10620" spans="1:12" x14ac:dyDescent="0.25">
      <c r="A10620" t="str">
        <f>"7762135755"</f>
        <v>7762135755</v>
      </c>
      <c r="B10620" t="str">
        <f t="shared" si="441"/>
        <v>89301000</v>
      </c>
      <c r="C10620" s="1">
        <v>44505</v>
      </c>
      <c r="D10620" s="1">
        <v>44511</v>
      </c>
      <c r="E10620">
        <v>1</v>
      </c>
      <c r="F10620" t="s">
        <v>575</v>
      </c>
      <c r="G10620" t="str">
        <f>"18-K02-03"</f>
        <v>18-K02-03</v>
      </c>
      <c r="H10620">
        <v>0.87570000000000003</v>
      </c>
      <c r="I10620" t="s">
        <v>3058</v>
      </c>
      <c r="J10620" t="s">
        <v>14</v>
      </c>
      <c r="K10620" t="str">
        <f>"6F3"</f>
        <v>6F3</v>
      </c>
      <c r="L10620" t="s">
        <v>15</v>
      </c>
    </row>
    <row r="10621" spans="1:12" x14ac:dyDescent="0.25">
      <c r="A10621" t="str">
        <f>"7762135755"</f>
        <v>7762135755</v>
      </c>
      <c r="B10621" t="str">
        <f t="shared" si="441"/>
        <v>89301000</v>
      </c>
      <c r="C10621" s="1">
        <v>44490</v>
      </c>
      <c r="D10621" s="1">
        <v>44496</v>
      </c>
      <c r="E10621">
        <v>1</v>
      </c>
      <c r="F10621" t="s">
        <v>2495</v>
      </c>
      <c r="G10621" t="str">
        <f>"13-I11-03"</f>
        <v>13-I11-03</v>
      </c>
      <c r="H10621">
        <v>1.3809</v>
      </c>
      <c r="J10621" t="s">
        <v>24</v>
      </c>
      <c r="K10621" t="str">
        <f>"6F3"</f>
        <v>6F3</v>
      </c>
      <c r="L10621" t="s">
        <v>15</v>
      </c>
    </row>
    <row r="10622" spans="1:12" x14ac:dyDescent="0.25">
      <c r="A10622" t="str">
        <f>"7762165774"</f>
        <v>7762165774</v>
      </c>
      <c r="B10622" t="str">
        <f t="shared" si="441"/>
        <v>89301000</v>
      </c>
      <c r="C10622" s="1">
        <v>44498</v>
      </c>
      <c r="D10622" s="1">
        <v>44499</v>
      </c>
      <c r="E10622">
        <v>1</v>
      </c>
      <c r="F10622" t="s">
        <v>467</v>
      </c>
      <c r="G10622" t="str">
        <f>"06-K22-03"</f>
        <v>06-K22-03</v>
      </c>
      <c r="H10622">
        <v>0.3165</v>
      </c>
      <c r="I10622" t="s">
        <v>7143</v>
      </c>
      <c r="J10622" t="s">
        <v>14</v>
      </c>
      <c r="K10622" t="str">
        <f>"1F5"</f>
        <v>1F5</v>
      </c>
      <c r="L10622" t="s">
        <v>15</v>
      </c>
    </row>
    <row r="10623" spans="1:12" x14ac:dyDescent="0.25">
      <c r="A10623" t="str">
        <f>"7762179931"</f>
        <v>7762179931</v>
      </c>
      <c r="B10623" t="str">
        <f t="shared" si="441"/>
        <v>89301000</v>
      </c>
      <c r="C10623" s="1">
        <v>44390</v>
      </c>
      <c r="D10623" s="1">
        <v>44421</v>
      </c>
      <c r="E10623">
        <v>1</v>
      </c>
      <c r="F10623" t="s">
        <v>77</v>
      </c>
      <c r="G10623" t="str">
        <f>"19-K06-02"</f>
        <v>19-K06-02</v>
      </c>
      <c r="H10623">
        <v>2.4085000000000001</v>
      </c>
      <c r="I10623" t="s">
        <v>937</v>
      </c>
      <c r="J10623" t="s">
        <v>27</v>
      </c>
      <c r="K10623" t="str">
        <f>"3F5"</f>
        <v>3F5</v>
      </c>
      <c r="L10623" t="s">
        <v>15</v>
      </c>
    </row>
    <row r="10624" spans="1:12" x14ac:dyDescent="0.25">
      <c r="A10624" t="str">
        <f>"7762205319"</f>
        <v>7762205319</v>
      </c>
      <c r="B10624" t="str">
        <f t="shared" si="441"/>
        <v>89301000</v>
      </c>
      <c r="C10624" s="1">
        <v>44501</v>
      </c>
      <c r="D10624" s="1">
        <v>44508</v>
      </c>
      <c r="E10624">
        <v>1</v>
      </c>
      <c r="F10624" t="s">
        <v>3462</v>
      </c>
      <c r="G10624" t="str">
        <f>"06-I17-02"</f>
        <v>06-I17-02</v>
      </c>
      <c r="H10624">
        <v>0.97919999999999996</v>
      </c>
      <c r="I10624" t="s">
        <v>793</v>
      </c>
      <c r="J10624" t="s">
        <v>17</v>
      </c>
      <c r="K10624" t="str">
        <f>"5F1"</f>
        <v>5F1</v>
      </c>
      <c r="L10624" t="s">
        <v>15</v>
      </c>
    </row>
    <row r="10625" spans="1:12" x14ac:dyDescent="0.25">
      <c r="A10625" t="str">
        <f>"7762205759"</f>
        <v>7762205759</v>
      </c>
      <c r="B10625" t="str">
        <f t="shared" si="441"/>
        <v>89301000</v>
      </c>
      <c r="C10625" s="1">
        <v>44342</v>
      </c>
      <c r="D10625" s="1">
        <v>44364</v>
      </c>
      <c r="E10625">
        <v>4</v>
      </c>
      <c r="F10625" t="s">
        <v>78</v>
      </c>
      <c r="G10625" t="str">
        <f>"19-K06-02"</f>
        <v>19-K06-02</v>
      </c>
      <c r="H10625">
        <v>2.4085000000000001</v>
      </c>
      <c r="I10625" t="s">
        <v>7144</v>
      </c>
      <c r="J10625" t="s">
        <v>27</v>
      </c>
      <c r="K10625" t="str">
        <f>"3F5"</f>
        <v>3F5</v>
      </c>
      <c r="L10625" t="s">
        <v>15</v>
      </c>
    </row>
    <row r="10626" spans="1:12" x14ac:dyDescent="0.25">
      <c r="A10626" t="str">
        <f>"7762255303"</f>
        <v>7762255303</v>
      </c>
      <c r="B10626" t="str">
        <f t="shared" si="441"/>
        <v>89301000</v>
      </c>
      <c r="C10626" s="1">
        <v>44535</v>
      </c>
      <c r="D10626" s="1">
        <v>44540</v>
      </c>
      <c r="E10626">
        <v>1</v>
      </c>
      <c r="F10626" t="s">
        <v>2495</v>
      </c>
      <c r="G10626" t="str">
        <f>"13-I11-03"</f>
        <v>13-I11-03</v>
      </c>
      <c r="H10626">
        <v>1.3809</v>
      </c>
      <c r="J10626" t="s">
        <v>24</v>
      </c>
      <c r="K10626" t="str">
        <f>"6F3"</f>
        <v>6F3</v>
      </c>
      <c r="L10626" t="s">
        <v>15</v>
      </c>
    </row>
    <row r="10627" spans="1:12" x14ac:dyDescent="0.25">
      <c r="A10627" t="str">
        <f>"7762285344"</f>
        <v>7762285344</v>
      </c>
      <c r="B10627" t="str">
        <f t="shared" si="441"/>
        <v>89301000</v>
      </c>
      <c r="C10627" s="1">
        <v>44423</v>
      </c>
      <c r="D10627" s="1">
        <v>44427</v>
      </c>
      <c r="E10627">
        <v>1</v>
      </c>
      <c r="F10627" t="s">
        <v>4541</v>
      </c>
      <c r="G10627" t="str">
        <f>"03-K04-01"</f>
        <v>03-K04-01</v>
      </c>
      <c r="H10627">
        <v>0.46660000000000001</v>
      </c>
      <c r="I10627" t="s">
        <v>1132</v>
      </c>
      <c r="J10627" t="s">
        <v>14</v>
      </c>
      <c r="K10627" t="str">
        <f>"7F1"</f>
        <v>7F1</v>
      </c>
      <c r="L10627" t="s">
        <v>15</v>
      </c>
    </row>
    <row r="10628" spans="1:12" x14ac:dyDescent="0.25">
      <c r="A10628" t="str">
        <f>"7801044482"</f>
        <v>7801044482</v>
      </c>
      <c r="B10628" t="str">
        <f t="shared" si="441"/>
        <v>89301000</v>
      </c>
      <c r="C10628" s="1">
        <v>44358</v>
      </c>
      <c r="D10628" s="1">
        <v>44360</v>
      </c>
      <c r="E10628">
        <v>1</v>
      </c>
      <c r="F10628" t="s">
        <v>260</v>
      </c>
      <c r="G10628" t="str">
        <f>"03-K06-01"</f>
        <v>03-K06-01</v>
      </c>
      <c r="H10628">
        <v>0.4718</v>
      </c>
      <c r="I10628" t="s">
        <v>261</v>
      </c>
      <c r="J10628" t="s">
        <v>14</v>
      </c>
      <c r="K10628" t="str">
        <f>"7F1"</f>
        <v>7F1</v>
      </c>
      <c r="L10628" t="s">
        <v>15</v>
      </c>
    </row>
    <row r="10629" spans="1:12" x14ac:dyDescent="0.25">
      <c r="A10629" t="str">
        <f>"7801075315"</f>
        <v>7801075315</v>
      </c>
      <c r="B10629" t="str">
        <f t="shared" si="441"/>
        <v>89301000</v>
      </c>
      <c r="C10629" s="1">
        <v>44306</v>
      </c>
      <c r="D10629" s="1">
        <v>44308</v>
      </c>
      <c r="E10629">
        <v>1</v>
      </c>
      <c r="F10629" t="s">
        <v>1553</v>
      </c>
      <c r="G10629" t="str">
        <f>"04-K05-03"</f>
        <v>04-K05-03</v>
      </c>
      <c r="H10629">
        <v>0.74980000000000002</v>
      </c>
      <c r="J10629" t="s">
        <v>14</v>
      </c>
      <c r="K10629" t="str">
        <f>"1F1"</f>
        <v>1F1</v>
      </c>
      <c r="L10629" t="s">
        <v>15</v>
      </c>
    </row>
    <row r="10630" spans="1:12" x14ac:dyDescent="0.25">
      <c r="A10630" t="str">
        <f>"7801124463"</f>
        <v>7801124463</v>
      </c>
      <c r="B10630" t="str">
        <f t="shared" si="441"/>
        <v>89301000</v>
      </c>
      <c r="C10630" s="1">
        <v>44222</v>
      </c>
      <c r="D10630" s="1">
        <v>44228</v>
      </c>
      <c r="E10630">
        <v>1</v>
      </c>
      <c r="F10630" t="s">
        <v>23</v>
      </c>
      <c r="G10630" t="str">
        <f>"06-I07-06"</f>
        <v>06-I07-06</v>
      </c>
      <c r="H10630">
        <v>2.3988</v>
      </c>
      <c r="I10630" t="s">
        <v>168</v>
      </c>
      <c r="J10630" t="s">
        <v>17</v>
      </c>
      <c r="K10630" t="str">
        <f>"5F1"</f>
        <v>5F1</v>
      </c>
      <c r="L10630" t="s">
        <v>15</v>
      </c>
    </row>
    <row r="10631" spans="1:12" x14ac:dyDescent="0.25">
      <c r="A10631" t="str">
        <f>"7801135309"</f>
        <v>7801135309</v>
      </c>
      <c r="B10631" t="str">
        <f t="shared" si="441"/>
        <v>89301000</v>
      </c>
      <c r="C10631" s="1">
        <v>44260</v>
      </c>
      <c r="D10631" s="1">
        <v>44261</v>
      </c>
      <c r="E10631">
        <v>1</v>
      </c>
      <c r="F10631" t="s">
        <v>3799</v>
      </c>
      <c r="G10631" t="str">
        <f>"11-M02-07"</f>
        <v>11-M02-07</v>
      </c>
      <c r="H10631">
        <v>0.68069999999999997</v>
      </c>
      <c r="I10631" t="s">
        <v>7145</v>
      </c>
      <c r="J10631" t="s">
        <v>14</v>
      </c>
      <c r="K10631" t="str">
        <f>"1F1"</f>
        <v>1F1</v>
      </c>
      <c r="L10631" t="s">
        <v>15</v>
      </c>
    </row>
    <row r="10632" spans="1:12" x14ac:dyDescent="0.25">
      <c r="A10632" t="str">
        <f>"7801245771"</f>
        <v>7801245771</v>
      </c>
      <c r="B10632" t="str">
        <f t="shared" si="441"/>
        <v>89301000</v>
      </c>
      <c r="C10632" s="1">
        <v>44209</v>
      </c>
      <c r="D10632" s="1">
        <v>44214</v>
      </c>
      <c r="E10632">
        <v>4</v>
      </c>
      <c r="F10632" t="s">
        <v>6373</v>
      </c>
      <c r="G10632" t="str">
        <f>"08-I22-01"</f>
        <v>08-I22-01</v>
      </c>
      <c r="H10632">
        <v>1.88</v>
      </c>
      <c r="I10632" t="s">
        <v>7146</v>
      </c>
      <c r="J10632" t="s">
        <v>17</v>
      </c>
      <c r="K10632" t="str">
        <f>"5F3"</f>
        <v>5F3</v>
      </c>
      <c r="L10632" t="s">
        <v>15</v>
      </c>
    </row>
    <row r="10633" spans="1:12" x14ac:dyDescent="0.25">
      <c r="A10633" t="str">
        <f>"7801264515"</f>
        <v>7801264515</v>
      </c>
      <c r="B10633" t="str">
        <f t="shared" si="441"/>
        <v>89301000</v>
      </c>
      <c r="C10633" s="1">
        <v>44459</v>
      </c>
      <c r="D10633" s="1">
        <v>44461</v>
      </c>
      <c r="E10633">
        <v>1</v>
      </c>
      <c r="F10633" t="s">
        <v>6634</v>
      </c>
      <c r="G10633" t="str">
        <f>"08-I16-04"</f>
        <v>08-I16-04</v>
      </c>
      <c r="H10633">
        <v>0.92159999999999997</v>
      </c>
      <c r="I10633" t="s">
        <v>381</v>
      </c>
      <c r="J10633" t="s">
        <v>17</v>
      </c>
      <c r="K10633" t="str">
        <f>"5F3"</f>
        <v>5F3</v>
      </c>
      <c r="L10633" t="s">
        <v>15</v>
      </c>
    </row>
    <row r="10634" spans="1:12" x14ac:dyDescent="0.25">
      <c r="A10634" t="str">
        <f>"7802075336"</f>
        <v>7802075336</v>
      </c>
      <c r="B10634" t="str">
        <f t="shared" si="441"/>
        <v>89301000</v>
      </c>
      <c r="C10634" s="1">
        <v>44526</v>
      </c>
      <c r="D10634" s="1">
        <v>44531</v>
      </c>
      <c r="E10634">
        <v>1</v>
      </c>
      <c r="F10634" t="s">
        <v>217</v>
      </c>
      <c r="G10634" t="str">
        <f>"04-K02-04"</f>
        <v>04-K02-04</v>
      </c>
      <c r="H10634">
        <v>0.82469999999999999</v>
      </c>
      <c r="I10634" t="s">
        <v>274</v>
      </c>
      <c r="J10634" t="s">
        <v>14</v>
      </c>
      <c r="K10634" t="str">
        <f>"1F1"</f>
        <v>1F1</v>
      </c>
      <c r="L10634" t="s">
        <v>15</v>
      </c>
    </row>
    <row r="10635" spans="1:12" x14ac:dyDescent="0.25">
      <c r="A10635" t="str">
        <f>"7802075347"</f>
        <v>7802075347</v>
      </c>
      <c r="B10635" t="str">
        <f t="shared" si="441"/>
        <v>89301000</v>
      </c>
      <c r="C10635" s="1">
        <v>44357</v>
      </c>
      <c r="D10635" s="1">
        <v>44361</v>
      </c>
      <c r="E10635">
        <v>1</v>
      </c>
      <c r="F10635" t="s">
        <v>475</v>
      </c>
      <c r="G10635" t="str">
        <f>"10-K04-04"</f>
        <v>10-K04-04</v>
      </c>
      <c r="H10635">
        <v>0.56330000000000002</v>
      </c>
      <c r="I10635" t="s">
        <v>303</v>
      </c>
      <c r="J10635" t="s">
        <v>14</v>
      </c>
      <c r="K10635" t="str">
        <f>"1F1"</f>
        <v>1F1</v>
      </c>
      <c r="L10635" t="s">
        <v>15</v>
      </c>
    </row>
    <row r="10636" spans="1:12" x14ac:dyDescent="0.25">
      <c r="A10636" t="str">
        <f>"7802144482"</f>
        <v>7802144482</v>
      </c>
      <c r="B10636" t="str">
        <f t="shared" si="441"/>
        <v>89301000</v>
      </c>
      <c r="C10636" s="1">
        <v>44418</v>
      </c>
      <c r="D10636" s="1">
        <v>44420</v>
      </c>
      <c r="E10636">
        <v>1</v>
      </c>
      <c r="F10636" t="s">
        <v>1766</v>
      </c>
      <c r="G10636" t="str">
        <f>"02-K07-02"</f>
        <v>02-K07-02</v>
      </c>
      <c r="H10636">
        <v>0.48699999999999999</v>
      </c>
      <c r="I10636" t="s">
        <v>489</v>
      </c>
      <c r="J10636" t="s">
        <v>14</v>
      </c>
      <c r="K10636" t="str">
        <f>"2F9"</f>
        <v>2F9</v>
      </c>
      <c r="L10636" t="s">
        <v>286</v>
      </c>
    </row>
    <row r="10637" spans="1:12" x14ac:dyDescent="0.25">
      <c r="A10637" t="str">
        <f>"7802145395"</f>
        <v>7802145395</v>
      </c>
      <c r="B10637" t="str">
        <f t="shared" si="441"/>
        <v>89301000</v>
      </c>
      <c r="C10637" s="1">
        <v>44319</v>
      </c>
      <c r="D10637" s="1">
        <v>44321</v>
      </c>
      <c r="E10637">
        <v>1</v>
      </c>
      <c r="F10637" t="s">
        <v>1606</v>
      </c>
      <c r="G10637" t="str">
        <f>"05-M05-02"</f>
        <v>05-M05-02</v>
      </c>
      <c r="H10637">
        <v>3.516</v>
      </c>
      <c r="I10637" t="s">
        <v>7147</v>
      </c>
      <c r="J10637" t="s">
        <v>24</v>
      </c>
      <c r="K10637" t="str">
        <f>"1F7"</f>
        <v>1F7</v>
      </c>
      <c r="L10637" t="s">
        <v>15</v>
      </c>
    </row>
    <row r="10638" spans="1:12" x14ac:dyDescent="0.25">
      <c r="A10638" t="str">
        <f>"7802244472"</f>
        <v>7802244472</v>
      </c>
      <c r="B10638" t="str">
        <f t="shared" si="441"/>
        <v>89301000</v>
      </c>
      <c r="C10638" s="1">
        <v>44488</v>
      </c>
      <c r="D10638" s="1">
        <v>44492</v>
      </c>
      <c r="E10638">
        <v>1</v>
      </c>
      <c r="F10638" t="s">
        <v>151</v>
      </c>
      <c r="G10638" t="str">
        <f>"06-I16-04"</f>
        <v>06-I16-04</v>
      </c>
      <c r="H10638">
        <v>0.67620000000000002</v>
      </c>
      <c r="J10638" t="s">
        <v>24</v>
      </c>
      <c r="K10638" t="str">
        <f>"5F1"</f>
        <v>5F1</v>
      </c>
      <c r="L10638" t="s">
        <v>15</v>
      </c>
    </row>
    <row r="10639" spans="1:12" x14ac:dyDescent="0.25">
      <c r="A10639" t="str">
        <f>"7802284248"</f>
        <v>7802284248</v>
      </c>
      <c r="B10639" t="str">
        <f t="shared" si="441"/>
        <v>89301000</v>
      </c>
      <c r="C10639" s="1">
        <v>44542</v>
      </c>
      <c r="D10639" s="1">
        <v>44547</v>
      </c>
      <c r="E10639">
        <v>5</v>
      </c>
      <c r="F10639" t="s">
        <v>1764</v>
      </c>
      <c r="G10639" t="str">
        <f>"01-K08-02"</f>
        <v>01-K08-02</v>
      </c>
      <c r="H10639">
        <v>3.2911999999999999</v>
      </c>
      <c r="I10639" t="s">
        <v>7148</v>
      </c>
      <c r="J10639" t="s">
        <v>14</v>
      </c>
      <c r="K10639" t="str">
        <f>"2T9"</f>
        <v>2T9</v>
      </c>
      <c r="L10639" t="s">
        <v>15</v>
      </c>
    </row>
    <row r="10640" spans="1:12" x14ac:dyDescent="0.25">
      <c r="A10640" t="str">
        <f>"7803035757"</f>
        <v>7803035757</v>
      </c>
      <c r="B10640" t="str">
        <f t="shared" si="441"/>
        <v>89301000</v>
      </c>
      <c r="C10640" s="1">
        <v>44333</v>
      </c>
      <c r="D10640" s="1">
        <v>44334</v>
      </c>
      <c r="E10640">
        <v>1</v>
      </c>
      <c r="F10640" t="s">
        <v>41</v>
      </c>
      <c r="G10640" t="str">
        <f>"01-D01-03"</f>
        <v>01-D01-03</v>
      </c>
      <c r="H10640">
        <v>0.158</v>
      </c>
      <c r="J10640" t="s">
        <v>14</v>
      </c>
      <c r="K10640" t="str">
        <f>"2F5"</f>
        <v>2F5</v>
      </c>
      <c r="L10640" t="s">
        <v>15</v>
      </c>
    </row>
    <row r="10641" spans="1:12" x14ac:dyDescent="0.25">
      <c r="A10641" t="str">
        <f>"7803035757"</f>
        <v>7803035757</v>
      </c>
      <c r="B10641" t="str">
        <f t="shared" si="441"/>
        <v>89301000</v>
      </c>
      <c r="C10641" s="1">
        <v>44407</v>
      </c>
      <c r="D10641" s="1">
        <v>44410</v>
      </c>
      <c r="E10641">
        <v>1</v>
      </c>
      <c r="F10641" t="s">
        <v>41</v>
      </c>
      <c r="G10641" t="str">
        <f>"01-D01-03"</f>
        <v>01-D01-03</v>
      </c>
      <c r="H10641">
        <v>0.2054</v>
      </c>
      <c r="J10641" t="s">
        <v>14</v>
      </c>
      <c r="K10641" t="str">
        <f>"2F5"</f>
        <v>2F5</v>
      </c>
      <c r="L10641" t="s">
        <v>15</v>
      </c>
    </row>
    <row r="10642" spans="1:12" x14ac:dyDescent="0.25">
      <c r="A10642" t="str">
        <f>"7803115683"</f>
        <v>7803115683</v>
      </c>
      <c r="B10642" t="str">
        <f t="shared" si="441"/>
        <v>89301000</v>
      </c>
      <c r="C10642" s="1">
        <v>44495</v>
      </c>
      <c r="D10642" s="1">
        <v>44496</v>
      </c>
      <c r="E10642">
        <v>1</v>
      </c>
      <c r="F10642" t="s">
        <v>41</v>
      </c>
      <c r="G10642" t="str">
        <f>"01-D01-03"</f>
        <v>01-D01-03</v>
      </c>
      <c r="H10642">
        <v>0.158</v>
      </c>
      <c r="I10642" t="s">
        <v>1892</v>
      </c>
      <c r="J10642" t="s">
        <v>14</v>
      </c>
      <c r="K10642" t="str">
        <f>"2F5"</f>
        <v>2F5</v>
      </c>
      <c r="L10642" t="s">
        <v>15</v>
      </c>
    </row>
    <row r="10643" spans="1:12" x14ac:dyDescent="0.25">
      <c r="A10643" t="str">
        <f>"7803134460"</f>
        <v>7803134460</v>
      </c>
      <c r="B10643" t="str">
        <f t="shared" si="441"/>
        <v>89301000</v>
      </c>
      <c r="C10643" s="1">
        <v>44263</v>
      </c>
      <c r="D10643" s="1">
        <v>44265</v>
      </c>
      <c r="E10643">
        <v>1</v>
      </c>
      <c r="F10643" t="s">
        <v>1557</v>
      </c>
      <c r="G10643" t="str">
        <f>"05-D01-08"</f>
        <v>05-D01-08</v>
      </c>
      <c r="H10643">
        <v>0.70130000000000003</v>
      </c>
      <c r="I10643" t="s">
        <v>489</v>
      </c>
      <c r="J10643" t="s">
        <v>14</v>
      </c>
      <c r="K10643" t="str">
        <f>"1F7"</f>
        <v>1F7</v>
      </c>
      <c r="L10643" t="s">
        <v>15</v>
      </c>
    </row>
    <row r="10644" spans="1:12" x14ac:dyDescent="0.25">
      <c r="A10644" t="str">
        <f>"7803134460"</f>
        <v>7803134460</v>
      </c>
      <c r="B10644" t="str">
        <f t="shared" si="441"/>
        <v>89301000</v>
      </c>
      <c r="C10644" s="1">
        <v>44209</v>
      </c>
      <c r="D10644" s="1">
        <v>44212</v>
      </c>
      <c r="E10644">
        <v>1</v>
      </c>
      <c r="F10644" t="s">
        <v>38</v>
      </c>
      <c r="G10644" t="str">
        <f>"05-M06-06"</f>
        <v>05-M06-06</v>
      </c>
      <c r="H10644">
        <v>1.7652000000000001</v>
      </c>
      <c r="I10644" t="s">
        <v>1959</v>
      </c>
      <c r="J10644" t="s">
        <v>17</v>
      </c>
      <c r="K10644" t="str">
        <f>"1F1"</f>
        <v>1F1</v>
      </c>
      <c r="L10644" t="s">
        <v>15</v>
      </c>
    </row>
    <row r="10645" spans="1:12" x14ac:dyDescent="0.25">
      <c r="A10645" t="str">
        <f>"7803135329"</f>
        <v>7803135329</v>
      </c>
      <c r="B10645" t="str">
        <f t="shared" si="441"/>
        <v>89301000</v>
      </c>
      <c r="C10645" s="1">
        <v>44490</v>
      </c>
      <c r="D10645" s="1">
        <v>44494</v>
      </c>
      <c r="E10645">
        <v>1</v>
      </c>
      <c r="F10645" t="s">
        <v>7149</v>
      </c>
      <c r="G10645" t="str">
        <f>"10-K04-04"</f>
        <v>10-K04-04</v>
      </c>
      <c r="H10645">
        <v>0.56330000000000002</v>
      </c>
      <c r="J10645" t="s">
        <v>14</v>
      </c>
      <c r="K10645" t="str">
        <f>"1F1"</f>
        <v>1F1</v>
      </c>
      <c r="L10645" t="s">
        <v>15</v>
      </c>
    </row>
    <row r="10646" spans="1:12" x14ac:dyDescent="0.25">
      <c r="A10646" t="str">
        <f>"7803155756"</f>
        <v>7803155756</v>
      </c>
      <c r="B10646" t="str">
        <f t="shared" si="441"/>
        <v>89301000</v>
      </c>
      <c r="C10646" s="1">
        <v>44417</v>
      </c>
      <c r="D10646" s="1">
        <v>44424</v>
      </c>
      <c r="E10646">
        <v>1</v>
      </c>
      <c r="F10646" t="s">
        <v>6734</v>
      </c>
      <c r="G10646" t="str">
        <f>"08-K08-00"</f>
        <v>08-K08-00</v>
      </c>
      <c r="H10646">
        <v>0.51670000000000005</v>
      </c>
      <c r="J10646" t="s">
        <v>14</v>
      </c>
      <c r="K10646" t="str">
        <f>"2F9"</f>
        <v>2F9</v>
      </c>
      <c r="L10646" t="s">
        <v>15</v>
      </c>
    </row>
    <row r="10647" spans="1:12" x14ac:dyDescent="0.25">
      <c r="A10647" t="str">
        <f>"7803224847"</f>
        <v>7803224847</v>
      </c>
      <c r="B10647" t="str">
        <f t="shared" si="441"/>
        <v>89301000</v>
      </c>
      <c r="C10647" s="1">
        <v>44319</v>
      </c>
      <c r="D10647" s="1">
        <v>44322</v>
      </c>
      <c r="E10647">
        <v>1</v>
      </c>
      <c r="F10647" t="s">
        <v>6366</v>
      </c>
      <c r="G10647" t="str">
        <f>"08-I26-02"</f>
        <v>08-I26-02</v>
      </c>
      <c r="H10647">
        <v>0.83399999999999996</v>
      </c>
      <c r="I10647" t="s">
        <v>7150</v>
      </c>
      <c r="J10647" t="s">
        <v>14</v>
      </c>
      <c r="K10647" t="str">
        <f>"6F6"</f>
        <v>6F6</v>
      </c>
      <c r="L10647" t="s">
        <v>15</v>
      </c>
    </row>
    <row r="10648" spans="1:12" x14ac:dyDescent="0.25">
      <c r="A10648" t="str">
        <f>"7804095805"</f>
        <v>7804095805</v>
      </c>
      <c r="B10648" t="str">
        <f t="shared" si="441"/>
        <v>89301000</v>
      </c>
      <c r="C10648" s="1">
        <v>44312</v>
      </c>
      <c r="D10648" s="1">
        <v>44316</v>
      </c>
      <c r="E10648">
        <v>1</v>
      </c>
      <c r="F10648" t="s">
        <v>1978</v>
      </c>
      <c r="G10648" t="str">
        <f>"02-K05-01"</f>
        <v>02-K05-01</v>
      </c>
      <c r="H10648">
        <v>0.67849999999999999</v>
      </c>
      <c r="I10648" t="s">
        <v>7151</v>
      </c>
      <c r="J10648" t="s">
        <v>14</v>
      </c>
      <c r="K10648" t="str">
        <f>"7F5"</f>
        <v>7F5</v>
      </c>
      <c r="L10648" t="s">
        <v>15</v>
      </c>
    </row>
    <row r="10649" spans="1:12" x14ac:dyDescent="0.25">
      <c r="A10649" t="str">
        <f>"7804115352"</f>
        <v>7804115352</v>
      </c>
      <c r="B10649" t="str">
        <f t="shared" si="441"/>
        <v>89301000</v>
      </c>
      <c r="C10649" s="1">
        <v>44536</v>
      </c>
      <c r="D10649" s="1">
        <v>44538</v>
      </c>
      <c r="E10649">
        <v>1</v>
      </c>
      <c r="F10649" t="s">
        <v>652</v>
      </c>
      <c r="G10649" t="str">
        <f>"03-I19-03"</f>
        <v>03-I19-03</v>
      </c>
      <c r="H10649">
        <v>0.60699999999999998</v>
      </c>
      <c r="I10649" t="s">
        <v>7152</v>
      </c>
      <c r="J10649" t="s">
        <v>14</v>
      </c>
      <c r="K10649" t="str">
        <f>"6F5"</f>
        <v>6F5</v>
      </c>
      <c r="L10649" t="s">
        <v>15</v>
      </c>
    </row>
    <row r="10650" spans="1:12" x14ac:dyDescent="0.25">
      <c r="A10650" t="str">
        <f>"7804205332"</f>
        <v>7804205332</v>
      </c>
      <c r="B10650" t="str">
        <f t="shared" si="441"/>
        <v>89301000</v>
      </c>
      <c r="C10650" s="1">
        <v>44435</v>
      </c>
      <c r="D10650" s="1">
        <v>44441</v>
      </c>
      <c r="E10650">
        <v>1</v>
      </c>
      <c r="F10650" t="s">
        <v>5889</v>
      </c>
      <c r="G10650" t="str">
        <f>"01-K10-03"</f>
        <v>01-K10-03</v>
      </c>
      <c r="H10650">
        <v>1.0016</v>
      </c>
      <c r="J10650" t="s">
        <v>14</v>
      </c>
      <c r="K10650" t="str">
        <f>"2F9"</f>
        <v>2F9</v>
      </c>
      <c r="L10650" t="s">
        <v>15</v>
      </c>
    </row>
    <row r="10651" spans="1:12" x14ac:dyDescent="0.25">
      <c r="A10651" t="str">
        <f>"7804265337"</f>
        <v>7804265337</v>
      </c>
      <c r="B10651" t="str">
        <f t="shared" si="441"/>
        <v>89301000</v>
      </c>
      <c r="C10651" s="1">
        <v>44534</v>
      </c>
      <c r="D10651" s="1">
        <v>44535</v>
      </c>
      <c r="E10651">
        <v>7</v>
      </c>
      <c r="F10651" t="s">
        <v>316</v>
      </c>
      <c r="G10651" t="str">
        <f>"01-I06-02"</f>
        <v>01-I06-02</v>
      </c>
      <c r="H10651">
        <v>2.2281</v>
      </c>
      <c r="I10651" t="s">
        <v>7153</v>
      </c>
      <c r="J10651" t="s">
        <v>17</v>
      </c>
      <c r="K10651" t="str">
        <f>"7T8"</f>
        <v>7T8</v>
      </c>
      <c r="L10651" t="s">
        <v>15</v>
      </c>
    </row>
    <row r="10652" spans="1:12" x14ac:dyDescent="0.25">
      <c r="A10652" t="str">
        <f>"7805084485"</f>
        <v>7805084485</v>
      </c>
      <c r="B10652" t="str">
        <f t="shared" si="441"/>
        <v>89301000</v>
      </c>
      <c r="C10652" s="1">
        <v>44398</v>
      </c>
      <c r="D10652" s="1">
        <v>44413</v>
      </c>
      <c r="E10652">
        <v>1</v>
      </c>
      <c r="F10652" t="s">
        <v>3929</v>
      </c>
      <c r="G10652" t="str">
        <f>"19-K05-02"</f>
        <v>19-K05-02</v>
      </c>
      <c r="H10652">
        <v>1.8835999999999999</v>
      </c>
      <c r="I10652" t="s">
        <v>5935</v>
      </c>
      <c r="J10652" t="s">
        <v>27</v>
      </c>
      <c r="K10652" t="str">
        <f>"3F5"</f>
        <v>3F5</v>
      </c>
      <c r="L10652" t="s">
        <v>15</v>
      </c>
    </row>
    <row r="10653" spans="1:12" x14ac:dyDescent="0.25">
      <c r="A10653" t="str">
        <f>"7805144457"</f>
        <v>7805144457</v>
      </c>
      <c r="B10653" t="str">
        <f t="shared" si="441"/>
        <v>89301000</v>
      </c>
      <c r="C10653" s="1">
        <v>44318</v>
      </c>
      <c r="D10653" s="1">
        <v>44320</v>
      </c>
      <c r="E10653">
        <v>1</v>
      </c>
      <c r="F10653" t="s">
        <v>174</v>
      </c>
      <c r="G10653" t="str">
        <f>"12-I14-00"</f>
        <v>12-I14-00</v>
      </c>
      <c r="H10653">
        <v>0.44350000000000001</v>
      </c>
      <c r="I10653" t="s">
        <v>2202</v>
      </c>
      <c r="J10653" t="s">
        <v>14</v>
      </c>
      <c r="K10653" t="str">
        <f>"7F6"</f>
        <v>7F6</v>
      </c>
      <c r="L10653" t="s">
        <v>15</v>
      </c>
    </row>
    <row r="10654" spans="1:12" x14ac:dyDescent="0.25">
      <c r="A10654" t="str">
        <f>"7805185322"</f>
        <v>7805185322</v>
      </c>
      <c r="B10654" t="str">
        <f t="shared" si="441"/>
        <v>89301000</v>
      </c>
      <c r="C10654" s="1">
        <v>44439</v>
      </c>
      <c r="D10654" s="1">
        <v>44442</v>
      </c>
      <c r="E10654">
        <v>1</v>
      </c>
      <c r="F10654" t="s">
        <v>31</v>
      </c>
      <c r="G10654" t="str">
        <f>"08-I04-03"</f>
        <v>08-I04-03</v>
      </c>
      <c r="H10654">
        <v>1.331</v>
      </c>
      <c r="J10654" t="s">
        <v>17</v>
      </c>
      <c r="K10654" t="str">
        <f>"5F6"</f>
        <v>5F6</v>
      </c>
      <c r="L10654" t="s">
        <v>15</v>
      </c>
    </row>
    <row r="10655" spans="1:12" x14ac:dyDescent="0.25">
      <c r="A10655" t="str">
        <f>"7805224174"</f>
        <v>7805224174</v>
      </c>
      <c r="B10655" t="str">
        <f t="shared" si="441"/>
        <v>89301000</v>
      </c>
      <c r="C10655" s="1">
        <v>44398</v>
      </c>
      <c r="D10655" s="1">
        <v>44400</v>
      </c>
      <c r="E10655">
        <v>1</v>
      </c>
      <c r="F10655" t="s">
        <v>4172</v>
      </c>
      <c r="G10655" t="str">
        <f>"08-I24-02"</f>
        <v>08-I24-02</v>
      </c>
      <c r="H10655">
        <v>0.74470000000000003</v>
      </c>
      <c r="I10655" t="s">
        <v>7154</v>
      </c>
      <c r="J10655" t="s">
        <v>14</v>
      </c>
      <c r="K10655" t="str">
        <f>"5F3"</f>
        <v>5F3</v>
      </c>
      <c r="L10655" t="s">
        <v>15</v>
      </c>
    </row>
    <row r="10656" spans="1:12" x14ac:dyDescent="0.25">
      <c r="A10656" t="str">
        <f>"7805235790"</f>
        <v>7805235790</v>
      </c>
      <c r="B10656" t="str">
        <f t="shared" si="441"/>
        <v>89301000</v>
      </c>
      <c r="C10656" s="1">
        <v>44357</v>
      </c>
      <c r="D10656" s="1">
        <v>44359</v>
      </c>
      <c r="E10656">
        <v>1</v>
      </c>
      <c r="F10656" t="s">
        <v>7155</v>
      </c>
      <c r="G10656" t="str">
        <f>"03-I22-03"</f>
        <v>03-I22-03</v>
      </c>
      <c r="H10656">
        <v>0.49049999999999999</v>
      </c>
      <c r="I10656" t="s">
        <v>7156</v>
      </c>
      <c r="J10656" t="s">
        <v>14</v>
      </c>
      <c r="K10656" t="str">
        <f>"7F1"</f>
        <v>7F1</v>
      </c>
      <c r="L10656" t="s">
        <v>15</v>
      </c>
    </row>
    <row r="10657" spans="1:12" x14ac:dyDescent="0.25">
      <c r="A10657" t="str">
        <f>"7805245756"</f>
        <v>7805245756</v>
      </c>
      <c r="B10657" t="str">
        <f t="shared" si="441"/>
        <v>89301000</v>
      </c>
      <c r="C10657" s="1">
        <v>44343</v>
      </c>
      <c r="D10657" s="1">
        <v>44346</v>
      </c>
      <c r="E10657">
        <v>1</v>
      </c>
      <c r="F10657" t="s">
        <v>496</v>
      </c>
      <c r="G10657" t="str">
        <f>"08-M03-05"</f>
        <v>08-M03-05</v>
      </c>
      <c r="H10657">
        <v>0.51759999999999995</v>
      </c>
      <c r="I10657" t="s">
        <v>167</v>
      </c>
      <c r="J10657" t="s">
        <v>14</v>
      </c>
      <c r="K10657" t="str">
        <f>"6F6"</f>
        <v>6F6</v>
      </c>
      <c r="L10657" t="s">
        <v>15</v>
      </c>
    </row>
    <row r="10658" spans="1:12" x14ac:dyDescent="0.25">
      <c r="A10658" t="str">
        <f>"7806014502"</f>
        <v>7806014502</v>
      </c>
      <c r="B10658" t="str">
        <f t="shared" si="441"/>
        <v>89301000</v>
      </c>
      <c r="C10658" s="1">
        <v>44244</v>
      </c>
      <c r="D10658" s="1">
        <v>44246</v>
      </c>
      <c r="E10658">
        <v>1</v>
      </c>
      <c r="F10658" t="s">
        <v>1225</v>
      </c>
      <c r="G10658" t="str">
        <f>"01-K16-02"</f>
        <v>01-K16-02</v>
      </c>
      <c r="H10658">
        <v>1.0797000000000001</v>
      </c>
      <c r="I10658" t="s">
        <v>7157</v>
      </c>
      <c r="J10658" t="s">
        <v>14</v>
      </c>
      <c r="K10658" t="str">
        <f>"5F6"</f>
        <v>5F6</v>
      </c>
      <c r="L10658" t="s">
        <v>15</v>
      </c>
    </row>
    <row r="10659" spans="1:12" x14ac:dyDescent="0.25">
      <c r="A10659" t="str">
        <f>"7806084462"</f>
        <v>7806084462</v>
      </c>
      <c r="B10659" t="str">
        <f t="shared" si="441"/>
        <v>89301000</v>
      </c>
      <c r="C10659" s="1">
        <v>44369</v>
      </c>
      <c r="D10659" s="1">
        <v>44370</v>
      </c>
      <c r="E10659">
        <v>1</v>
      </c>
      <c r="F10659" t="s">
        <v>489</v>
      </c>
      <c r="G10659" t="str">
        <f>"05-D01-08"</f>
        <v>05-D01-08</v>
      </c>
      <c r="H10659">
        <v>0.4093</v>
      </c>
      <c r="I10659" t="s">
        <v>1892</v>
      </c>
      <c r="J10659" t="s">
        <v>14</v>
      </c>
      <c r="K10659" t="str">
        <f>"1F1"</f>
        <v>1F1</v>
      </c>
      <c r="L10659" t="s">
        <v>15</v>
      </c>
    </row>
    <row r="10660" spans="1:12" x14ac:dyDescent="0.25">
      <c r="A10660" t="str">
        <f>"7806144126"</f>
        <v>7806144126</v>
      </c>
      <c r="B10660" t="str">
        <f t="shared" ref="B10660:B10722" si="442">"89301000"</f>
        <v>89301000</v>
      </c>
      <c r="C10660" s="1">
        <v>44439</v>
      </c>
      <c r="D10660" s="1">
        <v>44445</v>
      </c>
      <c r="E10660">
        <v>1</v>
      </c>
      <c r="F10660" t="s">
        <v>764</v>
      </c>
      <c r="G10660" t="str">
        <f>"01-I06-04"</f>
        <v>01-I06-04</v>
      </c>
      <c r="H10660">
        <v>3.6231</v>
      </c>
      <c r="J10660" t="s">
        <v>17</v>
      </c>
      <c r="K10660" t="str">
        <f>"5F6"</f>
        <v>5F6</v>
      </c>
      <c r="L10660" t="s">
        <v>15</v>
      </c>
    </row>
    <row r="10661" spans="1:12" x14ac:dyDescent="0.25">
      <c r="A10661" t="str">
        <f>"7806144126"</f>
        <v>7806144126</v>
      </c>
      <c r="B10661" t="str">
        <f t="shared" si="442"/>
        <v>89301000</v>
      </c>
      <c r="C10661" s="1">
        <v>44238</v>
      </c>
      <c r="D10661" s="1">
        <v>44245</v>
      </c>
      <c r="E10661">
        <v>1</v>
      </c>
      <c r="F10661" t="s">
        <v>3331</v>
      </c>
      <c r="G10661" t="str">
        <f>"01-I06-04"</f>
        <v>01-I06-04</v>
      </c>
      <c r="H10661">
        <v>3.6231</v>
      </c>
      <c r="I10661" t="s">
        <v>699</v>
      </c>
      <c r="J10661" t="s">
        <v>17</v>
      </c>
      <c r="K10661" t="str">
        <f>"5F6"</f>
        <v>5F6</v>
      </c>
      <c r="L10661" t="s">
        <v>15</v>
      </c>
    </row>
    <row r="10662" spans="1:12" x14ac:dyDescent="0.25">
      <c r="A10662" t="str">
        <f>"7806144478"</f>
        <v>7806144478</v>
      </c>
      <c r="B10662" t="str">
        <f t="shared" si="442"/>
        <v>89301000</v>
      </c>
      <c r="C10662" s="1">
        <v>44496</v>
      </c>
      <c r="D10662" s="1">
        <v>44504</v>
      </c>
      <c r="E10662">
        <v>1</v>
      </c>
      <c r="F10662" t="s">
        <v>4557</v>
      </c>
      <c r="G10662" t="str">
        <f>"20-K03-03"</f>
        <v>20-K03-03</v>
      </c>
      <c r="H10662">
        <v>1.0109999999999999</v>
      </c>
      <c r="I10662" t="s">
        <v>7158</v>
      </c>
      <c r="J10662" t="s">
        <v>14</v>
      </c>
      <c r="K10662" t="str">
        <f>"3F5"</f>
        <v>3F5</v>
      </c>
      <c r="L10662" t="s">
        <v>15</v>
      </c>
    </row>
    <row r="10663" spans="1:12" x14ac:dyDescent="0.25">
      <c r="A10663" t="str">
        <f>"7806144478"</f>
        <v>7806144478</v>
      </c>
      <c r="B10663" t="str">
        <f t="shared" si="442"/>
        <v>89301000</v>
      </c>
      <c r="C10663" s="1">
        <v>44431</v>
      </c>
      <c r="D10663" s="1">
        <v>44438</v>
      </c>
      <c r="E10663">
        <v>1</v>
      </c>
      <c r="F10663" t="s">
        <v>4557</v>
      </c>
      <c r="G10663" t="str">
        <f>"20-K03-03"</f>
        <v>20-K03-03</v>
      </c>
      <c r="H10663">
        <v>1.0109999999999999</v>
      </c>
      <c r="I10663" t="s">
        <v>7159</v>
      </c>
      <c r="J10663" t="s">
        <v>14</v>
      </c>
      <c r="K10663" t="str">
        <f>"3F5"</f>
        <v>3F5</v>
      </c>
      <c r="L10663" t="s">
        <v>15</v>
      </c>
    </row>
    <row r="10664" spans="1:12" x14ac:dyDescent="0.25">
      <c r="A10664" t="str">
        <f>"7806154873"</f>
        <v>7806154873</v>
      </c>
      <c r="B10664" t="str">
        <f t="shared" si="442"/>
        <v>89301000</v>
      </c>
      <c r="C10664" s="1">
        <v>44253</v>
      </c>
      <c r="D10664" s="1">
        <v>44256</v>
      </c>
      <c r="E10664">
        <v>5</v>
      </c>
      <c r="F10664" t="s">
        <v>5979</v>
      </c>
      <c r="G10664" t="str">
        <f>"03-K04-01"</f>
        <v>03-K04-01</v>
      </c>
      <c r="H10664">
        <v>0.46660000000000001</v>
      </c>
      <c r="I10664" t="s">
        <v>7160</v>
      </c>
      <c r="J10664" t="s">
        <v>14</v>
      </c>
      <c r="K10664" t="str">
        <f>"5F1"</f>
        <v>5F1</v>
      </c>
      <c r="L10664" t="s">
        <v>15</v>
      </c>
    </row>
    <row r="10665" spans="1:12" x14ac:dyDescent="0.25">
      <c r="A10665" t="str">
        <f>"7806305771"</f>
        <v>7806305771</v>
      </c>
      <c r="B10665" t="str">
        <f t="shared" si="442"/>
        <v>89301000</v>
      </c>
      <c r="C10665" s="1">
        <v>44476</v>
      </c>
      <c r="D10665" s="1">
        <v>44480</v>
      </c>
      <c r="E10665">
        <v>1</v>
      </c>
      <c r="F10665" t="s">
        <v>831</v>
      </c>
      <c r="G10665" t="str">
        <f>"02-I06-03"</f>
        <v>02-I06-03</v>
      </c>
      <c r="H10665">
        <v>0.63690000000000002</v>
      </c>
      <c r="I10665" t="s">
        <v>621</v>
      </c>
      <c r="J10665" t="s">
        <v>17</v>
      </c>
      <c r="K10665" t="str">
        <f>"7F5"</f>
        <v>7F5</v>
      </c>
      <c r="L10665" t="s">
        <v>15</v>
      </c>
    </row>
    <row r="10666" spans="1:12" x14ac:dyDescent="0.25">
      <c r="A10666" t="str">
        <f>"7807065321"</f>
        <v>7807065321</v>
      </c>
      <c r="B10666" t="str">
        <f t="shared" si="442"/>
        <v>89301000</v>
      </c>
      <c r="C10666" s="1">
        <v>44462</v>
      </c>
      <c r="D10666" s="1">
        <v>44464</v>
      </c>
      <c r="E10666">
        <v>1</v>
      </c>
      <c r="F10666" t="s">
        <v>6634</v>
      </c>
      <c r="G10666" t="str">
        <f>"08-I16-04"</f>
        <v>08-I16-04</v>
      </c>
      <c r="H10666">
        <v>0.92159999999999997</v>
      </c>
      <c r="I10666" t="s">
        <v>381</v>
      </c>
      <c r="J10666" t="s">
        <v>17</v>
      </c>
      <c r="K10666" t="str">
        <f>"5F3"</f>
        <v>5F3</v>
      </c>
      <c r="L10666" t="s">
        <v>15</v>
      </c>
    </row>
    <row r="10667" spans="1:12" x14ac:dyDescent="0.25">
      <c r="A10667" t="str">
        <f>"7807135787"</f>
        <v>7807135787</v>
      </c>
      <c r="B10667" t="str">
        <f t="shared" si="442"/>
        <v>89301000</v>
      </c>
      <c r="C10667" s="1">
        <v>44330</v>
      </c>
      <c r="D10667" s="1">
        <v>44335</v>
      </c>
      <c r="E10667">
        <v>1</v>
      </c>
      <c r="F10667" t="s">
        <v>2674</v>
      </c>
      <c r="G10667" t="str">
        <f>"09-K01-04"</f>
        <v>09-K01-04</v>
      </c>
      <c r="H10667">
        <v>0.57820000000000005</v>
      </c>
      <c r="I10667" t="s">
        <v>168</v>
      </c>
      <c r="J10667" t="s">
        <v>14</v>
      </c>
      <c r="K10667" t="str">
        <f>"4F4"</f>
        <v>4F4</v>
      </c>
      <c r="L10667" t="s">
        <v>15</v>
      </c>
    </row>
    <row r="10668" spans="1:12" x14ac:dyDescent="0.25">
      <c r="A10668" t="str">
        <f>"7807184473"</f>
        <v>7807184473</v>
      </c>
      <c r="B10668" t="str">
        <f t="shared" si="442"/>
        <v>89301000</v>
      </c>
      <c r="C10668" s="1">
        <v>44299</v>
      </c>
      <c r="D10668" s="1">
        <v>44300</v>
      </c>
      <c r="E10668">
        <v>1</v>
      </c>
      <c r="F10668" t="s">
        <v>6634</v>
      </c>
      <c r="G10668" t="str">
        <f>"08-I16-04"</f>
        <v>08-I16-04</v>
      </c>
      <c r="H10668">
        <v>0.92159999999999997</v>
      </c>
      <c r="I10668" t="s">
        <v>455</v>
      </c>
      <c r="J10668" t="s">
        <v>17</v>
      </c>
      <c r="K10668" t="str">
        <f>"5F3"</f>
        <v>5F3</v>
      </c>
      <c r="L10668" t="s">
        <v>15</v>
      </c>
    </row>
    <row r="10669" spans="1:12" x14ac:dyDescent="0.25">
      <c r="A10669" t="str">
        <f>"7807185342"</f>
        <v>7807185342</v>
      </c>
      <c r="B10669" t="str">
        <f t="shared" si="442"/>
        <v>89301000</v>
      </c>
      <c r="C10669" s="1">
        <v>44228</v>
      </c>
      <c r="D10669" s="1">
        <v>44229</v>
      </c>
      <c r="E10669">
        <v>1</v>
      </c>
      <c r="F10669" t="s">
        <v>532</v>
      </c>
      <c r="G10669" t="str">
        <f>"06-K17-02"</f>
        <v>06-K17-02</v>
      </c>
      <c r="H10669">
        <v>0.29680000000000001</v>
      </c>
      <c r="I10669" t="s">
        <v>7161</v>
      </c>
      <c r="J10669" t="s">
        <v>14</v>
      </c>
      <c r="K10669" t="str">
        <f>"7F1"</f>
        <v>7F1</v>
      </c>
      <c r="L10669" t="s">
        <v>15</v>
      </c>
    </row>
    <row r="10670" spans="1:12" x14ac:dyDescent="0.25">
      <c r="A10670" t="str">
        <f>"7807284474"</f>
        <v>7807284474</v>
      </c>
      <c r="B10670" t="str">
        <f t="shared" si="442"/>
        <v>89301000</v>
      </c>
      <c r="C10670" s="1">
        <v>44452</v>
      </c>
      <c r="D10670" s="1">
        <v>44454</v>
      </c>
      <c r="E10670">
        <v>1</v>
      </c>
      <c r="F10670" t="s">
        <v>1606</v>
      </c>
      <c r="G10670" t="str">
        <f>"05-M05-02"</f>
        <v>05-M05-02</v>
      </c>
      <c r="H10670">
        <v>3.516</v>
      </c>
      <c r="I10670" t="s">
        <v>489</v>
      </c>
      <c r="J10670" t="s">
        <v>24</v>
      </c>
      <c r="K10670" t="str">
        <f>"1F1"</f>
        <v>1F1</v>
      </c>
      <c r="L10670" t="s">
        <v>15</v>
      </c>
    </row>
    <row r="10671" spans="1:12" x14ac:dyDescent="0.25">
      <c r="A10671" t="str">
        <f>"7808045410"</f>
        <v>7808045410</v>
      </c>
      <c r="B10671" t="str">
        <f t="shared" si="442"/>
        <v>89301000</v>
      </c>
      <c r="C10671" s="1">
        <v>44307</v>
      </c>
      <c r="D10671" s="1">
        <v>44308</v>
      </c>
      <c r="E10671">
        <v>1</v>
      </c>
      <c r="F10671" t="s">
        <v>41</v>
      </c>
      <c r="G10671" t="str">
        <f>"01-D01-03"</f>
        <v>01-D01-03</v>
      </c>
      <c r="H10671">
        <v>0.158</v>
      </c>
      <c r="J10671" t="s">
        <v>14</v>
      </c>
      <c r="K10671" t="str">
        <f>"2F5"</f>
        <v>2F5</v>
      </c>
      <c r="L10671" t="s">
        <v>15</v>
      </c>
    </row>
    <row r="10672" spans="1:12" x14ac:dyDescent="0.25">
      <c r="A10672" t="str">
        <f>"7808055332"</f>
        <v>7808055332</v>
      </c>
      <c r="B10672" t="str">
        <f t="shared" si="442"/>
        <v>89301000</v>
      </c>
      <c r="C10672" s="1">
        <v>44523</v>
      </c>
      <c r="D10672" s="1">
        <v>44527</v>
      </c>
      <c r="E10672">
        <v>1</v>
      </c>
      <c r="F10672" t="s">
        <v>1928</v>
      </c>
      <c r="G10672" t="str">
        <f>"11-M02-06"</f>
        <v>11-M02-06</v>
      </c>
      <c r="H10672">
        <v>1.1375</v>
      </c>
      <c r="I10672" t="s">
        <v>489</v>
      </c>
      <c r="J10672" t="s">
        <v>14</v>
      </c>
      <c r="K10672" t="str">
        <f>"5F1"</f>
        <v>5F1</v>
      </c>
      <c r="L10672" t="s">
        <v>15</v>
      </c>
    </row>
    <row r="10673" spans="1:12" x14ac:dyDescent="0.25">
      <c r="A10673" t="str">
        <f>"7808055332"</f>
        <v>7808055332</v>
      </c>
      <c r="B10673" t="str">
        <f t="shared" si="442"/>
        <v>89301000</v>
      </c>
      <c r="C10673" s="1">
        <v>44374</v>
      </c>
      <c r="D10673" s="1">
        <v>44375</v>
      </c>
      <c r="E10673">
        <v>1</v>
      </c>
      <c r="F10673" t="s">
        <v>2360</v>
      </c>
      <c r="G10673" t="str">
        <f>"06-M01-05"</f>
        <v>06-M01-05</v>
      </c>
      <c r="H10673">
        <v>0.41710000000000003</v>
      </c>
      <c r="I10673" t="s">
        <v>7162</v>
      </c>
      <c r="J10673" t="s">
        <v>14</v>
      </c>
      <c r="K10673" t="str">
        <f>"1F1"</f>
        <v>1F1</v>
      </c>
      <c r="L10673" t="s">
        <v>15</v>
      </c>
    </row>
    <row r="10674" spans="1:12" x14ac:dyDescent="0.25">
      <c r="A10674" t="str">
        <f>"7808055332"</f>
        <v>7808055332</v>
      </c>
      <c r="B10674" t="str">
        <f t="shared" si="442"/>
        <v>89301000</v>
      </c>
      <c r="C10674" s="1">
        <v>44413</v>
      </c>
      <c r="D10674" s="1">
        <v>44416</v>
      </c>
      <c r="E10674">
        <v>1</v>
      </c>
      <c r="F10674" t="s">
        <v>3799</v>
      </c>
      <c r="G10674" t="str">
        <f>"11-M02-07"</f>
        <v>11-M02-07</v>
      </c>
      <c r="H10674">
        <v>0.53769999999999996</v>
      </c>
      <c r="I10674" t="s">
        <v>489</v>
      </c>
      <c r="J10674" t="s">
        <v>14</v>
      </c>
      <c r="K10674" t="str">
        <f>"1F1"</f>
        <v>1F1</v>
      </c>
      <c r="L10674" t="s">
        <v>15</v>
      </c>
    </row>
    <row r="10675" spans="1:12" x14ac:dyDescent="0.25">
      <c r="A10675" t="str">
        <f>"7808095427"</f>
        <v>7808095427</v>
      </c>
      <c r="B10675" t="str">
        <f t="shared" si="442"/>
        <v>89301000</v>
      </c>
      <c r="C10675" s="1">
        <v>44465</v>
      </c>
      <c r="D10675" s="1">
        <v>44468</v>
      </c>
      <c r="E10675">
        <v>1</v>
      </c>
      <c r="F10675" t="s">
        <v>4382</v>
      </c>
      <c r="G10675" t="str">
        <f>"05-I30-02"</f>
        <v>05-I30-02</v>
      </c>
      <c r="H10675">
        <v>0.60750000000000004</v>
      </c>
      <c r="I10675" t="s">
        <v>6552</v>
      </c>
      <c r="J10675" t="s">
        <v>14</v>
      </c>
      <c r="K10675" t="str">
        <f>"5F1"</f>
        <v>5F1</v>
      </c>
      <c r="L10675" t="s">
        <v>15</v>
      </c>
    </row>
    <row r="10676" spans="1:12" x14ac:dyDescent="0.25">
      <c r="A10676" t="str">
        <f>"7808205790"</f>
        <v>7808205790</v>
      </c>
      <c r="B10676" t="str">
        <f t="shared" si="442"/>
        <v>89301000</v>
      </c>
      <c r="C10676" s="1">
        <v>44207</v>
      </c>
      <c r="D10676" s="1">
        <v>44210</v>
      </c>
      <c r="E10676">
        <v>1</v>
      </c>
      <c r="F10676" t="s">
        <v>4206</v>
      </c>
      <c r="G10676" t="str">
        <f>"08-K01-03"</f>
        <v>08-K01-03</v>
      </c>
      <c r="H10676">
        <v>0.65310000000000001</v>
      </c>
      <c r="I10676" t="s">
        <v>7163</v>
      </c>
      <c r="J10676" t="s">
        <v>14</v>
      </c>
      <c r="K10676" t="str">
        <f>"1F9"</f>
        <v>1F9</v>
      </c>
      <c r="L10676" t="s">
        <v>15</v>
      </c>
    </row>
    <row r="10677" spans="1:12" x14ac:dyDescent="0.25">
      <c r="A10677" t="str">
        <f>"7808215338"</f>
        <v>7808215338</v>
      </c>
      <c r="B10677" t="str">
        <f t="shared" si="442"/>
        <v>89301000</v>
      </c>
      <c r="C10677" s="1">
        <v>44494</v>
      </c>
      <c r="D10677" s="1">
        <v>44494</v>
      </c>
      <c r="E10677">
        <v>1</v>
      </c>
      <c r="F10677" t="s">
        <v>4557</v>
      </c>
      <c r="G10677" t="str">
        <f>"20-K01-04"</f>
        <v>20-K01-04</v>
      </c>
      <c r="H10677">
        <v>0.19109999999999999</v>
      </c>
      <c r="J10677" t="s">
        <v>14</v>
      </c>
      <c r="K10677" t="str">
        <f>"3F5"</f>
        <v>3F5</v>
      </c>
      <c r="L10677" t="s">
        <v>15</v>
      </c>
    </row>
    <row r="10678" spans="1:12" x14ac:dyDescent="0.25">
      <c r="A10678" t="str">
        <f>"7808255367"</f>
        <v>7808255367</v>
      </c>
      <c r="B10678" t="str">
        <f t="shared" si="442"/>
        <v>89301000</v>
      </c>
      <c r="C10678" s="1">
        <v>44320</v>
      </c>
      <c r="D10678" s="1">
        <v>44327</v>
      </c>
      <c r="E10678">
        <v>1</v>
      </c>
      <c r="F10678" t="s">
        <v>217</v>
      </c>
      <c r="G10678" t="str">
        <f>"04-K02-04"</f>
        <v>04-K02-04</v>
      </c>
      <c r="H10678">
        <v>0.82469999999999999</v>
      </c>
      <c r="I10678" t="s">
        <v>7164</v>
      </c>
      <c r="J10678" t="s">
        <v>14</v>
      </c>
      <c r="K10678" t="str">
        <f>"1F1"</f>
        <v>1F1</v>
      </c>
      <c r="L10678" t="s">
        <v>15</v>
      </c>
    </row>
    <row r="10679" spans="1:12" x14ac:dyDescent="0.25">
      <c r="A10679" t="str">
        <f>"7808275761"</f>
        <v>7808275761</v>
      </c>
      <c r="B10679" t="str">
        <f t="shared" si="442"/>
        <v>89301000</v>
      </c>
      <c r="C10679" s="1">
        <v>44433</v>
      </c>
      <c r="D10679" s="1">
        <v>44456</v>
      </c>
      <c r="E10679">
        <v>4</v>
      </c>
      <c r="F10679" t="s">
        <v>199</v>
      </c>
      <c r="G10679" t="str">
        <f>"00-M02-04"</f>
        <v>00-M02-04</v>
      </c>
      <c r="H10679">
        <v>13.818</v>
      </c>
      <c r="I10679" t="s">
        <v>7165</v>
      </c>
      <c r="J10679" t="s">
        <v>14</v>
      </c>
      <c r="K10679" t="str">
        <f>"7T8"</f>
        <v>7T8</v>
      </c>
      <c r="L10679" t="s">
        <v>15</v>
      </c>
    </row>
    <row r="10680" spans="1:12" x14ac:dyDescent="0.25">
      <c r="A10680" t="str">
        <f>"7808275761"</f>
        <v>7808275761</v>
      </c>
      <c r="B10680" t="str">
        <f t="shared" si="442"/>
        <v>89301000</v>
      </c>
      <c r="C10680" s="1">
        <v>44482</v>
      </c>
      <c r="D10680" s="1">
        <v>44488</v>
      </c>
      <c r="E10680">
        <v>5</v>
      </c>
      <c r="F10680" t="s">
        <v>7166</v>
      </c>
      <c r="G10680" t="str">
        <f>"08-K11-01"</f>
        <v>08-K11-01</v>
      </c>
      <c r="H10680">
        <v>0.99450000000000005</v>
      </c>
      <c r="I10680" t="s">
        <v>7167</v>
      </c>
      <c r="J10680" t="s">
        <v>14</v>
      </c>
      <c r="K10680" t="str">
        <f>"5T6"</f>
        <v>5T6</v>
      </c>
      <c r="L10680" t="s">
        <v>15</v>
      </c>
    </row>
    <row r="10681" spans="1:12" x14ac:dyDescent="0.25">
      <c r="A10681" t="str">
        <f>"7809085306"</f>
        <v>7809085306</v>
      </c>
      <c r="B10681" t="str">
        <f t="shared" si="442"/>
        <v>89301000</v>
      </c>
      <c r="C10681" s="1">
        <v>44371</v>
      </c>
      <c r="D10681" s="1">
        <v>44372</v>
      </c>
      <c r="E10681">
        <v>1</v>
      </c>
      <c r="F10681" t="s">
        <v>7168</v>
      </c>
      <c r="G10681" t="str">
        <f>"05-D01-06"</f>
        <v>05-D01-06</v>
      </c>
      <c r="H10681">
        <v>0.7611</v>
      </c>
      <c r="J10681" t="s">
        <v>14</v>
      </c>
      <c r="K10681" t="str">
        <f>"1T1"</f>
        <v>1T1</v>
      </c>
      <c r="L10681" t="s">
        <v>15</v>
      </c>
    </row>
    <row r="10682" spans="1:12" x14ac:dyDescent="0.25">
      <c r="A10682" t="str">
        <f>"7809245378"</f>
        <v>7809245378</v>
      </c>
      <c r="B10682" t="str">
        <f t="shared" si="442"/>
        <v>89301000</v>
      </c>
      <c r="C10682" s="1">
        <v>44243</v>
      </c>
      <c r="D10682" s="1">
        <v>44244</v>
      </c>
      <c r="E10682">
        <v>1</v>
      </c>
      <c r="F10682" t="s">
        <v>6967</v>
      </c>
      <c r="G10682" t="str">
        <f>"10-K04-04"</f>
        <v>10-K04-04</v>
      </c>
      <c r="H10682">
        <v>0.56330000000000002</v>
      </c>
      <c r="I10682" t="s">
        <v>7169</v>
      </c>
      <c r="J10682" t="s">
        <v>14</v>
      </c>
      <c r="K10682" t="str">
        <f>"1F5"</f>
        <v>1F5</v>
      </c>
      <c r="L10682" t="s">
        <v>15</v>
      </c>
    </row>
    <row r="10683" spans="1:12" x14ac:dyDescent="0.25">
      <c r="A10683" t="str">
        <f>"7809245378"</f>
        <v>7809245378</v>
      </c>
      <c r="B10683" t="str">
        <f t="shared" si="442"/>
        <v>89301000</v>
      </c>
      <c r="C10683" s="1">
        <v>44369</v>
      </c>
      <c r="D10683" s="1">
        <v>44372</v>
      </c>
      <c r="E10683">
        <v>1</v>
      </c>
      <c r="F10683" t="s">
        <v>786</v>
      </c>
      <c r="G10683" t="str">
        <f>"04-M02-03"</f>
        <v>04-M02-03</v>
      </c>
      <c r="H10683">
        <v>1.5854999999999999</v>
      </c>
      <c r="I10683" t="s">
        <v>7170</v>
      </c>
      <c r="J10683" t="s">
        <v>14</v>
      </c>
      <c r="K10683" t="str">
        <f>"2F5"</f>
        <v>2F5</v>
      </c>
      <c r="L10683" t="s">
        <v>15</v>
      </c>
    </row>
    <row r="10684" spans="1:12" x14ac:dyDescent="0.25">
      <c r="A10684" t="str">
        <f>"7809285770"</f>
        <v>7809285770</v>
      </c>
      <c r="B10684" t="str">
        <f t="shared" si="442"/>
        <v>89301000</v>
      </c>
      <c r="C10684" s="1">
        <v>44269</v>
      </c>
      <c r="D10684" s="1">
        <v>44274</v>
      </c>
      <c r="E10684">
        <v>1</v>
      </c>
      <c r="F10684" t="s">
        <v>1553</v>
      </c>
      <c r="G10684" t="str">
        <f>"04-K05-02"</f>
        <v>04-K05-02</v>
      </c>
      <c r="H10684">
        <v>1.2657</v>
      </c>
      <c r="I10684" t="s">
        <v>4285</v>
      </c>
      <c r="J10684" t="s">
        <v>14</v>
      </c>
      <c r="K10684" t="str">
        <f>"1F1"</f>
        <v>1F1</v>
      </c>
      <c r="L10684" t="s">
        <v>15</v>
      </c>
    </row>
    <row r="10685" spans="1:12" x14ac:dyDescent="0.25">
      <c r="A10685" t="str">
        <f>"7810083776"</f>
        <v>7810083776</v>
      </c>
      <c r="B10685" t="str">
        <f t="shared" si="442"/>
        <v>89301000</v>
      </c>
      <c r="C10685" s="1">
        <v>44253</v>
      </c>
      <c r="D10685" s="1">
        <v>44254</v>
      </c>
      <c r="E10685">
        <v>1</v>
      </c>
      <c r="F10685" t="s">
        <v>41</v>
      </c>
      <c r="G10685" t="str">
        <f>"01-D01-03"</f>
        <v>01-D01-03</v>
      </c>
      <c r="H10685">
        <v>0.158</v>
      </c>
      <c r="J10685" t="s">
        <v>14</v>
      </c>
      <c r="K10685" t="str">
        <f>"2F5"</f>
        <v>2F5</v>
      </c>
      <c r="L10685" t="s">
        <v>15</v>
      </c>
    </row>
    <row r="10686" spans="1:12" x14ac:dyDescent="0.25">
      <c r="A10686" t="str">
        <f>"7810245817"</f>
        <v>7810245817</v>
      </c>
      <c r="B10686" t="str">
        <f t="shared" si="442"/>
        <v>89301000</v>
      </c>
      <c r="C10686" s="1">
        <v>44364</v>
      </c>
      <c r="D10686" s="1">
        <v>44368</v>
      </c>
      <c r="E10686">
        <v>1</v>
      </c>
      <c r="F10686" t="s">
        <v>2550</v>
      </c>
      <c r="G10686" t="str">
        <f>"10-K04-02"</f>
        <v>10-K04-02</v>
      </c>
      <c r="H10686">
        <v>1.0504</v>
      </c>
      <c r="I10686" t="s">
        <v>7171</v>
      </c>
      <c r="J10686" t="s">
        <v>14</v>
      </c>
      <c r="K10686" t="str">
        <f>"1F1"</f>
        <v>1F1</v>
      </c>
      <c r="L10686" t="s">
        <v>15</v>
      </c>
    </row>
    <row r="10687" spans="1:12" x14ac:dyDescent="0.25">
      <c r="A10687" t="str">
        <f>"7810275792"</f>
        <v>7810275792</v>
      </c>
      <c r="B10687" t="str">
        <f t="shared" si="442"/>
        <v>89301000</v>
      </c>
      <c r="C10687" s="1">
        <v>44532</v>
      </c>
      <c r="D10687" s="1">
        <v>44534</v>
      </c>
      <c r="E10687">
        <v>1</v>
      </c>
      <c r="F10687" t="s">
        <v>4491</v>
      </c>
      <c r="G10687" t="str">
        <f>"01-K01-02"</f>
        <v>01-K01-02</v>
      </c>
      <c r="H10687">
        <v>0.50700000000000001</v>
      </c>
      <c r="J10687" t="s">
        <v>14</v>
      </c>
      <c r="K10687" t="str">
        <f>"2F9"</f>
        <v>2F9</v>
      </c>
      <c r="L10687" t="s">
        <v>15</v>
      </c>
    </row>
    <row r="10688" spans="1:12" x14ac:dyDescent="0.25">
      <c r="A10688" t="str">
        <f>"7810284471"</f>
        <v>7810284471</v>
      </c>
      <c r="B10688" t="str">
        <f t="shared" si="442"/>
        <v>89301000</v>
      </c>
      <c r="C10688" s="1">
        <v>44408</v>
      </c>
      <c r="D10688" s="1">
        <v>44410</v>
      </c>
      <c r="E10688">
        <v>1</v>
      </c>
      <c r="F10688" t="s">
        <v>7172</v>
      </c>
      <c r="G10688" t="str">
        <f>"08-I19-02"</f>
        <v>08-I19-02</v>
      </c>
      <c r="H10688">
        <v>1.0359</v>
      </c>
      <c r="I10688" t="s">
        <v>7173</v>
      </c>
      <c r="J10688" t="s">
        <v>17</v>
      </c>
      <c r="K10688" t="str">
        <f>"5F3"</f>
        <v>5F3</v>
      </c>
      <c r="L10688" t="s">
        <v>15</v>
      </c>
    </row>
    <row r="10689" spans="1:12" x14ac:dyDescent="0.25">
      <c r="A10689" t="str">
        <f>"7810305327"</f>
        <v>7810305327</v>
      </c>
      <c r="B10689" t="str">
        <f t="shared" si="442"/>
        <v>89301000</v>
      </c>
      <c r="C10689" s="1">
        <v>44397</v>
      </c>
      <c r="D10689" s="1">
        <v>44421</v>
      </c>
      <c r="E10689">
        <v>1</v>
      </c>
      <c r="F10689" t="s">
        <v>109</v>
      </c>
      <c r="G10689" t="str">
        <f>"24-M09-02"</f>
        <v>24-M09-02</v>
      </c>
      <c r="H10689">
        <v>3.2679999999999998</v>
      </c>
      <c r="I10689" t="s">
        <v>7174</v>
      </c>
      <c r="J10689" t="s">
        <v>14</v>
      </c>
      <c r="K10689" t="str">
        <f>"2F1"</f>
        <v>2F1</v>
      </c>
      <c r="L10689" t="s">
        <v>15</v>
      </c>
    </row>
    <row r="10690" spans="1:12" x14ac:dyDescent="0.25">
      <c r="A10690" t="str">
        <f>"7810305327"</f>
        <v>7810305327</v>
      </c>
      <c r="B10690" t="str">
        <f t="shared" si="442"/>
        <v>89301000</v>
      </c>
      <c r="C10690" s="1">
        <v>44361</v>
      </c>
      <c r="D10690" s="1">
        <v>44378</v>
      </c>
      <c r="E10690">
        <v>1</v>
      </c>
      <c r="F10690" t="s">
        <v>109</v>
      </c>
      <c r="G10690" t="str">
        <f>"24-M07-02"</f>
        <v>24-M07-02</v>
      </c>
      <c r="H10690">
        <v>1.5094000000000001</v>
      </c>
      <c r="I10690" t="s">
        <v>7175</v>
      </c>
      <c r="J10690" t="s">
        <v>14</v>
      </c>
      <c r="K10690" t="str">
        <f>"2F1"</f>
        <v>2F1</v>
      </c>
      <c r="L10690" t="s">
        <v>15</v>
      </c>
    </row>
    <row r="10691" spans="1:12" x14ac:dyDescent="0.25">
      <c r="A10691" t="str">
        <f>"7810315689"</f>
        <v>7810315689</v>
      </c>
      <c r="B10691" t="str">
        <f t="shared" si="442"/>
        <v>89301000</v>
      </c>
      <c r="C10691" s="1">
        <v>44429</v>
      </c>
      <c r="D10691" s="1">
        <v>44432</v>
      </c>
      <c r="E10691">
        <v>1</v>
      </c>
      <c r="F10691" t="s">
        <v>314</v>
      </c>
      <c r="G10691" t="str">
        <f>"03-K12-01"</f>
        <v>03-K12-01</v>
      </c>
      <c r="H10691">
        <v>0.376</v>
      </c>
      <c r="I10691" t="s">
        <v>7176</v>
      </c>
      <c r="J10691" t="s">
        <v>14</v>
      </c>
      <c r="K10691" t="str">
        <f>"6F5"</f>
        <v>6F5</v>
      </c>
      <c r="L10691" t="s">
        <v>15</v>
      </c>
    </row>
    <row r="10692" spans="1:12" x14ac:dyDescent="0.25">
      <c r="A10692" t="str">
        <f>"7811145320"</f>
        <v>7811145320</v>
      </c>
      <c r="B10692" t="str">
        <f t="shared" si="442"/>
        <v>89301000</v>
      </c>
      <c r="C10692" s="1">
        <v>44257</v>
      </c>
      <c r="D10692" s="1">
        <v>44258</v>
      </c>
      <c r="E10692">
        <v>1</v>
      </c>
      <c r="F10692" t="s">
        <v>4491</v>
      </c>
      <c r="G10692" t="str">
        <f>"01-K01-02"</f>
        <v>01-K01-02</v>
      </c>
      <c r="H10692">
        <v>0.50700000000000001</v>
      </c>
      <c r="I10692" t="s">
        <v>7177</v>
      </c>
      <c r="J10692" t="s">
        <v>14</v>
      </c>
      <c r="K10692" t="str">
        <f>"2F9"</f>
        <v>2F9</v>
      </c>
      <c r="L10692" t="s">
        <v>15</v>
      </c>
    </row>
    <row r="10693" spans="1:12" x14ac:dyDescent="0.25">
      <c r="A10693" t="str">
        <f>"7811145320"</f>
        <v>7811145320</v>
      </c>
      <c r="B10693" t="str">
        <f t="shared" si="442"/>
        <v>89301000</v>
      </c>
      <c r="C10693" s="1">
        <v>44272</v>
      </c>
      <c r="D10693" s="1">
        <v>44273</v>
      </c>
      <c r="E10693">
        <v>1</v>
      </c>
      <c r="F10693" t="s">
        <v>4491</v>
      </c>
      <c r="G10693" t="str">
        <f>"01-K01-02"</f>
        <v>01-K01-02</v>
      </c>
      <c r="H10693">
        <v>0.50700000000000001</v>
      </c>
      <c r="J10693" t="s">
        <v>14</v>
      </c>
      <c r="K10693" t="str">
        <f>"2F9"</f>
        <v>2F9</v>
      </c>
      <c r="L10693" t="s">
        <v>15</v>
      </c>
    </row>
    <row r="10694" spans="1:12" x14ac:dyDescent="0.25">
      <c r="A10694" t="str">
        <f>"7811295822"</f>
        <v>7811295822</v>
      </c>
      <c r="B10694" t="str">
        <f t="shared" si="442"/>
        <v>89301000</v>
      </c>
      <c r="C10694" s="1">
        <v>44325</v>
      </c>
      <c r="D10694" s="1">
        <v>44328</v>
      </c>
      <c r="E10694">
        <v>1</v>
      </c>
      <c r="F10694" t="s">
        <v>1619</v>
      </c>
      <c r="G10694" t="str">
        <f>"05-M06-06"</f>
        <v>05-M06-06</v>
      </c>
      <c r="H10694">
        <v>1.7652000000000001</v>
      </c>
      <c r="I10694" t="s">
        <v>2183</v>
      </c>
      <c r="J10694" t="s">
        <v>17</v>
      </c>
      <c r="K10694" t="str">
        <f>"1F1"</f>
        <v>1F1</v>
      </c>
      <c r="L10694" t="s">
        <v>15</v>
      </c>
    </row>
    <row r="10695" spans="1:12" x14ac:dyDescent="0.25">
      <c r="A10695" t="str">
        <f>"7812125310"</f>
        <v>7812125310</v>
      </c>
      <c r="B10695" t="str">
        <f t="shared" si="442"/>
        <v>89301000</v>
      </c>
      <c r="C10695" s="1">
        <v>44463</v>
      </c>
      <c r="D10695" s="1">
        <v>44481</v>
      </c>
      <c r="E10695">
        <v>1</v>
      </c>
      <c r="F10695" t="s">
        <v>3488</v>
      </c>
      <c r="G10695" t="str">
        <f>"19-K05-02"</f>
        <v>19-K05-02</v>
      </c>
      <c r="H10695">
        <v>1.8835999999999999</v>
      </c>
      <c r="J10695" t="s">
        <v>27</v>
      </c>
      <c r="K10695" t="str">
        <f>"3F5"</f>
        <v>3F5</v>
      </c>
      <c r="L10695" t="s">
        <v>15</v>
      </c>
    </row>
    <row r="10696" spans="1:12" x14ac:dyDescent="0.25">
      <c r="A10696" t="str">
        <f>"7812174964"</f>
        <v>7812174964</v>
      </c>
      <c r="B10696" t="str">
        <f t="shared" si="442"/>
        <v>89301000</v>
      </c>
      <c r="C10696" s="1">
        <v>44515</v>
      </c>
      <c r="D10696" s="1">
        <v>44518</v>
      </c>
      <c r="E10696">
        <v>1</v>
      </c>
      <c r="F10696" t="s">
        <v>31</v>
      </c>
      <c r="G10696" t="str">
        <f>"08-I04-03"</f>
        <v>08-I04-03</v>
      </c>
      <c r="H10696">
        <v>1.331</v>
      </c>
      <c r="I10696" t="s">
        <v>6540</v>
      </c>
      <c r="J10696" t="s">
        <v>17</v>
      </c>
      <c r="K10696" t="str">
        <f>"5F6"</f>
        <v>5F6</v>
      </c>
      <c r="L10696" t="s">
        <v>15</v>
      </c>
    </row>
    <row r="10697" spans="1:12" x14ac:dyDescent="0.25">
      <c r="A10697" t="str">
        <f>"7812215334"</f>
        <v>7812215334</v>
      </c>
      <c r="B10697" t="str">
        <f t="shared" si="442"/>
        <v>89301000</v>
      </c>
      <c r="C10697" s="1">
        <v>44388</v>
      </c>
      <c r="D10697" s="1">
        <v>44391</v>
      </c>
      <c r="E10697">
        <v>1</v>
      </c>
      <c r="F10697" t="s">
        <v>7178</v>
      </c>
      <c r="G10697" t="str">
        <f>"12-I11-00"</f>
        <v>12-I11-00</v>
      </c>
      <c r="H10697">
        <v>1.0845</v>
      </c>
      <c r="I10697" t="s">
        <v>570</v>
      </c>
      <c r="J10697" t="s">
        <v>14</v>
      </c>
      <c r="K10697" t="str">
        <f>"7F6"</f>
        <v>7F6</v>
      </c>
      <c r="L10697" t="s">
        <v>15</v>
      </c>
    </row>
    <row r="10698" spans="1:12" x14ac:dyDescent="0.25">
      <c r="A10698" t="str">
        <f>"7812215895"</f>
        <v>7812215895</v>
      </c>
      <c r="B10698" t="str">
        <f t="shared" si="442"/>
        <v>89301000</v>
      </c>
      <c r="C10698" s="1">
        <v>44427</v>
      </c>
      <c r="D10698" s="1">
        <v>44442</v>
      </c>
      <c r="E10698">
        <v>1</v>
      </c>
      <c r="F10698" t="s">
        <v>3452</v>
      </c>
      <c r="G10698" t="str">
        <f>"04-K08-02"</f>
        <v>04-K08-02</v>
      </c>
      <c r="H10698">
        <v>2.6110000000000002</v>
      </c>
      <c r="I10698" t="s">
        <v>7179</v>
      </c>
      <c r="J10698" t="s">
        <v>14</v>
      </c>
      <c r="K10698" t="str">
        <f>"1F7"</f>
        <v>1F7</v>
      </c>
      <c r="L10698" t="s">
        <v>15</v>
      </c>
    </row>
    <row r="10699" spans="1:12" x14ac:dyDescent="0.25">
      <c r="A10699" t="str">
        <f>"7812315335"</f>
        <v>7812315335</v>
      </c>
      <c r="B10699" t="str">
        <f t="shared" si="442"/>
        <v>89301000</v>
      </c>
      <c r="C10699" s="1">
        <v>44490</v>
      </c>
      <c r="D10699" s="1">
        <v>44494</v>
      </c>
      <c r="E10699">
        <v>1</v>
      </c>
      <c r="F10699" t="s">
        <v>41</v>
      </c>
      <c r="G10699" t="str">
        <f>"01-D01-03"</f>
        <v>01-D01-03</v>
      </c>
      <c r="H10699">
        <v>0.25280000000000002</v>
      </c>
      <c r="I10699" t="s">
        <v>489</v>
      </c>
      <c r="J10699" t="s">
        <v>14</v>
      </c>
      <c r="K10699" t="str">
        <f>"2F5"</f>
        <v>2F5</v>
      </c>
      <c r="L10699" t="s">
        <v>15</v>
      </c>
    </row>
    <row r="10700" spans="1:12" x14ac:dyDescent="0.25">
      <c r="A10700" t="str">
        <f>"7851084670"</f>
        <v>7851084670</v>
      </c>
      <c r="B10700" t="str">
        <f t="shared" si="442"/>
        <v>89301000</v>
      </c>
      <c r="C10700" s="1">
        <v>44512</v>
      </c>
      <c r="D10700" s="1">
        <v>44546</v>
      </c>
      <c r="E10700">
        <v>3</v>
      </c>
      <c r="F10700" t="s">
        <v>1894</v>
      </c>
      <c r="G10700" t="str">
        <f>"00-M01-03"</f>
        <v>00-M01-03</v>
      </c>
      <c r="H10700">
        <v>10.5709</v>
      </c>
      <c r="I10700" t="s">
        <v>7180</v>
      </c>
      <c r="J10700" t="s">
        <v>14</v>
      </c>
      <c r="K10700" t="str">
        <f>"2F9"</f>
        <v>2F9</v>
      </c>
      <c r="L10700" t="s">
        <v>15</v>
      </c>
    </row>
    <row r="10701" spans="1:12" x14ac:dyDescent="0.25">
      <c r="A10701" t="str">
        <f>"7851084670"</f>
        <v>7851084670</v>
      </c>
      <c r="B10701" t="str">
        <f t="shared" si="442"/>
        <v>89301000</v>
      </c>
      <c r="C10701" s="1">
        <v>44546</v>
      </c>
      <c r="D10701" s="1">
        <v>44551</v>
      </c>
      <c r="E10701">
        <v>1</v>
      </c>
      <c r="F10701" t="s">
        <v>109</v>
      </c>
      <c r="G10701" t="str">
        <f>"24-M05-01"</f>
        <v>24-M05-01</v>
      </c>
      <c r="H10701">
        <v>0.64190000000000003</v>
      </c>
      <c r="I10701" t="s">
        <v>7181</v>
      </c>
      <c r="J10701" t="s">
        <v>14</v>
      </c>
      <c r="K10701" t="str">
        <f>"2F1"</f>
        <v>2F1</v>
      </c>
      <c r="L10701" t="s">
        <v>15</v>
      </c>
    </row>
    <row r="10702" spans="1:12" x14ac:dyDescent="0.25">
      <c r="A10702" t="str">
        <f>"7851105757"</f>
        <v>7851105757</v>
      </c>
      <c r="B10702" t="str">
        <f t="shared" si="442"/>
        <v>89301000</v>
      </c>
      <c r="C10702" s="1">
        <v>44348</v>
      </c>
      <c r="D10702" s="1">
        <v>44363</v>
      </c>
      <c r="E10702">
        <v>1</v>
      </c>
      <c r="F10702" t="s">
        <v>164</v>
      </c>
      <c r="G10702" t="str">
        <f>"01-I07-04"</f>
        <v>01-I07-04</v>
      </c>
      <c r="H10702">
        <v>2.2679</v>
      </c>
      <c r="I10702" t="s">
        <v>7182</v>
      </c>
      <c r="J10702" t="s">
        <v>17</v>
      </c>
      <c r="K10702" t="str">
        <f>"1F1"</f>
        <v>1F1</v>
      </c>
      <c r="L10702" t="s">
        <v>15</v>
      </c>
    </row>
    <row r="10703" spans="1:12" x14ac:dyDescent="0.25">
      <c r="A10703" t="str">
        <f>"7851135325"</f>
        <v>7851135325</v>
      </c>
      <c r="B10703" t="str">
        <f t="shared" si="442"/>
        <v>89301000</v>
      </c>
      <c r="C10703" s="1">
        <v>44332</v>
      </c>
      <c r="D10703" s="1">
        <v>44335</v>
      </c>
      <c r="E10703">
        <v>1</v>
      </c>
      <c r="F10703" t="s">
        <v>7183</v>
      </c>
      <c r="G10703" t="str">
        <f>"08-M03-04"</f>
        <v>08-M03-04</v>
      </c>
      <c r="H10703">
        <v>0.8609</v>
      </c>
      <c r="J10703" t="s">
        <v>14</v>
      </c>
      <c r="K10703" t="str">
        <f>"6F6"</f>
        <v>6F6</v>
      </c>
      <c r="L10703" t="s">
        <v>15</v>
      </c>
    </row>
    <row r="10704" spans="1:12" x14ac:dyDescent="0.25">
      <c r="A10704" t="str">
        <f>"7851135325"</f>
        <v>7851135325</v>
      </c>
      <c r="B10704" t="str">
        <f t="shared" si="442"/>
        <v>89301000</v>
      </c>
      <c r="C10704" s="1">
        <v>44404</v>
      </c>
      <c r="D10704" s="1">
        <v>44411</v>
      </c>
      <c r="E10704">
        <v>1</v>
      </c>
      <c r="F10704" t="s">
        <v>4999</v>
      </c>
      <c r="G10704" t="str">
        <f>"10-I13-02"</f>
        <v>10-I13-02</v>
      </c>
      <c r="H10704">
        <v>1.1818</v>
      </c>
      <c r="I10704" t="s">
        <v>7184</v>
      </c>
      <c r="J10704" t="s">
        <v>24</v>
      </c>
      <c r="K10704" t="str">
        <f>"7F1"</f>
        <v>7F1</v>
      </c>
      <c r="L10704" t="s">
        <v>15</v>
      </c>
    </row>
    <row r="10705" spans="1:12" x14ac:dyDescent="0.25">
      <c r="A10705" t="str">
        <f>"7851145302"</f>
        <v>7851145302</v>
      </c>
      <c r="B10705" t="str">
        <f t="shared" si="442"/>
        <v>89301000</v>
      </c>
      <c r="C10705" s="1">
        <v>44472</v>
      </c>
      <c r="D10705" s="1">
        <v>44480</v>
      </c>
      <c r="E10705">
        <v>1</v>
      </c>
      <c r="F10705" t="s">
        <v>920</v>
      </c>
      <c r="G10705" t="str">
        <f>"01-I06-04"</f>
        <v>01-I06-04</v>
      </c>
      <c r="H10705">
        <v>3.6231</v>
      </c>
      <c r="J10705" t="s">
        <v>17</v>
      </c>
      <c r="K10705" t="str">
        <f>"5F6"</f>
        <v>5F6</v>
      </c>
      <c r="L10705" t="s">
        <v>15</v>
      </c>
    </row>
    <row r="10706" spans="1:12" x14ac:dyDescent="0.25">
      <c r="A10706" t="str">
        <f>"7851205307"</f>
        <v>7851205307</v>
      </c>
      <c r="B10706" t="str">
        <f t="shared" si="442"/>
        <v>89301000</v>
      </c>
      <c r="C10706" s="1">
        <v>44238</v>
      </c>
      <c r="D10706" s="1">
        <v>44251</v>
      </c>
      <c r="E10706">
        <v>1</v>
      </c>
      <c r="F10706" t="s">
        <v>4557</v>
      </c>
      <c r="G10706" t="str">
        <f>"20-K03-03"</f>
        <v>20-K03-03</v>
      </c>
      <c r="H10706">
        <v>1.0109999999999999</v>
      </c>
      <c r="I10706" t="s">
        <v>7185</v>
      </c>
      <c r="J10706" t="s">
        <v>14</v>
      </c>
      <c r="K10706" t="str">
        <f>"3F5"</f>
        <v>3F5</v>
      </c>
      <c r="L10706" t="s">
        <v>15</v>
      </c>
    </row>
    <row r="10707" spans="1:12" x14ac:dyDescent="0.25">
      <c r="A10707" t="str">
        <f>"7851205307"</f>
        <v>7851205307</v>
      </c>
      <c r="B10707" t="str">
        <f t="shared" si="442"/>
        <v>89301000</v>
      </c>
      <c r="C10707" s="1">
        <v>44340</v>
      </c>
      <c r="D10707" s="1">
        <v>44349</v>
      </c>
      <c r="E10707">
        <v>5</v>
      </c>
      <c r="F10707" t="s">
        <v>290</v>
      </c>
      <c r="G10707" t="str">
        <f>"00-M01-04"</f>
        <v>00-M01-04</v>
      </c>
      <c r="H10707">
        <v>6.85</v>
      </c>
      <c r="I10707" t="s">
        <v>7186</v>
      </c>
      <c r="J10707" t="s">
        <v>14</v>
      </c>
      <c r="K10707" t="str">
        <f>"7T8"</f>
        <v>7T8</v>
      </c>
      <c r="L10707" t="s">
        <v>15</v>
      </c>
    </row>
    <row r="10708" spans="1:12" x14ac:dyDescent="0.25">
      <c r="A10708" t="str">
        <f>"7851215251"</f>
        <v>7851215251</v>
      </c>
      <c r="B10708" t="str">
        <f t="shared" si="442"/>
        <v>89301000</v>
      </c>
      <c r="C10708" s="1">
        <v>44385</v>
      </c>
      <c r="D10708" s="1">
        <v>44400</v>
      </c>
      <c r="E10708">
        <v>1</v>
      </c>
      <c r="F10708" t="s">
        <v>2261</v>
      </c>
      <c r="G10708" t="str">
        <f>"02-K01-01"</f>
        <v>02-K01-01</v>
      </c>
      <c r="H10708">
        <v>1.2845</v>
      </c>
      <c r="I10708" t="s">
        <v>7187</v>
      </c>
      <c r="J10708" t="s">
        <v>14</v>
      </c>
      <c r="K10708" t="str">
        <f>"7F5"</f>
        <v>7F5</v>
      </c>
      <c r="L10708" t="s">
        <v>15</v>
      </c>
    </row>
    <row r="10709" spans="1:12" x14ac:dyDescent="0.25">
      <c r="A10709" t="str">
        <f>"7851215251"</f>
        <v>7851215251</v>
      </c>
      <c r="B10709" t="str">
        <f t="shared" si="442"/>
        <v>89301000</v>
      </c>
      <c r="C10709" s="1">
        <v>44403</v>
      </c>
      <c r="D10709" s="1">
        <v>44418</v>
      </c>
      <c r="E10709">
        <v>1</v>
      </c>
      <c r="F10709" t="s">
        <v>2261</v>
      </c>
      <c r="G10709" t="str">
        <f>"02-K01-01"</f>
        <v>02-K01-01</v>
      </c>
      <c r="H10709">
        <v>1.4831000000000001</v>
      </c>
      <c r="I10709" t="s">
        <v>7188</v>
      </c>
      <c r="J10709" t="s">
        <v>14</v>
      </c>
      <c r="K10709" t="str">
        <f>"7F5"</f>
        <v>7F5</v>
      </c>
      <c r="L10709" t="s">
        <v>15</v>
      </c>
    </row>
    <row r="10710" spans="1:12" x14ac:dyDescent="0.25">
      <c r="A10710" t="str">
        <f>"7851224469"</f>
        <v>7851224469</v>
      </c>
      <c r="B10710" t="str">
        <f t="shared" si="442"/>
        <v>89301000</v>
      </c>
      <c r="C10710" s="1">
        <v>44460</v>
      </c>
      <c r="D10710" s="1">
        <v>44466</v>
      </c>
      <c r="E10710">
        <v>1</v>
      </c>
      <c r="F10710" t="s">
        <v>2495</v>
      </c>
      <c r="G10710" t="str">
        <f>"13-I11-03"</f>
        <v>13-I11-03</v>
      </c>
      <c r="H10710">
        <v>1.3809</v>
      </c>
      <c r="J10710" t="s">
        <v>24</v>
      </c>
      <c r="K10710" t="str">
        <f>"6F3"</f>
        <v>6F3</v>
      </c>
      <c r="L10710" t="s">
        <v>15</v>
      </c>
    </row>
    <row r="10711" spans="1:12" x14ac:dyDescent="0.25">
      <c r="A10711" t="str">
        <f>"7852024466"</f>
        <v>7852024466</v>
      </c>
      <c r="B10711" t="str">
        <f t="shared" si="442"/>
        <v>89301000</v>
      </c>
      <c r="C10711" s="1">
        <v>44342</v>
      </c>
      <c r="D10711" s="1">
        <v>44343</v>
      </c>
      <c r="E10711">
        <v>1</v>
      </c>
      <c r="F10711" t="s">
        <v>186</v>
      </c>
      <c r="G10711" t="str">
        <f>"05-M05-03"</f>
        <v>05-M05-03</v>
      </c>
      <c r="H10711">
        <v>1.9991000000000001</v>
      </c>
      <c r="J10711" t="s">
        <v>24</v>
      </c>
      <c r="K10711" t="str">
        <f>"1F7"</f>
        <v>1F7</v>
      </c>
      <c r="L10711" t="s">
        <v>15</v>
      </c>
    </row>
    <row r="10712" spans="1:12" x14ac:dyDescent="0.25">
      <c r="A10712" t="str">
        <f>"7852034201"</f>
        <v>7852034201</v>
      </c>
      <c r="B10712" t="str">
        <f t="shared" si="442"/>
        <v>89301000</v>
      </c>
      <c r="C10712" s="1">
        <v>44524</v>
      </c>
      <c r="D10712" s="1">
        <v>44530</v>
      </c>
      <c r="E10712">
        <v>1</v>
      </c>
      <c r="F10712" t="s">
        <v>6425</v>
      </c>
      <c r="G10712" t="str">
        <f>"13-I04-04"</f>
        <v>13-I04-04</v>
      </c>
      <c r="H10712">
        <v>2.2545999999999999</v>
      </c>
      <c r="I10712" t="s">
        <v>4396</v>
      </c>
      <c r="J10712" t="s">
        <v>106</v>
      </c>
      <c r="K10712" t="str">
        <f>"6F3"</f>
        <v>6F3</v>
      </c>
      <c r="L10712" t="s">
        <v>15</v>
      </c>
    </row>
    <row r="10713" spans="1:12" x14ac:dyDescent="0.25">
      <c r="A10713" t="str">
        <f>"7852125787"</f>
        <v>7852125787</v>
      </c>
      <c r="B10713" t="str">
        <f t="shared" si="442"/>
        <v>89301000</v>
      </c>
      <c r="C10713" s="1">
        <v>44356</v>
      </c>
      <c r="D10713" s="1">
        <v>44357</v>
      </c>
      <c r="E10713">
        <v>1</v>
      </c>
      <c r="F10713" t="s">
        <v>186</v>
      </c>
      <c r="G10713" t="str">
        <f>"05-M05-03"</f>
        <v>05-M05-03</v>
      </c>
      <c r="H10713">
        <v>1.9991000000000001</v>
      </c>
      <c r="J10713" t="s">
        <v>24</v>
      </c>
      <c r="K10713" t="str">
        <f>"1F7"</f>
        <v>1F7</v>
      </c>
      <c r="L10713" t="s">
        <v>15</v>
      </c>
    </row>
    <row r="10714" spans="1:12" x14ac:dyDescent="0.25">
      <c r="A10714" t="str">
        <f>"7852174462"</f>
        <v>7852174462</v>
      </c>
      <c r="B10714" t="str">
        <f t="shared" si="442"/>
        <v>89301000</v>
      </c>
      <c r="C10714" s="1">
        <v>44289</v>
      </c>
      <c r="D10714" s="1">
        <v>44337</v>
      </c>
      <c r="E10714">
        <v>3</v>
      </c>
      <c r="F10714" t="s">
        <v>7189</v>
      </c>
      <c r="G10714" t="str">
        <f>"00-M03-02"</f>
        <v>00-M03-02</v>
      </c>
      <c r="H10714">
        <v>32.054000000000002</v>
      </c>
      <c r="I10714" t="s">
        <v>7190</v>
      </c>
      <c r="J10714" t="s">
        <v>14</v>
      </c>
      <c r="K10714" t="str">
        <f>"5F1"</f>
        <v>5F1</v>
      </c>
      <c r="L10714" t="s">
        <v>15</v>
      </c>
    </row>
    <row r="10715" spans="1:12" x14ac:dyDescent="0.25">
      <c r="A10715" t="str">
        <f>"7852174462"</f>
        <v>7852174462</v>
      </c>
      <c r="B10715" t="str">
        <f t="shared" si="442"/>
        <v>89301000</v>
      </c>
      <c r="C10715" s="1">
        <v>44337</v>
      </c>
      <c r="D10715" s="1">
        <v>44358</v>
      </c>
      <c r="E10715">
        <v>1</v>
      </c>
      <c r="F10715" t="s">
        <v>109</v>
      </c>
      <c r="G10715" t="str">
        <f>"24-M08-02"</f>
        <v>24-M08-02</v>
      </c>
      <c r="H10715">
        <v>2.3557000000000001</v>
      </c>
      <c r="I10715" t="s">
        <v>7191</v>
      </c>
      <c r="J10715" t="s">
        <v>14</v>
      </c>
      <c r="K10715" t="str">
        <f>"2F1"</f>
        <v>2F1</v>
      </c>
      <c r="L10715" t="s">
        <v>15</v>
      </c>
    </row>
    <row r="10716" spans="1:12" x14ac:dyDescent="0.25">
      <c r="A10716" t="str">
        <f>"7852244466"</f>
        <v>7852244466</v>
      </c>
      <c r="B10716" t="str">
        <f t="shared" si="442"/>
        <v>89301000</v>
      </c>
      <c r="C10716" s="1">
        <v>44382</v>
      </c>
      <c r="D10716" s="1">
        <v>44390</v>
      </c>
      <c r="E10716">
        <v>3</v>
      </c>
      <c r="F10716" t="s">
        <v>67</v>
      </c>
      <c r="G10716" t="str">
        <f>"01-M02-00"</f>
        <v>01-M02-00</v>
      </c>
      <c r="H10716">
        <v>5.4023000000000003</v>
      </c>
      <c r="I10716" t="s">
        <v>7192</v>
      </c>
      <c r="J10716" t="s">
        <v>17</v>
      </c>
      <c r="K10716" t="str">
        <f>"2F9"</f>
        <v>2F9</v>
      </c>
      <c r="L10716" t="s">
        <v>15</v>
      </c>
    </row>
    <row r="10717" spans="1:12" x14ac:dyDescent="0.25">
      <c r="A10717" t="str">
        <f>"7852244466"</f>
        <v>7852244466</v>
      </c>
      <c r="B10717" t="str">
        <f t="shared" si="442"/>
        <v>89301000</v>
      </c>
      <c r="C10717" s="1">
        <v>44390</v>
      </c>
      <c r="D10717" s="1">
        <v>44400</v>
      </c>
      <c r="E10717">
        <v>1</v>
      </c>
      <c r="F10717" t="s">
        <v>109</v>
      </c>
      <c r="G10717" t="str">
        <f>"24-M06-01"</f>
        <v>24-M06-01</v>
      </c>
      <c r="H10717">
        <v>1.1548</v>
      </c>
      <c r="I10717" t="s">
        <v>2793</v>
      </c>
      <c r="J10717" t="s">
        <v>14</v>
      </c>
      <c r="K10717" t="str">
        <f>"2F1"</f>
        <v>2F1</v>
      </c>
      <c r="L10717" t="s">
        <v>15</v>
      </c>
    </row>
    <row r="10718" spans="1:12" x14ac:dyDescent="0.25">
      <c r="A10718" t="str">
        <f>"7852263837"</f>
        <v>7852263837</v>
      </c>
      <c r="B10718" t="str">
        <f t="shared" si="442"/>
        <v>89301000</v>
      </c>
      <c r="C10718" s="1">
        <v>44479</v>
      </c>
      <c r="D10718" s="1">
        <v>44482</v>
      </c>
      <c r="E10718">
        <v>1</v>
      </c>
      <c r="F10718" t="s">
        <v>2390</v>
      </c>
      <c r="G10718" t="str">
        <f>"17-I10-02"</f>
        <v>17-I10-02</v>
      </c>
      <c r="H10718">
        <v>0.92959999999999998</v>
      </c>
      <c r="I10718" t="s">
        <v>1551</v>
      </c>
      <c r="J10718" t="s">
        <v>14</v>
      </c>
      <c r="K10718" t="str">
        <f>"5F1"</f>
        <v>5F1</v>
      </c>
      <c r="L10718" t="s">
        <v>15</v>
      </c>
    </row>
    <row r="10719" spans="1:12" x14ac:dyDescent="0.25">
      <c r="A10719" t="str">
        <f>"7852263837"</f>
        <v>7852263837</v>
      </c>
      <c r="B10719" t="str">
        <f t="shared" si="442"/>
        <v>89301000</v>
      </c>
      <c r="C10719" s="1">
        <v>44459</v>
      </c>
      <c r="D10719" s="1">
        <v>44462</v>
      </c>
      <c r="E10719">
        <v>1</v>
      </c>
      <c r="F10719" t="s">
        <v>1551</v>
      </c>
      <c r="G10719" t="str">
        <f>"09-I06-04"</f>
        <v>09-I06-04</v>
      </c>
      <c r="H10719">
        <v>0.98829999999999996</v>
      </c>
      <c r="J10719" t="s">
        <v>17</v>
      </c>
      <c r="K10719" t="str">
        <f>"5F1"</f>
        <v>5F1</v>
      </c>
      <c r="L10719" t="s">
        <v>15</v>
      </c>
    </row>
    <row r="10720" spans="1:12" x14ac:dyDescent="0.25">
      <c r="A10720" t="str">
        <f>"7853015368"</f>
        <v>7853015368</v>
      </c>
      <c r="B10720" t="str">
        <f t="shared" si="442"/>
        <v>89301000</v>
      </c>
      <c r="C10720" s="1">
        <v>44323</v>
      </c>
      <c r="D10720" s="1">
        <v>44326</v>
      </c>
      <c r="E10720">
        <v>1</v>
      </c>
      <c r="F10720" t="s">
        <v>5700</v>
      </c>
      <c r="G10720" t="str">
        <f>"08-K04-03"</f>
        <v>08-K04-03</v>
      </c>
      <c r="H10720">
        <v>0.45050000000000001</v>
      </c>
      <c r="I10720" t="s">
        <v>7193</v>
      </c>
      <c r="J10720" t="s">
        <v>14</v>
      </c>
      <c r="K10720" t="str">
        <f>"1F9"</f>
        <v>1F9</v>
      </c>
      <c r="L10720" t="s">
        <v>15</v>
      </c>
    </row>
    <row r="10721" spans="1:12" x14ac:dyDescent="0.25">
      <c r="A10721" t="str">
        <f>"7853015786"</f>
        <v>7853015786</v>
      </c>
      <c r="B10721" t="str">
        <f t="shared" si="442"/>
        <v>89301000</v>
      </c>
      <c r="C10721" s="1">
        <v>44326</v>
      </c>
      <c r="D10721" s="1">
        <v>44333</v>
      </c>
      <c r="E10721">
        <v>1</v>
      </c>
      <c r="F10721" t="s">
        <v>2437</v>
      </c>
      <c r="G10721" t="str">
        <f>"06-K07-02"</f>
        <v>06-K07-02</v>
      </c>
      <c r="H10721">
        <v>0.44419999999999998</v>
      </c>
      <c r="J10721" t="s">
        <v>14</v>
      </c>
      <c r="K10721" t="str">
        <f>"5F1"</f>
        <v>5F1</v>
      </c>
      <c r="L10721" t="s">
        <v>15</v>
      </c>
    </row>
    <row r="10722" spans="1:12" x14ac:dyDescent="0.25">
      <c r="A10722" t="str">
        <f>"7853034486"</f>
        <v>7853034486</v>
      </c>
      <c r="B10722" t="str">
        <f t="shared" si="442"/>
        <v>89301000</v>
      </c>
      <c r="C10722" s="1">
        <v>44341</v>
      </c>
      <c r="D10722" s="1">
        <v>44342</v>
      </c>
      <c r="E10722">
        <v>1</v>
      </c>
      <c r="F10722" t="s">
        <v>4382</v>
      </c>
      <c r="G10722" t="str">
        <f>"05-I30-02"</f>
        <v>05-I30-02</v>
      </c>
      <c r="H10722">
        <v>0.46729999999999999</v>
      </c>
      <c r="J10722" t="s">
        <v>14</v>
      </c>
      <c r="K10722" t="str">
        <f>"5F1"</f>
        <v>5F1</v>
      </c>
      <c r="L10722" t="s">
        <v>15</v>
      </c>
    </row>
    <row r="10723" spans="1:12" x14ac:dyDescent="0.25">
      <c r="A10723" t="str">
        <f>"7853075769"</f>
        <v>7853075769</v>
      </c>
      <c r="B10723" t="str">
        <f t="shared" ref="B10723:B10785" si="443">"89301000"</f>
        <v>89301000</v>
      </c>
      <c r="C10723" s="1">
        <v>44473</v>
      </c>
      <c r="D10723" s="1">
        <v>44475</v>
      </c>
      <c r="E10723">
        <v>1</v>
      </c>
      <c r="F10723" t="s">
        <v>750</v>
      </c>
      <c r="G10723" t="str">
        <f>"11-I14-02"</f>
        <v>11-I14-02</v>
      </c>
      <c r="H10723">
        <v>0.63060000000000005</v>
      </c>
      <c r="J10723" t="s">
        <v>24</v>
      </c>
      <c r="K10723" t="str">
        <f>"7F6"</f>
        <v>7F6</v>
      </c>
      <c r="L10723" t="s">
        <v>15</v>
      </c>
    </row>
    <row r="10724" spans="1:12" x14ac:dyDescent="0.25">
      <c r="A10724" t="str">
        <f>"7853175319"</f>
        <v>7853175319</v>
      </c>
      <c r="B10724" t="str">
        <f t="shared" si="443"/>
        <v>89301000</v>
      </c>
      <c r="C10724" s="1">
        <v>44342</v>
      </c>
      <c r="D10724" s="1">
        <v>44345</v>
      </c>
      <c r="E10724">
        <v>1</v>
      </c>
      <c r="F10724" t="s">
        <v>2527</v>
      </c>
      <c r="G10724" t="str">
        <f>"13-I14-03"</f>
        <v>13-I14-03</v>
      </c>
      <c r="H10724">
        <v>0.83199999999999996</v>
      </c>
      <c r="J10724" t="s">
        <v>24</v>
      </c>
      <c r="K10724" t="str">
        <f>"6F3"</f>
        <v>6F3</v>
      </c>
      <c r="L10724" t="s">
        <v>15</v>
      </c>
    </row>
    <row r="10725" spans="1:12" x14ac:dyDescent="0.25">
      <c r="A10725" t="str">
        <f>"7853293503"</f>
        <v>7853293503</v>
      </c>
      <c r="B10725" t="str">
        <f t="shared" si="443"/>
        <v>89301000</v>
      </c>
      <c r="C10725" s="1">
        <v>44500</v>
      </c>
      <c r="D10725" s="1">
        <v>44502</v>
      </c>
      <c r="E10725">
        <v>1</v>
      </c>
      <c r="F10725" t="s">
        <v>4820</v>
      </c>
      <c r="G10725" t="str">
        <f>"08-I32-02"</f>
        <v>08-I32-02</v>
      </c>
      <c r="H10725">
        <v>0.4143</v>
      </c>
      <c r="J10725" t="s">
        <v>14</v>
      </c>
      <c r="K10725" t="str">
        <f>"6F6"</f>
        <v>6F6</v>
      </c>
      <c r="L10725" t="s">
        <v>15</v>
      </c>
    </row>
    <row r="10726" spans="1:12" x14ac:dyDescent="0.25">
      <c r="A10726" t="str">
        <f>"7853294504"</f>
        <v>7853294504</v>
      </c>
      <c r="B10726" t="str">
        <f t="shared" si="443"/>
        <v>89301000</v>
      </c>
      <c r="C10726" s="1">
        <v>44405</v>
      </c>
      <c r="D10726" s="1">
        <v>44406</v>
      </c>
      <c r="E10726">
        <v>1</v>
      </c>
      <c r="F10726" t="s">
        <v>1558</v>
      </c>
      <c r="G10726" t="str">
        <f>"05-K09-03"</f>
        <v>05-K09-03</v>
      </c>
      <c r="H10726">
        <v>0.42549999999999999</v>
      </c>
      <c r="J10726" t="s">
        <v>14</v>
      </c>
      <c r="K10726" t="str">
        <f>"5F5"</f>
        <v>5F5</v>
      </c>
      <c r="L10726" t="s">
        <v>15</v>
      </c>
    </row>
    <row r="10727" spans="1:12" x14ac:dyDescent="0.25">
      <c r="A10727" t="str">
        <f>"7853294504"</f>
        <v>7853294504</v>
      </c>
      <c r="B10727" t="str">
        <f t="shared" si="443"/>
        <v>89301000</v>
      </c>
      <c r="C10727" s="1">
        <v>44409</v>
      </c>
      <c r="D10727" s="1">
        <v>44418</v>
      </c>
      <c r="E10727">
        <v>1</v>
      </c>
      <c r="F10727" t="s">
        <v>1558</v>
      </c>
      <c r="G10727" t="str">
        <f>"05-I12-03"</f>
        <v>05-I12-03</v>
      </c>
      <c r="H10727">
        <v>6.4964000000000004</v>
      </c>
      <c r="I10727" t="s">
        <v>7194</v>
      </c>
      <c r="J10727" t="s">
        <v>17</v>
      </c>
      <c r="K10727" t="str">
        <f>"5F5"</f>
        <v>5F5</v>
      </c>
      <c r="L10727" t="s">
        <v>15</v>
      </c>
    </row>
    <row r="10728" spans="1:12" x14ac:dyDescent="0.25">
      <c r="A10728" t="str">
        <f>"7853305361"</f>
        <v>7853305361</v>
      </c>
      <c r="B10728" t="str">
        <f t="shared" si="443"/>
        <v>89301000</v>
      </c>
      <c r="C10728" s="1">
        <v>44304</v>
      </c>
      <c r="D10728" s="1">
        <v>44313</v>
      </c>
      <c r="E10728">
        <v>1</v>
      </c>
      <c r="F10728" t="s">
        <v>3145</v>
      </c>
      <c r="G10728" t="str">
        <f>"10-I13-02"</f>
        <v>10-I13-02</v>
      </c>
      <c r="H10728">
        <v>1.2608999999999999</v>
      </c>
      <c r="I10728" t="s">
        <v>7195</v>
      </c>
      <c r="J10728" t="s">
        <v>24</v>
      </c>
      <c r="K10728" t="str">
        <f>"7F1"</f>
        <v>7F1</v>
      </c>
      <c r="L10728" t="s">
        <v>15</v>
      </c>
    </row>
    <row r="10729" spans="1:12" x14ac:dyDescent="0.25">
      <c r="A10729" t="str">
        <f>"7854014883"</f>
        <v>7854014883</v>
      </c>
      <c r="B10729" t="str">
        <f t="shared" si="443"/>
        <v>89301000</v>
      </c>
      <c r="C10729" s="1">
        <v>44202</v>
      </c>
      <c r="D10729" s="1">
        <v>44207</v>
      </c>
      <c r="E10729">
        <v>1</v>
      </c>
      <c r="F10729" t="s">
        <v>2495</v>
      </c>
      <c r="G10729" t="str">
        <f>"13-I11-03"</f>
        <v>13-I11-03</v>
      </c>
      <c r="H10729">
        <v>1.3809</v>
      </c>
      <c r="J10729" t="s">
        <v>24</v>
      </c>
      <c r="K10729" t="str">
        <f>"6F3"</f>
        <v>6F3</v>
      </c>
      <c r="L10729" t="s">
        <v>15</v>
      </c>
    </row>
    <row r="10730" spans="1:12" x14ac:dyDescent="0.25">
      <c r="A10730" t="str">
        <f>"7854035409"</f>
        <v>7854035409</v>
      </c>
      <c r="B10730" t="str">
        <f t="shared" si="443"/>
        <v>89301000</v>
      </c>
      <c r="C10730" s="1">
        <v>44337</v>
      </c>
      <c r="D10730" s="1">
        <v>44339</v>
      </c>
      <c r="E10730">
        <v>1</v>
      </c>
      <c r="F10730" t="s">
        <v>320</v>
      </c>
      <c r="G10730" t="str">
        <f>"03-I23-00"</f>
        <v>03-I23-00</v>
      </c>
      <c r="H10730">
        <v>0.47639999999999999</v>
      </c>
      <c r="I10730" t="s">
        <v>7196</v>
      </c>
      <c r="J10730" t="s">
        <v>14</v>
      </c>
      <c r="K10730" t="str">
        <f>"6F5"</f>
        <v>6F5</v>
      </c>
      <c r="L10730" t="s">
        <v>15</v>
      </c>
    </row>
    <row r="10731" spans="1:12" x14ac:dyDescent="0.25">
      <c r="A10731" t="str">
        <f>"7854079926"</f>
        <v>7854079926</v>
      </c>
      <c r="B10731" t="str">
        <f t="shared" si="443"/>
        <v>89301000</v>
      </c>
      <c r="C10731" s="1">
        <v>44468</v>
      </c>
      <c r="D10731" s="1">
        <v>44471</v>
      </c>
      <c r="E10731">
        <v>1</v>
      </c>
      <c r="F10731" t="s">
        <v>197</v>
      </c>
      <c r="G10731" t="str">
        <f>"03-I18-02"</f>
        <v>03-I18-02</v>
      </c>
      <c r="H10731">
        <v>0.84370000000000001</v>
      </c>
      <c r="J10731" t="s">
        <v>24</v>
      </c>
      <c r="K10731" t="str">
        <f>"7F1"</f>
        <v>7F1</v>
      </c>
      <c r="L10731" t="s">
        <v>15</v>
      </c>
    </row>
    <row r="10732" spans="1:12" x14ac:dyDescent="0.25">
      <c r="A10732" t="str">
        <f>"7854085778"</f>
        <v>7854085778</v>
      </c>
      <c r="B10732" t="str">
        <f t="shared" si="443"/>
        <v>89301000</v>
      </c>
      <c r="C10732" s="1">
        <v>44363</v>
      </c>
      <c r="D10732" s="1">
        <v>44364</v>
      </c>
      <c r="E10732">
        <v>1</v>
      </c>
      <c r="F10732" t="s">
        <v>41</v>
      </c>
      <c r="G10732" t="str">
        <f>"01-D01-03"</f>
        <v>01-D01-03</v>
      </c>
      <c r="H10732">
        <v>0.158</v>
      </c>
      <c r="J10732" t="s">
        <v>14</v>
      </c>
      <c r="K10732" t="str">
        <f>"2F5"</f>
        <v>2F5</v>
      </c>
      <c r="L10732" t="s">
        <v>15</v>
      </c>
    </row>
    <row r="10733" spans="1:12" x14ac:dyDescent="0.25">
      <c r="A10733" t="str">
        <f>"7854093687"</f>
        <v>7854093687</v>
      </c>
      <c r="B10733" t="str">
        <f t="shared" si="443"/>
        <v>89301000</v>
      </c>
      <c r="C10733" s="1">
        <v>44508</v>
      </c>
      <c r="D10733" s="1">
        <v>44510</v>
      </c>
      <c r="E10733">
        <v>1</v>
      </c>
      <c r="F10733" t="s">
        <v>6775</v>
      </c>
      <c r="G10733" t="str">
        <f>"08-I26-03"</f>
        <v>08-I26-03</v>
      </c>
      <c r="H10733">
        <v>0.45679999999999998</v>
      </c>
      <c r="J10733" t="s">
        <v>14</v>
      </c>
      <c r="K10733" t="str">
        <f>"6F6"</f>
        <v>6F6</v>
      </c>
      <c r="L10733" t="s">
        <v>15</v>
      </c>
    </row>
    <row r="10734" spans="1:12" x14ac:dyDescent="0.25">
      <c r="A10734" t="str">
        <f>"7854135410"</f>
        <v>7854135410</v>
      </c>
      <c r="B10734" t="str">
        <f t="shared" si="443"/>
        <v>89301000</v>
      </c>
      <c r="C10734" s="1">
        <v>44270</v>
      </c>
      <c r="D10734" s="1">
        <v>44271</v>
      </c>
      <c r="E10734">
        <v>6</v>
      </c>
      <c r="F10734" t="s">
        <v>662</v>
      </c>
      <c r="G10734" t="str">
        <f>"19-K01-03"</f>
        <v>19-K01-03</v>
      </c>
      <c r="H10734">
        <v>0.60250000000000004</v>
      </c>
      <c r="I10734" t="s">
        <v>7197</v>
      </c>
      <c r="J10734" t="s">
        <v>27</v>
      </c>
      <c r="K10734" t="str">
        <f>"2T9"</f>
        <v>2T9</v>
      </c>
      <c r="L10734" t="s">
        <v>15</v>
      </c>
    </row>
    <row r="10735" spans="1:12" x14ac:dyDescent="0.25">
      <c r="A10735" t="str">
        <f>"7854135410"</f>
        <v>7854135410</v>
      </c>
      <c r="B10735" t="str">
        <f t="shared" si="443"/>
        <v>89301000</v>
      </c>
      <c r="C10735" s="1">
        <v>44277</v>
      </c>
      <c r="D10735" s="1">
        <v>44280</v>
      </c>
      <c r="E10735">
        <v>4</v>
      </c>
      <c r="F10735" t="s">
        <v>7198</v>
      </c>
      <c r="G10735" t="str">
        <f>"05-K13-02"</f>
        <v>05-K13-02</v>
      </c>
      <c r="H10735">
        <v>0.60950000000000004</v>
      </c>
      <c r="I10735" t="s">
        <v>7199</v>
      </c>
      <c r="J10735" t="s">
        <v>14</v>
      </c>
      <c r="K10735" t="str">
        <f>"1F1"</f>
        <v>1F1</v>
      </c>
      <c r="L10735" t="s">
        <v>15</v>
      </c>
    </row>
    <row r="10736" spans="1:12" x14ac:dyDescent="0.25">
      <c r="A10736" t="str">
        <f>"7854154462"</f>
        <v>7854154462</v>
      </c>
      <c r="B10736" t="str">
        <f t="shared" si="443"/>
        <v>89301000</v>
      </c>
      <c r="C10736" s="1">
        <v>44214</v>
      </c>
      <c r="D10736" s="1">
        <v>44221</v>
      </c>
      <c r="E10736">
        <v>1</v>
      </c>
      <c r="F10736" t="s">
        <v>191</v>
      </c>
      <c r="G10736" t="str">
        <f>"02-K02-01"</f>
        <v>02-K02-01</v>
      </c>
      <c r="H10736">
        <v>0.8901</v>
      </c>
      <c r="I10736" t="s">
        <v>7200</v>
      </c>
      <c r="J10736" t="s">
        <v>14</v>
      </c>
      <c r="K10736" t="str">
        <f>"2F9"</f>
        <v>2F9</v>
      </c>
      <c r="L10736" t="s">
        <v>15</v>
      </c>
    </row>
    <row r="10737" spans="1:12" x14ac:dyDescent="0.25">
      <c r="A10737" t="str">
        <f>"7854195382"</f>
        <v>7854195382</v>
      </c>
      <c r="B10737" t="str">
        <f t="shared" si="443"/>
        <v>89301000</v>
      </c>
      <c r="C10737" s="1">
        <v>44335</v>
      </c>
      <c r="D10737" s="1">
        <v>44340</v>
      </c>
      <c r="E10737">
        <v>1</v>
      </c>
      <c r="F10737" t="s">
        <v>43</v>
      </c>
      <c r="G10737" t="str">
        <f>"06-I18-05"</f>
        <v>06-I18-05</v>
      </c>
      <c r="H10737">
        <v>0.85550000000000004</v>
      </c>
      <c r="I10737" t="s">
        <v>489</v>
      </c>
      <c r="J10737" t="s">
        <v>24</v>
      </c>
      <c r="K10737" t="str">
        <f>"5F1"</f>
        <v>5F1</v>
      </c>
      <c r="L10737" t="s">
        <v>15</v>
      </c>
    </row>
    <row r="10738" spans="1:12" x14ac:dyDescent="0.25">
      <c r="A10738" t="str">
        <f>"7854204765"</f>
        <v>7854204765</v>
      </c>
      <c r="B10738" t="str">
        <f t="shared" si="443"/>
        <v>89301000</v>
      </c>
      <c r="C10738" s="1">
        <v>44266</v>
      </c>
      <c r="D10738" s="1">
        <v>44270</v>
      </c>
      <c r="E10738">
        <v>1</v>
      </c>
      <c r="F10738" t="s">
        <v>302</v>
      </c>
      <c r="G10738" t="str">
        <f>"10-K15-02"</f>
        <v>10-K15-02</v>
      </c>
      <c r="H10738">
        <v>1.147</v>
      </c>
      <c r="I10738" t="s">
        <v>2250</v>
      </c>
      <c r="J10738" t="s">
        <v>14</v>
      </c>
      <c r="K10738" t="str">
        <f>"1F5"</f>
        <v>1F5</v>
      </c>
      <c r="L10738" t="s">
        <v>15</v>
      </c>
    </row>
    <row r="10739" spans="1:12" x14ac:dyDescent="0.25">
      <c r="A10739" t="str">
        <f>"7854204765"</f>
        <v>7854204765</v>
      </c>
      <c r="B10739" t="str">
        <f t="shared" si="443"/>
        <v>89301000</v>
      </c>
      <c r="C10739" s="1">
        <v>44417</v>
      </c>
      <c r="D10739" s="1">
        <v>44421</v>
      </c>
      <c r="E10739">
        <v>5</v>
      </c>
      <c r="F10739" t="s">
        <v>7201</v>
      </c>
      <c r="G10739" t="str">
        <f>"04-K02-04"</f>
        <v>04-K02-04</v>
      </c>
      <c r="H10739">
        <v>0.87329999999999997</v>
      </c>
      <c r="I10739" t="s">
        <v>7202</v>
      </c>
      <c r="J10739" t="s">
        <v>14</v>
      </c>
      <c r="K10739" t="str">
        <f>"1F1"</f>
        <v>1F1</v>
      </c>
      <c r="L10739" t="s">
        <v>15</v>
      </c>
    </row>
    <row r="10740" spans="1:12" x14ac:dyDescent="0.25">
      <c r="A10740" t="str">
        <f>"7854265760"</f>
        <v>7854265760</v>
      </c>
      <c r="B10740" t="str">
        <f t="shared" si="443"/>
        <v>89301000</v>
      </c>
      <c r="C10740" s="1">
        <v>44409</v>
      </c>
      <c r="D10740" s="1">
        <v>44420</v>
      </c>
      <c r="E10740">
        <v>4</v>
      </c>
      <c r="F10740" t="s">
        <v>866</v>
      </c>
      <c r="G10740" t="str">
        <f>"08-I13-04"</f>
        <v>08-I13-04</v>
      </c>
      <c r="H10740">
        <v>3.1143000000000001</v>
      </c>
      <c r="I10740" t="s">
        <v>7203</v>
      </c>
      <c r="J10740" t="s">
        <v>17</v>
      </c>
      <c r="K10740" t="str">
        <f>"5F3"</f>
        <v>5F3</v>
      </c>
      <c r="L10740" t="s">
        <v>15</v>
      </c>
    </row>
    <row r="10741" spans="1:12" x14ac:dyDescent="0.25">
      <c r="A10741" t="str">
        <f>"7854275363"</f>
        <v>7854275363</v>
      </c>
      <c r="B10741" t="str">
        <f t="shared" si="443"/>
        <v>89301000</v>
      </c>
      <c r="C10741" s="1">
        <v>44453</v>
      </c>
      <c r="D10741" s="1">
        <v>44454</v>
      </c>
      <c r="E10741">
        <v>1</v>
      </c>
      <c r="F10741" t="s">
        <v>246</v>
      </c>
      <c r="G10741" t="str">
        <f>"01-I13-00"</f>
        <v>01-I13-00</v>
      </c>
      <c r="H10741">
        <v>0.42880000000000001</v>
      </c>
      <c r="J10741" t="s">
        <v>14</v>
      </c>
      <c r="K10741" t="str">
        <f>"5F6"</f>
        <v>5F6</v>
      </c>
      <c r="L10741" t="s">
        <v>15</v>
      </c>
    </row>
    <row r="10742" spans="1:12" x14ac:dyDescent="0.25">
      <c r="A10742" t="str">
        <f>"7855023616"</f>
        <v>7855023616</v>
      </c>
      <c r="B10742" t="str">
        <f t="shared" si="443"/>
        <v>89301000</v>
      </c>
      <c r="C10742" s="1">
        <v>44364</v>
      </c>
      <c r="D10742" s="1">
        <v>44368</v>
      </c>
      <c r="E10742">
        <v>1</v>
      </c>
      <c r="F10742" t="s">
        <v>3381</v>
      </c>
      <c r="G10742" t="str">
        <f>"09-I06-04"</f>
        <v>09-I06-04</v>
      </c>
      <c r="H10742">
        <v>0.98829999999999996</v>
      </c>
      <c r="J10742" t="s">
        <v>17</v>
      </c>
      <c r="K10742" t="str">
        <f>"5F1"</f>
        <v>5F1</v>
      </c>
      <c r="L10742" t="s">
        <v>15</v>
      </c>
    </row>
    <row r="10743" spans="1:12" x14ac:dyDescent="0.25">
      <c r="A10743" t="str">
        <f>"7855045781"</f>
        <v>7855045781</v>
      </c>
      <c r="B10743" t="str">
        <f t="shared" si="443"/>
        <v>89301000</v>
      </c>
      <c r="C10743" s="1">
        <v>44410</v>
      </c>
      <c r="D10743" s="1">
        <v>44413</v>
      </c>
      <c r="E10743">
        <v>1</v>
      </c>
      <c r="F10743" t="s">
        <v>407</v>
      </c>
      <c r="G10743" t="str">
        <f>"03-I19-02"</f>
        <v>03-I19-02</v>
      </c>
      <c r="H10743">
        <v>0.88829999999999998</v>
      </c>
      <c r="I10743" t="s">
        <v>7204</v>
      </c>
      <c r="J10743" t="s">
        <v>14</v>
      </c>
      <c r="K10743" t="str">
        <f>"6F5"</f>
        <v>6F5</v>
      </c>
      <c r="L10743" t="s">
        <v>15</v>
      </c>
    </row>
    <row r="10744" spans="1:12" x14ac:dyDescent="0.25">
      <c r="A10744" t="str">
        <f>"7855135783"</f>
        <v>7855135783</v>
      </c>
      <c r="B10744" t="str">
        <f t="shared" si="443"/>
        <v>89301000</v>
      </c>
      <c r="C10744" s="1">
        <v>44204</v>
      </c>
      <c r="D10744" s="1">
        <v>44213</v>
      </c>
      <c r="E10744">
        <v>1</v>
      </c>
      <c r="F10744" t="s">
        <v>2495</v>
      </c>
      <c r="G10744" t="str">
        <f>"13-I11-03"</f>
        <v>13-I11-03</v>
      </c>
      <c r="H10744">
        <v>1.5034000000000001</v>
      </c>
      <c r="I10744" t="s">
        <v>283</v>
      </c>
      <c r="J10744" t="s">
        <v>24</v>
      </c>
      <c r="K10744" t="str">
        <f>"6F3"</f>
        <v>6F3</v>
      </c>
      <c r="L10744" t="s">
        <v>15</v>
      </c>
    </row>
    <row r="10745" spans="1:12" x14ac:dyDescent="0.25">
      <c r="A10745" t="str">
        <f>"7855205369"</f>
        <v>7855205369</v>
      </c>
      <c r="B10745" t="str">
        <f t="shared" si="443"/>
        <v>89301000</v>
      </c>
      <c r="C10745" s="1">
        <v>44515</v>
      </c>
      <c r="D10745" s="1">
        <v>44538</v>
      </c>
      <c r="E10745">
        <v>1</v>
      </c>
      <c r="F10745" t="s">
        <v>152</v>
      </c>
      <c r="G10745" t="str">
        <f>"19-K05-02"</f>
        <v>19-K05-02</v>
      </c>
      <c r="H10745">
        <v>1.8835999999999999</v>
      </c>
      <c r="I10745" t="s">
        <v>1257</v>
      </c>
      <c r="J10745" t="s">
        <v>27</v>
      </c>
      <c r="K10745" t="str">
        <f>"3F5"</f>
        <v>3F5</v>
      </c>
      <c r="L10745" t="s">
        <v>15</v>
      </c>
    </row>
    <row r="10746" spans="1:12" x14ac:dyDescent="0.25">
      <c r="A10746" t="str">
        <f>"7855205369"</f>
        <v>7855205369</v>
      </c>
      <c r="B10746" t="str">
        <f t="shared" si="443"/>
        <v>89301000</v>
      </c>
      <c r="C10746" s="1">
        <v>44446</v>
      </c>
      <c r="D10746" s="1">
        <v>44469</v>
      </c>
      <c r="E10746">
        <v>1</v>
      </c>
      <c r="F10746" t="s">
        <v>152</v>
      </c>
      <c r="G10746" t="str">
        <f>"19-K06-02"</f>
        <v>19-K06-02</v>
      </c>
      <c r="H10746">
        <v>2.4085000000000001</v>
      </c>
      <c r="I10746" t="s">
        <v>7205</v>
      </c>
      <c r="J10746" t="s">
        <v>27</v>
      </c>
      <c r="K10746" t="str">
        <f>"3F5"</f>
        <v>3F5</v>
      </c>
      <c r="L10746" t="s">
        <v>15</v>
      </c>
    </row>
    <row r="10747" spans="1:12" x14ac:dyDescent="0.25">
      <c r="A10747" t="str">
        <f>"7855274284"</f>
        <v>7855274284</v>
      </c>
      <c r="B10747" t="str">
        <f t="shared" si="443"/>
        <v>89301000</v>
      </c>
      <c r="C10747" s="1">
        <v>44237</v>
      </c>
      <c r="D10747" s="1">
        <v>44239</v>
      </c>
      <c r="E10747">
        <v>1</v>
      </c>
      <c r="F10747" t="s">
        <v>655</v>
      </c>
      <c r="G10747" t="str">
        <f>"02-K11-02"</f>
        <v>02-K11-02</v>
      </c>
      <c r="H10747">
        <v>0.52180000000000004</v>
      </c>
      <c r="I10747" t="s">
        <v>7206</v>
      </c>
      <c r="J10747" t="s">
        <v>14</v>
      </c>
      <c r="K10747" t="str">
        <f>"2F9"</f>
        <v>2F9</v>
      </c>
      <c r="L10747" t="s">
        <v>15</v>
      </c>
    </row>
    <row r="10748" spans="1:12" x14ac:dyDescent="0.25">
      <c r="A10748" t="str">
        <f>"7855284459"</f>
        <v>7855284459</v>
      </c>
      <c r="B10748" t="str">
        <f t="shared" si="443"/>
        <v>89301000</v>
      </c>
      <c r="C10748" s="1">
        <v>44257</v>
      </c>
      <c r="D10748" s="1">
        <v>44270</v>
      </c>
      <c r="E10748">
        <v>5</v>
      </c>
      <c r="F10748" t="s">
        <v>4491</v>
      </c>
      <c r="G10748" t="str">
        <f>"01-K01-01"</f>
        <v>01-K01-01</v>
      </c>
      <c r="H10748">
        <v>0.89549999999999996</v>
      </c>
      <c r="I10748" t="s">
        <v>7207</v>
      </c>
      <c r="J10748" t="s">
        <v>14</v>
      </c>
      <c r="K10748" t="str">
        <f>"2F9"</f>
        <v>2F9</v>
      </c>
      <c r="L10748" t="s">
        <v>15</v>
      </c>
    </row>
    <row r="10749" spans="1:12" x14ac:dyDescent="0.25">
      <c r="A10749" t="str">
        <f>"7855284459"</f>
        <v>7855284459</v>
      </c>
      <c r="B10749" t="str">
        <f t="shared" si="443"/>
        <v>89301000</v>
      </c>
      <c r="C10749" s="1">
        <v>44468</v>
      </c>
      <c r="D10749" s="1">
        <v>44477</v>
      </c>
      <c r="E10749">
        <v>1</v>
      </c>
      <c r="F10749" t="s">
        <v>2281</v>
      </c>
      <c r="G10749" t="str">
        <f>"19-K03-03"</f>
        <v>19-K03-03</v>
      </c>
      <c r="H10749">
        <v>0.93169999999999997</v>
      </c>
      <c r="I10749" t="s">
        <v>7208</v>
      </c>
      <c r="J10749" t="s">
        <v>27</v>
      </c>
      <c r="K10749" t="str">
        <f>"3F5"</f>
        <v>3F5</v>
      </c>
      <c r="L10749" t="s">
        <v>15</v>
      </c>
    </row>
    <row r="10750" spans="1:12" x14ac:dyDescent="0.25">
      <c r="A10750" t="str">
        <f>"7855284459"</f>
        <v>7855284459</v>
      </c>
      <c r="B10750" t="str">
        <f t="shared" si="443"/>
        <v>89301000</v>
      </c>
      <c r="C10750" s="1">
        <v>44489</v>
      </c>
      <c r="D10750" s="1">
        <v>44496</v>
      </c>
      <c r="E10750">
        <v>1</v>
      </c>
      <c r="F10750" t="s">
        <v>4491</v>
      </c>
      <c r="G10750" t="str">
        <f>"01-C01-03"</f>
        <v>01-C01-03</v>
      </c>
      <c r="H10750">
        <v>1.7717000000000001</v>
      </c>
      <c r="I10750" t="s">
        <v>7209</v>
      </c>
      <c r="J10750" t="s">
        <v>14</v>
      </c>
      <c r="K10750" t="str">
        <f>"2F9"</f>
        <v>2F9</v>
      </c>
      <c r="L10750" t="s">
        <v>15</v>
      </c>
    </row>
    <row r="10751" spans="1:12" x14ac:dyDescent="0.25">
      <c r="A10751" t="str">
        <f>"7856035682"</f>
        <v>7856035682</v>
      </c>
      <c r="B10751" t="str">
        <f t="shared" si="443"/>
        <v>89301000</v>
      </c>
      <c r="C10751" s="1">
        <v>44439</v>
      </c>
      <c r="D10751" s="1">
        <v>44446</v>
      </c>
      <c r="E10751">
        <v>1</v>
      </c>
      <c r="F10751" t="s">
        <v>4249</v>
      </c>
      <c r="G10751" t="str">
        <f>"04-K05-02"</f>
        <v>04-K05-02</v>
      </c>
      <c r="H10751">
        <v>1.2657</v>
      </c>
      <c r="I10751" t="s">
        <v>92</v>
      </c>
      <c r="J10751" t="s">
        <v>14</v>
      </c>
      <c r="K10751" t="str">
        <f>"1F7"</f>
        <v>1F7</v>
      </c>
      <c r="L10751" t="s">
        <v>15</v>
      </c>
    </row>
    <row r="10752" spans="1:12" x14ac:dyDescent="0.25">
      <c r="A10752" t="str">
        <f>"7856069936"</f>
        <v>7856069936</v>
      </c>
      <c r="B10752" t="str">
        <f t="shared" si="443"/>
        <v>89301000</v>
      </c>
      <c r="C10752" s="1">
        <v>44367</v>
      </c>
      <c r="D10752" s="1">
        <v>44370</v>
      </c>
      <c r="E10752">
        <v>1</v>
      </c>
      <c r="F10752" t="s">
        <v>496</v>
      </c>
      <c r="G10752" t="str">
        <f>"08-M03-05"</f>
        <v>08-M03-05</v>
      </c>
      <c r="H10752">
        <v>0.51759999999999995</v>
      </c>
      <c r="J10752" t="s">
        <v>14</v>
      </c>
      <c r="K10752" t="str">
        <f>"6F6"</f>
        <v>6F6</v>
      </c>
      <c r="L10752" t="s">
        <v>15</v>
      </c>
    </row>
    <row r="10753" spans="1:12" x14ac:dyDescent="0.25">
      <c r="A10753" t="str">
        <f>"7856235365"</f>
        <v>7856235365</v>
      </c>
      <c r="B10753" t="str">
        <f t="shared" si="443"/>
        <v>89301000</v>
      </c>
      <c r="C10753" s="1">
        <v>44225</v>
      </c>
      <c r="D10753" s="1">
        <v>44229</v>
      </c>
      <c r="E10753">
        <v>1</v>
      </c>
      <c r="F10753" t="s">
        <v>3177</v>
      </c>
      <c r="G10753" t="str">
        <f>"08-K04-03"</f>
        <v>08-K04-03</v>
      </c>
      <c r="H10753">
        <v>0.45050000000000001</v>
      </c>
      <c r="I10753" t="s">
        <v>196</v>
      </c>
      <c r="J10753" t="s">
        <v>14</v>
      </c>
      <c r="K10753" t="str">
        <f>"5F3"</f>
        <v>5F3</v>
      </c>
      <c r="L10753" t="s">
        <v>15</v>
      </c>
    </row>
    <row r="10754" spans="1:12" x14ac:dyDescent="0.25">
      <c r="A10754" t="str">
        <f>"7856235365"</f>
        <v>7856235365</v>
      </c>
      <c r="B10754" t="str">
        <f t="shared" si="443"/>
        <v>89301000</v>
      </c>
      <c r="C10754" s="1">
        <v>44284</v>
      </c>
      <c r="D10754" s="1">
        <v>44288</v>
      </c>
      <c r="E10754">
        <v>1</v>
      </c>
      <c r="F10754" t="s">
        <v>575</v>
      </c>
      <c r="G10754" t="str">
        <f>"18-K02-02"</f>
        <v>18-K02-02</v>
      </c>
      <c r="H10754">
        <v>1.2563</v>
      </c>
      <c r="I10754" t="s">
        <v>7210</v>
      </c>
      <c r="J10754" t="s">
        <v>14</v>
      </c>
      <c r="K10754" t="str">
        <f>"5F3"</f>
        <v>5F3</v>
      </c>
      <c r="L10754" t="s">
        <v>15</v>
      </c>
    </row>
    <row r="10755" spans="1:12" x14ac:dyDescent="0.25">
      <c r="A10755" t="str">
        <f>"7856295315"</f>
        <v>7856295315</v>
      </c>
      <c r="B10755" t="str">
        <f t="shared" si="443"/>
        <v>89301000</v>
      </c>
      <c r="C10755" s="1">
        <v>44368</v>
      </c>
      <c r="D10755" s="1">
        <v>44371</v>
      </c>
      <c r="E10755">
        <v>1</v>
      </c>
      <c r="F10755" t="s">
        <v>413</v>
      </c>
      <c r="G10755" t="str">
        <f>"09-I07-02"</f>
        <v>09-I07-02</v>
      </c>
      <c r="H10755">
        <v>1.387</v>
      </c>
      <c r="J10755" t="s">
        <v>24</v>
      </c>
      <c r="K10755" t="str">
        <f>"6F1"</f>
        <v>6F1</v>
      </c>
      <c r="L10755" t="s">
        <v>15</v>
      </c>
    </row>
    <row r="10756" spans="1:12" x14ac:dyDescent="0.25">
      <c r="A10756" t="str">
        <f>"7856304907"</f>
        <v>7856304907</v>
      </c>
      <c r="B10756" t="str">
        <f t="shared" si="443"/>
        <v>89301000</v>
      </c>
      <c r="C10756" s="1">
        <v>44544</v>
      </c>
      <c r="D10756" s="1">
        <v>44547</v>
      </c>
      <c r="E10756">
        <v>1</v>
      </c>
      <c r="F10756" t="s">
        <v>1132</v>
      </c>
      <c r="G10756" t="str">
        <f>"23-K04-02"</f>
        <v>23-K04-02</v>
      </c>
      <c r="H10756">
        <v>0.38690000000000002</v>
      </c>
      <c r="I10756" t="s">
        <v>4653</v>
      </c>
      <c r="J10756" t="s">
        <v>14</v>
      </c>
      <c r="K10756" t="str">
        <f>"2F9"</f>
        <v>2F9</v>
      </c>
      <c r="L10756" t="s">
        <v>15</v>
      </c>
    </row>
    <row r="10757" spans="1:12" x14ac:dyDescent="0.25">
      <c r="A10757" t="str">
        <f>"7857042600"</f>
        <v>7857042600</v>
      </c>
      <c r="B10757" t="str">
        <f t="shared" si="443"/>
        <v>89301000</v>
      </c>
      <c r="C10757" s="1">
        <v>44320</v>
      </c>
      <c r="D10757" s="1">
        <v>44322</v>
      </c>
      <c r="E10757">
        <v>1</v>
      </c>
      <c r="F10757" t="s">
        <v>387</v>
      </c>
      <c r="G10757" t="str">
        <f>"08-M03-05"</f>
        <v>08-M03-05</v>
      </c>
      <c r="H10757">
        <v>0.51759999999999995</v>
      </c>
      <c r="I10757" t="s">
        <v>455</v>
      </c>
      <c r="J10757" t="s">
        <v>14</v>
      </c>
      <c r="K10757" t="str">
        <f>"5F3"</f>
        <v>5F3</v>
      </c>
      <c r="L10757" t="s">
        <v>15</v>
      </c>
    </row>
    <row r="10758" spans="1:12" x14ac:dyDescent="0.25">
      <c r="A10758" t="str">
        <f>"7857105443"</f>
        <v>7857105443</v>
      </c>
      <c r="B10758" t="str">
        <f t="shared" si="443"/>
        <v>89301000</v>
      </c>
      <c r="C10758" s="1">
        <v>44407</v>
      </c>
      <c r="D10758" s="1">
        <v>44409</v>
      </c>
      <c r="E10758">
        <v>1</v>
      </c>
      <c r="F10758" t="s">
        <v>4491</v>
      </c>
      <c r="G10758" t="str">
        <f>"01-K01-02"</f>
        <v>01-K01-02</v>
      </c>
      <c r="H10758">
        <v>0.50700000000000001</v>
      </c>
      <c r="I10758" t="s">
        <v>7211</v>
      </c>
      <c r="J10758" t="s">
        <v>14</v>
      </c>
      <c r="K10758" t="str">
        <f>"2F9"</f>
        <v>2F9</v>
      </c>
      <c r="L10758" t="s">
        <v>15</v>
      </c>
    </row>
    <row r="10759" spans="1:12" x14ac:dyDescent="0.25">
      <c r="A10759" t="str">
        <f>"7857105443"</f>
        <v>7857105443</v>
      </c>
      <c r="B10759" t="str">
        <f t="shared" si="443"/>
        <v>89301000</v>
      </c>
      <c r="C10759" s="1">
        <v>44524</v>
      </c>
      <c r="D10759" s="1">
        <v>44525</v>
      </c>
      <c r="E10759">
        <v>1</v>
      </c>
      <c r="F10759" t="s">
        <v>4491</v>
      </c>
      <c r="G10759" t="str">
        <f>"01-K01-02"</f>
        <v>01-K01-02</v>
      </c>
      <c r="H10759">
        <v>0.50700000000000001</v>
      </c>
      <c r="I10759" t="s">
        <v>7212</v>
      </c>
      <c r="J10759" t="s">
        <v>14</v>
      </c>
      <c r="K10759" t="str">
        <f>"2F9"</f>
        <v>2F9</v>
      </c>
      <c r="L10759" t="s">
        <v>15</v>
      </c>
    </row>
    <row r="10760" spans="1:12" x14ac:dyDescent="0.25">
      <c r="A10760" t="str">
        <f>"7857165327"</f>
        <v>7857165327</v>
      </c>
      <c r="B10760" t="str">
        <f t="shared" si="443"/>
        <v>89301000</v>
      </c>
      <c r="C10760" s="1">
        <v>44365</v>
      </c>
      <c r="D10760" s="1">
        <v>44370</v>
      </c>
      <c r="E10760">
        <v>1</v>
      </c>
      <c r="F10760" t="s">
        <v>1739</v>
      </c>
      <c r="G10760" t="str">
        <f>"10-K04-04"</f>
        <v>10-K04-04</v>
      </c>
      <c r="H10760">
        <v>0.56330000000000002</v>
      </c>
      <c r="I10760" t="s">
        <v>7213</v>
      </c>
      <c r="J10760" t="s">
        <v>14</v>
      </c>
      <c r="K10760" t="str">
        <f>"1F1"</f>
        <v>1F1</v>
      </c>
      <c r="L10760" t="s">
        <v>15</v>
      </c>
    </row>
    <row r="10761" spans="1:12" x14ac:dyDescent="0.25">
      <c r="A10761" t="str">
        <f>"7857165327"</f>
        <v>7857165327</v>
      </c>
      <c r="B10761" t="str">
        <f t="shared" si="443"/>
        <v>89301000</v>
      </c>
      <c r="C10761" s="1">
        <v>44463</v>
      </c>
      <c r="D10761" s="1">
        <v>44464</v>
      </c>
      <c r="E10761">
        <v>1</v>
      </c>
      <c r="F10761" t="s">
        <v>336</v>
      </c>
      <c r="G10761" t="str">
        <f>"14-I08-03"</f>
        <v>14-I08-03</v>
      </c>
      <c r="H10761">
        <v>0.27179999999999999</v>
      </c>
      <c r="I10761" t="s">
        <v>860</v>
      </c>
      <c r="J10761" t="s">
        <v>14</v>
      </c>
      <c r="K10761" t="str">
        <f>"6F3"</f>
        <v>6F3</v>
      </c>
      <c r="L10761" t="s">
        <v>15</v>
      </c>
    </row>
    <row r="10762" spans="1:12" x14ac:dyDescent="0.25">
      <c r="A10762" t="str">
        <f>"7857165327"</f>
        <v>7857165327</v>
      </c>
      <c r="B10762" t="str">
        <f t="shared" si="443"/>
        <v>89301000</v>
      </c>
      <c r="C10762" s="1">
        <v>44518</v>
      </c>
      <c r="D10762" s="1">
        <v>44519</v>
      </c>
      <c r="E10762">
        <v>1</v>
      </c>
      <c r="F10762" t="s">
        <v>1688</v>
      </c>
      <c r="G10762" t="str">
        <f>"02-I06-03"</f>
        <v>02-I06-03</v>
      </c>
      <c r="H10762">
        <v>0.63690000000000002</v>
      </c>
      <c r="I10762" t="s">
        <v>7214</v>
      </c>
      <c r="J10762" t="s">
        <v>17</v>
      </c>
      <c r="K10762" t="str">
        <f>"5F3"</f>
        <v>5F3</v>
      </c>
      <c r="L10762" t="s">
        <v>15</v>
      </c>
    </row>
    <row r="10763" spans="1:12" x14ac:dyDescent="0.25">
      <c r="A10763" t="str">
        <f>"7857185336"</f>
        <v>7857185336</v>
      </c>
      <c r="B10763" t="str">
        <f t="shared" si="443"/>
        <v>89301000</v>
      </c>
      <c r="C10763" s="1">
        <v>44376</v>
      </c>
      <c r="D10763" s="1">
        <v>44377</v>
      </c>
      <c r="E10763">
        <v>1</v>
      </c>
      <c r="F10763" t="s">
        <v>34</v>
      </c>
      <c r="G10763" t="str">
        <f>"08-I19-03"</f>
        <v>08-I19-03</v>
      </c>
      <c r="H10763">
        <v>0.61250000000000004</v>
      </c>
      <c r="I10763" t="s">
        <v>381</v>
      </c>
      <c r="J10763" t="s">
        <v>17</v>
      </c>
      <c r="K10763" t="str">
        <f>"5F3"</f>
        <v>5F3</v>
      </c>
      <c r="L10763" t="s">
        <v>15</v>
      </c>
    </row>
    <row r="10764" spans="1:12" x14ac:dyDescent="0.25">
      <c r="A10764" t="str">
        <f>"7857185754"</f>
        <v>7857185754</v>
      </c>
      <c r="B10764" t="str">
        <f t="shared" si="443"/>
        <v>89301000</v>
      </c>
      <c r="C10764" s="1">
        <v>44466</v>
      </c>
      <c r="D10764" s="1">
        <v>44471</v>
      </c>
      <c r="E10764">
        <v>1</v>
      </c>
      <c r="F10764" t="s">
        <v>82</v>
      </c>
      <c r="G10764" t="str">
        <f>"14-I01-01"</f>
        <v>14-I01-01</v>
      </c>
      <c r="H10764">
        <v>1.5294000000000001</v>
      </c>
      <c r="I10764" t="s">
        <v>7215</v>
      </c>
      <c r="J10764" t="s">
        <v>59</v>
      </c>
      <c r="K10764" t="str">
        <f>"6F3"</f>
        <v>6F3</v>
      </c>
      <c r="L10764" t="s">
        <v>15</v>
      </c>
    </row>
    <row r="10765" spans="1:12" x14ac:dyDescent="0.25">
      <c r="A10765" t="str">
        <f>"7857204465"</f>
        <v>7857204465</v>
      </c>
      <c r="B10765" t="str">
        <f t="shared" si="443"/>
        <v>89301000</v>
      </c>
      <c r="C10765" s="1">
        <v>44246</v>
      </c>
      <c r="D10765" s="1">
        <v>44251</v>
      </c>
      <c r="E10765">
        <v>8</v>
      </c>
      <c r="F10765" t="s">
        <v>3813</v>
      </c>
      <c r="G10765" t="str">
        <f>"07-K07-01"</f>
        <v>07-K07-01</v>
      </c>
      <c r="H10765">
        <v>1.0750999999999999</v>
      </c>
      <c r="I10765" t="s">
        <v>7216</v>
      </c>
      <c r="J10765" t="s">
        <v>14</v>
      </c>
      <c r="K10765" t="str">
        <f>"4F2"</f>
        <v>4F2</v>
      </c>
      <c r="L10765" t="s">
        <v>15</v>
      </c>
    </row>
    <row r="10766" spans="1:12" x14ac:dyDescent="0.25">
      <c r="A10766" t="str">
        <f>"7857205345"</f>
        <v>7857205345</v>
      </c>
      <c r="B10766" t="str">
        <f t="shared" si="443"/>
        <v>89301000</v>
      </c>
      <c r="C10766" s="1">
        <v>44544</v>
      </c>
      <c r="D10766" s="1">
        <v>44547</v>
      </c>
      <c r="E10766">
        <v>1</v>
      </c>
      <c r="F10766" t="s">
        <v>61</v>
      </c>
      <c r="G10766" t="str">
        <f>"14-I01-05"</f>
        <v>14-I01-05</v>
      </c>
      <c r="H10766">
        <v>0.80030000000000001</v>
      </c>
      <c r="I10766" t="s">
        <v>7217</v>
      </c>
      <c r="J10766" t="s">
        <v>59</v>
      </c>
      <c r="K10766" t="str">
        <f>"6F3"</f>
        <v>6F3</v>
      </c>
      <c r="L10766" t="s">
        <v>15</v>
      </c>
    </row>
    <row r="10767" spans="1:12" x14ac:dyDescent="0.25">
      <c r="A10767" t="str">
        <f>"7858014494"</f>
        <v>7858014494</v>
      </c>
      <c r="B10767" t="str">
        <f t="shared" si="443"/>
        <v>89301000</v>
      </c>
      <c r="C10767" s="1">
        <v>44253</v>
      </c>
      <c r="D10767" s="1">
        <v>44256</v>
      </c>
      <c r="E10767">
        <v>1</v>
      </c>
      <c r="F10767" t="s">
        <v>16</v>
      </c>
      <c r="G10767" t="str">
        <f>"08-I04-03"</f>
        <v>08-I04-03</v>
      </c>
      <c r="H10767">
        <v>1.331</v>
      </c>
      <c r="I10767" t="s">
        <v>4614</v>
      </c>
      <c r="J10767" t="s">
        <v>17</v>
      </c>
      <c r="K10767" t="str">
        <f>"5F6"</f>
        <v>5F6</v>
      </c>
      <c r="L10767" t="s">
        <v>15</v>
      </c>
    </row>
    <row r="10768" spans="1:12" x14ac:dyDescent="0.25">
      <c r="A10768" t="str">
        <f>"7858025362"</f>
        <v>7858025362</v>
      </c>
      <c r="B10768" t="str">
        <f t="shared" si="443"/>
        <v>89301000</v>
      </c>
      <c r="C10768" s="1">
        <v>44355</v>
      </c>
      <c r="D10768" s="1">
        <v>44356</v>
      </c>
      <c r="E10768">
        <v>1</v>
      </c>
      <c r="F10768" t="s">
        <v>1231</v>
      </c>
      <c r="G10768" t="str">
        <f>"23-K04-02"</f>
        <v>23-K04-02</v>
      </c>
      <c r="H10768">
        <v>0.38690000000000002</v>
      </c>
      <c r="I10768" t="s">
        <v>2663</v>
      </c>
      <c r="J10768" t="s">
        <v>14</v>
      </c>
      <c r="K10768" t="str">
        <f>"2F5"</f>
        <v>2F5</v>
      </c>
      <c r="L10768" t="s">
        <v>15</v>
      </c>
    </row>
    <row r="10769" spans="1:12" x14ac:dyDescent="0.25">
      <c r="A10769" t="str">
        <f>"7858055304"</f>
        <v>7858055304</v>
      </c>
      <c r="B10769" t="str">
        <f t="shared" si="443"/>
        <v>89301000</v>
      </c>
      <c r="C10769" s="1">
        <v>44509</v>
      </c>
      <c r="D10769" s="1">
        <v>44519</v>
      </c>
      <c r="E10769">
        <v>1</v>
      </c>
      <c r="F10769" t="s">
        <v>7218</v>
      </c>
      <c r="G10769" t="str">
        <f>"19-K04-02"</f>
        <v>19-K04-02</v>
      </c>
      <c r="H10769">
        <v>1.4597</v>
      </c>
      <c r="J10769" t="s">
        <v>27</v>
      </c>
      <c r="K10769" t="str">
        <f>"3F5"</f>
        <v>3F5</v>
      </c>
      <c r="L10769" t="s">
        <v>15</v>
      </c>
    </row>
    <row r="10770" spans="1:12" x14ac:dyDescent="0.25">
      <c r="A10770" t="str">
        <f>"7858145328"</f>
        <v>7858145328</v>
      </c>
      <c r="B10770" t="str">
        <f t="shared" si="443"/>
        <v>89301000</v>
      </c>
      <c r="C10770" s="1">
        <v>44292</v>
      </c>
      <c r="D10770" s="1">
        <v>44293</v>
      </c>
      <c r="E10770">
        <v>1</v>
      </c>
      <c r="F10770" t="s">
        <v>3232</v>
      </c>
      <c r="G10770" t="str">
        <f>"11-K14-03"</f>
        <v>11-K14-03</v>
      </c>
      <c r="H10770">
        <v>0.30599999999999999</v>
      </c>
      <c r="J10770" t="s">
        <v>14</v>
      </c>
      <c r="K10770" t="str">
        <f>"6F3"</f>
        <v>6F3</v>
      </c>
      <c r="L10770" t="s">
        <v>15</v>
      </c>
    </row>
    <row r="10771" spans="1:12" x14ac:dyDescent="0.25">
      <c r="A10771" t="str">
        <f t="shared" ref="A10771:A10781" si="444">"7858224858"</f>
        <v>7858224858</v>
      </c>
      <c r="B10771" t="str">
        <f t="shared" si="443"/>
        <v>89301000</v>
      </c>
      <c r="C10771" s="1">
        <v>44312</v>
      </c>
      <c r="D10771" s="1">
        <v>44313</v>
      </c>
      <c r="E10771">
        <v>1</v>
      </c>
      <c r="F10771" t="s">
        <v>7219</v>
      </c>
      <c r="G10771" t="str">
        <f t="shared" ref="G10771:G10781" si="445">"05-K12-02"</f>
        <v>05-K12-02</v>
      </c>
      <c r="H10771">
        <v>1.6917</v>
      </c>
      <c r="I10771" t="s">
        <v>7220</v>
      </c>
      <c r="J10771" t="s">
        <v>14</v>
      </c>
      <c r="K10771" t="str">
        <f t="shared" ref="K10771:K10781" si="446">"1F1"</f>
        <v>1F1</v>
      </c>
      <c r="L10771" t="s">
        <v>15</v>
      </c>
    </row>
    <row r="10772" spans="1:12" x14ac:dyDescent="0.25">
      <c r="A10772" t="str">
        <f t="shared" si="444"/>
        <v>7858224858</v>
      </c>
      <c r="B10772" t="str">
        <f t="shared" si="443"/>
        <v>89301000</v>
      </c>
      <c r="C10772" s="1">
        <v>44340</v>
      </c>
      <c r="D10772" s="1">
        <v>44341</v>
      </c>
      <c r="E10772">
        <v>1</v>
      </c>
      <c r="F10772" t="s">
        <v>7219</v>
      </c>
      <c r="G10772" t="str">
        <f t="shared" si="445"/>
        <v>05-K12-02</v>
      </c>
      <c r="H10772">
        <v>1.6917</v>
      </c>
      <c r="I10772" t="s">
        <v>7220</v>
      </c>
      <c r="J10772" t="s">
        <v>14</v>
      </c>
      <c r="K10772" t="str">
        <f t="shared" si="446"/>
        <v>1F1</v>
      </c>
      <c r="L10772" t="s">
        <v>15</v>
      </c>
    </row>
    <row r="10773" spans="1:12" x14ac:dyDescent="0.25">
      <c r="A10773" t="str">
        <f t="shared" si="444"/>
        <v>7858224858</v>
      </c>
      <c r="B10773" t="str">
        <f t="shared" si="443"/>
        <v>89301000</v>
      </c>
      <c r="C10773" s="1">
        <v>44370</v>
      </c>
      <c r="D10773" s="1">
        <v>44371</v>
      </c>
      <c r="E10773">
        <v>1</v>
      </c>
      <c r="F10773" t="s">
        <v>7219</v>
      </c>
      <c r="G10773" t="str">
        <f t="shared" si="445"/>
        <v>05-K12-02</v>
      </c>
      <c r="H10773">
        <v>1.6917</v>
      </c>
      <c r="I10773" t="s">
        <v>7221</v>
      </c>
      <c r="J10773" t="s">
        <v>14</v>
      </c>
      <c r="K10773" t="str">
        <f t="shared" si="446"/>
        <v>1F1</v>
      </c>
      <c r="L10773" t="s">
        <v>15</v>
      </c>
    </row>
    <row r="10774" spans="1:12" x14ac:dyDescent="0.25">
      <c r="A10774" t="str">
        <f t="shared" si="444"/>
        <v>7858224858</v>
      </c>
      <c r="B10774" t="str">
        <f t="shared" si="443"/>
        <v>89301000</v>
      </c>
      <c r="C10774" s="1">
        <v>44438</v>
      </c>
      <c r="D10774" s="1">
        <v>44439</v>
      </c>
      <c r="E10774">
        <v>1</v>
      </c>
      <c r="F10774" t="s">
        <v>7219</v>
      </c>
      <c r="G10774" t="str">
        <f t="shared" si="445"/>
        <v>05-K12-02</v>
      </c>
      <c r="H10774">
        <v>1.6917</v>
      </c>
      <c r="I10774" t="s">
        <v>348</v>
      </c>
      <c r="J10774" t="s">
        <v>14</v>
      </c>
      <c r="K10774" t="str">
        <f t="shared" si="446"/>
        <v>1F1</v>
      </c>
      <c r="L10774" t="s">
        <v>15</v>
      </c>
    </row>
    <row r="10775" spans="1:12" x14ac:dyDescent="0.25">
      <c r="A10775" t="str">
        <f t="shared" si="444"/>
        <v>7858224858</v>
      </c>
      <c r="B10775" t="str">
        <f t="shared" si="443"/>
        <v>89301000</v>
      </c>
      <c r="C10775" s="1">
        <v>44469</v>
      </c>
      <c r="D10775" s="1">
        <v>44470</v>
      </c>
      <c r="E10775">
        <v>1</v>
      </c>
      <c r="F10775" t="s">
        <v>7219</v>
      </c>
      <c r="G10775" t="str">
        <f t="shared" si="445"/>
        <v>05-K12-02</v>
      </c>
      <c r="H10775">
        <v>1.6917</v>
      </c>
      <c r="J10775" t="s">
        <v>14</v>
      </c>
      <c r="K10775" t="str">
        <f t="shared" si="446"/>
        <v>1F1</v>
      </c>
      <c r="L10775" t="s">
        <v>15</v>
      </c>
    </row>
    <row r="10776" spans="1:12" x14ac:dyDescent="0.25">
      <c r="A10776" t="str">
        <f t="shared" si="444"/>
        <v>7858224858</v>
      </c>
      <c r="B10776" t="str">
        <f t="shared" si="443"/>
        <v>89301000</v>
      </c>
      <c r="C10776" s="1">
        <v>44505</v>
      </c>
      <c r="D10776" s="1">
        <v>44506</v>
      </c>
      <c r="E10776">
        <v>1</v>
      </c>
      <c r="F10776" t="s">
        <v>7219</v>
      </c>
      <c r="G10776" t="str">
        <f t="shared" si="445"/>
        <v>05-K12-02</v>
      </c>
      <c r="H10776">
        <v>1.6917</v>
      </c>
      <c r="I10776" t="s">
        <v>7222</v>
      </c>
      <c r="J10776" t="s">
        <v>14</v>
      </c>
      <c r="K10776" t="str">
        <f t="shared" si="446"/>
        <v>1F1</v>
      </c>
      <c r="L10776" t="s">
        <v>15</v>
      </c>
    </row>
    <row r="10777" spans="1:12" x14ac:dyDescent="0.25">
      <c r="A10777" t="str">
        <f t="shared" si="444"/>
        <v>7858224858</v>
      </c>
      <c r="B10777" t="str">
        <f t="shared" si="443"/>
        <v>89301000</v>
      </c>
      <c r="C10777" s="1">
        <v>44538</v>
      </c>
      <c r="D10777" s="1">
        <v>44539</v>
      </c>
      <c r="E10777">
        <v>1</v>
      </c>
      <c r="F10777" t="s">
        <v>7219</v>
      </c>
      <c r="G10777" t="str">
        <f t="shared" si="445"/>
        <v>05-K12-02</v>
      </c>
      <c r="H10777">
        <v>1.6917</v>
      </c>
      <c r="I10777" t="s">
        <v>7223</v>
      </c>
      <c r="J10777" t="s">
        <v>14</v>
      </c>
      <c r="K10777" t="str">
        <f t="shared" si="446"/>
        <v>1F1</v>
      </c>
      <c r="L10777" t="s">
        <v>15</v>
      </c>
    </row>
    <row r="10778" spans="1:12" x14ac:dyDescent="0.25">
      <c r="A10778" t="str">
        <f t="shared" si="444"/>
        <v>7858224858</v>
      </c>
      <c r="B10778" t="str">
        <f t="shared" si="443"/>
        <v>89301000</v>
      </c>
      <c r="C10778" s="1">
        <v>44405</v>
      </c>
      <c r="D10778" s="1">
        <v>44406</v>
      </c>
      <c r="E10778">
        <v>1</v>
      </c>
      <c r="F10778" t="s">
        <v>7219</v>
      </c>
      <c r="G10778" t="str">
        <f t="shared" si="445"/>
        <v>05-K12-02</v>
      </c>
      <c r="H10778">
        <v>1.6917</v>
      </c>
      <c r="I10778" t="s">
        <v>302</v>
      </c>
      <c r="J10778" t="s">
        <v>14</v>
      </c>
      <c r="K10778" t="str">
        <f t="shared" si="446"/>
        <v>1F1</v>
      </c>
      <c r="L10778" t="s">
        <v>15</v>
      </c>
    </row>
    <row r="10779" spans="1:12" x14ac:dyDescent="0.25">
      <c r="A10779" t="str">
        <f t="shared" si="444"/>
        <v>7858224858</v>
      </c>
      <c r="B10779" t="str">
        <f t="shared" si="443"/>
        <v>89301000</v>
      </c>
      <c r="C10779" s="1">
        <v>44207</v>
      </c>
      <c r="D10779" s="1">
        <v>44208</v>
      </c>
      <c r="E10779">
        <v>1</v>
      </c>
      <c r="F10779" t="s">
        <v>7219</v>
      </c>
      <c r="G10779" t="str">
        <f t="shared" si="445"/>
        <v>05-K12-02</v>
      </c>
      <c r="H10779">
        <v>1.6917</v>
      </c>
      <c r="I10779" t="s">
        <v>7224</v>
      </c>
      <c r="J10779" t="s">
        <v>14</v>
      </c>
      <c r="K10779" t="str">
        <f t="shared" si="446"/>
        <v>1F1</v>
      </c>
      <c r="L10779" t="s">
        <v>15</v>
      </c>
    </row>
    <row r="10780" spans="1:12" x14ac:dyDescent="0.25">
      <c r="A10780" t="str">
        <f t="shared" si="444"/>
        <v>7858224858</v>
      </c>
      <c r="B10780" t="str">
        <f t="shared" si="443"/>
        <v>89301000</v>
      </c>
      <c r="C10780" s="1">
        <v>44278</v>
      </c>
      <c r="D10780" s="1">
        <v>44279</v>
      </c>
      <c r="E10780">
        <v>1</v>
      </c>
      <c r="F10780" t="s">
        <v>7219</v>
      </c>
      <c r="G10780" t="str">
        <f t="shared" si="445"/>
        <v>05-K12-02</v>
      </c>
      <c r="H10780">
        <v>1.6917</v>
      </c>
      <c r="I10780" t="s">
        <v>7220</v>
      </c>
      <c r="J10780" t="s">
        <v>14</v>
      </c>
      <c r="K10780" t="str">
        <f t="shared" si="446"/>
        <v>1F1</v>
      </c>
      <c r="L10780" t="s">
        <v>15</v>
      </c>
    </row>
    <row r="10781" spans="1:12" x14ac:dyDescent="0.25">
      <c r="A10781" t="str">
        <f t="shared" si="444"/>
        <v>7858224858</v>
      </c>
      <c r="B10781" t="str">
        <f t="shared" si="443"/>
        <v>89301000</v>
      </c>
      <c r="C10781" s="1">
        <v>44242</v>
      </c>
      <c r="D10781" s="1">
        <v>44243</v>
      </c>
      <c r="E10781">
        <v>1</v>
      </c>
      <c r="F10781" t="s">
        <v>7219</v>
      </c>
      <c r="G10781" t="str">
        <f t="shared" si="445"/>
        <v>05-K12-02</v>
      </c>
      <c r="H10781">
        <v>1.6917</v>
      </c>
      <c r="I10781" t="s">
        <v>7220</v>
      </c>
      <c r="J10781" t="s">
        <v>14</v>
      </c>
      <c r="K10781" t="str">
        <f t="shared" si="446"/>
        <v>1F1</v>
      </c>
      <c r="L10781" t="s">
        <v>15</v>
      </c>
    </row>
    <row r="10782" spans="1:12" x14ac:dyDescent="0.25">
      <c r="A10782" t="str">
        <f>"7858225573"</f>
        <v>7858225573</v>
      </c>
      <c r="B10782" t="str">
        <f t="shared" si="443"/>
        <v>89301000</v>
      </c>
      <c r="C10782" s="1">
        <v>44362</v>
      </c>
      <c r="D10782" s="1">
        <v>44363</v>
      </c>
      <c r="E10782">
        <v>1</v>
      </c>
      <c r="F10782" t="s">
        <v>232</v>
      </c>
      <c r="G10782" t="str">
        <f>"08-K13-02"</f>
        <v>08-K13-02</v>
      </c>
      <c r="H10782">
        <v>0.47210000000000002</v>
      </c>
      <c r="I10782" t="s">
        <v>381</v>
      </c>
      <c r="J10782" t="s">
        <v>14</v>
      </c>
      <c r="K10782" t="str">
        <f>"5F3"</f>
        <v>5F3</v>
      </c>
      <c r="L10782" t="s">
        <v>15</v>
      </c>
    </row>
    <row r="10783" spans="1:12" x14ac:dyDescent="0.25">
      <c r="A10783" t="str">
        <f>"7858285347"</f>
        <v>7858285347</v>
      </c>
      <c r="B10783" t="str">
        <f t="shared" si="443"/>
        <v>89301000</v>
      </c>
      <c r="C10783" s="1">
        <v>44334</v>
      </c>
      <c r="D10783" s="1">
        <v>44337</v>
      </c>
      <c r="E10783">
        <v>1</v>
      </c>
      <c r="F10783" t="s">
        <v>652</v>
      </c>
      <c r="G10783" t="str">
        <f>"03-I19-03"</f>
        <v>03-I19-03</v>
      </c>
      <c r="H10783">
        <v>0.60699999999999998</v>
      </c>
      <c r="I10783" t="s">
        <v>7225</v>
      </c>
      <c r="J10783" t="s">
        <v>14</v>
      </c>
      <c r="K10783" t="str">
        <f>"6F5"</f>
        <v>6F5</v>
      </c>
      <c r="L10783" t="s">
        <v>15</v>
      </c>
    </row>
    <row r="10784" spans="1:12" x14ac:dyDescent="0.25">
      <c r="A10784" t="str">
        <f>"7859045348"</f>
        <v>7859045348</v>
      </c>
      <c r="B10784" t="str">
        <f t="shared" si="443"/>
        <v>89301000</v>
      </c>
      <c r="C10784" s="1">
        <v>44475</v>
      </c>
      <c r="D10784" s="1">
        <v>44478</v>
      </c>
      <c r="E10784">
        <v>1</v>
      </c>
      <c r="F10784" t="s">
        <v>43</v>
      </c>
      <c r="G10784" t="str">
        <f>"06-I18-05"</f>
        <v>06-I18-05</v>
      </c>
      <c r="H10784">
        <v>0.85550000000000004</v>
      </c>
      <c r="J10784" t="s">
        <v>24</v>
      </c>
      <c r="K10784" t="str">
        <f>"5F1"</f>
        <v>5F1</v>
      </c>
      <c r="L10784" t="s">
        <v>15</v>
      </c>
    </row>
    <row r="10785" spans="1:12" x14ac:dyDescent="0.25">
      <c r="A10785" t="str">
        <f>"7859095310"</f>
        <v>7859095310</v>
      </c>
      <c r="B10785" t="str">
        <f t="shared" si="443"/>
        <v>89301000</v>
      </c>
      <c r="C10785" s="1">
        <v>44297</v>
      </c>
      <c r="D10785" s="1">
        <v>44302</v>
      </c>
      <c r="E10785">
        <v>1</v>
      </c>
      <c r="F10785" t="s">
        <v>81</v>
      </c>
      <c r="G10785" t="str">
        <f>"10-I13-02"</f>
        <v>10-I13-02</v>
      </c>
      <c r="H10785">
        <v>1.1468</v>
      </c>
      <c r="I10785" t="s">
        <v>489</v>
      </c>
      <c r="J10785" t="s">
        <v>24</v>
      </c>
      <c r="K10785" t="str">
        <f>"5F1"</f>
        <v>5F1</v>
      </c>
      <c r="L10785" t="s">
        <v>15</v>
      </c>
    </row>
    <row r="10786" spans="1:12" x14ac:dyDescent="0.25">
      <c r="A10786" t="str">
        <f>"7859104935"</f>
        <v>7859104935</v>
      </c>
      <c r="B10786" t="str">
        <f t="shared" ref="B10786:B10849" si="447">"89301000"</f>
        <v>89301000</v>
      </c>
      <c r="C10786" s="1">
        <v>44504</v>
      </c>
      <c r="D10786" s="1">
        <v>44509</v>
      </c>
      <c r="E10786">
        <v>1</v>
      </c>
      <c r="F10786" t="s">
        <v>320</v>
      </c>
      <c r="G10786" t="str">
        <f>"03-I23-00"</f>
        <v>03-I23-00</v>
      </c>
      <c r="H10786">
        <v>0.71750000000000003</v>
      </c>
      <c r="I10786" t="s">
        <v>7226</v>
      </c>
      <c r="J10786" t="s">
        <v>14</v>
      </c>
      <c r="K10786" t="str">
        <f>"6F5"</f>
        <v>6F5</v>
      </c>
      <c r="L10786" t="s">
        <v>15</v>
      </c>
    </row>
    <row r="10787" spans="1:12" x14ac:dyDescent="0.25">
      <c r="A10787" t="str">
        <f>"7859105023"</f>
        <v>7859105023</v>
      </c>
      <c r="B10787" t="str">
        <f t="shared" si="447"/>
        <v>89301000</v>
      </c>
      <c r="C10787" s="1">
        <v>44299</v>
      </c>
      <c r="D10787" s="1">
        <v>44306</v>
      </c>
      <c r="E10787">
        <v>1</v>
      </c>
      <c r="F10787" t="s">
        <v>5255</v>
      </c>
      <c r="G10787" t="str">
        <f>"08-I03-06"</f>
        <v>08-I03-06</v>
      </c>
      <c r="H10787">
        <v>3.3738000000000001</v>
      </c>
      <c r="J10787" t="s">
        <v>17</v>
      </c>
      <c r="K10787" t="str">
        <f>"5F6"</f>
        <v>5F6</v>
      </c>
      <c r="L10787" t="s">
        <v>15</v>
      </c>
    </row>
    <row r="10788" spans="1:12" x14ac:dyDescent="0.25">
      <c r="A10788" t="str">
        <f>"7859273488"</f>
        <v>7859273488</v>
      </c>
      <c r="B10788" t="str">
        <f t="shared" si="447"/>
        <v>89301000</v>
      </c>
      <c r="C10788" s="1">
        <v>44363</v>
      </c>
      <c r="D10788" s="1">
        <v>44365</v>
      </c>
      <c r="E10788">
        <v>1</v>
      </c>
      <c r="F10788" t="s">
        <v>173</v>
      </c>
      <c r="G10788" t="str">
        <f>"08-I32-02"</f>
        <v>08-I32-02</v>
      </c>
      <c r="H10788">
        <v>0.4143</v>
      </c>
      <c r="J10788" t="s">
        <v>14</v>
      </c>
      <c r="K10788" t="str">
        <f>"5F3"</f>
        <v>5F3</v>
      </c>
      <c r="L10788" t="s">
        <v>15</v>
      </c>
    </row>
    <row r="10789" spans="1:12" x14ac:dyDescent="0.25">
      <c r="A10789" t="str">
        <f>"7859273488"</f>
        <v>7859273488</v>
      </c>
      <c r="B10789" t="str">
        <f t="shared" si="447"/>
        <v>89301000</v>
      </c>
      <c r="C10789" s="1">
        <v>44496</v>
      </c>
      <c r="D10789" s="1">
        <v>44503</v>
      </c>
      <c r="E10789">
        <v>1</v>
      </c>
      <c r="F10789" t="s">
        <v>1699</v>
      </c>
      <c r="G10789" t="str">
        <f>"01-K10-03"</f>
        <v>01-K10-03</v>
      </c>
      <c r="H10789">
        <v>1.0016</v>
      </c>
      <c r="I10789" t="s">
        <v>2173</v>
      </c>
      <c r="J10789" t="s">
        <v>14</v>
      </c>
      <c r="K10789" t="str">
        <f>"2F9"</f>
        <v>2F9</v>
      </c>
      <c r="L10789" t="s">
        <v>15</v>
      </c>
    </row>
    <row r="10790" spans="1:12" x14ac:dyDescent="0.25">
      <c r="A10790" t="str">
        <f>"7859275314"</f>
        <v>7859275314</v>
      </c>
      <c r="B10790" t="str">
        <f t="shared" si="447"/>
        <v>89301000</v>
      </c>
      <c r="C10790" s="1">
        <v>44368</v>
      </c>
      <c r="D10790" s="1">
        <v>44371</v>
      </c>
      <c r="E10790">
        <v>1</v>
      </c>
      <c r="F10790" t="s">
        <v>1690</v>
      </c>
      <c r="G10790" t="str">
        <f>"07-K05-02"</f>
        <v>07-K05-02</v>
      </c>
      <c r="H10790">
        <v>0.60189999999999999</v>
      </c>
      <c r="J10790" t="s">
        <v>14</v>
      </c>
      <c r="K10790" t="str">
        <f>"5F1"</f>
        <v>5F1</v>
      </c>
      <c r="L10790" t="s">
        <v>15</v>
      </c>
    </row>
    <row r="10791" spans="1:12" x14ac:dyDescent="0.25">
      <c r="A10791" t="str">
        <f>"7859275314"</f>
        <v>7859275314</v>
      </c>
      <c r="B10791" t="str">
        <f t="shared" si="447"/>
        <v>89301000</v>
      </c>
      <c r="C10791" s="1">
        <v>44432</v>
      </c>
      <c r="D10791" s="1">
        <v>44440</v>
      </c>
      <c r="E10791">
        <v>1</v>
      </c>
      <c r="F10791" t="s">
        <v>2270</v>
      </c>
      <c r="G10791" t="str">
        <f>"09-K03-02"</f>
        <v>09-K03-02</v>
      </c>
      <c r="H10791">
        <v>1.0156000000000001</v>
      </c>
      <c r="I10791" t="s">
        <v>7227</v>
      </c>
      <c r="J10791" t="s">
        <v>14</v>
      </c>
      <c r="K10791" t="str">
        <f>"4F4"</f>
        <v>4F4</v>
      </c>
      <c r="L10791" t="s">
        <v>15</v>
      </c>
    </row>
    <row r="10792" spans="1:12" x14ac:dyDescent="0.25">
      <c r="A10792" t="str">
        <f>"7859294465"</f>
        <v>7859294465</v>
      </c>
      <c r="B10792" t="str">
        <f t="shared" si="447"/>
        <v>89301000</v>
      </c>
      <c r="C10792" s="1">
        <v>44383</v>
      </c>
      <c r="D10792" s="1">
        <v>44388</v>
      </c>
      <c r="E10792">
        <v>1</v>
      </c>
      <c r="F10792" t="s">
        <v>4082</v>
      </c>
      <c r="G10792" t="str">
        <f>"01-I06-02"</f>
        <v>01-I06-02</v>
      </c>
      <c r="H10792">
        <v>5.1687000000000003</v>
      </c>
      <c r="I10792" t="s">
        <v>7228</v>
      </c>
      <c r="J10792" t="s">
        <v>17</v>
      </c>
      <c r="K10792" t="str">
        <f>"5F6"</f>
        <v>5F6</v>
      </c>
      <c r="L10792" t="s">
        <v>15</v>
      </c>
    </row>
    <row r="10793" spans="1:12" x14ac:dyDescent="0.25">
      <c r="A10793" t="str">
        <f>"7860024689"</f>
        <v>7860024689</v>
      </c>
      <c r="B10793" t="str">
        <f t="shared" si="447"/>
        <v>89301000</v>
      </c>
      <c r="C10793" s="1">
        <v>44300</v>
      </c>
      <c r="D10793" s="1">
        <v>44303</v>
      </c>
      <c r="E10793">
        <v>1</v>
      </c>
      <c r="F10793" t="s">
        <v>785</v>
      </c>
      <c r="G10793" t="str">
        <f>"10-R02-02"</f>
        <v>10-R02-02</v>
      </c>
      <c r="H10793">
        <v>0.65359999999999996</v>
      </c>
      <c r="J10793" t="s">
        <v>24</v>
      </c>
      <c r="K10793" t="str">
        <f>"4F7"</f>
        <v>4F7</v>
      </c>
      <c r="L10793" t="s">
        <v>15</v>
      </c>
    </row>
    <row r="10794" spans="1:12" x14ac:dyDescent="0.25">
      <c r="A10794" t="str">
        <f>"7861015382"</f>
        <v>7861015382</v>
      </c>
      <c r="B10794" t="str">
        <f t="shared" si="447"/>
        <v>89301000</v>
      </c>
      <c r="C10794" s="1">
        <v>44289</v>
      </c>
      <c r="D10794" s="1">
        <v>44295</v>
      </c>
      <c r="E10794">
        <v>1</v>
      </c>
      <c r="F10794" t="s">
        <v>217</v>
      </c>
      <c r="G10794" t="str">
        <f>"04-K02-03"</f>
        <v>04-K02-03</v>
      </c>
      <c r="H10794">
        <v>1.2859</v>
      </c>
      <c r="I10794" t="s">
        <v>7229</v>
      </c>
      <c r="J10794" t="s">
        <v>14</v>
      </c>
      <c r="K10794" t="str">
        <f>"5F1"</f>
        <v>5F1</v>
      </c>
      <c r="L10794" t="s">
        <v>15</v>
      </c>
    </row>
    <row r="10795" spans="1:12" x14ac:dyDescent="0.25">
      <c r="A10795" t="str">
        <f>"7861033675"</f>
        <v>7861033675</v>
      </c>
      <c r="B10795" t="str">
        <f t="shared" si="447"/>
        <v>89301000</v>
      </c>
      <c r="C10795" s="1">
        <v>44413</v>
      </c>
      <c r="D10795" s="1">
        <v>44414</v>
      </c>
      <c r="E10795">
        <v>1</v>
      </c>
      <c r="F10795" t="s">
        <v>6408</v>
      </c>
      <c r="G10795" t="str">
        <f>"01-K01-02"</f>
        <v>01-K01-02</v>
      </c>
      <c r="H10795">
        <v>0.50700000000000001</v>
      </c>
      <c r="I10795" t="s">
        <v>3575</v>
      </c>
      <c r="J10795" t="s">
        <v>14</v>
      </c>
      <c r="K10795" t="str">
        <f>"2F9"</f>
        <v>2F9</v>
      </c>
      <c r="L10795" t="s">
        <v>15</v>
      </c>
    </row>
    <row r="10796" spans="1:12" x14ac:dyDescent="0.25">
      <c r="A10796" t="str">
        <f>"7861033675"</f>
        <v>7861033675</v>
      </c>
      <c r="B10796" t="str">
        <f t="shared" si="447"/>
        <v>89301000</v>
      </c>
      <c r="C10796" s="1">
        <v>44427</v>
      </c>
      <c r="D10796" s="1">
        <v>44428</v>
      </c>
      <c r="E10796">
        <v>1</v>
      </c>
      <c r="F10796" t="s">
        <v>4491</v>
      </c>
      <c r="G10796" t="str">
        <f>"01-K01-02"</f>
        <v>01-K01-02</v>
      </c>
      <c r="H10796">
        <v>0.50700000000000001</v>
      </c>
      <c r="J10796" t="s">
        <v>14</v>
      </c>
      <c r="K10796" t="str">
        <f>"2F9"</f>
        <v>2F9</v>
      </c>
      <c r="L10796" t="s">
        <v>15</v>
      </c>
    </row>
    <row r="10797" spans="1:12" x14ac:dyDescent="0.25">
      <c r="A10797" t="str">
        <f>"7862014490"</f>
        <v>7862014490</v>
      </c>
      <c r="B10797" t="str">
        <f t="shared" si="447"/>
        <v>89301000</v>
      </c>
      <c r="C10797" s="1">
        <v>44469</v>
      </c>
      <c r="D10797" s="1">
        <v>44473</v>
      </c>
      <c r="E10797">
        <v>1</v>
      </c>
      <c r="F10797" t="s">
        <v>2311</v>
      </c>
      <c r="G10797" t="str">
        <f>"08-I03-08"</f>
        <v>08-I03-08</v>
      </c>
      <c r="H10797">
        <v>2.0605000000000002</v>
      </c>
      <c r="I10797" t="s">
        <v>6540</v>
      </c>
      <c r="J10797" t="s">
        <v>17</v>
      </c>
      <c r="K10797" t="str">
        <f>"5F6"</f>
        <v>5F6</v>
      </c>
      <c r="L10797" t="s">
        <v>15</v>
      </c>
    </row>
    <row r="10798" spans="1:12" x14ac:dyDescent="0.25">
      <c r="A10798" t="str">
        <f>"7862065816"</f>
        <v>7862065816</v>
      </c>
      <c r="B10798" t="str">
        <f t="shared" si="447"/>
        <v>89301000</v>
      </c>
      <c r="C10798" s="1">
        <v>44315</v>
      </c>
      <c r="D10798" s="1">
        <v>44317</v>
      </c>
      <c r="E10798">
        <v>1</v>
      </c>
      <c r="F10798" t="s">
        <v>1716</v>
      </c>
      <c r="G10798" t="str">
        <f>"11-M05-02"</f>
        <v>11-M05-02</v>
      </c>
      <c r="H10798">
        <v>0.65690000000000004</v>
      </c>
      <c r="I10798" t="s">
        <v>7230</v>
      </c>
      <c r="J10798" t="s">
        <v>17</v>
      </c>
      <c r="K10798" t="str">
        <f>"7F6"</f>
        <v>7F6</v>
      </c>
      <c r="L10798" t="s">
        <v>15</v>
      </c>
    </row>
    <row r="10799" spans="1:12" x14ac:dyDescent="0.25">
      <c r="A10799" t="str">
        <f>"7862104525"</f>
        <v>7862104525</v>
      </c>
      <c r="B10799" t="str">
        <f t="shared" si="447"/>
        <v>89301000</v>
      </c>
      <c r="C10799" s="1">
        <v>44203</v>
      </c>
      <c r="D10799" s="1">
        <v>44204</v>
      </c>
      <c r="E10799">
        <v>1</v>
      </c>
      <c r="F10799" t="s">
        <v>1986</v>
      </c>
      <c r="G10799" t="str">
        <f>"01-K12-01"</f>
        <v>01-K12-01</v>
      </c>
      <c r="H10799">
        <v>0.71289999999999998</v>
      </c>
      <c r="I10799" t="s">
        <v>2357</v>
      </c>
      <c r="J10799" t="s">
        <v>14</v>
      </c>
      <c r="K10799" t="str">
        <f>"2F9"</f>
        <v>2F9</v>
      </c>
      <c r="L10799" t="s">
        <v>15</v>
      </c>
    </row>
    <row r="10800" spans="1:12" x14ac:dyDescent="0.25">
      <c r="A10800" t="str">
        <f>"7862125326"</f>
        <v>7862125326</v>
      </c>
      <c r="B10800" t="str">
        <f t="shared" si="447"/>
        <v>89301000</v>
      </c>
      <c r="C10800" s="1">
        <v>44509</v>
      </c>
      <c r="D10800" s="1">
        <v>44516</v>
      </c>
      <c r="E10800">
        <v>1</v>
      </c>
      <c r="F10800" t="s">
        <v>500</v>
      </c>
      <c r="G10800" t="str">
        <f>"06-I13-02"</f>
        <v>06-I13-02</v>
      </c>
      <c r="H10800">
        <v>2.0766</v>
      </c>
      <c r="J10800" t="s">
        <v>14</v>
      </c>
      <c r="K10800" t="str">
        <f>"5F1"</f>
        <v>5F1</v>
      </c>
      <c r="L10800" t="s">
        <v>15</v>
      </c>
    </row>
    <row r="10801" spans="1:12" x14ac:dyDescent="0.25">
      <c r="A10801" t="str">
        <f>"7862205340"</f>
        <v>7862205340</v>
      </c>
      <c r="B10801" t="str">
        <f t="shared" si="447"/>
        <v>89301000</v>
      </c>
      <c r="C10801" s="1">
        <v>44524</v>
      </c>
      <c r="D10801" s="1">
        <v>44533</v>
      </c>
      <c r="E10801">
        <v>1</v>
      </c>
      <c r="F10801" t="s">
        <v>4557</v>
      </c>
      <c r="G10801" t="str">
        <f>"20-K03-03"</f>
        <v>20-K03-03</v>
      </c>
      <c r="H10801">
        <v>1.0109999999999999</v>
      </c>
      <c r="I10801" t="s">
        <v>5555</v>
      </c>
      <c r="J10801" t="s">
        <v>14</v>
      </c>
      <c r="K10801" t="str">
        <f>"3F5"</f>
        <v>3F5</v>
      </c>
      <c r="L10801" t="s">
        <v>15</v>
      </c>
    </row>
    <row r="10802" spans="1:12" x14ac:dyDescent="0.25">
      <c r="A10802" t="str">
        <f>"7862295782"</f>
        <v>7862295782</v>
      </c>
      <c r="B10802" t="str">
        <f t="shared" si="447"/>
        <v>89301000</v>
      </c>
      <c r="C10802" s="1">
        <v>44371</v>
      </c>
      <c r="D10802" s="1">
        <v>44373</v>
      </c>
      <c r="E10802">
        <v>1</v>
      </c>
      <c r="F10802" t="s">
        <v>197</v>
      </c>
      <c r="G10802" t="str">
        <f>"03-I17-00"</f>
        <v>03-I17-00</v>
      </c>
      <c r="H10802">
        <v>0.84960000000000002</v>
      </c>
      <c r="J10802" t="s">
        <v>24</v>
      </c>
      <c r="K10802" t="str">
        <f>"7F1"</f>
        <v>7F1</v>
      </c>
      <c r="L10802" t="s">
        <v>15</v>
      </c>
    </row>
    <row r="10803" spans="1:12" x14ac:dyDescent="0.25">
      <c r="A10803" t="str">
        <f>"7862305308"</f>
        <v>7862305308</v>
      </c>
      <c r="B10803" t="str">
        <f t="shared" si="447"/>
        <v>89301000</v>
      </c>
      <c r="C10803" s="1">
        <v>44305</v>
      </c>
      <c r="D10803" s="1">
        <v>44308</v>
      </c>
      <c r="E10803">
        <v>1</v>
      </c>
      <c r="F10803" t="s">
        <v>197</v>
      </c>
      <c r="G10803" t="str">
        <f>"03-I18-02"</f>
        <v>03-I18-02</v>
      </c>
      <c r="H10803">
        <v>0.84370000000000001</v>
      </c>
      <c r="I10803" t="s">
        <v>4094</v>
      </c>
      <c r="J10803" t="s">
        <v>24</v>
      </c>
      <c r="K10803" t="str">
        <f>"7F1"</f>
        <v>7F1</v>
      </c>
      <c r="L10803" t="s">
        <v>15</v>
      </c>
    </row>
    <row r="10804" spans="1:12" x14ac:dyDescent="0.25">
      <c r="A10804" t="str">
        <f>"7901125342"</f>
        <v>7901125342</v>
      </c>
      <c r="B10804" t="str">
        <f t="shared" si="447"/>
        <v>89301000</v>
      </c>
      <c r="C10804" s="1">
        <v>44414</v>
      </c>
      <c r="D10804" s="1">
        <v>44421</v>
      </c>
      <c r="E10804">
        <v>1</v>
      </c>
      <c r="F10804" t="s">
        <v>109</v>
      </c>
      <c r="G10804" t="str">
        <f>"24-M06-02"</f>
        <v>24-M06-02</v>
      </c>
      <c r="H10804">
        <v>1.0233000000000001</v>
      </c>
      <c r="I10804" t="s">
        <v>7231</v>
      </c>
      <c r="J10804" t="s">
        <v>14</v>
      </c>
      <c r="K10804" t="str">
        <f>"2F1"</f>
        <v>2F1</v>
      </c>
      <c r="L10804" t="s">
        <v>15</v>
      </c>
    </row>
    <row r="10805" spans="1:12" x14ac:dyDescent="0.25">
      <c r="A10805" t="str">
        <f>"7901125342"</f>
        <v>7901125342</v>
      </c>
      <c r="B10805" t="str">
        <f t="shared" si="447"/>
        <v>89301000</v>
      </c>
      <c r="C10805" s="1">
        <v>44426</v>
      </c>
      <c r="D10805" s="1">
        <v>44428</v>
      </c>
      <c r="E10805">
        <v>1</v>
      </c>
      <c r="F10805" t="s">
        <v>2311</v>
      </c>
      <c r="G10805" t="str">
        <f>"08-I03-08"</f>
        <v>08-I03-08</v>
      </c>
      <c r="H10805">
        <v>2.0605000000000002</v>
      </c>
      <c r="I10805" t="s">
        <v>489</v>
      </c>
      <c r="J10805" t="s">
        <v>17</v>
      </c>
      <c r="K10805" t="str">
        <f>"5F6"</f>
        <v>5F6</v>
      </c>
      <c r="L10805" t="s">
        <v>15</v>
      </c>
    </row>
    <row r="10806" spans="1:12" x14ac:dyDescent="0.25">
      <c r="A10806" t="str">
        <f>"7901125342"</f>
        <v>7901125342</v>
      </c>
      <c r="B10806" t="str">
        <f t="shared" si="447"/>
        <v>89301000</v>
      </c>
      <c r="C10806" s="1">
        <v>44218</v>
      </c>
      <c r="D10806" s="1">
        <v>44221</v>
      </c>
      <c r="E10806">
        <v>1</v>
      </c>
      <c r="F10806" t="s">
        <v>16</v>
      </c>
      <c r="G10806" t="str">
        <f>"08-I04-03"</f>
        <v>08-I04-03</v>
      </c>
      <c r="H10806">
        <v>1.331</v>
      </c>
      <c r="I10806" t="s">
        <v>1959</v>
      </c>
      <c r="J10806" t="s">
        <v>17</v>
      </c>
      <c r="K10806" t="str">
        <f>"5F6"</f>
        <v>5F6</v>
      </c>
      <c r="L10806" t="s">
        <v>15</v>
      </c>
    </row>
    <row r="10807" spans="1:12" x14ac:dyDescent="0.25">
      <c r="A10807" t="str">
        <f t="shared" ref="A10807:A10815" si="448">"7901154481"</f>
        <v>7901154481</v>
      </c>
      <c r="B10807" t="str">
        <f t="shared" si="447"/>
        <v>89301000</v>
      </c>
      <c r="C10807" s="1">
        <v>44286</v>
      </c>
      <c r="D10807" s="1">
        <v>44288</v>
      </c>
      <c r="E10807">
        <v>1</v>
      </c>
      <c r="F10807" t="s">
        <v>3609</v>
      </c>
      <c r="G10807" t="str">
        <f>"17-C06-02"</f>
        <v>17-C06-02</v>
      </c>
      <c r="H10807">
        <v>0.3826</v>
      </c>
      <c r="I10807" t="s">
        <v>6011</v>
      </c>
      <c r="J10807" t="s">
        <v>14</v>
      </c>
      <c r="K10807" t="str">
        <f>"4F2"</f>
        <v>4F2</v>
      </c>
      <c r="L10807" t="s">
        <v>15</v>
      </c>
    </row>
    <row r="10808" spans="1:12" x14ac:dyDescent="0.25">
      <c r="A10808" t="str">
        <f t="shared" si="448"/>
        <v>7901154481</v>
      </c>
      <c r="B10808" t="str">
        <f t="shared" si="447"/>
        <v>89301000</v>
      </c>
      <c r="C10808" s="1">
        <v>44349</v>
      </c>
      <c r="D10808" s="1">
        <v>44350</v>
      </c>
      <c r="E10808">
        <v>1</v>
      </c>
      <c r="F10808" t="s">
        <v>7232</v>
      </c>
      <c r="G10808" t="str">
        <f>"17-C06-02"</f>
        <v>17-C06-02</v>
      </c>
      <c r="H10808">
        <v>0.3826</v>
      </c>
      <c r="I10808" t="s">
        <v>541</v>
      </c>
      <c r="J10808" t="s">
        <v>14</v>
      </c>
      <c r="K10808" t="str">
        <f>"4F2"</f>
        <v>4F2</v>
      </c>
      <c r="L10808" t="s">
        <v>15</v>
      </c>
    </row>
    <row r="10809" spans="1:12" x14ac:dyDescent="0.25">
      <c r="A10809" t="str">
        <f t="shared" si="448"/>
        <v>7901154481</v>
      </c>
      <c r="B10809" t="str">
        <f t="shared" si="447"/>
        <v>89301000</v>
      </c>
      <c r="C10809" s="1">
        <v>44375</v>
      </c>
      <c r="D10809" s="1">
        <v>44376</v>
      </c>
      <c r="E10809">
        <v>1</v>
      </c>
      <c r="F10809" t="s">
        <v>7232</v>
      </c>
      <c r="G10809" t="str">
        <f>"17-K09-02"</f>
        <v>17-K09-02</v>
      </c>
      <c r="H10809">
        <v>0.71240000000000003</v>
      </c>
      <c r="I10809" t="s">
        <v>145</v>
      </c>
      <c r="J10809" t="s">
        <v>14</v>
      </c>
      <c r="K10809" t="str">
        <f>"4F2"</f>
        <v>4F2</v>
      </c>
      <c r="L10809" t="s">
        <v>15</v>
      </c>
    </row>
    <row r="10810" spans="1:12" x14ac:dyDescent="0.25">
      <c r="A10810" t="str">
        <f t="shared" si="448"/>
        <v>7901154481</v>
      </c>
      <c r="B10810" t="str">
        <f t="shared" si="447"/>
        <v>89301000</v>
      </c>
      <c r="C10810" s="1">
        <v>44403</v>
      </c>
      <c r="D10810" s="1">
        <v>44414</v>
      </c>
      <c r="E10810">
        <v>1</v>
      </c>
      <c r="F10810" t="s">
        <v>7232</v>
      </c>
      <c r="G10810" t="str">
        <f>"17-I01-00"</f>
        <v>17-I01-00</v>
      </c>
      <c r="H10810">
        <v>6.4089999999999998</v>
      </c>
      <c r="I10810" t="s">
        <v>7233</v>
      </c>
      <c r="J10810" t="s">
        <v>17</v>
      </c>
      <c r="K10810" t="str">
        <f>"5F1"</f>
        <v>5F1</v>
      </c>
      <c r="L10810" t="s">
        <v>15</v>
      </c>
    </row>
    <row r="10811" spans="1:12" x14ac:dyDescent="0.25">
      <c r="A10811" t="str">
        <f t="shared" si="448"/>
        <v>7901154481</v>
      </c>
      <c r="B10811" t="str">
        <f t="shared" si="447"/>
        <v>89301000</v>
      </c>
      <c r="C10811" s="1">
        <v>44540</v>
      </c>
      <c r="D10811" s="1">
        <v>44550</v>
      </c>
      <c r="E10811">
        <v>8</v>
      </c>
      <c r="F10811" t="s">
        <v>7232</v>
      </c>
      <c r="G10811" t="str">
        <f>"17-K09-01"</f>
        <v>17-K09-01</v>
      </c>
      <c r="H10811">
        <v>1.4086000000000001</v>
      </c>
      <c r="I10811" t="s">
        <v>7234</v>
      </c>
      <c r="J10811" t="s">
        <v>14</v>
      </c>
      <c r="K10811" t="str">
        <f>"4F2"</f>
        <v>4F2</v>
      </c>
      <c r="L10811" t="s">
        <v>15</v>
      </c>
    </row>
    <row r="10812" spans="1:12" x14ac:dyDescent="0.25">
      <c r="A10812" t="str">
        <f t="shared" si="448"/>
        <v>7901154481</v>
      </c>
      <c r="B10812" t="str">
        <f t="shared" si="447"/>
        <v>89301000</v>
      </c>
      <c r="C10812" s="1">
        <v>44265</v>
      </c>
      <c r="D10812" s="1">
        <v>44266</v>
      </c>
      <c r="E10812">
        <v>1</v>
      </c>
      <c r="F10812" t="s">
        <v>3609</v>
      </c>
      <c r="G10812" t="str">
        <f>"17-C06-02"</f>
        <v>17-C06-02</v>
      </c>
      <c r="H10812">
        <v>0.3826</v>
      </c>
      <c r="I10812" t="s">
        <v>541</v>
      </c>
      <c r="J10812" t="s">
        <v>14</v>
      </c>
      <c r="K10812" t="str">
        <f>"4F2"</f>
        <v>4F2</v>
      </c>
      <c r="L10812" t="s">
        <v>15</v>
      </c>
    </row>
    <row r="10813" spans="1:12" x14ac:dyDescent="0.25">
      <c r="A10813" t="str">
        <f t="shared" si="448"/>
        <v>7901154481</v>
      </c>
      <c r="B10813" t="str">
        <f t="shared" si="447"/>
        <v>89301000</v>
      </c>
      <c r="C10813" s="1">
        <v>44235</v>
      </c>
      <c r="D10813" s="1">
        <v>44237</v>
      </c>
      <c r="E10813">
        <v>1</v>
      </c>
      <c r="F10813" t="s">
        <v>7232</v>
      </c>
      <c r="G10813" t="str">
        <f>"17-K09-02"</f>
        <v>17-K09-02</v>
      </c>
      <c r="H10813">
        <v>0.71240000000000003</v>
      </c>
      <c r="I10813" t="s">
        <v>145</v>
      </c>
      <c r="J10813" t="s">
        <v>14</v>
      </c>
      <c r="K10813" t="str">
        <f>"4F2"</f>
        <v>4F2</v>
      </c>
      <c r="L10813" t="s">
        <v>15</v>
      </c>
    </row>
    <row r="10814" spans="1:12" x14ac:dyDescent="0.25">
      <c r="A10814" t="str">
        <f t="shared" si="448"/>
        <v>7901154481</v>
      </c>
      <c r="B10814" t="str">
        <f t="shared" si="447"/>
        <v>89301000</v>
      </c>
      <c r="C10814" s="1">
        <v>44217</v>
      </c>
      <c r="D10814" s="1">
        <v>44231</v>
      </c>
      <c r="E10814">
        <v>1</v>
      </c>
      <c r="F10814" t="s">
        <v>7235</v>
      </c>
      <c r="G10814" t="str">
        <f>"17-I08-01"</f>
        <v>17-I08-01</v>
      </c>
      <c r="H10814">
        <v>2.4777</v>
      </c>
      <c r="I10814" t="s">
        <v>7236</v>
      </c>
      <c r="J10814" t="s">
        <v>14</v>
      </c>
      <c r="K10814" t="str">
        <f>"5F1"</f>
        <v>5F1</v>
      </c>
      <c r="L10814" t="s">
        <v>15</v>
      </c>
    </row>
    <row r="10815" spans="1:12" x14ac:dyDescent="0.25">
      <c r="A10815" t="str">
        <f t="shared" si="448"/>
        <v>7901154481</v>
      </c>
      <c r="B10815" t="str">
        <f t="shared" si="447"/>
        <v>89301000</v>
      </c>
      <c r="C10815" s="1">
        <v>44328</v>
      </c>
      <c r="D10815" s="1">
        <v>44330</v>
      </c>
      <c r="E10815">
        <v>1</v>
      </c>
      <c r="F10815" t="s">
        <v>7232</v>
      </c>
      <c r="G10815" t="str">
        <f>"17-C06-02"</f>
        <v>17-C06-02</v>
      </c>
      <c r="H10815">
        <v>0.3826</v>
      </c>
      <c r="I10815" t="s">
        <v>4167</v>
      </c>
      <c r="J10815" t="s">
        <v>14</v>
      </c>
      <c r="K10815" t="str">
        <f>"4F2"</f>
        <v>4F2</v>
      </c>
      <c r="L10815" t="s">
        <v>15</v>
      </c>
    </row>
    <row r="10816" spans="1:12" x14ac:dyDescent="0.25">
      <c r="A10816" t="str">
        <f>"7901185347"</f>
        <v>7901185347</v>
      </c>
      <c r="B10816" t="str">
        <f t="shared" si="447"/>
        <v>89301000</v>
      </c>
      <c r="C10816" s="1">
        <v>44460</v>
      </c>
      <c r="D10816" s="1">
        <v>44463</v>
      </c>
      <c r="E10816">
        <v>1</v>
      </c>
      <c r="F10816" t="s">
        <v>2328</v>
      </c>
      <c r="G10816" t="str">
        <f>"08-I31-03"</f>
        <v>08-I31-03</v>
      </c>
      <c r="H10816">
        <v>0.92979999999999996</v>
      </c>
      <c r="I10816" t="s">
        <v>381</v>
      </c>
      <c r="J10816" t="s">
        <v>14</v>
      </c>
      <c r="K10816" t="str">
        <f>"5F3"</f>
        <v>5F3</v>
      </c>
      <c r="L10816" t="s">
        <v>15</v>
      </c>
    </row>
    <row r="10817" spans="1:12" x14ac:dyDescent="0.25">
      <c r="A10817" t="str">
        <f>"7901185347"</f>
        <v>7901185347</v>
      </c>
      <c r="B10817" t="str">
        <f t="shared" si="447"/>
        <v>89301000</v>
      </c>
      <c r="C10817" s="1">
        <v>44318</v>
      </c>
      <c r="D10817" s="1">
        <v>44326</v>
      </c>
      <c r="E10817">
        <v>1</v>
      </c>
      <c r="F10817" t="s">
        <v>7237</v>
      </c>
      <c r="G10817" t="str">
        <f>"08-I24-01"</f>
        <v>08-I24-01</v>
      </c>
      <c r="H10817">
        <v>1.0648</v>
      </c>
      <c r="I10817" t="s">
        <v>7238</v>
      </c>
      <c r="J10817" t="s">
        <v>14</v>
      </c>
      <c r="K10817" t="str">
        <f>"5F3"</f>
        <v>5F3</v>
      </c>
      <c r="L10817" t="s">
        <v>15</v>
      </c>
    </row>
    <row r="10818" spans="1:12" x14ac:dyDescent="0.25">
      <c r="A10818" t="str">
        <f>"7901185347"</f>
        <v>7901185347</v>
      </c>
      <c r="B10818" t="str">
        <f t="shared" si="447"/>
        <v>89301000</v>
      </c>
      <c r="C10818" s="1">
        <v>44361</v>
      </c>
      <c r="D10818" s="1">
        <v>44377</v>
      </c>
      <c r="E10818">
        <v>1</v>
      </c>
      <c r="F10818" t="s">
        <v>109</v>
      </c>
      <c r="G10818" t="str">
        <f>"24-M07-02"</f>
        <v>24-M07-02</v>
      </c>
      <c r="H10818">
        <v>1.5094000000000001</v>
      </c>
      <c r="I10818" t="s">
        <v>7239</v>
      </c>
      <c r="J10818" t="s">
        <v>14</v>
      </c>
      <c r="K10818" t="str">
        <f>"2F1"</f>
        <v>2F1</v>
      </c>
      <c r="L10818" t="s">
        <v>15</v>
      </c>
    </row>
    <row r="10819" spans="1:12" x14ac:dyDescent="0.25">
      <c r="A10819" t="str">
        <f>"7902094134"</f>
        <v>7902094134</v>
      </c>
      <c r="B10819" t="str">
        <f t="shared" si="447"/>
        <v>89301000</v>
      </c>
      <c r="C10819" s="1">
        <v>44302</v>
      </c>
      <c r="D10819" s="1">
        <v>44306</v>
      </c>
      <c r="E10819">
        <v>1</v>
      </c>
      <c r="F10819" t="s">
        <v>1931</v>
      </c>
      <c r="G10819" t="str">
        <f>"03-K04-01"</f>
        <v>03-K04-01</v>
      </c>
      <c r="H10819">
        <v>0.46660000000000001</v>
      </c>
      <c r="J10819" t="s">
        <v>14</v>
      </c>
      <c r="K10819" t="str">
        <f>"7F1"</f>
        <v>7F1</v>
      </c>
      <c r="L10819" t="s">
        <v>15</v>
      </c>
    </row>
    <row r="10820" spans="1:12" x14ac:dyDescent="0.25">
      <c r="A10820" t="str">
        <f>"7902095784"</f>
        <v>7902095784</v>
      </c>
      <c r="B10820" t="str">
        <f t="shared" si="447"/>
        <v>89301000</v>
      </c>
      <c r="C10820" s="1">
        <v>44216</v>
      </c>
      <c r="D10820" s="1">
        <v>44218</v>
      </c>
      <c r="E10820">
        <v>1</v>
      </c>
      <c r="F10820" t="s">
        <v>7240</v>
      </c>
      <c r="G10820" t="str">
        <f>"18-K02-03"</f>
        <v>18-K02-03</v>
      </c>
      <c r="H10820">
        <v>0.87570000000000003</v>
      </c>
      <c r="I10820" t="s">
        <v>2433</v>
      </c>
      <c r="J10820" t="s">
        <v>14</v>
      </c>
      <c r="K10820" t="str">
        <f>"4F4"</f>
        <v>4F4</v>
      </c>
      <c r="L10820" t="s">
        <v>15</v>
      </c>
    </row>
    <row r="10821" spans="1:12" x14ac:dyDescent="0.25">
      <c r="A10821" t="str">
        <f>"7902215761"</f>
        <v>7902215761</v>
      </c>
      <c r="B10821" t="str">
        <f t="shared" si="447"/>
        <v>89301000</v>
      </c>
      <c r="C10821" s="1">
        <v>44357</v>
      </c>
      <c r="D10821" s="1">
        <v>44358</v>
      </c>
      <c r="E10821">
        <v>5</v>
      </c>
      <c r="F10821" t="s">
        <v>316</v>
      </c>
      <c r="G10821" t="str">
        <f>"01-I08-04"</f>
        <v>01-I08-04</v>
      </c>
      <c r="H10821">
        <v>1.0961000000000001</v>
      </c>
      <c r="I10821" t="s">
        <v>7241</v>
      </c>
      <c r="J10821" t="s">
        <v>17</v>
      </c>
      <c r="K10821" t="str">
        <f>"5T6"</f>
        <v>5T6</v>
      </c>
      <c r="L10821" t="s">
        <v>15</v>
      </c>
    </row>
    <row r="10822" spans="1:12" x14ac:dyDescent="0.25">
      <c r="A10822" t="str">
        <f>"7902215761"</f>
        <v>7902215761</v>
      </c>
      <c r="B10822" t="str">
        <f t="shared" si="447"/>
        <v>89301000</v>
      </c>
      <c r="C10822" s="1">
        <v>44341</v>
      </c>
      <c r="D10822" s="1">
        <v>44350</v>
      </c>
      <c r="E10822">
        <v>5</v>
      </c>
      <c r="F10822" t="s">
        <v>316</v>
      </c>
      <c r="G10822" t="str">
        <f>"00-M01-04"</f>
        <v>00-M01-04</v>
      </c>
      <c r="H10822">
        <v>6.85</v>
      </c>
      <c r="I10822" t="s">
        <v>7242</v>
      </c>
      <c r="J10822" t="s">
        <v>14</v>
      </c>
      <c r="K10822" t="str">
        <f>"5T6"</f>
        <v>5T6</v>
      </c>
      <c r="L10822" t="s">
        <v>15</v>
      </c>
    </row>
    <row r="10823" spans="1:12" x14ac:dyDescent="0.25">
      <c r="A10823" t="str">
        <f>"7902215761"</f>
        <v>7902215761</v>
      </c>
      <c r="B10823" t="str">
        <f t="shared" si="447"/>
        <v>89301000</v>
      </c>
      <c r="C10823" s="1">
        <v>44252</v>
      </c>
      <c r="D10823" s="1">
        <v>44256</v>
      </c>
      <c r="E10823">
        <v>1</v>
      </c>
      <c r="F10823" t="s">
        <v>1602</v>
      </c>
      <c r="G10823" t="str">
        <f>"05-K07-04"</f>
        <v>05-K07-04</v>
      </c>
      <c r="H10823">
        <v>1.131</v>
      </c>
      <c r="I10823" t="s">
        <v>7243</v>
      </c>
      <c r="J10823" t="s">
        <v>14</v>
      </c>
      <c r="K10823" t="str">
        <f>"1T1"</f>
        <v>1T1</v>
      </c>
      <c r="L10823" t="s">
        <v>15</v>
      </c>
    </row>
    <row r="10824" spans="1:12" x14ac:dyDescent="0.25">
      <c r="A10824" t="str">
        <f>"7902245395"</f>
        <v>7902245395</v>
      </c>
      <c r="B10824" t="str">
        <f t="shared" si="447"/>
        <v>89301000</v>
      </c>
      <c r="C10824" s="1">
        <v>44467</v>
      </c>
      <c r="D10824" s="1">
        <v>44480</v>
      </c>
      <c r="E10824">
        <v>4</v>
      </c>
      <c r="F10824" t="s">
        <v>199</v>
      </c>
      <c r="G10824" t="str">
        <f>"25-I02-01"</f>
        <v>25-I02-01</v>
      </c>
      <c r="H10824">
        <v>8.8862000000000005</v>
      </c>
      <c r="I10824" t="s">
        <v>7244</v>
      </c>
      <c r="J10824" t="s">
        <v>17</v>
      </c>
      <c r="K10824" t="str">
        <f>"5F3"</f>
        <v>5F3</v>
      </c>
      <c r="L10824" t="s">
        <v>15</v>
      </c>
    </row>
    <row r="10825" spans="1:12" x14ac:dyDescent="0.25">
      <c r="A10825" t="str">
        <f>"7903264501"</f>
        <v>7903264501</v>
      </c>
      <c r="B10825" t="str">
        <f t="shared" si="447"/>
        <v>89301000</v>
      </c>
      <c r="C10825" s="1">
        <v>44528</v>
      </c>
      <c r="D10825" s="1">
        <v>44531</v>
      </c>
      <c r="E10825">
        <v>1</v>
      </c>
      <c r="F10825" t="s">
        <v>496</v>
      </c>
      <c r="G10825" t="str">
        <f>"08-M03-05"</f>
        <v>08-M03-05</v>
      </c>
      <c r="H10825">
        <v>0.51759999999999995</v>
      </c>
      <c r="I10825" t="s">
        <v>2407</v>
      </c>
      <c r="J10825" t="s">
        <v>14</v>
      </c>
      <c r="K10825" t="str">
        <f>"6F6"</f>
        <v>6F6</v>
      </c>
      <c r="L10825" t="s">
        <v>15</v>
      </c>
    </row>
    <row r="10826" spans="1:12" x14ac:dyDescent="0.25">
      <c r="A10826" t="str">
        <f>"7903285764"</f>
        <v>7903285764</v>
      </c>
      <c r="B10826" t="str">
        <f t="shared" si="447"/>
        <v>89301000</v>
      </c>
      <c r="C10826" s="1">
        <v>44348</v>
      </c>
      <c r="D10826" s="1">
        <v>44350</v>
      </c>
      <c r="E10826">
        <v>1</v>
      </c>
      <c r="F10826" t="s">
        <v>7245</v>
      </c>
      <c r="G10826" t="str">
        <f>"08-I18-02"</f>
        <v>08-I18-02</v>
      </c>
      <c r="H10826">
        <v>0.65769999999999995</v>
      </c>
      <c r="I10826" t="s">
        <v>381</v>
      </c>
      <c r="J10826" t="s">
        <v>17</v>
      </c>
      <c r="K10826" t="str">
        <f>"5F3"</f>
        <v>5F3</v>
      </c>
      <c r="L10826" t="s">
        <v>286</v>
      </c>
    </row>
    <row r="10827" spans="1:12" x14ac:dyDescent="0.25">
      <c r="A10827" t="str">
        <f>"7904115758"</f>
        <v>7904115758</v>
      </c>
      <c r="B10827" t="str">
        <f t="shared" si="447"/>
        <v>89301000</v>
      </c>
      <c r="C10827" s="1">
        <v>44550</v>
      </c>
      <c r="D10827" s="1">
        <v>44551</v>
      </c>
      <c r="E10827">
        <v>1</v>
      </c>
      <c r="F10827" t="s">
        <v>4550</v>
      </c>
      <c r="G10827" t="str">
        <f>"08-C04-02"</f>
        <v>08-C04-02</v>
      </c>
      <c r="H10827">
        <v>0.43919999999999998</v>
      </c>
      <c r="I10827" t="s">
        <v>7246</v>
      </c>
      <c r="J10827" t="s">
        <v>14</v>
      </c>
      <c r="K10827" t="str">
        <f>"1F9"</f>
        <v>1F9</v>
      </c>
      <c r="L10827" t="s">
        <v>15</v>
      </c>
    </row>
    <row r="10828" spans="1:12" x14ac:dyDescent="0.25">
      <c r="A10828" t="str">
        <f>"7904115758"</f>
        <v>7904115758</v>
      </c>
      <c r="B10828" t="str">
        <f t="shared" si="447"/>
        <v>89301000</v>
      </c>
      <c r="C10828" s="1">
        <v>44522</v>
      </c>
      <c r="D10828" s="1">
        <v>44523</v>
      </c>
      <c r="E10828">
        <v>1</v>
      </c>
      <c r="F10828" t="s">
        <v>4550</v>
      </c>
      <c r="G10828" t="str">
        <f>"08-C04-02"</f>
        <v>08-C04-02</v>
      </c>
      <c r="H10828">
        <v>0.43919999999999998</v>
      </c>
      <c r="I10828" t="s">
        <v>7247</v>
      </c>
      <c r="J10828" t="s">
        <v>14</v>
      </c>
      <c r="K10828" t="str">
        <f>"1F9"</f>
        <v>1F9</v>
      </c>
      <c r="L10828" t="s">
        <v>15</v>
      </c>
    </row>
    <row r="10829" spans="1:12" x14ac:dyDescent="0.25">
      <c r="A10829" t="str">
        <f>"7904115758"</f>
        <v>7904115758</v>
      </c>
      <c r="B10829" t="str">
        <f t="shared" si="447"/>
        <v>89301000</v>
      </c>
      <c r="C10829" s="1">
        <v>44494</v>
      </c>
      <c r="D10829" s="1">
        <v>44495</v>
      </c>
      <c r="E10829">
        <v>1</v>
      </c>
      <c r="F10829" t="s">
        <v>7248</v>
      </c>
      <c r="G10829" t="str">
        <f>"08-C04-02"</f>
        <v>08-C04-02</v>
      </c>
      <c r="H10829">
        <v>0.43919999999999998</v>
      </c>
      <c r="I10829" t="s">
        <v>7249</v>
      </c>
      <c r="J10829" t="s">
        <v>14</v>
      </c>
      <c r="K10829" t="str">
        <f>"1F9"</f>
        <v>1F9</v>
      </c>
      <c r="L10829" t="s">
        <v>15</v>
      </c>
    </row>
    <row r="10830" spans="1:12" x14ac:dyDescent="0.25">
      <c r="A10830" t="str">
        <f>"7904115758"</f>
        <v>7904115758</v>
      </c>
      <c r="B10830" t="str">
        <f t="shared" si="447"/>
        <v>89301000</v>
      </c>
      <c r="C10830" s="1">
        <v>44461</v>
      </c>
      <c r="D10830" s="1">
        <v>44463</v>
      </c>
      <c r="E10830">
        <v>1</v>
      </c>
      <c r="F10830" t="s">
        <v>2197</v>
      </c>
      <c r="G10830" t="str">
        <f>"04-M02-04"</f>
        <v>04-M02-04</v>
      </c>
      <c r="H10830">
        <v>0.7238</v>
      </c>
      <c r="I10830" t="s">
        <v>7250</v>
      </c>
      <c r="J10830" t="s">
        <v>14</v>
      </c>
      <c r="K10830" t="str">
        <f>"2F5"</f>
        <v>2F5</v>
      </c>
      <c r="L10830" t="s">
        <v>15</v>
      </c>
    </row>
    <row r="10831" spans="1:12" x14ac:dyDescent="0.25">
      <c r="A10831" t="str">
        <f>"7904115758"</f>
        <v>7904115758</v>
      </c>
      <c r="B10831" t="str">
        <f t="shared" si="447"/>
        <v>89301000</v>
      </c>
      <c r="C10831" s="1">
        <v>44418</v>
      </c>
      <c r="D10831" s="1">
        <v>44421</v>
      </c>
      <c r="E10831">
        <v>1</v>
      </c>
      <c r="F10831" t="s">
        <v>7248</v>
      </c>
      <c r="G10831" t="str">
        <f>"08-K01-02"</f>
        <v>08-K01-02</v>
      </c>
      <c r="H10831">
        <v>1.1327</v>
      </c>
      <c r="I10831" t="s">
        <v>7251</v>
      </c>
      <c r="J10831" t="s">
        <v>14</v>
      </c>
      <c r="K10831" t="str">
        <f>"1F9"</f>
        <v>1F9</v>
      </c>
      <c r="L10831" t="s">
        <v>15</v>
      </c>
    </row>
    <row r="10832" spans="1:12" x14ac:dyDescent="0.25">
      <c r="A10832" t="str">
        <f>"7905085331"</f>
        <v>7905085331</v>
      </c>
      <c r="B10832" t="str">
        <f t="shared" si="447"/>
        <v>89301000</v>
      </c>
      <c r="C10832" s="1">
        <v>44551</v>
      </c>
      <c r="D10832" s="1">
        <v>44553</v>
      </c>
      <c r="E10832">
        <v>1</v>
      </c>
      <c r="F10832" t="s">
        <v>4478</v>
      </c>
      <c r="G10832" t="str">
        <f>"08-I19-03"</f>
        <v>08-I19-03</v>
      </c>
      <c r="H10832">
        <v>0.6512</v>
      </c>
      <c r="I10832" t="s">
        <v>381</v>
      </c>
      <c r="J10832" t="s">
        <v>17</v>
      </c>
      <c r="K10832" t="str">
        <f>"5F3"</f>
        <v>5F3</v>
      </c>
      <c r="L10832" t="s">
        <v>15</v>
      </c>
    </row>
    <row r="10833" spans="1:12" x14ac:dyDescent="0.25">
      <c r="A10833" t="str">
        <f>"7905114470"</f>
        <v>7905114470</v>
      </c>
      <c r="B10833" t="str">
        <f t="shared" si="447"/>
        <v>89301000</v>
      </c>
      <c r="C10833" s="1">
        <v>44428</v>
      </c>
      <c r="D10833" s="1">
        <v>44431</v>
      </c>
      <c r="E10833">
        <v>1</v>
      </c>
      <c r="F10833" t="s">
        <v>41</v>
      </c>
      <c r="G10833" t="str">
        <f>"01-D01-03"</f>
        <v>01-D01-03</v>
      </c>
      <c r="H10833">
        <v>0.2054</v>
      </c>
      <c r="I10833" t="s">
        <v>3885</v>
      </c>
      <c r="J10833" t="s">
        <v>14</v>
      </c>
      <c r="K10833" t="str">
        <f>"2F5"</f>
        <v>2F5</v>
      </c>
      <c r="L10833" t="s">
        <v>15</v>
      </c>
    </row>
    <row r="10834" spans="1:12" x14ac:dyDescent="0.25">
      <c r="A10834" t="str">
        <f>"7905114492"</f>
        <v>7905114492</v>
      </c>
      <c r="B10834" t="str">
        <f t="shared" si="447"/>
        <v>89301000</v>
      </c>
      <c r="C10834" s="1">
        <v>44529</v>
      </c>
      <c r="D10834" s="1">
        <v>44531</v>
      </c>
      <c r="E10834">
        <v>1</v>
      </c>
      <c r="F10834" t="s">
        <v>41</v>
      </c>
      <c r="G10834" t="str">
        <f>"01-D01-03"</f>
        <v>01-D01-03</v>
      </c>
      <c r="H10834">
        <v>0.158</v>
      </c>
      <c r="I10834" t="s">
        <v>7252</v>
      </c>
      <c r="J10834" t="s">
        <v>14</v>
      </c>
      <c r="K10834" t="str">
        <f>"2F5"</f>
        <v>2F5</v>
      </c>
      <c r="L10834" t="s">
        <v>15</v>
      </c>
    </row>
    <row r="10835" spans="1:12" x14ac:dyDescent="0.25">
      <c r="A10835" t="str">
        <f>"7905235327"</f>
        <v>7905235327</v>
      </c>
      <c r="B10835" t="str">
        <f t="shared" si="447"/>
        <v>89301000</v>
      </c>
      <c r="C10835" s="1">
        <v>44288</v>
      </c>
      <c r="D10835" s="1">
        <v>44293</v>
      </c>
      <c r="E10835">
        <v>1</v>
      </c>
      <c r="F10835" t="s">
        <v>217</v>
      </c>
      <c r="G10835" t="str">
        <f>"04-K02-04"</f>
        <v>04-K02-04</v>
      </c>
      <c r="H10835">
        <v>0.82469999999999999</v>
      </c>
      <c r="I10835" t="s">
        <v>4013</v>
      </c>
      <c r="J10835" t="s">
        <v>14</v>
      </c>
      <c r="K10835" t="str">
        <f>"5F1"</f>
        <v>5F1</v>
      </c>
      <c r="L10835" t="s">
        <v>15</v>
      </c>
    </row>
    <row r="10836" spans="1:12" x14ac:dyDescent="0.25">
      <c r="A10836" t="str">
        <f>"7905275763"</f>
        <v>7905275763</v>
      </c>
      <c r="B10836" t="str">
        <f t="shared" si="447"/>
        <v>89301000</v>
      </c>
      <c r="C10836" s="1">
        <v>44481</v>
      </c>
      <c r="D10836" s="1">
        <v>44483</v>
      </c>
      <c r="E10836">
        <v>1</v>
      </c>
      <c r="F10836" t="s">
        <v>7253</v>
      </c>
      <c r="G10836" t="str">
        <f>"08-I24-01"</f>
        <v>08-I24-01</v>
      </c>
      <c r="H10836">
        <v>1.0648</v>
      </c>
      <c r="I10836" t="s">
        <v>244</v>
      </c>
      <c r="J10836" t="s">
        <v>14</v>
      </c>
      <c r="K10836" t="str">
        <f>"5F3"</f>
        <v>5F3</v>
      </c>
      <c r="L10836" t="s">
        <v>15</v>
      </c>
    </row>
    <row r="10837" spans="1:12" x14ac:dyDescent="0.25">
      <c r="A10837" t="str">
        <f>"7905285366"</f>
        <v>7905285366</v>
      </c>
      <c r="B10837" t="str">
        <f t="shared" si="447"/>
        <v>89301000</v>
      </c>
      <c r="C10837" s="1">
        <v>44550</v>
      </c>
      <c r="D10837" s="1">
        <v>44554</v>
      </c>
      <c r="E10837">
        <v>1</v>
      </c>
      <c r="F10837" t="s">
        <v>1572</v>
      </c>
      <c r="G10837" t="str">
        <f>"88-I06-00"</f>
        <v>88-I06-00</v>
      </c>
      <c r="H10837">
        <v>0.11459999999999999</v>
      </c>
      <c r="J10837" t="s">
        <v>14</v>
      </c>
      <c r="K10837" t="str">
        <f>"5F1"</f>
        <v>5F1</v>
      </c>
      <c r="L10837" t="s">
        <v>15</v>
      </c>
    </row>
    <row r="10838" spans="1:12" x14ac:dyDescent="0.25">
      <c r="A10838" t="str">
        <f>"7906055366"</f>
        <v>7906055366</v>
      </c>
      <c r="B10838" t="str">
        <f t="shared" si="447"/>
        <v>89301000</v>
      </c>
      <c r="C10838" s="1">
        <v>44224</v>
      </c>
      <c r="D10838" s="1">
        <v>44231</v>
      </c>
      <c r="E10838">
        <v>1</v>
      </c>
      <c r="F10838" t="s">
        <v>217</v>
      </c>
      <c r="G10838" t="str">
        <f>"04-K02-04"</f>
        <v>04-K02-04</v>
      </c>
      <c r="H10838">
        <v>0.82469999999999999</v>
      </c>
      <c r="I10838" t="s">
        <v>7254</v>
      </c>
      <c r="J10838" t="s">
        <v>14</v>
      </c>
      <c r="K10838" t="str">
        <f>"5F1"</f>
        <v>5F1</v>
      </c>
      <c r="L10838" t="s">
        <v>15</v>
      </c>
    </row>
    <row r="10839" spans="1:12" x14ac:dyDescent="0.25">
      <c r="A10839" t="str">
        <f>"7906069952"</f>
        <v>7906069952</v>
      </c>
      <c r="B10839" t="str">
        <f t="shared" si="447"/>
        <v>89301000</v>
      </c>
      <c r="C10839" s="1">
        <v>44209</v>
      </c>
      <c r="D10839" s="1">
        <v>44215</v>
      </c>
      <c r="E10839">
        <v>1</v>
      </c>
      <c r="F10839" t="s">
        <v>43</v>
      </c>
      <c r="G10839" t="str">
        <f>"06-I18-05"</f>
        <v>06-I18-05</v>
      </c>
      <c r="H10839">
        <v>0.85550000000000004</v>
      </c>
      <c r="J10839" t="s">
        <v>24</v>
      </c>
      <c r="K10839" t="str">
        <f>"5F1"</f>
        <v>5F1</v>
      </c>
      <c r="L10839" t="s">
        <v>15</v>
      </c>
    </row>
    <row r="10840" spans="1:12" x14ac:dyDescent="0.25">
      <c r="A10840" t="str">
        <f>"7906105306"</f>
        <v>7906105306</v>
      </c>
      <c r="B10840" t="str">
        <f t="shared" si="447"/>
        <v>89301000</v>
      </c>
      <c r="C10840" s="1">
        <v>44431</v>
      </c>
      <c r="D10840" s="1">
        <v>44432</v>
      </c>
      <c r="E10840">
        <v>1</v>
      </c>
      <c r="F10840" t="s">
        <v>34</v>
      </c>
      <c r="G10840" t="str">
        <f>"08-I19-03"</f>
        <v>08-I19-03</v>
      </c>
      <c r="H10840">
        <v>0.61250000000000004</v>
      </c>
      <c r="I10840" t="s">
        <v>512</v>
      </c>
      <c r="J10840" t="s">
        <v>17</v>
      </c>
      <c r="K10840" t="str">
        <f>"5F3"</f>
        <v>5F3</v>
      </c>
      <c r="L10840" t="s">
        <v>15</v>
      </c>
    </row>
    <row r="10841" spans="1:12" x14ac:dyDescent="0.25">
      <c r="A10841" t="str">
        <f>"7906134929"</f>
        <v>7906134929</v>
      </c>
      <c r="B10841" t="str">
        <f t="shared" si="447"/>
        <v>89301000</v>
      </c>
      <c r="C10841" s="1">
        <v>44361</v>
      </c>
      <c r="D10841" s="1">
        <v>44363</v>
      </c>
      <c r="E10841">
        <v>1</v>
      </c>
      <c r="F10841" t="s">
        <v>2111</v>
      </c>
      <c r="G10841" t="str">
        <f>"10-K15-02"</f>
        <v>10-K15-02</v>
      </c>
      <c r="H10841">
        <v>0.77639999999999998</v>
      </c>
      <c r="I10841" t="s">
        <v>7255</v>
      </c>
      <c r="J10841" t="s">
        <v>14</v>
      </c>
      <c r="K10841" t="str">
        <f>"2F5"</f>
        <v>2F5</v>
      </c>
      <c r="L10841" t="s">
        <v>15</v>
      </c>
    </row>
    <row r="10842" spans="1:12" x14ac:dyDescent="0.25">
      <c r="A10842" t="str">
        <f>"7906224458"</f>
        <v>7906224458</v>
      </c>
      <c r="B10842" t="str">
        <f t="shared" si="447"/>
        <v>89301000</v>
      </c>
      <c r="C10842" s="1">
        <v>44292</v>
      </c>
      <c r="D10842" s="1">
        <v>44293</v>
      </c>
      <c r="E10842">
        <v>1</v>
      </c>
      <c r="F10842" t="s">
        <v>41</v>
      </c>
      <c r="G10842" t="str">
        <f>"01-D01-03"</f>
        <v>01-D01-03</v>
      </c>
      <c r="H10842">
        <v>0.158</v>
      </c>
      <c r="I10842" t="s">
        <v>40</v>
      </c>
      <c r="J10842" t="s">
        <v>14</v>
      </c>
      <c r="K10842" t="str">
        <f>"2F5"</f>
        <v>2F5</v>
      </c>
      <c r="L10842" t="s">
        <v>15</v>
      </c>
    </row>
    <row r="10843" spans="1:12" x14ac:dyDescent="0.25">
      <c r="A10843" t="str">
        <f>"7907045718"</f>
        <v>7907045718</v>
      </c>
      <c r="B10843" t="str">
        <f t="shared" si="447"/>
        <v>89301000</v>
      </c>
      <c r="C10843" s="1">
        <v>44307</v>
      </c>
      <c r="D10843" s="1">
        <v>44311</v>
      </c>
      <c r="E10843">
        <v>1</v>
      </c>
      <c r="F10843" t="s">
        <v>217</v>
      </c>
      <c r="G10843" t="str">
        <f>"04-K02-04"</f>
        <v>04-K02-04</v>
      </c>
      <c r="H10843">
        <v>0.82469999999999999</v>
      </c>
      <c r="I10843" t="s">
        <v>274</v>
      </c>
      <c r="J10843" t="s">
        <v>14</v>
      </c>
      <c r="K10843" t="str">
        <f>"1F1"</f>
        <v>1F1</v>
      </c>
      <c r="L10843" t="s">
        <v>15</v>
      </c>
    </row>
    <row r="10844" spans="1:12" x14ac:dyDescent="0.25">
      <c r="A10844" t="str">
        <f>"7907124940"</f>
        <v>7907124940</v>
      </c>
      <c r="B10844" t="str">
        <f t="shared" si="447"/>
        <v>89301000</v>
      </c>
      <c r="C10844" s="1">
        <v>44400</v>
      </c>
      <c r="D10844" s="1">
        <v>44403</v>
      </c>
      <c r="E10844">
        <v>1</v>
      </c>
      <c r="F10844" t="s">
        <v>41</v>
      </c>
      <c r="G10844" t="str">
        <f>"01-D01-03"</f>
        <v>01-D01-03</v>
      </c>
      <c r="H10844">
        <v>0.2054</v>
      </c>
      <c r="I10844" t="s">
        <v>2357</v>
      </c>
      <c r="J10844" t="s">
        <v>14</v>
      </c>
      <c r="K10844" t="str">
        <f>"2F5"</f>
        <v>2F5</v>
      </c>
      <c r="L10844" t="s">
        <v>15</v>
      </c>
    </row>
    <row r="10845" spans="1:12" x14ac:dyDescent="0.25">
      <c r="A10845" t="str">
        <f>"7907124940"</f>
        <v>7907124940</v>
      </c>
      <c r="B10845" t="str">
        <f t="shared" si="447"/>
        <v>89301000</v>
      </c>
      <c r="C10845" s="1">
        <v>44322</v>
      </c>
      <c r="D10845" s="1">
        <v>44323</v>
      </c>
      <c r="E10845">
        <v>1</v>
      </c>
      <c r="F10845" t="s">
        <v>41</v>
      </c>
      <c r="G10845" t="str">
        <f>"01-D01-03"</f>
        <v>01-D01-03</v>
      </c>
      <c r="H10845">
        <v>0.158</v>
      </c>
      <c r="J10845" t="s">
        <v>14</v>
      </c>
      <c r="K10845" t="str">
        <f>"2F5"</f>
        <v>2F5</v>
      </c>
      <c r="L10845" t="s">
        <v>15</v>
      </c>
    </row>
    <row r="10846" spans="1:12" x14ac:dyDescent="0.25">
      <c r="A10846" t="str">
        <f>"7907125831"</f>
        <v>7907125831</v>
      </c>
      <c r="B10846" t="str">
        <f t="shared" si="447"/>
        <v>89301000</v>
      </c>
      <c r="C10846" s="1">
        <v>44336</v>
      </c>
      <c r="D10846" s="1">
        <v>44337</v>
      </c>
      <c r="E10846">
        <v>1</v>
      </c>
      <c r="F10846" t="s">
        <v>7256</v>
      </c>
      <c r="G10846" t="str">
        <f>"09-I10-02"</f>
        <v>09-I10-02</v>
      </c>
      <c r="H10846">
        <v>0.98380000000000001</v>
      </c>
      <c r="I10846" t="s">
        <v>2967</v>
      </c>
      <c r="J10846" t="s">
        <v>17</v>
      </c>
      <c r="K10846" t="str">
        <f>"6F1"</f>
        <v>6F1</v>
      </c>
      <c r="L10846" t="s">
        <v>15</v>
      </c>
    </row>
    <row r="10847" spans="1:12" x14ac:dyDescent="0.25">
      <c r="A10847" t="str">
        <f>"7907255312"</f>
        <v>7907255312</v>
      </c>
      <c r="B10847" t="str">
        <f t="shared" si="447"/>
        <v>89301000</v>
      </c>
      <c r="C10847" s="1">
        <v>44205</v>
      </c>
      <c r="D10847" s="1">
        <v>44208</v>
      </c>
      <c r="E10847">
        <v>1</v>
      </c>
      <c r="F10847" t="s">
        <v>217</v>
      </c>
      <c r="G10847" t="str">
        <f>"04-K02-04"</f>
        <v>04-K02-04</v>
      </c>
      <c r="H10847">
        <v>0.82469999999999999</v>
      </c>
      <c r="I10847" t="s">
        <v>274</v>
      </c>
      <c r="J10847" t="s">
        <v>14</v>
      </c>
      <c r="K10847" t="str">
        <f>"5F1"</f>
        <v>5F1</v>
      </c>
      <c r="L10847" t="s">
        <v>15</v>
      </c>
    </row>
    <row r="10848" spans="1:12" x14ac:dyDescent="0.25">
      <c r="A10848" t="str">
        <f>"7907295759"</f>
        <v>7907295759</v>
      </c>
      <c r="B10848" t="str">
        <f t="shared" si="447"/>
        <v>89301000</v>
      </c>
      <c r="C10848" s="1">
        <v>44217</v>
      </c>
      <c r="D10848" s="1">
        <v>44220</v>
      </c>
      <c r="E10848">
        <v>1</v>
      </c>
      <c r="F10848" t="s">
        <v>4196</v>
      </c>
      <c r="G10848" t="str">
        <f>"08-M03-02"</f>
        <v>08-M03-02</v>
      </c>
      <c r="H10848">
        <v>0.86970000000000003</v>
      </c>
      <c r="I10848" t="s">
        <v>3567</v>
      </c>
      <c r="J10848" t="s">
        <v>14</v>
      </c>
      <c r="K10848" t="str">
        <f>"6F6"</f>
        <v>6F6</v>
      </c>
      <c r="L10848" t="s">
        <v>15</v>
      </c>
    </row>
    <row r="10849" spans="1:12" x14ac:dyDescent="0.25">
      <c r="A10849" t="str">
        <f>"7908024476"</f>
        <v>7908024476</v>
      </c>
      <c r="B10849" t="str">
        <f t="shared" si="447"/>
        <v>89301000</v>
      </c>
      <c r="C10849" s="1">
        <v>44359</v>
      </c>
      <c r="D10849" s="1">
        <v>44361</v>
      </c>
      <c r="E10849">
        <v>1</v>
      </c>
      <c r="F10849" t="s">
        <v>34</v>
      </c>
      <c r="G10849" t="str">
        <f>"08-I19-03"</f>
        <v>08-I19-03</v>
      </c>
      <c r="H10849">
        <v>0.61250000000000004</v>
      </c>
      <c r="I10849" t="s">
        <v>30</v>
      </c>
      <c r="J10849" t="s">
        <v>17</v>
      </c>
      <c r="K10849" t="str">
        <f>"5F3"</f>
        <v>5F3</v>
      </c>
      <c r="L10849" t="s">
        <v>15</v>
      </c>
    </row>
    <row r="10850" spans="1:12" x14ac:dyDescent="0.25">
      <c r="A10850" t="str">
        <f>"7908034486"</f>
        <v>7908034486</v>
      </c>
      <c r="B10850" t="str">
        <f t="shared" ref="B10850:B10913" si="449">"89301000"</f>
        <v>89301000</v>
      </c>
      <c r="C10850" s="1">
        <v>44455</v>
      </c>
      <c r="D10850" s="1">
        <v>44456</v>
      </c>
      <c r="E10850">
        <v>1</v>
      </c>
      <c r="F10850" t="s">
        <v>307</v>
      </c>
      <c r="G10850" t="str">
        <f>"08-K03-02"</f>
        <v>08-K03-02</v>
      </c>
      <c r="H10850">
        <v>0.69569999999999999</v>
      </c>
      <c r="I10850" t="s">
        <v>7257</v>
      </c>
      <c r="J10850" t="s">
        <v>14</v>
      </c>
      <c r="K10850" t="str">
        <f>"5F3"</f>
        <v>5F3</v>
      </c>
      <c r="L10850" t="s">
        <v>15</v>
      </c>
    </row>
    <row r="10851" spans="1:12" x14ac:dyDescent="0.25">
      <c r="A10851" t="str">
        <f>"7908034486"</f>
        <v>7908034486</v>
      </c>
      <c r="B10851" t="str">
        <f t="shared" si="449"/>
        <v>89301000</v>
      </c>
      <c r="C10851" s="1">
        <v>44364</v>
      </c>
      <c r="D10851" s="1">
        <v>44366</v>
      </c>
      <c r="E10851">
        <v>1</v>
      </c>
      <c r="F10851" t="s">
        <v>454</v>
      </c>
      <c r="G10851" t="str">
        <f>"08-I19-03"</f>
        <v>08-I19-03</v>
      </c>
      <c r="H10851">
        <v>0.61980000000000002</v>
      </c>
      <c r="I10851" t="s">
        <v>7258</v>
      </c>
      <c r="J10851" t="s">
        <v>17</v>
      </c>
      <c r="K10851" t="str">
        <f>"5F3"</f>
        <v>5F3</v>
      </c>
      <c r="L10851" t="s">
        <v>15</v>
      </c>
    </row>
    <row r="10852" spans="1:12" x14ac:dyDescent="0.25">
      <c r="A10852" t="str">
        <f>"7908055309"</f>
        <v>7908055309</v>
      </c>
      <c r="B10852" t="str">
        <f t="shared" si="449"/>
        <v>89301000</v>
      </c>
      <c r="C10852" s="1">
        <v>44263</v>
      </c>
      <c r="D10852" s="1">
        <v>44268</v>
      </c>
      <c r="E10852">
        <v>1</v>
      </c>
      <c r="F10852" t="s">
        <v>5527</v>
      </c>
      <c r="G10852" t="str">
        <f>"01-K18-02"</f>
        <v>01-K18-02</v>
      </c>
      <c r="H10852">
        <v>1.117</v>
      </c>
      <c r="I10852" t="s">
        <v>7259</v>
      </c>
      <c r="J10852" t="s">
        <v>14</v>
      </c>
      <c r="K10852" t="str">
        <f>"2F9"</f>
        <v>2F9</v>
      </c>
      <c r="L10852" t="s">
        <v>15</v>
      </c>
    </row>
    <row r="10853" spans="1:12" x14ac:dyDescent="0.25">
      <c r="A10853" t="str">
        <f>"7908068982"</f>
        <v>7908068982</v>
      </c>
      <c r="B10853" t="str">
        <f t="shared" si="449"/>
        <v>89301000</v>
      </c>
      <c r="C10853" s="1">
        <v>44225</v>
      </c>
      <c r="D10853" s="1">
        <v>44230</v>
      </c>
      <c r="E10853">
        <v>1</v>
      </c>
      <c r="F10853" t="s">
        <v>6855</v>
      </c>
      <c r="G10853" t="str">
        <f>"04-K14-02"</f>
        <v>04-K14-02</v>
      </c>
      <c r="H10853">
        <v>1.3401000000000001</v>
      </c>
      <c r="I10853" t="s">
        <v>7260</v>
      </c>
      <c r="J10853" t="s">
        <v>14</v>
      </c>
      <c r="K10853" t="str">
        <f>"5F3"</f>
        <v>5F3</v>
      </c>
      <c r="L10853" t="s">
        <v>15</v>
      </c>
    </row>
    <row r="10854" spans="1:12" x14ac:dyDescent="0.25">
      <c r="A10854" t="str">
        <f>"7908075307"</f>
        <v>7908075307</v>
      </c>
      <c r="B10854" t="str">
        <f t="shared" si="449"/>
        <v>89301000</v>
      </c>
      <c r="C10854" s="1">
        <v>44291</v>
      </c>
      <c r="D10854" s="1">
        <v>44295</v>
      </c>
      <c r="E10854">
        <v>1</v>
      </c>
      <c r="F10854" t="s">
        <v>7261</v>
      </c>
      <c r="G10854" t="str">
        <f>"09-I10-01"</f>
        <v>09-I10-01</v>
      </c>
      <c r="H10854">
        <v>1.7172000000000001</v>
      </c>
      <c r="I10854" t="s">
        <v>6432</v>
      </c>
      <c r="J10854" t="s">
        <v>17</v>
      </c>
      <c r="K10854" t="str">
        <f>"7F1"</f>
        <v>7F1</v>
      </c>
      <c r="L10854" t="s">
        <v>15</v>
      </c>
    </row>
    <row r="10855" spans="1:12" x14ac:dyDescent="0.25">
      <c r="A10855" t="str">
        <f>"7908145311"</f>
        <v>7908145311</v>
      </c>
      <c r="B10855" t="str">
        <f t="shared" si="449"/>
        <v>89301000</v>
      </c>
      <c r="C10855" s="1">
        <v>44523</v>
      </c>
      <c r="D10855" s="1">
        <v>44530</v>
      </c>
      <c r="E10855">
        <v>1</v>
      </c>
      <c r="F10855" t="s">
        <v>271</v>
      </c>
      <c r="G10855" t="str">
        <f>"20-K03-03"</f>
        <v>20-K03-03</v>
      </c>
      <c r="H10855">
        <v>1.0109999999999999</v>
      </c>
      <c r="I10855" t="s">
        <v>7262</v>
      </c>
      <c r="J10855" t="s">
        <v>14</v>
      </c>
      <c r="K10855" t="str">
        <f>"3F5"</f>
        <v>3F5</v>
      </c>
      <c r="L10855" t="s">
        <v>15</v>
      </c>
    </row>
    <row r="10856" spans="1:12" x14ac:dyDescent="0.25">
      <c r="A10856" t="str">
        <f>"7908155321"</f>
        <v>7908155321</v>
      </c>
      <c r="B10856" t="str">
        <f t="shared" si="449"/>
        <v>89301000</v>
      </c>
      <c r="C10856" s="1">
        <v>44537</v>
      </c>
      <c r="D10856" s="1">
        <v>44547</v>
      </c>
      <c r="E10856">
        <v>1</v>
      </c>
      <c r="F10856" t="s">
        <v>109</v>
      </c>
      <c r="G10856" t="str">
        <f>"24-M06-02"</f>
        <v>24-M06-02</v>
      </c>
      <c r="H10856">
        <v>1.0233000000000001</v>
      </c>
      <c r="I10856" t="s">
        <v>3983</v>
      </c>
      <c r="J10856" t="s">
        <v>14</v>
      </c>
      <c r="K10856" t="str">
        <f>"2F1"</f>
        <v>2F1</v>
      </c>
      <c r="L10856" t="s">
        <v>15</v>
      </c>
    </row>
    <row r="10857" spans="1:12" x14ac:dyDescent="0.25">
      <c r="A10857" t="str">
        <f>"7908155321"</f>
        <v>7908155321</v>
      </c>
      <c r="B10857" t="str">
        <f t="shared" si="449"/>
        <v>89301000</v>
      </c>
      <c r="C10857" s="1">
        <v>44455</v>
      </c>
      <c r="D10857" s="1">
        <v>44463</v>
      </c>
      <c r="E10857">
        <v>1</v>
      </c>
      <c r="F10857" t="s">
        <v>16</v>
      </c>
      <c r="G10857" t="str">
        <f>"08-I04-03"</f>
        <v>08-I04-03</v>
      </c>
      <c r="H10857">
        <v>1.331</v>
      </c>
      <c r="J10857" t="s">
        <v>17</v>
      </c>
      <c r="K10857" t="str">
        <f>"5F6"</f>
        <v>5F6</v>
      </c>
      <c r="L10857" t="s">
        <v>15</v>
      </c>
    </row>
    <row r="10858" spans="1:12" x14ac:dyDescent="0.25">
      <c r="A10858" t="str">
        <f>"7908155354"</f>
        <v>7908155354</v>
      </c>
      <c r="B10858" t="str">
        <f t="shared" si="449"/>
        <v>89301000</v>
      </c>
      <c r="C10858" s="1">
        <v>44499</v>
      </c>
      <c r="D10858" s="1">
        <v>44501</v>
      </c>
      <c r="E10858">
        <v>1</v>
      </c>
      <c r="F10858" t="s">
        <v>7263</v>
      </c>
      <c r="G10858" t="str">
        <f>"08-I15-03"</f>
        <v>08-I15-03</v>
      </c>
      <c r="H10858">
        <v>1.1838</v>
      </c>
      <c r="I10858" t="s">
        <v>466</v>
      </c>
      <c r="J10858" t="s">
        <v>17</v>
      </c>
      <c r="K10858" t="str">
        <f>"5F3"</f>
        <v>5F3</v>
      </c>
      <c r="L10858" t="s">
        <v>15</v>
      </c>
    </row>
    <row r="10859" spans="1:12" x14ac:dyDescent="0.25">
      <c r="A10859" t="str">
        <f>"7908225303"</f>
        <v>7908225303</v>
      </c>
      <c r="B10859" t="str">
        <f t="shared" si="449"/>
        <v>89301000</v>
      </c>
      <c r="C10859" s="1">
        <v>44511</v>
      </c>
      <c r="D10859" s="1">
        <v>44522</v>
      </c>
      <c r="E10859">
        <v>1</v>
      </c>
      <c r="F10859" t="s">
        <v>566</v>
      </c>
      <c r="G10859" t="str">
        <f>"06-I07-05"</f>
        <v>06-I07-05</v>
      </c>
      <c r="H10859">
        <v>2.8466999999999998</v>
      </c>
      <c r="I10859" t="s">
        <v>7264</v>
      </c>
      <c r="J10859" t="s">
        <v>17</v>
      </c>
      <c r="K10859" t="str">
        <f>"5F1"</f>
        <v>5F1</v>
      </c>
      <c r="L10859" t="s">
        <v>15</v>
      </c>
    </row>
    <row r="10860" spans="1:12" x14ac:dyDescent="0.25">
      <c r="A10860" t="str">
        <f>"7909065340"</f>
        <v>7909065340</v>
      </c>
      <c r="B10860" t="str">
        <f t="shared" si="449"/>
        <v>89301000</v>
      </c>
      <c r="C10860" s="1">
        <v>44552</v>
      </c>
      <c r="D10860" s="1">
        <v>44554</v>
      </c>
      <c r="E10860">
        <v>1</v>
      </c>
      <c r="F10860" t="s">
        <v>457</v>
      </c>
      <c r="G10860" t="str">
        <f>"08-I16-04"</f>
        <v>08-I16-04</v>
      </c>
      <c r="H10860">
        <v>0.92159999999999997</v>
      </c>
      <c r="I10860" t="s">
        <v>381</v>
      </c>
      <c r="J10860" t="s">
        <v>17</v>
      </c>
      <c r="K10860" t="str">
        <f>"5F3"</f>
        <v>5F3</v>
      </c>
      <c r="L10860" t="s">
        <v>15</v>
      </c>
    </row>
    <row r="10861" spans="1:12" x14ac:dyDescent="0.25">
      <c r="A10861" t="str">
        <f>"7909285593"</f>
        <v>7909285593</v>
      </c>
      <c r="B10861" t="str">
        <f t="shared" si="449"/>
        <v>89301000</v>
      </c>
      <c r="C10861" s="1">
        <v>44349</v>
      </c>
      <c r="D10861" s="1">
        <v>44354</v>
      </c>
      <c r="E10861">
        <v>5</v>
      </c>
      <c r="F10861" t="s">
        <v>107</v>
      </c>
      <c r="G10861" t="str">
        <f>"25-I02-02"</f>
        <v>25-I02-02</v>
      </c>
      <c r="H10861">
        <v>5.1093000000000002</v>
      </c>
      <c r="I10861" t="s">
        <v>7265</v>
      </c>
      <c r="J10861" t="s">
        <v>17</v>
      </c>
      <c r="K10861" t="str">
        <f>"5T3"</f>
        <v>5T3</v>
      </c>
      <c r="L10861" t="s">
        <v>15</v>
      </c>
    </row>
    <row r="10862" spans="1:12" x14ac:dyDescent="0.25">
      <c r="A10862" t="str">
        <f>"7909295317"</f>
        <v>7909295317</v>
      </c>
      <c r="B10862" t="str">
        <f t="shared" si="449"/>
        <v>89301000</v>
      </c>
      <c r="C10862" s="1">
        <v>44197</v>
      </c>
      <c r="D10862" s="1">
        <v>44208</v>
      </c>
      <c r="E10862">
        <v>4</v>
      </c>
      <c r="F10862" t="s">
        <v>5226</v>
      </c>
      <c r="G10862" t="str">
        <f>"20-K01-03"</f>
        <v>20-K01-03</v>
      </c>
      <c r="H10862">
        <v>0.72829999999999995</v>
      </c>
      <c r="I10862" t="s">
        <v>7266</v>
      </c>
      <c r="J10862" t="s">
        <v>14</v>
      </c>
      <c r="K10862" t="str">
        <f>"1F5"</f>
        <v>1F5</v>
      </c>
      <c r="L10862" t="s">
        <v>15</v>
      </c>
    </row>
    <row r="10863" spans="1:12" x14ac:dyDescent="0.25">
      <c r="A10863" t="str">
        <f>"7910114080"</f>
        <v>7910114080</v>
      </c>
      <c r="B10863" t="str">
        <f t="shared" si="449"/>
        <v>89301000</v>
      </c>
      <c r="C10863" s="1">
        <v>44249</v>
      </c>
      <c r="D10863" s="1">
        <v>44254</v>
      </c>
      <c r="E10863">
        <v>1</v>
      </c>
      <c r="F10863" t="s">
        <v>197</v>
      </c>
      <c r="G10863" t="str">
        <f>"03-I18-02"</f>
        <v>03-I18-02</v>
      </c>
      <c r="H10863">
        <v>0.84370000000000001</v>
      </c>
      <c r="I10863" t="s">
        <v>7267</v>
      </c>
      <c r="J10863" t="s">
        <v>24</v>
      </c>
      <c r="K10863" t="str">
        <f>"7F1"</f>
        <v>7F1</v>
      </c>
      <c r="L10863" t="s">
        <v>15</v>
      </c>
    </row>
    <row r="10864" spans="1:12" x14ac:dyDescent="0.25">
      <c r="A10864" t="str">
        <f>"7910155418"</f>
        <v>7910155418</v>
      </c>
      <c r="B10864" t="str">
        <f t="shared" si="449"/>
        <v>89301000</v>
      </c>
      <c r="C10864" s="1">
        <v>44370</v>
      </c>
      <c r="D10864" s="1">
        <v>44373</v>
      </c>
      <c r="E10864">
        <v>1</v>
      </c>
      <c r="F10864" t="s">
        <v>2311</v>
      </c>
      <c r="G10864" t="str">
        <f>"08-I03-08"</f>
        <v>08-I03-08</v>
      </c>
      <c r="H10864">
        <v>2.0605000000000002</v>
      </c>
      <c r="I10864" t="s">
        <v>7110</v>
      </c>
      <c r="J10864" t="s">
        <v>17</v>
      </c>
      <c r="K10864" t="str">
        <f>"5F6"</f>
        <v>5F6</v>
      </c>
      <c r="L10864" t="s">
        <v>15</v>
      </c>
    </row>
    <row r="10865" spans="1:12" x14ac:dyDescent="0.25">
      <c r="A10865" t="str">
        <f>"7910155550"</f>
        <v>7910155550</v>
      </c>
      <c r="B10865" t="str">
        <f t="shared" si="449"/>
        <v>89301000</v>
      </c>
      <c r="C10865" s="1">
        <v>44377</v>
      </c>
      <c r="D10865" s="1">
        <v>44378</v>
      </c>
      <c r="E10865">
        <v>5</v>
      </c>
      <c r="F10865" t="s">
        <v>45</v>
      </c>
      <c r="G10865" t="str">
        <f>"05-D01-06"</f>
        <v>05-D01-06</v>
      </c>
      <c r="H10865">
        <v>0.7611</v>
      </c>
      <c r="J10865" t="s">
        <v>14</v>
      </c>
      <c r="K10865" t="str">
        <f>"1F7"</f>
        <v>1F7</v>
      </c>
      <c r="L10865" t="s">
        <v>15</v>
      </c>
    </row>
    <row r="10866" spans="1:12" x14ac:dyDescent="0.25">
      <c r="A10866" t="str">
        <f>"7910165318"</f>
        <v>7910165318</v>
      </c>
      <c r="B10866" t="str">
        <f t="shared" si="449"/>
        <v>89301000</v>
      </c>
      <c r="C10866" s="1">
        <v>44294</v>
      </c>
      <c r="D10866" s="1">
        <v>44294</v>
      </c>
      <c r="E10866">
        <v>1</v>
      </c>
      <c r="F10866" t="s">
        <v>409</v>
      </c>
      <c r="G10866" t="str">
        <f>"08-K13-02"</f>
        <v>08-K13-02</v>
      </c>
      <c r="H10866">
        <v>0.2379</v>
      </c>
      <c r="I10866" t="s">
        <v>233</v>
      </c>
      <c r="J10866" t="s">
        <v>14</v>
      </c>
      <c r="K10866" t="str">
        <f>"6F6"</f>
        <v>6F6</v>
      </c>
      <c r="L10866" t="s">
        <v>15</v>
      </c>
    </row>
    <row r="10867" spans="1:12" x14ac:dyDescent="0.25">
      <c r="A10867" t="str">
        <f>"7910165318"</f>
        <v>7910165318</v>
      </c>
      <c r="B10867" t="str">
        <f t="shared" si="449"/>
        <v>89301000</v>
      </c>
      <c r="C10867" s="1">
        <v>44302</v>
      </c>
      <c r="D10867" s="1">
        <v>44305</v>
      </c>
      <c r="E10867">
        <v>1</v>
      </c>
      <c r="F10867" t="s">
        <v>409</v>
      </c>
      <c r="G10867" t="str">
        <f>"08-M03-01"</f>
        <v>08-M03-01</v>
      </c>
      <c r="H10867">
        <v>1.0429999999999999</v>
      </c>
      <c r="I10867" t="s">
        <v>244</v>
      </c>
      <c r="J10867" t="s">
        <v>14</v>
      </c>
      <c r="K10867" t="str">
        <f>"6F6"</f>
        <v>6F6</v>
      </c>
      <c r="L10867" t="s">
        <v>15</v>
      </c>
    </row>
    <row r="10868" spans="1:12" x14ac:dyDescent="0.25">
      <c r="A10868" t="str">
        <f>"7910235344"</f>
        <v>7910235344</v>
      </c>
      <c r="B10868" t="str">
        <f t="shared" si="449"/>
        <v>89301000</v>
      </c>
      <c r="C10868" s="1">
        <v>44461</v>
      </c>
      <c r="D10868" s="1">
        <v>44473</v>
      </c>
      <c r="E10868">
        <v>1</v>
      </c>
      <c r="F10868" t="s">
        <v>217</v>
      </c>
      <c r="G10868" t="str">
        <f>"00-M01-04"</f>
        <v>00-M01-04</v>
      </c>
      <c r="H10868">
        <v>6.85</v>
      </c>
      <c r="I10868" t="s">
        <v>274</v>
      </c>
      <c r="J10868" t="s">
        <v>14</v>
      </c>
      <c r="K10868" t="str">
        <f>"1F1"</f>
        <v>1F1</v>
      </c>
      <c r="L10868" t="s">
        <v>15</v>
      </c>
    </row>
    <row r="10869" spans="1:12" x14ac:dyDescent="0.25">
      <c r="A10869" t="str">
        <f>"7910243528"</f>
        <v>7910243528</v>
      </c>
      <c r="B10869" t="str">
        <f t="shared" si="449"/>
        <v>89301000</v>
      </c>
      <c r="C10869" s="1">
        <v>44251</v>
      </c>
      <c r="D10869" s="1">
        <v>44257</v>
      </c>
      <c r="E10869">
        <v>1</v>
      </c>
      <c r="F10869" t="s">
        <v>5326</v>
      </c>
      <c r="G10869" t="str">
        <f>"08-K02-02"</f>
        <v>08-K02-02</v>
      </c>
      <c r="H10869">
        <v>1.2081999999999999</v>
      </c>
      <c r="I10869" t="s">
        <v>7268</v>
      </c>
      <c r="J10869" t="s">
        <v>14</v>
      </c>
      <c r="K10869" t="str">
        <f>"1F9"</f>
        <v>1F9</v>
      </c>
      <c r="L10869" t="s">
        <v>15</v>
      </c>
    </row>
    <row r="10870" spans="1:12" x14ac:dyDescent="0.25">
      <c r="A10870" t="str">
        <f>"7910275329"</f>
        <v>7910275329</v>
      </c>
      <c r="B10870" t="str">
        <f t="shared" si="449"/>
        <v>89301000</v>
      </c>
      <c r="C10870" s="1">
        <v>44279</v>
      </c>
      <c r="D10870" s="1">
        <v>44282</v>
      </c>
      <c r="E10870">
        <v>7</v>
      </c>
      <c r="F10870" t="s">
        <v>67</v>
      </c>
      <c r="G10870" t="str">
        <f>"01-K10-01"</f>
        <v>01-K10-01</v>
      </c>
      <c r="H10870">
        <v>2.0594000000000001</v>
      </c>
      <c r="I10870" t="s">
        <v>7269</v>
      </c>
      <c r="J10870" t="s">
        <v>14</v>
      </c>
      <c r="K10870" t="str">
        <f>"2T9"</f>
        <v>2T9</v>
      </c>
      <c r="L10870" t="s">
        <v>15</v>
      </c>
    </row>
    <row r="10871" spans="1:12" x14ac:dyDescent="0.25">
      <c r="A10871" t="str">
        <f>"7911015761"</f>
        <v>7911015761</v>
      </c>
      <c r="B10871" t="str">
        <f t="shared" si="449"/>
        <v>89301000</v>
      </c>
      <c r="C10871" s="1">
        <v>44448</v>
      </c>
      <c r="D10871" s="1">
        <v>44451</v>
      </c>
      <c r="E10871">
        <v>1</v>
      </c>
      <c r="F10871" t="s">
        <v>4196</v>
      </c>
      <c r="G10871" t="str">
        <f>"08-M03-02"</f>
        <v>08-M03-02</v>
      </c>
      <c r="H10871">
        <v>0.86970000000000003</v>
      </c>
      <c r="I10871" t="s">
        <v>3567</v>
      </c>
      <c r="J10871" t="s">
        <v>14</v>
      </c>
      <c r="K10871" t="str">
        <f>"6F6"</f>
        <v>6F6</v>
      </c>
      <c r="L10871" t="s">
        <v>15</v>
      </c>
    </row>
    <row r="10872" spans="1:12" x14ac:dyDescent="0.25">
      <c r="A10872" t="str">
        <f>"7911025166"</f>
        <v>7911025166</v>
      </c>
      <c r="B10872" t="str">
        <f t="shared" si="449"/>
        <v>89301000</v>
      </c>
      <c r="C10872" s="1">
        <v>44439</v>
      </c>
      <c r="D10872" s="1">
        <v>44460</v>
      </c>
      <c r="E10872">
        <v>4</v>
      </c>
      <c r="F10872" t="s">
        <v>7270</v>
      </c>
      <c r="G10872" t="str">
        <f>"19-K06-02"</f>
        <v>19-K06-02</v>
      </c>
      <c r="H10872">
        <v>2.4085000000000001</v>
      </c>
      <c r="I10872" t="s">
        <v>7271</v>
      </c>
      <c r="J10872" t="s">
        <v>27</v>
      </c>
      <c r="K10872" t="str">
        <f>"3F5"</f>
        <v>3F5</v>
      </c>
      <c r="L10872" t="s">
        <v>15</v>
      </c>
    </row>
    <row r="10873" spans="1:12" x14ac:dyDescent="0.25">
      <c r="A10873" t="str">
        <f>"7911084467"</f>
        <v>7911084467</v>
      </c>
      <c r="B10873" t="str">
        <f t="shared" si="449"/>
        <v>89301000</v>
      </c>
      <c r="C10873" s="1">
        <v>44375</v>
      </c>
      <c r="D10873" s="1">
        <v>44376</v>
      </c>
      <c r="E10873">
        <v>1</v>
      </c>
      <c r="F10873" t="s">
        <v>2325</v>
      </c>
      <c r="G10873" t="str">
        <f>"09-I13-04"</f>
        <v>09-I13-04</v>
      </c>
      <c r="H10873">
        <v>0.57730000000000004</v>
      </c>
      <c r="J10873" t="s">
        <v>14</v>
      </c>
      <c r="K10873" t="str">
        <f>"6F1"</f>
        <v>6F1</v>
      </c>
      <c r="L10873" t="s">
        <v>15</v>
      </c>
    </row>
    <row r="10874" spans="1:12" x14ac:dyDescent="0.25">
      <c r="A10874" t="str">
        <f>"7911105686"</f>
        <v>7911105686</v>
      </c>
      <c r="B10874" t="str">
        <f t="shared" si="449"/>
        <v>89301000</v>
      </c>
      <c r="C10874" s="1">
        <v>44327</v>
      </c>
      <c r="D10874" s="1">
        <v>44330</v>
      </c>
      <c r="E10874">
        <v>1</v>
      </c>
      <c r="F10874" t="s">
        <v>3577</v>
      </c>
      <c r="G10874" t="str">
        <f>"03-I22-03"</f>
        <v>03-I22-03</v>
      </c>
      <c r="H10874">
        <v>0.49049999999999999</v>
      </c>
      <c r="I10874" t="s">
        <v>7272</v>
      </c>
      <c r="J10874" t="s">
        <v>14</v>
      </c>
      <c r="K10874" t="str">
        <f>"7F1"</f>
        <v>7F1</v>
      </c>
      <c r="L10874" t="s">
        <v>15</v>
      </c>
    </row>
    <row r="10875" spans="1:12" x14ac:dyDescent="0.25">
      <c r="A10875" t="str">
        <f>"7911265318"</f>
        <v>7911265318</v>
      </c>
      <c r="B10875" t="str">
        <f t="shared" si="449"/>
        <v>89301000</v>
      </c>
      <c r="C10875" s="1">
        <v>44323</v>
      </c>
      <c r="D10875" s="1">
        <v>44328</v>
      </c>
      <c r="E10875">
        <v>1</v>
      </c>
      <c r="F10875" t="s">
        <v>332</v>
      </c>
      <c r="G10875" t="str">
        <f>"07-K02-03"</f>
        <v>07-K02-03</v>
      </c>
      <c r="H10875">
        <v>0.7742</v>
      </c>
      <c r="I10875" t="s">
        <v>489</v>
      </c>
      <c r="J10875" t="s">
        <v>14</v>
      </c>
      <c r="K10875" t="str">
        <f>"5F1"</f>
        <v>5F1</v>
      </c>
      <c r="L10875" t="s">
        <v>15</v>
      </c>
    </row>
    <row r="10876" spans="1:12" x14ac:dyDescent="0.25">
      <c r="A10876" t="str">
        <f>"7911295436"</f>
        <v>7911295436</v>
      </c>
      <c r="B10876" t="str">
        <f t="shared" si="449"/>
        <v>89301000</v>
      </c>
      <c r="C10876" s="1">
        <v>44431</v>
      </c>
      <c r="D10876" s="1">
        <v>44469</v>
      </c>
      <c r="E10876">
        <v>1</v>
      </c>
      <c r="F10876" t="s">
        <v>152</v>
      </c>
      <c r="G10876" t="str">
        <f>"19-K08-02"</f>
        <v>19-K08-02</v>
      </c>
      <c r="H10876">
        <v>4.1917</v>
      </c>
      <c r="I10876" t="s">
        <v>168</v>
      </c>
      <c r="J10876" t="s">
        <v>27</v>
      </c>
      <c r="K10876" t="str">
        <f>"3F5"</f>
        <v>3F5</v>
      </c>
      <c r="L10876" t="s">
        <v>15</v>
      </c>
    </row>
    <row r="10877" spans="1:12" x14ac:dyDescent="0.25">
      <c r="A10877" t="str">
        <f>"7911295436"</f>
        <v>7911295436</v>
      </c>
      <c r="B10877" t="str">
        <f t="shared" si="449"/>
        <v>89301000</v>
      </c>
      <c r="C10877" s="1">
        <v>44249</v>
      </c>
      <c r="D10877" s="1">
        <v>44265</v>
      </c>
      <c r="E10877">
        <v>1</v>
      </c>
      <c r="F10877" t="s">
        <v>152</v>
      </c>
      <c r="G10877" t="str">
        <f>"19-K04-02"</f>
        <v>19-K04-02</v>
      </c>
      <c r="H10877">
        <v>1.4597</v>
      </c>
      <c r="I10877" t="s">
        <v>7273</v>
      </c>
      <c r="J10877" t="s">
        <v>27</v>
      </c>
      <c r="K10877" t="str">
        <f>"3F5"</f>
        <v>3F5</v>
      </c>
      <c r="L10877" t="s">
        <v>15</v>
      </c>
    </row>
    <row r="10878" spans="1:12" x14ac:dyDescent="0.25">
      <c r="A10878" t="str">
        <f>"7951145312"</f>
        <v>7951145312</v>
      </c>
      <c r="B10878" t="str">
        <f t="shared" si="449"/>
        <v>89301000</v>
      </c>
      <c r="C10878" s="1">
        <v>44320</v>
      </c>
      <c r="D10878" s="1">
        <v>44321</v>
      </c>
      <c r="E10878">
        <v>1</v>
      </c>
      <c r="F10878" t="s">
        <v>41</v>
      </c>
      <c r="G10878" t="str">
        <f>"01-D01-03"</f>
        <v>01-D01-03</v>
      </c>
      <c r="H10878">
        <v>0.158</v>
      </c>
      <c r="I10878" t="s">
        <v>7274</v>
      </c>
      <c r="J10878" t="s">
        <v>14</v>
      </c>
      <c r="K10878" t="str">
        <f>"2F5"</f>
        <v>2F5</v>
      </c>
      <c r="L10878" t="s">
        <v>15</v>
      </c>
    </row>
    <row r="10879" spans="1:12" x14ac:dyDescent="0.25">
      <c r="A10879" t="str">
        <f>"7951155333"</f>
        <v>7951155333</v>
      </c>
      <c r="B10879" t="str">
        <f t="shared" si="449"/>
        <v>89301000</v>
      </c>
      <c r="C10879" s="1">
        <v>44345</v>
      </c>
      <c r="D10879" s="1">
        <v>44354</v>
      </c>
      <c r="E10879">
        <v>1</v>
      </c>
      <c r="F10879" t="s">
        <v>4557</v>
      </c>
      <c r="G10879" t="str">
        <f>"20-K03-03"</f>
        <v>20-K03-03</v>
      </c>
      <c r="H10879">
        <v>1.0109999999999999</v>
      </c>
      <c r="I10879" t="s">
        <v>7275</v>
      </c>
      <c r="J10879" t="s">
        <v>14</v>
      </c>
      <c r="K10879" t="str">
        <f>"3F5"</f>
        <v>3F5</v>
      </c>
      <c r="L10879" t="s">
        <v>15</v>
      </c>
    </row>
    <row r="10880" spans="1:12" x14ac:dyDescent="0.25">
      <c r="A10880" t="str">
        <f>"7951255191"</f>
        <v>7951255191</v>
      </c>
      <c r="B10880" t="str">
        <f t="shared" si="449"/>
        <v>89301000</v>
      </c>
      <c r="C10880" s="1">
        <v>44475</v>
      </c>
      <c r="D10880" s="1">
        <v>44477</v>
      </c>
      <c r="E10880">
        <v>1</v>
      </c>
      <c r="F10880" t="s">
        <v>4382</v>
      </c>
      <c r="G10880" t="str">
        <f>"05-I30-01"</f>
        <v>05-I30-01</v>
      </c>
      <c r="H10880">
        <v>0.64139999999999997</v>
      </c>
      <c r="I10880" t="s">
        <v>6552</v>
      </c>
      <c r="J10880" t="s">
        <v>14</v>
      </c>
      <c r="K10880" t="str">
        <f>"5F1"</f>
        <v>5F1</v>
      </c>
      <c r="L10880" t="s">
        <v>15</v>
      </c>
    </row>
    <row r="10881" spans="1:12" x14ac:dyDescent="0.25">
      <c r="A10881" t="str">
        <f>"7951274463"</f>
        <v>7951274463</v>
      </c>
      <c r="B10881" t="str">
        <f t="shared" si="449"/>
        <v>89301000</v>
      </c>
      <c r="C10881" s="1">
        <v>44544</v>
      </c>
      <c r="D10881" s="1">
        <v>44552</v>
      </c>
      <c r="E10881">
        <v>1</v>
      </c>
      <c r="F10881" t="s">
        <v>3625</v>
      </c>
      <c r="G10881" t="str">
        <f>"06-I02-01"</f>
        <v>06-I02-01</v>
      </c>
      <c r="H10881">
        <v>6.8238000000000003</v>
      </c>
      <c r="I10881" t="s">
        <v>7276</v>
      </c>
      <c r="J10881" t="s">
        <v>17</v>
      </c>
      <c r="K10881" t="str">
        <f>"5F1"</f>
        <v>5F1</v>
      </c>
      <c r="L10881" t="s">
        <v>15</v>
      </c>
    </row>
    <row r="10882" spans="1:12" x14ac:dyDescent="0.25">
      <c r="A10882" t="str">
        <f>"7951315339"</f>
        <v>7951315339</v>
      </c>
      <c r="B10882" t="str">
        <f t="shared" si="449"/>
        <v>89301000</v>
      </c>
      <c r="C10882" s="1">
        <v>44309</v>
      </c>
      <c r="D10882" s="1">
        <v>44319</v>
      </c>
      <c r="E10882">
        <v>1</v>
      </c>
      <c r="F10882" t="s">
        <v>1132</v>
      </c>
      <c r="G10882" t="str">
        <f>"23-K04-02"</f>
        <v>23-K04-02</v>
      </c>
      <c r="H10882">
        <v>0.50129999999999997</v>
      </c>
      <c r="J10882" t="s">
        <v>14</v>
      </c>
      <c r="K10882" t="str">
        <f>"7F1"</f>
        <v>7F1</v>
      </c>
      <c r="L10882" t="s">
        <v>15</v>
      </c>
    </row>
    <row r="10883" spans="1:12" x14ac:dyDescent="0.25">
      <c r="A10883" t="str">
        <f>"7952134487"</f>
        <v>7952134487</v>
      </c>
      <c r="B10883" t="str">
        <f t="shared" si="449"/>
        <v>89301000</v>
      </c>
      <c r="C10883" s="1">
        <v>44530</v>
      </c>
      <c r="D10883" s="1">
        <v>44534</v>
      </c>
      <c r="E10883">
        <v>1</v>
      </c>
      <c r="F10883" t="s">
        <v>61</v>
      </c>
      <c r="G10883" t="str">
        <f>"14-I01-05"</f>
        <v>14-I01-05</v>
      </c>
      <c r="H10883">
        <v>0.80030000000000001</v>
      </c>
      <c r="I10883" t="s">
        <v>7277</v>
      </c>
      <c r="J10883" t="s">
        <v>59</v>
      </c>
      <c r="K10883" t="str">
        <f>"6F3"</f>
        <v>6F3</v>
      </c>
      <c r="L10883" t="s">
        <v>15</v>
      </c>
    </row>
    <row r="10884" spans="1:12" x14ac:dyDescent="0.25">
      <c r="A10884" t="str">
        <f>"7952170149"</f>
        <v>7952170149</v>
      </c>
      <c r="B10884" t="str">
        <f t="shared" si="449"/>
        <v>89301000</v>
      </c>
      <c r="C10884" s="1">
        <v>44257</v>
      </c>
      <c r="D10884" s="1">
        <v>44263</v>
      </c>
      <c r="E10884">
        <v>1</v>
      </c>
      <c r="F10884" t="s">
        <v>82</v>
      </c>
      <c r="G10884" t="str">
        <f>"14-I01-02"</f>
        <v>14-I01-02</v>
      </c>
      <c r="H10884">
        <v>1.1289</v>
      </c>
      <c r="I10884" t="s">
        <v>7278</v>
      </c>
      <c r="J10884" t="s">
        <v>59</v>
      </c>
      <c r="K10884" t="str">
        <f>"6F3"</f>
        <v>6F3</v>
      </c>
      <c r="L10884" t="s">
        <v>15</v>
      </c>
    </row>
    <row r="10885" spans="1:12" x14ac:dyDescent="0.25">
      <c r="A10885" t="str">
        <f>"7952170149"</f>
        <v>7952170149</v>
      </c>
      <c r="B10885" t="str">
        <f t="shared" si="449"/>
        <v>89301000</v>
      </c>
      <c r="C10885" s="1">
        <v>44238</v>
      </c>
      <c r="D10885" s="1">
        <v>44253</v>
      </c>
      <c r="E10885">
        <v>1</v>
      </c>
      <c r="F10885" t="s">
        <v>7279</v>
      </c>
      <c r="G10885" t="str">
        <f>"14-K03-02"</f>
        <v>14-K03-02</v>
      </c>
      <c r="H10885">
        <v>0.58130000000000004</v>
      </c>
      <c r="J10885" t="s">
        <v>14</v>
      </c>
      <c r="K10885" t="str">
        <f>"6F3"</f>
        <v>6F3</v>
      </c>
      <c r="L10885" t="s">
        <v>15</v>
      </c>
    </row>
    <row r="10886" spans="1:12" x14ac:dyDescent="0.25">
      <c r="A10886" t="str">
        <f>"7952245312"</f>
        <v>7952245312</v>
      </c>
      <c r="B10886" t="str">
        <f t="shared" si="449"/>
        <v>89301000</v>
      </c>
      <c r="C10886" s="1">
        <v>44446</v>
      </c>
      <c r="D10886" s="1">
        <v>44449</v>
      </c>
      <c r="E10886">
        <v>1</v>
      </c>
      <c r="F10886" t="s">
        <v>61</v>
      </c>
      <c r="G10886" t="str">
        <f>"14-I01-05"</f>
        <v>14-I01-05</v>
      </c>
      <c r="H10886">
        <v>0.80030000000000001</v>
      </c>
      <c r="I10886" t="s">
        <v>62</v>
      </c>
      <c r="J10886" t="s">
        <v>59</v>
      </c>
      <c r="K10886" t="str">
        <f>"6F3"</f>
        <v>6F3</v>
      </c>
      <c r="L10886" t="s">
        <v>15</v>
      </c>
    </row>
    <row r="10887" spans="1:12" x14ac:dyDescent="0.25">
      <c r="A10887" t="str">
        <f>"7953025344"</f>
        <v>7953025344</v>
      </c>
      <c r="B10887" t="str">
        <f t="shared" si="449"/>
        <v>89301000</v>
      </c>
      <c r="C10887" s="1">
        <v>44504</v>
      </c>
      <c r="D10887" s="1">
        <v>44505</v>
      </c>
      <c r="E10887">
        <v>1</v>
      </c>
      <c r="F10887" t="s">
        <v>6130</v>
      </c>
      <c r="G10887" t="str">
        <f>"13-I19-00"</f>
        <v>13-I19-00</v>
      </c>
      <c r="H10887">
        <v>0.24679999999999999</v>
      </c>
      <c r="J10887" t="s">
        <v>14</v>
      </c>
      <c r="K10887" t="str">
        <f>"6F3"</f>
        <v>6F3</v>
      </c>
      <c r="L10887" t="s">
        <v>15</v>
      </c>
    </row>
    <row r="10888" spans="1:12" x14ac:dyDescent="0.25">
      <c r="A10888" t="str">
        <f>"7953155309"</f>
        <v>7953155309</v>
      </c>
      <c r="B10888" t="str">
        <f t="shared" si="449"/>
        <v>89301000</v>
      </c>
      <c r="C10888" s="1">
        <v>44341</v>
      </c>
      <c r="D10888" s="1">
        <v>44348</v>
      </c>
      <c r="E10888">
        <v>8</v>
      </c>
      <c r="F10888" t="s">
        <v>2355</v>
      </c>
      <c r="G10888" t="str">
        <f>"04-K09-02"</f>
        <v>04-K09-02</v>
      </c>
      <c r="H10888">
        <v>1.2861</v>
      </c>
      <c r="I10888" t="s">
        <v>7280</v>
      </c>
      <c r="J10888" t="s">
        <v>14</v>
      </c>
      <c r="K10888" t="str">
        <f>"2F5"</f>
        <v>2F5</v>
      </c>
      <c r="L10888" t="s">
        <v>15</v>
      </c>
    </row>
    <row r="10889" spans="1:12" x14ac:dyDescent="0.25">
      <c r="A10889" t="str">
        <f>"7953155309"</f>
        <v>7953155309</v>
      </c>
      <c r="B10889" t="str">
        <f t="shared" si="449"/>
        <v>89301000</v>
      </c>
      <c r="C10889" s="1">
        <v>44323</v>
      </c>
      <c r="D10889" s="1">
        <v>44328</v>
      </c>
      <c r="E10889">
        <v>1</v>
      </c>
      <c r="F10889" t="s">
        <v>1914</v>
      </c>
      <c r="G10889" t="str">
        <f>"04-K09-02"</f>
        <v>04-K09-02</v>
      </c>
      <c r="H10889">
        <v>1.2861</v>
      </c>
      <c r="I10889" t="s">
        <v>7280</v>
      </c>
      <c r="J10889" t="s">
        <v>14</v>
      </c>
      <c r="K10889" t="str">
        <f>"2F5"</f>
        <v>2F5</v>
      </c>
      <c r="L10889" t="s">
        <v>15</v>
      </c>
    </row>
    <row r="10890" spans="1:12" x14ac:dyDescent="0.25">
      <c r="A10890" t="str">
        <f>"7953155309"</f>
        <v>7953155309</v>
      </c>
      <c r="B10890" t="str">
        <f t="shared" si="449"/>
        <v>89301000</v>
      </c>
      <c r="C10890" s="1">
        <v>44292</v>
      </c>
      <c r="D10890" s="1">
        <v>44299</v>
      </c>
      <c r="E10890">
        <v>1</v>
      </c>
      <c r="F10890" t="s">
        <v>1914</v>
      </c>
      <c r="G10890" t="str">
        <f>"04-K09-02"</f>
        <v>04-K09-02</v>
      </c>
      <c r="H10890">
        <v>1.2861</v>
      </c>
      <c r="I10890" t="s">
        <v>7281</v>
      </c>
      <c r="J10890" t="s">
        <v>14</v>
      </c>
      <c r="K10890" t="str">
        <f>"2F5"</f>
        <v>2F5</v>
      </c>
      <c r="L10890" t="s">
        <v>15</v>
      </c>
    </row>
    <row r="10891" spans="1:12" x14ac:dyDescent="0.25">
      <c r="A10891" t="str">
        <f>"7953155309"</f>
        <v>7953155309</v>
      </c>
      <c r="B10891" t="str">
        <f t="shared" si="449"/>
        <v>89301000</v>
      </c>
      <c r="C10891" s="1">
        <v>44210</v>
      </c>
      <c r="D10891" s="1">
        <v>44214</v>
      </c>
      <c r="E10891">
        <v>1</v>
      </c>
      <c r="F10891" t="s">
        <v>354</v>
      </c>
      <c r="G10891" t="str">
        <f>"10-K14-05"</f>
        <v>10-K14-05</v>
      </c>
      <c r="H10891">
        <v>0.36849999999999999</v>
      </c>
      <c r="I10891" t="s">
        <v>7282</v>
      </c>
      <c r="J10891" t="s">
        <v>14</v>
      </c>
      <c r="K10891" t="str">
        <f>"2F5"</f>
        <v>2F5</v>
      </c>
      <c r="L10891" t="s">
        <v>15</v>
      </c>
    </row>
    <row r="10892" spans="1:12" x14ac:dyDescent="0.25">
      <c r="A10892" t="str">
        <f>"7953155309"</f>
        <v>7953155309</v>
      </c>
      <c r="B10892" t="str">
        <f t="shared" si="449"/>
        <v>89301000</v>
      </c>
      <c r="C10892" s="1">
        <v>44277</v>
      </c>
      <c r="D10892" s="1">
        <v>44284</v>
      </c>
      <c r="E10892">
        <v>1</v>
      </c>
      <c r="F10892" t="s">
        <v>857</v>
      </c>
      <c r="G10892" t="str">
        <f>"16-C07-01"</f>
        <v>16-C07-01</v>
      </c>
      <c r="H10892">
        <v>1.863</v>
      </c>
      <c r="I10892" t="s">
        <v>7283</v>
      </c>
      <c r="J10892" t="s">
        <v>14</v>
      </c>
      <c r="K10892" t="str">
        <f>"2F5"</f>
        <v>2F5</v>
      </c>
      <c r="L10892" t="s">
        <v>15</v>
      </c>
    </row>
    <row r="10893" spans="1:12" x14ac:dyDescent="0.25">
      <c r="A10893" t="str">
        <f>"7954025343"</f>
        <v>7954025343</v>
      </c>
      <c r="B10893" t="str">
        <f t="shared" si="449"/>
        <v>89301000</v>
      </c>
      <c r="C10893" s="1">
        <v>44327</v>
      </c>
      <c r="D10893" s="1">
        <v>44332</v>
      </c>
      <c r="E10893">
        <v>1</v>
      </c>
      <c r="F10893" t="s">
        <v>1980</v>
      </c>
      <c r="G10893" t="str">
        <f>"06-K22-03"</f>
        <v>06-K22-03</v>
      </c>
      <c r="H10893">
        <v>0.3165</v>
      </c>
      <c r="J10893" t="s">
        <v>14</v>
      </c>
      <c r="K10893" t="str">
        <f>"5F1"</f>
        <v>5F1</v>
      </c>
      <c r="L10893" t="s">
        <v>15</v>
      </c>
    </row>
    <row r="10894" spans="1:12" x14ac:dyDescent="0.25">
      <c r="A10894" t="str">
        <f>"7954025343"</f>
        <v>7954025343</v>
      </c>
      <c r="B10894" t="str">
        <f t="shared" si="449"/>
        <v>89301000</v>
      </c>
      <c r="C10894" s="1">
        <v>44271</v>
      </c>
      <c r="D10894" s="1">
        <v>44278</v>
      </c>
      <c r="E10894">
        <v>1</v>
      </c>
      <c r="F10894" t="s">
        <v>1980</v>
      </c>
      <c r="G10894" t="str">
        <f>"06-K22-03"</f>
        <v>06-K22-03</v>
      </c>
      <c r="H10894">
        <v>0.36359999999999998</v>
      </c>
      <c r="I10894" t="s">
        <v>467</v>
      </c>
      <c r="J10894" t="s">
        <v>14</v>
      </c>
      <c r="K10894" t="str">
        <f>"5F1"</f>
        <v>5F1</v>
      </c>
      <c r="L10894" t="s">
        <v>15</v>
      </c>
    </row>
    <row r="10895" spans="1:12" x14ac:dyDescent="0.25">
      <c r="A10895" t="str">
        <f>"7954025343"</f>
        <v>7954025343</v>
      </c>
      <c r="B10895" t="str">
        <f t="shared" si="449"/>
        <v>89301000</v>
      </c>
      <c r="C10895" s="1">
        <v>44252</v>
      </c>
      <c r="D10895" s="1">
        <v>44267</v>
      </c>
      <c r="E10895">
        <v>1</v>
      </c>
      <c r="F10895" t="s">
        <v>2001</v>
      </c>
      <c r="G10895" t="str">
        <f>"06-K09-02"</f>
        <v>06-K09-02</v>
      </c>
      <c r="H10895">
        <v>0.79359999999999997</v>
      </c>
      <c r="J10895" t="s">
        <v>14</v>
      </c>
      <c r="K10895" t="str">
        <f>"5F1"</f>
        <v>5F1</v>
      </c>
      <c r="L10895" t="s">
        <v>15</v>
      </c>
    </row>
    <row r="10896" spans="1:12" x14ac:dyDescent="0.25">
      <c r="A10896" t="str">
        <f>"7954025343"</f>
        <v>7954025343</v>
      </c>
      <c r="B10896" t="str">
        <f t="shared" si="449"/>
        <v>89301000</v>
      </c>
      <c r="C10896" s="1">
        <v>44287</v>
      </c>
      <c r="D10896" s="1">
        <v>44293</v>
      </c>
      <c r="E10896">
        <v>1</v>
      </c>
      <c r="F10896" t="s">
        <v>1980</v>
      </c>
      <c r="G10896" t="str">
        <f>"06-K22-03"</f>
        <v>06-K22-03</v>
      </c>
      <c r="H10896">
        <v>0.3165</v>
      </c>
      <c r="J10896" t="s">
        <v>14</v>
      </c>
      <c r="K10896" t="str">
        <f>"5F1"</f>
        <v>5F1</v>
      </c>
      <c r="L10896" t="s">
        <v>15</v>
      </c>
    </row>
    <row r="10897" spans="1:12" x14ac:dyDescent="0.25">
      <c r="A10897" t="str">
        <f>"7954055318"</f>
        <v>7954055318</v>
      </c>
      <c r="B10897" t="str">
        <f t="shared" si="449"/>
        <v>89301000</v>
      </c>
      <c r="C10897" s="1">
        <v>44265</v>
      </c>
      <c r="D10897" s="1">
        <v>44274</v>
      </c>
      <c r="E10897">
        <v>1</v>
      </c>
      <c r="F10897" t="s">
        <v>7284</v>
      </c>
      <c r="G10897" t="str">
        <f>"13-I11-02"</f>
        <v>13-I11-02</v>
      </c>
      <c r="H10897">
        <v>1.5619000000000001</v>
      </c>
      <c r="I10897" t="s">
        <v>4522</v>
      </c>
      <c r="J10897" t="s">
        <v>24</v>
      </c>
      <c r="K10897" t="str">
        <f>"6F3"</f>
        <v>6F3</v>
      </c>
      <c r="L10897" t="s">
        <v>15</v>
      </c>
    </row>
    <row r="10898" spans="1:12" x14ac:dyDescent="0.25">
      <c r="A10898" t="str">
        <f>"7954162403"</f>
        <v>7954162403</v>
      </c>
      <c r="B10898" t="str">
        <f t="shared" si="449"/>
        <v>89301000</v>
      </c>
      <c r="C10898" s="1">
        <v>44203</v>
      </c>
      <c r="D10898" s="1">
        <v>44206</v>
      </c>
      <c r="E10898">
        <v>1</v>
      </c>
      <c r="F10898" t="s">
        <v>6401</v>
      </c>
      <c r="G10898" t="str">
        <f>"08-I03-06"</f>
        <v>08-I03-06</v>
      </c>
      <c r="H10898">
        <v>3.3738000000000001</v>
      </c>
      <c r="J10898" t="s">
        <v>17</v>
      </c>
      <c r="K10898" t="str">
        <f>"5F6"</f>
        <v>5F6</v>
      </c>
      <c r="L10898" t="s">
        <v>15</v>
      </c>
    </row>
    <row r="10899" spans="1:12" x14ac:dyDescent="0.25">
      <c r="A10899" t="str">
        <f>"7954224465"</f>
        <v>7954224465</v>
      </c>
      <c r="B10899" t="str">
        <f t="shared" si="449"/>
        <v>89301000</v>
      </c>
      <c r="C10899" s="1">
        <v>44244</v>
      </c>
      <c r="D10899" s="1">
        <v>44249</v>
      </c>
      <c r="E10899">
        <v>1</v>
      </c>
      <c r="F10899" t="s">
        <v>2637</v>
      </c>
      <c r="G10899" t="str">
        <f>"23-K05-01"</f>
        <v>23-K05-01</v>
      </c>
      <c r="H10899">
        <v>0.56999999999999995</v>
      </c>
      <c r="I10899" t="s">
        <v>2638</v>
      </c>
      <c r="J10899" t="s">
        <v>14</v>
      </c>
      <c r="K10899" t="str">
        <f>"4F7"</f>
        <v>4F7</v>
      </c>
      <c r="L10899" t="s">
        <v>15</v>
      </c>
    </row>
    <row r="10900" spans="1:12" x14ac:dyDescent="0.25">
      <c r="A10900" t="str">
        <f>"7954285317"</f>
        <v>7954285317</v>
      </c>
      <c r="B10900" t="str">
        <f t="shared" si="449"/>
        <v>89301000</v>
      </c>
      <c r="C10900" s="1">
        <v>44347</v>
      </c>
      <c r="D10900" s="1">
        <v>44352</v>
      </c>
      <c r="E10900">
        <v>1</v>
      </c>
      <c r="F10900" t="s">
        <v>6375</v>
      </c>
      <c r="G10900" t="str">
        <f>"05-K12-02"</f>
        <v>05-K12-02</v>
      </c>
      <c r="H10900">
        <v>0.53600000000000003</v>
      </c>
      <c r="J10900" t="s">
        <v>14</v>
      </c>
      <c r="K10900" t="str">
        <f>"5F1"</f>
        <v>5F1</v>
      </c>
      <c r="L10900" t="s">
        <v>15</v>
      </c>
    </row>
    <row r="10901" spans="1:12" x14ac:dyDescent="0.25">
      <c r="A10901" t="str">
        <f>"7954285394"</f>
        <v>7954285394</v>
      </c>
      <c r="B10901" t="str">
        <f t="shared" si="449"/>
        <v>89301000</v>
      </c>
      <c r="C10901" s="1">
        <v>44410</v>
      </c>
      <c r="D10901" s="1">
        <v>44412</v>
      </c>
      <c r="E10901">
        <v>1</v>
      </c>
      <c r="F10901" t="s">
        <v>4382</v>
      </c>
      <c r="G10901" t="str">
        <f>"05-I30-01"</f>
        <v>05-I30-01</v>
      </c>
      <c r="H10901">
        <v>0.64139999999999997</v>
      </c>
      <c r="J10901" t="s">
        <v>14</v>
      </c>
      <c r="K10901" t="str">
        <f>"5F1"</f>
        <v>5F1</v>
      </c>
      <c r="L10901" t="s">
        <v>15</v>
      </c>
    </row>
    <row r="10902" spans="1:12" x14ac:dyDescent="0.25">
      <c r="A10902" t="str">
        <f>"7955115322"</f>
        <v>7955115322</v>
      </c>
      <c r="B10902" t="str">
        <f t="shared" si="449"/>
        <v>89301000</v>
      </c>
      <c r="C10902" s="1">
        <v>44228</v>
      </c>
      <c r="D10902" s="1">
        <v>44231</v>
      </c>
      <c r="E10902">
        <v>1</v>
      </c>
      <c r="F10902" t="s">
        <v>6270</v>
      </c>
      <c r="G10902" t="str">
        <f>"13-I11-03"</f>
        <v>13-I11-03</v>
      </c>
      <c r="H10902">
        <v>1.3809</v>
      </c>
      <c r="J10902" t="s">
        <v>24</v>
      </c>
      <c r="K10902" t="str">
        <f>"6F3"</f>
        <v>6F3</v>
      </c>
      <c r="L10902" t="s">
        <v>15</v>
      </c>
    </row>
    <row r="10903" spans="1:12" x14ac:dyDescent="0.25">
      <c r="A10903" t="str">
        <f>"7955145319"</f>
        <v>7955145319</v>
      </c>
      <c r="B10903" t="str">
        <f t="shared" si="449"/>
        <v>89301000</v>
      </c>
      <c r="C10903" s="1">
        <v>44486</v>
      </c>
      <c r="D10903" s="1">
        <v>44489</v>
      </c>
      <c r="E10903">
        <v>1</v>
      </c>
      <c r="F10903" t="s">
        <v>43</v>
      </c>
      <c r="G10903" t="str">
        <f>"06-I18-05"</f>
        <v>06-I18-05</v>
      </c>
      <c r="H10903">
        <v>0.85550000000000004</v>
      </c>
      <c r="J10903" t="s">
        <v>24</v>
      </c>
      <c r="K10903" t="str">
        <f>"5F1"</f>
        <v>5F1</v>
      </c>
      <c r="L10903" t="s">
        <v>15</v>
      </c>
    </row>
    <row r="10904" spans="1:12" x14ac:dyDescent="0.25">
      <c r="A10904" t="str">
        <f>"7955174337"</f>
        <v>7955174337</v>
      </c>
      <c r="B10904" t="str">
        <f t="shared" si="449"/>
        <v>89301000</v>
      </c>
      <c r="C10904" s="1">
        <v>44237</v>
      </c>
      <c r="D10904" s="1">
        <v>44253</v>
      </c>
      <c r="E10904">
        <v>1</v>
      </c>
      <c r="F10904" t="s">
        <v>77</v>
      </c>
      <c r="G10904" t="str">
        <f>"19-K04-02"</f>
        <v>19-K04-02</v>
      </c>
      <c r="H10904">
        <v>1.4597</v>
      </c>
      <c r="I10904" t="s">
        <v>7285</v>
      </c>
      <c r="J10904" t="s">
        <v>27</v>
      </c>
      <c r="K10904" t="str">
        <f>"3F5"</f>
        <v>3F5</v>
      </c>
      <c r="L10904" t="s">
        <v>15</v>
      </c>
    </row>
    <row r="10905" spans="1:12" x14ac:dyDescent="0.25">
      <c r="A10905" t="str">
        <f>"7955174480"</f>
        <v>7955174480</v>
      </c>
      <c r="B10905" t="str">
        <f t="shared" si="449"/>
        <v>89301000</v>
      </c>
      <c r="C10905" s="1">
        <v>44287</v>
      </c>
      <c r="D10905" s="1">
        <v>44288</v>
      </c>
      <c r="E10905">
        <v>1</v>
      </c>
      <c r="F10905" t="s">
        <v>1198</v>
      </c>
      <c r="G10905" t="str">
        <f>"05-I14-04"</f>
        <v>05-I14-04</v>
      </c>
      <c r="H10905">
        <v>5.4002999999999997</v>
      </c>
      <c r="J10905" t="s">
        <v>14</v>
      </c>
      <c r="K10905" t="str">
        <f>"1F1"</f>
        <v>1F1</v>
      </c>
      <c r="L10905" t="s">
        <v>15</v>
      </c>
    </row>
    <row r="10906" spans="1:12" x14ac:dyDescent="0.25">
      <c r="A10906" t="str">
        <f>"7955212859"</f>
        <v>7955212859</v>
      </c>
      <c r="B10906" t="str">
        <f t="shared" si="449"/>
        <v>89301000</v>
      </c>
      <c r="C10906" s="1">
        <v>44398</v>
      </c>
      <c r="D10906" s="1">
        <v>44417</v>
      </c>
      <c r="E10906">
        <v>1</v>
      </c>
      <c r="F10906" t="s">
        <v>2497</v>
      </c>
      <c r="G10906" t="str">
        <f>"13-K07-01"</f>
        <v>13-K07-01</v>
      </c>
      <c r="H10906">
        <v>1.1779999999999999</v>
      </c>
      <c r="I10906" t="s">
        <v>7286</v>
      </c>
      <c r="J10906" t="s">
        <v>14</v>
      </c>
      <c r="K10906" t="str">
        <f>"4F2"</f>
        <v>4F2</v>
      </c>
      <c r="L10906" t="s">
        <v>15</v>
      </c>
    </row>
    <row r="10907" spans="1:12" x14ac:dyDescent="0.25">
      <c r="A10907" t="str">
        <f>"7955212859"</f>
        <v>7955212859</v>
      </c>
      <c r="B10907" t="str">
        <f t="shared" si="449"/>
        <v>89301000</v>
      </c>
      <c r="C10907" s="1">
        <v>44377</v>
      </c>
      <c r="D10907" s="1">
        <v>44385</v>
      </c>
      <c r="E10907">
        <v>1</v>
      </c>
      <c r="F10907" t="s">
        <v>2497</v>
      </c>
      <c r="G10907" t="str">
        <f>"13-K07-01"</f>
        <v>13-K07-01</v>
      </c>
      <c r="H10907">
        <v>1.1558999999999999</v>
      </c>
      <c r="I10907" t="s">
        <v>7287</v>
      </c>
      <c r="J10907" t="s">
        <v>14</v>
      </c>
      <c r="K10907" t="str">
        <f>"4F2"</f>
        <v>4F2</v>
      </c>
      <c r="L10907" t="s">
        <v>15</v>
      </c>
    </row>
    <row r="10908" spans="1:12" x14ac:dyDescent="0.25">
      <c r="A10908" t="str">
        <f>"7955235761"</f>
        <v>7955235761</v>
      </c>
      <c r="B10908" t="str">
        <f t="shared" si="449"/>
        <v>89301000</v>
      </c>
      <c r="C10908" s="1">
        <v>44490</v>
      </c>
      <c r="D10908" s="1">
        <v>44494</v>
      </c>
      <c r="E10908">
        <v>1</v>
      </c>
      <c r="F10908" t="s">
        <v>316</v>
      </c>
      <c r="G10908" t="str">
        <f>"01-I08-04"</f>
        <v>01-I08-04</v>
      </c>
      <c r="H10908">
        <v>1.6155999999999999</v>
      </c>
      <c r="I10908" t="s">
        <v>6897</v>
      </c>
      <c r="J10908" t="s">
        <v>17</v>
      </c>
      <c r="K10908" t="str">
        <f>"5F6"</f>
        <v>5F6</v>
      </c>
      <c r="L10908" t="s">
        <v>15</v>
      </c>
    </row>
    <row r="10909" spans="1:12" x14ac:dyDescent="0.25">
      <c r="A10909" t="str">
        <f>"7955245353"</f>
        <v>7955245353</v>
      </c>
      <c r="B10909" t="str">
        <f t="shared" si="449"/>
        <v>89301000</v>
      </c>
      <c r="C10909" s="1">
        <v>44459</v>
      </c>
      <c r="D10909" s="1">
        <v>44462</v>
      </c>
      <c r="E10909">
        <v>1</v>
      </c>
      <c r="F10909" t="s">
        <v>689</v>
      </c>
      <c r="G10909" t="str">
        <f>"03-I14-02"</f>
        <v>03-I14-02</v>
      </c>
      <c r="H10909">
        <v>1.1086</v>
      </c>
      <c r="I10909" t="s">
        <v>334</v>
      </c>
      <c r="J10909" t="s">
        <v>14</v>
      </c>
      <c r="K10909" t="str">
        <f>"7F1"</f>
        <v>7F1</v>
      </c>
      <c r="L10909" t="s">
        <v>15</v>
      </c>
    </row>
    <row r="10910" spans="1:12" x14ac:dyDescent="0.25">
      <c r="A10910" t="str">
        <f>"7955265362"</f>
        <v>7955265362</v>
      </c>
      <c r="B10910" t="str">
        <f t="shared" si="449"/>
        <v>89301000</v>
      </c>
      <c r="C10910" s="1">
        <v>44267</v>
      </c>
      <c r="D10910" s="1">
        <v>44268</v>
      </c>
      <c r="E10910">
        <v>1</v>
      </c>
      <c r="F10910" t="s">
        <v>3894</v>
      </c>
      <c r="G10910" t="str">
        <f>"08-M03-05"</f>
        <v>08-M03-05</v>
      </c>
      <c r="H10910">
        <v>0.51759999999999995</v>
      </c>
      <c r="I10910" t="s">
        <v>7288</v>
      </c>
      <c r="J10910" t="s">
        <v>14</v>
      </c>
      <c r="K10910" t="str">
        <f>"6F6"</f>
        <v>6F6</v>
      </c>
      <c r="L10910" t="s">
        <v>15</v>
      </c>
    </row>
    <row r="10911" spans="1:12" x14ac:dyDescent="0.25">
      <c r="A10911" t="str">
        <f>"7955288253"</f>
        <v>7955288253</v>
      </c>
      <c r="B10911" t="str">
        <f t="shared" si="449"/>
        <v>89301000</v>
      </c>
      <c r="C10911" s="1">
        <v>44293</v>
      </c>
      <c r="D10911" s="1">
        <v>44298</v>
      </c>
      <c r="E10911">
        <v>1</v>
      </c>
      <c r="F10911" t="s">
        <v>2637</v>
      </c>
      <c r="G10911" t="str">
        <f>"23-K05-01"</f>
        <v>23-K05-01</v>
      </c>
      <c r="H10911">
        <v>0.56999999999999995</v>
      </c>
      <c r="I10911" t="s">
        <v>2638</v>
      </c>
      <c r="J10911" t="s">
        <v>14</v>
      </c>
      <c r="K10911" t="str">
        <f>"4F7"</f>
        <v>4F7</v>
      </c>
      <c r="L10911" t="s">
        <v>15</v>
      </c>
    </row>
    <row r="10912" spans="1:12" x14ac:dyDescent="0.25">
      <c r="A10912" t="str">
        <f>"7956055393"</f>
        <v>7956055393</v>
      </c>
      <c r="B10912" t="str">
        <f t="shared" si="449"/>
        <v>89301000</v>
      </c>
      <c r="C10912" s="1">
        <v>44266</v>
      </c>
      <c r="D10912" s="1">
        <v>44267</v>
      </c>
      <c r="E10912">
        <v>1</v>
      </c>
      <c r="F10912" t="s">
        <v>6047</v>
      </c>
      <c r="G10912" t="str">
        <f>"05-K05-05"</f>
        <v>05-K05-05</v>
      </c>
      <c r="H10912">
        <v>0.37819999999999998</v>
      </c>
      <c r="J10912" t="s">
        <v>14</v>
      </c>
      <c r="K10912" t="str">
        <f>"1F1"</f>
        <v>1F1</v>
      </c>
      <c r="L10912" t="s">
        <v>15</v>
      </c>
    </row>
    <row r="10913" spans="1:12" x14ac:dyDescent="0.25">
      <c r="A10913" t="str">
        <f>"7956056955"</f>
        <v>7956056955</v>
      </c>
      <c r="B10913" t="str">
        <f t="shared" si="449"/>
        <v>89301000</v>
      </c>
      <c r="C10913" s="1">
        <v>44242</v>
      </c>
      <c r="D10913" s="1">
        <v>44253</v>
      </c>
      <c r="E10913">
        <v>1</v>
      </c>
      <c r="F10913" t="s">
        <v>109</v>
      </c>
      <c r="G10913" t="str">
        <f>"24-M06-02"</f>
        <v>24-M06-02</v>
      </c>
      <c r="H10913">
        <v>1.0233000000000001</v>
      </c>
      <c r="I10913" t="s">
        <v>7289</v>
      </c>
      <c r="J10913" t="s">
        <v>14</v>
      </c>
      <c r="K10913" t="str">
        <f>"2F1"</f>
        <v>2F1</v>
      </c>
      <c r="L10913" t="s">
        <v>15</v>
      </c>
    </row>
    <row r="10914" spans="1:12" x14ac:dyDescent="0.25">
      <c r="A10914" t="str">
        <f>"7956056955"</f>
        <v>7956056955</v>
      </c>
      <c r="B10914" t="str">
        <f t="shared" ref="B10914:B10977" si="450">"89301000"</f>
        <v>89301000</v>
      </c>
      <c r="C10914" s="1">
        <v>44299</v>
      </c>
      <c r="D10914" s="1">
        <v>44300</v>
      </c>
      <c r="E10914">
        <v>1</v>
      </c>
      <c r="F10914" t="s">
        <v>159</v>
      </c>
      <c r="G10914" t="str">
        <f>"01-D01-03"</f>
        <v>01-D01-03</v>
      </c>
      <c r="H10914">
        <v>0.158</v>
      </c>
      <c r="I10914" t="s">
        <v>2236</v>
      </c>
      <c r="J10914" t="s">
        <v>14</v>
      </c>
      <c r="K10914" t="str">
        <f>"2F5"</f>
        <v>2F5</v>
      </c>
      <c r="L10914" t="s">
        <v>15</v>
      </c>
    </row>
    <row r="10915" spans="1:12" x14ac:dyDescent="0.25">
      <c r="A10915" t="str">
        <f>"7956065403"</f>
        <v>7956065403</v>
      </c>
      <c r="B10915" t="str">
        <f t="shared" si="450"/>
        <v>89301000</v>
      </c>
      <c r="C10915" s="1">
        <v>44237</v>
      </c>
      <c r="D10915" s="1">
        <v>44242</v>
      </c>
      <c r="E10915">
        <v>1</v>
      </c>
      <c r="F10915" t="s">
        <v>3381</v>
      </c>
      <c r="G10915" t="str">
        <f>"09-I06-04"</f>
        <v>09-I06-04</v>
      </c>
      <c r="H10915">
        <v>0.98829999999999996</v>
      </c>
      <c r="J10915" t="s">
        <v>17</v>
      </c>
      <c r="K10915" t="str">
        <f>"5F1"</f>
        <v>5F1</v>
      </c>
      <c r="L10915" t="s">
        <v>15</v>
      </c>
    </row>
    <row r="10916" spans="1:12" x14ac:dyDescent="0.25">
      <c r="A10916" t="str">
        <f>"7956135330"</f>
        <v>7956135330</v>
      </c>
      <c r="B10916" t="str">
        <f t="shared" si="450"/>
        <v>89301000</v>
      </c>
      <c r="C10916" s="1">
        <v>44501</v>
      </c>
      <c r="D10916" s="1">
        <v>44503</v>
      </c>
      <c r="E10916">
        <v>1</v>
      </c>
      <c r="F10916" t="s">
        <v>4382</v>
      </c>
      <c r="G10916" t="str">
        <f>"05-I30-02"</f>
        <v>05-I30-02</v>
      </c>
      <c r="H10916">
        <v>0.46729999999999999</v>
      </c>
      <c r="J10916" t="s">
        <v>14</v>
      </c>
      <c r="K10916" t="str">
        <f>"5F1"</f>
        <v>5F1</v>
      </c>
      <c r="L10916" t="s">
        <v>15</v>
      </c>
    </row>
    <row r="10917" spans="1:12" x14ac:dyDescent="0.25">
      <c r="A10917" t="str">
        <f>"7956135330"</f>
        <v>7956135330</v>
      </c>
      <c r="B10917" t="str">
        <f t="shared" si="450"/>
        <v>89301000</v>
      </c>
      <c r="C10917" s="1">
        <v>44245</v>
      </c>
      <c r="D10917" s="1">
        <v>44246</v>
      </c>
      <c r="E10917">
        <v>1</v>
      </c>
      <c r="F10917" t="s">
        <v>187</v>
      </c>
      <c r="G10917" t="str">
        <f>"14-I08-03"</f>
        <v>14-I08-03</v>
      </c>
      <c r="H10917">
        <v>0.21099999999999999</v>
      </c>
      <c r="J10917" t="s">
        <v>14</v>
      </c>
      <c r="K10917" t="str">
        <f>"6F3"</f>
        <v>6F3</v>
      </c>
      <c r="L10917" t="s">
        <v>15</v>
      </c>
    </row>
    <row r="10918" spans="1:12" x14ac:dyDescent="0.25">
      <c r="A10918" t="str">
        <f>"7956185325"</f>
        <v>7956185325</v>
      </c>
      <c r="B10918" t="str">
        <f t="shared" si="450"/>
        <v>89301000</v>
      </c>
      <c r="C10918" s="1">
        <v>44243</v>
      </c>
      <c r="D10918" s="1">
        <v>44247</v>
      </c>
      <c r="E10918">
        <v>1</v>
      </c>
      <c r="F10918" t="s">
        <v>6270</v>
      </c>
      <c r="G10918" t="str">
        <f>"13-I11-03"</f>
        <v>13-I11-03</v>
      </c>
      <c r="H10918">
        <v>1.3809</v>
      </c>
      <c r="I10918" t="s">
        <v>283</v>
      </c>
      <c r="J10918" t="s">
        <v>24</v>
      </c>
      <c r="K10918" t="str">
        <f>"6F3"</f>
        <v>6F3</v>
      </c>
      <c r="L10918" t="s">
        <v>15</v>
      </c>
    </row>
    <row r="10919" spans="1:12" x14ac:dyDescent="0.25">
      <c r="A10919" t="str">
        <f>"7956205378"</f>
        <v>7956205378</v>
      </c>
      <c r="B10919" t="str">
        <f t="shared" si="450"/>
        <v>89301000</v>
      </c>
      <c r="C10919" s="1">
        <v>44206</v>
      </c>
      <c r="D10919" s="1">
        <v>44208</v>
      </c>
      <c r="E10919">
        <v>1</v>
      </c>
      <c r="F10919" t="s">
        <v>75</v>
      </c>
      <c r="G10919" t="str">
        <f>"14-M01-05"</f>
        <v>14-M01-05</v>
      </c>
      <c r="H10919">
        <v>0.54239999999999999</v>
      </c>
      <c r="I10919" t="s">
        <v>7290</v>
      </c>
      <c r="J10919" t="s">
        <v>59</v>
      </c>
      <c r="K10919" t="str">
        <f>"6F3"</f>
        <v>6F3</v>
      </c>
      <c r="L10919" t="s">
        <v>15</v>
      </c>
    </row>
    <row r="10920" spans="1:12" x14ac:dyDescent="0.25">
      <c r="A10920" t="str">
        <f>"7956245330"</f>
        <v>7956245330</v>
      </c>
      <c r="B10920" t="str">
        <f t="shared" si="450"/>
        <v>89301000</v>
      </c>
      <c r="C10920" s="1">
        <v>44384</v>
      </c>
      <c r="D10920" s="1">
        <v>44392</v>
      </c>
      <c r="E10920">
        <v>7</v>
      </c>
      <c r="F10920" t="s">
        <v>3381</v>
      </c>
      <c r="G10920" t="str">
        <f>"09-K08-01"</f>
        <v>09-K08-01</v>
      </c>
      <c r="H10920">
        <v>1.1131</v>
      </c>
      <c r="I10920" t="s">
        <v>7291</v>
      </c>
      <c r="J10920" t="s">
        <v>14</v>
      </c>
      <c r="K10920" t="str">
        <f>"4F2"</f>
        <v>4F2</v>
      </c>
      <c r="L10920" t="s">
        <v>15</v>
      </c>
    </row>
    <row r="10921" spans="1:12" x14ac:dyDescent="0.25">
      <c r="A10921" t="str">
        <f>"7956264459"</f>
        <v>7956264459</v>
      </c>
      <c r="B10921" t="str">
        <f t="shared" si="450"/>
        <v>89301000</v>
      </c>
      <c r="C10921" s="1">
        <v>44545</v>
      </c>
      <c r="D10921" s="1">
        <v>44550</v>
      </c>
      <c r="E10921">
        <v>1</v>
      </c>
      <c r="F10921" t="s">
        <v>61</v>
      </c>
      <c r="G10921" t="str">
        <f>"14-I01-05"</f>
        <v>14-I01-05</v>
      </c>
      <c r="H10921">
        <v>0.80030000000000001</v>
      </c>
      <c r="I10921" t="s">
        <v>7292</v>
      </c>
      <c r="J10921" t="s">
        <v>59</v>
      </c>
      <c r="K10921" t="str">
        <f>"6F3"</f>
        <v>6F3</v>
      </c>
      <c r="L10921" t="s">
        <v>15</v>
      </c>
    </row>
    <row r="10922" spans="1:12" x14ac:dyDescent="0.25">
      <c r="A10922" t="str">
        <f>"7956265317"</f>
        <v>7956265317</v>
      </c>
      <c r="B10922" t="str">
        <f t="shared" si="450"/>
        <v>89301000</v>
      </c>
      <c r="C10922" s="1">
        <v>44531</v>
      </c>
      <c r="D10922" s="1">
        <v>44532</v>
      </c>
      <c r="E10922">
        <v>1</v>
      </c>
      <c r="F10922" t="s">
        <v>41</v>
      </c>
      <c r="G10922" t="str">
        <f>"01-D01-03"</f>
        <v>01-D01-03</v>
      </c>
      <c r="H10922">
        <v>0.158</v>
      </c>
      <c r="I10922" t="s">
        <v>7293</v>
      </c>
      <c r="J10922" t="s">
        <v>14</v>
      </c>
      <c r="K10922" t="str">
        <f>"2F5"</f>
        <v>2F5</v>
      </c>
      <c r="L10922" t="s">
        <v>15</v>
      </c>
    </row>
    <row r="10923" spans="1:12" x14ac:dyDescent="0.25">
      <c r="A10923" t="str">
        <f>"7956265317"</f>
        <v>7956265317</v>
      </c>
      <c r="B10923" t="str">
        <f t="shared" si="450"/>
        <v>89301000</v>
      </c>
      <c r="C10923" s="1">
        <v>44273</v>
      </c>
      <c r="D10923" s="1">
        <v>44276</v>
      </c>
      <c r="E10923">
        <v>1</v>
      </c>
      <c r="F10923" t="s">
        <v>6270</v>
      </c>
      <c r="G10923" t="str">
        <f>"13-I11-03"</f>
        <v>13-I11-03</v>
      </c>
      <c r="H10923">
        <v>1.3809</v>
      </c>
      <c r="J10923" t="s">
        <v>24</v>
      </c>
      <c r="K10923" t="str">
        <f>"6F3"</f>
        <v>6F3</v>
      </c>
      <c r="L10923" t="s">
        <v>15</v>
      </c>
    </row>
    <row r="10924" spans="1:12" x14ac:dyDescent="0.25">
      <c r="A10924" t="str">
        <f>"7956275349"</f>
        <v>7956275349</v>
      </c>
      <c r="B10924" t="str">
        <f t="shared" si="450"/>
        <v>89301000</v>
      </c>
      <c r="C10924" s="1">
        <v>44501</v>
      </c>
      <c r="D10924" s="1">
        <v>44503</v>
      </c>
      <c r="E10924">
        <v>1</v>
      </c>
      <c r="F10924" t="s">
        <v>2495</v>
      </c>
      <c r="G10924" t="str">
        <f>"13-I11-03"</f>
        <v>13-I11-03</v>
      </c>
      <c r="H10924">
        <v>1.3809</v>
      </c>
      <c r="J10924" t="s">
        <v>24</v>
      </c>
      <c r="K10924" t="str">
        <f>"6F3"</f>
        <v>6F3</v>
      </c>
      <c r="L10924" t="s">
        <v>15</v>
      </c>
    </row>
    <row r="10925" spans="1:12" x14ac:dyDescent="0.25">
      <c r="A10925" t="str">
        <f>"7957104463"</f>
        <v>7957104463</v>
      </c>
      <c r="B10925" t="str">
        <f t="shared" si="450"/>
        <v>89301000</v>
      </c>
      <c r="C10925" s="1">
        <v>44518</v>
      </c>
      <c r="D10925" s="1">
        <v>44520</v>
      </c>
      <c r="E10925">
        <v>1</v>
      </c>
      <c r="F10925" t="s">
        <v>2311</v>
      </c>
      <c r="G10925" t="str">
        <f>"08-I03-08"</f>
        <v>08-I03-08</v>
      </c>
      <c r="H10925">
        <v>2.0605000000000002</v>
      </c>
      <c r="J10925" t="s">
        <v>17</v>
      </c>
      <c r="K10925" t="str">
        <f>"5F6"</f>
        <v>5F6</v>
      </c>
      <c r="L10925" t="s">
        <v>15</v>
      </c>
    </row>
    <row r="10926" spans="1:12" x14ac:dyDescent="0.25">
      <c r="A10926" t="str">
        <f>"7957225342"</f>
        <v>7957225342</v>
      </c>
      <c r="B10926" t="str">
        <f t="shared" si="450"/>
        <v>89301000</v>
      </c>
      <c r="C10926" s="1">
        <v>44279</v>
      </c>
      <c r="D10926" s="1">
        <v>44281</v>
      </c>
      <c r="E10926">
        <v>1</v>
      </c>
      <c r="F10926" t="s">
        <v>7294</v>
      </c>
      <c r="G10926" t="str">
        <f>"13-I19-00"</f>
        <v>13-I19-00</v>
      </c>
      <c r="H10926">
        <v>0.24679999999999999</v>
      </c>
      <c r="J10926" t="s">
        <v>14</v>
      </c>
      <c r="K10926" t="str">
        <f>"6F3"</f>
        <v>6F3</v>
      </c>
      <c r="L10926" t="s">
        <v>15</v>
      </c>
    </row>
    <row r="10927" spans="1:12" x14ac:dyDescent="0.25">
      <c r="A10927" t="str">
        <f>"7957244460"</f>
        <v>7957244460</v>
      </c>
      <c r="B10927" t="str">
        <f t="shared" si="450"/>
        <v>89301000</v>
      </c>
      <c r="C10927" s="1">
        <v>44278</v>
      </c>
      <c r="D10927" s="1">
        <v>44281</v>
      </c>
      <c r="E10927">
        <v>1</v>
      </c>
      <c r="F10927" t="s">
        <v>652</v>
      </c>
      <c r="G10927" t="str">
        <f>"03-I19-03"</f>
        <v>03-I19-03</v>
      </c>
      <c r="H10927">
        <v>0.60699999999999998</v>
      </c>
      <c r="I10927" t="s">
        <v>7295</v>
      </c>
      <c r="J10927" t="s">
        <v>14</v>
      </c>
      <c r="K10927" t="str">
        <f>"6F5"</f>
        <v>6F5</v>
      </c>
      <c r="L10927" t="s">
        <v>15</v>
      </c>
    </row>
    <row r="10928" spans="1:12" x14ac:dyDescent="0.25">
      <c r="A10928" t="str">
        <f>"7957254932"</f>
        <v>7957254932</v>
      </c>
      <c r="B10928" t="str">
        <f t="shared" si="450"/>
        <v>89301000</v>
      </c>
      <c r="C10928" s="1">
        <v>44396</v>
      </c>
      <c r="D10928" s="1">
        <v>44400</v>
      </c>
      <c r="E10928">
        <v>1</v>
      </c>
      <c r="F10928" t="s">
        <v>1040</v>
      </c>
      <c r="G10928" t="str">
        <f>"03-K12-01"</f>
        <v>03-K12-01</v>
      </c>
      <c r="H10928">
        <v>0.376</v>
      </c>
      <c r="I10928" t="s">
        <v>7176</v>
      </c>
      <c r="J10928" t="s">
        <v>14</v>
      </c>
      <c r="K10928" t="str">
        <f>"6F5"</f>
        <v>6F5</v>
      </c>
      <c r="L10928" t="s">
        <v>15</v>
      </c>
    </row>
    <row r="10929" spans="1:12" x14ac:dyDescent="0.25">
      <c r="A10929" t="str">
        <f>"7957305719"</f>
        <v>7957305719</v>
      </c>
      <c r="B10929" t="str">
        <f t="shared" si="450"/>
        <v>89301000</v>
      </c>
      <c r="C10929" s="1">
        <v>44258</v>
      </c>
      <c r="D10929" s="1">
        <v>44262</v>
      </c>
      <c r="E10929">
        <v>1</v>
      </c>
      <c r="F10929" t="s">
        <v>5658</v>
      </c>
      <c r="G10929" t="str">
        <f>"08-M03-05"</f>
        <v>08-M03-05</v>
      </c>
      <c r="H10929">
        <v>0.51759999999999995</v>
      </c>
      <c r="J10929" t="s">
        <v>14</v>
      </c>
      <c r="K10929" t="str">
        <f>"6F6"</f>
        <v>6F6</v>
      </c>
      <c r="L10929" t="s">
        <v>15</v>
      </c>
    </row>
    <row r="10930" spans="1:12" x14ac:dyDescent="0.25">
      <c r="A10930" t="str">
        <f>"7958015318"</f>
        <v>7958015318</v>
      </c>
      <c r="B10930" t="str">
        <f t="shared" si="450"/>
        <v>89301000</v>
      </c>
      <c r="C10930" s="1">
        <v>44421</v>
      </c>
      <c r="D10930" s="1">
        <v>44423</v>
      </c>
      <c r="E10930">
        <v>1</v>
      </c>
      <c r="F10930" t="s">
        <v>2311</v>
      </c>
      <c r="G10930" t="str">
        <f>"08-I03-08"</f>
        <v>08-I03-08</v>
      </c>
      <c r="H10930">
        <v>2.0605000000000002</v>
      </c>
      <c r="I10930" t="s">
        <v>489</v>
      </c>
      <c r="J10930" t="s">
        <v>17</v>
      </c>
      <c r="K10930" t="str">
        <f>"5F6"</f>
        <v>5F6</v>
      </c>
      <c r="L10930" t="s">
        <v>15</v>
      </c>
    </row>
    <row r="10931" spans="1:12" x14ac:dyDescent="0.25">
      <c r="A10931" t="str">
        <f>"7958035338"</f>
        <v>7958035338</v>
      </c>
      <c r="B10931" t="str">
        <f t="shared" si="450"/>
        <v>89301000</v>
      </c>
      <c r="C10931" s="1">
        <v>44228</v>
      </c>
      <c r="D10931" s="1">
        <v>44237</v>
      </c>
      <c r="E10931">
        <v>1</v>
      </c>
      <c r="F10931" t="s">
        <v>4653</v>
      </c>
      <c r="G10931" t="str">
        <f>"08-K08-00"</f>
        <v>08-K08-00</v>
      </c>
      <c r="H10931">
        <v>0.51670000000000005</v>
      </c>
      <c r="I10931" t="s">
        <v>7296</v>
      </c>
      <c r="J10931" t="s">
        <v>14</v>
      </c>
      <c r="K10931" t="str">
        <f>"2F9"</f>
        <v>2F9</v>
      </c>
      <c r="L10931" t="s">
        <v>15</v>
      </c>
    </row>
    <row r="10932" spans="1:12" x14ac:dyDescent="0.25">
      <c r="A10932" t="str">
        <f>"7958035338"</f>
        <v>7958035338</v>
      </c>
      <c r="B10932" t="str">
        <f t="shared" si="450"/>
        <v>89301000</v>
      </c>
      <c r="C10932" s="1">
        <v>44342</v>
      </c>
      <c r="D10932" s="1">
        <v>44346</v>
      </c>
      <c r="E10932">
        <v>1</v>
      </c>
      <c r="F10932" t="s">
        <v>2020</v>
      </c>
      <c r="G10932" t="str">
        <f>"03-I17-00"</f>
        <v>03-I17-00</v>
      </c>
      <c r="H10932">
        <v>0.84960000000000002</v>
      </c>
      <c r="I10932" t="s">
        <v>7297</v>
      </c>
      <c r="J10932" t="s">
        <v>24</v>
      </c>
      <c r="K10932" t="str">
        <f>"7F1"</f>
        <v>7F1</v>
      </c>
      <c r="L10932" t="s">
        <v>15</v>
      </c>
    </row>
    <row r="10933" spans="1:12" x14ac:dyDescent="0.25">
      <c r="A10933" t="str">
        <f>"7958085311"</f>
        <v>7958085311</v>
      </c>
      <c r="B10933" t="str">
        <f t="shared" si="450"/>
        <v>89301000</v>
      </c>
      <c r="C10933" s="1">
        <v>44251</v>
      </c>
      <c r="D10933" s="1">
        <v>44254</v>
      </c>
      <c r="E10933">
        <v>1</v>
      </c>
      <c r="F10933" t="s">
        <v>2527</v>
      </c>
      <c r="G10933" t="str">
        <f>"13-I14-03"</f>
        <v>13-I14-03</v>
      </c>
      <c r="H10933">
        <v>0.83199999999999996</v>
      </c>
      <c r="J10933" t="s">
        <v>24</v>
      </c>
      <c r="K10933" t="str">
        <f>"6F3"</f>
        <v>6F3</v>
      </c>
      <c r="L10933" t="s">
        <v>15</v>
      </c>
    </row>
    <row r="10934" spans="1:12" x14ac:dyDescent="0.25">
      <c r="A10934" t="str">
        <f>"7958135427"</f>
        <v>7958135427</v>
      </c>
      <c r="B10934" t="str">
        <f t="shared" si="450"/>
        <v>89301000</v>
      </c>
      <c r="C10934" s="1">
        <v>44330</v>
      </c>
      <c r="D10934" s="1">
        <v>44331</v>
      </c>
      <c r="E10934">
        <v>1</v>
      </c>
      <c r="F10934" t="s">
        <v>41</v>
      </c>
      <c r="G10934" t="str">
        <f>"01-D01-03"</f>
        <v>01-D01-03</v>
      </c>
      <c r="H10934">
        <v>0.158</v>
      </c>
      <c r="I10934" t="s">
        <v>3415</v>
      </c>
      <c r="J10934" t="s">
        <v>14</v>
      </c>
      <c r="K10934" t="str">
        <f>"2F5"</f>
        <v>2F5</v>
      </c>
      <c r="L10934" t="s">
        <v>15</v>
      </c>
    </row>
    <row r="10935" spans="1:12" x14ac:dyDescent="0.25">
      <c r="A10935" t="str">
        <f>"7958175302"</f>
        <v>7958175302</v>
      </c>
      <c r="B10935" t="str">
        <f t="shared" si="450"/>
        <v>89301000</v>
      </c>
      <c r="C10935" s="1">
        <v>44437</v>
      </c>
      <c r="D10935" s="1">
        <v>44442</v>
      </c>
      <c r="E10935">
        <v>1</v>
      </c>
      <c r="F10935" t="s">
        <v>2706</v>
      </c>
      <c r="G10935" t="str">
        <f>"09-K01-03"</f>
        <v>09-K01-03</v>
      </c>
      <c r="H10935">
        <v>0.88329999999999997</v>
      </c>
      <c r="I10935" t="s">
        <v>7298</v>
      </c>
      <c r="J10935" t="s">
        <v>14</v>
      </c>
      <c r="K10935" t="str">
        <f>"4F4"</f>
        <v>4F4</v>
      </c>
      <c r="L10935" t="s">
        <v>15</v>
      </c>
    </row>
    <row r="10936" spans="1:12" x14ac:dyDescent="0.25">
      <c r="A10936" t="str">
        <f>"7958285302"</f>
        <v>7958285302</v>
      </c>
      <c r="B10936" t="str">
        <f t="shared" si="450"/>
        <v>89301000</v>
      </c>
      <c r="C10936" s="1">
        <v>44404</v>
      </c>
      <c r="D10936" s="1">
        <v>44407</v>
      </c>
      <c r="E10936">
        <v>1</v>
      </c>
      <c r="F10936" t="s">
        <v>3940</v>
      </c>
      <c r="G10936" t="str">
        <f>"08-I03-06"</f>
        <v>08-I03-06</v>
      </c>
      <c r="H10936">
        <v>3.3738000000000001</v>
      </c>
      <c r="I10936" t="s">
        <v>7299</v>
      </c>
      <c r="J10936" t="s">
        <v>17</v>
      </c>
      <c r="K10936" t="str">
        <f>"5F6"</f>
        <v>5F6</v>
      </c>
      <c r="L10936" t="s">
        <v>15</v>
      </c>
    </row>
    <row r="10937" spans="1:12" x14ac:dyDescent="0.25">
      <c r="A10937" t="str">
        <f>"7959085772"</f>
        <v>7959085772</v>
      </c>
      <c r="B10937" t="str">
        <f t="shared" si="450"/>
        <v>89301000</v>
      </c>
      <c r="C10937" s="1">
        <v>44479</v>
      </c>
      <c r="D10937" s="1">
        <v>44484</v>
      </c>
      <c r="E10937">
        <v>1</v>
      </c>
      <c r="F10937" t="s">
        <v>2495</v>
      </c>
      <c r="G10937" t="str">
        <f>"13-I11-03"</f>
        <v>13-I11-03</v>
      </c>
      <c r="H10937">
        <v>1.3809</v>
      </c>
      <c r="J10937" t="s">
        <v>24</v>
      </c>
      <c r="K10937" t="str">
        <f>"6F3"</f>
        <v>6F3</v>
      </c>
      <c r="L10937" t="s">
        <v>15</v>
      </c>
    </row>
    <row r="10938" spans="1:12" x14ac:dyDescent="0.25">
      <c r="A10938" t="str">
        <f>"7959085772"</f>
        <v>7959085772</v>
      </c>
      <c r="B10938" t="str">
        <f t="shared" si="450"/>
        <v>89301000</v>
      </c>
      <c r="C10938" s="1">
        <v>44314</v>
      </c>
      <c r="D10938" s="1">
        <v>44315</v>
      </c>
      <c r="E10938">
        <v>1</v>
      </c>
      <c r="F10938" t="s">
        <v>700</v>
      </c>
      <c r="G10938" t="str">
        <f>"13-I19-00"</f>
        <v>13-I19-00</v>
      </c>
      <c r="H10938">
        <v>0.24679999999999999</v>
      </c>
      <c r="J10938" t="s">
        <v>14</v>
      </c>
      <c r="K10938" t="str">
        <f>"6F3"</f>
        <v>6F3</v>
      </c>
      <c r="L10938" t="s">
        <v>15</v>
      </c>
    </row>
    <row r="10939" spans="1:12" x14ac:dyDescent="0.25">
      <c r="A10939" t="str">
        <f>"7959274477"</f>
        <v>7959274477</v>
      </c>
      <c r="B10939" t="str">
        <f t="shared" si="450"/>
        <v>89301000</v>
      </c>
      <c r="C10939" s="1">
        <v>44454</v>
      </c>
      <c r="D10939" s="1">
        <v>44467</v>
      </c>
      <c r="E10939">
        <v>1</v>
      </c>
      <c r="F10939" t="s">
        <v>418</v>
      </c>
      <c r="G10939" t="str">
        <f>"18-K02-01"</f>
        <v>18-K02-01</v>
      </c>
      <c r="H10939">
        <v>1.5840000000000001</v>
      </c>
      <c r="I10939" t="s">
        <v>469</v>
      </c>
      <c r="J10939" t="s">
        <v>14</v>
      </c>
      <c r="K10939" t="str">
        <f>"2F9"</f>
        <v>2F9</v>
      </c>
      <c r="L10939" t="s">
        <v>15</v>
      </c>
    </row>
    <row r="10940" spans="1:12" x14ac:dyDescent="0.25">
      <c r="A10940" t="str">
        <f>"7959285334"</f>
        <v>7959285334</v>
      </c>
      <c r="B10940" t="str">
        <f t="shared" si="450"/>
        <v>89301000</v>
      </c>
      <c r="C10940" s="1">
        <v>44553</v>
      </c>
      <c r="D10940" s="1">
        <v>44554</v>
      </c>
      <c r="E10940">
        <v>1</v>
      </c>
      <c r="F10940" t="s">
        <v>86</v>
      </c>
      <c r="G10940" t="str">
        <f>"14-I08-03"</f>
        <v>14-I08-03</v>
      </c>
      <c r="H10940">
        <v>0.21099999999999999</v>
      </c>
      <c r="J10940" t="s">
        <v>14</v>
      </c>
      <c r="K10940" t="str">
        <f>"6F3"</f>
        <v>6F3</v>
      </c>
      <c r="L10940" t="s">
        <v>15</v>
      </c>
    </row>
    <row r="10941" spans="1:12" x14ac:dyDescent="0.25">
      <c r="A10941" t="str">
        <f>"7959285334"</f>
        <v>7959285334</v>
      </c>
      <c r="B10941" t="str">
        <f t="shared" si="450"/>
        <v>89301000</v>
      </c>
      <c r="C10941" s="1">
        <v>44498</v>
      </c>
      <c r="D10941" s="1">
        <v>44510</v>
      </c>
      <c r="E10941">
        <v>1</v>
      </c>
      <c r="F10941" t="s">
        <v>116</v>
      </c>
      <c r="G10941" t="str">
        <f>"14-M01-02"</f>
        <v>14-M01-02</v>
      </c>
      <c r="H10941">
        <v>1.1964999999999999</v>
      </c>
      <c r="I10941" t="s">
        <v>7300</v>
      </c>
      <c r="J10941" t="s">
        <v>59</v>
      </c>
      <c r="K10941" t="str">
        <f>"6F3"</f>
        <v>6F3</v>
      </c>
      <c r="L10941" t="s">
        <v>15</v>
      </c>
    </row>
    <row r="10942" spans="1:12" x14ac:dyDescent="0.25">
      <c r="A10942" t="str">
        <f>"7960015316"</f>
        <v>7960015316</v>
      </c>
      <c r="B10942" t="str">
        <f t="shared" si="450"/>
        <v>89301000</v>
      </c>
      <c r="C10942" s="1">
        <v>44321</v>
      </c>
      <c r="D10942" s="1">
        <v>44325</v>
      </c>
      <c r="E10942">
        <v>1</v>
      </c>
      <c r="F10942" t="s">
        <v>2008</v>
      </c>
      <c r="G10942" t="str">
        <f>"13-I11-03"</f>
        <v>13-I11-03</v>
      </c>
      <c r="H10942">
        <v>1.3809</v>
      </c>
      <c r="J10942" t="s">
        <v>24</v>
      </c>
      <c r="K10942" t="str">
        <f>"6F3"</f>
        <v>6F3</v>
      </c>
      <c r="L10942" t="s">
        <v>15</v>
      </c>
    </row>
    <row r="10943" spans="1:12" x14ac:dyDescent="0.25">
      <c r="A10943" t="str">
        <f>"7960095319"</f>
        <v>7960095319</v>
      </c>
      <c r="B10943" t="str">
        <f t="shared" si="450"/>
        <v>89301000</v>
      </c>
      <c r="C10943" s="1">
        <v>44271</v>
      </c>
      <c r="D10943" s="1">
        <v>44274</v>
      </c>
      <c r="E10943">
        <v>1</v>
      </c>
      <c r="F10943" t="s">
        <v>87</v>
      </c>
      <c r="G10943" t="str">
        <f>"09-K04-02"</f>
        <v>09-K04-02</v>
      </c>
      <c r="H10943">
        <v>0.68279999999999996</v>
      </c>
      <c r="I10943" t="s">
        <v>7301</v>
      </c>
      <c r="J10943" t="s">
        <v>14</v>
      </c>
      <c r="K10943" t="str">
        <f>"4F4"</f>
        <v>4F4</v>
      </c>
      <c r="L10943" t="s">
        <v>15</v>
      </c>
    </row>
    <row r="10944" spans="1:12" x14ac:dyDescent="0.25">
      <c r="A10944" t="str">
        <f>"7960175333"</f>
        <v>7960175333</v>
      </c>
      <c r="B10944" t="str">
        <f t="shared" si="450"/>
        <v>89301000</v>
      </c>
      <c r="C10944" s="1">
        <v>44224</v>
      </c>
      <c r="D10944" s="1">
        <v>44228</v>
      </c>
      <c r="E10944">
        <v>1</v>
      </c>
      <c r="F10944" t="s">
        <v>3940</v>
      </c>
      <c r="G10944" t="str">
        <f>"08-I03-04"</f>
        <v>08-I03-04</v>
      </c>
      <c r="H10944">
        <v>4.8169000000000004</v>
      </c>
      <c r="I10944" t="s">
        <v>7302</v>
      </c>
      <c r="J10944" t="s">
        <v>17</v>
      </c>
      <c r="K10944" t="str">
        <f>"5F6"</f>
        <v>5F6</v>
      </c>
      <c r="L10944" t="s">
        <v>15</v>
      </c>
    </row>
    <row r="10945" spans="1:12" x14ac:dyDescent="0.25">
      <c r="A10945" t="str">
        <f>"7960215329"</f>
        <v>7960215329</v>
      </c>
      <c r="B10945" t="str">
        <f t="shared" si="450"/>
        <v>89301000</v>
      </c>
      <c r="C10945" s="1">
        <v>44311</v>
      </c>
      <c r="D10945" s="1">
        <v>44314</v>
      </c>
      <c r="E10945">
        <v>1</v>
      </c>
      <c r="F10945" t="s">
        <v>1299</v>
      </c>
      <c r="G10945" t="str">
        <f>"03-I12-03"</f>
        <v>03-I12-03</v>
      </c>
      <c r="H10945">
        <v>1.0016</v>
      </c>
      <c r="I10945" t="s">
        <v>860</v>
      </c>
      <c r="J10945" t="s">
        <v>17</v>
      </c>
      <c r="K10945" t="str">
        <f>"7F1"</f>
        <v>7F1</v>
      </c>
      <c r="L10945" t="s">
        <v>15</v>
      </c>
    </row>
    <row r="10946" spans="1:12" x14ac:dyDescent="0.25">
      <c r="A10946" t="str">
        <f>"7960295332"</f>
        <v>7960295332</v>
      </c>
      <c r="B10946" t="str">
        <f t="shared" si="450"/>
        <v>89301000</v>
      </c>
      <c r="C10946" s="1">
        <v>44389</v>
      </c>
      <c r="D10946" s="1">
        <v>44392</v>
      </c>
      <c r="E10946">
        <v>1</v>
      </c>
      <c r="F10946" t="s">
        <v>75</v>
      </c>
      <c r="G10946" t="str">
        <f>"14-M01-05"</f>
        <v>14-M01-05</v>
      </c>
      <c r="H10946">
        <v>0.54239999999999999</v>
      </c>
      <c r="I10946" t="s">
        <v>7303</v>
      </c>
      <c r="J10946" t="s">
        <v>59</v>
      </c>
      <c r="K10946" t="str">
        <f>"6F3"</f>
        <v>6F3</v>
      </c>
      <c r="L10946" t="s">
        <v>15</v>
      </c>
    </row>
    <row r="10947" spans="1:12" x14ac:dyDescent="0.25">
      <c r="A10947" t="str">
        <f>"7961075364"</f>
        <v>7961075364</v>
      </c>
      <c r="B10947" t="str">
        <f t="shared" si="450"/>
        <v>89301000</v>
      </c>
      <c r="C10947" s="1">
        <v>44308</v>
      </c>
      <c r="D10947" s="1">
        <v>44311</v>
      </c>
      <c r="E10947">
        <v>1</v>
      </c>
      <c r="F10947" t="s">
        <v>75</v>
      </c>
      <c r="G10947" t="str">
        <f>"14-M01-05"</f>
        <v>14-M01-05</v>
      </c>
      <c r="H10947">
        <v>0.54239999999999999</v>
      </c>
      <c r="I10947" t="s">
        <v>7304</v>
      </c>
      <c r="J10947" t="s">
        <v>59</v>
      </c>
      <c r="K10947" t="str">
        <f>"6F3"</f>
        <v>6F3</v>
      </c>
      <c r="L10947" t="s">
        <v>15</v>
      </c>
    </row>
    <row r="10948" spans="1:12" x14ac:dyDescent="0.25">
      <c r="A10948" t="str">
        <f>"7961085077"</f>
        <v>7961085077</v>
      </c>
      <c r="B10948" t="str">
        <f t="shared" si="450"/>
        <v>89301000</v>
      </c>
      <c r="C10948" s="1">
        <v>44300</v>
      </c>
      <c r="D10948" s="1">
        <v>44307</v>
      </c>
      <c r="E10948">
        <v>1</v>
      </c>
      <c r="F10948" t="s">
        <v>60</v>
      </c>
      <c r="G10948" t="str">
        <f>"14-K03-02"</f>
        <v>14-K03-02</v>
      </c>
      <c r="H10948">
        <v>0.2646</v>
      </c>
      <c r="I10948" t="s">
        <v>7305</v>
      </c>
      <c r="J10948" t="s">
        <v>14</v>
      </c>
      <c r="K10948" t="str">
        <f>"6F3"</f>
        <v>6F3</v>
      </c>
      <c r="L10948" t="s">
        <v>15</v>
      </c>
    </row>
    <row r="10949" spans="1:12" x14ac:dyDescent="0.25">
      <c r="A10949" t="str">
        <f>"7961085077"</f>
        <v>7961085077</v>
      </c>
      <c r="B10949" t="str">
        <f t="shared" si="450"/>
        <v>89301000</v>
      </c>
      <c r="C10949" s="1">
        <v>44352</v>
      </c>
      <c r="D10949" s="1">
        <v>44364</v>
      </c>
      <c r="E10949">
        <v>1</v>
      </c>
      <c r="F10949" t="s">
        <v>82</v>
      </c>
      <c r="G10949" t="str">
        <f>"14-I01-01"</f>
        <v>14-I01-01</v>
      </c>
      <c r="H10949">
        <v>1.6134999999999999</v>
      </c>
      <c r="I10949" t="s">
        <v>7306</v>
      </c>
      <c r="J10949" t="s">
        <v>59</v>
      </c>
      <c r="K10949" t="str">
        <f>"6F3"</f>
        <v>6F3</v>
      </c>
      <c r="L10949" t="s">
        <v>15</v>
      </c>
    </row>
    <row r="10950" spans="1:12" x14ac:dyDescent="0.25">
      <c r="A10950" t="str">
        <f>"7961095758"</f>
        <v>7961095758</v>
      </c>
      <c r="B10950" t="str">
        <f t="shared" si="450"/>
        <v>89301000</v>
      </c>
      <c r="C10950" s="1">
        <v>44352</v>
      </c>
      <c r="D10950" s="1">
        <v>44355</v>
      </c>
      <c r="E10950">
        <v>1</v>
      </c>
      <c r="F10950" t="s">
        <v>883</v>
      </c>
      <c r="G10950" t="str">
        <f>"06-K20-02"</f>
        <v>06-K20-02</v>
      </c>
      <c r="H10950">
        <v>0.93700000000000006</v>
      </c>
      <c r="I10950" t="s">
        <v>7307</v>
      </c>
      <c r="J10950" t="s">
        <v>14</v>
      </c>
      <c r="K10950" t="str">
        <f>"1F1"</f>
        <v>1F1</v>
      </c>
      <c r="L10950" t="s">
        <v>15</v>
      </c>
    </row>
    <row r="10951" spans="1:12" x14ac:dyDescent="0.25">
      <c r="A10951" t="str">
        <f>"7961215350"</f>
        <v>7961215350</v>
      </c>
      <c r="B10951" t="str">
        <f t="shared" si="450"/>
        <v>89301000</v>
      </c>
      <c r="C10951" s="1">
        <v>44336</v>
      </c>
      <c r="D10951" s="1">
        <v>44340</v>
      </c>
      <c r="E10951">
        <v>1</v>
      </c>
      <c r="F10951" t="s">
        <v>43</v>
      </c>
      <c r="G10951" t="str">
        <f>"06-I18-05"</f>
        <v>06-I18-05</v>
      </c>
      <c r="H10951">
        <v>0.85550000000000004</v>
      </c>
      <c r="I10951" t="s">
        <v>402</v>
      </c>
      <c r="J10951" t="s">
        <v>24</v>
      </c>
      <c r="K10951" t="str">
        <f>"5F1"</f>
        <v>5F1</v>
      </c>
      <c r="L10951" t="s">
        <v>15</v>
      </c>
    </row>
    <row r="10952" spans="1:12" x14ac:dyDescent="0.25">
      <c r="A10952" t="str">
        <f>"7961295375"</f>
        <v>7961295375</v>
      </c>
      <c r="B10952" t="str">
        <f t="shared" si="450"/>
        <v>89301000</v>
      </c>
      <c r="C10952" s="1">
        <v>44267</v>
      </c>
      <c r="D10952" s="1">
        <v>44268</v>
      </c>
      <c r="E10952">
        <v>1</v>
      </c>
      <c r="F10952" t="s">
        <v>2374</v>
      </c>
      <c r="G10952" t="str">
        <f>"06-K15-02"</f>
        <v>06-K15-02</v>
      </c>
      <c r="H10952">
        <v>0.2777</v>
      </c>
      <c r="I10952" t="s">
        <v>3831</v>
      </c>
      <c r="J10952" t="s">
        <v>14</v>
      </c>
      <c r="K10952" t="str">
        <f>"5F1"</f>
        <v>5F1</v>
      </c>
      <c r="L10952" t="s">
        <v>15</v>
      </c>
    </row>
    <row r="10953" spans="1:12" x14ac:dyDescent="0.25">
      <c r="A10953" t="str">
        <f>"7962055310"</f>
        <v>7962055310</v>
      </c>
      <c r="B10953" t="str">
        <f t="shared" si="450"/>
        <v>89301000</v>
      </c>
      <c r="C10953" s="1">
        <v>44253</v>
      </c>
      <c r="D10953" s="1">
        <v>44260</v>
      </c>
      <c r="E10953">
        <v>1</v>
      </c>
      <c r="F10953" t="s">
        <v>7308</v>
      </c>
      <c r="G10953" t="str">
        <f>"00-M10-01"</f>
        <v>00-M10-01</v>
      </c>
      <c r="H10953">
        <v>4.3211000000000004</v>
      </c>
      <c r="I10953" t="s">
        <v>7309</v>
      </c>
      <c r="J10953" t="s">
        <v>24</v>
      </c>
      <c r="K10953" t="str">
        <f>"2F2"</f>
        <v>2F2</v>
      </c>
      <c r="L10953" t="s">
        <v>15</v>
      </c>
    </row>
    <row r="10954" spans="1:12" x14ac:dyDescent="0.25">
      <c r="A10954" t="str">
        <f>"7962055310"</f>
        <v>7962055310</v>
      </c>
      <c r="B10954" t="str">
        <f t="shared" si="450"/>
        <v>89301000</v>
      </c>
      <c r="C10954" s="1">
        <v>44242</v>
      </c>
      <c r="D10954" s="1">
        <v>44244</v>
      </c>
      <c r="E10954">
        <v>1</v>
      </c>
      <c r="F10954" t="s">
        <v>2316</v>
      </c>
      <c r="G10954" t="str">
        <f>"17-C05-08"</f>
        <v>17-C05-08</v>
      </c>
      <c r="H10954">
        <v>0.83779999999999999</v>
      </c>
      <c r="I10954" t="s">
        <v>4063</v>
      </c>
      <c r="J10954" t="s">
        <v>14</v>
      </c>
      <c r="K10954" t="str">
        <f>"2F2"</f>
        <v>2F2</v>
      </c>
      <c r="L10954" t="s">
        <v>15</v>
      </c>
    </row>
    <row r="10955" spans="1:12" x14ac:dyDescent="0.25">
      <c r="A10955" t="str">
        <f>"7962075374"</f>
        <v>7962075374</v>
      </c>
      <c r="B10955" t="str">
        <f t="shared" si="450"/>
        <v>89301000</v>
      </c>
      <c r="C10955" s="1">
        <v>44258</v>
      </c>
      <c r="D10955" s="1">
        <v>44260</v>
      </c>
      <c r="E10955">
        <v>1</v>
      </c>
      <c r="F10955" t="s">
        <v>1614</v>
      </c>
      <c r="G10955" t="str">
        <f>"08-K04-03"</f>
        <v>08-K04-03</v>
      </c>
      <c r="H10955">
        <v>0.45050000000000001</v>
      </c>
      <c r="I10955" t="s">
        <v>308</v>
      </c>
      <c r="J10955" t="s">
        <v>14</v>
      </c>
      <c r="K10955" t="str">
        <f>"6F6"</f>
        <v>6F6</v>
      </c>
      <c r="L10955" t="s">
        <v>15</v>
      </c>
    </row>
    <row r="10956" spans="1:12" x14ac:dyDescent="0.25">
      <c r="A10956" t="str">
        <f>"7962075396"</f>
        <v>7962075396</v>
      </c>
      <c r="B10956" t="str">
        <f t="shared" si="450"/>
        <v>89301000</v>
      </c>
      <c r="C10956" s="1">
        <v>44539</v>
      </c>
      <c r="D10956" s="1">
        <v>44550</v>
      </c>
      <c r="E10956">
        <v>1</v>
      </c>
      <c r="F10956" t="s">
        <v>2026</v>
      </c>
      <c r="G10956" t="str">
        <f>"08-K08-00"</f>
        <v>08-K08-00</v>
      </c>
      <c r="H10956">
        <v>0.51670000000000005</v>
      </c>
      <c r="I10956" t="s">
        <v>489</v>
      </c>
      <c r="J10956" t="s">
        <v>14</v>
      </c>
      <c r="K10956" t="str">
        <f>"2F9"</f>
        <v>2F9</v>
      </c>
      <c r="L10956" t="s">
        <v>15</v>
      </c>
    </row>
    <row r="10957" spans="1:12" x14ac:dyDescent="0.25">
      <c r="A10957" t="str">
        <f>"7962144487"</f>
        <v>7962144487</v>
      </c>
      <c r="B10957" t="str">
        <f t="shared" si="450"/>
        <v>89301000</v>
      </c>
      <c r="C10957" s="1">
        <v>44286</v>
      </c>
      <c r="D10957" s="1">
        <v>44292</v>
      </c>
      <c r="E10957">
        <v>1</v>
      </c>
      <c r="F10957" t="s">
        <v>98</v>
      </c>
      <c r="G10957" t="str">
        <f>"19-K03-03"</f>
        <v>19-K03-03</v>
      </c>
      <c r="H10957">
        <v>0.93169999999999997</v>
      </c>
      <c r="I10957" t="s">
        <v>7310</v>
      </c>
      <c r="J10957" t="s">
        <v>27</v>
      </c>
      <c r="K10957" t="str">
        <f>"3F5"</f>
        <v>3F5</v>
      </c>
      <c r="L10957" t="s">
        <v>15</v>
      </c>
    </row>
    <row r="10958" spans="1:12" x14ac:dyDescent="0.25">
      <c r="A10958" t="str">
        <f>"7962145686"</f>
        <v>7962145686</v>
      </c>
      <c r="B10958" t="str">
        <f t="shared" si="450"/>
        <v>89301000</v>
      </c>
      <c r="C10958" s="1">
        <v>44320</v>
      </c>
      <c r="D10958" s="1">
        <v>44324</v>
      </c>
      <c r="E10958">
        <v>1</v>
      </c>
      <c r="F10958" t="s">
        <v>43</v>
      </c>
      <c r="G10958" t="str">
        <f>"06-I18-05"</f>
        <v>06-I18-05</v>
      </c>
      <c r="H10958">
        <v>0.85550000000000004</v>
      </c>
      <c r="J10958" t="s">
        <v>24</v>
      </c>
      <c r="K10958" t="str">
        <f>"5F1"</f>
        <v>5F1</v>
      </c>
      <c r="L10958" t="s">
        <v>15</v>
      </c>
    </row>
    <row r="10959" spans="1:12" x14ac:dyDescent="0.25">
      <c r="A10959" t="str">
        <f>"7962275321"</f>
        <v>7962275321</v>
      </c>
      <c r="B10959" t="str">
        <f t="shared" si="450"/>
        <v>89301000</v>
      </c>
      <c r="C10959" s="1">
        <v>44304</v>
      </c>
      <c r="D10959" s="1">
        <v>44308</v>
      </c>
      <c r="E10959">
        <v>1</v>
      </c>
      <c r="F10959" t="s">
        <v>23</v>
      </c>
      <c r="G10959" t="str">
        <f>"06-I18-05"</f>
        <v>06-I18-05</v>
      </c>
      <c r="H10959">
        <v>0.85550000000000004</v>
      </c>
      <c r="I10959" t="s">
        <v>348</v>
      </c>
      <c r="J10959" t="s">
        <v>24</v>
      </c>
      <c r="K10959" t="str">
        <f>"5F1"</f>
        <v>5F1</v>
      </c>
      <c r="L10959" t="s">
        <v>15</v>
      </c>
    </row>
    <row r="10960" spans="1:12" x14ac:dyDescent="0.25">
      <c r="A10960" t="str">
        <f>"7962314470"</f>
        <v>7962314470</v>
      </c>
      <c r="B10960" t="str">
        <f t="shared" si="450"/>
        <v>89301000</v>
      </c>
      <c r="C10960" s="1">
        <v>44277</v>
      </c>
      <c r="D10960" s="1">
        <v>44278</v>
      </c>
      <c r="E10960">
        <v>1</v>
      </c>
      <c r="F10960" t="s">
        <v>41</v>
      </c>
      <c r="G10960" t="str">
        <f>"01-D01-03"</f>
        <v>01-D01-03</v>
      </c>
      <c r="H10960">
        <v>0.158</v>
      </c>
      <c r="I10960" t="s">
        <v>7311</v>
      </c>
      <c r="J10960" t="s">
        <v>14</v>
      </c>
      <c r="K10960" t="str">
        <f>"2F5"</f>
        <v>2F5</v>
      </c>
      <c r="L10960" t="s">
        <v>15</v>
      </c>
    </row>
    <row r="10961" spans="1:12" x14ac:dyDescent="0.25">
      <c r="A10961" t="str">
        <f>"8001015759"</f>
        <v>8001015759</v>
      </c>
      <c r="B10961" t="str">
        <f t="shared" si="450"/>
        <v>89301000</v>
      </c>
      <c r="C10961" s="1">
        <v>44203</v>
      </c>
      <c r="D10961" s="1">
        <v>44205</v>
      </c>
      <c r="E10961">
        <v>1</v>
      </c>
      <c r="F10961" t="s">
        <v>7312</v>
      </c>
      <c r="G10961" t="str">
        <f>"02-I09-03"</f>
        <v>02-I09-03</v>
      </c>
      <c r="H10961">
        <v>0.92979999999999996</v>
      </c>
      <c r="I10961" t="s">
        <v>1959</v>
      </c>
      <c r="J10961" t="s">
        <v>14</v>
      </c>
      <c r="K10961" t="str">
        <f>"7F5"</f>
        <v>7F5</v>
      </c>
      <c r="L10961" t="s">
        <v>15</v>
      </c>
    </row>
    <row r="10962" spans="1:12" x14ac:dyDescent="0.25">
      <c r="A10962" t="str">
        <f>"8001135318"</f>
        <v>8001135318</v>
      </c>
      <c r="B10962" t="str">
        <f t="shared" si="450"/>
        <v>89301000</v>
      </c>
      <c r="C10962" s="1">
        <v>44332</v>
      </c>
      <c r="D10962" s="1">
        <v>44336</v>
      </c>
      <c r="E10962">
        <v>1</v>
      </c>
      <c r="F10962" t="s">
        <v>593</v>
      </c>
      <c r="G10962" t="str">
        <f>"07-I10-06"</f>
        <v>07-I10-06</v>
      </c>
      <c r="H10962">
        <v>0.9728</v>
      </c>
      <c r="J10962" t="s">
        <v>17</v>
      </c>
      <c r="K10962" t="str">
        <f>"5F1"</f>
        <v>5F1</v>
      </c>
      <c r="L10962" t="s">
        <v>15</v>
      </c>
    </row>
    <row r="10963" spans="1:12" x14ac:dyDescent="0.25">
      <c r="A10963" t="str">
        <f>"8001154964"</f>
        <v>8001154964</v>
      </c>
      <c r="B10963" t="str">
        <f t="shared" si="450"/>
        <v>89301000</v>
      </c>
      <c r="C10963" s="1">
        <v>44343</v>
      </c>
      <c r="D10963" s="1">
        <v>44345</v>
      </c>
      <c r="E10963">
        <v>1</v>
      </c>
      <c r="F10963" t="s">
        <v>7313</v>
      </c>
      <c r="G10963" t="str">
        <f>"02-I10-02"</f>
        <v>02-I10-02</v>
      </c>
      <c r="H10963">
        <v>0.61150000000000004</v>
      </c>
      <c r="I10963" t="s">
        <v>7314</v>
      </c>
      <c r="J10963" t="s">
        <v>24</v>
      </c>
      <c r="K10963" t="str">
        <f>"7F1"</f>
        <v>7F1</v>
      </c>
      <c r="L10963" t="s">
        <v>15</v>
      </c>
    </row>
    <row r="10964" spans="1:12" x14ac:dyDescent="0.25">
      <c r="A10964" t="str">
        <f>"8001175369"</f>
        <v>8001175369</v>
      </c>
      <c r="B10964" t="str">
        <f t="shared" si="450"/>
        <v>89301000</v>
      </c>
      <c r="C10964" s="1">
        <v>44297</v>
      </c>
      <c r="D10964" s="1">
        <v>44302</v>
      </c>
      <c r="E10964">
        <v>1</v>
      </c>
      <c r="F10964" t="s">
        <v>1899</v>
      </c>
      <c r="G10964" t="str">
        <f>"08-K08-00"</f>
        <v>08-K08-00</v>
      </c>
      <c r="H10964">
        <v>0.51670000000000005</v>
      </c>
      <c r="I10964" t="s">
        <v>7315</v>
      </c>
      <c r="J10964" t="s">
        <v>14</v>
      </c>
      <c r="K10964" t="str">
        <f>"2F9"</f>
        <v>2F9</v>
      </c>
      <c r="L10964" t="s">
        <v>15</v>
      </c>
    </row>
    <row r="10965" spans="1:12" x14ac:dyDescent="0.25">
      <c r="A10965" t="str">
        <f>"8003065532"</f>
        <v>8003065532</v>
      </c>
      <c r="B10965" t="str">
        <f t="shared" si="450"/>
        <v>89301000</v>
      </c>
      <c r="C10965" s="1">
        <v>44385</v>
      </c>
      <c r="D10965" s="1">
        <v>44393</v>
      </c>
      <c r="E10965">
        <v>1</v>
      </c>
      <c r="F10965" t="s">
        <v>148</v>
      </c>
      <c r="G10965" t="str">
        <f>"04-K11-01"</f>
        <v>04-K11-01</v>
      </c>
      <c r="H10965">
        <v>1.8947000000000001</v>
      </c>
      <c r="I10965" t="s">
        <v>7316</v>
      </c>
      <c r="J10965" t="s">
        <v>14</v>
      </c>
      <c r="K10965" t="str">
        <f>"2F5"</f>
        <v>2F5</v>
      </c>
      <c r="L10965" t="s">
        <v>15</v>
      </c>
    </row>
    <row r="10966" spans="1:12" x14ac:dyDescent="0.25">
      <c r="A10966" t="str">
        <f>"8003065532"</f>
        <v>8003065532</v>
      </c>
      <c r="B10966" t="str">
        <f t="shared" si="450"/>
        <v>89301000</v>
      </c>
      <c r="C10966" s="1">
        <v>44362</v>
      </c>
      <c r="D10966" s="1">
        <v>44378</v>
      </c>
      <c r="E10966">
        <v>1</v>
      </c>
      <c r="F10966" t="s">
        <v>109</v>
      </c>
      <c r="G10966" t="str">
        <f>"24-M07-02"</f>
        <v>24-M07-02</v>
      </c>
      <c r="H10966">
        <v>1.5094000000000001</v>
      </c>
      <c r="I10966" t="s">
        <v>7317</v>
      </c>
      <c r="J10966" t="s">
        <v>14</v>
      </c>
      <c r="K10966" t="str">
        <f>"2F1"</f>
        <v>2F1</v>
      </c>
      <c r="L10966" t="s">
        <v>15</v>
      </c>
    </row>
    <row r="10967" spans="1:12" x14ac:dyDescent="0.25">
      <c r="A10967" t="str">
        <f>"8003065532"</f>
        <v>8003065532</v>
      </c>
      <c r="B10967" t="str">
        <f t="shared" si="450"/>
        <v>89301000</v>
      </c>
      <c r="C10967" s="1">
        <v>44348</v>
      </c>
      <c r="D10967" s="1">
        <v>44362</v>
      </c>
      <c r="E10967">
        <v>3</v>
      </c>
      <c r="F10967" t="s">
        <v>7318</v>
      </c>
      <c r="G10967" t="str">
        <f>"04-K11-01"</f>
        <v>04-K11-01</v>
      </c>
      <c r="H10967">
        <v>1.8947000000000001</v>
      </c>
      <c r="I10967" t="s">
        <v>7319</v>
      </c>
      <c r="J10967" t="s">
        <v>14</v>
      </c>
      <c r="K10967" t="str">
        <f>"2F5"</f>
        <v>2F5</v>
      </c>
      <c r="L10967" t="s">
        <v>15</v>
      </c>
    </row>
    <row r="10968" spans="1:12" x14ac:dyDescent="0.25">
      <c r="A10968" t="str">
        <f>"8003225318"</f>
        <v>8003225318</v>
      </c>
      <c r="B10968" t="str">
        <f t="shared" si="450"/>
        <v>89301000</v>
      </c>
      <c r="C10968" s="1">
        <v>44504</v>
      </c>
      <c r="D10968" s="1">
        <v>44505</v>
      </c>
      <c r="E10968">
        <v>1</v>
      </c>
      <c r="F10968" t="s">
        <v>41</v>
      </c>
      <c r="G10968" t="str">
        <f>"01-D01-03"</f>
        <v>01-D01-03</v>
      </c>
      <c r="H10968">
        <v>0.158</v>
      </c>
      <c r="I10968" t="s">
        <v>2478</v>
      </c>
      <c r="J10968" t="s">
        <v>14</v>
      </c>
      <c r="K10968" t="str">
        <f>"2F5"</f>
        <v>2F5</v>
      </c>
      <c r="L10968" t="s">
        <v>15</v>
      </c>
    </row>
    <row r="10969" spans="1:12" x14ac:dyDescent="0.25">
      <c r="A10969" t="str">
        <f>"8003244458"</f>
        <v>8003244458</v>
      </c>
      <c r="B10969" t="str">
        <f t="shared" si="450"/>
        <v>89301000</v>
      </c>
      <c r="C10969" s="1">
        <v>44293</v>
      </c>
      <c r="D10969" s="1">
        <v>44296</v>
      </c>
      <c r="E10969">
        <v>1</v>
      </c>
      <c r="F10969" t="s">
        <v>2311</v>
      </c>
      <c r="G10969" t="str">
        <f>"08-I03-08"</f>
        <v>08-I03-08</v>
      </c>
      <c r="H10969">
        <v>2.0605000000000002</v>
      </c>
      <c r="I10969" t="s">
        <v>7320</v>
      </c>
      <c r="J10969" t="s">
        <v>17</v>
      </c>
      <c r="K10969" t="str">
        <f>"5F6"</f>
        <v>5F6</v>
      </c>
      <c r="L10969" t="s">
        <v>15</v>
      </c>
    </row>
    <row r="10970" spans="1:12" x14ac:dyDescent="0.25">
      <c r="A10970" t="str">
        <f>"8003275302"</f>
        <v>8003275302</v>
      </c>
      <c r="B10970" t="str">
        <f t="shared" si="450"/>
        <v>89301000</v>
      </c>
      <c r="C10970" s="1">
        <v>44537</v>
      </c>
      <c r="D10970" s="1">
        <v>44543</v>
      </c>
      <c r="E10970">
        <v>1</v>
      </c>
      <c r="F10970" t="s">
        <v>1565</v>
      </c>
      <c r="G10970" t="str">
        <f>"01-I06-04"</f>
        <v>01-I06-04</v>
      </c>
      <c r="H10970">
        <v>3.6231</v>
      </c>
      <c r="J10970" t="s">
        <v>17</v>
      </c>
      <c r="K10970" t="str">
        <f>"5F6"</f>
        <v>5F6</v>
      </c>
      <c r="L10970" t="s">
        <v>15</v>
      </c>
    </row>
    <row r="10971" spans="1:12" x14ac:dyDescent="0.25">
      <c r="A10971" t="str">
        <f>"8003305365"</f>
        <v>8003305365</v>
      </c>
      <c r="B10971" t="str">
        <f t="shared" si="450"/>
        <v>89301000</v>
      </c>
      <c r="C10971" s="1">
        <v>44313</v>
      </c>
      <c r="D10971" s="1">
        <v>44321</v>
      </c>
      <c r="E10971">
        <v>1</v>
      </c>
      <c r="F10971" t="s">
        <v>217</v>
      </c>
      <c r="G10971" t="str">
        <f>"04-K02-03"</f>
        <v>04-K02-03</v>
      </c>
      <c r="H10971">
        <v>1.2859</v>
      </c>
      <c r="I10971" t="s">
        <v>7321</v>
      </c>
      <c r="J10971" t="s">
        <v>14</v>
      </c>
      <c r="K10971" t="str">
        <f>"1F1"</f>
        <v>1F1</v>
      </c>
      <c r="L10971" t="s">
        <v>15</v>
      </c>
    </row>
    <row r="10972" spans="1:12" x14ac:dyDescent="0.25">
      <c r="A10972" t="str">
        <f>"8004045753"</f>
        <v>8004045753</v>
      </c>
      <c r="B10972" t="str">
        <f t="shared" si="450"/>
        <v>89301000</v>
      </c>
      <c r="C10972" s="1">
        <v>44419</v>
      </c>
      <c r="D10972" s="1">
        <v>44420</v>
      </c>
      <c r="E10972">
        <v>1</v>
      </c>
      <c r="F10972" t="s">
        <v>4491</v>
      </c>
      <c r="G10972" t="str">
        <f>"01-K01-02"</f>
        <v>01-K01-02</v>
      </c>
      <c r="H10972">
        <v>0.50700000000000001</v>
      </c>
      <c r="J10972" t="s">
        <v>14</v>
      </c>
      <c r="K10972" t="str">
        <f>"2F9"</f>
        <v>2F9</v>
      </c>
      <c r="L10972" t="s">
        <v>15</v>
      </c>
    </row>
    <row r="10973" spans="1:12" x14ac:dyDescent="0.25">
      <c r="A10973" t="str">
        <f>"8004045753"</f>
        <v>8004045753</v>
      </c>
      <c r="B10973" t="str">
        <f t="shared" si="450"/>
        <v>89301000</v>
      </c>
      <c r="C10973" s="1">
        <v>44433</v>
      </c>
      <c r="D10973" s="1">
        <v>44434</v>
      </c>
      <c r="E10973">
        <v>1</v>
      </c>
      <c r="F10973" t="s">
        <v>4491</v>
      </c>
      <c r="G10973" t="str">
        <f>"01-K01-02"</f>
        <v>01-K01-02</v>
      </c>
      <c r="H10973">
        <v>0.50700000000000001</v>
      </c>
      <c r="J10973" t="s">
        <v>14</v>
      </c>
      <c r="K10973" t="str">
        <f>"2F9"</f>
        <v>2F9</v>
      </c>
      <c r="L10973" t="s">
        <v>15</v>
      </c>
    </row>
    <row r="10974" spans="1:12" x14ac:dyDescent="0.25">
      <c r="A10974" t="str">
        <f>"8004105758"</f>
        <v>8004105758</v>
      </c>
      <c r="B10974" t="str">
        <f t="shared" si="450"/>
        <v>89301000</v>
      </c>
      <c r="C10974" s="1">
        <v>44481</v>
      </c>
      <c r="D10974" s="1">
        <v>44483</v>
      </c>
      <c r="E10974">
        <v>1</v>
      </c>
      <c r="F10974" t="s">
        <v>2698</v>
      </c>
      <c r="G10974" t="str">
        <f>"01-K15-00"</f>
        <v>01-K15-00</v>
      </c>
      <c r="H10974">
        <v>0.66039999999999999</v>
      </c>
      <c r="J10974" t="s">
        <v>14</v>
      </c>
      <c r="K10974" t="str">
        <f>"5F6"</f>
        <v>5F6</v>
      </c>
      <c r="L10974" t="s">
        <v>15</v>
      </c>
    </row>
    <row r="10975" spans="1:12" x14ac:dyDescent="0.25">
      <c r="A10975" t="str">
        <f>"8004155302"</f>
        <v>8004155302</v>
      </c>
      <c r="B10975" t="str">
        <f t="shared" si="450"/>
        <v>89301000</v>
      </c>
      <c r="C10975" s="1">
        <v>44536</v>
      </c>
      <c r="D10975" s="1">
        <v>44540</v>
      </c>
      <c r="E10975">
        <v>1</v>
      </c>
      <c r="F10975" t="s">
        <v>217</v>
      </c>
      <c r="G10975" t="str">
        <f>"04-K02-04"</f>
        <v>04-K02-04</v>
      </c>
      <c r="H10975">
        <v>0.82469999999999999</v>
      </c>
      <c r="I10975" t="s">
        <v>248</v>
      </c>
      <c r="J10975" t="s">
        <v>14</v>
      </c>
      <c r="K10975" t="str">
        <f>"5F1"</f>
        <v>5F1</v>
      </c>
      <c r="L10975" t="s">
        <v>15</v>
      </c>
    </row>
    <row r="10976" spans="1:12" x14ac:dyDescent="0.25">
      <c r="A10976" t="str">
        <f>"8004205264"</f>
        <v>8004205264</v>
      </c>
      <c r="B10976" t="str">
        <f t="shared" si="450"/>
        <v>89301000</v>
      </c>
      <c r="C10976" s="1">
        <v>44324</v>
      </c>
      <c r="D10976" s="1">
        <v>44324</v>
      </c>
      <c r="E10976">
        <v>7</v>
      </c>
      <c r="F10976" t="s">
        <v>1225</v>
      </c>
      <c r="G10976" t="str">
        <f>"25-I02-02"</f>
        <v>25-I02-02</v>
      </c>
      <c r="H10976">
        <v>1.7632000000000001</v>
      </c>
      <c r="I10976" t="s">
        <v>7322</v>
      </c>
      <c r="J10976" t="s">
        <v>17</v>
      </c>
      <c r="K10976" t="str">
        <f>"5F6"</f>
        <v>5F6</v>
      </c>
      <c r="L10976" t="s">
        <v>15</v>
      </c>
    </row>
    <row r="10977" spans="1:12" x14ac:dyDescent="0.25">
      <c r="A10977" t="str">
        <f>"8004235327"</f>
        <v>8004235327</v>
      </c>
      <c r="B10977" t="str">
        <f t="shared" si="450"/>
        <v>89301000</v>
      </c>
      <c r="C10977" s="1">
        <v>44533</v>
      </c>
      <c r="D10977" s="1">
        <v>44543</v>
      </c>
      <c r="E10977">
        <v>4</v>
      </c>
      <c r="F10977" t="s">
        <v>7323</v>
      </c>
      <c r="G10977" t="str">
        <f>"04-K01-01"</f>
        <v>04-K01-01</v>
      </c>
      <c r="H10977">
        <v>1.6701999999999999</v>
      </c>
      <c r="I10977" t="s">
        <v>7324</v>
      </c>
      <c r="J10977" t="s">
        <v>14</v>
      </c>
      <c r="K10977" t="str">
        <f>"2F5"</f>
        <v>2F5</v>
      </c>
      <c r="L10977" t="s">
        <v>15</v>
      </c>
    </row>
    <row r="10978" spans="1:12" x14ac:dyDescent="0.25">
      <c r="A10978" t="str">
        <f>"8004235327"</f>
        <v>8004235327</v>
      </c>
      <c r="B10978" t="str">
        <f t="shared" ref="B10978:B11041" si="451">"89301000"</f>
        <v>89301000</v>
      </c>
      <c r="C10978" s="1">
        <v>44501</v>
      </c>
      <c r="D10978" s="1">
        <v>44522</v>
      </c>
      <c r="E10978">
        <v>1</v>
      </c>
      <c r="F10978" t="s">
        <v>1762</v>
      </c>
      <c r="G10978" t="str">
        <f>"04-I02-02"</f>
        <v>04-I02-02</v>
      </c>
      <c r="H10978">
        <v>4.8300999999999998</v>
      </c>
      <c r="I10978" t="s">
        <v>7325</v>
      </c>
      <c r="J10978" t="s">
        <v>106</v>
      </c>
      <c r="K10978" t="str">
        <f>"5F1"</f>
        <v>5F1</v>
      </c>
      <c r="L10978" t="s">
        <v>15</v>
      </c>
    </row>
    <row r="10979" spans="1:12" x14ac:dyDescent="0.25">
      <c r="A10979" t="str">
        <f>"8004235327"</f>
        <v>8004235327</v>
      </c>
      <c r="B10979" t="str">
        <f t="shared" si="451"/>
        <v>89301000</v>
      </c>
      <c r="C10979" s="1">
        <v>44441</v>
      </c>
      <c r="D10979" s="1">
        <v>44442</v>
      </c>
      <c r="E10979">
        <v>1</v>
      </c>
      <c r="F10979" t="s">
        <v>1679</v>
      </c>
      <c r="G10979" t="str">
        <f>"11-I17-03"</f>
        <v>11-I17-03</v>
      </c>
      <c r="H10979">
        <v>0.50609999999999999</v>
      </c>
      <c r="J10979" t="s">
        <v>14</v>
      </c>
      <c r="K10979" t="str">
        <f>"7F6"</f>
        <v>7F6</v>
      </c>
      <c r="L10979" t="s">
        <v>15</v>
      </c>
    </row>
    <row r="10980" spans="1:12" x14ac:dyDescent="0.25">
      <c r="A10980" t="str">
        <f>"8004265368"</f>
        <v>8004265368</v>
      </c>
      <c r="B10980" t="str">
        <f t="shared" si="451"/>
        <v>89301000</v>
      </c>
      <c r="C10980" s="1">
        <v>44342</v>
      </c>
      <c r="D10980" s="1">
        <v>44345</v>
      </c>
      <c r="E10980">
        <v>1</v>
      </c>
      <c r="F10980" t="s">
        <v>6634</v>
      </c>
      <c r="G10980" t="str">
        <f>"08-I16-04"</f>
        <v>08-I16-04</v>
      </c>
      <c r="H10980">
        <v>0.92159999999999997</v>
      </c>
      <c r="I10980" t="s">
        <v>30</v>
      </c>
      <c r="J10980" t="s">
        <v>17</v>
      </c>
      <c r="K10980" t="str">
        <f>"5F3"</f>
        <v>5F3</v>
      </c>
      <c r="L10980" t="s">
        <v>15</v>
      </c>
    </row>
    <row r="10981" spans="1:12" x14ac:dyDescent="0.25">
      <c r="A10981" t="str">
        <f>"8004273497"</f>
        <v>8004273497</v>
      </c>
      <c r="B10981" t="str">
        <f t="shared" si="451"/>
        <v>89301000</v>
      </c>
      <c r="C10981" s="1">
        <v>44411</v>
      </c>
      <c r="D10981" s="1">
        <v>44412</v>
      </c>
      <c r="E10981">
        <v>1</v>
      </c>
      <c r="F10981" t="s">
        <v>2457</v>
      </c>
      <c r="G10981" t="str">
        <f>"05-D01-08"</f>
        <v>05-D01-08</v>
      </c>
      <c r="H10981">
        <v>0.4093</v>
      </c>
      <c r="I10981" t="s">
        <v>489</v>
      </c>
      <c r="J10981" t="s">
        <v>14</v>
      </c>
      <c r="K10981" t="str">
        <f>"1F1"</f>
        <v>1F1</v>
      </c>
      <c r="L10981" t="s">
        <v>15</v>
      </c>
    </row>
    <row r="10982" spans="1:12" x14ac:dyDescent="0.25">
      <c r="A10982" t="str">
        <f>"8005115789"</f>
        <v>8005115789</v>
      </c>
      <c r="B10982" t="str">
        <f t="shared" si="451"/>
        <v>89301000</v>
      </c>
      <c r="C10982" s="1">
        <v>44480</v>
      </c>
      <c r="D10982" s="1">
        <v>44488</v>
      </c>
      <c r="E10982">
        <v>1</v>
      </c>
      <c r="F10982" t="s">
        <v>566</v>
      </c>
      <c r="G10982" t="str">
        <f>"06-I13-02"</f>
        <v>06-I13-02</v>
      </c>
      <c r="H10982">
        <v>2.0766</v>
      </c>
      <c r="I10982" t="s">
        <v>5564</v>
      </c>
      <c r="J10982" t="s">
        <v>14</v>
      </c>
      <c r="K10982" t="str">
        <f>"5F1"</f>
        <v>5F1</v>
      </c>
      <c r="L10982" t="s">
        <v>15</v>
      </c>
    </row>
    <row r="10983" spans="1:12" x14ac:dyDescent="0.25">
      <c r="A10983" t="str">
        <f>"8005254455"</f>
        <v>8005254455</v>
      </c>
      <c r="B10983" t="str">
        <f t="shared" si="451"/>
        <v>89301000</v>
      </c>
      <c r="C10983" s="1">
        <v>44428</v>
      </c>
      <c r="D10983" s="1">
        <v>44440</v>
      </c>
      <c r="E10983">
        <v>5</v>
      </c>
      <c r="F10983" t="s">
        <v>1558</v>
      </c>
      <c r="G10983" t="str">
        <f>"05-I12-01"</f>
        <v>05-I12-01</v>
      </c>
      <c r="H10983">
        <v>8.7683</v>
      </c>
      <c r="I10983" t="s">
        <v>821</v>
      </c>
      <c r="J10983" t="s">
        <v>17</v>
      </c>
      <c r="K10983" t="str">
        <f>"5F5"</f>
        <v>5F5</v>
      </c>
      <c r="L10983" t="s">
        <v>15</v>
      </c>
    </row>
    <row r="10984" spans="1:12" x14ac:dyDescent="0.25">
      <c r="A10984" t="str">
        <f>"8007125302"</f>
        <v>8007125302</v>
      </c>
      <c r="B10984" t="str">
        <f t="shared" si="451"/>
        <v>89301000</v>
      </c>
      <c r="C10984" s="1">
        <v>44497</v>
      </c>
      <c r="D10984" s="1">
        <v>44502</v>
      </c>
      <c r="E10984">
        <v>1</v>
      </c>
      <c r="F10984" t="s">
        <v>43</v>
      </c>
      <c r="G10984" t="str">
        <f>"06-I18-03"</f>
        <v>06-I18-03</v>
      </c>
      <c r="H10984">
        <v>1.4075</v>
      </c>
      <c r="I10984" t="s">
        <v>23</v>
      </c>
      <c r="J10984" t="s">
        <v>24</v>
      </c>
      <c r="K10984" t="str">
        <f>"5F1"</f>
        <v>5F1</v>
      </c>
      <c r="L10984" t="s">
        <v>15</v>
      </c>
    </row>
    <row r="10985" spans="1:12" x14ac:dyDescent="0.25">
      <c r="A10985" t="str">
        <f>"8008174471"</f>
        <v>8008174471</v>
      </c>
      <c r="B10985" t="str">
        <f t="shared" si="451"/>
        <v>89301000</v>
      </c>
      <c r="C10985" s="1">
        <v>44418</v>
      </c>
      <c r="D10985" s="1">
        <v>44419</v>
      </c>
      <c r="E10985">
        <v>1</v>
      </c>
      <c r="F10985" t="s">
        <v>41</v>
      </c>
      <c r="G10985" t="str">
        <f>"01-D01-03"</f>
        <v>01-D01-03</v>
      </c>
      <c r="H10985">
        <v>0.158</v>
      </c>
      <c r="J10985" t="s">
        <v>14</v>
      </c>
      <c r="K10985" t="str">
        <f>"2F5"</f>
        <v>2F5</v>
      </c>
      <c r="L10985" t="s">
        <v>15</v>
      </c>
    </row>
    <row r="10986" spans="1:12" x14ac:dyDescent="0.25">
      <c r="A10986" t="str">
        <f>"8008220440"</f>
        <v>8008220440</v>
      </c>
      <c r="B10986" t="str">
        <f t="shared" si="451"/>
        <v>89301000</v>
      </c>
      <c r="C10986" s="1">
        <v>44204</v>
      </c>
      <c r="D10986" s="1">
        <v>44207</v>
      </c>
      <c r="E10986">
        <v>1</v>
      </c>
      <c r="F10986" t="s">
        <v>41</v>
      </c>
      <c r="G10986" t="str">
        <f>"01-D01-03"</f>
        <v>01-D01-03</v>
      </c>
      <c r="H10986">
        <v>0.2054</v>
      </c>
      <c r="I10986" t="s">
        <v>2119</v>
      </c>
      <c r="J10986" t="s">
        <v>14</v>
      </c>
      <c r="K10986" t="str">
        <f>"2F5"</f>
        <v>2F5</v>
      </c>
      <c r="L10986" t="s">
        <v>15</v>
      </c>
    </row>
    <row r="10987" spans="1:12" x14ac:dyDescent="0.25">
      <c r="A10987" t="str">
        <f>"8009034880"</f>
        <v>8009034880</v>
      </c>
      <c r="B10987" t="str">
        <f t="shared" si="451"/>
        <v>89301000</v>
      </c>
      <c r="C10987" s="1">
        <v>44316</v>
      </c>
      <c r="D10987" s="1">
        <v>44329</v>
      </c>
      <c r="E10987">
        <v>1</v>
      </c>
      <c r="F10987" t="s">
        <v>1953</v>
      </c>
      <c r="G10987" t="str">
        <f>"07-K07-01"</f>
        <v>07-K07-01</v>
      </c>
      <c r="H10987">
        <v>1.0750999999999999</v>
      </c>
      <c r="I10987" t="s">
        <v>7326</v>
      </c>
      <c r="J10987" t="s">
        <v>14</v>
      </c>
      <c r="K10987" t="str">
        <f>"4F2"</f>
        <v>4F2</v>
      </c>
      <c r="L10987" t="s">
        <v>15</v>
      </c>
    </row>
    <row r="10988" spans="1:12" x14ac:dyDescent="0.25">
      <c r="A10988" t="str">
        <f>"8009034880"</f>
        <v>8009034880</v>
      </c>
      <c r="B10988" t="str">
        <f t="shared" si="451"/>
        <v>89301000</v>
      </c>
      <c r="C10988" s="1">
        <v>44364</v>
      </c>
      <c r="D10988" s="1">
        <v>44368</v>
      </c>
      <c r="E10988">
        <v>1</v>
      </c>
      <c r="F10988" t="s">
        <v>1953</v>
      </c>
      <c r="G10988" t="str">
        <f>"07-K07-01"</f>
        <v>07-K07-01</v>
      </c>
      <c r="H10988">
        <v>1.0750999999999999</v>
      </c>
      <c r="I10988" t="s">
        <v>7327</v>
      </c>
      <c r="J10988" t="s">
        <v>14</v>
      </c>
      <c r="K10988" t="str">
        <f>"4F2"</f>
        <v>4F2</v>
      </c>
      <c r="L10988" t="s">
        <v>15</v>
      </c>
    </row>
    <row r="10989" spans="1:12" x14ac:dyDescent="0.25">
      <c r="A10989" t="str">
        <f>"8009034880"</f>
        <v>8009034880</v>
      </c>
      <c r="B10989" t="str">
        <f t="shared" si="451"/>
        <v>89301000</v>
      </c>
      <c r="C10989" s="1">
        <v>44383</v>
      </c>
      <c r="D10989" s="1">
        <v>44405</v>
      </c>
      <c r="E10989">
        <v>1</v>
      </c>
      <c r="F10989" t="s">
        <v>1953</v>
      </c>
      <c r="G10989" t="str">
        <f>"07-M02-02"</f>
        <v>07-M02-02</v>
      </c>
      <c r="H10989">
        <v>2.1716000000000002</v>
      </c>
      <c r="I10989" t="s">
        <v>7328</v>
      </c>
      <c r="J10989" t="s">
        <v>17</v>
      </c>
      <c r="K10989" t="str">
        <f>"4F2"</f>
        <v>4F2</v>
      </c>
      <c r="L10989" t="s">
        <v>15</v>
      </c>
    </row>
    <row r="10990" spans="1:12" x14ac:dyDescent="0.25">
      <c r="A10990" t="str">
        <f>"8009034880"</f>
        <v>8009034880</v>
      </c>
      <c r="B10990" t="str">
        <f t="shared" si="451"/>
        <v>89301000</v>
      </c>
      <c r="C10990" s="1">
        <v>44412</v>
      </c>
      <c r="D10990" s="1">
        <v>44414</v>
      </c>
      <c r="E10990">
        <v>1</v>
      </c>
      <c r="F10990" t="s">
        <v>1953</v>
      </c>
      <c r="G10990" t="str">
        <f>"07-K07-01"</f>
        <v>07-K07-01</v>
      </c>
      <c r="H10990">
        <v>1.0750999999999999</v>
      </c>
      <c r="I10990" t="s">
        <v>7329</v>
      </c>
      <c r="J10990" t="s">
        <v>14</v>
      </c>
      <c r="K10990" t="str">
        <f>"4F2"</f>
        <v>4F2</v>
      </c>
      <c r="L10990" t="s">
        <v>15</v>
      </c>
    </row>
    <row r="10991" spans="1:12" x14ac:dyDescent="0.25">
      <c r="A10991" t="str">
        <f>"8009034880"</f>
        <v>8009034880</v>
      </c>
      <c r="B10991" t="str">
        <f t="shared" si="451"/>
        <v>89301000</v>
      </c>
      <c r="C10991" s="1">
        <v>44454</v>
      </c>
      <c r="D10991" s="1">
        <v>44455</v>
      </c>
      <c r="E10991">
        <v>4</v>
      </c>
      <c r="F10991" t="s">
        <v>1953</v>
      </c>
      <c r="G10991" t="str">
        <f>"07-K07-01"</f>
        <v>07-K07-01</v>
      </c>
      <c r="H10991">
        <v>0.73929999999999996</v>
      </c>
      <c r="I10991" t="s">
        <v>7330</v>
      </c>
      <c r="J10991" t="s">
        <v>14</v>
      </c>
      <c r="K10991" t="str">
        <f>"4F2"</f>
        <v>4F2</v>
      </c>
      <c r="L10991" t="s">
        <v>15</v>
      </c>
    </row>
    <row r="10992" spans="1:12" x14ac:dyDescent="0.25">
      <c r="A10992" t="str">
        <f>"8009055340"</f>
        <v>8009055340</v>
      </c>
      <c r="B10992" t="str">
        <f t="shared" si="451"/>
        <v>89301000</v>
      </c>
      <c r="C10992" s="1">
        <v>44377</v>
      </c>
      <c r="D10992" s="1">
        <v>44378</v>
      </c>
      <c r="E10992">
        <v>1</v>
      </c>
      <c r="F10992" t="s">
        <v>6379</v>
      </c>
      <c r="G10992" t="str">
        <f>"07-M02-04"</f>
        <v>07-M02-04</v>
      </c>
      <c r="H10992">
        <v>0.7944</v>
      </c>
      <c r="I10992" t="s">
        <v>7158</v>
      </c>
      <c r="J10992" t="s">
        <v>17</v>
      </c>
      <c r="K10992" t="str">
        <f>"1F5"</f>
        <v>1F5</v>
      </c>
      <c r="L10992" t="s">
        <v>15</v>
      </c>
    </row>
    <row r="10993" spans="1:12" x14ac:dyDescent="0.25">
      <c r="A10993" t="str">
        <f>"8009055340"</f>
        <v>8009055340</v>
      </c>
      <c r="B10993" t="str">
        <f t="shared" si="451"/>
        <v>89301000</v>
      </c>
      <c r="C10993" s="1">
        <v>44454</v>
      </c>
      <c r="D10993" s="1">
        <v>44463</v>
      </c>
      <c r="E10993">
        <v>1</v>
      </c>
      <c r="F10993" t="s">
        <v>6379</v>
      </c>
      <c r="G10993" t="str">
        <f>"07-M02-04"</f>
        <v>07-M02-04</v>
      </c>
      <c r="H10993">
        <v>0.77749999999999997</v>
      </c>
      <c r="I10993" t="s">
        <v>7331</v>
      </c>
      <c r="J10993" t="s">
        <v>17</v>
      </c>
      <c r="K10993" t="str">
        <f>"1F5"</f>
        <v>1F5</v>
      </c>
      <c r="L10993" t="s">
        <v>15</v>
      </c>
    </row>
    <row r="10994" spans="1:12" x14ac:dyDescent="0.25">
      <c r="A10994" t="str">
        <f>"8009055340"</f>
        <v>8009055340</v>
      </c>
      <c r="B10994" t="str">
        <f t="shared" si="451"/>
        <v>89301000</v>
      </c>
      <c r="C10994" s="1">
        <v>44268</v>
      </c>
      <c r="D10994" s="1">
        <v>44281</v>
      </c>
      <c r="E10994">
        <v>6</v>
      </c>
      <c r="F10994" t="s">
        <v>6379</v>
      </c>
      <c r="G10994" t="str">
        <f>"07-M02-04"</f>
        <v>07-M02-04</v>
      </c>
      <c r="H10994">
        <v>0.95389999999999997</v>
      </c>
      <c r="I10994" t="s">
        <v>7332</v>
      </c>
      <c r="J10994" t="s">
        <v>17</v>
      </c>
      <c r="K10994" t="str">
        <f>"1F1"</f>
        <v>1F1</v>
      </c>
      <c r="L10994" t="s">
        <v>15</v>
      </c>
    </row>
    <row r="10995" spans="1:12" x14ac:dyDescent="0.25">
      <c r="A10995" t="str">
        <f>"8009055340"</f>
        <v>8009055340</v>
      </c>
      <c r="B10995" t="str">
        <f t="shared" si="451"/>
        <v>89301000</v>
      </c>
      <c r="C10995" s="1">
        <v>44536</v>
      </c>
      <c r="D10995" s="1">
        <v>44537</v>
      </c>
      <c r="E10995">
        <v>1</v>
      </c>
      <c r="F10995" t="s">
        <v>6379</v>
      </c>
      <c r="G10995" t="str">
        <f>"07-M02-04"</f>
        <v>07-M02-04</v>
      </c>
      <c r="H10995">
        <v>0.80269999999999997</v>
      </c>
      <c r="I10995" t="s">
        <v>3659</v>
      </c>
      <c r="J10995" t="s">
        <v>17</v>
      </c>
      <c r="K10995" t="str">
        <f>"1F1"</f>
        <v>1F1</v>
      </c>
      <c r="L10995" t="s">
        <v>15</v>
      </c>
    </row>
    <row r="10996" spans="1:12" x14ac:dyDescent="0.25">
      <c r="A10996" t="str">
        <f>"8009055340"</f>
        <v>8009055340</v>
      </c>
      <c r="B10996" t="str">
        <f t="shared" si="451"/>
        <v>89301000</v>
      </c>
      <c r="C10996" s="1">
        <v>44440</v>
      </c>
      <c r="D10996" s="1">
        <v>44449</v>
      </c>
      <c r="E10996">
        <v>1</v>
      </c>
      <c r="F10996" t="s">
        <v>6379</v>
      </c>
      <c r="G10996" t="str">
        <f>"07-M02-01"</f>
        <v>07-M02-01</v>
      </c>
      <c r="H10996">
        <v>2.5634999999999999</v>
      </c>
      <c r="I10996" t="s">
        <v>3659</v>
      </c>
      <c r="J10996" t="s">
        <v>17</v>
      </c>
      <c r="K10996" t="str">
        <f>"1F5"</f>
        <v>1F5</v>
      </c>
      <c r="L10996" t="s">
        <v>15</v>
      </c>
    </row>
    <row r="10997" spans="1:12" x14ac:dyDescent="0.25">
      <c r="A10997" t="str">
        <f>"8009145705"</f>
        <v>8009145705</v>
      </c>
      <c r="B10997" t="str">
        <f t="shared" si="451"/>
        <v>89301000</v>
      </c>
      <c r="C10997" s="1">
        <v>44392</v>
      </c>
      <c r="D10997" s="1">
        <v>44398</v>
      </c>
      <c r="E10997">
        <v>1</v>
      </c>
      <c r="F10997" t="s">
        <v>132</v>
      </c>
      <c r="G10997" t="str">
        <f>"03-I19-02"</f>
        <v>03-I19-02</v>
      </c>
      <c r="H10997">
        <v>0.88829999999999998</v>
      </c>
      <c r="I10997" t="s">
        <v>7333</v>
      </c>
      <c r="J10997" t="s">
        <v>14</v>
      </c>
      <c r="K10997" t="str">
        <f>"6F5"</f>
        <v>6F5</v>
      </c>
      <c r="L10997" t="s">
        <v>15</v>
      </c>
    </row>
    <row r="10998" spans="1:12" x14ac:dyDescent="0.25">
      <c r="A10998" t="str">
        <f>"8009225334"</f>
        <v>8009225334</v>
      </c>
      <c r="B10998" t="str">
        <f t="shared" si="451"/>
        <v>89301000</v>
      </c>
      <c r="C10998" s="1">
        <v>44203</v>
      </c>
      <c r="D10998" s="1">
        <v>44205</v>
      </c>
      <c r="E10998">
        <v>1</v>
      </c>
      <c r="F10998" t="s">
        <v>3577</v>
      </c>
      <c r="G10998" t="str">
        <f>"03-I22-03"</f>
        <v>03-I22-03</v>
      </c>
      <c r="H10998">
        <v>0.49049999999999999</v>
      </c>
      <c r="J10998" t="s">
        <v>14</v>
      </c>
      <c r="K10998" t="str">
        <f>"7F1"</f>
        <v>7F1</v>
      </c>
      <c r="L10998" t="s">
        <v>15</v>
      </c>
    </row>
    <row r="10999" spans="1:12" x14ac:dyDescent="0.25">
      <c r="A10999" t="str">
        <f>"8010065327"</f>
        <v>8010065327</v>
      </c>
      <c r="B10999" t="str">
        <f t="shared" si="451"/>
        <v>89301000</v>
      </c>
      <c r="C10999" s="1">
        <v>44333</v>
      </c>
      <c r="D10999" s="1">
        <v>44344</v>
      </c>
      <c r="E10999">
        <v>1</v>
      </c>
      <c r="F10999" t="s">
        <v>6203</v>
      </c>
      <c r="G10999" t="str">
        <f>"06-I06-00"</f>
        <v>06-I06-00</v>
      </c>
      <c r="H10999">
        <v>6.0377999999999998</v>
      </c>
      <c r="I10999" t="s">
        <v>7334</v>
      </c>
      <c r="J10999" t="s">
        <v>17</v>
      </c>
      <c r="K10999" t="str">
        <f>"1F1"</f>
        <v>1F1</v>
      </c>
      <c r="L10999" t="s">
        <v>15</v>
      </c>
    </row>
    <row r="11000" spans="1:12" x14ac:dyDescent="0.25">
      <c r="A11000" t="str">
        <f>"8010065327"</f>
        <v>8010065327</v>
      </c>
      <c r="B11000" t="str">
        <f t="shared" si="451"/>
        <v>89301000</v>
      </c>
      <c r="C11000" s="1">
        <v>44293</v>
      </c>
      <c r="D11000" s="1">
        <v>44294</v>
      </c>
      <c r="E11000">
        <v>1</v>
      </c>
      <c r="F11000" t="s">
        <v>2931</v>
      </c>
      <c r="G11000" t="str">
        <f>"07-K04-03"</f>
        <v>07-K04-03</v>
      </c>
      <c r="H11000">
        <v>0.74419999999999997</v>
      </c>
      <c r="I11000" t="s">
        <v>7335</v>
      </c>
      <c r="J11000" t="s">
        <v>14</v>
      </c>
      <c r="K11000" t="str">
        <f>"1F5"</f>
        <v>1F5</v>
      </c>
      <c r="L11000" t="s">
        <v>15</v>
      </c>
    </row>
    <row r="11001" spans="1:12" x14ac:dyDescent="0.25">
      <c r="A11001" t="str">
        <f>"8010065327"</f>
        <v>8010065327</v>
      </c>
      <c r="B11001" t="str">
        <f t="shared" si="451"/>
        <v>89301000</v>
      </c>
      <c r="C11001" s="1">
        <v>44268</v>
      </c>
      <c r="D11001" s="1">
        <v>44273</v>
      </c>
      <c r="E11001">
        <v>1</v>
      </c>
      <c r="F11001" t="s">
        <v>6203</v>
      </c>
      <c r="G11001" t="str">
        <f>"06-M01-05"</f>
        <v>06-M01-05</v>
      </c>
      <c r="H11001">
        <v>0.56769999999999998</v>
      </c>
      <c r="I11001" t="s">
        <v>7336</v>
      </c>
      <c r="J11001" t="s">
        <v>14</v>
      </c>
      <c r="K11001" t="str">
        <f>"1F5"</f>
        <v>1F5</v>
      </c>
      <c r="L11001" t="s">
        <v>15</v>
      </c>
    </row>
    <row r="11002" spans="1:12" x14ac:dyDescent="0.25">
      <c r="A11002" t="str">
        <f>"8010164668"</f>
        <v>8010164668</v>
      </c>
      <c r="B11002" t="str">
        <f t="shared" si="451"/>
        <v>89301000</v>
      </c>
      <c r="C11002" s="1">
        <v>44339</v>
      </c>
      <c r="D11002" s="1">
        <v>44345</v>
      </c>
      <c r="E11002">
        <v>1</v>
      </c>
      <c r="F11002" t="s">
        <v>2089</v>
      </c>
      <c r="G11002" t="str">
        <f>"08-I03-04"</f>
        <v>08-I03-04</v>
      </c>
      <c r="H11002">
        <v>4.8169000000000004</v>
      </c>
      <c r="J11002" t="s">
        <v>17</v>
      </c>
      <c r="K11002" t="str">
        <f>"5F6"</f>
        <v>5F6</v>
      </c>
      <c r="L11002" t="s">
        <v>15</v>
      </c>
    </row>
    <row r="11003" spans="1:12" x14ac:dyDescent="0.25">
      <c r="A11003" t="str">
        <f>"8010235343"</f>
        <v>8010235343</v>
      </c>
      <c r="B11003" t="str">
        <f t="shared" si="451"/>
        <v>89301000</v>
      </c>
      <c r="C11003" s="1">
        <v>44536</v>
      </c>
      <c r="D11003" s="1">
        <v>44542</v>
      </c>
      <c r="E11003">
        <v>1</v>
      </c>
      <c r="F11003" t="s">
        <v>43</v>
      </c>
      <c r="G11003" t="str">
        <f>"06-I18-05"</f>
        <v>06-I18-05</v>
      </c>
      <c r="H11003">
        <v>0.85550000000000004</v>
      </c>
      <c r="J11003" t="s">
        <v>24</v>
      </c>
      <c r="K11003" t="str">
        <f>"5F1"</f>
        <v>5F1</v>
      </c>
      <c r="L11003" t="s">
        <v>15</v>
      </c>
    </row>
    <row r="11004" spans="1:12" x14ac:dyDescent="0.25">
      <c r="A11004" t="str">
        <f>"8010255792"</f>
        <v>8010255792</v>
      </c>
      <c r="B11004" t="str">
        <f t="shared" si="451"/>
        <v>89301000</v>
      </c>
      <c r="C11004" s="1">
        <v>44306</v>
      </c>
      <c r="D11004" s="1">
        <v>44309</v>
      </c>
      <c r="E11004">
        <v>1</v>
      </c>
      <c r="F11004" t="s">
        <v>151</v>
      </c>
      <c r="G11004" t="str">
        <f>"06-I16-04"</f>
        <v>06-I16-04</v>
      </c>
      <c r="H11004">
        <v>0.67620000000000002</v>
      </c>
      <c r="I11004" t="s">
        <v>7337</v>
      </c>
      <c r="J11004" t="s">
        <v>24</v>
      </c>
      <c r="K11004" t="str">
        <f>"5F1"</f>
        <v>5F1</v>
      </c>
      <c r="L11004" t="s">
        <v>15</v>
      </c>
    </row>
    <row r="11005" spans="1:12" x14ac:dyDescent="0.25">
      <c r="A11005" t="str">
        <f>"8011194257"</f>
        <v>8011194257</v>
      </c>
      <c r="B11005" t="str">
        <f t="shared" si="451"/>
        <v>89301000</v>
      </c>
      <c r="C11005" s="1">
        <v>44272</v>
      </c>
      <c r="D11005" s="1">
        <v>44273</v>
      </c>
      <c r="E11005">
        <v>1</v>
      </c>
      <c r="F11005" t="s">
        <v>41</v>
      </c>
      <c r="G11005" t="str">
        <f>"01-D01-03"</f>
        <v>01-D01-03</v>
      </c>
      <c r="H11005">
        <v>0.158</v>
      </c>
      <c r="J11005" t="s">
        <v>14</v>
      </c>
      <c r="K11005" t="str">
        <f>"2F5"</f>
        <v>2F5</v>
      </c>
      <c r="L11005" t="s">
        <v>15</v>
      </c>
    </row>
    <row r="11006" spans="1:12" x14ac:dyDescent="0.25">
      <c r="A11006" t="str">
        <f>"8011194257"</f>
        <v>8011194257</v>
      </c>
      <c r="B11006" t="str">
        <f t="shared" si="451"/>
        <v>89301000</v>
      </c>
      <c r="C11006" s="1">
        <v>44323</v>
      </c>
      <c r="D11006" s="1">
        <v>44326</v>
      </c>
      <c r="E11006">
        <v>1</v>
      </c>
      <c r="F11006" t="s">
        <v>41</v>
      </c>
      <c r="G11006" t="str">
        <f>"01-D01-03"</f>
        <v>01-D01-03</v>
      </c>
      <c r="H11006">
        <v>0.2054</v>
      </c>
      <c r="J11006" t="s">
        <v>14</v>
      </c>
      <c r="K11006" t="str">
        <f>"2F5"</f>
        <v>2F5</v>
      </c>
      <c r="L11006" t="s">
        <v>15</v>
      </c>
    </row>
    <row r="11007" spans="1:12" x14ac:dyDescent="0.25">
      <c r="A11007" t="str">
        <f>"8011255340"</f>
        <v>8011255340</v>
      </c>
      <c r="B11007" t="str">
        <f t="shared" si="451"/>
        <v>89301000</v>
      </c>
      <c r="C11007" s="1">
        <v>44255</v>
      </c>
      <c r="D11007" s="1">
        <v>44258</v>
      </c>
      <c r="E11007">
        <v>1</v>
      </c>
      <c r="F11007" t="s">
        <v>47</v>
      </c>
      <c r="G11007" t="str">
        <f>"08-M03-05"</f>
        <v>08-M03-05</v>
      </c>
      <c r="H11007">
        <v>0.51759999999999995</v>
      </c>
      <c r="I11007" t="s">
        <v>7338</v>
      </c>
      <c r="J11007" t="s">
        <v>14</v>
      </c>
      <c r="K11007" t="str">
        <f>"6F6"</f>
        <v>6F6</v>
      </c>
      <c r="L11007" t="s">
        <v>15</v>
      </c>
    </row>
    <row r="11008" spans="1:12" x14ac:dyDescent="0.25">
      <c r="A11008" t="str">
        <f>"8012015352"</f>
        <v>8012015352</v>
      </c>
      <c r="B11008" t="str">
        <f t="shared" si="451"/>
        <v>89301000</v>
      </c>
      <c r="C11008" s="1">
        <v>44396</v>
      </c>
      <c r="D11008" s="1">
        <v>44397</v>
      </c>
      <c r="E11008">
        <v>1</v>
      </c>
      <c r="F11008" t="s">
        <v>2111</v>
      </c>
      <c r="G11008" t="str">
        <f>"10-K15-02"</f>
        <v>10-K15-02</v>
      </c>
      <c r="H11008">
        <v>0.51819999999999999</v>
      </c>
      <c r="I11008" t="s">
        <v>2421</v>
      </c>
      <c r="J11008" t="s">
        <v>14</v>
      </c>
      <c r="K11008" t="str">
        <f>"2F5"</f>
        <v>2F5</v>
      </c>
      <c r="L11008" t="s">
        <v>15</v>
      </c>
    </row>
    <row r="11009" spans="1:12" x14ac:dyDescent="0.25">
      <c r="A11009" t="str">
        <f>"8012015352"</f>
        <v>8012015352</v>
      </c>
      <c r="B11009" t="str">
        <f t="shared" si="451"/>
        <v>89301000</v>
      </c>
      <c r="C11009" s="1">
        <v>44456</v>
      </c>
      <c r="D11009" s="1">
        <v>44459</v>
      </c>
      <c r="E11009">
        <v>1</v>
      </c>
      <c r="F11009" t="s">
        <v>2111</v>
      </c>
      <c r="G11009" t="str">
        <f>"10-K15-02"</f>
        <v>10-K15-02</v>
      </c>
      <c r="H11009">
        <v>1.0346</v>
      </c>
      <c r="I11009" t="s">
        <v>7339</v>
      </c>
      <c r="J11009" t="s">
        <v>14</v>
      </c>
      <c r="K11009" t="str">
        <f>"2F5"</f>
        <v>2F5</v>
      </c>
      <c r="L11009" t="s">
        <v>15</v>
      </c>
    </row>
    <row r="11010" spans="1:12" x14ac:dyDescent="0.25">
      <c r="A11010" t="str">
        <f>"8012155316"</f>
        <v>8012155316</v>
      </c>
      <c r="B11010" t="str">
        <f t="shared" si="451"/>
        <v>89301000</v>
      </c>
      <c r="C11010" s="1">
        <v>44232</v>
      </c>
      <c r="D11010" s="1">
        <v>44233</v>
      </c>
      <c r="E11010">
        <v>1</v>
      </c>
      <c r="F11010" t="s">
        <v>41</v>
      </c>
      <c r="G11010" t="str">
        <f>"01-D01-03"</f>
        <v>01-D01-03</v>
      </c>
      <c r="H11010">
        <v>0.158</v>
      </c>
      <c r="I11010" t="s">
        <v>7092</v>
      </c>
      <c r="J11010" t="s">
        <v>14</v>
      </c>
      <c r="K11010" t="str">
        <f>"2F5"</f>
        <v>2F5</v>
      </c>
      <c r="L11010" t="s">
        <v>15</v>
      </c>
    </row>
    <row r="11011" spans="1:12" x14ac:dyDescent="0.25">
      <c r="A11011" t="str">
        <f>"8012155360"</f>
        <v>8012155360</v>
      </c>
      <c r="B11011" t="str">
        <f t="shared" si="451"/>
        <v>89301000</v>
      </c>
      <c r="C11011" s="1">
        <v>44424</v>
      </c>
      <c r="D11011" s="1">
        <v>44435</v>
      </c>
      <c r="E11011">
        <v>1</v>
      </c>
      <c r="F11011" t="s">
        <v>81</v>
      </c>
      <c r="G11011" t="str">
        <f>"10-I13-02"</f>
        <v>10-I13-02</v>
      </c>
      <c r="H11011">
        <v>1.5174000000000001</v>
      </c>
      <c r="I11011" t="s">
        <v>7340</v>
      </c>
      <c r="J11011" t="s">
        <v>24</v>
      </c>
      <c r="K11011" t="str">
        <f>"7F1"</f>
        <v>7F1</v>
      </c>
      <c r="L11011" t="s">
        <v>15</v>
      </c>
    </row>
    <row r="11012" spans="1:12" x14ac:dyDescent="0.25">
      <c r="A11012" t="str">
        <f>"8012304883"</f>
        <v>8012304883</v>
      </c>
      <c r="B11012" t="str">
        <f t="shared" si="451"/>
        <v>89301000</v>
      </c>
      <c r="C11012" s="1">
        <v>44515</v>
      </c>
      <c r="D11012" s="1">
        <v>44519</v>
      </c>
      <c r="E11012">
        <v>1</v>
      </c>
      <c r="F11012" t="s">
        <v>5555</v>
      </c>
      <c r="G11012" t="str">
        <f>"20-K02-03"</f>
        <v>20-K02-03</v>
      </c>
      <c r="H11012">
        <v>0.57279999999999998</v>
      </c>
      <c r="I11012" t="s">
        <v>7341</v>
      </c>
      <c r="J11012" t="s">
        <v>14</v>
      </c>
      <c r="K11012" t="str">
        <f>"3F5"</f>
        <v>3F5</v>
      </c>
      <c r="L11012" t="s">
        <v>15</v>
      </c>
    </row>
    <row r="11013" spans="1:12" x14ac:dyDescent="0.25">
      <c r="A11013" t="str">
        <f>"8012304883"</f>
        <v>8012304883</v>
      </c>
      <c r="B11013" t="str">
        <f t="shared" si="451"/>
        <v>89301000</v>
      </c>
      <c r="C11013" s="1">
        <v>44269</v>
      </c>
      <c r="D11013" s="1">
        <v>44279</v>
      </c>
      <c r="E11013">
        <v>1</v>
      </c>
      <c r="F11013" t="s">
        <v>4557</v>
      </c>
      <c r="G11013" t="str">
        <f>"20-K03-03"</f>
        <v>20-K03-03</v>
      </c>
      <c r="H11013">
        <v>1.0109999999999999</v>
      </c>
      <c r="I11013" t="s">
        <v>7342</v>
      </c>
      <c r="J11013" t="s">
        <v>14</v>
      </c>
      <c r="K11013" t="str">
        <f>"3F5"</f>
        <v>3F5</v>
      </c>
      <c r="L11013" t="s">
        <v>15</v>
      </c>
    </row>
    <row r="11014" spans="1:12" x14ac:dyDescent="0.25">
      <c r="A11014" t="str">
        <f>"8051095305"</f>
        <v>8051095305</v>
      </c>
      <c r="B11014" t="str">
        <f t="shared" si="451"/>
        <v>89301000</v>
      </c>
      <c r="C11014" s="1">
        <v>44557</v>
      </c>
      <c r="D11014" s="1">
        <v>44558</v>
      </c>
      <c r="E11014">
        <v>1</v>
      </c>
      <c r="F11014" t="s">
        <v>6664</v>
      </c>
      <c r="G11014" t="str">
        <f>"06-R01-08"</f>
        <v>06-R01-08</v>
      </c>
      <c r="H11014">
        <v>0.86509999999999998</v>
      </c>
      <c r="I11014" t="s">
        <v>145</v>
      </c>
      <c r="J11014" t="s">
        <v>14</v>
      </c>
      <c r="K11014" t="str">
        <f>"4F2"</f>
        <v>4F2</v>
      </c>
      <c r="L11014" t="s">
        <v>15</v>
      </c>
    </row>
    <row r="11015" spans="1:12" x14ac:dyDescent="0.25">
      <c r="A11015" t="str">
        <f>"8051095305"</f>
        <v>8051095305</v>
      </c>
      <c r="B11015" t="str">
        <f t="shared" si="451"/>
        <v>89301000</v>
      </c>
      <c r="C11015" s="1">
        <v>44522</v>
      </c>
      <c r="D11015" s="1">
        <v>44526</v>
      </c>
      <c r="E11015">
        <v>1</v>
      </c>
      <c r="F11015" t="s">
        <v>6664</v>
      </c>
      <c r="G11015" t="str">
        <f>"06-R01-08"</f>
        <v>06-R01-08</v>
      </c>
      <c r="H11015">
        <v>0.86509999999999998</v>
      </c>
      <c r="I11015" t="s">
        <v>4232</v>
      </c>
      <c r="J11015" t="s">
        <v>14</v>
      </c>
      <c r="K11015" t="str">
        <f>"4F2"</f>
        <v>4F2</v>
      </c>
      <c r="L11015" t="s">
        <v>15</v>
      </c>
    </row>
    <row r="11016" spans="1:12" x14ac:dyDescent="0.25">
      <c r="A11016" t="str">
        <f>"8051145586"</f>
        <v>8051145586</v>
      </c>
      <c r="B11016" t="str">
        <f t="shared" si="451"/>
        <v>89301000</v>
      </c>
      <c r="C11016" s="1">
        <v>44185</v>
      </c>
      <c r="D11016" s="1">
        <v>44201</v>
      </c>
      <c r="E11016">
        <v>1</v>
      </c>
      <c r="F11016" t="s">
        <v>7343</v>
      </c>
      <c r="G11016" t="str">
        <f>"00-M01-03"</f>
        <v>00-M01-03</v>
      </c>
      <c r="H11016">
        <v>10.0288</v>
      </c>
      <c r="I11016" t="s">
        <v>7344</v>
      </c>
      <c r="J11016" t="s">
        <v>14</v>
      </c>
      <c r="K11016" t="str">
        <f>"5F6"</f>
        <v>5F6</v>
      </c>
      <c r="L11016" t="s">
        <v>15</v>
      </c>
    </row>
    <row r="11017" spans="1:12" x14ac:dyDescent="0.25">
      <c r="A11017" t="str">
        <f>"8051185373"</f>
        <v>8051185373</v>
      </c>
      <c r="B11017" t="str">
        <f t="shared" si="451"/>
        <v>89301000</v>
      </c>
      <c r="C11017" s="1">
        <v>44343</v>
      </c>
      <c r="D11017" s="1">
        <v>44358</v>
      </c>
      <c r="E11017">
        <v>1</v>
      </c>
      <c r="F11017" t="s">
        <v>109</v>
      </c>
      <c r="G11017" t="str">
        <f>"24-M07-01"</f>
        <v>24-M07-01</v>
      </c>
      <c r="H11017">
        <v>1.7399</v>
      </c>
      <c r="I11017" t="s">
        <v>7345</v>
      </c>
      <c r="J11017" t="s">
        <v>14</v>
      </c>
      <c r="K11017" t="str">
        <f>"2F1"</f>
        <v>2F1</v>
      </c>
      <c r="L11017" t="s">
        <v>15</v>
      </c>
    </row>
    <row r="11018" spans="1:12" x14ac:dyDescent="0.25">
      <c r="A11018" t="str">
        <f>"8051185373"</f>
        <v>8051185373</v>
      </c>
      <c r="B11018" t="str">
        <f t="shared" si="451"/>
        <v>89301000</v>
      </c>
      <c r="C11018" s="1">
        <v>44336</v>
      </c>
      <c r="D11018" s="1">
        <v>44343</v>
      </c>
      <c r="E11018">
        <v>3</v>
      </c>
      <c r="F11018" t="s">
        <v>600</v>
      </c>
      <c r="G11018" t="str">
        <f>"01-I06-04"</f>
        <v>01-I06-04</v>
      </c>
      <c r="H11018">
        <v>3.6231</v>
      </c>
      <c r="I11018" t="s">
        <v>4812</v>
      </c>
      <c r="J11018" t="s">
        <v>17</v>
      </c>
      <c r="K11018" t="str">
        <f>"5F6"</f>
        <v>5F6</v>
      </c>
      <c r="L11018" t="s">
        <v>15</v>
      </c>
    </row>
    <row r="11019" spans="1:12" x14ac:dyDescent="0.25">
      <c r="A11019" t="str">
        <f>"8051194866"</f>
        <v>8051194866</v>
      </c>
      <c r="B11019" t="str">
        <f t="shared" si="451"/>
        <v>89301000</v>
      </c>
      <c r="C11019" s="1">
        <v>44414</v>
      </c>
      <c r="D11019" s="1">
        <v>44417</v>
      </c>
      <c r="E11019">
        <v>1</v>
      </c>
      <c r="F11019" t="s">
        <v>75</v>
      </c>
      <c r="G11019" t="str">
        <f>"14-M01-05"</f>
        <v>14-M01-05</v>
      </c>
      <c r="H11019">
        <v>0.54239999999999999</v>
      </c>
      <c r="I11019" t="s">
        <v>7346</v>
      </c>
      <c r="J11019" t="s">
        <v>59</v>
      </c>
      <c r="K11019" t="str">
        <f>"6F3"</f>
        <v>6F3</v>
      </c>
      <c r="L11019" t="s">
        <v>15</v>
      </c>
    </row>
    <row r="11020" spans="1:12" x14ac:dyDescent="0.25">
      <c r="A11020" t="str">
        <f>"8051255278"</f>
        <v>8051255278</v>
      </c>
      <c r="B11020" t="str">
        <f t="shared" si="451"/>
        <v>89301000</v>
      </c>
      <c r="C11020" s="1">
        <v>44375</v>
      </c>
      <c r="D11020" s="1">
        <v>44377</v>
      </c>
      <c r="E11020">
        <v>1</v>
      </c>
      <c r="F11020" t="s">
        <v>4382</v>
      </c>
      <c r="G11020" t="str">
        <f>"05-I30-02"</f>
        <v>05-I30-02</v>
      </c>
      <c r="H11020">
        <v>0.46729999999999999</v>
      </c>
      <c r="J11020" t="s">
        <v>14</v>
      </c>
      <c r="K11020" t="str">
        <f>"5F1"</f>
        <v>5F1</v>
      </c>
      <c r="L11020" t="s">
        <v>15</v>
      </c>
    </row>
    <row r="11021" spans="1:12" x14ac:dyDescent="0.25">
      <c r="A11021" t="str">
        <f>"8052015345"</f>
        <v>8052015345</v>
      </c>
      <c r="B11021" t="str">
        <f t="shared" si="451"/>
        <v>89301000</v>
      </c>
      <c r="C11021" s="1">
        <v>44269</v>
      </c>
      <c r="D11021" s="1">
        <v>44272</v>
      </c>
      <c r="E11021">
        <v>1</v>
      </c>
      <c r="F11021" t="s">
        <v>82</v>
      </c>
      <c r="G11021" t="str">
        <f>"14-I01-05"</f>
        <v>14-I01-05</v>
      </c>
      <c r="H11021">
        <v>0.80030000000000001</v>
      </c>
      <c r="I11021" t="s">
        <v>117</v>
      </c>
      <c r="J11021" t="s">
        <v>59</v>
      </c>
      <c r="K11021" t="str">
        <f>"6F3"</f>
        <v>6F3</v>
      </c>
      <c r="L11021" t="s">
        <v>15</v>
      </c>
    </row>
    <row r="11022" spans="1:12" x14ac:dyDescent="0.25">
      <c r="A11022" t="str">
        <f>"8052015774"</f>
        <v>8052015774</v>
      </c>
      <c r="B11022" t="str">
        <f t="shared" si="451"/>
        <v>89301000</v>
      </c>
      <c r="C11022" s="1">
        <v>44390</v>
      </c>
      <c r="D11022" s="1">
        <v>44427</v>
      </c>
      <c r="E11022">
        <v>1</v>
      </c>
      <c r="F11022" t="s">
        <v>453</v>
      </c>
      <c r="G11022" t="str">
        <f>"19-K07-02"</f>
        <v>19-K07-02</v>
      </c>
      <c r="H11022">
        <v>2.8759999999999999</v>
      </c>
      <c r="I11022" t="s">
        <v>7347</v>
      </c>
      <c r="J11022" t="s">
        <v>27</v>
      </c>
      <c r="K11022" t="str">
        <f>"3F5"</f>
        <v>3F5</v>
      </c>
      <c r="L11022" t="s">
        <v>15</v>
      </c>
    </row>
    <row r="11023" spans="1:12" x14ac:dyDescent="0.25">
      <c r="A11023" t="str">
        <f>"8052035794"</f>
        <v>8052035794</v>
      </c>
      <c r="B11023" t="str">
        <f t="shared" si="451"/>
        <v>89301000</v>
      </c>
      <c r="C11023" s="1">
        <v>44309</v>
      </c>
      <c r="D11023" s="1">
        <v>44312</v>
      </c>
      <c r="E11023">
        <v>1</v>
      </c>
      <c r="F11023" t="s">
        <v>41</v>
      </c>
      <c r="G11023" t="str">
        <f>"01-D01-03"</f>
        <v>01-D01-03</v>
      </c>
      <c r="H11023">
        <v>0.2054</v>
      </c>
      <c r="I11023" t="s">
        <v>7348</v>
      </c>
      <c r="J11023" t="s">
        <v>14</v>
      </c>
      <c r="K11023" t="str">
        <f>"2F5"</f>
        <v>2F5</v>
      </c>
      <c r="L11023" t="s">
        <v>15</v>
      </c>
    </row>
    <row r="11024" spans="1:12" x14ac:dyDescent="0.25">
      <c r="A11024" t="str">
        <f>"8052035794"</f>
        <v>8052035794</v>
      </c>
      <c r="B11024" t="str">
        <f t="shared" si="451"/>
        <v>89301000</v>
      </c>
      <c r="C11024" s="1">
        <v>44270</v>
      </c>
      <c r="D11024" s="1">
        <v>44271</v>
      </c>
      <c r="E11024">
        <v>1</v>
      </c>
      <c r="F11024" t="s">
        <v>41</v>
      </c>
      <c r="G11024" t="str">
        <f>"01-D01-03"</f>
        <v>01-D01-03</v>
      </c>
      <c r="H11024">
        <v>0.158</v>
      </c>
      <c r="I11024" t="s">
        <v>7349</v>
      </c>
      <c r="J11024" t="s">
        <v>14</v>
      </c>
      <c r="K11024" t="str">
        <f>"2F5"</f>
        <v>2F5</v>
      </c>
      <c r="L11024" t="s">
        <v>15</v>
      </c>
    </row>
    <row r="11025" spans="1:12" x14ac:dyDescent="0.25">
      <c r="A11025" t="str">
        <f>"8052092521"</f>
        <v>8052092521</v>
      </c>
      <c r="B11025" t="str">
        <f t="shared" si="451"/>
        <v>89301000</v>
      </c>
      <c r="C11025" s="1">
        <v>44454</v>
      </c>
      <c r="D11025" s="1">
        <v>44455</v>
      </c>
      <c r="E11025">
        <v>1</v>
      </c>
      <c r="F11025" t="s">
        <v>2457</v>
      </c>
      <c r="G11025" t="str">
        <f>"05-D01-08"</f>
        <v>05-D01-08</v>
      </c>
      <c r="H11025">
        <v>0.4093</v>
      </c>
      <c r="J11025" t="s">
        <v>14</v>
      </c>
      <c r="K11025" t="str">
        <f>"1F7"</f>
        <v>1F7</v>
      </c>
      <c r="L11025" t="s">
        <v>15</v>
      </c>
    </row>
    <row r="11026" spans="1:12" x14ac:dyDescent="0.25">
      <c r="A11026" t="str">
        <f>"8052095788"</f>
        <v>8052095788</v>
      </c>
      <c r="B11026" t="str">
        <f t="shared" si="451"/>
        <v>89301000</v>
      </c>
      <c r="C11026" s="1">
        <v>44242</v>
      </c>
      <c r="D11026" s="1">
        <v>44244</v>
      </c>
      <c r="E11026">
        <v>1</v>
      </c>
      <c r="F11026" t="s">
        <v>265</v>
      </c>
      <c r="G11026" t="str">
        <f>"01-K07-03"</f>
        <v>01-K07-03</v>
      </c>
      <c r="H11026">
        <v>0.4642</v>
      </c>
      <c r="J11026" t="s">
        <v>14</v>
      </c>
      <c r="K11026" t="str">
        <f>"2F9"</f>
        <v>2F9</v>
      </c>
      <c r="L11026" t="s">
        <v>15</v>
      </c>
    </row>
    <row r="11027" spans="1:12" x14ac:dyDescent="0.25">
      <c r="A11027" t="str">
        <f>"8052134497"</f>
        <v>8052134497</v>
      </c>
      <c r="B11027" t="str">
        <f t="shared" si="451"/>
        <v>89301000</v>
      </c>
      <c r="C11027" s="1">
        <v>44387</v>
      </c>
      <c r="D11027" s="1">
        <v>44390</v>
      </c>
      <c r="E11027">
        <v>1</v>
      </c>
      <c r="F11027" t="s">
        <v>6418</v>
      </c>
      <c r="G11027" t="str">
        <f>"13-K01-02"</f>
        <v>13-K01-02</v>
      </c>
      <c r="H11027">
        <v>0.40110000000000001</v>
      </c>
      <c r="J11027" t="s">
        <v>14</v>
      </c>
      <c r="K11027" t="str">
        <f>"6F3"</f>
        <v>6F3</v>
      </c>
      <c r="L11027" t="s">
        <v>15</v>
      </c>
    </row>
    <row r="11028" spans="1:12" x14ac:dyDescent="0.25">
      <c r="A11028" t="str">
        <f>"8052135311"</f>
        <v>8052135311</v>
      </c>
      <c r="B11028" t="str">
        <f t="shared" si="451"/>
        <v>89301000</v>
      </c>
      <c r="C11028" s="1">
        <v>44348</v>
      </c>
      <c r="D11028" s="1">
        <v>44365</v>
      </c>
      <c r="E11028">
        <v>1</v>
      </c>
      <c r="F11028" t="s">
        <v>109</v>
      </c>
      <c r="G11028" t="str">
        <f>"24-M07-02"</f>
        <v>24-M07-02</v>
      </c>
      <c r="H11028">
        <v>1.5094000000000001</v>
      </c>
      <c r="I11028" t="s">
        <v>7350</v>
      </c>
      <c r="J11028" t="s">
        <v>14</v>
      </c>
      <c r="K11028" t="str">
        <f>"2F1"</f>
        <v>2F1</v>
      </c>
      <c r="L11028" t="s">
        <v>15</v>
      </c>
    </row>
    <row r="11029" spans="1:12" x14ac:dyDescent="0.25">
      <c r="A11029" t="str">
        <f>"8052154407"</f>
        <v>8052154407</v>
      </c>
      <c r="B11029" t="str">
        <f t="shared" si="451"/>
        <v>89301000</v>
      </c>
      <c r="C11029" s="1">
        <v>44237</v>
      </c>
      <c r="D11029" s="1">
        <v>44242</v>
      </c>
      <c r="E11029">
        <v>1</v>
      </c>
      <c r="F11029" t="s">
        <v>2637</v>
      </c>
      <c r="G11029" t="str">
        <f>"23-K05-01"</f>
        <v>23-K05-01</v>
      </c>
      <c r="H11029">
        <v>0.56999999999999995</v>
      </c>
      <c r="I11029" t="s">
        <v>2638</v>
      </c>
      <c r="J11029" t="s">
        <v>14</v>
      </c>
      <c r="K11029" t="str">
        <f>"4F7"</f>
        <v>4F7</v>
      </c>
      <c r="L11029" t="s">
        <v>15</v>
      </c>
    </row>
    <row r="11030" spans="1:12" x14ac:dyDescent="0.25">
      <c r="A11030" t="str">
        <f>"8052154407"</f>
        <v>8052154407</v>
      </c>
      <c r="B11030" t="str">
        <f t="shared" si="451"/>
        <v>89301000</v>
      </c>
      <c r="C11030" s="1">
        <v>44472</v>
      </c>
      <c r="D11030" s="1">
        <v>44476</v>
      </c>
      <c r="E11030">
        <v>1</v>
      </c>
      <c r="F11030" t="s">
        <v>529</v>
      </c>
      <c r="G11030" t="str">
        <f>"06-K04-03"</f>
        <v>06-K04-03</v>
      </c>
      <c r="H11030">
        <v>0.38250000000000001</v>
      </c>
      <c r="I11030" t="s">
        <v>7351</v>
      </c>
      <c r="J11030" t="s">
        <v>14</v>
      </c>
      <c r="K11030" t="str">
        <f>"1F1"</f>
        <v>1F1</v>
      </c>
      <c r="L11030" t="s">
        <v>15</v>
      </c>
    </row>
    <row r="11031" spans="1:12" x14ac:dyDescent="0.25">
      <c r="A11031" t="str">
        <f>"8053124937"</f>
        <v>8053124937</v>
      </c>
      <c r="B11031" t="str">
        <f t="shared" si="451"/>
        <v>89301000</v>
      </c>
      <c r="C11031" s="1">
        <v>44364</v>
      </c>
      <c r="D11031" s="1">
        <v>44369</v>
      </c>
      <c r="E11031">
        <v>1</v>
      </c>
      <c r="F11031" t="s">
        <v>7352</v>
      </c>
      <c r="G11031" t="str">
        <f>"09-K04-02"</f>
        <v>09-K04-02</v>
      </c>
      <c r="H11031">
        <v>0.68279999999999996</v>
      </c>
      <c r="I11031" t="s">
        <v>5100</v>
      </c>
      <c r="J11031" t="s">
        <v>14</v>
      </c>
      <c r="K11031" t="str">
        <f>"4F4"</f>
        <v>4F4</v>
      </c>
      <c r="L11031" t="s">
        <v>15</v>
      </c>
    </row>
    <row r="11032" spans="1:12" x14ac:dyDescent="0.25">
      <c r="A11032" t="str">
        <f>"8053145760"</f>
        <v>8053145760</v>
      </c>
      <c r="B11032" t="str">
        <f t="shared" si="451"/>
        <v>89301000</v>
      </c>
      <c r="C11032" s="1">
        <v>44371</v>
      </c>
      <c r="D11032" s="1">
        <v>44374</v>
      </c>
      <c r="E11032">
        <v>1</v>
      </c>
      <c r="F11032" t="s">
        <v>197</v>
      </c>
      <c r="G11032" t="str">
        <f>"03-I18-02"</f>
        <v>03-I18-02</v>
      </c>
      <c r="H11032">
        <v>0.84370000000000001</v>
      </c>
      <c r="I11032" t="s">
        <v>7353</v>
      </c>
      <c r="J11032" t="s">
        <v>24</v>
      </c>
      <c r="K11032" t="str">
        <f>"6F5"</f>
        <v>6F5</v>
      </c>
      <c r="L11032" t="s">
        <v>15</v>
      </c>
    </row>
    <row r="11033" spans="1:12" x14ac:dyDescent="0.25">
      <c r="A11033" t="str">
        <f>"8053185360"</f>
        <v>8053185360</v>
      </c>
      <c r="B11033" t="str">
        <f t="shared" si="451"/>
        <v>89301000</v>
      </c>
      <c r="C11033" s="1">
        <v>44375</v>
      </c>
      <c r="D11033" s="1">
        <v>44382</v>
      </c>
      <c r="E11033">
        <v>1</v>
      </c>
      <c r="F11033" t="s">
        <v>82</v>
      </c>
      <c r="G11033" t="str">
        <f>"14-I01-02"</f>
        <v>14-I01-02</v>
      </c>
      <c r="H11033">
        <v>1.1289</v>
      </c>
      <c r="I11033" t="s">
        <v>269</v>
      </c>
      <c r="J11033" t="s">
        <v>59</v>
      </c>
      <c r="K11033" t="str">
        <f>"6F3"</f>
        <v>6F3</v>
      </c>
      <c r="L11033" t="s">
        <v>15</v>
      </c>
    </row>
    <row r="11034" spans="1:12" x14ac:dyDescent="0.25">
      <c r="A11034" t="str">
        <f>"8053215313"</f>
        <v>8053215313</v>
      </c>
      <c r="B11034" t="str">
        <f t="shared" si="451"/>
        <v>89301000</v>
      </c>
      <c r="C11034" s="1">
        <v>44455</v>
      </c>
      <c r="D11034" s="1">
        <v>44457</v>
      </c>
      <c r="E11034">
        <v>1</v>
      </c>
      <c r="F11034" t="s">
        <v>75</v>
      </c>
      <c r="G11034" t="str">
        <f>"14-M01-05"</f>
        <v>14-M01-05</v>
      </c>
      <c r="H11034">
        <v>0.54239999999999999</v>
      </c>
      <c r="I11034" t="s">
        <v>7354</v>
      </c>
      <c r="J11034" t="s">
        <v>59</v>
      </c>
      <c r="K11034" t="str">
        <f>"6F3"</f>
        <v>6F3</v>
      </c>
      <c r="L11034" t="s">
        <v>15</v>
      </c>
    </row>
    <row r="11035" spans="1:12" x14ac:dyDescent="0.25">
      <c r="A11035" t="str">
        <f>"8053235322"</f>
        <v>8053235322</v>
      </c>
      <c r="B11035" t="str">
        <f t="shared" si="451"/>
        <v>89301000</v>
      </c>
      <c r="C11035" s="1">
        <v>44435</v>
      </c>
      <c r="D11035" s="1">
        <v>44438</v>
      </c>
      <c r="E11035">
        <v>1</v>
      </c>
      <c r="F11035" t="s">
        <v>61</v>
      </c>
      <c r="G11035" t="str">
        <f>"14-I01-05"</f>
        <v>14-I01-05</v>
      </c>
      <c r="H11035">
        <v>0.80030000000000001</v>
      </c>
      <c r="I11035" t="s">
        <v>7355</v>
      </c>
      <c r="J11035" t="s">
        <v>59</v>
      </c>
      <c r="K11035" t="str">
        <f>"6F3"</f>
        <v>6F3</v>
      </c>
      <c r="L11035" t="s">
        <v>15</v>
      </c>
    </row>
    <row r="11036" spans="1:12" x14ac:dyDescent="0.25">
      <c r="A11036" t="str">
        <f>"8053265341"</f>
        <v>8053265341</v>
      </c>
      <c r="B11036" t="str">
        <f t="shared" si="451"/>
        <v>89301000</v>
      </c>
      <c r="C11036" s="1">
        <v>44413</v>
      </c>
      <c r="D11036" s="1">
        <v>44416</v>
      </c>
      <c r="E11036">
        <v>1</v>
      </c>
      <c r="F11036" t="s">
        <v>75</v>
      </c>
      <c r="G11036" t="str">
        <f>"14-M01-05"</f>
        <v>14-M01-05</v>
      </c>
      <c r="H11036">
        <v>0.54239999999999999</v>
      </c>
      <c r="J11036" t="s">
        <v>59</v>
      </c>
      <c r="K11036" t="str">
        <f>"6F3"</f>
        <v>6F3</v>
      </c>
      <c r="L11036" t="s">
        <v>15</v>
      </c>
    </row>
    <row r="11037" spans="1:12" x14ac:dyDescent="0.25">
      <c r="A11037" t="str">
        <f>"8053265341"</f>
        <v>8053265341</v>
      </c>
      <c r="B11037" t="str">
        <f t="shared" si="451"/>
        <v>89301000</v>
      </c>
      <c r="C11037" s="1">
        <v>44442</v>
      </c>
      <c r="D11037" s="1">
        <v>44444</v>
      </c>
      <c r="E11037">
        <v>1</v>
      </c>
      <c r="F11037" t="s">
        <v>7356</v>
      </c>
      <c r="G11037" t="str">
        <f>"13-I19-00"</f>
        <v>13-I19-00</v>
      </c>
      <c r="H11037">
        <v>0.24679999999999999</v>
      </c>
      <c r="J11037" t="s">
        <v>14</v>
      </c>
      <c r="K11037" t="str">
        <f>"6F3"</f>
        <v>6F3</v>
      </c>
      <c r="L11037" t="s">
        <v>15</v>
      </c>
    </row>
    <row r="11038" spans="1:12" x14ac:dyDescent="0.25">
      <c r="A11038" t="str">
        <f>"8053314467"</f>
        <v>8053314467</v>
      </c>
      <c r="B11038" t="str">
        <f t="shared" si="451"/>
        <v>89301000</v>
      </c>
      <c r="C11038" s="1">
        <v>44216</v>
      </c>
      <c r="D11038" s="1">
        <v>44218</v>
      </c>
      <c r="E11038">
        <v>1</v>
      </c>
      <c r="F11038" t="s">
        <v>84</v>
      </c>
      <c r="G11038" t="str">
        <f>"09-I09-05"</f>
        <v>09-I09-05</v>
      </c>
      <c r="H11038">
        <v>0.48070000000000002</v>
      </c>
      <c r="J11038" t="s">
        <v>17</v>
      </c>
      <c r="K11038" t="str">
        <f>"5F1"</f>
        <v>5F1</v>
      </c>
      <c r="L11038" t="s">
        <v>15</v>
      </c>
    </row>
    <row r="11039" spans="1:12" x14ac:dyDescent="0.25">
      <c r="A11039" t="str">
        <f>"8054014507"</f>
        <v>8054014507</v>
      </c>
      <c r="B11039" t="str">
        <f t="shared" si="451"/>
        <v>89301000</v>
      </c>
      <c r="C11039" s="1">
        <v>44474</v>
      </c>
      <c r="D11039" s="1">
        <v>44496</v>
      </c>
      <c r="E11039">
        <v>1</v>
      </c>
      <c r="F11039" t="s">
        <v>5467</v>
      </c>
      <c r="G11039" t="str">
        <f>"19-K05-02"</f>
        <v>19-K05-02</v>
      </c>
      <c r="H11039">
        <v>1.8835999999999999</v>
      </c>
      <c r="I11039" t="s">
        <v>7357</v>
      </c>
      <c r="J11039" t="s">
        <v>27</v>
      </c>
      <c r="K11039" t="str">
        <f>"3F5"</f>
        <v>3F5</v>
      </c>
      <c r="L11039" t="s">
        <v>15</v>
      </c>
    </row>
    <row r="11040" spans="1:12" x14ac:dyDescent="0.25">
      <c r="A11040" t="str">
        <f>"8054025331"</f>
        <v>8054025331</v>
      </c>
      <c r="B11040" t="str">
        <f t="shared" si="451"/>
        <v>89301000</v>
      </c>
      <c r="C11040" s="1">
        <v>44326</v>
      </c>
      <c r="D11040" s="1">
        <v>44329</v>
      </c>
      <c r="E11040">
        <v>1</v>
      </c>
      <c r="F11040" t="s">
        <v>7358</v>
      </c>
      <c r="G11040" t="str">
        <f>"13-I14-03"</f>
        <v>13-I14-03</v>
      </c>
      <c r="H11040">
        <v>0.83199999999999996</v>
      </c>
      <c r="J11040" t="s">
        <v>24</v>
      </c>
      <c r="K11040" t="str">
        <f>"6F3"</f>
        <v>6F3</v>
      </c>
      <c r="L11040" t="s">
        <v>15</v>
      </c>
    </row>
    <row r="11041" spans="1:12" x14ac:dyDescent="0.25">
      <c r="A11041" t="str">
        <f>"8054085776"</f>
        <v>8054085776</v>
      </c>
      <c r="B11041" t="str">
        <f t="shared" si="451"/>
        <v>89301000</v>
      </c>
      <c r="C11041" s="1">
        <v>44243</v>
      </c>
      <c r="D11041" s="1">
        <v>44246</v>
      </c>
      <c r="E11041">
        <v>1</v>
      </c>
      <c r="F11041" t="s">
        <v>3330</v>
      </c>
      <c r="G11041" t="str">
        <f>"08-I23-02"</f>
        <v>08-I23-02</v>
      </c>
      <c r="H11041">
        <v>0.93840000000000001</v>
      </c>
      <c r="J11041" t="s">
        <v>17</v>
      </c>
      <c r="K11041" t="str">
        <f>"6F6"</f>
        <v>6F6</v>
      </c>
      <c r="L11041" t="s">
        <v>15</v>
      </c>
    </row>
    <row r="11042" spans="1:12" x14ac:dyDescent="0.25">
      <c r="A11042" t="str">
        <f>"8054155395"</f>
        <v>8054155395</v>
      </c>
      <c r="B11042" t="str">
        <f t="shared" ref="B11042:B11105" si="452">"89301000"</f>
        <v>89301000</v>
      </c>
      <c r="C11042" s="1">
        <v>44292</v>
      </c>
      <c r="D11042" s="1">
        <v>44293</v>
      </c>
      <c r="E11042">
        <v>1</v>
      </c>
      <c r="F11042" t="s">
        <v>7359</v>
      </c>
      <c r="G11042" t="str">
        <f>"14-I08-03"</f>
        <v>14-I08-03</v>
      </c>
      <c r="H11042">
        <v>0.21099999999999999</v>
      </c>
      <c r="J11042" t="s">
        <v>14</v>
      </c>
      <c r="K11042" t="str">
        <f>"6F3"</f>
        <v>6F3</v>
      </c>
      <c r="L11042" t="s">
        <v>15</v>
      </c>
    </row>
    <row r="11043" spans="1:12" x14ac:dyDescent="0.25">
      <c r="A11043" t="str">
        <f>"8054175305"</f>
        <v>8054175305</v>
      </c>
      <c r="B11043" t="str">
        <f t="shared" si="452"/>
        <v>89301000</v>
      </c>
      <c r="C11043" s="1">
        <v>44322</v>
      </c>
      <c r="D11043" s="1">
        <v>44325</v>
      </c>
      <c r="E11043">
        <v>1</v>
      </c>
      <c r="F11043" t="s">
        <v>75</v>
      </c>
      <c r="G11043" t="str">
        <f>"14-M01-05"</f>
        <v>14-M01-05</v>
      </c>
      <c r="H11043">
        <v>0.54239999999999999</v>
      </c>
      <c r="I11043" t="s">
        <v>7360</v>
      </c>
      <c r="J11043" t="s">
        <v>59</v>
      </c>
      <c r="K11043" t="str">
        <f>"6F3"</f>
        <v>6F3</v>
      </c>
      <c r="L11043" t="s">
        <v>15</v>
      </c>
    </row>
    <row r="11044" spans="1:12" x14ac:dyDescent="0.25">
      <c r="A11044" t="str">
        <f>"8054295337"</f>
        <v>8054295337</v>
      </c>
      <c r="B11044" t="str">
        <f t="shared" si="452"/>
        <v>89301000</v>
      </c>
      <c r="C11044" s="1">
        <v>44238</v>
      </c>
      <c r="D11044" s="1">
        <v>44239</v>
      </c>
      <c r="E11044">
        <v>1</v>
      </c>
      <c r="F11044" t="s">
        <v>6572</v>
      </c>
      <c r="G11044" t="str">
        <f>"01-D01-03"</f>
        <v>01-D01-03</v>
      </c>
      <c r="H11044">
        <v>0.158</v>
      </c>
      <c r="I11044" t="s">
        <v>7361</v>
      </c>
      <c r="J11044" t="s">
        <v>14</v>
      </c>
      <c r="K11044" t="str">
        <f>"2F5"</f>
        <v>2F5</v>
      </c>
      <c r="L11044" t="s">
        <v>15</v>
      </c>
    </row>
    <row r="11045" spans="1:12" x14ac:dyDescent="0.25">
      <c r="A11045" t="str">
        <f>"8055024879"</f>
        <v>8055024879</v>
      </c>
      <c r="B11045" t="str">
        <f t="shared" si="452"/>
        <v>89301000</v>
      </c>
      <c r="C11045" s="1">
        <v>44367</v>
      </c>
      <c r="D11045" s="1">
        <v>44370</v>
      </c>
      <c r="E11045">
        <v>1</v>
      </c>
      <c r="F11045" t="s">
        <v>28</v>
      </c>
      <c r="G11045" t="str">
        <f>"03-I12-04"</f>
        <v>03-I12-04</v>
      </c>
      <c r="H11045">
        <v>0.90649999999999997</v>
      </c>
      <c r="J11045" t="s">
        <v>17</v>
      </c>
      <c r="K11045" t="str">
        <f>"7F1"</f>
        <v>7F1</v>
      </c>
      <c r="L11045" t="s">
        <v>15</v>
      </c>
    </row>
    <row r="11046" spans="1:12" x14ac:dyDescent="0.25">
      <c r="A11046" t="str">
        <f>"8055025396"</f>
        <v>8055025396</v>
      </c>
      <c r="B11046" t="str">
        <f t="shared" si="452"/>
        <v>89301000</v>
      </c>
      <c r="C11046" s="1">
        <v>44402</v>
      </c>
      <c r="D11046" s="1">
        <v>44405</v>
      </c>
      <c r="E11046">
        <v>1</v>
      </c>
      <c r="F11046" t="s">
        <v>197</v>
      </c>
      <c r="G11046" t="str">
        <f>"03-I18-02"</f>
        <v>03-I18-02</v>
      </c>
      <c r="H11046">
        <v>0.84370000000000001</v>
      </c>
      <c r="J11046" t="s">
        <v>24</v>
      </c>
      <c r="K11046" t="str">
        <f>"6F5"</f>
        <v>6F5</v>
      </c>
      <c r="L11046" t="s">
        <v>15</v>
      </c>
    </row>
    <row r="11047" spans="1:12" x14ac:dyDescent="0.25">
      <c r="A11047" t="str">
        <f>"8055025396"</f>
        <v>8055025396</v>
      </c>
      <c r="B11047" t="str">
        <f t="shared" si="452"/>
        <v>89301000</v>
      </c>
      <c r="C11047" s="1">
        <v>44374</v>
      </c>
      <c r="D11047" s="1">
        <v>44377</v>
      </c>
      <c r="E11047">
        <v>1</v>
      </c>
      <c r="F11047" t="s">
        <v>39</v>
      </c>
      <c r="G11047" t="str">
        <f>"03-I19-03"</f>
        <v>03-I19-03</v>
      </c>
      <c r="H11047">
        <v>0.60699999999999998</v>
      </c>
      <c r="I11047" t="s">
        <v>320</v>
      </c>
      <c r="J11047" t="s">
        <v>14</v>
      </c>
      <c r="K11047" t="str">
        <f>"6F5"</f>
        <v>6F5</v>
      </c>
      <c r="L11047" t="s">
        <v>15</v>
      </c>
    </row>
    <row r="11048" spans="1:12" x14ac:dyDescent="0.25">
      <c r="A11048" t="str">
        <f>"8055115343"</f>
        <v>8055115343</v>
      </c>
      <c r="B11048" t="str">
        <f t="shared" si="452"/>
        <v>89301000</v>
      </c>
      <c r="C11048" s="1">
        <v>44308</v>
      </c>
      <c r="D11048" s="1">
        <v>44313</v>
      </c>
      <c r="E11048">
        <v>1</v>
      </c>
      <c r="F11048" t="s">
        <v>2232</v>
      </c>
      <c r="G11048" t="str">
        <f>"11-I07-01"</f>
        <v>11-I07-01</v>
      </c>
      <c r="H11048">
        <v>2.5975999999999999</v>
      </c>
      <c r="I11048" t="s">
        <v>941</v>
      </c>
      <c r="J11048" t="s">
        <v>14</v>
      </c>
      <c r="K11048" t="str">
        <f>"7F6"</f>
        <v>7F6</v>
      </c>
      <c r="L11048" t="s">
        <v>15</v>
      </c>
    </row>
    <row r="11049" spans="1:12" x14ac:dyDescent="0.25">
      <c r="A11049" t="str">
        <f>"8055135352"</f>
        <v>8055135352</v>
      </c>
      <c r="B11049" t="str">
        <f t="shared" si="452"/>
        <v>89301000</v>
      </c>
      <c r="C11049" s="1">
        <v>44390</v>
      </c>
      <c r="D11049" s="1">
        <v>44427</v>
      </c>
      <c r="E11049">
        <v>1</v>
      </c>
      <c r="F11049" t="s">
        <v>98</v>
      </c>
      <c r="G11049" t="str">
        <f>"19-K07-02"</f>
        <v>19-K07-02</v>
      </c>
      <c r="H11049">
        <v>2.8759999999999999</v>
      </c>
      <c r="I11049" t="s">
        <v>937</v>
      </c>
      <c r="J11049" t="s">
        <v>27</v>
      </c>
      <c r="K11049" t="str">
        <f>"3F5"</f>
        <v>3F5</v>
      </c>
      <c r="L11049" t="s">
        <v>15</v>
      </c>
    </row>
    <row r="11050" spans="1:12" x14ac:dyDescent="0.25">
      <c r="A11050" t="str">
        <f>"8055135352"</f>
        <v>8055135352</v>
      </c>
      <c r="B11050" t="str">
        <f t="shared" si="452"/>
        <v>89301000</v>
      </c>
      <c r="C11050" s="1">
        <v>44368</v>
      </c>
      <c r="D11050" s="1">
        <v>44376</v>
      </c>
      <c r="E11050">
        <v>1</v>
      </c>
      <c r="F11050" t="s">
        <v>5200</v>
      </c>
      <c r="G11050" t="str">
        <f>"21-K05-03"</f>
        <v>21-K05-03</v>
      </c>
      <c r="H11050">
        <v>0.46750000000000003</v>
      </c>
      <c r="I11050" t="s">
        <v>7362</v>
      </c>
      <c r="J11050" t="s">
        <v>14</v>
      </c>
      <c r="K11050" t="str">
        <f>"3F5"</f>
        <v>3F5</v>
      </c>
      <c r="L11050" t="s">
        <v>15</v>
      </c>
    </row>
    <row r="11051" spans="1:12" x14ac:dyDescent="0.25">
      <c r="A11051" t="str">
        <f>"8055274469"</f>
        <v>8055274469</v>
      </c>
      <c r="B11051" t="str">
        <f t="shared" si="452"/>
        <v>89301000</v>
      </c>
      <c r="C11051" s="1">
        <v>44473</v>
      </c>
      <c r="D11051" s="1">
        <v>44475</v>
      </c>
      <c r="E11051">
        <v>1</v>
      </c>
      <c r="F11051" t="s">
        <v>75</v>
      </c>
      <c r="G11051" t="str">
        <f>"14-M01-05"</f>
        <v>14-M01-05</v>
      </c>
      <c r="H11051">
        <v>0.54239999999999999</v>
      </c>
      <c r="J11051" t="s">
        <v>59</v>
      </c>
      <c r="K11051" t="str">
        <f>"6F3"</f>
        <v>6F3</v>
      </c>
      <c r="L11051" t="s">
        <v>15</v>
      </c>
    </row>
    <row r="11052" spans="1:12" x14ac:dyDescent="0.25">
      <c r="A11052" t="str">
        <f>"8056024790"</f>
        <v>8056024790</v>
      </c>
      <c r="B11052" t="str">
        <f t="shared" si="452"/>
        <v>89301000</v>
      </c>
      <c r="C11052" s="1">
        <v>44309</v>
      </c>
      <c r="D11052" s="1">
        <v>44310</v>
      </c>
      <c r="E11052">
        <v>1</v>
      </c>
      <c r="F11052" t="s">
        <v>3914</v>
      </c>
      <c r="G11052" t="str">
        <f>"11-K09-00"</f>
        <v>11-K09-00</v>
      </c>
      <c r="H11052">
        <v>0.43959999999999999</v>
      </c>
      <c r="I11052" t="s">
        <v>168</v>
      </c>
      <c r="J11052" t="s">
        <v>14</v>
      </c>
      <c r="K11052" t="str">
        <f>"7F6"</f>
        <v>7F6</v>
      </c>
      <c r="L11052" t="s">
        <v>15</v>
      </c>
    </row>
    <row r="11053" spans="1:12" x14ac:dyDescent="0.25">
      <c r="A11053" t="str">
        <f>"8056025373"</f>
        <v>8056025373</v>
      </c>
      <c r="B11053" t="str">
        <f t="shared" si="452"/>
        <v>89301000</v>
      </c>
      <c r="C11053" s="1">
        <v>44525</v>
      </c>
      <c r="D11053" s="1">
        <v>44528</v>
      </c>
      <c r="E11053">
        <v>1</v>
      </c>
      <c r="F11053" t="s">
        <v>1551</v>
      </c>
      <c r="G11053" t="str">
        <f>"09-I06-04"</f>
        <v>09-I06-04</v>
      </c>
      <c r="H11053">
        <v>0.98829999999999996</v>
      </c>
      <c r="J11053" t="s">
        <v>17</v>
      </c>
      <c r="K11053" t="str">
        <f>"5F1"</f>
        <v>5F1</v>
      </c>
      <c r="L11053" t="s">
        <v>15</v>
      </c>
    </row>
    <row r="11054" spans="1:12" x14ac:dyDescent="0.25">
      <c r="A11054" t="str">
        <f>"8056044139"</f>
        <v>8056044139</v>
      </c>
      <c r="B11054" t="str">
        <f t="shared" si="452"/>
        <v>89301000</v>
      </c>
      <c r="C11054" s="1">
        <v>44503</v>
      </c>
      <c r="D11054" s="1">
        <v>44506</v>
      </c>
      <c r="E11054">
        <v>1</v>
      </c>
      <c r="F11054" t="s">
        <v>4196</v>
      </c>
      <c r="G11054" t="str">
        <f>"08-M03-02"</f>
        <v>08-M03-02</v>
      </c>
      <c r="H11054">
        <v>0.86970000000000003</v>
      </c>
      <c r="I11054" t="s">
        <v>3567</v>
      </c>
      <c r="J11054" t="s">
        <v>14</v>
      </c>
      <c r="K11054" t="str">
        <f>"6F6"</f>
        <v>6F6</v>
      </c>
      <c r="L11054" t="s">
        <v>15</v>
      </c>
    </row>
    <row r="11055" spans="1:12" x14ac:dyDescent="0.25">
      <c r="A11055" t="str">
        <f>"8056074455"</f>
        <v>8056074455</v>
      </c>
      <c r="B11055" t="str">
        <f t="shared" si="452"/>
        <v>89301000</v>
      </c>
      <c r="C11055" s="1">
        <v>44249</v>
      </c>
      <c r="D11055" s="1">
        <v>44252</v>
      </c>
      <c r="E11055">
        <v>1</v>
      </c>
      <c r="F11055" t="s">
        <v>2020</v>
      </c>
      <c r="G11055" t="str">
        <f>"03-I17-00"</f>
        <v>03-I17-00</v>
      </c>
      <c r="H11055">
        <v>0.84960000000000002</v>
      </c>
      <c r="I11055" t="s">
        <v>7363</v>
      </c>
      <c r="J11055" t="s">
        <v>24</v>
      </c>
      <c r="K11055" t="str">
        <f>"7F1"</f>
        <v>7F1</v>
      </c>
      <c r="L11055" t="s">
        <v>15</v>
      </c>
    </row>
    <row r="11056" spans="1:12" x14ac:dyDescent="0.25">
      <c r="A11056" t="str">
        <f>"8056085312"</f>
        <v>8056085312</v>
      </c>
      <c r="B11056" t="str">
        <f t="shared" si="452"/>
        <v>89301000</v>
      </c>
      <c r="C11056" s="1">
        <v>44440</v>
      </c>
      <c r="D11056" s="1">
        <v>44443</v>
      </c>
      <c r="E11056">
        <v>1</v>
      </c>
      <c r="F11056" t="s">
        <v>4715</v>
      </c>
      <c r="G11056" t="str">
        <f>"06-I22-02"</f>
        <v>06-I22-02</v>
      </c>
      <c r="H11056">
        <v>0.436</v>
      </c>
      <c r="I11056" t="s">
        <v>348</v>
      </c>
      <c r="J11056" t="s">
        <v>14</v>
      </c>
      <c r="K11056" t="str">
        <f>"5F1"</f>
        <v>5F1</v>
      </c>
      <c r="L11056" t="s">
        <v>15</v>
      </c>
    </row>
    <row r="11057" spans="1:12" x14ac:dyDescent="0.25">
      <c r="A11057" t="str">
        <f>"8056125418"</f>
        <v>8056125418</v>
      </c>
      <c r="B11057" t="str">
        <f t="shared" si="452"/>
        <v>89301000</v>
      </c>
      <c r="C11057" s="1">
        <v>44368</v>
      </c>
      <c r="D11057" s="1">
        <v>44370</v>
      </c>
      <c r="E11057">
        <v>1</v>
      </c>
      <c r="F11057" t="s">
        <v>4237</v>
      </c>
      <c r="G11057" t="str">
        <f>"03-I23-00"</f>
        <v>03-I23-00</v>
      </c>
      <c r="H11057">
        <v>0.47639999999999999</v>
      </c>
      <c r="I11057" t="s">
        <v>7364</v>
      </c>
      <c r="J11057" t="s">
        <v>14</v>
      </c>
      <c r="K11057" t="str">
        <f>"6F5"</f>
        <v>6F5</v>
      </c>
      <c r="L11057" t="s">
        <v>15</v>
      </c>
    </row>
    <row r="11058" spans="1:12" x14ac:dyDescent="0.25">
      <c r="A11058" t="str">
        <f>"8056183509"</f>
        <v>8056183509</v>
      </c>
      <c r="B11058" t="str">
        <f t="shared" si="452"/>
        <v>89301000</v>
      </c>
      <c r="C11058" s="1">
        <v>44525</v>
      </c>
      <c r="D11058" s="1">
        <v>44527</v>
      </c>
      <c r="E11058">
        <v>1</v>
      </c>
      <c r="F11058" t="s">
        <v>2303</v>
      </c>
      <c r="G11058" t="str">
        <f>"13-I19-00"</f>
        <v>13-I19-00</v>
      </c>
      <c r="H11058">
        <v>0.24679999999999999</v>
      </c>
      <c r="J11058" t="s">
        <v>14</v>
      </c>
      <c r="K11058" t="str">
        <f>"6F3"</f>
        <v>6F3</v>
      </c>
      <c r="L11058" t="s">
        <v>15</v>
      </c>
    </row>
    <row r="11059" spans="1:12" x14ac:dyDescent="0.25">
      <c r="A11059" t="str">
        <f>"8056215310"</f>
        <v>8056215310</v>
      </c>
      <c r="B11059" t="str">
        <f t="shared" si="452"/>
        <v>89301000</v>
      </c>
      <c r="C11059" s="1">
        <v>44424</v>
      </c>
      <c r="D11059" s="1">
        <v>44427</v>
      </c>
      <c r="E11059">
        <v>1</v>
      </c>
      <c r="F11059" t="s">
        <v>1551</v>
      </c>
      <c r="G11059" t="str">
        <f>"09-I06-04"</f>
        <v>09-I06-04</v>
      </c>
      <c r="H11059">
        <v>0.98829999999999996</v>
      </c>
      <c r="J11059" t="s">
        <v>17</v>
      </c>
      <c r="K11059" t="str">
        <f>"5F1"</f>
        <v>5F1</v>
      </c>
      <c r="L11059" t="s">
        <v>15</v>
      </c>
    </row>
    <row r="11060" spans="1:12" x14ac:dyDescent="0.25">
      <c r="A11060" t="str">
        <f>"8056235759"</f>
        <v>8056235759</v>
      </c>
      <c r="B11060" t="str">
        <f t="shared" si="452"/>
        <v>89301000</v>
      </c>
      <c r="C11060" s="1">
        <v>44249</v>
      </c>
      <c r="D11060" s="1">
        <v>44249</v>
      </c>
      <c r="E11060">
        <v>1</v>
      </c>
      <c r="F11060" t="s">
        <v>1599</v>
      </c>
      <c r="G11060" t="str">
        <f>"05-D01-06"</f>
        <v>05-D01-06</v>
      </c>
      <c r="H11060">
        <v>0.40649999999999997</v>
      </c>
      <c r="I11060" t="s">
        <v>7365</v>
      </c>
      <c r="J11060" t="s">
        <v>14</v>
      </c>
      <c r="K11060" t="str">
        <f>"1F1"</f>
        <v>1F1</v>
      </c>
      <c r="L11060" t="s">
        <v>15</v>
      </c>
    </row>
    <row r="11061" spans="1:12" x14ac:dyDescent="0.25">
      <c r="A11061" t="str">
        <f>"8057025405"</f>
        <v>8057025405</v>
      </c>
      <c r="B11061" t="str">
        <f t="shared" si="452"/>
        <v>89301000</v>
      </c>
      <c r="C11061" s="1">
        <v>44298</v>
      </c>
      <c r="D11061" s="1">
        <v>44301</v>
      </c>
      <c r="E11061">
        <v>1</v>
      </c>
      <c r="F11061" t="s">
        <v>43</v>
      </c>
      <c r="G11061" t="str">
        <f>"06-I18-05"</f>
        <v>06-I18-05</v>
      </c>
      <c r="H11061">
        <v>0.85550000000000004</v>
      </c>
      <c r="J11061" t="s">
        <v>24</v>
      </c>
      <c r="K11061" t="str">
        <f>"5F1"</f>
        <v>5F1</v>
      </c>
      <c r="L11061" t="s">
        <v>15</v>
      </c>
    </row>
    <row r="11062" spans="1:12" x14ac:dyDescent="0.25">
      <c r="A11062" t="str">
        <f>"8057044457"</f>
        <v>8057044457</v>
      </c>
      <c r="B11062" t="str">
        <f t="shared" si="452"/>
        <v>89301000</v>
      </c>
      <c r="C11062" s="1">
        <v>44468</v>
      </c>
      <c r="D11062" s="1">
        <v>44473</v>
      </c>
      <c r="E11062">
        <v>1</v>
      </c>
      <c r="F11062" t="s">
        <v>4550</v>
      </c>
      <c r="G11062" t="str">
        <f>"08-K01-03"</f>
        <v>08-K01-03</v>
      </c>
      <c r="H11062">
        <v>0.65310000000000001</v>
      </c>
      <c r="I11062" t="s">
        <v>7366</v>
      </c>
      <c r="J11062" t="s">
        <v>14</v>
      </c>
      <c r="K11062" t="str">
        <f>"1F9"</f>
        <v>1F9</v>
      </c>
      <c r="L11062" t="s">
        <v>15</v>
      </c>
    </row>
    <row r="11063" spans="1:12" x14ac:dyDescent="0.25">
      <c r="A11063" t="str">
        <f>"8057044468"</f>
        <v>8057044468</v>
      </c>
      <c r="B11063" t="str">
        <f t="shared" si="452"/>
        <v>89301000</v>
      </c>
      <c r="C11063" s="1">
        <v>44235</v>
      </c>
      <c r="D11063" s="1">
        <v>44256</v>
      </c>
      <c r="E11063">
        <v>1</v>
      </c>
      <c r="F11063" t="s">
        <v>7367</v>
      </c>
      <c r="G11063" t="str">
        <f>"14-K03-02"</f>
        <v>14-K03-02</v>
      </c>
      <c r="H11063">
        <v>0.81879999999999997</v>
      </c>
      <c r="I11063" t="s">
        <v>7368</v>
      </c>
      <c r="J11063" t="s">
        <v>14</v>
      </c>
      <c r="K11063" t="str">
        <f>"6F3"</f>
        <v>6F3</v>
      </c>
      <c r="L11063" t="s">
        <v>15</v>
      </c>
    </row>
    <row r="11064" spans="1:12" x14ac:dyDescent="0.25">
      <c r="A11064" t="str">
        <f>"8057044468"</f>
        <v>8057044468</v>
      </c>
      <c r="B11064" t="str">
        <f t="shared" si="452"/>
        <v>89301000</v>
      </c>
      <c r="C11064" s="1">
        <v>44275</v>
      </c>
      <c r="D11064" s="1">
        <v>44278</v>
      </c>
      <c r="E11064">
        <v>1</v>
      </c>
      <c r="F11064" t="s">
        <v>75</v>
      </c>
      <c r="G11064" t="str">
        <f>"14-M01-05"</f>
        <v>14-M01-05</v>
      </c>
      <c r="H11064">
        <v>0.54239999999999999</v>
      </c>
      <c r="I11064" t="s">
        <v>7369</v>
      </c>
      <c r="J11064" t="s">
        <v>59</v>
      </c>
      <c r="K11064" t="str">
        <f>"6F3"</f>
        <v>6F3</v>
      </c>
      <c r="L11064" t="s">
        <v>15</v>
      </c>
    </row>
    <row r="11065" spans="1:12" x14ac:dyDescent="0.25">
      <c r="A11065" t="str">
        <f>"8057044468"</f>
        <v>8057044468</v>
      </c>
      <c r="B11065" t="str">
        <f t="shared" si="452"/>
        <v>89301000</v>
      </c>
      <c r="C11065" s="1">
        <v>44263</v>
      </c>
      <c r="D11065" s="1">
        <v>44268</v>
      </c>
      <c r="E11065">
        <v>1</v>
      </c>
      <c r="F11065" t="s">
        <v>7279</v>
      </c>
      <c r="G11065" t="str">
        <f>"14-K03-02"</f>
        <v>14-K03-02</v>
      </c>
      <c r="H11065">
        <v>0.2646</v>
      </c>
      <c r="I11065" t="s">
        <v>7370</v>
      </c>
      <c r="J11065" t="s">
        <v>14</v>
      </c>
      <c r="K11065" t="str">
        <f>"6F3"</f>
        <v>6F3</v>
      </c>
      <c r="L11065" t="s">
        <v>15</v>
      </c>
    </row>
    <row r="11066" spans="1:12" x14ac:dyDescent="0.25">
      <c r="A11066" t="str">
        <f>"8057105826"</f>
        <v>8057105826</v>
      </c>
      <c r="B11066" t="str">
        <f t="shared" si="452"/>
        <v>89301000</v>
      </c>
      <c r="C11066" s="1">
        <v>44309</v>
      </c>
      <c r="D11066" s="1">
        <v>44310</v>
      </c>
      <c r="E11066">
        <v>1</v>
      </c>
      <c r="F11066" t="s">
        <v>7371</v>
      </c>
      <c r="G11066" t="str">
        <f>"13-K02-00"</f>
        <v>13-K02-00</v>
      </c>
      <c r="H11066">
        <v>0.24079999999999999</v>
      </c>
      <c r="J11066" t="s">
        <v>14</v>
      </c>
      <c r="K11066" t="str">
        <f>"6F3"</f>
        <v>6F3</v>
      </c>
      <c r="L11066" t="s">
        <v>15</v>
      </c>
    </row>
    <row r="11067" spans="1:12" x14ac:dyDescent="0.25">
      <c r="A11067" t="str">
        <f>"8057105826"</f>
        <v>8057105826</v>
      </c>
      <c r="B11067" t="str">
        <f t="shared" si="452"/>
        <v>89301000</v>
      </c>
      <c r="C11067" s="1">
        <v>44399</v>
      </c>
      <c r="D11067" s="1">
        <v>44401</v>
      </c>
      <c r="E11067">
        <v>1</v>
      </c>
      <c r="F11067" t="s">
        <v>2576</v>
      </c>
      <c r="G11067" t="str">
        <f>"11-I14-02"</f>
        <v>11-I14-02</v>
      </c>
      <c r="H11067">
        <v>0.63060000000000005</v>
      </c>
      <c r="J11067" t="s">
        <v>24</v>
      </c>
      <c r="K11067" t="str">
        <f>"6F3"</f>
        <v>6F3</v>
      </c>
      <c r="L11067" t="s">
        <v>15</v>
      </c>
    </row>
    <row r="11068" spans="1:12" x14ac:dyDescent="0.25">
      <c r="A11068" t="str">
        <f>"8057115308"</f>
        <v>8057115308</v>
      </c>
      <c r="B11068" t="str">
        <f t="shared" si="452"/>
        <v>89301000</v>
      </c>
      <c r="C11068" s="1">
        <v>44474</v>
      </c>
      <c r="D11068" s="1">
        <v>44476</v>
      </c>
      <c r="E11068">
        <v>1</v>
      </c>
      <c r="F11068" t="s">
        <v>2457</v>
      </c>
      <c r="G11068" t="str">
        <f>"05-D01-08"</f>
        <v>05-D01-08</v>
      </c>
      <c r="H11068">
        <v>0.4093</v>
      </c>
      <c r="I11068" t="s">
        <v>489</v>
      </c>
      <c r="J11068" t="s">
        <v>14</v>
      </c>
      <c r="K11068" t="str">
        <f>"1F1"</f>
        <v>1F1</v>
      </c>
      <c r="L11068" t="s">
        <v>15</v>
      </c>
    </row>
    <row r="11069" spans="1:12" x14ac:dyDescent="0.25">
      <c r="A11069" t="str">
        <f>"8057234460"</f>
        <v>8057234460</v>
      </c>
      <c r="B11069" t="str">
        <f t="shared" si="452"/>
        <v>89301000</v>
      </c>
      <c r="C11069" s="1">
        <v>44285</v>
      </c>
      <c r="D11069" s="1">
        <v>44286</v>
      </c>
      <c r="E11069">
        <v>1</v>
      </c>
      <c r="F11069" t="s">
        <v>2325</v>
      </c>
      <c r="G11069" t="str">
        <f>"09-I13-04"</f>
        <v>09-I13-04</v>
      </c>
      <c r="H11069">
        <v>0.57730000000000004</v>
      </c>
      <c r="J11069" t="s">
        <v>14</v>
      </c>
      <c r="K11069" t="str">
        <f>"6F1"</f>
        <v>6F1</v>
      </c>
      <c r="L11069" t="s">
        <v>15</v>
      </c>
    </row>
    <row r="11070" spans="1:12" x14ac:dyDescent="0.25">
      <c r="A11070" t="str">
        <f>"8058025756"</f>
        <v>8058025756</v>
      </c>
      <c r="B11070" t="str">
        <f t="shared" si="452"/>
        <v>89301000</v>
      </c>
      <c r="C11070" s="1">
        <v>44292</v>
      </c>
      <c r="D11070" s="1">
        <v>44293</v>
      </c>
      <c r="E11070">
        <v>1</v>
      </c>
      <c r="F11070" t="s">
        <v>4848</v>
      </c>
      <c r="G11070" t="str">
        <f>"13-I19-00"</f>
        <v>13-I19-00</v>
      </c>
      <c r="H11070">
        <v>0.24679999999999999</v>
      </c>
      <c r="J11070" t="s">
        <v>14</v>
      </c>
      <c r="K11070" t="str">
        <f>"6F3"</f>
        <v>6F3</v>
      </c>
      <c r="L11070" t="s">
        <v>15</v>
      </c>
    </row>
    <row r="11071" spans="1:12" x14ac:dyDescent="0.25">
      <c r="A11071" t="str">
        <f>"8058075311"</f>
        <v>8058075311</v>
      </c>
      <c r="B11071" t="str">
        <f t="shared" si="452"/>
        <v>89301000</v>
      </c>
      <c r="C11071" s="1">
        <v>44249</v>
      </c>
      <c r="D11071" s="1">
        <v>44253</v>
      </c>
      <c r="E11071">
        <v>1</v>
      </c>
      <c r="F11071" t="s">
        <v>335</v>
      </c>
      <c r="G11071" t="str">
        <f>"07-I10-06"</f>
        <v>07-I10-06</v>
      </c>
      <c r="H11071">
        <v>0.9728</v>
      </c>
      <c r="J11071" t="s">
        <v>17</v>
      </c>
      <c r="K11071" t="str">
        <f>"5F1"</f>
        <v>5F1</v>
      </c>
      <c r="L11071" t="s">
        <v>15</v>
      </c>
    </row>
    <row r="11072" spans="1:12" x14ac:dyDescent="0.25">
      <c r="A11072" t="str">
        <f>"8058205353"</f>
        <v>8058205353</v>
      </c>
      <c r="B11072" t="str">
        <f t="shared" si="452"/>
        <v>89301000</v>
      </c>
      <c r="C11072" s="1">
        <v>44353</v>
      </c>
      <c r="D11072" s="1">
        <v>44355</v>
      </c>
      <c r="E11072">
        <v>1</v>
      </c>
      <c r="F11072" t="s">
        <v>210</v>
      </c>
      <c r="G11072" t="str">
        <f>"08-I15-03"</f>
        <v>08-I15-03</v>
      </c>
      <c r="H11072">
        <v>1.1838</v>
      </c>
      <c r="I11072" t="s">
        <v>381</v>
      </c>
      <c r="J11072" t="s">
        <v>17</v>
      </c>
      <c r="K11072" t="str">
        <f>"5F3"</f>
        <v>5F3</v>
      </c>
      <c r="L11072" t="s">
        <v>15</v>
      </c>
    </row>
    <row r="11073" spans="1:12" x14ac:dyDescent="0.25">
      <c r="A11073" t="str">
        <f>"8058215330"</f>
        <v>8058215330</v>
      </c>
      <c r="B11073" t="str">
        <f t="shared" si="452"/>
        <v>89301000</v>
      </c>
      <c r="C11073" s="1">
        <v>44288</v>
      </c>
      <c r="D11073" s="1">
        <v>44292</v>
      </c>
      <c r="E11073">
        <v>1</v>
      </c>
      <c r="F11073" t="s">
        <v>4982</v>
      </c>
      <c r="G11073" t="str">
        <f>"01-K05-02"</f>
        <v>01-K05-02</v>
      </c>
      <c r="H11073">
        <v>0.52649999999999997</v>
      </c>
      <c r="I11073" t="s">
        <v>5813</v>
      </c>
      <c r="J11073" t="s">
        <v>14</v>
      </c>
      <c r="K11073" t="str">
        <f>"5F6"</f>
        <v>5F6</v>
      </c>
      <c r="L11073" t="s">
        <v>15</v>
      </c>
    </row>
    <row r="11074" spans="1:12" x14ac:dyDescent="0.25">
      <c r="A11074" t="str">
        <f>"8059095737"</f>
        <v>8059095737</v>
      </c>
      <c r="B11074" t="str">
        <f t="shared" si="452"/>
        <v>89301000</v>
      </c>
      <c r="C11074" s="1">
        <v>44215</v>
      </c>
      <c r="D11074" s="1">
        <v>44232</v>
      </c>
      <c r="E11074">
        <v>1</v>
      </c>
      <c r="F11074" t="s">
        <v>109</v>
      </c>
      <c r="G11074" t="str">
        <f>"24-M07-02"</f>
        <v>24-M07-02</v>
      </c>
      <c r="H11074">
        <v>1.5094000000000001</v>
      </c>
      <c r="I11074" t="s">
        <v>7372</v>
      </c>
      <c r="J11074" t="s">
        <v>14</v>
      </c>
      <c r="K11074" t="str">
        <f>"2F1"</f>
        <v>2F1</v>
      </c>
      <c r="L11074" t="s">
        <v>15</v>
      </c>
    </row>
    <row r="11075" spans="1:12" x14ac:dyDescent="0.25">
      <c r="A11075" t="str">
        <f>"8059095737"</f>
        <v>8059095737</v>
      </c>
      <c r="B11075" t="str">
        <f t="shared" si="452"/>
        <v>89301000</v>
      </c>
      <c r="C11075" s="1">
        <v>44200</v>
      </c>
      <c r="D11075" s="1">
        <v>44215</v>
      </c>
      <c r="E11075">
        <v>3</v>
      </c>
      <c r="F11075" t="s">
        <v>1968</v>
      </c>
      <c r="G11075" t="str">
        <f>"08-I05-04"</f>
        <v>08-I05-04</v>
      </c>
      <c r="H11075">
        <v>3.2871999999999999</v>
      </c>
      <c r="I11075" t="s">
        <v>7373</v>
      </c>
      <c r="J11075" t="s">
        <v>17</v>
      </c>
      <c r="K11075" t="str">
        <f>"6F6"</f>
        <v>6F6</v>
      </c>
      <c r="L11075" t="s">
        <v>15</v>
      </c>
    </row>
    <row r="11076" spans="1:12" x14ac:dyDescent="0.25">
      <c r="A11076" t="str">
        <f>"8059125393"</f>
        <v>8059125393</v>
      </c>
      <c r="B11076" t="str">
        <f t="shared" si="452"/>
        <v>89301000</v>
      </c>
      <c r="C11076" s="1">
        <v>44496</v>
      </c>
      <c r="D11076" s="1">
        <v>44497</v>
      </c>
      <c r="E11076">
        <v>1</v>
      </c>
      <c r="F11076" t="s">
        <v>41</v>
      </c>
      <c r="G11076" t="str">
        <f>"01-D01-03"</f>
        <v>01-D01-03</v>
      </c>
      <c r="H11076">
        <v>0.158</v>
      </c>
      <c r="J11076" t="s">
        <v>14</v>
      </c>
      <c r="K11076" t="str">
        <f>"2F5"</f>
        <v>2F5</v>
      </c>
      <c r="L11076" t="s">
        <v>15</v>
      </c>
    </row>
    <row r="11077" spans="1:12" x14ac:dyDescent="0.25">
      <c r="A11077" t="str">
        <f>"8059171901"</f>
        <v>8059171901</v>
      </c>
      <c r="B11077" t="str">
        <f t="shared" si="452"/>
        <v>89301000</v>
      </c>
      <c r="C11077" s="1">
        <v>44256</v>
      </c>
      <c r="D11077" s="1">
        <v>44258</v>
      </c>
      <c r="E11077">
        <v>1</v>
      </c>
      <c r="F11077" t="s">
        <v>75</v>
      </c>
      <c r="G11077" t="str">
        <f>"14-M01-05"</f>
        <v>14-M01-05</v>
      </c>
      <c r="H11077">
        <v>0.54239999999999999</v>
      </c>
      <c r="I11077" t="s">
        <v>256</v>
      </c>
      <c r="J11077" t="s">
        <v>59</v>
      </c>
      <c r="K11077" t="str">
        <f>"6F3"</f>
        <v>6F3</v>
      </c>
      <c r="L11077" t="s">
        <v>15</v>
      </c>
    </row>
    <row r="11078" spans="1:12" x14ac:dyDescent="0.25">
      <c r="A11078" t="str">
        <f>"8059245348"</f>
        <v>8059245348</v>
      </c>
      <c r="B11078" t="str">
        <f t="shared" si="452"/>
        <v>89301000</v>
      </c>
      <c r="C11078" s="1">
        <v>44293</v>
      </c>
      <c r="D11078" s="1">
        <v>44296</v>
      </c>
      <c r="E11078">
        <v>1</v>
      </c>
      <c r="F11078" t="s">
        <v>6439</v>
      </c>
      <c r="G11078" t="str">
        <f>"23-I08-00"</f>
        <v>23-I08-00</v>
      </c>
      <c r="H11078">
        <v>0.79700000000000004</v>
      </c>
      <c r="J11078" t="s">
        <v>24</v>
      </c>
      <c r="K11078" t="str">
        <f>"6F3"</f>
        <v>6F3</v>
      </c>
      <c r="L11078" t="s">
        <v>15</v>
      </c>
    </row>
    <row r="11079" spans="1:12" x14ac:dyDescent="0.25">
      <c r="A11079" t="str">
        <f>"8060015304"</f>
        <v>8060015304</v>
      </c>
      <c r="B11079" t="str">
        <f t="shared" si="452"/>
        <v>89301000</v>
      </c>
      <c r="C11079" s="1">
        <v>44353</v>
      </c>
      <c r="D11079" s="1">
        <v>44358</v>
      </c>
      <c r="E11079">
        <v>1</v>
      </c>
      <c r="F11079" t="s">
        <v>2863</v>
      </c>
      <c r="G11079" t="str">
        <f>"13-K08-01"</f>
        <v>13-K08-01</v>
      </c>
      <c r="H11079">
        <v>1.2709999999999999</v>
      </c>
      <c r="I11079" t="s">
        <v>7374</v>
      </c>
      <c r="J11079" t="s">
        <v>14</v>
      </c>
      <c r="K11079" t="str">
        <f>"1F1"</f>
        <v>1F1</v>
      </c>
      <c r="L11079" t="s">
        <v>15</v>
      </c>
    </row>
    <row r="11080" spans="1:12" x14ac:dyDescent="0.25">
      <c r="A11080" t="str">
        <f>"8060015304"</f>
        <v>8060015304</v>
      </c>
      <c r="B11080" t="str">
        <f t="shared" si="452"/>
        <v>89301000</v>
      </c>
      <c r="C11080" s="1">
        <v>44383</v>
      </c>
      <c r="D11080" s="1">
        <v>44389</v>
      </c>
      <c r="E11080">
        <v>1</v>
      </c>
      <c r="F11080" t="s">
        <v>7375</v>
      </c>
      <c r="G11080" t="str">
        <f>"13-K08-01"</f>
        <v>13-K08-01</v>
      </c>
      <c r="H11080">
        <v>1.2709999999999999</v>
      </c>
      <c r="I11080" t="s">
        <v>7376</v>
      </c>
      <c r="J11080" t="s">
        <v>14</v>
      </c>
      <c r="K11080" t="str">
        <f>"4F2"</f>
        <v>4F2</v>
      </c>
      <c r="L11080" t="s">
        <v>15</v>
      </c>
    </row>
    <row r="11081" spans="1:12" x14ac:dyDescent="0.25">
      <c r="A11081" t="str">
        <f>"8060045323"</f>
        <v>8060045323</v>
      </c>
      <c r="B11081" t="str">
        <f t="shared" si="452"/>
        <v>89301000</v>
      </c>
      <c r="C11081" s="1">
        <v>44467</v>
      </c>
      <c r="D11081" s="1">
        <v>44470</v>
      </c>
      <c r="E11081">
        <v>1</v>
      </c>
      <c r="F11081" t="s">
        <v>71</v>
      </c>
      <c r="G11081" t="str">
        <f>"08-I19-03"</f>
        <v>08-I19-03</v>
      </c>
      <c r="H11081">
        <v>0.61250000000000004</v>
      </c>
      <c r="I11081" t="s">
        <v>818</v>
      </c>
      <c r="J11081" t="s">
        <v>17</v>
      </c>
      <c r="K11081" t="str">
        <f>"6F6"</f>
        <v>6F6</v>
      </c>
      <c r="L11081" t="s">
        <v>15</v>
      </c>
    </row>
    <row r="11082" spans="1:12" x14ac:dyDescent="0.25">
      <c r="A11082" t="str">
        <f>"8060045334"</f>
        <v>8060045334</v>
      </c>
      <c r="B11082" t="str">
        <f t="shared" si="452"/>
        <v>89301000</v>
      </c>
      <c r="C11082" s="1">
        <v>44354</v>
      </c>
      <c r="D11082" s="1">
        <v>44357</v>
      </c>
      <c r="E11082">
        <v>1</v>
      </c>
      <c r="F11082" t="s">
        <v>43</v>
      </c>
      <c r="G11082" t="str">
        <f>"06-I18-05"</f>
        <v>06-I18-05</v>
      </c>
      <c r="H11082">
        <v>0.85550000000000004</v>
      </c>
      <c r="J11082" t="s">
        <v>24</v>
      </c>
      <c r="K11082" t="str">
        <f>"5F1"</f>
        <v>5F1</v>
      </c>
      <c r="L11082" t="s">
        <v>15</v>
      </c>
    </row>
    <row r="11083" spans="1:12" x14ac:dyDescent="0.25">
      <c r="A11083" t="str">
        <f>"8060155378"</f>
        <v>8060155378</v>
      </c>
      <c r="B11083" t="str">
        <f t="shared" si="452"/>
        <v>89301000</v>
      </c>
      <c r="C11083" s="1">
        <v>44437</v>
      </c>
      <c r="D11083" s="1">
        <v>44439</v>
      </c>
      <c r="E11083">
        <v>1</v>
      </c>
      <c r="F11083" t="s">
        <v>457</v>
      </c>
      <c r="G11083" t="str">
        <f>"08-I16-04"</f>
        <v>08-I16-04</v>
      </c>
      <c r="H11083">
        <v>0.92159999999999997</v>
      </c>
      <c r="I11083" t="s">
        <v>410</v>
      </c>
      <c r="J11083" t="s">
        <v>17</v>
      </c>
      <c r="K11083" t="str">
        <f>"5F3"</f>
        <v>5F3</v>
      </c>
      <c r="L11083" t="s">
        <v>15</v>
      </c>
    </row>
    <row r="11084" spans="1:12" x14ac:dyDescent="0.25">
      <c r="A11084" t="str">
        <f>"8060174595"</f>
        <v>8060174595</v>
      </c>
      <c r="B11084" t="str">
        <f t="shared" si="452"/>
        <v>89301000</v>
      </c>
      <c r="C11084" s="1">
        <v>44361</v>
      </c>
      <c r="D11084" s="1">
        <v>44365</v>
      </c>
      <c r="E11084">
        <v>1</v>
      </c>
      <c r="F11084" t="s">
        <v>61</v>
      </c>
      <c r="G11084" t="str">
        <f>"14-I01-05"</f>
        <v>14-I01-05</v>
      </c>
      <c r="H11084">
        <v>0.80030000000000001</v>
      </c>
      <c r="I11084" t="s">
        <v>62</v>
      </c>
      <c r="J11084" t="s">
        <v>59</v>
      </c>
      <c r="K11084" t="str">
        <f>"6F3"</f>
        <v>6F3</v>
      </c>
      <c r="L11084" t="s">
        <v>15</v>
      </c>
    </row>
    <row r="11085" spans="1:12" x14ac:dyDescent="0.25">
      <c r="A11085" t="str">
        <f>"8060204064"</f>
        <v>8060204064</v>
      </c>
      <c r="B11085" t="str">
        <f t="shared" si="452"/>
        <v>89301000</v>
      </c>
      <c r="C11085" s="1">
        <v>44444</v>
      </c>
      <c r="D11085" s="1">
        <v>44456</v>
      </c>
      <c r="E11085">
        <v>1</v>
      </c>
      <c r="F11085" t="s">
        <v>264</v>
      </c>
      <c r="G11085" t="str">
        <f>"01-K12-01"</f>
        <v>01-K12-01</v>
      </c>
      <c r="H11085">
        <v>0.79569999999999996</v>
      </c>
      <c r="I11085" t="s">
        <v>7377</v>
      </c>
      <c r="J11085" t="s">
        <v>14</v>
      </c>
      <c r="K11085" t="str">
        <f>"2F9"</f>
        <v>2F9</v>
      </c>
      <c r="L11085" t="s">
        <v>15</v>
      </c>
    </row>
    <row r="11086" spans="1:12" x14ac:dyDescent="0.25">
      <c r="A11086" t="str">
        <f>"8060224458"</f>
        <v>8060224458</v>
      </c>
      <c r="B11086" t="str">
        <f t="shared" si="452"/>
        <v>89301000</v>
      </c>
      <c r="C11086" s="1">
        <v>44454</v>
      </c>
      <c r="D11086" s="1">
        <v>44455</v>
      </c>
      <c r="E11086">
        <v>1</v>
      </c>
      <c r="F11086" t="s">
        <v>1950</v>
      </c>
      <c r="G11086" t="str">
        <f>"02-I13-02"</f>
        <v>02-I13-02</v>
      </c>
      <c r="H11086">
        <v>0.376</v>
      </c>
      <c r="J11086" t="s">
        <v>14</v>
      </c>
      <c r="K11086" t="str">
        <f>"7F5"</f>
        <v>7F5</v>
      </c>
      <c r="L11086" t="s">
        <v>15</v>
      </c>
    </row>
    <row r="11087" spans="1:12" x14ac:dyDescent="0.25">
      <c r="A11087" t="str">
        <f>"8060245314"</f>
        <v>8060245314</v>
      </c>
      <c r="B11087" t="str">
        <f t="shared" si="452"/>
        <v>89301000</v>
      </c>
      <c r="C11087" s="1">
        <v>44491</v>
      </c>
      <c r="D11087" s="1">
        <v>44494</v>
      </c>
      <c r="E11087">
        <v>1</v>
      </c>
      <c r="F11087" t="s">
        <v>16</v>
      </c>
      <c r="G11087" t="str">
        <f>"08-I04-03"</f>
        <v>08-I04-03</v>
      </c>
      <c r="H11087">
        <v>1.331</v>
      </c>
      <c r="J11087" t="s">
        <v>17</v>
      </c>
      <c r="K11087" t="str">
        <f>"5F6"</f>
        <v>5F6</v>
      </c>
      <c r="L11087" t="s">
        <v>15</v>
      </c>
    </row>
    <row r="11088" spans="1:12" x14ac:dyDescent="0.25">
      <c r="A11088" t="str">
        <f>"8060245314"</f>
        <v>8060245314</v>
      </c>
      <c r="B11088" t="str">
        <f t="shared" si="452"/>
        <v>89301000</v>
      </c>
      <c r="C11088" s="1">
        <v>44362</v>
      </c>
      <c r="D11088" s="1">
        <v>44372</v>
      </c>
      <c r="E11088">
        <v>1</v>
      </c>
      <c r="F11088" t="s">
        <v>109</v>
      </c>
      <c r="G11088" t="str">
        <f>"24-M06-02"</f>
        <v>24-M06-02</v>
      </c>
      <c r="H11088">
        <v>1.0233000000000001</v>
      </c>
      <c r="I11088" t="s">
        <v>7378</v>
      </c>
      <c r="J11088" t="s">
        <v>14</v>
      </c>
      <c r="K11088" t="str">
        <f>"2F1"</f>
        <v>2F1</v>
      </c>
      <c r="L11088" t="s">
        <v>15</v>
      </c>
    </row>
    <row r="11089" spans="1:12" x14ac:dyDescent="0.25">
      <c r="A11089" t="str">
        <f>"8060275311"</f>
        <v>8060275311</v>
      </c>
      <c r="B11089" t="str">
        <f t="shared" si="452"/>
        <v>89301000</v>
      </c>
      <c r="C11089" s="1">
        <v>44414</v>
      </c>
      <c r="D11089" s="1">
        <v>44421</v>
      </c>
      <c r="E11089">
        <v>1</v>
      </c>
      <c r="F11089" t="s">
        <v>7379</v>
      </c>
      <c r="G11089" t="str">
        <f>"07-K04-03"</f>
        <v>07-K04-03</v>
      </c>
      <c r="H11089">
        <v>1.0898000000000001</v>
      </c>
      <c r="I11089" t="s">
        <v>7380</v>
      </c>
      <c r="J11089" t="s">
        <v>14</v>
      </c>
      <c r="K11089" t="str">
        <f>"1F1"</f>
        <v>1F1</v>
      </c>
      <c r="L11089" t="s">
        <v>15</v>
      </c>
    </row>
    <row r="11090" spans="1:12" x14ac:dyDescent="0.25">
      <c r="A11090" t="str">
        <f>"8061072283"</f>
        <v>8061072283</v>
      </c>
      <c r="B11090" t="str">
        <f t="shared" si="452"/>
        <v>89301000</v>
      </c>
      <c r="C11090" s="1">
        <v>44375</v>
      </c>
      <c r="D11090" s="1">
        <v>44378</v>
      </c>
      <c r="E11090">
        <v>1</v>
      </c>
      <c r="F11090" t="s">
        <v>75</v>
      </c>
      <c r="G11090" t="str">
        <f>"14-M01-05"</f>
        <v>14-M01-05</v>
      </c>
      <c r="H11090">
        <v>0.54239999999999999</v>
      </c>
      <c r="I11090" t="s">
        <v>256</v>
      </c>
      <c r="J11090" t="s">
        <v>59</v>
      </c>
      <c r="K11090" t="str">
        <f>"6F3"</f>
        <v>6F3</v>
      </c>
      <c r="L11090" t="s">
        <v>15</v>
      </c>
    </row>
    <row r="11091" spans="1:12" x14ac:dyDescent="0.25">
      <c r="A11091" t="str">
        <f>"8061225755"</f>
        <v>8061225755</v>
      </c>
      <c r="B11091" t="str">
        <f t="shared" si="452"/>
        <v>89301000</v>
      </c>
      <c r="C11091" s="1">
        <v>44480</v>
      </c>
      <c r="D11091" s="1">
        <v>44484</v>
      </c>
      <c r="E11091">
        <v>1</v>
      </c>
      <c r="F11091" t="s">
        <v>1551</v>
      </c>
      <c r="G11091" t="str">
        <f>"09-I06-04"</f>
        <v>09-I06-04</v>
      </c>
      <c r="H11091">
        <v>0.98829999999999996</v>
      </c>
      <c r="J11091" t="s">
        <v>17</v>
      </c>
      <c r="K11091" t="str">
        <f>"5F1"</f>
        <v>5F1</v>
      </c>
      <c r="L11091" t="s">
        <v>15</v>
      </c>
    </row>
    <row r="11092" spans="1:12" x14ac:dyDescent="0.25">
      <c r="A11092" t="str">
        <f>"8061275695"</f>
        <v>8061275695</v>
      </c>
      <c r="B11092" t="str">
        <f t="shared" si="452"/>
        <v>89301000</v>
      </c>
      <c r="C11092" s="1">
        <v>44312</v>
      </c>
      <c r="D11092" s="1">
        <v>44314</v>
      </c>
      <c r="E11092">
        <v>1</v>
      </c>
      <c r="F11092" t="s">
        <v>7381</v>
      </c>
      <c r="G11092" t="str">
        <f>"08-I26-03"</f>
        <v>08-I26-03</v>
      </c>
      <c r="H11092">
        <v>0.45679999999999998</v>
      </c>
      <c r="I11092" t="s">
        <v>7382</v>
      </c>
      <c r="J11092" t="s">
        <v>14</v>
      </c>
      <c r="K11092" t="str">
        <f>"6F6"</f>
        <v>6F6</v>
      </c>
      <c r="L11092" t="s">
        <v>15</v>
      </c>
    </row>
    <row r="11093" spans="1:12" x14ac:dyDescent="0.25">
      <c r="A11093" t="str">
        <f>"8061284946"</f>
        <v>8061284946</v>
      </c>
      <c r="B11093" t="str">
        <f t="shared" si="452"/>
        <v>89301000</v>
      </c>
      <c r="C11093" s="1">
        <v>44308</v>
      </c>
      <c r="D11093" s="1">
        <v>44311</v>
      </c>
      <c r="E11093">
        <v>1</v>
      </c>
      <c r="F11093" t="s">
        <v>7048</v>
      </c>
      <c r="G11093" t="str">
        <f>"13-I14-03"</f>
        <v>13-I14-03</v>
      </c>
      <c r="H11093">
        <v>0.83199999999999996</v>
      </c>
      <c r="J11093" t="s">
        <v>24</v>
      </c>
      <c r="K11093" t="str">
        <f>"6F3"</f>
        <v>6F3</v>
      </c>
      <c r="L11093" t="s">
        <v>15</v>
      </c>
    </row>
    <row r="11094" spans="1:12" x14ac:dyDescent="0.25">
      <c r="A11094" t="str">
        <f>"8062015698"</f>
        <v>8062015698</v>
      </c>
      <c r="B11094" t="str">
        <f t="shared" si="452"/>
        <v>89301000</v>
      </c>
      <c r="C11094" s="1">
        <v>44259</v>
      </c>
      <c r="D11094" s="1">
        <v>44262</v>
      </c>
      <c r="E11094">
        <v>1</v>
      </c>
      <c r="F11094" t="s">
        <v>75</v>
      </c>
      <c r="G11094" t="str">
        <f>"14-M01-05"</f>
        <v>14-M01-05</v>
      </c>
      <c r="H11094">
        <v>0.54239999999999999</v>
      </c>
      <c r="I11094" t="s">
        <v>7383</v>
      </c>
      <c r="J11094" t="s">
        <v>59</v>
      </c>
      <c r="K11094" t="str">
        <f>"6F3"</f>
        <v>6F3</v>
      </c>
      <c r="L11094" t="s">
        <v>15</v>
      </c>
    </row>
    <row r="11095" spans="1:12" x14ac:dyDescent="0.25">
      <c r="A11095" t="str">
        <f>"8062084459"</f>
        <v>8062084459</v>
      </c>
      <c r="B11095" t="str">
        <f t="shared" si="452"/>
        <v>89301000</v>
      </c>
      <c r="C11095" s="1">
        <v>44396</v>
      </c>
      <c r="D11095" s="1">
        <v>44397</v>
      </c>
      <c r="E11095">
        <v>1</v>
      </c>
      <c r="F11095" t="s">
        <v>186</v>
      </c>
      <c r="G11095" t="str">
        <f>"05-M05-03"</f>
        <v>05-M05-03</v>
      </c>
      <c r="H11095">
        <v>1.9991000000000001</v>
      </c>
      <c r="J11095" t="s">
        <v>24</v>
      </c>
      <c r="K11095" t="str">
        <f>"1F7"</f>
        <v>1F7</v>
      </c>
      <c r="L11095" t="s">
        <v>15</v>
      </c>
    </row>
    <row r="11096" spans="1:12" x14ac:dyDescent="0.25">
      <c r="A11096" t="str">
        <f>"8062095360"</f>
        <v>8062095360</v>
      </c>
      <c r="B11096" t="str">
        <f t="shared" si="452"/>
        <v>89301000</v>
      </c>
      <c r="C11096" s="1">
        <v>44274</v>
      </c>
      <c r="D11096" s="1">
        <v>44275</v>
      </c>
      <c r="E11096">
        <v>1</v>
      </c>
      <c r="F11096" t="s">
        <v>3852</v>
      </c>
      <c r="G11096" t="str">
        <f>"13-I19-00"</f>
        <v>13-I19-00</v>
      </c>
      <c r="H11096">
        <v>0.24679999999999999</v>
      </c>
      <c r="J11096" t="s">
        <v>14</v>
      </c>
      <c r="K11096" t="str">
        <f>"6F3"</f>
        <v>6F3</v>
      </c>
      <c r="L11096" t="s">
        <v>15</v>
      </c>
    </row>
    <row r="11097" spans="1:12" x14ac:dyDescent="0.25">
      <c r="A11097" t="str">
        <f>"8062104468"</f>
        <v>8062104468</v>
      </c>
      <c r="B11097" t="str">
        <f t="shared" si="452"/>
        <v>89301000</v>
      </c>
      <c r="C11097" s="1">
        <v>44483</v>
      </c>
      <c r="D11097" s="1">
        <v>44486</v>
      </c>
      <c r="E11097">
        <v>1</v>
      </c>
      <c r="F11097" t="s">
        <v>7384</v>
      </c>
      <c r="G11097" t="str">
        <f>"06-I22-02"</f>
        <v>06-I22-02</v>
      </c>
      <c r="H11097">
        <v>0.436</v>
      </c>
      <c r="I11097" t="s">
        <v>903</v>
      </c>
      <c r="J11097" t="s">
        <v>14</v>
      </c>
      <c r="K11097" t="str">
        <f>"5F1"</f>
        <v>5F1</v>
      </c>
      <c r="L11097" t="s">
        <v>15</v>
      </c>
    </row>
    <row r="11098" spans="1:12" x14ac:dyDescent="0.25">
      <c r="A11098" t="str">
        <f>"8062105766"</f>
        <v>8062105766</v>
      </c>
      <c r="B11098" t="str">
        <f t="shared" si="452"/>
        <v>89301000</v>
      </c>
      <c r="C11098" s="1">
        <v>44293</v>
      </c>
      <c r="D11098" s="1">
        <v>44296</v>
      </c>
      <c r="E11098">
        <v>1</v>
      </c>
      <c r="F11098" t="s">
        <v>75</v>
      </c>
      <c r="G11098" t="str">
        <f>"14-M01-05"</f>
        <v>14-M01-05</v>
      </c>
      <c r="H11098">
        <v>0.54239999999999999</v>
      </c>
      <c r="I11098" t="s">
        <v>426</v>
      </c>
      <c r="J11098" t="s">
        <v>59</v>
      </c>
      <c r="K11098" t="str">
        <f>"6F3"</f>
        <v>6F3</v>
      </c>
      <c r="L11098" t="s">
        <v>15</v>
      </c>
    </row>
    <row r="11099" spans="1:12" x14ac:dyDescent="0.25">
      <c r="A11099" t="str">
        <f>"8062235830"</f>
        <v>8062235830</v>
      </c>
      <c r="B11099" t="str">
        <f t="shared" si="452"/>
        <v>89301000</v>
      </c>
      <c r="C11099" s="1">
        <v>44356</v>
      </c>
      <c r="D11099" s="1">
        <v>44360</v>
      </c>
      <c r="E11099">
        <v>1</v>
      </c>
      <c r="F11099" t="s">
        <v>75</v>
      </c>
      <c r="G11099" t="str">
        <f>"14-M01-05"</f>
        <v>14-M01-05</v>
      </c>
      <c r="H11099">
        <v>0.54239999999999999</v>
      </c>
      <c r="I11099" t="s">
        <v>7385</v>
      </c>
      <c r="J11099" t="s">
        <v>59</v>
      </c>
      <c r="K11099" t="str">
        <f>"6F3"</f>
        <v>6F3</v>
      </c>
      <c r="L11099" t="s">
        <v>15</v>
      </c>
    </row>
    <row r="11100" spans="1:12" x14ac:dyDescent="0.25">
      <c r="A11100" t="str">
        <f>"8062285308"</f>
        <v>8062285308</v>
      </c>
      <c r="B11100" t="str">
        <f t="shared" si="452"/>
        <v>89301000</v>
      </c>
      <c r="C11100" s="1">
        <v>44357</v>
      </c>
      <c r="D11100" s="1">
        <v>44363</v>
      </c>
      <c r="E11100">
        <v>1</v>
      </c>
      <c r="F11100" t="s">
        <v>49</v>
      </c>
      <c r="G11100" t="str">
        <f>"01-K18-04"</f>
        <v>01-K18-04</v>
      </c>
      <c r="H11100">
        <v>0.49890000000000001</v>
      </c>
      <c r="I11100" t="s">
        <v>50</v>
      </c>
      <c r="J11100" t="s">
        <v>14</v>
      </c>
      <c r="K11100" t="str">
        <f>"2F9"</f>
        <v>2F9</v>
      </c>
      <c r="L11100" t="s">
        <v>15</v>
      </c>
    </row>
    <row r="11101" spans="1:12" x14ac:dyDescent="0.25">
      <c r="A11101" t="str">
        <f>"8062285308"</f>
        <v>8062285308</v>
      </c>
      <c r="B11101" t="str">
        <f t="shared" si="452"/>
        <v>89301000</v>
      </c>
      <c r="C11101" s="1">
        <v>44474</v>
      </c>
      <c r="D11101" s="1">
        <v>44476</v>
      </c>
      <c r="E11101">
        <v>1</v>
      </c>
      <c r="F11101" t="s">
        <v>50</v>
      </c>
      <c r="G11101" t="str">
        <f>"02-K07-02"</f>
        <v>02-K07-02</v>
      </c>
      <c r="H11101">
        <v>0.48699999999999999</v>
      </c>
      <c r="J11101" t="s">
        <v>14</v>
      </c>
      <c r="K11101" t="str">
        <f>"2F9"</f>
        <v>2F9</v>
      </c>
      <c r="L11101" t="s">
        <v>15</v>
      </c>
    </row>
    <row r="11102" spans="1:12" x14ac:dyDescent="0.25">
      <c r="A11102" t="str">
        <f>"8101015340"</f>
        <v>8101015340</v>
      </c>
      <c r="B11102" t="str">
        <f t="shared" si="452"/>
        <v>89301000</v>
      </c>
      <c r="C11102" s="1">
        <v>44539</v>
      </c>
      <c r="D11102" s="1">
        <v>44547</v>
      </c>
      <c r="E11102">
        <v>1</v>
      </c>
      <c r="F11102" t="s">
        <v>6203</v>
      </c>
      <c r="G11102" t="str">
        <f>"06-K08-01"</f>
        <v>06-K08-01</v>
      </c>
      <c r="H11102">
        <v>1.3269</v>
      </c>
      <c r="I11102" t="s">
        <v>7386</v>
      </c>
      <c r="J11102" t="s">
        <v>14</v>
      </c>
      <c r="K11102" t="str">
        <f>"1F5"</f>
        <v>1F5</v>
      </c>
      <c r="L11102" t="s">
        <v>15</v>
      </c>
    </row>
    <row r="11103" spans="1:12" x14ac:dyDescent="0.25">
      <c r="A11103" t="str">
        <f>"8101274456"</f>
        <v>8101274456</v>
      </c>
      <c r="B11103" t="str">
        <f t="shared" si="452"/>
        <v>89301000</v>
      </c>
      <c r="C11103" s="1">
        <v>44482</v>
      </c>
      <c r="D11103" s="1">
        <v>44487</v>
      </c>
      <c r="E11103">
        <v>1</v>
      </c>
      <c r="F11103" t="s">
        <v>1968</v>
      </c>
      <c r="G11103" t="str">
        <f>"08-I30-02"</f>
        <v>08-I30-02</v>
      </c>
      <c r="H11103">
        <v>1.2816000000000001</v>
      </c>
      <c r="J11103" t="s">
        <v>14</v>
      </c>
      <c r="K11103" t="str">
        <f>"6F6"</f>
        <v>6F6</v>
      </c>
      <c r="L11103" t="s">
        <v>15</v>
      </c>
    </row>
    <row r="11104" spans="1:12" x14ac:dyDescent="0.25">
      <c r="A11104" t="str">
        <f>"8101781105"</f>
        <v>8101781105</v>
      </c>
      <c r="B11104" t="str">
        <f t="shared" si="452"/>
        <v>89301000</v>
      </c>
      <c r="C11104" s="1">
        <v>44493</v>
      </c>
      <c r="D11104" s="1">
        <v>44495</v>
      </c>
      <c r="E11104">
        <v>1</v>
      </c>
      <c r="F11104" t="s">
        <v>609</v>
      </c>
      <c r="G11104" t="str">
        <f>"08-K13-02"</f>
        <v>08-K13-02</v>
      </c>
      <c r="H11104">
        <v>0.47210000000000002</v>
      </c>
      <c r="I11104" t="s">
        <v>163</v>
      </c>
      <c r="J11104" t="s">
        <v>14</v>
      </c>
      <c r="K11104" t="str">
        <f>"5F3"</f>
        <v>5F3</v>
      </c>
      <c r="L11104" t="s">
        <v>15</v>
      </c>
    </row>
    <row r="11105" spans="1:12" x14ac:dyDescent="0.25">
      <c r="A11105" t="str">
        <f>"8103024391"</f>
        <v>8103024391</v>
      </c>
      <c r="B11105" t="str">
        <f t="shared" si="452"/>
        <v>89301000</v>
      </c>
      <c r="C11105" s="1">
        <v>44204</v>
      </c>
      <c r="D11105" s="1">
        <v>44205</v>
      </c>
      <c r="E11105">
        <v>1</v>
      </c>
      <c r="F11105" t="s">
        <v>7387</v>
      </c>
      <c r="G11105" t="str">
        <f>"03-K08-00"</f>
        <v>03-K08-00</v>
      </c>
      <c r="H11105">
        <v>0.42749999999999999</v>
      </c>
      <c r="J11105" t="s">
        <v>14</v>
      </c>
      <c r="K11105" t="str">
        <f>"6F5"</f>
        <v>6F5</v>
      </c>
      <c r="L11105" t="s">
        <v>15</v>
      </c>
    </row>
    <row r="11106" spans="1:12" x14ac:dyDescent="0.25">
      <c r="A11106" t="str">
        <f>"8103024468"</f>
        <v>8103024468</v>
      </c>
      <c r="B11106" t="str">
        <f t="shared" ref="B11106:B11168" si="453">"89301000"</f>
        <v>89301000</v>
      </c>
      <c r="C11106" s="1">
        <v>44346</v>
      </c>
      <c r="D11106" s="1">
        <v>44355</v>
      </c>
      <c r="E11106">
        <v>1</v>
      </c>
      <c r="F11106" t="s">
        <v>7388</v>
      </c>
      <c r="G11106" t="str">
        <f>"19-K03-03"</f>
        <v>19-K03-03</v>
      </c>
      <c r="H11106">
        <v>0.93169999999999997</v>
      </c>
      <c r="J11106" t="s">
        <v>27</v>
      </c>
      <c r="K11106" t="str">
        <f>"3F5"</f>
        <v>3F5</v>
      </c>
      <c r="L11106" t="s">
        <v>15</v>
      </c>
    </row>
    <row r="11107" spans="1:12" x14ac:dyDescent="0.25">
      <c r="A11107" t="str">
        <f>"8103055356"</f>
        <v>8103055356</v>
      </c>
      <c r="B11107" t="str">
        <f t="shared" si="453"/>
        <v>89301000</v>
      </c>
      <c r="C11107" s="1">
        <v>44411</v>
      </c>
      <c r="D11107" s="1">
        <v>44419</v>
      </c>
      <c r="E11107">
        <v>1</v>
      </c>
      <c r="F11107" t="s">
        <v>7389</v>
      </c>
      <c r="G11107" t="str">
        <f>"01-K11-02"</f>
        <v>01-K11-02</v>
      </c>
      <c r="H11107">
        <v>1.9453</v>
      </c>
      <c r="I11107" t="s">
        <v>7390</v>
      </c>
      <c r="J11107" t="s">
        <v>14</v>
      </c>
      <c r="K11107" t="str">
        <f>"2F9"</f>
        <v>2F9</v>
      </c>
      <c r="L11107" t="s">
        <v>15</v>
      </c>
    </row>
    <row r="11108" spans="1:12" x14ac:dyDescent="0.25">
      <c r="A11108" t="str">
        <f>"8103064464"</f>
        <v>8103064464</v>
      </c>
      <c r="B11108" t="str">
        <f t="shared" si="453"/>
        <v>89301000</v>
      </c>
      <c r="C11108" s="1">
        <v>44507</v>
      </c>
      <c r="D11108" s="1">
        <v>44509</v>
      </c>
      <c r="E11108">
        <v>1</v>
      </c>
      <c r="F11108" t="s">
        <v>4382</v>
      </c>
      <c r="G11108" t="str">
        <f>"05-I30-02"</f>
        <v>05-I30-02</v>
      </c>
      <c r="H11108">
        <v>0.46729999999999999</v>
      </c>
      <c r="J11108" t="s">
        <v>14</v>
      </c>
      <c r="K11108" t="str">
        <f>"5F1"</f>
        <v>5F1</v>
      </c>
      <c r="L11108" t="s">
        <v>15</v>
      </c>
    </row>
    <row r="11109" spans="1:12" x14ac:dyDescent="0.25">
      <c r="A11109" t="str">
        <f>"8104174463"</f>
        <v>8104174463</v>
      </c>
      <c r="B11109" t="str">
        <f t="shared" si="453"/>
        <v>89301000</v>
      </c>
      <c r="C11109" s="1">
        <v>44455</v>
      </c>
      <c r="D11109" s="1">
        <v>44461</v>
      </c>
      <c r="E11109">
        <v>1</v>
      </c>
      <c r="F11109" t="s">
        <v>1690</v>
      </c>
      <c r="G11109" t="str">
        <f>"07-I10-06"</f>
        <v>07-I10-06</v>
      </c>
      <c r="H11109">
        <v>0.9728</v>
      </c>
      <c r="I11109" t="s">
        <v>7391</v>
      </c>
      <c r="J11109" t="s">
        <v>17</v>
      </c>
      <c r="K11109" t="str">
        <f>"5F1"</f>
        <v>5F1</v>
      </c>
      <c r="L11109" t="s">
        <v>15</v>
      </c>
    </row>
    <row r="11110" spans="1:12" x14ac:dyDescent="0.25">
      <c r="A11110" t="str">
        <f>"8105075759"</f>
        <v>8105075759</v>
      </c>
      <c r="B11110" t="str">
        <f t="shared" si="453"/>
        <v>89301000</v>
      </c>
      <c r="C11110" s="1">
        <v>44378</v>
      </c>
      <c r="D11110" s="1">
        <v>44413</v>
      </c>
      <c r="E11110">
        <v>4</v>
      </c>
      <c r="F11110" t="s">
        <v>78</v>
      </c>
      <c r="G11110" t="str">
        <f>"19-M01-00"</f>
        <v>19-M01-00</v>
      </c>
      <c r="H11110">
        <v>2.39</v>
      </c>
      <c r="I11110" t="s">
        <v>7392</v>
      </c>
      <c r="J11110" t="s">
        <v>27</v>
      </c>
      <c r="K11110" t="str">
        <f>"3F5"</f>
        <v>3F5</v>
      </c>
      <c r="L11110" t="s">
        <v>15</v>
      </c>
    </row>
    <row r="11111" spans="1:12" x14ac:dyDescent="0.25">
      <c r="A11111" t="str">
        <f>"8105075759"</f>
        <v>8105075759</v>
      </c>
      <c r="B11111" t="str">
        <f t="shared" si="453"/>
        <v>89301000</v>
      </c>
      <c r="C11111" s="1">
        <v>44274</v>
      </c>
      <c r="D11111" s="1">
        <v>44286</v>
      </c>
      <c r="E11111">
        <v>1</v>
      </c>
      <c r="F11111" t="s">
        <v>78</v>
      </c>
      <c r="G11111" t="str">
        <f>"19-K03-03"</f>
        <v>19-K03-03</v>
      </c>
      <c r="H11111">
        <v>0.93169999999999997</v>
      </c>
      <c r="I11111" t="s">
        <v>7393</v>
      </c>
      <c r="J11111" t="s">
        <v>27</v>
      </c>
      <c r="K11111" t="str">
        <f>"3F5"</f>
        <v>3F5</v>
      </c>
      <c r="L11111" t="s">
        <v>15</v>
      </c>
    </row>
    <row r="11112" spans="1:12" x14ac:dyDescent="0.25">
      <c r="A11112" t="str">
        <f>"8105075759"</f>
        <v>8105075759</v>
      </c>
      <c r="B11112" t="str">
        <f t="shared" si="453"/>
        <v>89301000</v>
      </c>
      <c r="C11112" s="1">
        <v>44204</v>
      </c>
      <c r="D11112" s="1">
        <v>44237</v>
      </c>
      <c r="E11112">
        <v>1</v>
      </c>
      <c r="F11112" t="s">
        <v>78</v>
      </c>
      <c r="G11112" t="str">
        <f>"19-M01-00"</f>
        <v>19-M01-00</v>
      </c>
      <c r="H11112">
        <v>2.39</v>
      </c>
      <c r="I11112" t="s">
        <v>7394</v>
      </c>
      <c r="J11112" t="s">
        <v>27</v>
      </c>
      <c r="K11112" t="str">
        <f>"3F5"</f>
        <v>3F5</v>
      </c>
      <c r="L11112" t="s">
        <v>15</v>
      </c>
    </row>
    <row r="11113" spans="1:12" x14ac:dyDescent="0.25">
      <c r="A11113" t="str">
        <f>"8105125336"</f>
        <v>8105125336</v>
      </c>
      <c r="B11113" t="str">
        <f t="shared" si="453"/>
        <v>89301000</v>
      </c>
      <c r="C11113" s="1">
        <v>44243</v>
      </c>
      <c r="D11113" s="1">
        <v>44244</v>
      </c>
      <c r="E11113">
        <v>1</v>
      </c>
      <c r="F11113" t="s">
        <v>804</v>
      </c>
      <c r="G11113" t="str">
        <f>"08-I17-02"</f>
        <v>08-I17-02</v>
      </c>
      <c r="H11113">
        <v>0.98309999999999997</v>
      </c>
      <c r="I11113" t="s">
        <v>196</v>
      </c>
      <c r="J11113" t="s">
        <v>14</v>
      </c>
      <c r="K11113" t="str">
        <f>"5F3"</f>
        <v>5F3</v>
      </c>
      <c r="L11113" t="s">
        <v>15</v>
      </c>
    </row>
    <row r="11114" spans="1:12" x14ac:dyDescent="0.25">
      <c r="A11114" t="str">
        <f>"8105155784"</f>
        <v>8105155784</v>
      </c>
      <c r="B11114" t="str">
        <f t="shared" si="453"/>
        <v>89301000</v>
      </c>
      <c r="C11114" s="1">
        <v>44545</v>
      </c>
      <c r="D11114" s="1">
        <v>44548</v>
      </c>
      <c r="E11114">
        <v>1</v>
      </c>
      <c r="F11114" t="s">
        <v>142</v>
      </c>
      <c r="G11114" t="str">
        <f>"03-I11-03"</f>
        <v>03-I11-03</v>
      </c>
      <c r="H11114">
        <v>1.0253000000000001</v>
      </c>
      <c r="I11114" t="s">
        <v>7395</v>
      </c>
      <c r="J11114" t="s">
        <v>17</v>
      </c>
      <c r="K11114" t="str">
        <f>"6F5"</f>
        <v>6F5</v>
      </c>
      <c r="L11114" t="s">
        <v>15</v>
      </c>
    </row>
    <row r="11115" spans="1:12" x14ac:dyDescent="0.25">
      <c r="A11115" t="str">
        <f>"8105265377"</f>
        <v>8105265377</v>
      </c>
      <c r="B11115" t="str">
        <f t="shared" si="453"/>
        <v>89301000</v>
      </c>
      <c r="C11115" s="1">
        <v>44320</v>
      </c>
      <c r="D11115" s="1">
        <v>44321</v>
      </c>
      <c r="E11115">
        <v>1</v>
      </c>
      <c r="F11115" t="s">
        <v>7396</v>
      </c>
      <c r="G11115" t="str">
        <f>"08-I26-03"</f>
        <v>08-I26-03</v>
      </c>
      <c r="H11115">
        <v>0.45679999999999998</v>
      </c>
      <c r="I11115" t="s">
        <v>211</v>
      </c>
      <c r="J11115" t="s">
        <v>14</v>
      </c>
      <c r="K11115" t="str">
        <f>"5F3"</f>
        <v>5F3</v>
      </c>
      <c r="L11115" t="s">
        <v>15</v>
      </c>
    </row>
    <row r="11116" spans="1:12" x14ac:dyDescent="0.25">
      <c r="A11116" t="str">
        <f>"8106261680"</f>
        <v>8106261680</v>
      </c>
      <c r="B11116" t="str">
        <f t="shared" si="453"/>
        <v>89301000</v>
      </c>
      <c r="C11116" s="1">
        <v>44295</v>
      </c>
      <c r="D11116" s="1">
        <v>44296</v>
      </c>
      <c r="E11116">
        <v>1</v>
      </c>
      <c r="F11116" t="s">
        <v>1842</v>
      </c>
      <c r="G11116" t="str">
        <f>"05-I14-04"</f>
        <v>05-I14-04</v>
      </c>
      <c r="H11116">
        <v>5.4002999999999997</v>
      </c>
      <c r="I11116" t="s">
        <v>7397</v>
      </c>
      <c r="J11116" t="s">
        <v>14</v>
      </c>
      <c r="K11116" t="str">
        <f>"1F1"</f>
        <v>1F1</v>
      </c>
      <c r="L11116" t="s">
        <v>15</v>
      </c>
    </row>
    <row r="11117" spans="1:12" x14ac:dyDescent="0.25">
      <c r="A11117" t="str">
        <f>"8106261680"</f>
        <v>8106261680</v>
      </c>
      <c r="B11117" t="str">
        <f t="shared" si="453"/>
        <v>89301000</v>
      </c>
      <c r="C11117" s="1">
        <v>44305</v>
      </c>
      <c r="D11117" s="1">
        <v>44306</v>
      </c>
      <c r="E11117">
        <v>5</v>
      </c>
      <c r="F11117" t="s">
        <v>6047</v>
      </c>
      <c r="G11117" t="str">
        <f>"05-I21-02"</f>
        <v>05-I21-02</v>
      </c>
      <c r="H11117">
        <v>1.1333</v>
      </c>
      <c r="J11117" t="s">
        <v>14</v>
      </c>
      <c r="K11117" t="str">
        <f>"1F1"</f>
        <v>1F1</v>
      </c>
      <c r="L11117" t="s">
        <v>15</v>
      </c>
    </row>
    <row r="11118" spans="1:12" x14ac:dyDescent="0.25">
      <c r="A11118" t="str">
        <f>"8106261680"</f>
        <v>8106261680</v>
      </c>
      <c r="B11118" t="str">
        <f t="shared" si="453"/>
        <v>89301000</v>
      </c>
      <c r="C11118" s="1">
        <v>44285</v>
      </c>
      <c r="D11118" s="1">
        <v>44286</v>
      </c>
      <c r="E11118">
        <v>1</v>
      </c>
      <c r="F11118" t="s">
        <v>6047</v>
      </c>
      <c r="G11118" t="str">
        <f>"05-I21-02"</f>
        <v>05-I21-02</v>
      </c>
      <c r="H11118">
        <v>1.1333</v>
      </c>
      <c r="I11118" t="s">
        <v>7398</v>
      </c>
      <c r="J11118" t="s">
        <v>14</v>
      </c>
      <c r="K11118" t="str">
        <f>"1F7"</f>
        <v>1F7</v>
      </c>
      <c r="L11118" t="s">
        <v>15</v>
      </c>
    </row>
    <row r="11119" spans="1:12" x14ac:dyDescent="0.25">
      <c r="A11119" t="str">
        <f>"8106261680"</f>
        <v>8106261680</v>
      </c>
      <c r="B11119" t="str">
        <f t="shared" si="453"/>
        <v>89301000</v>
      </c>
      <c r="C11119" s="1">
        <v>44267</v>
      </c>
      <c r="D11119" s="1">
        <v>44267</v>
      </c>
      <c r="E11119">
        <v>1</v>
      </c>
      <c r="F11119" t="s">
        <v>1557</v>
      </c>
      <c r="G11119" t="str">
        <f>"05-I14-04"</f>
        <v>05-I14-04</v>
      </c>
      <c r="H11119">
        <v>5.1692</v>
      </c>
      <c r="I11119" t="s">
        <v>1892</v>
      </c>
      <c r="J11119" t="s">
        <v>14</v>
      </c>
      <c r="K11119" t="str">
        <f>"1F1"</f>
        <v>1F1</v>
      </c>
      <c r="L11119" t="s">
        <v>15</v>
      </c>
    </row>
    <row r="11120" spans="1:12" x14ac:dyDescent="0.25">
      <c r="A11120" t="str">
        <f>"8106261680"</f>
        <v>8106261680</v>
      </c>
      <c r="B11120" t="str">
        <f t="shared" si="453"/>
        <v>89301000</v>
      </c>
      <c r="C11120" s="1">
        <v>44263</v>
      </c>
      <c r="D11120" s="1">
        <v>44263</v>
      </c>
      <c r="E11120">
        <v>1</v>
      </c>
      <c r="F11120" t="s">
        <v>1557</v>
      </c>
      <c r="G11120" t="str">
        <f>"05-D01-08"</f>
        <v>05-D01-08</v>
      </c>
      <c r="H11120">
        <v>0.21890000000000001</v>
      </c>
      <c r="I11120" t="s">
        <v>4394</v>
      </c>
      <c r="J11120" t="s">
        <v>14</v>
      </c>
      <c r="K11120" t="str">
        <f>"1F1"</f>
        <v>1F1</v>
      </c>
      <c r="L11120" t="s">
        <v>15</v>
      </c>
    </row>
    <row r="11121" spans="1:12" x14ac:dyDescent="0.25">
      <c r="A11121" t="str">
        <f>"8107234476"</f>
        <v>8107234476</v>
      </c>
      <c r="B11121" t="str">
        <f t="shared" si="453"/>
        <v>89301000</v>
      </c>
      <c r="C11121" s="1">
        <v>44239</v>
      </c>
      <c r="D11121" s="1">
        <v>44241</v>
      </c>
      <c r="E11121">
        <v>1</v>
      </c>
      <c r="F11121" t="s">
        <v>41</v>
      </c>
      <c r="G11121" t="str">
        <f>"01-D01-03"</f>
        <v>01-D01-03</v>
      </c>
      <c r="H11121">
        <v>0.158</v>
      </c>
      <c r="J11121" t="s">
        <v>14</v>
      </c>
      <c r="K11121" t="str">
        <f>"2F5"</f>
        <v>2F5</v>
      </c>
      <c r="L11121" t="s">
        <v>15</v>
      </c>
    </row>
    <row r="11122" spans="1:12" x14ac:dyDescent="0.25">
      <c r="A11122" t="str">
        <f>"8107245707"</f>
        <v>8107245707</v>
      </c>
      <c r="B11122" t="str">
        <f t="shared" si="453"/>
        <v>89301000</v>
      </c>
      <c r="C11122" s="1">
        <v>44439</v>
      </c>
      <c r="D11122" s="1">
        <v>44446</v>
      </c>
      <c r="E11122">
        <v>1</v>
      </c>
      <c r="F11122" t="s">
        <v>1978</v>
      </c>
      <c r="G11122" t="str">
        <f>"02-K05-01"</f>
        <v>02-K05-01</v>
      </c>
      <c r="H11122">
        <v>0.67849999999999999</v>
      </c>
      <c r="I11122" t="s">
        <v>1892</v>
      </c>
      <c r="J11122" t="s">
        <v>14</v>
      </c>
      <c r="K11122" t="str">
        <f>"7F5"</f>
        <v>7F5</v>
      </c>
      <c r="L11122" t="s">
        <v>15</v>
      </c>
    </row>
    <row r="11123" spans="1:12" x14ac:dyDescent="0.25">
      <c r="A11123" t="str">
        <f>"8107265331"</f>
        <v>8107265331</v>
      </c>
      <c r="B11123" t="str">
        <f t="shared" si="453"/>
        <v>89301000</v>
      </c>
      <c r="C11123" s="1">
        <v>44540</v>
      </c>
      <c r="D11123" s="1">
        <v>44544</v>
      </c>
      <c r="E11123">
        <v>1</v>
      </c>
      <c r="F11123" t="s">
        <v>332</v>
      </c>
      <c r="G11123" t="str">
        <f>"07-K02-03"</f>
        <v>07-K02-03</v>
      </c>
      <c r="H11123">
        <v>0.7742</v>
      </c>
      <c r="J11123" t="s">
        <v>14</v>
      </c>
      <c r="K11123" t="str">
        <f>"1F1"</f>
        <v>1F1</v>
      </c>
      <c r="L11123" t="s">
        <v>15</v>
      </c>
    </row>
    <row r="11124" spans="1:12" x14ac:dyDescent="0.25">
      <c r="A11124" t="str">
        <f>"8108105313"</f>
        <v>8108105313</v>
      </c>
      <c r="B11124" t="str">
        <f t="shared" si="453"/>
        <v>89301000</v>
      </c>
      <c r="C11124" s="1">
        <v>44330</v>
      </c>
      <c r="D11124" s="1">
        <v>44331</v>
      </c>
      <c r="E11124">
        <v>1</v>
      </c>
      <c r="F11124" t="s">
        <v>7399</v>
      </c>
      <c r="G11124" t="str">
        <f>"12-K08-00"</f>
        <v>12-K08-00</v>
      </c>
      <c r="H11124">
        <v>0.35439999999999999</v>
      </c>
      <c r="I11124" t="s">
        <v>7400</v>
      </c>
      <c r="J11124" t="s">
        <v>14</v>
      </c>
      <c r="K11124" t="str">
        <f>"7F6"</f>
        <v>7F6</v>
      </c>
      <c r="L11124" t="s">
        <v>15</v>
      </c>
    </row>
    <row r="11125" spans="1:12" x14ac:dyDescent="0.25">
      <c r="A11125" t="str">
        <f>"8108185327"</f>
        <v>8108185327</v>
      </c>
      <c r="B11125" t="str">
        <f t="shared" si="453"/>
        <v>89301000</v>
      </c>
      <c r="C11125" s="1">
        <v>44453</v>
      </c>
      <c r="D11125" s="1">
        <v>44463</v>
      </c>
      <c r="E11125">
        <v>4</v>
      </c>
      <c r="F11125" t="s">
        <v>307</v>
      </c>
      <c r="G11125" t="str">
        <f>"08-I05-04"</f>
        <v>08-I05-04</v>
      </c>
      <c r="H11125">
        <v>2.4581</v>
      </c>
      <c r="I11125" t="s">
        <v>308</v>
      </c>
      <c r="J11125" t="s">
        <v>17</v>
      </c>
      <c r="K11125" t="str">
        <f>"6F6"</f>
        <v>6F6</v>
      </c>
      <c r="L11125" t="s">
        <v>15</v>
      </c>
    </row>
    <row r="11126" spans="1:12" x14ac:dyDescent="0.25">
      <c r="A11126" t="str">
        <f>"8108305337"</f>
        <v>8108305337</v>
      </c>
      <c r="B11126" t="str">
        <f t="shared" si="453"/>
        <v>89301000</v>
      </c>
      <c r="C11126" s="1">
        <v>44543</v>
      </c>
      <c r="D11126" s="1">
        <v>44545</v>
      </c>
      <c r="E11126">
        <v>1</v>
      </c>
      <c r="F11126" t="s">
        <v>3292</v>
      </c>
      <c r="G11126" t="str">
        <f>"08-I15-02"</f>
        <v>08-I15-02</v>
      </c>
      <c r="H11126">
        <v>1.7266999999999999</v>
      </c>
      <c r="I11126" t="s">
        <v>30</v>
      </c>
      <c r="J11126" t="s">
        <v>17</v>
      </c>
      <c r="K11126" t="str">
        <f>"5F3"</f>
        <v>5F3</v>
      </c>
      <c r="L11126" t="s">
        <v>15</v>
      </c>
    </row>
    <row r="11127" spans="1:12" x14ac:dyDescent="0.25">
      <c r="A11127" t="str">
        <f>"8108650528"</f>
        <v>8108650528</v>
      </c>
      <c r="B11127" t="str">
        <f t="shared" si="453"/>
        <v>89301000</v>
      </c>
      <c r="C11127" s="1">
        <v>44342</v>
      </c>
      <c r="D11127" s="1">
        <v>44348</v>
      </c>
      <c r="E11127">
        <v>1</v>
      </c>
      <c r="F11127" t="s">
        <v>25</v>
      </c>
      <c r="G11127" t="str">
        <f>"19-K03-03"</f>
        <v>19-K03-03</v>
      </c>
      <c r="H11127">
        <v>0.93169999999999997</v>
      </c>
      <c r="I11127" t="s">
        <v>7401</v>
      </c>
      <c r="J11127" t="s">
        <v>27</v>
      </c>
      <c r="K11127" t="str">
        <f>"3F5"</f>
        <v>3F5</v>
      </c>
      <c r="L11127" t="s">
        <v>286</v>
      </c>
    </row>
    <row r="11128" spans="1:12" x14ac:dyDescent="0.25">
      <c r="A11128" t="str">
        <f>"8109064458"</f>
        <v>8109064458</v>
      </c>
      <c r="B11128" t="str">
        <f t="shared" si="453"/>
        <v>89301000</v>
      </c>
      <c r="C11128" s="1">
        <v>44224</v>
      </c>
      <c r="D11128" s="1">
        <v>44226</v>
      </c>
      <c r="E11128">
        <v>1</v>
      </c>
      <c r="F11128" t="s">
        <v>5527</v>
      </c>
      <c r="G11128" t="str">
        <f>"01-K18-03"</f>
        <v>01-K18-03</v>
      </c>
      <c r="H11128">
        <v>0.76180000000000003</v>
      </c>
      <c r="I11128" t="s">
        <v>418</v>
      </c>
      <c r="J11128" t="s">
        <v>14</v>
      </c>
      <c r="K11128" t="str">
        <f>"2F9"</f>
        <v>2F9</v>
      </c>
      <c r="L11128" t="s">
        <v>15</v>
      </c>
    </row>
    <row r="11129" spans="1:12" x14ac:dyDescent="0.25">
      <c r="A11129" t="str">
        <f>"8109195765"</f>
        <v>8109195765</v>
      </c>
      <c r="B11129" t="str">
        <f t="shared" si="453"/>
        <v>89301000</v>
      </c>
      <c r="C11129" s="1">
        <v>44295</v>
      </c>
      <c r="D11129" s="1">
        <v>44296</v>
      </c>
      <c r="E11129">
        <v>1</v>
      </c>
      <c r="F11129" t="s">
        <v>41</v>
      </c>
      <c r="G11129" t="str">
        <f>"01-D01-03"</f>
        <v>01-D01-03</v>
      </c>
      <c r="H11129">
        <v>0.158</v>
      </c>
      <c r="I11129" t="s">
        <v>1892</v>
      </c>
      <c r="J11129" t="s">
        <v>14</v>
      </c>
      <c r="K11129" t="str">
        <f>"2F5"</f>
        <v>2F5</v>
      </c>
      <c r="L11129" t="s">
        <v>15</v>
      </c>
    </row>
    <row r="11130" spans="1:12" x14ac:dyDescent="0.25">
      <c r="A11130" t="str">
        <f>"8109264207"</f>
        <v>8109264207</v>
      </c>
      <c r="B11130" t="str">
        <f t="shared" si="453"/>
        <v>89301000</v>
      </c>
      <c r="C11130" s="1">
        <v>44501</v>
      </c>
      <c r="D11130" s="1">
        <v>44505</v>
      </c>
      <c r="E11130">
        <v>1</v>
      </c>
      <c r="F11130" t="s">
        <v>114</v>
      </c>
      <c r="G11130" t="str">
        <f>"03-I17-00"</f>
        <v>03-I17-00</v>
      </c>
      <c r="H11130">
        <v>0.84960000000000002</v>
      </c>
      <c r="I11130" t="s">
        <v>7402</v>
      </c>
      <c r="J11130" t="s">
        <v>24</v>
      </c>
      <c r="K11130" t="str">
        <f>"7F1"</f>
        <v>7F1</v>
      </c>
      <c r="L11130" t="s">
        <v>286</v>
      </c>
    </row>
    <row r="11131" spans="1:12" x14ac:dyDescent="0.25">
      <c r="A11131" t="str">
        <f>"8110055338"</f>
        <v>8110055338</v>
      </c>
      <c r="B11131" t="str">
        <f t="shared" si="453"/>
        <v>89301000</v>
      </c>
      <c r="C11131" s="1">
        <v>44235</v>
      </c>
      <c r="D11131" s="1">
        <v>44237</v>
      </c>
      <c r="E11131">
        <v>1</v>
      </c>
      <c r="F11131" t="s">
        <v>600</v>
      </c>
      <c r="G11131" t="str">
        <f>"01-C03-02"</f>
        <v>01-C03-02</v>
      </c>
      <c r="H11131">
        <v>1.0617000000000001</v>
      </c>
      <c r="I11131" t="s">
        <v>7403</v>
      </c>
      <c r="J11131" t="s">
        <v>14</v>
      </c>
      <c r="K11131" t="str">
        <f>"4F2"</f>
        <v>4F2</v>
      </c>
      <c r="L11131" t="s">
        <v>15</v>
      </c>
    </row>
    <row r="11132" spans="1:12" x14ac:dyDescent="0.25">
      <c r="A11132" t="str">
        <f>"8110055338"</f>
        <v>8110055338</v>
      </c>
      <c r="B11132" t="str">
        <f t="shared" si="453"/>
        <v>89301000</v>
      </c>
      <c r="C11132" s="1">
        <v>44263</v>
      </c>
      <c r="D11132" s="1">
        <v>44265</v>
      </c>
      <c r="E11132">
        <v>1</v>
      </c>
      <c r="F11132" t="s">
        <v>600</v>
      </c>
      <c r="G11132" t="str">
        <f>"01-C03-02"</f>
        <v>01-C03-02</v>
      </c>
      <c r="H11132">
        <v>1.0617000000000001</v>
      </c>
      <c r="I11132" t="s">
        <v>7403</v>
      </c>
      <c r="J11132" t="s">
        <v>14</v>
      </c>
      <c r="K11132" t="str">
        <f>"4F2"</f>
        <v>4F2</v>
      </c>
      <c r="L11132" t="s">
        <v>15</v>
      </c>
    </row>
    <row r="11133" spans="1:12" x14ac:dyDescent="0.25">
      <c r="A11133" t="str">
        <f>"8110055338"</f>
        <v>8110055338</v>
      </c>
      <c r="B11133" t="str">
        <f t="shared" si="453"/>
        <v>89301000</v>
      </c>
      <c r="C11133" s="1">
        <v>44284</v>
      </c>
      <c r="D11133" s="1">
        <v>44286</v>
      </c>
      <c r="E11133">
        <v>1</v>
      </c>
      <c r="F11133" t="s">
        <v>600</v>
      </c>
      <c r="G11133" t="str">
        <f>"01-C03-02"</f>
        <v>01-C03-02</v>
      </c>
      <c r="H11133">
        <v>1.0617000000000001</v>
      </c>
      <c r="I11133" t="s">
        <v>541</v>
      </c>
      <c r="J11133" t="s">
        <v>14</v>
      </c>
      <c r="K11133" t="str">
        <f>"4F2"</f>
        <v>4F2</v>
      </c>
      <c r="L11133" t="s">
        <v>15</v>
      </c>
    </row>
    <row r="11134" spans="1:12" x14ac:dyDescent="0.25">
      <c r="A11134" t="str">
        <f>"8110055338"</f>
        <v>8110055338</v>
      </c>
      <c r="B11134" t="str">
        <f t="shared" si="453"/>
        <v>89301000</v>
      </c>
      <c r="C11134" s="1">
        <v>44494</v>
      </c>
      <c r="D11134" s="1">
        <v>44498</v>
      </c>
      <c r="E11134">
        <v>1</v>
      </c>
      <c r="F11134" t="s">
        <v>600</v>
      </c>
      <c r="G11134" t="str">
        <f>"01-I06-04"</f>
        <v>01-I06-04</v>
      </c>
      <c r="H11134">
        <v>3.6231</v>
      </c>
      <c r="J11134" t="s">
        <v>17</v>
      </c>
      <c r="K11134" t="str">
        <f>"5F6"</f>
        <v>5F6</v>
      </c>
      <c r="L11134" t="s">
        <v>15</v>
      </c>
    </row>
    <row r="11135" spans="1:12" x14ac:dyDescent="0.25">
      <c r="A11135" t="str">
        <f>"8110055338"</f>
        <v>8110055338</v>
      </c>
      <c r="B11135" t="str">
        <f t="shared" si="453"/>
        <v>89301000</v>
      </c>
      <c r="C11135" s="1">
        <v>44214</v>
      </c>
      <c r="D11135" s="1">
        <v>44216</v>
      </c>
      <c r="E11135">
        <v>1</v>
      </c>
      <c r="F11135" t="s">
        <v>7404</v>
      </c>
      <c r="G11135" t="str">
        <f>"03-C01-02"</f>
        <v>03-C01-02</v>
      </c>
      <c r="H11135">
        <v>0.44900000000000001</v>
      </c>
      <c r="I11135" t="s">
        <v>541</v>
      </c>
      <c r="J11135" t="s">
        <v>14</v>
      </c>
      <c r="K11135" t="str">
        <f>"4F2"</f>
        <v>4F2</v>
      </c>
      <c r="L11135" t="s">
        <v>15</v>
      </c>
    </row>
    <row r="11136" spans="1:12" x14ac:dyDescent="0.25">
      <c r="A11136" t="str">
        <f>"8110115332"</f>
        <v>8110115332</v>
      </c>
      <c r="B11136" t="str">
        <f t="shared" si="453"/>
        <v>89301000</v>
      </c>
      <c r="C11136" s="1">
        <v>44481</v>
      </c>
      <c r="D11136" s="1">
        <v>44487</v>
      </c>
      <c r="E11136">
        <v>1</v>
      </c>
      <c r="F11136" t="s">
        <v>4728</v>
      </c>
      <c r="G11136" t="str">
        <f>"11-I17-03"</f>
        <v>11-I17-03</v>
      </c>
      <c r="H11136">
        <v>0.50609999999999999</v>
      </c>
      <c r="I11136" t="s">
        <v>1716</v>
      </c>
      <c r="J11136" t="s">
        <v>14</v>
      </c>
      <c r="K11136" t="str">
        <f>"7F6"</f>
        <v>7F6</v>
      </c>
      <c r="L11136" t="s">
        <v>15</v>
      </c>
    </row>
    <row r="11137" spans="1:12" x14ac:dyDescent="0.25">
      <c r="A11137" t="str">
        <f>"8110135770"</f>
        <v>8110135770</v>
      </c>
      <c r="B11137" t="str">
        <f t="shared" si="453"/>
        <v>89301000</v>
      </c>
      <c r="C11137" s="1">
        <v>44347</v>
      </c>
      <c r="D11137" s="1">
        <v>44349</v>
      </c>
      <c r="E11137">
        <v>1</v>
      </c>
      <c r="F11137" t="s">
        <v>132</v>
      </c>
      <c r="G11137" t="str">
        <f>"03-K03-02"</f>
        <v>03-K03-02</v>
      </c>
      <c r="H11137">
        <v>0.49249999999999999</v>
      </c>
      <c r="I11137" t="s">
        <v>402</v>
      </c>
      <c r="J11137" t="s">
        <v>14</v>
      </c>
      <c r="K11137" t="str">
        <f>"6F5"</f>
        <v>6F5</v>
      </c>
      <c r="L11137" t="s">
        <v>15</v>
      </c>
    </row>
    <row r="11138" spans="1:12" x14ac:dyDescent="0.25">
      <c r="A11138" t="str">
        <f>"8111045789"</f>
        <v>8111045789</v>
      </c>
      <c r="B11138" t="str">
        <f t="shared" si="453"/>
        <v>89301000</v>
      </c>
      <c r="C11138" s="1">
        <v>44431</v>
      </c>
      <c r="D11138" s="1">
        <v>44432</v>
      </c>
      <c r="E11138">
        <v>1</v>
      </c>
      <c r="F11138" t="s">
        <v>174</v>
      </c>
      <c r="G11138" t="str">
        <f>"12-I14-00"</f>
        <v>12-I14-00</v>
      </c>
      <c r="H11138">
        <v>0.44350000000000001</v>
      </c>
      <c r="I11138" t="s">
        <v>168</v>
      </c>
      <c r="J11138" t="s">
        <v>14</v>
      </c>
      <c r="K11138" t="str">
        <f>"7F6"</f>
        <v>7F6</v>
      </c>
      <c r="L11138" t="s">
        <v>15</v>
      </c>
    </row>
    <row r="11139" spans="1:12" x14ac:dyDescent="0.25">
      <c r="A11139" t="str">
        <f>"8111065798"</f>
        <v>8111065798</v>
      </c>
      <c r="B11139" t="str">
        <f t="shared" si="453"/>
        <v>89301000</v>
      </c>
      <c r="C11139" s="1">
        <v>44309</v>
      </c>
      <c r="D11139" s="1">
        <v>44312</v>
      </c>
      <c r="E11139">
        <v>1</v>
      </c>
      <c r="F11139" t="s">
        <v>1839</v>
      </c>
      <c r="G11139" t="str">
        <f>"06-M01-01"</f>
        <v>06-M01-01</v>
      </c>
      <c r="H11139">
        <v>2.1871</v>
      </c>
      <c r="I11139" t="s">
        <v>290</v>
      </c>
      <c r="J11139" t="s">
        <v>14</v>
      </c>
      <c r="K11139" t="str">
        <f>"1F1"</f>
        <v>1F1</v>
      </c>
      <c r="L11139" t="s">
        <v>15</v>
      </c>
    </row>
    <row r="11140" spans="1:12" x14ac:dyDescent="0.25">
      <c r="A11140" t="str">
        <f>"8111134471"</f>
        <v>8111134471</v>
      </c>
      <c r="B11140" t="str">
        <f t="shared" si="453"/>
        <v>89301000</v>
      </c>
      <c r="C11140" s="1">
        <v>44494</v>
      </c>
      <c r="D11140" s="1">
        <v>44495</v>
      </c>
      <c r="E11140">
        <v>1</v>
      </c>
      <c r="F11140" t="s">
        <v>2111</v>
      </c>
      <c r="G11140" t="str">
        <f>"10-K15-02"</f>
        <v>10-K15-02</v>
      </c>
      <c r="H11140">
        <v>0.51819999999999999</v>
      </c>
      <c r="I11140" t="s">
        <v>41</v>
      </c>
      <c r="J11140" t="s">
        <v>14</v>
      </c>
      <c r="K11140" t="str">
        <f>"2F5"</f>
        <v>2F5</v>
      </c>
      <c r="L11140" t="s">
        <v>15</v>
      </c>
    </row>
    <row r="11141" spans="1:12" x14ac:dyDescent="0.25">
      <c r="A11141" t="str">
        <f>"8111205333"</f>
        <v>8111205333</v>
      </c>
      <c r="B11141" t="str">
        <f t="shared" si="453"/>
        <v>89301000</v>
      </c>
      <c r="C11141" s="1">
        <v>44267</v>
      </c>
      <c r="D11141" s="1">
        <v>44270</v>
      </c>
      <c r="E11141">
        <v>1</v>
      </c>
      <c r="F11141" t="s">
        <v>41</v>
      </c>
      <c r="G11141" t="str">
        <f>"01-D01-03"</f>
        <v>01-D01-03</v>
      </c>
      <c r="H11141">
        <v>0.2054</v>
      </c>
      <c r="J11141" t="s">
        <v>14</v>
      </c>
      <c r="K11141" t="str">
        <f>"2F5"</f>
        <v>2F5</v>
      </c>
      <c r="L11141" t="s">
        <v>15</v>
      </c>
    </row>
    <row r="11142" spans="1:12" x14ac:dyDescent="0.25">
      <c r="A11142" t="str">
        <f>"8112045337"</f>
        <v>8112045337</v>
      </c>
      <c r="B11142" t="str">
        <f t="shared" si="453"/>
        <v>89301000</v>
      </c>
      <c r="C11142" s="1">
        <v>44241</v>
      </c>
      <c r="D11142" s="1">
        <v>44243</v>
      </c>
      <c r="E11142">
        <v>1</v>
      </c>
      <c r="F11142" t="s">
        <v>210</v>
      </c>
      <c r="G11142" t="str">
        <f>"08-I14-03"</f>
        <v>08-I14-03</v>
      </c>
      <c r="H11142">
        <v>1.5905</v>
      </c>
      <c r="I11142" t="s">
        <v>7405</v>
      </c>
      <c r="J11142" t="s">
        <v>17</v>
      </c>
      <c r="K11142" t="str">
        <f>"5F3"</f>
        <v>5F3</v>
      </c>
      <c r="L11142" t="s">
        <v>15</v>
      </c>
    </row>
    <row r="11143" spans="1:12" x14ac:dyDescent="0.25">
      <c r="A11143" t="str">
        <f>"8112091889"</f>
        <v>8112091889</v>
      </c>
      <c r="B11143" t="str">
        <f t="shared" si="453"/>
        <v>89301000</v>
      </c>
      <c r="C11143" s="1">
        <v>44428</v>
      </c>
      <c r="D11143" s="1">
        <v>44452</v>
      </c>
      <c r="E11143">
        <v>1</v>
      </c>
      <c r="F11143" t="s">
        <v>7406</v>
      </c>
      <c r="G11143" t="str">
        <f>"17-K02-01"</f>
        <v>17-K02-01</v>
      </c>
      <c r="H11143">
        <v>3.1219000000000001</v>
      </c>
      <c r="I11143" t="s">
        <v>7407</v>
      </c>
      <c r="J11143" t="s">
        <v>14</v>
      </c>
      <c r="K11143" t="str">
        <f>"2F2"</f>
        <v>2F2</v>
      </c>
      <c r="L11143" t="s">
        <v>15</v>
      </c>
    </row>
    <row r="11144" spans="1:12" x14ac:dyDescent="0.25">
      <c r="A11144" t="str">
        <f>"8112091889"</f>
        <v>8112091889</v>
      </c>
      <c r="B11144" t="str">
        <f t="shared" si="453"/>
        <v>89301000</v>
      </c>
      <c r="C11144" s="1">
        <v>44511</v>
      </c>
      <c r="D11144" s="1">
        <v>44543</v>
      </c>
      <c r="E11144">
        <v>1</v>
      </c>
      <c r="F11144" t="s">
        <v>7406</v>
      </c>
      <c r="G11144" t="str">
        <f>"17-K02-01"</f>
        <v>17-K02-01</v>
      </c>
      <c r="H11144">
        <v>4.0427999999999997</v>
      </c>
      <c r="I11144" t="s">
        <v>7408</v>
      </c>
      <c r="J11144" t="s">
        <v>14</v>
      </c>
      <c r="K11144" t="str">
        <f>"2F2"</f>
        <v>2F2</v>
      </c>
      <c r="L11144" t="s">
        <v>15</v>
      </c>
    </row>
    <row r="11145" spans="1:12" x14ac:dyDescent="0.25">
      <c r="A11145" t="str">
        <f>"8112091889"</f>
        <v>8112091889</v>
      </c>
      <c r="B11145" t="str">
        <f t="shared" si="453"/>
        <v>89301000</v>
      </c>
      <c r="C11145" s="1">
        <v>44411</v>
      </c>
      <c r="D11145" s="1">
        <v>44412</v>
      </c>
      <c r="E11145">
        <v>1</v>
      </c>
      <c r="F11145" t="s">
        <v>933</v>
      </c>
      <c r="G11145" t="str">
        <f>"17-K01-02"</f>
        <v>17-K01-02</v>
      </c>
      <c r="H11145">
        <v>0.83789999999999998</v>
      </c>
      <c r="J11145" t="s">
        <v>14</v>
      </c>
      <c r="K11145" t="str">
        <f>"5F1"</f>
        <v>5F1</v>
      </c>
      <c r="L11145" t="s">
        <v>15</v>
      </c>
    </row>
    <row r="11146" spans="1:12" x14ac:dyDescent="0.25">
      <c r="A11146" t="str">
        <f>"8112091889"</f>
        <v>8112091889</v>
      </c>
      <c r="B11146" t="str">
        <f t="shared" si="453"/>
        <v>89301000</v>
      </c>
      <c r="C11146" s="1">
        <v>44459</v>
      </c>
      <c r="D11146" s="1">
        <v>44490</v>
      </c>
      <c r="E11146">
        <v>1</v>
      </c>
      <c r="F11146" t="s">
        <v>7406</v>
      </c>
      <c r="G11146" t="str">
        <f>"17-C05-07"</f>
        <v>17-C05-07</v>
      </c>
      <c r="H11146">
        <v>3.2789000000000001</v>
      </c>
      <c r="I11146" t="s">
        <v>7409</v>
      </c>
      <c r="J11146" t="s">
        <v>14</v>
      </c>
      <c r="K11146" t="str">
        <f>"2F2"</f>
        <v>2F2</v>
      </c>
      <c r="L11146" t="s">
        <v>15</v>
      </c>
    </row>
    <row r="11147" spans="1:12" x14ac:dyDescent="0.25">
      <c r="A11147" t="str">
        <f>"8112091889"</f>
        <v>8112091889</v>
      </c>
      <c r="B11147" t="str">
        <f t="shared" si="453"/>
        <v>89301000</v>
      </c>
      <c r="C11147" s="1">
        <v>44502</v>
      </c>
      <c r="D11147" s="1">
        <v>44503</v>
      </c>
      <c r="E11147">
        <v>1</v>
      </c>
      <c r="F11147" t="s">
        <v>7406</v>
      </c>
      <c r="G11147" t="str">
        <f>"17-K02-02"</f>
        <v>17-K02-02</v>
      </c>
      <c r="H11147">
        <v>0.71860000000000002</v>
      </c>
      <c r="I11147" t="s">
        <v>7410</v>
      </c>
      <c r="J11147" t="s">
        <v>14</v>
      </c>
      <c r="K11147" t="str">
        <f>"2F2"</f>
        <v>2F2</v>
      </c>
      <c r="L11147" t="s">
        <v>15</v>
      </c>
    </row>
    <row r="11148" spans="1:12" x14ac:dyDescent="0.25">
      <c r="A11148" t="str">
        <f>"8112185873"</f>
        <v>8112185873</v>
      </c>
      <c r="B11148" t="str">
        <f t="shared" si="453"/>
        <v>89301000</v>
      </c>
      <c r="C11148" s="1">
        <v>44526</v>
      </c>
      <c r="D11148" s="1">
        <v>44536</v>
      </c>
      <c r="E11148">
        <v>4</v>
      </c>
      <c r="F11148" t="s">
        <v>3986</v>
      </c>
      <c r="G11148" t="str">
        <f>"08-I05-04"</f>
        <v>08-I05-04</v>
      </c>
      <c r="H11148">
        <v>2.4581</v>
      </c>
      <c r="I11148" t="s">
        <v>168</v>
      </c>
      <c r="J11148" t="s">
        <v>17</v>
      </c>
      <c r="K11148" t="str">
        <f>"6F6"</f>
        <v>6F6</v>
      </c>
      <c r="L11148" t="s">
        <v>15</v>
      </c>
    </row>
    <row r="11149" spans="1:12" x14ac:dyDescent="0.25">
      <c r="A11149" t="str">
        <f>"8151015686"</f>
        <v>8151015686</v>
      </c>
      <c r="B11149" t="str">
        <f t="shared" si="453"/>
        <v>89301000</v>
      </c>
      <c r="C11149" s="1">
        <v>44210</v>
      </c>
      <c r="D11149" s="1">
        <v>44218</v>
      </c>
      <c r="E11149">
        <v>1</v>
      </c>
      <c r="F11149" t="s">
        <v>61</v>
      </c>
      <c r="G11149" t="str">
        <f>"14-I01-05"</f>
        <v>14-I01-05</v>
      </c>
      <c r="H11149">
        <v>0.80030000000000001</v>
      </c>
      <c r="I11149" t="s">
        <v>7411</v>
      </c>
      <c r="J11149" t="s">
        <v>59</v>
      </c>
      <c r="K11149" t="str">
        <f>"6F3"</f>
        <v>6F3</v>
      </c>
      <c r="L11149" t="s">
        <v>15</v>
      </c>
    </row>
    <row r="11150" spans="1:12" x14ac:dyDescent="0.25">
      <c r="A11150" t="str">
        <f>"8151085327"</f>
        <v>8151085327</v>
      </c>
      <c r="B11150" t="str">
        <f t="shared" si="453"/>
        <v>89301000</v>
      </c>
      <c r="C11150" s="1">
        <v>44257</v>
      </c>
      <c r="D11150" s="1">
        <v>44258</v>
      </c>
      <c r="E11150">
        <v>1</v>
      </c>
      <c r="F11150" t="s">
        <v>7412</v>
      </c>
      <c r="G11150" t="str">
        <f>"02-K11-01"</f>
        <v>02-K11-01</v>
      </c>
      <c r="H11150">
        <v>0.88200000000000001</v>
      </c>
      <c r="I11150" t="s">
        <v>7413</v>
      </c>
      <c r="J11150" t="s">
        <v>14</v>
      </c>
      <c r="K11150" t="str">
        <f>"2F9"</f>
        <v>2F9</v>
      </c>
      <c r="L11150" t="s">
        <v>15</v>
      </c>
    </row>
    <row r="11151" spans="1:12" x14ac:dyDescent="0.25">
      <c r="A11151" t="str">
        <f>"8151094468"</f>
        <v>8151094468</v>
      </c>
      <c r="B11151" t="str">
        <f t="shared" si="453"/>
        <v>89301000</v>
      </c>
      <c r="C11151" s="1">
        <v>44216</v>
      </c>
      <c r="D11151" s="1">
        <v>44217</v>
      </c>
      <c r="E11151">
        <v>1</v>
      </c>
      <c r="F11151" t="s">
        <v>2576</v>
      </c>
      <c r="G11151" t="str">
        <f>"11-I14-02"</f>
        <v>11-I14-02</v>
      </c>
      <c r="H11151">
        <v>0.63060000000000005</v>
      </c>
      <c r="J11151" t="s">
        <v>24</v>
      </c>
      <c r="K11151" t="str">
        <f>"6F3"</f>
        <v>6F3</v>
      </c>
      <c r="L11151" t="s">
        <v>15</v>
      </c>
    </row>
    <row r="11152" spans="1:12" x14ac:dyDescent="0.25">
      <c r="A11152" t="str">
        <f>"8152034033"</f>
        <v>8152034033</v>
      </c>
      <c r="B11152" t="str">
        <f t="shared" si="453"/>
        <v>89301000</v>
      </c>
      <c r="C11152" s="1">
        <v>44434</v>
      </c>
      <c r="D11152" s="1">
        <v>44434</v>
      </c>
      <c r="E11152">
        <v>6</v>
      </c>
      <c r="F11152" t="s">
        <v>60</v>
      </c>
      <c r="G11152" t="str">
        <f>"14-K03-02"</f>
        <v>14-K03-02</v>
      </c>
      <c r="H11152">
        <v>0.13270000000000001</v>
      </c>
      <c r="J11152" t="s">
        <v>14</v>
      </c>
      <c r="K11152" t="str">
        <f>"6F3"</f>
        <v>6F3</v>
      </c>
      <c r="L11152" t="s">
        <v>15</v>
      </c>
    </row>
    <row r="11153" spans="1:12" x14ac:dyDescent="0.25">
      <c r="A11153" t="str">
        <f>"8152114498"</f>
        <v>8152114498</v>
      </c>
      <c r="B11153" t="str">
        <f t="shared" si="453"/>
        <v>89301000</v>
      </c>
      <c r="C11153" s="1">
        <v>44549</v>
      </c>
      <c r="D11153" s="1">
        <v>44553</v>
      </c>
      <c r="E11153">
        <v>1</v>
      </c>
      <c r="F11153" t="s">
        <v>588</v>
      </c>
      <c r="G11153" t="str">
        <f>"07-K02-03"</f>
        <v>07-K02-03</v>
      </c>
      <c r="H11153">
        <v>0.7742</v>
      </c>
      <c r="I11153" t="s">
        <v>247</v>
      </c>
      <c r="J11153" t="s">
        <v>14</v>
      </c>
      <c r="K11153" t="str">
        <f>"1F1"</f>
        <v>1F1</v>
      </c>
      <c r="L11153" t="s">
        <v>15</v>
      </c>
    </row>
    <row r="11154" spans="1:12" x14ac:dyDescent="0.25">
      <c r="A11154" t="str">
        <f>"8152114498"</f>
        <v>8152114498</v>
      </c>
      <c r="B11154" t="str">
        <f t="shared" si="453"/>
        <v>89301000</v>
      </c>
      <c r="C11154" s="1">
        <v>44534</v>
      </c>
      <c r="D11154" s="1">
        <v>44537</v>
      </c>
      <c r="E11154">
        <v>1</v>
      </c>
      <c r="F11154" t="s">
        <v>2736</v>
      </c>
      <c r="G11154" t="str">
        <f>"07-K02-03"</f>
        <v>07-K02-03</v>
      </c>
      <c r="H11154">
        <v>0.7742</v>
      </c>
      <c r="I11154" t="s">
        <v>7414</v>
      </c>
      <c r="J11154" t="s">
        <v>14</v>
      </c>
      <c r="K11154" t="str">
        <f>"1F5"</f>
        <v>1F5</v>
      </c>
      <c r="L11154" t="s">
        <v>15</v>
      </c>
    </row>
    <row r="11155" spans="1:12" x14ac:dyDescent="0.25">
      <c r="A11155" t="str">
        <f>"8152115818"</f>
        <v>8152115818</v>
      </c>
      <c r="B11155" t="str">
        <f t="shared" si="453"/>
        <v>89301000</v>
      </c>
      <c r="C11155" s="1">
        <v>44494</v>
      </c>
      <c r="D11155" s="1">
        <v>44497</v>
      </c>
      <c r="E11155">
        <v>1</v>
      </c>
      <c r="F11155" t="s">
        <v>1968</v>
      </c>
      <c r="G11155" t="str">
        <f>"08-M03-04"</f>
        <v>08-M03-04</v>
      </c>
      <c r="H11155">
        <v>0.8609</v>
      </c>
      <c r="J11155" t="s">
        <v>14</v>
      </c>
      <c r="K11155" t="str">
        <f>"6F6"</f>
        <v>6F6</v>
      </c>
      <c r="L11155" t="s">
        <v>15</v>
      </c>
    </row>
    <row r="11156" spans="1:12" x14ac:dyDescent="0.25">
      <c r="A11156" t="str">
        <f>"8152155319"</f>
        <v>8152155319</v>
      </c>
      <c r="B11156" t="str">
        <f t="shared" si="453"/>
        <v>89301000</v>
      </c>
      <c r="C11156" s="1">
        <v>44202</v>
      </c>
      <c r="D11156" s="1">
        <v>44205</v>
      </c>
      <c r="E11156">
        <v>1</v>
      </c>
      <c r="F11156" t="s">
        <v>43</v>
      </c>
      <c r="G11156" t="str">
        <f>"06-I18-05"</f>
        <v>06-I18-05</v>
      </c>
      <c r="H11156">
        <v>0.85550000000000004</v>
      </c>
      <c r="I11156" t="s">
        <v>168</v>
      </c>
      <c r="J11156" t="s">
        <v>24</v>
      </c>
      <c r="K11156" t="str">
        <f>"5F1"</f>
        <v>5F1</v>
      </c>
      <c r="L11156" t="s">
        <v>15</v>
      </c>
    </row>
    <row r="11157" spans="1:12" x14ac:dyDescent="0.25">
      <c r="A11157" t="str">
        <f>"8152185305"</f>
        <v>8152185305</v>
      </c>
      <c r="B11157" t="str">
        <f t="shared" si="453"/>
        <v>89301000</v>
      </c>
      <c r="C11157" s="1">
        <v>44217</v>
      </c>
      <c r="D11157" s="1">
        <v>44219</v>
      </c>
      <c r="E11157">
        <v>1</v>
      </c>
      <c r="F11157" t="s">
        <v>3577</v>
      </c>
      <c r="G11157" t="str">
        <f>"03-I22-03"</f>
        <v>03-I22-03</v>
      </c>
      <c r="H11157">
        <v>0.49049999999999999</v>
      </c>
      <c r="J11157" t="s">
        <v>14</v>
      </c>
      <c r="K11157" t="str">
        <f>"7F1"</f>
        <v>7F1</v>
      </c>
      <c r="L11157" t="s">
        <v>15</v>
      </c>
    </row>
    <row r="11158" spans="1:12" x14ac:dyDescent="0.25">
      <c r="A11158" t="str">
        <f>"8152215357"</f>
        <v>8152215357</v>
      </c>
      <c r="B11158" t="str">
        <f t="shared" si="453"/>
        <v>89301000</v>
      </c>
      <c r="C11158" s="1">
        <v>44350</v>
      </c>
      <c r="D11158" s="1">
        <v>44353</v>
      </c>
      <c r="E11158">
        <v>1</v>
      </c>
      <c r="F11158" t="s">
        <v>7415</v>
      </c>
      <c r="G11158" t="str">
        <f>"06-I21-03"</f>
        <v>06-I21-03</v>
      </c>
      <c r="H11158">
        <v>0.47820000000000001</v>
      </c>
      <c r="J11158" t="s">
        <v>17</v>
      </c>
      <c r="K11158" t="str">
        <f>"5F1"</f>
        <v>5F1</v>
      </c>
      <c r="L11158" t="s">
        <v>15</v>
      </c>
    </row>
    <row r="11159" spans="1:12" x14ac:dyDescent="0.25">
      <c r="A11159" t="str">
        <f>"8153105378"</f>
        <v>8153105378</v>
      </c>
      <c r="B11159" t="str">
        <f t="shared" si="453"/>
        <v>89301000</v>
      </c>
      <c r="C11159" s="1">
        <v>44389</v>
      </c>
      <c r="D11159" s="1">
        <v>44390</v>
      </c>
      <c r="E11159">
        <v>1</v>
      </c>
      <c r="F11159" t="s">
        <v>173</v>
      </c>
      <c r="G11159" t="str">
        <f>"08-I32-02"</f>
        <v>08-I32-02</v>
      </c>
      <c r="H11159">
        <v>0.4143</v>
      </c>
      <c r="J11159" t="s">
        <v>14</v>
      </c>
      <c r="K11159" t="str">
        <f>"5F3"</f>
        <v>5F3</v>
      </c>
      <c r="L11159" t="s">
        <v>15</v>
      </c>
    </row>
    <row r="11160" spans="1:12" x14ac:dyDescent="0.25">
      <c r="A11160" t="str">
        <f>"8153115399"</f>
        <v>8153115399</v>
      </c>
      <c r="B11160" t="str">
        <f t="shared" si="453"/>
        <v>89301000</v>
      </c>
      <c r="C11160" s="1">
        <v>44277</v>
      </c>
      <c r="D11160" s="1">
        <v>44277</v>
      </c>
      <c r="E11160">
        <v>1</v>
      </c>
      <c r="F11160" t="s">
        <v>5453</v>
      </c>
      <c r="G11160" t="str">
        <f>"13-I19-00"</f>
        <v>13-I19-00</v>
      </c>
      <c r="H11160">
        <v>0.1235</v>
      </c>
      <c r="J11160" t="s">
        <v>14</v>
      </c>
      <c r="K11160" t="str">
        <f>"6F3"</f>
        <v>6F3</v>
      </c>
      <c r="L11160" t="s">
        <v>15</v>
      </c>
    </row>
    <row r="11161" spans="1:12" x14ac:dyDescent="0.25">
      <c r="A11161" t="str">
        <f>"8153145330"</f>
        <v>8153145330</v>
      </c>
      <c r="B11161" t="str">
        <f t="shared" si="453"/>
        <v>89301000</v>
      </c>
      <c r="C11161" s="1">
        <v>44256</v>
      </c>
      <c r="D11161" s="1">
        <v>44258</v>
      </c>
      <c r="E11161">
        <v>1</v>
      </c>
      <c r="F11161" t="s">
        <v>41</v>
      </c>
      <c r="G11161" t="str">
        <f>"01-D01-03"</f>
        <v>01-D01-03</v>
      </c>
      <c r="H11161">
        <v>0.158</v>
      </c>
      <c r="I11161" t="s">
        <v>7416</v>
      </c>
      <c r="J11161" t="s">
        <v>14</v>
      </c>
      <c r="K11161" t="str">
        <f>"2F5"</f>
        <v>2F5</v>
      </c>
      <c r="L11161" t="s">
        <v>15</v>
      </c>
    </row>
    <row r="11162" spans="1:12" x14ac:dyDescent="0.25">
      <c r="A11162" t="str">
        <f>"8153265362"</f>
        <v>8153265362</v>
      </c>
      <c r="B11162" t="str">
        <f t="shared" si="453"/>
        <v>89301000</v>
      </c>
      <c r="C11162" s="1">
        <v>44327</v>
      </c>
      <c r="D11162" s="1">
        <v>44331</v>
      </c>
      <c r="E11162">
        <v>1</v>
      </c>
      <c r="F11162" t="s">
        <v>2495</v>
      </c>
      <c r="G11162" t="str">
        <f>"13-I11-03"</f>
        <v>13-I11-03</v>
      </c>
      <c r="H11162">
        <v>1.3809</v>
      </c>
      <c r="J11162" t="s">
        <v>24</v>
      </c>
      <c r="K11162" t="str">
        <f>"6F3"</f>
        <v>6F3</v>
      </c>
      <c r="L11162" t="s">
        <v>15</v>
      </c>
    </row>
    <row r="11163" spans="1:12" x14ac:dyDescent="0.25">
      <c r="A11163" t="str">
        <f>"8153295326"</f>
        <v>8153295326</v>
      </c>
      <c r="B11163" t="str">
        <f t="shared" si="453"/>
        <v>89301000</v>
      </c>
      <c r="C11163" s="1">
        <v>44494</v>
      </c>
      <c r="D11163" s="1">
        <v>44497</v>
      </c>
      <c r="E11163">
        <v>1</v>
      </c>
      <c r="F11163" t="s">
        <v>4297</v>
      </c>
      <c r="G11163" t="str">
        <f>"08-M03-05"</f>
        <v>08-M03-05</v>
      </c>
      <c r="H11163">
        <v>0.51759999999999995</v>
      </c>
      <c r="I11163" t="s">
        <v>64</v>
      </c>
      <c r="J11163" t="s">
        <v>14</v>
      </c>
      <c r="K11163" t="str">
        <f>"6F6"</f>
        <v>6F6</v>
      </c>
      <c r="L11163" t="s">
        <v>15</v>
      </c>
    </row>
    <row r="11164" spans="1:12" x14ac:dyDescent="0.25">
      <c r="A11164" t="str">
        <f>"8154195775"</f>
        <v>8154195775</v>
      </c>
      <c r="B11164" t="str">
        <f t="shared" si="453"/>
        <v>89301000</v>
      </c>
      <c r="C11164" s="1">
        <v>44504</v>
      </c>
      <c r="D11164" s="1">
        <v>44508</v>
      </c>
      <c r="E11164">
        <v>1</v>
      </c>
      <c r="F11164" t="s">
        <v>6312</v>
      </c>
      <c r="G11164" t="str">
        <f>"13-I11-03"</f>
        <v>13-I11-03</v>
      </c>
      <c r="H11164">
        <v>1.3809</v>
      </c>
      <c r="J11164" t="s">
        <v>24</v>
      </c>
      <c r="K11164" t="str">
        <f>"6F3"</f>
        <v>6F3</v>
      </c>
      <c r="L11164" t="s">
        <v>15</v>
      </c>
    </row>
    <row r="11165" spans="1:12" x14ac:dyDescent="0.25">
      <c r="A11165" t="str">
        <f>"8155143678"</f>
        <v>8155143678</v>
      </c>
      <c r="B11165" t="str">
        <f t="shared" si="453"/>
        <v>89301000</v>
      </c>
      <c r="C11165" s="1">
        <v>44463</v>
      </c>
      <c r="D11165" s="1">
        <v>44468</v>
      </c>
      <c r="E11165">
        <v>1</v>
      </c>
      <c r="F11165" t="s">
        <v>1039</v>
      </c>
      <c r="G11165" t="str">
        <f>"16-K03-02"</f>
        <v>16-K03-02</v>
      </c>
      <c r="H11165">
        <v>0.92249999999999999</v>
      </c>
      <c r="I11165" t="s">
        <v>7417</v>
      </c>
      <c r="J11165" t="s">
        <v>14</v>
      </c>
      <c r="K11165" t="str">
        <f>"2F2"</f>
        <v>2F2</v>
      </c>
      <c r="L11165" t="s">
        <v>15</v>
      </c>
    </row>
    <row r="11166" spans="1:12" x14ac:dyDescent="0.25">
      <c r="A11166" t="str">
        <f>"8155155316"</f>
        <v>8155155316</v>
      </c>
      <c r="B11166" t="str">
        <f t="shared" si="453"/>
        <v>89301000</v>
      </c>
      <c r="C11166" s="1">
        <v>44547</v>
      </c>
      <c r="D11166" s="1">
        <v>44547</v>
      </c>
      <c r="E11166">
        <v>1</v>
      </c>
      <c r="F11166" t="s">
        <v>60</v>
      </c>
      <c r="G11166" t="str">
        <f>"14-K03-02"</f>
        <v>14-K03-02</v>
      </c>
      <c r="H11166">
        <v>0.13270000000000001</v>
      </c>
      <c r="J11166" t="s">
        <v>14</v>
      </c>
      <c r="K11166" t="str">
        <f t="shared" ref="K11166:K11172" si="454">"6F3"</f>
        <v>6F3</v>
      </c>
      <c r="L11166" t="s">
        <v>15</v>
      </c>
    </row>
    <row r="11167" spans="1:12" x14ac:dyDescent="0.25">
      <c r="A11167" t="str">
        <f>"8155174478"</f>
        <v>8155174478</v>
      </c>
      <c r="B11167" t="str">
        <f t="shared" si="453"/>
        <v>89301000</v>
      </c>
      <c r="C11167" s="1">
        <v>44447</v>
      </c>
      <c r="D11167" s="1">
        <v>44448</v>
      </c>
      <c r="E11167">
        <v>1</v>
      </c>
      <c r="F11167" t="s">
        <v>7418</v>
      </c>
      <c r="G11167" t="str">
        <f>"14-I08-03"</f>
        <v>14-I08-03</v>
      </c>
      <c r="H11167">
        <v>0.21099999999999999</v>
      </c>
      <c r="J11167" t="s">
        <v>14</v>
      </c>
      <c r="K11167" t="str">
        <f t="shared" si="454"/>
        <v>6F3</v>
      </c>
      <c r="L11167" t="s">
        <v>15</v>
      </c>
    </row>
    <row r="11168" spans="1:12" x14ac:dyDescent="0.25">
      <c r="A11168" t="str">
        <f>"8155295302"</f>
        <v>8155295302</v>
      </c>
      <c r="B11168" t="str">
        <f t="shared" si="453"/>
        <v>89301000</v>
      </c>
      <c r="C11168" s="1">
        <v>44221</v>
      </c>
      <c r="D11168" s="1">
        <v>44226</v>
      </c>
      <c r="E11168">
        <v>1</v>
      </c>
      <c r="F11168" t="s">
        <v>7048</v>
      </c>
      <c r="G11168" t="str">
        <f>"13-I14-03"</f>
        <v>13-I14-03</v>
      </c>
      <c r="H11168">
        <v>0.83199999999999996</v>
      </c>
      <c r="J11168" t="s">
        <v>24</v>
      </c>
      <c r="K11168" t="str">
        <f t="shared" si="454"/>
        <v>6F3</v>
      </c>
      <c r="L11168" t="s">
        <v>15</v>
      </c>
    </row>
    <row r="11169" spans="1:12" x14ac:dyDescent="0.25">
      <c r="A11169" t="str">
        <f>"8155295302"</f>
        <v>8155295302</v>
      </c>
      <c r="B11169" t="str">
        <f t="shared" ref="B11169:B11231" si="455">"89301000"</f>
        <v>89301000</v>
      </c>
      <c r="C11169" s="1">
        <v>44230</v>
      </c>
      <c r="D11169" s="1">
        <v>44232</v>
      </c>
      <c r="E11169">
        <v>1</v>
      </c>
      <c r="F11169" t="s">
        <v>7419</v>
      </c>
      <c r="G11169" t="str">
        <f>"13-K15-02"</f>
        <v>13-K15-02</v>
      </c>
      <c r="H11169">
        <v>0.18360000000000001</v>
      </c>
      <c r="J11169" t="s">
        <v>14</v>
      </c>
      <c r="K11169" t="str">
        <f t="shared" si="454"/>
        <v>6F3</v>
      </c>
      <c r="L11169" t="s">
        <v>15</v>
      </c>
    </row>
    <row r="11170" spans="1:12" x14ac:dyDescent="0.25">
      <c r="A11170" t="str">
        <f>"8156045326"</f>
        <v>8156045326</v>
      </c>
      <c r="B11170" t="str">
        <f t="shared" si="455"/>
        <v>89301000</v>
      </c>
      <c r="C11170" s="1">
        <v>44304</v>
      </c>
      <c r="D11170" s="1">
        <v>44306</v>
      </c>
      <c r="E11170">
        <v>1</v>
      </c>
      <c r="F11170" t="s">
        <v>75</v>
      </c>
      <c r="G11170" t="str">
        <f>"14-M01-05"</f>
        <v>14-M01-05</v>
      </c>
      <c r="H11170">
        <v>0.54239999999999999</v>
      </c>
      <c r="I11170" t="s">
        <v>7420</v>
      </c>
      <c r="J11170" t="s">
        <v>59</v>
      </c>
      <c r="K11170" t="str">
        <f t="shared" si="454"/>
        <v>6F3</v>
      </c>
      <c r="L11170" t="s">
        <v>15</v>
      </c>
    </row>
    <row r="11171" spans="1:12" x14ac:dyDescent="0.25">
      <c r="A11171" t="str">
        <f>"8156065324"</f>
        <v>8156065324</v>
      </c>
      <c r="B11171" t="str">
        <f t="shared" si="455"/>
        <v>89301000</v>
      </c>
      <c r="C11171" s="1">
        <v>44336</v>
      </c>
      <c r="D11171" s="1">
        <v>44350</v>
      </c>
      <c r="E11171">
        <v>1</v>
      </c>
      <c r="F11171" t="s">
        <v>116</v>
      </c>
      <c r="G11171" t="str">
        <f>"14-M01-05"</f>
        <v>14-M01-05</v>
      </c>
      <c r="H11171">
        <v>1.0599000000000001</v>
      </c>
      <c r="I11171" t="s">
        <v>7421</v>
      </c>
      <c r="J11171" t="s">
        <v>59</v>
      </c>
      <c r="K11171" t="str">
        <f t="shared" si="454"/>
        <v>6F3</v>
      </c>
      <c r="L11171" t="s">
        <v>15</v>
      </c>
    </row>
    <row r="11172" spans="1:12" x14ac:dyDescent="0.25">
      <c r="A11172" t="str">
        <f>"8156065324"</f>
        <v>8156065324</v>
      </c>
      <c r="B11172" t="str">
        <f t="shared" si="455"/>
        <v>89301000</v>
      </c>
      <c r="C11172" s="1">
        <v>44313</v>
      </c>
      <c r="D11172" s="1">
        <v>44330</v>
      </c>
      <c r="E11172">
        <v>1</v>
      </c>
      <c r="F11172" t="s">
        <v>60</v>
      </c>
      <c r="G11172" t="str">
        <f>"14-K03-02"</f>
        <v>14-K03-02</v>
      </c>
      <c r="H11172">
        <v>0.66049999999999998</v>
      </c>
      <c r="I11172" t="s">
        <v>7422</v>
      </c>
      <c r="J11172" t="s">
        <v>14</v>
      </c>
      <c r="K11172" t="str">
        <f t="shared" si="454"/>
        <v>6F3</v>
      </c>
      <c r="L11172" t="s">
        <v>15</v>
      </c>
    </row>
    <row r="11173" spans="1:12" x14ac:dyDescent="0.25">
      <c r="A11173" t="str">
        <f>"8156074476"</f>
        <v>8156074476</v>
      </c>
      <c r="B11173" t="str">
        <f t="shared" si="455"/>
        <v>89301000</v>
      </c>
      <c r="C11173" s="1">
        <v>44250</v>
      </c>
      <c r="D11173" s="1">
        <v>44251</v>
      </c>
      <c r="E11173">
        <v>1</v>
      </c>
      <c r="F11173" t="s">
        <v>7423</v>
      </c>
      <c r="G11173" t="str">
        <f>"02-K11-02"</f>
        <v>02-K11-02</v>
      </c>
      <c r="H11173">
        <v>0.52180000000000004</v>
      </c>
      <c r="I11173" t="s">
        <v>7296</v>
      </c>
      <c r="J11173" t="s">
        <v>14</v>
      </c>
      <c r="K11173" t="str">
        <f>"2F9"</f>
        <v>2F9</v>
      </c>
      <c r="L11173" t="s">
        <v>15</v>
      </c>
    </row>
    <row r="11174" spans="1:12" x14ac:dyDescent="0.25">
      <c r="A11174" t="str">
        <f>"8156104792"</f>
        <v>8156104792</v>
      </c>
      <c r="B11174" t="str">
        <f t="shared" si="455"/>
        <v>89301000</v>
      </c>
      <c r="C11174" s="1">
        <v>44278</v>
      </c>
      <c r="D11174" s="1">
        <v>44291</v>
      </c>
      <c r="E11174">
        <v>1</v>
      </c>
      <c r="F11174" t="s">
        <v>6418</v>
      </c>
      <c r="G11174" t="str">
        <f>"13-K01-02"</f>
        <v>13-K01-02</v>
      </c>
      <c r="H11174">
        <v>0.74829999999999997</v>
      </c>
      <c r="I11174" t="s">
        <v>7424</v>
      </c>
      <c r="J11174" t="s">
        <v>14</v>
      </c>
      <c r="K11174" t="str">
        <f>"6F3"</f>
        <v>6F3</v>
      </c>
      <c r="L11174" t="s">
        <v>15</v>
      </c>
    </row>
    <row r="11175" spans="1:12" x14ac:dyDescent="0.25">
      <c r="A11175" t="str">
        <f>"8156194486"</f>
        <v>8156194486</v>
      </c>
      <c r="B11175" t="str">
        <f t="shared" si="455"/>
        <v>89301000</v>
      </c>
      <c r="C11175" s="1">
        <v>44432</v>
      </c>
      <c r="D11175" s="1">
        <v>44469</v>
      </c>
      <c r="E11175">
        <v>1</v>
      </c>
      <c r="F11175" t="s">
        <v>453</v>
      </c>
      <c r="G11175" t="str">
        <f>"19-K07-02"</f>
        <v>19-K07-02</v>
      </c>
      <c r="H11175">
        <v>2.8759999999999999</v>
      </c>
      <c r="I11175" t="s">
        <v>7425</v>
      </c>
      <c r="J11175" t="s">
        <v>27</v>
      </c>
      <c r="K11175" t="str">
        <f>"3F5"</f>
        <v>3F5</v>
      </c>
      <c r="L11175" t="s">
        <v>15</v>
      </c>
    </row>
    <row r="11176" spans="1:12" x14ac:dyDescent="0.25">
      <c r="A11176" t="str">
        <f>"8156195377"</f>
        <v>8156195377</v>
      </c>
      <c r="B11176" t="str">
        <f t="shared" si="455"/>
        <v>89301000</v>
      </c>
      <c r="C11176" s="1">
        <v>44260</v>
      </c>
      <c r="D11176" s="1">
        <v>44263</v>
      </c>
      <c r="E11176">
        <v>1</v>
      </c>
      <c r="F11176" t="s">
        <v>41</v>
      </c>
      <c r="G11176" t="str">
        <f>"01-D01-03"</f>
        <v>01-D01-03</v>
      </c>
      <c r="H11176">
        <v>0.2054</v>
      </c>
      <c r="I11176" t="s">
        <v>2428</v>
      </c>
      <c r="J11176" t="s">
        <v>14</v>
      </c>
      <c r="K11176" t="str">
        <f>"2F5"</f>
        <v>2F5</v>
      </c>
      <c r="L11176" t="s">
        <v>15</v>
      </c>
    </row>
    <row r="11177" spans="1:12" x14ac:dyDescent="0.25">
      <c r="A11177" t="str">
        <f>"8156195377"</f>
        <v>8156195377</v>
      </c>
      <c r="B11177" t="str">
        <f t="shared" si="455"/>
        <v>89301000</v>
      </c>
      <c r="C11177" s="1">
        <v>44228</v>
      </c>
      <c r="D11177" s="1">
        <v>44229</v>
      </c>
      <c r="E11177">
        <v>1</v>
      </c>
      <c r="F11177" t="s">
        <v>41</v>
      </c>
      <c r="G11177" t="str">
        <f>"01-D01-03"</f>
        <v>01-D01-03</v>
      </c>
      <c r="H11177">
        <v>0.158</v>
      </c>
      <c r="I11177" t="s">
        <v>489</v>
      </c>
      <c r="J11177" t="s">
        <v>14</v>
      </c>
      <c r="K11177" t="str">
        <f>"2F5"</f>
        <v>2F5</v>
      </c>
      <c r="L11177" t="s">
        <v>15</v>
      </c>
    </row>
    <row r="11178" spans="1:12" x14ac:dyDescent="0.25">
      <c r="A11178" t="str">
        <f>"8156225352"</f>
        <v>8156225352</v>
      </c>
      <c r="B11178" t="str">
        <f t="shared" si="455"/>
        <v>89301000</v>
      </c>
      <c r="C11178" s="1">
        <v>44341</v>
      </c>
      <c r="D11178" s="1">
        <v>44343</v>
      </c>
      <c r="E11178">
        <v>1</v>
      </c>
      <c r="F11178" t="s">
        <v>7426</v>
      </c>
      <c r="G11178" t="str">
        <f>"08-M03-06"</f>
        <v>08-M03-06</v>
      </c>
      <c r="H11178">
        <v>0.41899999999999998</v>
      </c>
      <c r="I11178" t="s">
        <v>572</v>
      </c>
      <c r="J11178" t="s">
        <v>14</v>
      </c>
      <c r="K11178" t="str">
        <f>"5F3"</f>
        <v>5F3</v>
      </c>
      <c r="L11178" t="s">
        <v>15</v>
      </c>
    </row>
    <row r="11179" spans="1:12" x14ac:dyDescent="0.25">
      <c r="A11179" t="str">
        <f>"8156254469"</f>
        <v>8156254469</v>
      </c>
      <c r="B11179" t="str">
        <f t="shared" si="455"/>
        <v>89301000</v>
      </c>
      <c r="C11179" s="1">
        <v>44321</v>
      </c>
      <c r="D11179" s="1">
        <v>44324</v>
      </c>
      <c r="E11179">
        <v>1</v>
      </c>
      <c r="F11179" t="s">
        <v>41</v>
      </c>
      <c r="G11179" t="str">
        <f>"01-I11-01"</f>
        <v>01-I11-01</v>
      </c>
      <c r="H11179">
        <v>0.99990000000000001</v>
      </c>
      <c r="I11179" t="s">
        <v>7427</v>
      </c>
      <c r="J11179" t="s">
        <v>17</v>
      </c>
      <c r="K11179" t="str">
        <f>"7F1"</f>
        <v>7F1</v>
      </c>
      <c r="L11179" t="s">
        <v>15</v>
      </c>
    </row>
    <row r="11180" spans="1:12" x14ac:dyDescent="0.25">
      <c r="A11180" t="str">
        <f>"8156285753"</f>
        <v>8156285753</v>
      </c>
      <c r="B11180" t="str">
        <f t="shared" si="455"/>
        <v>89301000</v>
      </c>
      <c r="C11180" s="1">
        <v>44323</v>
      </c>
      <c r="D11180" s="1">
        <v>44325</v>
      </c>
      <c r="E11180">
        <v>1</v>
      </c>
      <c r="F11180" t="s">
        <v>7100</v>
      </c>
      <c r="G11180" t="str">
        <f>"13-K06-00"</f>
        <v>13-K06-00</v>
      </c>
      <c r="H11180">
        <v>0.37859999999999999</v>
      </c>
      <c r="J11180" t="s">
        <v>14</v>
      </c>
      <c r="K11180" t="str">
        <f t="shared" ref="K11180:K11185" si="456">"6F3"</f>
        <v>6F3</v>
      </c>
      <c r="L11180" t="s">
        <v>15</v>
      </c>
    </row>
    <row r="11181" spans="1:12" x14ac:dyDescent="0.25">
      <c r="A11181" t="str">
        <f>"8157025305"</f>
        <v>8157025305</v>
      </c>
      <c r="B11181" t="str">
        <f t="shared" si="455"/>
        <v>89301000</v>
      </c>
      <c r="C11181" s="1">
        <v>44286</v>
      </c>
      <c r="D11181" s="1">
        <v>44287</v>
      </c>
      <c r="E11181">
        <v>1</v>
      </c>
      <c r="F11181" t="s">
        <v>3852</v>
      </c>
      <c r="G11181" t="str">
        <f>"13-I19-00"</f>
        <v>13-I19-00</v>
      </c>
      <c r="H11181">
        <v>0.24679999999999999</v>
      </c>
      <c r="J11181" t="s">
        <v>14</v>
      </c>
      <c r="K11181" t="str">
        <f t="shared" si="456"/>
        <v>6F3</v>
      </c>
      <c r="L11181" t="s">
        <v>15</v>
      </c>
    </row>
    <row r="11182" spans="1:12" x14ac:dyDescent="0.25">
      <c r="A11182" t="str">
        <f>"8157025305"</f>
        <v>8157025305</v>
      </c>
      <c r="B11182" t="str">
        <f t="shared" si="455"/>
        <v>89301000</v>
      </c>
      <c r="C11182" s="1">
        <v>44358</v>
      </c>
      <c r="D11182" s="1">
        <v>44359</v>
      </c>
      <c r="E11182">
        <v>1</v>
      </c>
      <c r="F11182" t="s">
        <v>3852</v>
      </c>
      <c r="G11182" t="str">
        <f>"13-I19-00"</f>
        <v>13-I19-00</v>
      </c>
      <c r="H11182">
        <v>0.24679999999999999</v>
      </c>
      <c r="J11182" t="s">
        <v>14</v>
      </c>
      <c r="K11182" t="str">
        <f t="shared" si="456"/>
        <v>6F3</v>
      </c>
      <c r="L11182" t="s">
        <v>15</v>
      </c>
    </row>
    <row r="11183" spans="1:12" x14ac:dyDescent="0.25">
      <c r="A11183" t="str">
        <f>"8157025437"</f>
        <v>8157025437</v>
      </c>
      <c r="B11183" t="str">
        <f t="shared" si="455"/>
        <v>89301000</v>
      </c>
      <c r="C11183" s="1">
        <v>44515</v>
      </c>
      <c r="D11183" s="1">
        <v>44518</v>
      </c>
      <c r="E11183">
        <v>1</v>
      </c>
      <c r="F11183" t="s">
        <v>75</v>
      </c>
      <c r="G11183" t="str">
        <f>"14-M01-05"</f>
        <v>14-M01-05</v>
      </c>
      <c r="H11183">
        <v>0.54239999999999999</v>
      </c>
      <c r="J11183" t="s">
        <v>59</v>
      </c>
      <c r="K11183" t="str">
        <f t="shared" si="456"/>
        <v>6F3</v>
      </c>
      <c r="L11183" t="s">
        <v>15</v>
      </c>
    </row>
    <row r="11184" spans="1:12" x14ac:dyDescent="0.25">
      <c r="A11184" t="str">
        <f>"8157044478"</f>
        <v>8157044478</v>
      </c>
      <c r="B11184" t="str">
        <f t="shared" si="455"/>
        <v>89301000</v>
      </c>
      <c r="C11184" s="1">
        <v>44411</v>
      </c>
      <c r="D11184" s="1">
        <v>44415</v>
      </c>
      <c r="E11184">
        <v>1</v>
      </c>
      <c r="F11184" t="s">
        <v>2495</v>
      </c>
      <c r="G11184" t="str">
        <f>"13-I11-03"</f>
        <v>13-I11-03</v>
      </c>
      <c r="H11184">
        <v>1.3809</v>
      </c>
      <c r="J11184" t="s">
        <v>24</v>
      </c>
      <c r="K11184" t="str">
        <f t="shared" si="456"/>
        <v>6F3</v>
      </c>
      <c r="L11184" t="s">
        <v>15</v>
      </c>
    </row>
    <row r="11185" spans="1:12" x14ac:dyDescent="0.25">
      <c r="A11185" t="str">
        <f>"8157044478"</f>
        <v>8157044478</v>
      </c>
      <c r="B11185" t="str">
        <f t="shared" si="455"/>
        <v>89301000</v>
      </c>
      <c r="C11185" s="1">
        <v>44423</v>
      </c>
      <c r="D11185" s="1">
        <v>44426</v>
      </c>
      <c r="E11185">
        <v>1</v>
      </c>
      <c r="F11185" t="s">
        <v>575</v>
      </c>
      <c r="G11185" t="str">
        <f>"18-K02-03"</f>
        <v>18-K02-03</v>
      </c>
      <c r="H11185">
        <v>0.87570000000000003</v>
      </c>
      <c r="I11185" t="s">
        <v>3058</v>
      </c>
      <c r="J11185" t="s">
        <v>14</v>
      </c>
      <c r="K11185" t="str">
        <f t="shared" si="456"/>
        <v>6F3</v>
      </c>
      <c r="L11185" t="s">
        <v>15</v>
      </c>
    </row>
    <row r="11186" spans="1:12" x14ac:dyDescent="0.25">
      <c r="A11186" t="str">
        <f>"8157054455"</f>
        <v>8157054455</v>
      </c>
      <c r="B11186" t="str">
        <f t="shared" si="455"/>
        <v>89301000</v>
      </c>
      <c r="C11186" s="1">
        <v>44231</v>
      </c>
      <c r="D11186" s="1">
        <v>44233</v>
      </c>
      <c r="E11186">
        <v>1</v>
      </c>
      <c r="F11186" t="s">
        <v>6121</v>
      </c>
      <c r="G11186" t="str">
        <f>"06-K11-00"</f>
        <v>06-K11-00</v>
      </c>
      <c r="H11186">
        <v>0.34810000000000002</v>
      </c>
      <c r="I11186" t="s">
        <v>7428</v>
      </c>
      <c r="J11186" t="s">
        <v>14</v>
      </c>
      <c r="K11186" t="str">
        <f>"5F1"</f>
        <v>5F1</v>
      </c>
      <c r="L11186" t="s">
        <v>15</v>
      </c>
    </row>
    <row r="11187" spans="1:12" x14ac:dyDescent="0.25">
      <c r="A11187" t="str">
        <f>"8157065367"</f>
        <v>8157065367</v>
      </c>
      <c r="B11187" t="str">
        <f t="shared" si="455"/>
        <v>89301000</v>
      </c>
      <c r="C11187" s="1">
        <v>44428</v>
      </c>
      <c r="D11187" s="1">
        <v>44430</v>
      </c>
      <c r="E11187">
        <v>1</v>
      </c>
      <c r="F11187" t="s">
        <v>75</v>
      </c>
      <c r="G11187" t="str">
        <f>"14-M01-05"</f>
        <v>14-M01-05</v>
      </c>
      <c r="H11187">
        <v>0.54239999999999999</v>
      </c>
      <c r="I11187" t="s">
        <v>7429</v>
      </c>
      <c r="J11187" t="s">
        <v>59</v>
      </c>
      <c r="K11187" t="str">
        <f>"6F3"</f>
        <v>6F3</v>
      </c>
      <c r="L11187" t="s">
        <v>15</v>
      </c>
    </row>
    <row r="11188" spans="1:12" x14ac:dyDescent="0.25">
      <c r="A11188" t="str">
        <f>"8157085365"</f>
        <v>8157085365</v>
      </c>
      <c r="B11188" t="str">
        <f t="shared" si="455"/>
        <v>89301000</v>
      </c>
      <c r="C11188" s="1">
        <v>44315</v>
      </c>
      <c r="D11188" s="1">
        <v>44318</v>
      </c>
      <c r="E11188">
        <v>1</v>
      </c>
      <c r="F11188" t="s">
        <v>409</v>
      </c>
      <c r="G11188" t="str">
        <f>"08-M03-04"</f>
        <v>08-M03-04</v>
      </c>
      <c r="H11188">
        <v>0.8609</v>
      </c>
      <c r="I11188" t="s">
        <v>7430</v>
      </c>
      <c r="J11188" t="s">
        <v>14</v>
      </c>
      <c r="K11188" t="str">
        <f>"6F6"</f>
        <v>6F6</v>
      </c>
      <c r="L11188" t="s">
        <v>15</v>
      </c>
    </row>
    <row r="11189" spans="1:12" x14ac:dyDescent="0.25">
      <c r="A11189" t="str">
        <f>"8157215319"</f>
        <v>8157215319</v>
      </c>
      <c r="B11189" t="str">
        <f t="shared" si="455"/>
        <v>89301000</v>
      </c>
      <c r="C11189" s="1">
        <v>44424</v>
      </c>
      <c r="D11189" s="1">
        <v>44428</v>
      </c>
      <c r="E11189">
        <v>1</v>
      </c>
      <c r="F11189" t="s">
        <v>61</v>
      </c>
      <c r="G11189" t="str">
        <f>"14-I01-05"</f>
        <v>14-I01-05</v>
      </c>
      <c r="H11189">
        <v>0.80030000000000001</v>
      </c>
      <c r="I11189" t="s">
        <v>62</v>
      </c>
      <c r="J11189" t="s">
        <v>59</v>
      </c>
      <c r="K11189" t="str">
        <f>"6F3"</f>
        <v>6F3</v>
      </c>
      <c r="L11189" t="s">
        <v>15</v>
      </c>
    </row>
    <row r="11190" spans="1:12" x14ac:dyDescent="0.25">
      <c r="A11190" t="str">
        <f>"8157253489"</f>
        <v>8157253489</v>
      </c>
      <c r="B11190" t="str">
        <f t="shared" si="455"/>
        <v>89301000</v>
      </c>
      <c r="C11190" s="1">
        <v>44340</v>
      </c>
      <c r="D11190" s="1">
        <v>44344</v>
      </c>
      <c r="E11190">
        <v>1</v>
      </c>
      <c r="F11190" t="s">
        <v>5458</v>
      </c>
      <c r="G11190" t="str">
        <f>"08-K02-03"</f>
        <v>08-K02-03</v>
      </c>
      <c r="H11190">
        <v>0.73560000000000003</v>
      </c>
      <c r="I11190" t="s">
        <v>7431</v>
      </c>
      <c r="J11190" t="s">
        <v>14</v>
      </c>
      <c r="K11190" t="str">
        <f>"4F4"</f>
        <v>4F4</v>
      </c>
      <c r="L11190" t="s">
        <v>15</v>
      </c>
    </row>
    <row r="11191" spans="1:12" x14ac:dyDescent="0.25">
      <c r="A11191" t="str">
        <f>"8157275313"</f>
        <v>8157275313</v>
      </c>
      <c r="B11191" t="str">
        <f t="shared" si="455"/>
        <v>89301000</v>
      </c>
      <c r="C11191" s="1">
        <v>44213</v>
      </c>
      <c r="D11191" s="1">
        <v>44216</v>
      </c>
      <c r="E11191">
        <v>1</v>
      </c>
      <c r="F11191" t="s">
        <v>2527</v>
      </c>
      <c r="G11191" t="str">
        <f>"13-I14-03"</f>
        <v>13-I14-03</v>
      </c>
      <c r="H11191">
        <v>0.83199999999999996</v>
      </c>
      <c r="I11191" t="s">
        <v>2303</v>
      </c>
      <c r="J11191" t="s">
        <v>24</v>
      </c>
      <c r="K11191" t="str">
        <f>"6F3"</f>
        <v>6F3</v>
      </c>
      <c r="L11191" t="s">
        <v>15</v>
      </c>
    </row>
    <row r="11192" spans="1:12" x14ac:dyDescent="0.25">
      <c r="A11192" t="str">
        <f t="shared" ref="A11192:A11197" si="457">"8157315331"</f>
        <v>8157315331</v>
      </c>
      <c r="B11192" t="str">
        <f t="shared" si="455"/>
        <v>89301000</v>
      </c>
      <c r="C11192" s="1">
        <v>44428</v>
      </c>
      <c r="D11192" s="1">
        <v>44433</v>
      </c>
      <c r="E11192">
        <v>1</v>
      </c>
      <c r="F11192" t="s">
        <v>304</v>
      </c>
      <c r="G11192" t="str">
        <f>"10-K03-04"</f>
        <v>10-K03-04</v>
      </c>
      <c r="H11192">
        <v>0.66239999999999999</v>
      </c>
      <c r="I11192" t="s">
        <v>7432</v>
      </c>
      <c r="J11192" t="s">
        <v>14</v>
      </c>
      <c r="K11192" t="str">
        <f>"1F1"</f>
        <v>1F1</v>
      </c>
      <c r="L11192" t="s">
        <v>15</v>
      </c>
    </row>
    <row r="11193" spans="1:12" x14ac:dyDescent="0.25">
      <c r="A11193" t="str">
        <f t="shared" si="457"/>
        <v>8157315331</v>
      </c>
      <c r="B11193" t="str">
        <f t="shared" si="455"/>
        <v>89301000</v>
      </c>
      <c r="C11193" s="1">
        <v>44404</v>
      </c>
      <c r="D11193" s="1">
        <v>44408</v>
      </c>
      <c r="E11193">
        <v>1</v>
      </c>
      <c r="F11193" t="s">
        <v>7433</v>
      </c>
      <c r="G11193" t="str">
        <f>"10-K05-01"</f>
        <v>10-K05-01</v>
      </c>
      <c r="H11193">
        <v>0.98480000000000001</v>
      </c>
      <c r="I11193" t="s">
        <v>7434</v>
      </c>
      <c r="J11193" t="s">
        <v>14</v>
      </c>
      <c r="K11193" t="str">
        <f>"1F1"</f>
        <v>1F1</v>
      </c>
      <c r="L11193" t="s">
        <v>15</v>
      </c>
    </row>
    <row r="11194" spans="1:12" x14ac:dyDescent="0.25">
      <c r="A11194" t="str">
        <f t="shared" si="457"/>
        <v>8157315331</v>
      </c>
      <c r="B11194" t="str">
        <f t="shared" si="455"/>
        <v>89301000</v>
      </c>
      <c r="C11194" s="1">
        <v>44243</v>
      </c>
      <c r="D11194" s="1">
        <v>44267</v>
      </c>
      <c r="E11194">
        <v>5</v>
      </c>
      <c r="F11194" t="s">
        <v>1548</v>
      </c>
      <c r="G11194" t="str">
        <f>"05-K07-03"</f>
        <v>05-K07-03</v>
      </c>
      <c r="H11194">
        <v>1.7625999999999999</v>
      </c>
      <c r="I11194" t="s">
        <v>7435</v>
      </c>
      <c r="J11194" t="s">
        <v>14</v>
      </c>
      <c r="K11194" t="str">
        <f>"5F1"</f>
        <v>5F1</v>
      </c>
      <c r="L11194" t="s">
        <v>15</v>
      </c>
    </row>
    <row r="11195" spans="1:12" x14ac:dyDescent="0.25">
      <c r="A11195" t="str">
        <f t="shared" si="457"/>
        <v>8157315331</v>
      </c>
      <c r="B11195" t="str">
        <f t="shared" si="455"/>
        <v>89301000</v>
      </c>
      <c r="C11195" s="1">
        <v>44232</v>
      </c>
      <c r="D11195" s="1">
        <v>44232</v>
      </c>
      <c r="E11195">
        <v>1</v>
      </c>
      <c r="F11195" t="s">
        <v>1563</v>
      </c>
      <c r="G11195" t="str">
        <f>"05-I14-04"</f>
        <v>05-I14-04</v>
      </c>
      <c r="H11195">
        <v>5.1692</v>
      </c>
      <c r="I11195" t="s">
        <v>7436</v>
      </c>
      <c r="J11195" t="s">
        <v>14</v>
      </c>
      <c r="K11195" t="str">
        <f>"1F7"</f>
        <v>1F7</v>
      </c>
      <c r="L11195" t="s">
        <v>15</v>
      </c>
    </row>
    <row r="11196" spans="1:12" x14ac:dyDescent="0.25">
      <c r="A11196" t="str">
        <f t="shared" si="457"/>
        <v>8157315331</v>
      </c>
      <c r="B11196" t="str">
        <f t="shared" si="455"/>
        <v>89301000</v>
      </c>
      <c r="C11196" s="1">
        <v>44224</v>
      </c>
      <c r="D11196" s="1">
        <v>44228</v>
      </c>
      <c r="E11196">
        <v>1</v>
      </c>
      <c r="F11196" t="s">
        <v>351</v>
      </c>
      <c r="G11196" t="str">
        <f>"10-K04-04"</f>
        <v>10-K04-04</v>
      </c>
      <c r="H11196">
        <v>0.56330000000000002</v>
      </c>
      <c r="I11196" t="s">
        <v>7437</v>
      </c>
      <c r="J11196" t="s">
        <v>14</v>
      </c>
      <c r="K11196" t="str">
        <f>"1F1"</f>
        <v>1F1</v>
      </c>
      <c r="L11196" t="s">
        <v>15</v>
      </c>
    </row>
    <row r="11197" spans="1:12" x14ac:dyDescent="0.25">
      <c r="A11197" t="str">
        <f t="shared" si="457"/>
        <v>8157315331</v>
      </c>
      <c r="B11197" t="str">
        <f t="shared" si="455"/>
        <v>89301000</v>
      </c>
      <c r="C11197" s="1">
        <v>44447</v>
      </c>
      <c r="D11197" s="1">
        <v>44456</v>
      </c>
      <c r="E11197">
        <v>1</v>
      </c>
      <c r="F11197" t="s">
        <v>1752</v>
      </c>
      <c r="G11197" t="str">
        <f>"10-K12-02"</f>
        <v>10-K12-02</v>
      </c>
      <c r="H11197">
        <v>0.94830000000000003</v>
      </c>
      <c r="I11197" t="s">
        <v>7438</v>
      </c>
      <c r="J11197" t="s">
        <v>14</v>
      </c>
      <c r="K11197" t="str">
        <f>"1F1"</f>
        <v>1F1</v>
      </c>
      <c r="L11197" t="s">
        <v>15</v>
      </c>
    </row>
    <row r="11198" spans="1:12" x14ac:dyDescent="0.25">
      <c r="A11198" t="str">
        <f>"8158165323"</f>
        <v>8158165323</v>
      </c>
      <c r="B11198" t="str">
        <f t="shared" si="455"/>
        <v>89301000</v>
      </c>
      <c r="C11198" s="1">
        <v>44458</v>
      </c>
      <c r="D11198" s="1">
        <v>44459</v>
      </c>
      <c r="E11198">
        <v>1</v>
      </c>
      <c r="F11198" t="s">
        <v>75</v>
      </c>
      <c r="G11198" t="str">
        <f>"14-M01-05"</f>
        <v>14-M01-05</v>
      </c>
      <c r="H11198">
        <v>0.54239999999999999</v>
      </c>
      <c r="J11198" t="s">
        <v>59</v>
      </c>
      <c r="K11198" t="str">
        <f>"6F3"</f>
        <v>6F3</v>
      </c>
      <c r="L11198" t="s">
        <v>15</v>
      </c>
    </row>
    <row r="11199" spans="1:12" x14ac:dyDescent="0.25">
      <c r="A11199" t="str">
        <f>"8158165323"</f>
        <v>8158165323</v>
      </c>
      <c r="B11199" t="str">
        <f t="shared" si="455"/>
        <v>89301000</v>
      </c>
      <c r="C11199" s="1">
        <v>44452</v>
      </c>
      <c r="D11199" s="1">
        <v>44453</v>
      </c>
      <c r="E11199">
        <v>1</v>
      </c>
      <c r="F11199" t="s">
        <v>60</v>
      </c>
      <c r="G11199" t="str">
        <f>"14-K03-02"</f>
        <v>14-K03-02</v>
      </c>
      <c r="H11199">
        <v>0.2646</v>
      </c>
      <c r="J11199" t="s">
        <v>14</v>
      </c>
      <c r="K11199" t="str">
        <f>"6F3"</f>
        <v>6F3</v>
      </c>
      <c r="L11199" t="s">
        <v>15</v>
      </c>
    </row>
    <row r="11200" spans="1:12" x14ac:dyDescent="0.25">
      <c r="A11200" t="str">
        <f>"8158200567"</f>
        <v>8158200567</v>
      </c>
      <c r="B11200" t="str">
        <f t="shared" si="455"/>
        <v>89301000</v>
      </c>
      <c r="C11200" s="1">
        <v>44510</v>
      </c>
      <c r="D11200" s="1">
        <v>44513</v>
      </c>
      <c r="E11200">
        <v>1</v>
      </c>
      <c r="F11200" t="s">
        <v>81</v>
      </c>
      <c r="G11200" t="str">
        <f>"10-I13-02"</f>
        <v>10-I13-02</v>
      </c>
      <c r="H11200">
        <v>1.1468</v>
      </c>
      <c r="J11200" t="s">
        <v>24</v>
      </c>
      <c r="K11200" t="str">
        <f>"5F1"</f>
        <v>5F1</v>
      </c>
      <c r="L11200" t="s">
        <v>15</v>
      </c>
    </row>
    <row r="11201" spans="1:12" x14ac:dyDescent="0.25">
      <c r="A11201" t="str">
        <f>"8158275455"</f>
        <v>8158275455</v>
      </c>
      <c r="B11201" t="str">
        <f t="shared" si="455"/>
        <v>89301000</v>
      </c>
      <c r="C11201" s="1">
        <v>44276</v>
      </c>
      <c r="D11201" s="1">
        <v>44280</v>
      </c>
      <c r="E11201">
        <v>1</v>
      </c>
      <c r="F11201" t="s">
        <v>81</v>
      </c>
      <c r="G11201" t="str">
        <f>"10-I13-02"</f>
        <v>10-I13-02</v>
      </c>
      <c r="H11201">
        <v>1.1468</v>
      </c>
      <c r="J11201" t="s">
        <v>24</v>
      </c>
      <c r="K11201" t="str">
        <f>"5F5"</f>
        <v>5F5</v>
      </c>
      <c r="L11201" t="s">
        <v>15</v>
      </c>
    </row>
    <row r="11202" spans="1:12" x14ac:dyDescent="0.25">
      <c r="A11202" t="str">
        <f>"8159014457"</f>
        <v>8159014457</v>
      </c>
      <c r="B11202" t="str">
        <f t="shared" si="455"/>
        <v>89301000</v>
      </c>
      <c r="C11202" s="1">
        <v>44280</v>
      </c>
      <c r="D11202" s="1">
        <v>44284</v>
      </c>
      <c r="E11202">
        <v>1</v>
      </c>
      <c r="F11202" t="s">
        <v>75</v>
      </c>
      <c r="G11202" t="str">
        <f>"14-M01-05"</f>
        <v>14-M01-05</v>
      </c>
      <c r="H11202">
        <v>0.54239999999999999</v>
      </c>
      <c r="I11202" t="s">
        <v>426</v>
      </c>
      <c r="J11202" t="s">
        <v>59</v>
      </c>
      <c r="K11202" t="str">
        <f>"6F3"</f>
        <v>6F3</v>
      </c>
      <c r="L11202" t="s">
        <v>15</v>
      </c>
    </row>
    <row r="11203" spans="1:12" x14ac:dyDescent="0.25">
      <c r="A11203" t="str">
        <f>"8159064463"</f>
        <v>8159064463</v>
      </c>
      <c r="B11203" t="str">
        <f t="shared" si="455"/>
        <v>89301000</v>
      </c>
      <c r="C11203" s="1">
        <v>44448</v>
      </c>
      <c r="D11203" s="1">
        <v>44463</v>
      </c>
      <c r="E11203">
        <v>1</v>
      </c>
      <c r="F11203" t="s">
        <v>4082</v>
      </c>
      <c r="G11203" t="str">
        <f>"01-I06-04"</f>
        <v>01-I06-04</v>
      </c>
      <c r="H11203">
        <v>3.6231</v>
      </c>
      <c r="I11203" t="s">
        <v>7439</v>
      </c>
      <c r="J11203" t="s">
        <v>17</v>
      </c>
      <c r="K11203" t="str">
        <f>"5F6"</f>
        <v>5F6</v>
      </c>
      <c r="L11203" t="s">
        <v>15</v>
      </c>
    </row>
    <row r="11204" spans="1:12" x14ac:dyDescent="0.25">
      <c r="A11204" t="str">
        <f>"8159064463"</f>
        <v>8159064463</v>
      </c>
      <c r="B11204" t="str">
        <f t="shared" si="455"/>
        <v>89301000</v>
      </c>
      <c r="C11204" s="1">
        <v>44417</v>
      </c>
      <c r="D11204" s="1">
        <v>44435</v>
      </c>
      <c r="E11204">
        <v>1</v>
      </c>
      <c r="F11204" t="s">
        <v>2632</v>
      </c>
      <c r="G11204" t="str">
        <f>"01-I06-01"</f>
        <v>01-I06-01</v>
      </c>
      <c r="H11204">
        <v>7.2766000000000002</v>
      </c>
      <c r="J11204" t="s">
        <v>17</v>
      </c>
      <c r="K11204" t="str">
        <f>"5F6"</f>
        <v>5F6</v>
      </c>
      <c r="L11204" t="s">
        <v>15</v>
      </c>
    </row>
    <row r="11205" spans="1:12" x14ac:dyDescent="0.25">
      <c r="A11205" t="str">
        <f>"8159115305"</f>
        <v>8159115305</v>
      </c>
      <c r="B11205" t="str">
        <f t="shared" si="455"/>
        <v>89301000</v>
      </c>
      <c r="C11205" s="1">
        <v>44428</v>
      </c>
      <c r="D11205" s="1">
        <v>44434</v>
      </c>
      <c r="E11205">
        <v>1</v>
      </c>
      <c r="F11205" t="s">
        <v>75</v>
      </c>
      <c r="G11205" t="str">
        <f>"14-M01-02"</f>
        <v>14-M01-02</v>
      </c>
      <c r="H11205">
        <v>0.74450000000000005</v>
      </c>
      <c r="I11205" t="s">
        <v>7440</v>
      </c>
      <c r="J11205" t="s">
        <v>59</v>
      </c>
      <c r="K11205" t="str">
        <f>"6F3"</f>
        <v>6F3</v>
      </c>
      <c r="L11205" t="s">
        <v>15</v>
      </c>
    </row>
    <row r="11206" spans="1:12" x14ac:dyDescent="0.25">
      <c r="A11206" t="str">
        <f>"8159144455"</f>
        <v>8159144455</v>
      </c>
      <c r="B11206" t="str">
        <f t="shared" si="455"/>
        <v>89301000</v>
      </c>
      <c r="C11206" s="1">
        <v>44435</v>
      </c>
      <c r="D11206" s="1">
        <v>44436</v>
      </c>
      <c r="E11206">
        <v>1</v>
      </c>
      <c r="F11206" t="s">
        <v>3236</v>
      </c>
      <c r="G11206" t="str">
        <f>"13-I19-00"</f>
        <v>13-I19-00</v>
      </c>
      <c r="H11206">
        <v>0.24679999999999999</v>
      </c>
      <c r="J11206" t="s">
        <v>14</v>
      </c>
      <c r="K11206" t="str">
        <f>"6F3"</f>
        <v>6F3</v>
      </c>
      <c r="L11206" t="s">
        <v>15</v>
      </c>
    </row>
    <row r="11207" spans="1:12" x14ac:dyDescent="0.25">
      <c r="A11207" t="str">
        <f>"8159175398"</f>
        <v>8159175398</v>
      </c>
      <c r="B11207" t="str">
        <f t="shared" si="455"/>
        <v>89301000</v>
      </c>
      <c r="C11207" s="1">
        <v>44515</v>
      </c>
      <c r="D11207" s="1">
        <v>44516</v>
      </c>
      <c r="E11207">
        <v>1</v>
      </c>
      <c r="F11207" t="s">
        <v>429</v>
      </c>
      <c r="G11207" t="str">
        <f>"20-K01-06"</f>
        <v>20-K01-06</v>
      </c>
      <c r="H11207">
        <v>0.25779999999999997</v>
      </c>
      <c r="J11207" t="s">
        <v>14</v>
      </c>
      <c r="K11207" t="str">
        <f>"1F1"</f>
        <v>1F1</v>
      </c>
      <c r="L11207" t="s">
        <v>15</v>
      </c>
    </row>
    <row r="11208" spans="1:12" x14ac:dyDescent="0.25">
      <c r="A11208" t="str">
        <f>"8159214459"</f>
        <v>8159214459</v>
      </c>
      <c r="B11208" t="str">
        <f t="shared" si="455"/>
        <v>89301000</v>
      </c>
      <c r="C11208" s="1">
        <v>44531</v>
      </c>
      <c r="D11208" s="1">
        <v>44535</v>
      </c>
      <c r="E11208">
        <v>1</v>
      </c>
      <c r="F11208" t="s">
        <v>593</v>
      </c>
      <c r="G11208" t="str">
        <f>"07-I10-06"</f>
        <v>07-I10-06</v>
      </c>
      <c r="H11208">
        <v>0.9728</v>
      </c>
      <c r="I11208" t="s">
        <v>7441</v>
      </c>
      <c r="J11208" t="s">
        <v>17</v>
      </c>
      <c r="K11208" t="str">
        <f>"5F1"</f>
        <v>5F1</v>
      </c>
      <c r="L11208" t="s">
        <v>15</v>
      </c>
    </row>
    <row r="11209" spans="1:12" x14ac:dyDescent="0.25">
      <c r="A11209" t="str">
        <f>"8159214459"</f>
        <v>8159214459</v>
      </c>
      <c r="B11209" t="str">
        <f t="shared" si="455"/>
        <v>89301000</v>
      </c>
      <c r="C11209" s="1">
        <v>44490</v>
      </c>
      <c r="D11209" s="1">
        <v>44510</v>
      </c>
      <c r="E11209">
        <v>1</v>
      </c>
      <c r="F11209" t="s">
        <v>637</v>
      </c>
      <c r="G11209" t="str">
        <f>"17-C05-09"</f>
        <v>17-C05-09</v>
      </c>
      <c r="H11209">
        <v>1.9583999999999999</v>
      </c>
      <c r="I11209" t="s">
        <v>7442</v>
      </c>
      <c r="J11209" t="s">
        <v>14</v>
      </c>
      <c r="K11209" t="str">
        <f>"2F2"</f>
        <v>2F2</v>
      </c>
      <c r="L11209" t="s">
        <v>15</v>
      </c>
    </row>
    <row r="11210" spans="1:12" x14ac:dyDescent="0.25">
      <c r="A11210" t="str">
        <f>"8159214459"</f>
        <v>8159214459</v>
      </c>
      <c r="B11210" t="str">
        <f t="shared" si="455"/>
        <v>89301000</v>
      </c>
      <c r="C11210" s="1">
        <v>44461</v>
      </c>
      <c r="D11210" s="1">
        <v>44482</v>
      </c>
      <c r="E11210">
        <v>1</v>
      </c>
      <c r="F11210" t="s">
        <v>637</v>
      </c>
      <c r="G11210" t="str">
        <f>"17-C05-01"</f>
        <v>17-C05-01</v>
      </c>
      <c r="H11210">
        <v>6.2104999999999997</v>
      </c>
      <c r="I11210" t="s">
        <v>7443</v>
      </c>
      <c r="J11210" t="s">
        <v>14</v>
      </c>
      <c r="K11210" t="str">
        <f>"2F2"</f>
        <v>2F2</v>
      </c>
      <c r="L11210" t="s">
        <v>15</v>
      </c>
    </row>
    <row r="11211" spans="1:12" x14ac:dyDescent="0.25">
      <c r="A11211" t="str">
        <f>"8159214459"</f>
        <v>8159214459</v>
      </c>
      <c r="B11211" t="str">
        <f t="shared" si="455"/>
        <v>89301000</v>
      </c>
      <c r="C11211" s="1">
        <v>44272</v>
      </c>
      <c r="D11211" s="1">
        <v>44302</v>
      </c>
      <c r="E11211">
        <v>1</v>
      </c>
      <c r="F11211" t="s">
        <v>6981</v>
      </c>
      <c r="G11211" t="str">
        <f>"17-I09-01"</f>
        <v>17-I09-01</v>
      </c>
      <c r="H11211">
        <v>3.7841999999999998</v>
      </c>
      <c r="I11211" t="s">
        <v>7444</v>
      </c>
      <c r="J11211" t="s">
        <v>14</v>
      </c>
      <c r="K11211" t="str">
        <f>"2F2"</f>
        <v>2F2</v>
      </c>
      <c r="L11211" t="s">
        <v>15</v>
      </c>
    </row>
    <row r="11212" spans="1:12" x14ac:dyDescent="0.25">
      <c r="A11212" t="str">
        <f>"8160025335"</f>
        <v>8160025335</v>
      </c>
      <c r="B11212" t="str">
        <f t="shared" si="455"/>
        <v>89301000</v>
      </c>
      <c r="C11212" s="1">
        <v>44298</v>
      </c>
      <c r="D11212" s="1">
        <v>44303</v>
      </c>
      <c r="E11212">
        <v>1</v>
      </c>
      <c r="F11212" t="s">
        <v>112</v>
      </c>
      <c r="G11212" t="str">
        <f>"14-M01-05"</f>
        <v>14-M01-05</v>
      </c>
      <c r="H11212">
        <v>0.54239999999999999</v>
      </c>
      <c r="I11212" t="s">
        <v>7445</v>
      </c>
      <c r="J11212" t="s">
        <v>59</v>
      </c>
      <c r="K11212" t="str">
        <f>"6F3"</f>
        <v>6F3</v>
      </c>
      <c r="L11212" t="s">
        <v>15</v>
      </c>
    </row>
    <row r="11213" spans="1:12" x14ac:dyDescent="0.25">
      <c r="A11213" t="str">
        <f>"8160035763"</f>
        <v>8160035763</v>
      </c>
      <c r="B11213" t="str">
        <f t="shared" si="455"/>
        <v>89301000</v>
      </c>
      <c r="C11213" s="1">
        <v>44230</v>
      </c>
      <c r="D11213" s="1">
        <v>44231</v>
      </c>
      <c r="E11213">
        <v>1</v>
      </c>
      <c r="F11213" t="s">
        <v>7446</v>
      </c>
      <c r="G11213" t="str">
        <f>"17-I10-02"</f>
        <v>17-I10-02</v>
      </c>
      <c r="H11213">
        <v>0.92959999999999998</v>
      </c>
      <c r="I11213" t="s">
        <v>688</v>
      </c>
      <c r="J11213" t="s">
        <v>14</v>
      </c>
      <c r="K11213" t="str">
        <f>"5F1"</f>
        <v>5F1</v>
      </c>
      <c r="L11213" t="s">
        <v>15</v>
      </c>
    </row>
    <row r="11214" spans="1:12" x14ac:dyDescent="0.25">
      <c r="A11214" t="str">
        <f>"8160135324"</f>
        <v>8160135324</v>
      </c>
      <c r="B11214" t="str">
        <f t="shared" si="455"/>
        <v>89301000</v>
      </c>
      <c r="C11214" s="1">
        <v>44301</v>
      </c>
      <c r="D11214" s="1">
        <v>44307</v>
      </c>
      <c r="E11214">
        <v>1</v>
      </c>
      <c r="F11214" t="s">
        <v>1602</v>
      </c>
      <c r="G11214" t="str">
        <f>"05-K07-05"</f>
        <v>05-K07-05</v>
      </c>
      <c r="H11214">
        <v>0.81410000000000005</v>
      </c>
      <c r="I11214" t="s">
        <v>7447</v>
      </c>
      <c r="J11214" t="s">
        <v>14</v>
      </c>
      <c r="K11214" t="str">
        <f>"1F1"</f>
        <v>1F1</v>
      </c>
      <c r="L11214" t="s">
        <v>15</v>
      </c>
    </row>
    <row r="11215" spans="1:12" x14ac:dyDescent="0.25">
      <c r="A11215" t="str">
        <f>"8160145345"</f>
        <v>8160145345</v>
      </c>
      <c r="B11215" t="str">
        <f t="shared" si="455"/>
        <v>89301000</v>
      </c>
      <c r="C11215" s="1">
        <v>44294</v>
      </c>
      <c r="D11215" s="1">
        <v>44298</v>
      </c>
      <c r="E11215">
        <v>1</v>
      </c>
      <c r="F11215" t="s">
        <v>75</v>
      </c>
      <c r="G11215" t="str">
        <f>"14-M01-05"</f>
        <v>14-M01-05</v>
      </c>
      <c r="H11215">
        <v>0.54239999999999999</v>
      </c>
      <c r="I11215" t="s">
        <v>7448</v>
      </c>
      <c r="J11215" t="s">
        <v>59</v>
      </c>
      <c r="K11215" t="str">
        <f>"6F3"</f>
        <v>6F3</v>
      </c>
      <c r="L11215" t="s">
        <v>15</v>
      </c>
    </row>
    <row r="11216" spans="1:12" x14ac:dyDescent="0.25">
      <c r="A11216" t="str">
        <f>"8160204470"</f>
        <v>8160204470</v>
      </c>
      <c r="B11216" t="str">
        <f t="shared" si="455"/>
        <v>89301000</v>
      </c>
      <c r="C11216" s="1">
        <v>44369</v>
      </c>
      <c r="D11216" s="1">
        <v>44373</v>
      </c>
      <c r="E11216">
        <v>1</v>
      </c>
      <c r="F11216" t="s">
        <v>23</v>
      </c>
      <c r="G11216" t="str">
        <f>"06-I18-05"</f>
        <v>06-I18-05</v>
      </c>
      <c r="H11216">
        <v>0.85550000000000004</v>
      </c>
      <c r="J11216" t="s">
        <v>24</v>
      </c>
      <c r="K11216" t="str">
        <f>"5F1"</f>
        <v>5F1</v>
      </c>
      <c r="L11216" t="s">
        <v>15</v>
      </c>
    </row>
    <row r="11217" spans="1:12" x14ac:dyDescent="0.25">
      <c r="A11217" t="str">
        <f>"8160235325"</f>
        <v>8160235325</v>
      </c>
      <c r="B11217" t="str">
        <f t="shared" si="455"/>
        <v>89301000</v>
      </c>
      <c r="C11217" s="1">
        <v>44217</v>
      </c>
      <c r="D11217" s="1">
        <v>44222</v>
      </c>
      <c r="E11217">
        <v>1</v>
      </c>
      <c r="F11217" t="s">
        <v>7449</v>
      </c>
      <c r="G11217" t="str">
        <f>"14-I01-01"</f>
        <v>14-I01-01</v>
      </c>
      <c r="H11217">
        <v>1.5809</v>
      </c>
      <c r="I11217" t="s">
        <v>7450</v>
      </c>
      <c r="J11217" t="s">
        <v>59</v>
      </c>
      <c r="K11217" t="str">
        <f>"6F3"</f>
        <v>6F3</v>
      </c>
      <c r="L11217" t="s">
        <v>15</v>
      </c>
    </row>
    <row r="11218" spans="1:12" x14ac:dyDescent="0.25">
      <c r="A11218" t="str">
        <f>"8160235754"</f>
        <v>8160235754</v>
      </c>
      <c r="B11218" t="str">
        <f t="shared" si="455"/>
        <v>89301000</v>
      </c>
      <c r="C11218" s="1">
        <v>44538</v>
      </c>
      <c r="D11218" s="1">
        <v>44542</v>
      </c>
      <c r="E11218">
        <v>1</v>
      </c>
      <c r="F11218" t="s">
        <v>75</v>
      </c>
      <c r="G11218" t="str">
        <f>"14-M01-05"</f>
        <v>14-M01-05</v>
      </c>
      <c r="H11218">
        <v>0.54239999999999999</v>
      </c>
      <c r="I11218" t="s">
        <v>76</v>
      </c>
      <c r="J11218" t="s">
        <v>59</v>
      </c>
      <c r="K11218" t="str">
        <f>"6F3"</f>
        <v>6F3</v>
      </c>
      <c r="L11218" t="s">
        <v>15</v>
      </c>
    </row>
    <row r="11219" spans="1:12" x14ac:dyDescent="0.25">
      <c r="A11219" t="str">
        <f>"8160254135"</f>
        <v>8160254135</v>
      </c>
      <c r="B11219" t="str">
        <f t="shared" si="455"/>
        <v>89301000</v>
      </c>
      <c r="C11219" s="1">
        <v>44454</v>
      </c>
      <c r="D11219" s="1">
        <v>44457</v>
      </c>
      <c r="E11219">
        <v>1</v>
      </c>
      <c r="F11219" t="s">
        <v>7451</v>
      </c>
      <c r="G11219" t="str">
        <f>"08-I26-02"</f>
        <v>08-I26-02</v>
      </c>
      <c r="H11219">
        <v>0.83399999999999996</v>
      </c>
      <c r="J11219" t="s">
        <v>14</v>
      </c>
      <c r="K11219" t="str">
        <f>"6F6"</f>
        <v>6F6</v>
      </c>
      <c r="L11219" t="s">
        <v>15</v>
      </c>
    </row>
    <row r="11220" spans="1:12" x14ac:dyDescent="0.25">
      <c r="A11220" t="str">
        <f>"8161055353"</f>
        <v>8161055353</v>
      </c>
      <c r="B11220" t="str">
        <f t="shared" si="455"/>
        <v>89301000</v>
      </c>
      <c r="C11220" s="1">
        <v>44465</v>
      </c>
      <c r="D11220" s="1">
        <v>44468</v>
      </c>
      <c r="E11220">
        <v>1</v>
      </c>
      <c r="F11220" t="s">
        <v>167</v>
      </c>
      <c r="G11220" t="str">
        <f>"08-M03-04"</f>
        <v>08-M03-04</v>
      </c>
      <c r="H11220">
        <v>0.8609</v>
      </c>
      <c r="I11220" t="s">
        <v>524</v>
      </c>
      <c r="J11220" t="s">
        <v>14</v>
      </c>
      <c r="K11220" t="str">
        <f>"6F6"</f>
        <v>6F6</v>
      </c>
      <c r="L11220" t="s">
        <v>15</v>
      </c>
    </row>
    <row r="11221" spans="1:12" x14ac:dyDescent="0.25">
      <c r="A11221" t="str">
        <f>"8161201675"</f>
        <v>8161201675</v>
      </c>
      <c r="B11221" t="str">
        <f t="shared" si="455"/>
        <v>89301000</v>
      </c>
      <c r="C11221" s="1">
        <v>44273</v>
      </c>
      <c r="D11221" s="1">
        <v>44275</v>
      </c>
      <c r="E11221">
        <v>1</v>
      </c>
      <c r="F11221" t="s">
        <v>1551</v>
      </c>
      <c r="G11221" t="str">
        <f>"09-I06-03"</f>
        <v>09-I06-03</v>
      </c>
      <c r="H11221">
        <v>1.4382999999999999</v>
      </c>
      <c r="I11221" t="s">
        <v>7452</v>
      </c>
      <c r="J11221" t="s">
        <v>17</v>
      </c>
      <c r="K11221" t="str">
        <f>"6F1"</f>
        <v>6F1</v>
      </c>
      <c r="L11221" t="s">
        <v>15</v>
      </c>
    </row>
    <row r="11222" spans="1:12" x14ac:dyDescent="0.25">
      <c r="A11222" t="str">
        <f>"8161215326"</f>
        <v>8161215326</v>
      </c>
      <c r="B11222" t="str">
        <f t="shared" si="455"/>
        <v>89301000</v>
      </c>
      <c r="C11222" s="1">
        <v>44236</v>
      </c>
      <c r="D11222" s="1">
        <v>44240</v>
      </c>
      <c r="E11222">
        <v>1</v>
      </c>
      <c r="F11222" t="s">
        <v>82</v>
      </c>
      <c r="G11222" t="str">
        <f>"14-I01-05"</f>
        <v>14-I01-05</v>
      </c>
      <c r="H11222">
        <v>0.80030000000000001</v>
      </c>
      <c r="I11222" t="s">
        <v>62</v>
      </c>
      <c r="J11222" t="s">
        <v>59</v>
      </c>
      <c r="K11222" t="str">
        <f>"6F3"</f>
        <v>6F3</v>
      </c>
      <c r="L11222" t="s">
        <v>15</v>
      </c>
    </row>
    <row r="11223" spans="1:12" x14ac:dyDescent="0.25">
      <c r="A11223" t="str">
        <f>"8161215337"</f>
        <v>8161215337</v>
      </c>
      <c r="B11223" t="str">
        <f t="shared" si="455"/>
        <v>89301000</v>
      </c>
      <c r="C11223" s="1">
        <v>44361</v>
      </c>
      <c r="D11223" s="1">
        <v>44363</v>
      </c>
      <c r="E11223">
        <v>1</v>
      </c>
      <c r="F11223" t="s">
        <v>1090</v>
      </c>
      <c r="G11223" t="str">
        <f>"11-K03-02"</f>
        <v>11-K03-02</v>
      </c>
      <c r="H11223">
        <v>0.6008</v>
      </c>
      <c r="I11223" t="s">
        <v>7453</v>
      </c>
      <c r="J11223" t="s">
        <v>14</v>
      </c>
      <c r="K11223" t="str">
        <f>"1F1"</f>
        <v>1F1</v>
      </c>
      <c r="L11223" t="s">
        <v>15</v>
      </c>
    </row>
    <row r="11224" spans="1:12" x14ac:dyDescent="0.25">
      <c r="A11224" t="str">
        <f>"8161245367"</f>
        <v>8161245367</v>
      </c>
      <c r="B11224" t="str">
        <f t="shared" si="455"/>
        <v>89301000</v>
      </c>
      <c r="C11224" s="1">
        <v>44369</v>
      </c>
      <c r="D11224" s="1">
        <v>44370</v>
      </c>
      <c r="E11224">
        <v>1</v>
      </c>
      <c r="F11224" t="s">
        <v>7454</v>
      </c>
      <c r="G11224" t="str">
        <f>"08-K04-03"</f>
        <v>08-K04-03</v>
      </c>
      <c r="H11224">
        <v>0.45050000000000001</v>
      </c>
      <c r="J11224" t="s">
        <v>14</v>
      </c>
      <c r="K11224" t="str">
        <f>"5F3"</f>
        <v>5F3</v>
      </c>
      <c r="L11224" t="s">
        <v>15</v>
      </c>
    </row>
    <row r="11225" spans="1:12" x14ac:dyDescent="0.25">
      <c r="A11225" t="str">
        <f>"8161265321"</f>
        <v>8161265321</v>
      </c>
      <c r="B11225" t="str">
        <f t="shared" si="455"/>
        <v>89301000</v>
      </c>
      <c r="C11225" s="1">
        <v>44415</v>
      </c>
      <c r="D11225" s="1">
        <v>44421</v>
      </c>
      <c r="E11225">
        <v>1</v>
      </c>
      <c r="F11225" t="s">
        <v>7455</v>
      </c>
      <c r="G11225" t="str">
        <f>"14-I01-02"</f>
        <v>14-I01-02</v>
      </c>
      <c r="H11225">
        <v>1.1289</v>
      </c>
      <c r="I11225" t="s">
        <v>7456</v>
      </c>
      <c r="J11225" t="s">
        <v>59</v>
      </c>
      <c r="K11225" t="str">
        <f>"6F3"</f>
        <v>6F3</v>
      </c>
      <c r="L11225" t="s">
        <v>15</v>
      </c>
    </row>
    <row r="11226" spans="1:12" x14ac:dyDescent="0.25">
      <c r="A11226" t="str">
        <f>"8161305306"</f>
        <v>8161305306</v>
      </c>
      <c r="B11226" t="str">
        <f t="shared" si="455"/>
        <v>89301000</v>
      </c>
      <c r="C11226" s="1">
        <v>44276</v>
      </c>
      <c r="D11226" s="1">
        <v>44279</v>
      </c>
      <c r="E11226">
        <v>1</v>
      </c>
      <c r="F11226" t="s">
        <v>1690</v>
      </c>
      <c r="G11226" t="str">
        <f>"07-I10-06"</f>
        <v>07-I10-06</v>
      </c>
      <c r="H11226">
        <v>0.9728</v>
      </c>
      <c r="J11226" t="s">
        <v>17</v>
      </c>
      <c r="K11226" t="str">
        <f>"5F1"</f>
        <v>5F1</v>
      </c>
      <c r="L11226" t="s">
        <v>15</v>
      </c>
    </row>
    <row r="11227" spans="1:12" x14ac:dyDescent="0.25">
      <c r="A11227" t="str">
        <f>"8162025311"</f>
        <v>8162025311</v>
      </c>
      <c r="B11227" t="str">
        <f t="shared" si="455"/>
        <v>89301000</v>
      </c>
      <c r="C11227" s="1">
        <v>44289</v>
      </c>
      <c r="D11227" s="1">
        <v>44290</v>
      </c>
      <c r="E11227">
        <v>1</v>
      </c>
      <c r="F11227" t="s">
        <v>4541</v>
      </c>
      <c r="G11227" t="str">
        <f>"03-K04-01"</f>
        <v>03-K04-01</v>
      </c>
      <c r="H11227">
        <v>0.46660000000000001</v>
      </c>
      <c r="I11227" t="s">
        <v>168</v>
      </c>
      <c r="J11227" t="s">
        <v>14</v>
      </c>
      <c r="K11227" t="str">
        <f>"7F1"</f>
        <v>7F1</v>
      </c>
      <c r="L11227" t="s">
        <v>15</v>
      </c>
    </row>
    <row r="11228" spans="1:12" x14ac:dyDescent="0.25">
      <c r="A11228" t="str">
        <f>"8162034485"</f>
        <v>8162034485</v>
      </c>
      <c r="B11228" t="str">
        <f t="shared" si="455"/>
        <v>89301000</v>
      </c>
      <c r="C11228" s="1">
        <v>44471</v>
      </c>
      <c r="D11228" s="1">
        <v>44473</v>
      </c>
      <c r="E11228">
        <v>1</v>
      </c>
      <c r="F11228" t="s">
        <v>2457</v>
      </c>
      <c r="G11228" t="str">
        <f>"05-D01-08"</f>
        <v>05-D01-08</v>
      </c>
      <c r="H11228">
        <v>0.4093</v>
      </c>
      <c r="I11228" t="s">
        <v>241</v>
      </c>
      <c r="J11228" t="s">
        <v>14</v>
      </c>
      <c r="K11228" t="str">
        <f>"1F1"</f>
        <v>1F1</v>
      </c>
      <c r="L11228" t="s">
        <v>15</v>
      </c>
    </row>
    <row r="11229" spans="1:12" x14ac:dyDescent="0.25">
      <c r="A11229" t="str">
        <f>"8162034672"</f>
        <v>8162034672</v>
      </c>
      <c r="B11229" t="str">
        <f t="shared" si="455"/>
        <v>89301000</v>
      </c>
      <c r="C11229" s="1">
        <v>44314</v>
      </c>
      <c r="D11229" s="1">
        <v>44316</v>
      </c>
      <c r="E11229">
        <v>1</v>
      </c>
      <c r="F11229" t="s">
        <v>194</v>
      </c>
      <c r="G11229" t="str">
        <f>"01-K07-02"</f>
        <v>01-K07-02</v>
      </c>
      <c r="H11229">
        <v>0.59279999999999999</v>
      </c>
      <c r="I11229" t="s">
        <v>7457</v>
      </c>
      <c r="J11229" t="s">
        <v>14</v>
      </c>
      <c r="K11229" t="str">
        <f>"2F9"</f>
        <v>2F9</v>
      </c>
      <c r="L11229" t="s">
        <v>15</v>
      </c>
    </row>
    <row r="11230" spans="1:12" x14ac:dyDescent="0.25">
      <c r="A11230" t="str">
        <f>"8162105358"</f>
        <v>8162105358</v>
      </c>
      <c r="B11230" t="str">
        <f t="shared" si="455"/>
        <v>89301000</v>
      </c>
      <c r="C11230" s="1">
        <v>44378</v>
      </c>
      <c r="D11230" s="1">
        <v>44381</v>
      </c>
      <c r="E11230">
        <v>1</v>
      </c>
      <c r="F11230" t="s">
        <v>82</v>
      </c>
      <c r="G11230" t="str">
        <f>"14-I01-05"</f>
        <v>14-I01-05</v>
      </c>
      <c r="H11230">
        <v>0.80030000000000001</v>
      </c>
      <c r="I11230" t="s">
        <v>7458</v>
      </c>
      <c r="J11230" t="s">
        <v>59</v>
      </c>
      <c r="K11230" t="str">
        <f>"6F3"</f>
        <v>6F3</v>
      </c>
      <c r="L11230" t="s">
        <v>15</v>
      </c>
    </row>
    <row r="11231" spans="1:12" x14ac:dyDescent="0.25">
      <c r="A11231" t="str">
        <f>"8162155375"</f>
        <v>8162155375</v>
      </c>
      <c r="B11231" t="str">
        <f t="shared" si="455"/>
        <v>89301000</v>
      </c>
      <c r="C11231" s="1">
        <v>44531</v>
      </c>
      <c r="D11231" s="1">
        <v>44539</v>
      </c>
      <c r="E11231">
        <v>1</v>
      </c>
      <c r="F11231" t="s">
        <v>1321</v>
      </c>
      <c r="G11231" t="str">
        <f>"09-I05-02"</f>
        <v>09-I05-02</v>
      </c>
      <c r="H11231">
        <v>1.8446</v>
      </c>
      <c r="I11231" t="s">
        <v>7459</v>
      </c>
      <c r="J11231" t="s">
        <v>14</v>
      </c>
      <c r="K11231" t="str">
        <f>"5F3"</f>
        <v>5F3</v>
      </c>
      <c r="L11231" t="s">
        <v>15</v>
      </c>
    </row>
    <row r="11232" spans="1:12" x14ac:dyDescent="0.25">
      <c r="A11232" t="str">
        <f>"8162204457"</f>
        <v>8162204457</v>
      </c>
      <c r="B11232" t="str">
        <f t="shared" ref="B11232:B11295" si="458">"89301000"</f>
        <v>89301000</v>
      </c>
      <c r="C11232" s="1">
        <v>44379</v>
      </c>
      <c r="D11232" s="1">
        <v>44384</v>
      </c>
      <c r="E11232">
        <v>1</v>
      </c>
      <c r="F11232" t="s">
        <v>265</v>
      </c>
      <c r="G11232" t="str">
        <f>"01-K07-03"</f>
        <v>01-K07-03</v>
      </c>
      <c r="H11232">
        <v>0.4642</v>
      </c>
      <c r="J11232" t="s">
        <v>14</v>
      </c>
      <c r="K11232" t="str">
        <f>"2F9"</f>
        <v>2F9</v>
      </c>
      <c r="L11232" t="s">
        <v>15</v>
      </c>
    </row>
    <row r="11233" spans="1:12" x14ac:dyDescent="0.25">
      <c r="A11233" t="str">
        <f>"8162215336"</f>
        <v>8162215336</v>
      </c>
      <c r="B11233" t="str">
        <f t="shared" si="458"/>
        <v>89301000</v>
      </c>
      <c r="C11233" s="1">
        <v>44414</v>
      </c>
      <c r="D11233" s="1">
        <v>44417</v>
      </c>
      <c r="E11233">
        <v>1</v>
      </c>
      <c r="F11233" t="s">
        <v>75</v>
      </c>
      <c r="G11233" t="str">
        <f>"14-M01-05"</f>
        <v>14-M01-05</v>
      </c>
      <c r="H11233">
        <v>0.54239999999999999</v>
      </c>
      <c r="J11233" t="s">
        <v>59</v>
      </c>
      <c r="K11233" t="str">
        <f>"6F3"</f>
        <v>6F3</v>
      </c>
      <c r="L11233" t="s">
        <v>15</v>
      </c>
    </row>
    <row r="11234" spans="1:12" x14ac:dyDescent="0.25">
      <c r="A11234" t="str">
        <f>"8162265760"</f>
        <v>8162265760</v>
      </c>
      <c r="B11234" t="str">
        <f t="shared" si="458"/>
        <v>89301000</v>
      </c>
      <c r="C11234" s="1">
        <v>44354</v>
      </c>
      <c r="D11234" s="1">
        <v>44358</v>
      </c>
      <c r="E11234">
        <v>1</v>
      </c>
      <c r="F11234" t="s">
        <v>61</v>
      </c>
      <c r="G11234" t="str">
        <f>"14-I01-05"</f>
        <v>14-I01-05</v>
      </c>
      <c r="H11234">
        <v>0.80030000000000001</v>
      </c>
      <c r="I11234" t="s">
        <v>62</v>
      </c>
      <c r="J11234" t="s">
        <v>59</v>
      </c>
      <c r="K11234" t="str">
        <f>"6F3"</f>
        <v>6F3</v>
      </c>
      <c r="L11234" t="s">
        <v>15</v>
      </c>
    </row>
    <row r="11235" spans="1:12" x14ac:dyDescent="0.25">
      <c r="A11235" t="str">
        <f>"8201084474"</f>
        <v>8201084474</v>
      </c>
      <c r="B11235" t="str">
        <f t="shared" si="458"/>
        <v>89301000</v>
      </c>
      <c r="C11235" s="1">
        <v>44551</v>
      </c>
      <c r="D11235" s="1">
        <v>44552</v>
      </c>
      <c r="E11235">
        <v>1</v>
      </c>
      <c r="F11235" t="s">
        <v>41</v>
      </c>
      <c r="G11235" t="str">
        <f>"01-D01-03"</f>
        <v>01-D01-03</v>
      </c>
      <c r="H11235">
        <v>0.158</v>
      </c>
      <c r="J11235" t="s">
        <v>14</v>
      </c>
      <c r="K11235" t="str">
        <f>"2F5"</f>
        <v>2F5</v>
      </c>
      <c r="L11235" t="s">
        <v>15</v>
      </c>
    </row>
    <row r="11236" spans="1:12" x14ac:dyDescent="0.25">
      <c r="A11236" t="str">
        <f>"8201125306"</f>
        <v>8201125306</v>
      </c>
      <c r="B11236" t="str">
        <f t="shared" si="458"/>
        <v>89301000</v>
      </c>
      <c r="C11236" s="1">
        <v>44347</v>
      </c>
      <c r="D11236" s="1">
        <v>44349</v>
      </c>
      <c r="E11236">
        <v>1</v>
      </c>
      <c r="F11236" t="s">
        <v>6775</v>
      </c>
      <c r="G11236" t="str">
        <f>"08-I26-03"</f>
        <v>08-I26-03</v>
      </c>
      <c r="H11236">
        <v>0.45679999999999998</v>
      </c>
      <c r="I11236" t="s">
        <v>5762</v>
      </c>
      <c r="J11236" t="s">
        <v>14</v>
      </c>
      <c r="K11236" t="str">
        <f>"6F6"</f>
        <v>6F6</v>
      </c>
      <c r="L11236" t="s">
        <v>15</v>
      </c>
    </row>
    <row r="11237" spans="1:12" x14ac:dyDescent="0.25">
      <c r="A11237" t="str">
        <f>"8201266645"</f>
        <v>8201266645</v>
      </c>
      <c r="B11237" t="str">
        <f t="shared" si="458"/>
        <v>89301000</v>
      </c>
      <c r="C11237" s="1">
        <v>44469</v>
      </c>
      <c r="D11237" s="1">
        <v>44470</v>
      </c>
      <c r="E11237">
        <v>1</v>
      </c>
      <c r="F11237" t="s">
        <v>41</v>
      </c>
      <c r="G11237" t="str">
        <f>"01-D01-03"</f>
        <v>01-D01-03</v>
      </c>
      <c r="H11237">
        <v>0.158</v>
      </c>
      <c r="J11237" t="s">
        <v>14</v>
      </c>
      <c r="K11237" t="str">
        <f>"2F5"</f>
        <v>2F5</v>
      </c>
      <c r="L11237" t="s">
        <v>15</v>
      </c>
    </row>
    <row r="11238" spans="1:12" x14ac:dyDescent="0.25">
      <c r="A11238" t="str">
        <f>"8202065311"</f>
        <v>8202065311</v>
      </c>
      <c r="B11238" t="str">
        <f t="shared" si="458"/>
        <v>89301000</v>
      </c>
      <c r="C11238" s="1">
        <v>44362</v>
      </c>
      <c r="D11238" s="1">
        <v>44377</v>
      </c>
      <c r="E11238">
        <v>1</v>
      </c>
      <c r="F11238" t="s">
        <v>3308</v>
      </c>
      <c r="G11238" t="str">
        <f>"11-M02-04"</f>
        <v>11-M02-04</v>
      </c>
      <c r="H11238">
        <v>5.4401999999999999</v>
      </c>
      <c r="I11238" t="s">
        <v>7460</v>
      </c>
      <c r="J11238" t="s">
        <v>14</v>
      </c>
      <c r="K11238" t="str">
        <f>"1F1"</f>
        <v>1F1</v>
      </c>
      <c r="L11238" t="s">
        <v>15</v>
      </c>
    </row>
    <row r="11239" spans="1:12" x14ac:dyDescent="0.25">
      <c r="A11239" t="str">
        <f>"8202065311"</f>
        <v>8202065311</v>
      </c>
      <c r="B11239" t="str">
        <f t="shared" si="458"/>
        <v>89301000</v>
      </c>
      <c r="C11239" s="1">
        <v>44398</v>
      </c>
      <c r="D11239" s="1">
        <v>44399</v>
      </c>
      <c r="E11239">
        <v>1</v>
      </c>
      <c r="F11239" t="s">
        <v>3308</v>
      </c>
      <c r="G11239" t="str">
        <f>"11-K03-02"</f>
        <v>11-K03-02</v>
      </c>
      <c r="H11239">
        <v>0.6008</v>
      </c>
      <c r="I11239" t="s">
        <v>7460</v>
      </c>
      <c r="J11239" t="s">
        <v>14</v>
      </c>
      <c r="K11239" t="str">
        <f>"1F1"</f>
        <v>1F1</v>
      </c>
      <c r="L11239" t="s">
        <v>15</v>
      </c>
    </row>
    <row r="11240" spans="1:12" x14ac:dyDescent="0.25">
      <c r="A11240" t="str">
        <f>"8202114151"</f>
        <v>8202114151</v>
      </c>
      <c r="B11240" t="str">
        <f t="shared" si="458"/>
        <v>89301000</v>
      </c>
      <c r="C11240" s="1">
        <v>44501</v>
      </c>
      <c r="D11240" s="1">
        <v>44503</v>
      </c>
      <c r="E11240">
        <v>1</v>
      </c>
      <c r="F11240" t="s">
        <v>1606</v>
      </c>
      <c r="G11240" t="str">
        <f>"05-M05-02"</f>
        <v>05-M05-02</v>
      </c>
      <c r="H11240">
        <v>3.516</v>
      </c>
      <c r="I11240" t="s">
        <v>1602</v>
      </c>
      <c r="J11240" t="s">
        <v>24</v>
      </c>
      <c r="K11240" t="str">
        <f>"1F7"</f>
        <v>1F7</v>
      </c>
      <c r="L11240" t="s">
        <v>15</v>
      </c>
    </row>
    <row r="11241" spans="1:12" x14ac:dyDescent="0.25">
      <c r="A11241" t="str">
        <f>"8202195320"</f>
        <v>8202195320</v>
      </c>
      <c r="B11241" t="str">
        <f t="shared" si="458"/>
        <v>89301000</v>
      </c>
      <c r="C11241" s="1">
        <v>44361</v>
      </c>
      <c r="D11241" s="1">
        <v>44363</v>
      </c>
      <c r="E11241">
        <v>1</v>
      </c>
      <c r="F11241" t="s">
        <v>7461</v>
      </c>
      <c r="G11241" t="str">
        <f>"08-I31-04"</f>
        <v>08-I31-04</v>
      </c>
      <c r="H11241">
        <v>0.50949999999999995</v>
      </c>
      <c r="J11241" t="s">
        <v>14</v>
      </c>
      <c r="K11241" t="str">
        <f>"6F6"</f>
        <v>6F6</v>
      </c>
      <c r="L11241" t="s">
        <v>15</v>
      </c>
    </row>
    <row r="11242" spans="1:12" x14ac:dyDescent="0.25">
      <c r="A11242" t="str">
        <f>"8203035357"</f>
        <v>8203035357</v>
      </c>
      <c r="B11242" t="str">
        <f t="shared" si="458"/>
        <v>89301000</v>
      </c>
      <c r="C11242" s="1">
        <v>44441</v>
      </c>
      <c r="D11242" s="1">
        <v>44442</v>
      </c>
      <c r="E11242">
        <v>1</v>
      </c>
      <c r="F11242" t="s">
        <v>41</v>
      </c>
      <c r="G11242" t="str">
        <f>"01-D01-03"</f>
        <v>01-D01-03</v>
      </c>
      <c r="H11242">
        <v>0.158</v>
      </c>
      <c r="I11242" t="s">
        <v>489</v>
      </c>
      <c r="J11242" t="s">
        <v>14</v>
      </c>
      <c r="K11242" t="str">
        <f>"2F5"</f>
        <v>2F5</v>
      </c>
      <c r="L11242" t="s">
        <v>15</v>
      </c>
    </row>
    <row r="11243" spans="1:12" x14ac:dyDescent="0.25">
      <c r="A11243" t="str">
        <f>"8203165333"</f>
        <v>8203165333</v>
      </c>
      <c r="B11243" t="str">
        <f t="shared" si="458"/>
        <v>89301000</v>
      </c>
      <c r="C11243" s="1">
        <v>44530</v>
      </c>
      <c r="D11243" s="1">
        <v>44531</v>
      </c>
      <c r="E11243">
        <v>1</v>
      </c>
      <c r="F11243" t="s">
        <v>41</v>
      </c>
      <c r="G11243" t="str">
        <f>"01-D01-03"</f>
        <v>01-D01-03</v>
      </c>
      <c r="H11243">
        <v>0.158</v>
      </c>
      <c r="J11243" t="s">
        <v>14</v>
      </c>
      <c r="K11243" t="str">
        <f>"2F5"</f>
        <v>2F5</v>
      </c>
      <c r="L11243" t="s">
        <v>15</v>
      </c>
    </row>
    <row r="11244" spans="1:12" x14ac:dyDescent="0.25">
      <c r="A11244" t="str">
        <f>"8203205307"</f>
        <v>8203205307</v>
      </c>
      <c r="B11244" t="str">
        <f t="shared" si="458"/>
        <v>89301000</v>
      </c>
      <c r="C11244" s="1">
        <v>44471</v>
      </c>
      <c r="D11244" s="1">
        <v>44480</v>
      </c>
      <c r="E11244">
        <v>1</v>
      </c>
      <c r="F11244" t="s">
        <v>5987</v>
      </c>
      <c r="G11244" t="str">
        <f>"19-K03-03"</f>
        <v>19-K03-03</v>
      </c>
      <c r="H11244">
        <v>0.93169999999999997</v>
      </c>
      <c r="I11244" t="s">
        <v>7462</v>
      </c>
      <c r="J11244" t="s">
        <v>27</v>
      </c>
      <c r="K11244" t="str">
        <f>"3F5"</f>
        <v>3F5</v>
      </c>
      <c r="L11244" t="s">
        <v>15</v>
      </c>
    </row>
    <row r="11245" spans="1:12" x14ac:dyDescent="0.25">
      <c r="A11245" t="str">
        <f>"8203235337"</f>
        <v>8203235337</v>
      </c>
      <c r="B11245" t="str">
        <f t="shared" si="458"/>
        <v>89301000</v>
      </c>
      <c r="C11245" s="1">
        <v>44321</v>
      </c>
      <c r="D11245" s="1">
        <v>44324</v>
      </c>
      <c r="E11245">
        <v>1</v>
      </c>
      <c r="F11245" t="s">
        <v>7463</v>
      </c>
      <c r="G11245" t="str">
        <f>"03-I14-02"</f>
        <v>03-I14-02</v>
      </c>
      <c r="H11245">
        <v>1.1086</v>
      </c>
      <c r="I11245" t="s">
        <v>7464</v>
      </c>
      <c r="J11245" t="s">
        <v>14</v>
      </c>
      <c r="K11245" t="str">
        <f>"7F1"</f>
        <v>7F1</v>
      </c>
      <c r="L11245" t="s">
        <v>15</v>
      </c>
    </row>
    <row r="11246" spans="1:12" x14ac:dyDescent="0.25">
      <c r="A11246" t="str">
        <f>"8203245699"</f>
        <v>8203245699</v>
      </c>
      <c r="B11246" t="str">
        <f t="shared" si="458"/>
        <v>89301000</v>
      </c>
      <c r="C11246" s="1">
        <v>44531</v>
      </c>
      <c r="D11246" s="1">
        <v>44533</v>
      </c>
      <c r="E11246">
        <v>1</v>
      </c>
      <c r="F11246" t="s">
        <v>2111</v>
      </c>
      <c r="G11246" t="str">
        <f>"10-K15-02"</f>
        <v>10-K15-02</v>
      </c>
      <c r="H11246">
        <v>0.77639999999999998</v>
      </c>
      <c r="I11246" t="s">
        <v>2421</v>
      </c>
      <c r="J11246" t="s">
        <v>14</v>
      </c>
      <c r="K11246" t="str">
        <f>"2F5"</f>
        <v>2F5</v>
      </c>
      <c r="L11246" t="s">
        <v>15</v>
      </c>
    </row>
    <row r="11247" spans="1:12" x14ac:dyDescent="0.25">
      <c r="A11247" t="str">
        <f>"8204021287"</f>
        <v>8204021287</v>
      </c>
      <c r="B11247" t="str">
        <f t="shared" si="458"/>
        <v>89301000</v>
      </c>
      <c r="C11247" s="1">
        <v>44507</v>
      </c>
      <c r="D11247" s="1">
        <v>44510</v>
      </c>
      <c r="E11247">
        <v>1</v>
      </c>
      <c r="F11247" t="s">
        <v>5063</v>
      </c>
      <c r="G11247" t="str">
        <f>"08-I19-01"</f>
        <v>08-I19-01</v>
      </c>
      <c r="H11247">
        <v>1.0456000000000001</v>
      </c>
      <c r="I11247" t="s">
        <v>381</v>
      </c>
      <c r="J11247" t="s">
        <v>17</v>
      </c>
      <c r="K11247" t="str">
        <f>"5F3"</f>
        <v>5F3</v>
      </c>
      <c r="L11247" t="s">
        <v>15</v>
      </c>
    </row>
    <row r="11248" spans="1:12" x14ac:dyDescent="0.25">
      <c r="A11248" t="str">
        <f>"8204065342"</f>
        <v>8204065342</v>
      </c>
      <c r="B11248" t="str">
        <f t="shared" si="458"/>
        <v>89301000</v>
      </c>
      <c r="C11248" s="1">
        <v>44516</v>
      </c>
      <c r="D11248" s="1">
        <v>44523</v>
      </c>
      <c r="E11248">
        <v>1</v>
      </c>
      <c r="F11248" t="s">
        <v>217</v>
      </c>
      <c r="G11248" t="str">
        <f>"04-K02-02"</f>
        <v>04-K02-02</v>
      </c>
      <c r="H11248">
        <v>2.5186000000000002</v>
      </c>
      <c r="I11248" t="s">
        <v>2879</v>
      </c>
      <c r="J11248" t="s">
        <v>14</v>
      </c>
      <c r="K11248" t="str">
        <f>"5F1"</f>
        <v>5F1</v>
      </c>
      <c r="L11248" t="s">
        <v>15</v>
      </c>
    </row>
    <row r="11249" spans="1:12" x14ac:dyDescent="0.25">
      <c r="A11249" t="str">
        <f>"8204085395"</f>
        <v>8204085395</v>
      </c>
      <c r="B11249" t="str">
        <f t="shared" si="458"/>
        <v>89301000</v>
      </c>
      <c r="C11249" s="1">
        <v>44194</v>
      </c>
      <c r="D11249" s="1">
        <v>44197</v>
      </c>
      <c r="E11249">
        <v>1</v>
      </c>
      <c r="F11249" t="s">
        <v>6744</v>
      </c>
      <c r="G11249" t="str">
        <f>"06-I20-02"</f>
        <v>06-I20-02</v>
      </c>
      <c r="H11249">
        <v>1.6910000000000001</v>
      </c>
      <c r="I11249" t="s">
        <v>168</v>
      </c>
      <c r="J11249" t="s">
        <v>14</v>
      </c>
      <c r="K11249" t="str">
        <f>"5F1"</f>
        <v>5F1</v>
      </c>
      <c r="L11249" t="s">
        <v>15</v>
      </c>
    </row>
    <row r="11250" spans="1:12" x14ac:dyDescent="0.25">
      <c r="A11250" t="str">
        <f>"8204095383"</f>
        <v>8204095383</v>
      </c>
      <c r="B11250" t="str">
        <f t="shared" si="458"/>
        <v>89301000</v>
      </c>
      <c r="C11250" s="1">
        <v>44412</v>
      </c>
      <c r="D11250" s="1">
        <v>44413</v>
      </c>
      <c r="E11250">
        <v>6</v>
      </c>
      <c r="F11250" t="s">
        <v>287</v>
      </c>
      <c r="G11250" t="str">
        <f>"01-K16-06"</f>
        <v>01-K16-06</v>
      </c>
      <c r="H11250">
        <v>0.26469999999999999</v>
      </c>
      <c r="I11250" t="s">
        <v>7465</v>
      </c>
      <c r="J11250" t="s">
        <v>14</v>
      </c>
      <c r="K11250" t="str">
        <f>"5T3"</f>
        <v>5T3</v>
      </c>
      <c r="L11250" t="s">
        <v>15</v>
      </c>
    </row>
    <row r="11251" spans="1:12" x14ac:dyDescent="0.25">
      <c r="A11251" t="str">
        <f>"8204164958"</f>
        <v>8204164958</v>
      </c>
      <c r="B11251" t="str">
        <f t="shared" si="458"/>
        <v>89301000</v>
      </c>
      <c r="C11251" s="1">
        <v>44390</v>
      </c>
      <c r="D11251" s="1">
        <v>44392</v>
      </c>
      <c r="E11251">
        <v>1</v>
      </c>
      <c r="F11251" t="s">
        <v>4080</v>
      </c>
      <c r="G11251" t="str">
        <f>"04-K07-03"</f>
        <v>04-K07-03</v>
      </c>
      <c r="H11251">
        <v>0.66259999999999997</v>
      </c>
      <c r="I11251" t="s">
        <v>489</v>
      </c>
      <c r="J11251" t="s">
        <v>14</v>
      </c>
      <c r="K11251" t="str">
        <f>"2F5"</f>
        <v>2F5</v>
      </c>
      <c r="L11251" t="s">
        <v>15</v>
      </c>
    </row>
    <row r="11252" spans="1:12" x14ac:dyDescent="0.25">
      <c r="A11252" t="str">
        <f>"8204264464"</f>
        <v>8204264464</v>
      </c>
      <c r="B11252" t="str">
        <f t="shared" si="458"/>
        <v>89301000</v>
      </c>
      <c r="C11252" s="1">
        <v>44479</v>
      </c>
      <c r="D11252" s="1">
        <v>44503</v>
      </c>
      <c r="E11252">
        <v>1</v>
      </c>
      <c r="F11252" t="s">
        <v>25</v>
      </c>
      <c r="G11252" t="str">
        <f>"19-K06-02"</f>
        <v>19-K06-02</v>
      </c>
      <c r="H11252">
        <v>2.4085000000000001</v>
      </c>
      <c r="J11252" t="s">
        <v>27</v>
      </c>
      <c r="K11252" t="str">
        <f>"3F5"</f>
        <v>3F5</v>
      </c>
      <c r="L11252" t="s">
        <v>15</v>
      </c>
    </row>
    <row r="11253" spans="1:12" x14ac:dyDescent="0.25">
      <c r="A11253" t="str">
        <f>"8206045320"</f>
        <v>8206045320</v>
      </c>
      <c r="B11253" t="str">
        <f t="shared" si="458"/>
        <v>89301000</v>
      </c>
      <c r="C11253" s="1">
        <v>44529</v>
      </c>
      <c r="D11253" s="1">
        <v>44533</v>
      </c>
      <c r="E11253">
        <v>1</v>
      </c>
      <c r="F11253" t="s">
        <v>2931</v>
      </c>
      <c r="G11253" t="str">
        <f>"07-K04-04"</f>
        <v>07-K04-04</v>
      </c>
      <c r="H11253">
        <v>0.61360000000000003</v>
      </c>
      <c r="I11253" t="s">
        <v>7466</v>
      </c>
      <c r="J11253" t="s">
        <v>14</v>
      </c>
      <c r="K11253" t="str">
        <f>"1F1"</f>
        <v>1F1</v>
      </c>
      <c r="L11253" t="s">
        <v>15</v>
      </c>
    </row>
    <row r="11254" spans="1:12" x14ac:dyDescent="0.25">
      <c r="A11254" t="str">
        <f>"8206193490"</f>
        <v>8206193490</v>
      </c>
      <c r="B11254" t="str">
        <f t="shared" si="458"/>
        <v>89301000</v>
      </c>
      <c r="C11254" s="1">
        <v>44506</v>
      </c>
      <c r="D11254" s="1">
        <v>44512</v>
      </c>
      <c r="E11254">
        <v>1</v>
      </c>
      <c r="F11254" t="s">
        <v>67</v>
      </c>
      <c r="G11254" t="str">
        <f>"01-K10-03"</f>
        <v>01-K10-03</v>
      </c>
      <c r="H11254">
        <v>1.0016</v>
      </c>
      <c r="I11254" t="s">
        <v>7467</v>
      </c>
      <c r="J11254" t="s">
        <v>14</v>
      </c>
      <c r="K11254" t="str">
        <f>"2F9"</f>
        <v>2F9</v>
      </c>
      <c r="L11254" t="s">
        <v>15</v>
      </c>
    </row>
    <row r="11255" spans="1:12" x14ac:dyDescent="0.25">
      <c r="A11255" t="str">
        <f>"8206245322"</f>
        <v>8206245322</v>
      </c>
      <c r="B11255" t="str">
        <f t="shared" si="458"/>
        <v>89301000</v>
      </c>
      <c r="C11255" s="1">
        <v>44296</v>
      </c>
      <c r="D11255" s="1">
        <v>44299</v>
      </c>
      <c r="E11255">
        <v>1</v>
      </c>
      <c r="F11255" t="s">
        <v>6121</v>
      </c>
      <c r="G11255" t="str">
        <f>"06-K11-00"</f>
        <v>06-K11-00</v>
      </c>
      <c r="H11255">
        <v>0.34810000000000002</v>
      </c>
      <c r="J11255" t="s">
        <v>14</v>
      </c>
      <c r="K11255" t="str">
        <f>"5F1"</f>
        <v>5F1</v>
      </c>
      <c r="L11255" t="s">
        <v>15</v>
      </c>
    </row>
    <row r="11256" spans="1:12" x14ac:dyDescent="0.25">
      <c r="A11256" t="str">
        <f>"8206265760"</f>
        <v>8206265760</v>
      </c>
      <c r="B11256" t="str">
        <f t="shared" si="458"/>
        <v>89301000</v>
      </c>
      <c r="C11256" s="1">
        <v>44250</v>
      </c>
      <c r="D11256" s="1">
        <v>44251</v>
      </c>
      <c r="E11256">
        <v>1</v>
      </c>
      <c r="F11256" t="s">
        <v>7468</v>
      </c>
      <c r="G11256" t="str">
        <f>"08-I18-02"</f>
        <v>08-I18-02</v>
      </c>
      <c r="H11256">
        <v>0.65769999999999995</v>
      </c>
      <c r="I11256" t="s">
        <v>7469</v>
      </c>
      <c r="J11256" t="s">
        <v>17</v>
      </c>
      <c r="K11256" t="str">
        <f>"5F3"</f>
        <v>5F3</v>
      </c>
      <c r="L11256" t="s">
        <v>15</v>
      </c>
    </row>
    <row r="11257" spans="1:12" x14ac:dyDescent="0.25">
      <c r="A11257" t="str">
        <f>"8207204478"</f>
        <v>8207204478</v>
      </c>
      <c r="B11257" t="str">
        <f t="shared" si="458"/>
        <v>89301000</v>
      </c>
      <c r="C11257" s="1">
        <v>44357</v>
      </c>
      <c r="D11257" s="1">
        <v>44362</v>
      </c>
      <c r="E11257">
        <v>1</v>
      </c>
      <c r="F11257" t="s">
        <v>5635</v>
      </c>
      <c r="G11257" t="str">
        <f>"01-I06-04"</f>
        <v>01-I06-04</v>
      </c>
      <c r="H11257">
        <v>3.6231</v>
      </c>
      <c r="I11257" t="s">
        <v>97</v>
      </c>
      <c r="J11257" t="s">
        <v>17</v>
      </c>
      <c r="K11257" t="str">
        <f>"5F6"</f>
        <v>5F6</v>
      </c>
      <c r="L11257" t="s">
        <v>15</v>
      </c>
    </row>
    <row r="11258" spans="1:12" x14ac:dyDescent="0.25">
      <c r="A11258" t="str">
        <f>"8208035308"</f>
        <v>8208035308</v>
      </c>
      <c r="B11258" t="str">
        <f t="shared" si="458"/>
        <v>89301000</v>
      </c>
      <c r="C11258" s="1">
        <v>44267</v>
      </c>
      <c r="D11258" s="1">
        <v>44271</v>
      </c>
      <c r="E11258">
        <v>1</v>
      </c>
      <c r="F11258" t="s">
        <v>43</v>
      </c>
      <c r="G11258" t="str">
        <f>"06-I18-05"</f>
        <v>06-I18-05</v>
      </c>
      <c r="H11258">
        <v>0.85550000000000004</v>
      </c>
      <c r="J11258" t="s">
        <v>24</v>
      </c>
      <c r="K11258" t="str">
        <f>"5F1"</f>
        <v>5F1</v>
      </c>
      <c r="L11258" t="s">
        <v>15</v>
      </c>
    </row>
    <row r="11259" spans="1:12" x14ac:dyDescent="0.25">
      <c r="A11259" t="str">
        <f>"8208085325"</f>
        <v>8208085325</v>
      </c>
      <c r="B11259" t="str">
        <f t="shared" si="458"/>
        <v>89301000</v>
      </c>
      <c r="C11259" s="1">
        <v>44344</v>
      </c>
      <c r="D11259" s="1">
        <v>44355</v>
      </c>
      <c r="E11259">
        <v>1</v>
      </c>
      <c r="F11259" t="s">
        <v>2931</v>
      </c>
      <c r="G11259" t="str">
        <f>"07-K04-04"</f>
        <v>07-K04-04</v>
      </c>
      <c r="H11259">
        <v>0.66839999999999999</v>
      </c>
      <c r="I11259" t="s">
        <v>7470</v>
      </c>
      <c r="J11259" t="s">
        <v>14</v>
      </c>
      <c r="K11259" t="str">
        <f>"1F1"</f>
        <v>1F1</v>
      </c>
      <c r="L11259" t="s">
        <v>15</v>
      </c>
    </row>
    <row r="11260" spans="1:12" x14ac:dyDescent="0.25">
      <c r="A11260" t="str">
        <f>"8208094268"</f>
        <v>8208094268</v>
      </c>
      <c r="B11260" t="str">
        <f t="shared" si="458"/>
        <v>89301000</v>
      </c>
      <c r="C11260" s="1">
        <v>44255</v>
      </c>
      <c r="D11260" s="1">
        <v>44258</v>
      </c>
      <c r="E11260">
        <v>1</v>
      </c>
      <c r="F11260" t="s">
        <v>7471</v>
      </c>
      <c r="G11260" t="str">
        <f>"08-M03-05"</f>
        <v>08-M03-05</v>
      </c>
      <c r="H11260">
        <v>0.51759999999999995</v>
      </c>
      <c r="J11260" t="s">
        <v>14</v>
      </c>
      <c r="K11260" t="str">
        <f>"6F6"</f>
        <v>6F6</v>
      </c>
      <c r="L11260" t="s">
        <v>15</v>
      </c>
    </row>
    <row r="11261" spans="1:12" x14ac:dyDescent="0.25">
      <c r="A11261" t="str">
        <f>"8208115333"</f>
        <v>8208115333</v>
      </c>
      <c r="B11261" t="str">
        <f t="shared" si="458"/>
        <v>89301000</v>
      </c>
      <c r="C11261" s="1">
        <v>44533</v>
      </c>
      <c r="D11261" s="1">
        <v>44536</v>
      </c>
      <c r="E11261">
        <v>1</v>
      </c>
      <c r="F11261" t="s">
        <v>208</v>
      </c>
      <c r="G11261" t="str">
        <f>"08-K11-02"</f>
        <v>08-K11-02</v>
      </c>
      <c r="H11261">
        <v>0.62390000000000001</v>
      </c>
      <c r="I11261" t="s">
        <v>7472</v>
      </c>
      <c r="J11261" t="s">
        <v>14</v>
      </c>
      <c r="K11261" t="str">
        <f>"5F6"</f>
        <v>5F6</v>
      </c>
      <c r="L11261" t="s">
        <v>15</v>
      </c>
    </row>
    <row r="11262" spans="1:12" x14ac:dyDescent="0.25">
      <c r="A11262" t="str">
        <f>"8208275317"</f>
        <v>8208275317</v>
      </c>
      <c r="B11262" t="str">
        <f t="shared" si="458"/>
        <v>89301000</v>
      </c>
      <c r="C11262" s="1">
        <v>44305</v>
      </c>
      <c r="D11262" s="1">
        <v>44316</v>
      </c>
      <c r="E11262">
        <v>1</v>
      </c>
      <c r="F11262" t="s">
        <v>109</v>
      </c>
      <c r="G11262" t="str">
        <f>"24-M06-02"</f>
        <v>24-M06-02</v>
      </c>
      <c r="H11262">
        <v>1.0233000000000001</v>
      </c>
      <c r="I11262" t="s">
        <v>7473</v>
      </c>
      <c r="J11262" t="s">
        <v>14</v>
      </c>
      <c r="K11262" t="str">
        <f>"2F1"</f>
        <v>2F1</v>
      </c>
      <c r="L11262" t="s">
        <v>15</v>
      </c>
    </row>
    <row r="11263" spans="1:12" x14ac:dyDescent="0.25">
      <c r="A11263" t="str">
        <f>"8208285305"</f>
        <v>8208285305</v>
      </c>
      <c r="B11263" t="str">
        <f t="shared" si="458"/>
        <v>89301000</v>
      </c>
      <c r="C11263" s="1">
        <v>44428</v>
      </c>
      <c r="D11263" s="1">
        <v>44434</v>
      </c>
      <c r="E11263">
        <v>1</v>
      </c>
      <c r="F11263" t="s">
        <v>7474</v>
      </c>
      <c r="G11263" t="str">
        <f>"02-I05-02"</f>
        <v>02-I05-02</v>
      </c>
      <c r="H11263">
        <v>1.3696999999999999</v>
      </c>
      <c r="I11263" t="s">
        <v>7475</v>
      </c>
      <c r="J11263" t="s">
        <v>17</v>
      </c>
      <c r="K11263" t="str">
        <f>"7F5"</f>
        <v>7F5</v>
      </c>
      <c r="L11263" t="s">
        <v>15</v>
      </c>
    </row>
    <row r="11264" spans="1:12" x14ac:dyDescent="0.25">
      <c r="A11264" t="str">
        <f>"8208295326"</f>
        <v>8208295326</v>
      </c>
      <c r="B11264" t="str">
        <f t="shared" si="458"/>
        <v>89301000</v>
      </c>
      <c r="C11264" s="1">
        <v>44210</v>
      </c>
      <c r="D11264" s="1">
        <v>44213</v>
      </c>
      <c r="E11264">
        <v>1</v>
      </c>
      <c r="F11264" t="s">
        <v>7476</v>
      </c>
      <c r="G11264" t="str">
        <f>"10-K04-04"</f>
        <v>10-K04-04</v>
      </c>
      <c r="H11264">
        <v>0.56330000000000002</v>
      </c>
      <c r="I11264" t="s">
        <v>1959</v>
      </c>
      <c r="J11264" t="s">
        <v>14</v>
      </c>
      <c r="K11264" t="str">
        <f>"1F1"</f>
        <v>1F1</v>
      </c>
      <c r="L11264" t="s">
        <v>15</v>
      </c>
    </row>
    <row r="11265" spans="1:12" x14ac:dyDescent="0.25">
      <c r="A11265" t="str">
        <f>"8209034713"</f>
        <v>8209034713</v>
      </c>
      <c r="B11265" t="str">
        <f t="shared" si="458"/>
        <v>89301000</v>
      </c>
      <c r="C11265" s="1">
        <v>44518</v>
      </c>
      <c r="D11265" s="1">
        <v>44519</v>
      </c>
      <c r="E11265">
        <v>1</v>
      </c>
      <c r="F11265" t="s">
        <v>475</v>
      </c>
      <c r="G11265" t="str">
        <f>"10-K04-02"</f>
        <v>10-K04-02</v>
      </c>
      <c r="H11265">
        <v>1.5078</v>
      </c>
      <c r="I11265" t="s">
        <v>7477</v>
      </c>
      <c r="J11265" t="s">
        <v>14</v>
      </c>
      <c r="K11265" t="str">
        <f>"1F5"</f>
        <v>1F5</v>
      </c>
      <c r="L11265" t="s">
        <v>15</v>
      </c>
    </row>
    <row r="11266" spans="1:12" x14ac:dyDescent="0.25">
      <c r="A11266" t="str">
        <f>"8209034713"</f>
        <v>8209034713</v>
      </c>
      <c r="B11266" t="str">
        <f t="shared" si="458"/>
        <v>89301000</v>
      </c>
      <c r="C11266" s="1">
        <v>44282</v>
      </c>
      <c r="D11266" s="1">
        <v>44285</v>
      </c>
      <c r="E11266">
        <v>1</v>
      </c>
      <c r="F11266" t="s">
        <v>1561</v>
      </c>
      <c r="G11266" t="str">
        <f>"07-M02-04"</f>
        <v>07-M02-04</v>
      </c>
      <c r="H11266">
        <v>0.84430000000000005</v>
      </c>
      <c r="I11266" t="s">
        <v>7478</v>
      </c>
      <c r="J11266" t="s">
        <v>17</v>
      </c>
      <c r="K11266" t="str">
        <f>"1F5"</f>
        <v>1F5</v>
      </c>
      <c r="L11266" t="s">
        <v>15</v>
      </c>
    </row>
    <row r="11267" spans="1:12" x14ac:dyDescent="0.25">
      <c r="A11267" t="str">
        <f>"8209034713"</f>
        <v>8209034713</v>
      </c>
      <c r="B11267" t="str">
        <f t="shared" si="458"/>
        <v>89301000</v>
      </c>
      <c r="C11267" s="1">
        <v>44448</v>
      </c>
      <c r="D11267" s="1">
        <v>44468</v>
      </c>
      <c r="E11267">
        <v>1</v>
      </c>
      <c r="F11267" t="s">
        <v>4384</v>
      </c>
      <c r="G11267" t="str">
        <f>"07-I11-01"</f>
        <v>07-I11-01</v>
      </c>
      <c r="H11267">
        <v>3.4701</v>
      </c>
      <c r="I11267" t="s">
        <v>7479</v>
      </c>
      <c r="J11267" t="s">
        <v>14</v>
      </c>
      <c r="K11267" t="str">
        <f>"5F1"</f>
        <v>5F1</v>
      </c>
      <c r="L11267" t="s">
        <v>15</v>
      </c>
    </row>
    <row r="11268" spans="1:12" x14ac:dyDescent="0.25">
      <c r="A11268" t="str">
        <f>"8209034713"</f>
        <v>8209034713</v>
      </c>
      <c r="B11268" t="str">
        <f t="shared" si="458"/>
        <v>89301000</v>
      </c>
      <c r="C11268" s="1">
        <v>44475</v>
      </c>
      <c r="D11268" s="1">
        <v>44479</v>
      </c>
      <c r="E11268">
        <v>1</v>
      </c>
      <c r="F11268" t="s">
        <v>888</v>
      </c>
      <c r="G11268" t="str">
        <f>"07-M02-04"</f>
        <v>07-M02-04</v>
      </c>
      <c r="H11268">
        <v>0.89890000000000003</v>
      </c>
      <c r="I11268" t="s">
        <v>7480</v>
      </c>
      <c r="J11268" t="s">
        <v>17</v>
      </c>
      <c r="K11268" t="str">
        <f>"1F5"</f>
        <v>1F5</v>
      </c>
      <c r="L11268" t="s">
        <v>15</v>
      </c>
    </row>
    <row r="11269" spans="1:12" x14ac:dyDescent="0.25">
      <c r="A11269" t="str">
        <f>"8209105322"</f>
        <v>8209105322</v>
      </c>
      <c r="B11269" t="str">
        <f t="shared" si="458"/>
        <v>89301000</v>
      </c>
      <c r="C11269" s="1">
        <v>44460</v>
      </c>
      <c r="D11269" s="1">
        <v>44462</v>
      </c>
      <c r="E11269">
        <v>1</v>
      </c>
      <c r="F11269" t="s">
        <v>7481</v>
      </c>
      <c r="G11269" t="str">
        <f>"08-I17-02"</f>
        <v>08-I17-02</v>
      </c>
      <c r="H11269">
        <v>1.1109</v>
      </c>
      <c r="I11269" t="s">
        <v>381</v>
      </c>
      <c r="J11269" t="s">
        <v>14</v>
      </c>
      <c r="K11269" t="str">
        <f>"5F3"</f>
        <v>5F3</v>
      </c>
      <c r="L11269" t="s">
        <v>15</v>
      </c>
    </row>
    <row r="11270" spans="1:12" x14ac:dyDescent="0.25">
      <c r="A11270" t="str">
        <f>"8209145780"</f>
        <v>8209145780</v>
      </c>
      <c r="B11270" t="str">
        <f t="shared" si="458"/>
        <v>89301000</v>
      </c>
      <c r="C11270" s="1">
        <v>44372</v>
      </c>
      <c r="D11270" s="1">
        <v>44375</v>
      </c>
      <c r="E11270">
        <v>1</v>
      </c>
      <c r="F11270" t="s">
        <v>41</v>
      </c>
      <c r="G11270" t="str">
        <f>"01-D01-03"</f>
        <v>01-D01-03</v>
      </c>
      <c r="H11270">
        <v>0.2054</v>
      </c>
      <c r="I11270" t="s">
        <v>489</v>
      </c>
      <c r="J11270" t="s">
        <v>14</v>
      </c>
      <c r="K11270" t="str">
        <f>"2F5"</f>
        <v>2F5</v>
      </c>
      <c r="L11270" t="s">
        <v>15</v>
      </c>
    </row>
    <row r="11271" spans="1:12" x14ac:dyDescent="0.25">
      <c r="A11271" t="str">
        <f>"8209145780"</f>
        <v>8209145780</v>
      </c>
      <c r="B11271" t="str">
        <f t="shared" si="458"/>
        <v>89301000</v>
      </c>
      <c r="C11271" s="1">
        <v>44320</v>
      </c>
      <c r="D11271" s="1">
        <v>44321</v>
      </c>
      <c r="E11271">
        <v>1</v>
      </c>
      <c r="F11271" t="s">
        <v>41</v>
      </c>
      <c r="G11271" t="str">
        <f>"01-D01-03"</f>
        <v>01-D01-03</v>
      </c>
      <c r="H11271">
        <v>0.158</v>
      </c>
      <c r="I11271" t="s">
        <v>489</v>
      </c>
      <c r="J11271" t="s">
        <v>14</v>
      </c>
      <c r="K11271" t="str">
        <f>"2F5"</f>
        <v>2F5</v>
      </c>
      <c r="L11271" t="s">
        <v>15</v>
      </c>
    </row>
    <row r="11272" spans="1:12" x14ac:dyDescent="0.25">
      <c r="A11272" t="str">
        <f>"8209295314"</f>
        <v>8209295314</v>
      </c>
      <c r="B11272" t="str">
        <f t="shared" si="458"/>
        <v>89301000</v>
      </c>
      <c r="C11272" s="1">
        <v>44346</v>
      </c>
      <c r="D11272" s="1">
        <v>44348</v>
      </c>
      <c r="E11272">
        <v>1</v>
      </c>
      <c r="F11272" t="s">
        <v>34</v>
      </c>
      <c r="G11272" t="str">
        <f>"08-I19-03"</f>
        <v>08-I19-03</v>
      </c>
      <c r="H11272">
        <v>0.61250000000000004</v>
      </c>
      <c r="I11272" t="s">
        <v>395</v>
      </c>
      <c r="J11272" t="s">
        <v>17</v>
      </c>
      <c r="K11272" t="str">
        <f>"5F3"</f>
        <v>5F3</v>
      </c>
      <c r="L11272" t="s">
        <v>15</v>
      </c>
    </row>
    <row r="11273" spans="1:12" x14ac:dyDescent="0.25">
      <c r="A11273" t="str">
        <f>"8210085686"</f>
        <v>8210085686</v>
      </c>
      <c r="B11273" t="str">
        <f t="shared" si="458"/>
        <v>89301000</v>
      </c>
      <c r="C11273" s="1">
        <v>44335</v>
      </c>
      <c r="D11273" s="1">
        <v>44347</v>
      </c>
      <c r="E11273">
        <v>1</v>
      </c>
      <c r="F11273" t="s">
        <v>7482</v>
      </c>
      <c r="G11273" t="str">
        <f>"19-K04-02"</f>
        <v>19-K04-02</v>
      </c>
      <c r="H11273">
        <v>1.4597</v>
      </c>
      <c r="I11273" t="s">
        <v>7483</v>
      </c>
      <c r="J11273" t="s">
        <v>27</v>
      </c>
      <c r="K11273" t="str">
        <f>"3F5"</f>
        <v>3F5</v>
      </c>
      <c r="L11273" t="s">
        <v>15</v>
      </c>
    </row>
    <row r="11274" spans="1:12" x14ac:dyDescent="0.25">
      <c r="A11274" t="str">
        <f>"8210135593"</f>
        <v>8210135593</v>
      </c>
      <c r="B11274" t="str">
        <f t="shared" si="458"/>
        <v>89301000</v>
      </c>
      <c r="C11274" s="1">
        <v>44460</v>
      </c>
      <c r="D11274" s="1">
        <v>44465</v>
      </c>
      <c r="E11274">
        <v>1</v>
      </c>
      <c r="F11274" t="s">
        <v>197</v>
      </c>
      <c r="G11274" t="str">
        <f>"03-I18-02"</f>
        <v>03-I18-02</v>
      </c>
      <c r="H11274">
        <v>0.84370000000000001</v>
      </c>
      <c r="I11274" t="s">
        <v>7484</v>
      </c>
      <c r="J11274" t="s">
        <v>24</v>
      </c>
      <c r="K11274" t="str">
        <f>"7F1"</f>
        <v>7F1</v>
      </c>
      <c r="L11274" t="s">
        <v>15</v>
      </c>
    </row>
    <row r="11275" spans="1:12" x14ac:dyDescent="0.25">
      <c r="A11275" t="str">
        <f>"8210135593"</f>
        <v>8210135593</v>
      </c>
      <c r="B11275" t="str">
        <f t="shared" si="458"/>
        <v>89301000</v>
      </c>
      <c r="C11275" s="1">
        <v>44497</v>
      </c>
      <c r="D11275" s="1">
        <v>44503</v>
      </c>
      <c r="E11275">
        <v>1</v>
      </c>
      <c r="F11275" t="s">
        <v>774</v>
      </c>
      <c r="G11275" t="str">
        <f>"03-I18-02"</f>
        <v>03-I18-02</v>
      </c>
      <c r="H11275">
        <v>0.84370000000000001</v>
      </c>
      <c r="I11275" t="s">
        <v>7485</v>
      </c>
      <c r="J11275" t="s">
        <v>24</v>
      </c>
      <c r="K11275" t="str">
        <f>"7F1"</f>
        <v>7F1</v>
      </c>
      <c r="L11275" t="s">
        <v>15</v>
      </c>
    </row>
    <row r="11276" spans="1:12" x14ac:dyDescent="0.25">
      <c r="A11276" t="str">
        <f>"8211125439"</f>
        <v>8211125439</v>
      </c>
      <c r="B11276" t="str">
        <f t="shared" si="458"/>
        <v>89301000</v>
      </c>
      <c r="C11276" s="1">
        <v>44413</v>
      </c>
      <c r="D11276" s="1">
        <v>44418</v>
      </c>
      <c r="E11276">
        <v>1</v>
      </c>
      <c r="F11276" t="s">
        <v>2729</v>
      </c>
      <c r="G11276" t="str">
        <f>"04-K15-03"</f>
        <v>04-K15-03</v>
      </c>
      <c r="H11276">
        <v>0.49009999999999998</v>
      </c>
      <c r="I11276" t="s">
        <v>7486</v>
      </c>
      <c r="J11276" t="s">
        <v>14</v>
      </c>
      <c r="K11276" t="str">
        <f>"2F5"</f>
        <v>2F5</v>
      </c>
      <c r="L11276" t="s">
        <v>15</v>
      </c>
    </row>
    <row r="11277" spans="1:12" x14ac:dyDescent="0.25">
      <c r="A11277" t="str">
        <f>"8211125439"</f>
        <v>8211125439</v>
      </c>
      <c r="B11277" t="str">
        <f t="shared" si="458"/>
        <v>89301000</v>
      </c>
      <c r="C11277" s="1">
        <v>44375</v>
      </c>
      <c r="D11277" s="1">
        <v>44377</v>
      </c>
      <c r="E11277">
        <v>1</v>
      </c>
      <c r="F11277" t="s">
        <v>2729</v>
      </c>
      <c r="G11277" t="str">
        <f>"04-K15-03"</f>
        <v>04-K15-03</v>
      </c>
      <c r="H11277">
        <v>0.49009999999999998</v>
      </c>
      <c r="I11277" t="s">
        <v>7487</v>
      </c>
      <c r="J11277" t="s">
        <v>14</v>
      </c>
      <c r="K11277" t="str">
        <f>"2F5"</f>
        <v>2F5</v>
      </c>
      <c r="L11277" t="s">
        <v>15</v>
      </c>
    </row>
    <row r="11278" spans="1:12" x14ac:dyDescent="0.25">
      <c r="A11278" t="str">
        <f>"8211125439"</f>
        <v>8211125439</v>
      </c>
      <c r="B11278" t="str">
        <f t="shared" si="458"/>
        <v>89301000</v>
      </c>
      <c r="C11278" s="1">
        <v>44282</v>
      </c>
      <c r="D11278" s="1">
        <v>44316</v>
      </c>
      <c r="E11278">
        <v>1</v>
      </c>
      <c r="F11278" t="s">
        <v>2729</v>
      </c>
      <c r="G11278" t="str">
        <f>"00-M01-03"</f>
        <v>00-M01-03</v>
      </c>
      <c r="H11278">
        <v>10.5227</v>
      </c>
      <c r="I11278" t="s">
        <v>7488</v>
      </c>
      <c r="J11278" t="s">
        <v>14</v>
      </c>
      <c r="K11278" t="str">
        <f>"2F5"</f>
        <v>2F5</v>
      </c>
      <c r="L11278" t="s">
        <v>15</v>
      </c>
    </row>
    <row r="11279" spans="1:12" x14ac:dyDescent="0.25">
      <c r="A11279" t="str">
        <f>"8211125439"</f>
        <v>8211125439</v>
      </c>
      <c r="B11279" t="str">
        <f t="shared" si="458"/>
        <v>89301000</v>
      </c>
      <c r="C11279" s="1">
        <v>44264</v>
      </c>
      <c r="D11279" s="1">
        <v>44267</v>
      </c>
      <c r="E11279">
        <v>1</v>
      </c>
      <c r="F11279" t="s">
        <v>2729</v>
      </c>
      <c r="G11279" t="str">
        <f>"04-M02-04"</f>
        <v>04-M02-04</v>
      </c>
      <c r="H11279">
        <v>0.7238</v>
      </c>
      <c r="I11279" t="s">
        <v>7489</v>
      </c>
      <c r="J11279" t="s">
        <v>14</v>
      </c>
      <c r="K11279" t="str">
        <f>"2F5"</f>
        <v>2F5</v>
      </c>
      <c r="L11279" t="s">
        <v>15</v>
      </c>
    </row>
    <row r="11280" spans="1:12" x14ac:dyDescent="0.25">
      <c r="A11280" t="str">
        <f>"8211125439"</f>
        <v>8211125439</v>
      </c>
      <c r="B11280" t="str">
        <f t="shared" si="458"/>
        <v>89301000</v>
      </c>
      <c r="C11280" s="1">
        <v>44272</v>
      </c>
      <c r="D11280" s="1">
        <v>44274</v>
      </c>
      <c r="E11280">
        <v>1</v>
      </c>
      <c r="F11280" t="s">
        <v>2729</v>
      </c>
      <c r="G11280" t="str">
        <f>"04-M02-04"</f>
        <v>04-M02-04</v>
      </c>
      <c r="H11280">
        <v>0.7238</v>
      </c>
      <c r="I11280" t="s">
        <v>7490</v>
      </c>
      <c r="J11280" t="s">
        <v>14</v>
      </c>
      <c r="K11280" t="str">
        <f>"2F5"</f>
        <v>2F5</v>
      </c>
      <c r="L11280" t="s">
        <v>15</v>
      </c>
    </row>
    <row r="11281" spans="1:12" x14ac:dyDescent="0.25">
      <c r="A11281" t="str">
        <f>"8211134459"</f>
        <v>8211134459</v>
      </c>
      <c r="B11281" t="str">
        <f t="shared" si="458"/>
        <v>89301000</v>
      </c>
      <c r="C11281" s="1">
        <v>44480</v>
      </c>
      <c r="D11281" s="1">
        <v>44511</v>
      </c>
      <c r="E11281">
        <v>1</v>
      </c>
      <c r="F11281" t="s">
        <v>4835</v>
      </c>
      <c r="G11281" t="str">
        <f>"16-C03-01"</f>
        <v>16-C03-01</v>
      </c>
      <c r="H11281">
        <v>7.8648999999999996</v>
      </c>
      <c r="I11281" t="s">
        <v>7491</v>
      </c>
      <c r="J11281" t="s">
        <v>14</v>
      </c>
      <c r="K11281" t="str">
        <f>"2T2"</f>
        <v>2T2</v>
      </c>
      <c r="L11281" t="s">
        <v>15</v>
      </c>
    </row>
    <row r="11282" spans="1:12" x14ac:dyDescent="0.25">
      <c r="A11282" t="str">
        <f>"8211134459"</f>
        <v>8211134459</v>
      </c>
      <c r="B11282" t="str">
        <f t="shared" si="458"/>
        <v>89301000</v>
      </c>
      <c r="C11282" s="1">
        <v>44432</v>
      </c>
      <c r="D11282" s="1">
        <v>44474</v>
      </c>
      <c r="E11282">
        <v>1</v>
      </c>
      <c r="F11282" t="s">
        <v>4835</v>
      </c>
      <c r="G11282" t="str">
        <f>"16-C03-01"</f>
        <v>16-C03-01</v>
      </c>
      <c r="H11282">
        <v>6.6715999999999998</v>
      </c>
      <c r="I11282" t="s">
        <v>7492</v>
      </c>
      <c r="J11282" t="s">
        <v>14</v>
      </c>
      <c r="K11282" t="str">
        <f>"2T2"</f>
        <v>2T2</v>
      </c>
      <c r="L11282" t="s">
        <v>15</v>
      </c>
    </row>
    <row r="11283" spans="1:12" x14ac:dyDescent="0.25">
      <c r="A11283" t="str">
        <f>"8211134459"</f>
        <v>8211134459</v>
      </c>
      <c r="B11283" t="str">
        <f t="shared" si="458"/>
        <v>89301000</v>
      </c>
      <c r="C11283" s="1">
        <v>44370</v>
      </c>
      <c r="D11283" s="1">
        <v>44406</v>
      </c>
      <c r="E11283">
        <v>1</v>
      </c>
      <c r="F11283" t="s">
        <v>4835</v>
      </c>
      <c r="G11283" t="str">
        <f>"00-M06-02"</f>
        <v>00-M06-02</v>
      </c>
      <c r="H11283">
        <v>25.196200000000001</v>
      </c>
      <c r="I11283" t="s">
        <v>7493</v>
      </c>
      <c r="J11283" t="s">
        <v>17</v>
      </c>
      <c r="K11283" t="str">
        <f>"2T2"</f>
        <v>2T2</v>
      </c>
      <c r="L11283" t="s">
        <v>15</v>
      </c>
    </row>
    <row r="11284" spans="1:12" x14ac:dyDescent="0.25">
      <c r="A11284" t="str">
        <f>"8211155304"</f>
        <v>8211155304</v>
      </c>
      <c r="B11284" t="str">
        <f t="shared" si="458"/>
        <v>89301000</v>
      </c>
      <c r="C11284" s="1">
        <v>44396</v>
      </c>
      <c r="D11284" s="1">
        <v>44404</v>
      </c>
      <c r="E11284">
        <v>1</v>
      </c>
      <c r="F11284" t="s">
        <v>7494</v>
      </c>
      <c r="G11284" t="str">
        <f>"01-I08-04"</f>
        <v>01-I08-04</v>
      </c>
      <c r="H11284">
        <v>1.6155999999999999</v>
      </c>
      <c r="I11284" t="s">
        <v>7495</v>
      </c>
      <c r="J11284" t="s">
        <v>17</v>
      </c>
      <c r="K11284" t="str">
        <f>"6F5"</f>
        <v>6F5</v>
      </c>
      <c r="L11284" t="s">
        <v>15</v>
      </c>
    </row>
    <row r="11285" spans="1:12" x14ac:dyDescent="0.25">
      <c r="A11285" t="str">
        <f>"8211204397"</f>
        <v>8211204397</v>
      </c>
      <c r="B11285" t="str">
        <f t="shared" si="458"/>
        <v>89301000</v>
      </c>
      <c r="C11285" s="1">
        <v>44495</v>
      </c>
      <c r="D11285" s="1">
        <v>44523</v>
      </c>
      <c r="E11285">
        <v>1</v>
      </c>
      <c r="F11285" t="s">
        <v>78</v>
      </c>
      <c r="G11285" t="str">
        <f>"19-K07-02"</f>
        <v>19-K07-02</v>
      </c>
      <c r="H11285">
        <v>2.8759999999999999</v>
      </c>
      <c r="I11285" t="s">
        <v>7496</v>
      </c>
      <c r="J11285" t="s">
        <v>27</v>
      </c>
      <c r="K11285" t="str">
        <f>"3F5"</f>
        <v>3F5</v>
      </c>
      <c r="L11285" t="s">
        <v>15</v>
      </c>
    </row>
    <row r="11286" spans="1:12" x14ac:dyDescent="0.25">
      <c r="A11286" t="str">
        <f>"8211204397"</f>
        <v>8211204397</v>
      </c>
      <c r="B11286" t="str">
        <f t="shared" si="458"/>
        <v>89301000</v>
      </c>
      <c r="C11286" s="1">
        <v>44302</v>
      </c>
      <c r="D11286" s="1">
        <v>44316</v>
      </c>
      <c r="E11286">
        <v>1</v>
      </c>
      <c r="F11286" t="s">
        <v>7497</v>
      </c>
      <c r="G11286" t="str">
        <f>"19-K04-02"</f>
        <v>19-K04-02</v>
      </c>
      <c r="H11286">
        <v>1.4597</v>
      </c>
      <c r="I11286" t="s">
        <v>168</v>
      </c>
      <c r="J11286" t="s">
        <v>27</v>
      </c>
      <c r="K11286" t="str">
        <f>"3F5"</f>
        <v>3F5</v>
      </c>
      <c r="L11286" t="s">
        <v>15</v>
      </c>
    </row>
    <row r="11287" spans="1:12" x14ac:dyDescent="0.25">
      <c r="A11287" t="str">
        <f>"8212015361"</f>
        <v>8212015361</v>
      </c>
      <c r="B11287" t="str">
        <f t="shared" si="458"/>
        <v>89301000</v>
      </c>
      <c r="C11287" s="1">
        <v>44443</v>
      </c>
      <c r="D11287" s="1">
        <v>44444</v>
      </c>
      <c r="E11287">
        <v>7</v>
      </c>
      <c r="F11287" t="s">
        <v>332</v>
      </c>
      <c r="G11287" t="str">
        <f>"07-K02-03"</f>
        <v>07-K02-03</v>
      </c>
      <c r="H11287">
        <v>0.53059999999999996</v>
      </c>
      <c r="I11287" t="s">
        <v>7498</v>
      </c>
      <c r="J11287" t="s">
        <v>14</v>
      </c>
      <c r="K11287" t="str">
        <f>"1T1"</f>
        <v>1T1</v>
      </c>
      <c r="L11287" t="s">
        <v>15</v>
      </c>
    </row>
    <row r="11288" spans="1:12" x14ac:dyDescent="0.25">
      <c r="A11288" t="str">
        <f>"8212035689"</f>
        <v>8212035689</v>
      </c>
      <c r="B11288" t="str">
        <f t="shared" si="458"/>
        <v>89301000</v>
      </c>
      <c r="C11288" s="1">
        <v>44395</v>
      </c>
      <c r="D11288" s="1">
        <v>44398</v>
      </c>
      <c r="E11288">
        <v>1</v>
      </c>
      <c r="F11288" t="s">
        <v>320</v>
      </c>
      <c r="G11288" t="str">
        <f>"03-I23-00"</f>
        <v>03-I23-00</v>
      </c>
      <c r="H11288">
        <v>0.47639999999999999</v>
      </c>
      <c r="I11288" t="s">
        <v>7499</v>
      </c>
      <c r="J11288" t="s">
        <v>14</v>
      </c>
      <c r="K11288" t="str">
        <f>"6F5"</f>
        <v>6F5</v>
      </c>
      <c r="L11288" t="s">
        <v>15</v>
      </c>
    </row>
    <row r="11289" spans="1:12" x14ac:dyDescent="0.25">
      <c r="A11289" t="str">
        <f>"8212065345"</f>
        <v>8212065345</v>
      </c>
      <c r="B11289" t="str">
        <f t="shared" si="458"/>
        <v>89301000</v>
      </c>
      <c r="C11289" s="1">
        <v>44347</v>
      </c>
      <c r="D11289" s="1">
        <v>44352</v>
      </c>
      <c r="E11289">
        <v>6</v>
      </c>
      <c r="F11289" t="s">
        <v>41</v>
      </c>
      <c r="G11289" t="str">
        <f>"01-I11-01"</f>
        <v>01-I11-01</v>
      </c>
      <c r="H11289">
        <v>0.99990000000000001</v>
      </c>
      <c r="I11289" t="s">
        <v>7500</v>
      </c>
      <c r="J11289" t="s">
        <v>17</v>
      </c>
      <c r="K11289" t="str">
        <f>"7F1"</f>
        <v>7F1</v>
      </c>
      <c r="L11289" t="s">
        <v>15</v>
      </c>
    </row>
    <row r="11290" spans="1:12" x14ac:dyDescent="0.25">
      <c r="A11290" t="str">
        <f>"8212145315"</f>
        <v>8212145315</v>
      </c>
      <c r="B11290" t="str">
        <f t="shared" si="458"/>
        <v>89301000</v>
      </c>
      <c r="C11290" s="1">
        <v>44518</v>
      </c>
      <c r="D11290" s="1">
        <v>44521</v>
      </c>
      <c r="E11290">
        <v>1</v>
      </c>
      <c r="F11290" t="s">
        <v>41</v>
      </c>
      <c r="G11290" t="str">
        <f>"01-D01-03"</f>
        <v>01-D01-03</v>
      </c>
      <c r="H11290">
        <v>0.2054</v>
      </c>
      <c r="I11290" t="s">
        <v>4487</v>
      </c>
      <c r="J11290" t="s">
        <v>14</v>
      </c>
      <c r="K11290" t="str">
        <f>"2F5"</f>
        <v>2F5</v>
      </c>
      <c r="L11290" t="s">
        <v>15</v>
      </c>
    </row>
    <row r="11291" spans="1:12" x14ac:dyDescent="0.25">
      <c r="A11291" t="str">
        <f>"8212205320"</f>
        <v>8212205320</v>
      </c>
      <c r="B11291" t="str">
        <f t="shared" si="458"/>
        <v>89301000</v>
      </c>
      <c r="C11291" s="1">
        <v>44256</v>
      </c>
      <c r="D11291" s="1">
        <v>44262</v>
      </c>
      <c r="E11291">
        <v>1</v>
      </c>
      <c r="F11291" t="s">
        <v>217</v>
      </c>
      <c r="G11291" t="str">
        <f>"04-K02-04"</f>
        <v>04-K02-04</v>
      </c>
      <c r="H11291">
        <v>0.82469999999999999</v>
      </c>
      <c r="I11291" t="s">
        <v>2025</v>
      </c>
      <c r="J11291" t="s">
        <v>14</v>
      </c>
      <c r="K11291" t="str">
        <f>"1F1"</f>
        <v>1F1</v>
      </c>
      <c r="L11291" t="s">
        <v>15</v>
      </c>
    </row>
    <row r="11292" spans="1:12" x14ac:dyDescent="0.25">
      <c r="A11292" t="str">
        <f>"8212224471"</f>
        <v>8212224471</v>
      </c>
      <c r="B11292" t="str">
        <f t="shared" si="458"/>
        <v>89301000</v>
      </c>
      <c r="C11292" s="1">
        <v>44203</v>
      </c>
      <c r="D11292" s="1">
        <v>44206</v>
      </c>
      <c r="E11292">
        <v>1</v>
      </c>
      <c r="F11292" t="s">
        <v>16</v>
      </c>
      <c r="G11292" t="str">
        <f>"08-I04-03"</f>
        <v>08-I04-03</v>
      </c>
      <c r="H11292">
        <v>1.331</v>
      </c>
      <c r="I11292" t="s">
        <v>7501</v>
      </c>
      <c r="J11292" t="s">
        <v>17</v>
      </c>
      <c r="K11292" t="str">
        <f>"5F6"</f>
        <v>5F6</v>
      </c>
      <c r="L11292" t="s">
        <v>15</v>
      </c>
    </row>
    <row r="11293" spans="1:12" x14ac:dyDescent="0.25">
      <c r="A11293" t="str">
        <f>"8251025332"</f>
        <v>8251025332</v>
      </c>
      <c r="B11293" t="str">
        <f t="shared" si="458"/>
        <v>89301000</v>
      </c>
      <c r="C11293" s="1">
        <v>44320</v>
      </c>
      <c r="D11293" s="1">
        <v>44327</v>
      </c>
      <c r="E11293">
        <v>1</v>
      </c>
      <c r="F11293" t="s">
        <v>82</v>
      </c>
      <c r="G11293" t="str">
        <f>"14-I01-01"</f>
        <v>14-I01-01</v>
      </c>
      <c r="H11293">
        <v>1.5294000000000001</v>
      </c>
      <c r="I11293" t="s">
        <v>7502</v>
      </c>
      <c r="J11293" t="s">
        <v>59</v>
      </c>
      <c r="K11293" t="str">
        <f>"6F3"</f>
        <v>6F3</v>
      </c>
      <c r="L11293" t="s">
        <v>15</v>
      </c>
    </row>
    <row r="11294" spans="1:12" x14ac:dyDescent="0.25">
      <c r="A11294" t="str">
        <f>"8251055307"</f>
        <v>8251055307</v>
      </c>
      <c r="B11294" t="str">
        <f t="shared" si="458"/>
        <v>89301000</v>
      </c>
      <c r="C11294" s="1">
        <v>44385</v>
      </c>
      <c r="D11294" s="1">
        <v>44388</v>
      </c>
      <c r="E11294">
        <v>1</v>
      </c>
      <c r="F11294" t="s">
        <v>75</v>
      </c>
      <c r="G11294" t="str">
        <f>"14-M01-05"</f>
        <v>14-M01-05</v>
      </c>
      <c r="H11294">
        <v>0.54239999999999999</v>
      </c>
      <c r="I11294" t="s">
        <v>7503</v>
      </c>
      <c r="J11294" t="s">
        <v>59</v>
      </c>
      <c r="K11294" t="str">
        <f>"6F3"</f>
        <v>6F3</v>
      </c>
      <c r="L11294" t="s">
        <v>15</v>
      </c>
    </row>
    <row r="11295" spans="1:12" x14ac:dyDescent="0.25">
      <c r="A11295" t="str">
        <f>"8251075756"</f>
        <v>8251075756</v>
      </c>
      <c r="B11295" t="str">
        <f t="shared" si="458"/>
        <v>89301000</v>
      </c>
      <c r="C11295" s="1">
        <v>44315</v>
      </c>
      <c r="D11295" s="1">
        <v>44321</v>
      </c>
      <c r="E11295">
        <v>1</v>
      </c>
      <c r="F11295" t="s">
        <v>412</v>
      </c>
      <c r="G11295" t="str">
        <f>"09-K14-02"</f>
        <v>09-K14-02</v>
      </c>
      <c r="H11295">
        <v>0.50549999999999995</v>
      </c>
      <c r="J11295" t="s">
        <v>14</v>
      </c>
      <c r="K11295" t="str">
        <f>"4F4"</f>
        <v>4F4</v>
      </c>
      <c r="L11295" t="s">
        <v>15</v>
      </c>
    </row>
    <row r="11296" spans="1:12" x14ac:dyDescent="0.25">
      <c r="A11296" t="str">
        <f>"8251085315"</f>
        <v>8251085315</v>
      </c>
      <c r="B11296" t="str">
        <f t="shared" ref="B11296:B11359" si="459">"89301000"</f>
        <v>89301000</v>
      </c>
      <c r="C11296" s="1">
        <v>44258</v>
      </c>
      <c r="D11296" s="1">
        <v>44259</v>
      </c>
      <c r="E11296">
        <v>1</v>
      </c>
      <c r="F11296" t="s">
        <v>116</v>
      </c>
      <c r="G11296" t="str">
        <f>"14-M01-05"</f>
        <v>14-M01-05</v>
      </c>
      <c r="H11296">
        <v>0.54239999999999999</v>
      </c>
      <c r="I11296" t="s">
        <v>7504</v>
      </c>
      <c r="J11296" t="s">
        <v>59</v>
      </c>
      <c r="K11296" t="str">
        <f>"6F3"</f>
        <v>6F3</v>
      </c>
      <c r="L11296" t="s">
        <v>15</v>
      </c>
    </row>
    <row r="11297" spans="1:12" x14ac:dyDescent="0.25">
      <c r="A11297" t="str">
        <f>"8251085315"</f>
        <v>8251085315</v>
      </c>
      <c r="B11297" t="str">
        <f t="shared" si="459"/>
        <v>89301000</v>
      </c>
      <c r="C11297" s="1">
        <v>44207</v>
      </c>
      <c r="D11297" s="1">
        <v>44216</v>
      </c>
      <c r="E11297">
        <v>1</v>
      </c>
      <c r="F11297" t="s">
        <v>7279</v>
      </c>
      <c r="G11297" t="str">
        <f>"14-K03-02"</f>
        <v>14-K03-02</v>
      </c>
      <c r="H11297">
        <v>0.34379999999999999</v>
      </c>
      <c r="I11297" t="s">
        <v>7367</v>
      </c>
      <c r="J11297" t="s">
        <v>14</v>
      </c>
      <c r="K11297" t="str">
        <f>"6F3"</f>
        <v>6F3</v>
      </c>
      <c r="L11297" t="s">
        <v>15</v>
      </c>
    </row>
    <row r="11298" spans="1:12" x14ac:dyDescent="0.25">
      <c r="A11298" t="str">
        <f>"8251115763"</f>
        <v>8251115763</v>
      </c>
      <c r="B11298" t="str">
        <f t="shared" si="459"/>
        <v>89301000</v>
      </c>
      <c r="C11298" s="1">
        <v>44530</v>
      </c>
      <c r="D11298" s="1">
        <v>44533</v>
      </c>
      <c r="E11298">
        <v>1</v>
      </c>
      <c r="F11298" t="s">
        <v>75</v>
      </c>
      <c r="G11298" t="str">
        <f>"14-M01-05"</f>
        <v>14-M01-05</v>
      </c>
      <c r="H11298">
        <v>0.54239999999999999</v>
      </c>
      <c r="I11298" t="s">
        <v>76</v>
      </c>
      <c r="J11298" t="s">
        <v>59</v>
      </c>
      <c r="K11298" t="str">
        <f>"6F3"</f>
        <v>6F3</v>
      </c>
      <c r="L11298" t="s">
        <v>15</v>
      </c>
    </row>
    <row r="11299" spans="1:12" x14ac:dyDescent="0.25">
      <c r="A11299" t="str">
        <f>"8251265319"</f>
        <v>8251265319</v>
      </c>
      <c r="B11299" t="str">
        <f t="shared" si="459"/>
        <v>89301000</v>
      </c>
      <c r="C11299" s="1">
        <v>44262</v>
      </c>
      <c r="D11299" s="1">
        <v>44267</v>
      </c>
      <c r="E11299">
        <v>1</v>
      </c>
      <c r="F11299" t="s">
        <v>2232</v>
      </c>
      <c r="G11299" t="str">
        <f>"11-I07-04"</f>
        <v>11-I07-04</v>
      </c>
      <c r="H11299">
        <v>1.9005000000000001</v>
      </c>
      <c r="I11299" t="s">
        <v>7505</v>
      </c>
      <c r="J11299" t="s">
        <v>24</v>
      </c>
      <c r="K11299" t="str">
        <f>"7F6"</f>
        <v>7F6</v>
      </c>
      <c r="L11299" t="s">
        <v>15</v>
      </c>
    </row>
    <row r="11300" spans="1:12" x14ac:dyDescent="0.25">
      <c r="A11300" t="str">
        <f>"8251275681"</f>
        <v>8251275681</v>
      </c>
      <c r="B11300" t="str">
        <f t="shared" si="459"/>
        <v>89301000</v>
      </c>
      <c r="C11300" s="1">
        <v>44312</v>
      </c>
      <c r="D11300" s="1">
        <v>44315</v>
      </c>
      <c r="E11300">
        <v>1</v>
      </c>
      <c r="F11300" t="s">
        <v>28</v>
      </c>
      <c r="G11300" t="str">
        <f>"03-I12-02"</f>
        <v>03-I12-02</v>
      </c>
      <c r="H11300">
        <v>1.2911999999999999</v>
      </c>
      <c r="I11300" t="s">
        <v>348</v>
      </c>
      <c r="J11300" t="s">
        <v>17</v>
      </c>
      <c r="K11300" t="str">
        <f>"7F1"</f>
        <v>7F1</v>
      </c>
      <c r="L11300" t="s">
        <v>15</v>
      </c>
    </row>
    <row r="11301" spans="1:12" x14ac:dyDescent="0.25">
      <c r="A11301" t="str">
        <f>"8252010679"</f>
        <v>8252010679</v>
      </c>
      <c r="B11301" t="str">
        <f t="shared" si="459"/>
        <v>89301000</v>
      </c>
      <c r="C11301" s="1">
        <v>44203</v>
      </c>
      <c r="D11301" s="1">
        <v>44216</v>
      </c>
      <c r="E11301">
        <v>1</v>
      </c>
      <c r="F11301" t="s">
        <v>962</v>
      </c>
      <c r="G11301" t="str">
        <f>"04-M01-05"</f>
        <v>04-M01-05</v>
      </c>
      <c r="H11301">
        <v>6.2100999999999997</v>
      </c>
      <c r="I11301" t="s">
        <v>7506</v>
      </c>
      <c r="J11301" t="s">
        <v>14</v>
      </c>
      <c r="K11301" t="str">
        <f>"5F1"</f>
        <v>5F1</v>
      </c>
      <c r="L11301" t="s">
        <v>15</v>
      </c>
    </row>
    <row r="11302" spans="1:12" x14ac:dyDescent="0.25">
      <c r="A11302" t="str">
        <f>"8252055328"</f>
        <v>8252055328</v>
      </c>
      <c r="B11302" t="str">
        <f t="shared" si="459"/>
        <v>89301000</v>
      </c>
      <c r="C11302" s="1">
        <v>44214</v>
      </c>
      <c r="D11302" s="1">
        <v>44218</v>
      </c>
      <c r="E11302">
        <v>1</v>
      </c>
      <c r="F11302" t="s">
        <v>75</v>
      </c>
      <c r="G11302" t="str">
        <f>"14-M01-02"</f>
        <v>14-M01-02</v>
      </c>
      <c r="H11302">
        <v>0.74450000000000005</v>
      </c>
      <c r="I11302" t="s">
        <v>7507</v>
      </c>
      <c r="J11302" t="s">
        <v>59</v>
      </c>
      <c r="K11302" t="str">
        <f>"6F3"</f>
        <v>6F3</v>
      </c>
      <c r="L11302" t="s">
        <v>15</v>
      </c>
    </row>
    <row r="11303" spans="1:12" x14ac:dyDescent="0.25">
      <c r="A11303" t="str">
        <f>"8252065767"</f>
        <v>8252065767</v>
      </c>
      <c r="B11303" t="str">
        <f t="shared" si="459"/>
        <v>89301000</v>
      </c>
      <c r="C11303" s="1">
        <v>44476</v>
      </c>
      <c r="D11303" s="1">
        <v>44481</v>
      </c>
      <c r="E11303">
        <v>1</v>
      </c>
      <c r="F11303" t="s">
        <v>116</v>
      </c>
      <c r="G11303" t="str">
        <f>"14-M01-05"</f>
        <v>14-M01-05</v>
      </c>
      <c r="H11303">
        <v>0.54239999999999999</v>
      </c>
      <c r="J11303" t="s">
        <v>59</v>
      </c>
      <c r="K11303" t="str">
        <f>"6F3"</f>
        <v>6F3</v>
      </c>
      <c r="L11303" t="s">
        <v>15</v>
      </c>
    </row>
    <row r="11304" spans="1:12" x14ac:dyDescent="0.25">
      <c r="A11304" t="str">
        <f>"8252075326"</f>
        <v>8252075326</v>
      </c>
      <c r="B11304" t="str">
        <f t="shared" si="459"/>
        <v>89301000</v>
      </c>
      <c r="C11304" s="1">
        <v>44241</v>
      </c>
      <c r="D11304" s="1">
        <v>44246</v>
      </c>
      <c r="E11304">
        <v>1</v>
      </c>
      <c r="F11304" t="s">
        <v>61</v>
      </c>
      <c r="G11304" t="str">
        <f>"14-I01-05"</f>
        <v>14-I01-05</v>
      </c>
      <c r="H11304">
        <v>0.80030000000000001</v>
      </c>
      <c r="I11304" t="s">
        <v>7508</v>
      </c>
      <c r="J11304" t="s">
        <v>59</v>
      </c>
      <c r="K11304" t="str">
        <f>"6F3"</f>
        <v>6F3</v>
      </c>
      <c r="L11304" t="s">
        <v>15</v>
      </c>
    </row>
    <row r="11305" spans="1:12" x14ac:dyDescent="0.25">
      <c r="A11305" t="str">
        <f>"8252115322"</f>
        <v>8252115322</v>
      </c>
      <c r="B11305" t="str">
        <f t="shared" si="459"/>
        <v>89301000</v>
      </c>
      <c r="C11305" s="1">
        <v>44503</v>
      </c>
      <c r="D11305" s="1">
        <v>44509</v>
      </c>
      <c r="E11305">
        <v>1</v>
      </c>
      <c r="F11305" t="s">
        <v>600</v>
      </c>
      <c r="G11305" t="str">
        <f>"01-I06-04"</f>
        <v>01-I06-04</v>
      </c>
      <c r="H11305">
        <v>3.6231</v>
      </c>
      <c r="J11305" t="s">
        <v>17</v>
      </c>
      <c r="K11305" t="str">
        <f>"5F6"</f>
        <v>5F6</v>
      </c>
      <c r="L11305" t="s">
        <v>15</v>
      </c>
    </row>
    <row r="11306" spans="1:12" x14ac:dyDescent="0.25">
      <c r="A11306" t="str">
        <f>"8252115322"</f>
        <v>8252115322</v>
      </c>
      <c r="B11306" t="str">
        <f t="shared" si="459"/>
        <v>89301000</v>
      </c>
      <c r="C11306" s="1">
        <v>44448</v>
      </c>
      <c r="D11306" s="1">
        <v>44453</v>
      </c>
      <c r="E11306">
        <v>1</v>
      </c>
      <c r="F11306" t="s">
        <v>49</v>
      </c>
      <c r="G11306" t="str">
        <f>"01-K18-04"</f>
        <v>01-K18-04</v>
      </c>
      <c r="H11306">
        <v>0.49890000000000001</v>
      </c>
      <c r="J11306" t="s">
        <v>14</v>
      </c>
      <c r="K11306" t="str">
        <f>"2F9"</f>
        <v>2F9</v>
      </c>
      <c r="L11306" t="s">
        <v>15</v>
      </c>
    </row>
    <row r="11307" spans="1:12" x14ac:dyDescent="0.25">
      <c r="A11307" t="str">
        <f>"8252154460"</f>
        <v>8252154460</v>
      </c>
      <c r="B11307" t="str">
        <f t="shared" si="459"/>
        <v>89301000</v>
      </c>
      <c r="C11307" s="1">
        <v>44364</v>
      </c>
      <c r="D11307" s="1">
        <v>44367</v>
      </c>
      <c r="E11307">
        <v>1</v>
      </c>
      <c r="F11307" t="s">
        <v>39</v>
      </c>
      <c r="G11307" t="str">
        <f>"03-I19-03"</f>
        <v>03-I19-03</v>
      </c>
      <c r="H11307">
        <v>0.60699999999999998</v>
      </c>
      <c r="I11307" t="s">
        <v>489</v>
      </c>
      <c r="J11307" t="s">
        <v>14</v>
      </c>
      <c r="K11307" t="str">
        <f>"6F5"</f>
        <v>6F5</v>
      </c>
      <c r="L11307" t="s">
        <v>15</v>
      </c>
    </row>
    <row r="11308" spans="1:12" x14ac:dyDescent="0.25">
      <c r="A11308" t="str">
        <f>"8252154460"</f>
        <v>8252154460</v>
      </c>
      <c r="B11308" t="str">
        <f t="shared" si="459"/>
        <v>89301000</v>
      </c>
      <c r="C11308" s="1">
        <v>44350</v>
      </c>
      <c r="D11308" s="1">
        <v>44354</v>
      </c>
      <c r="E11308">
        <v>1</v>
      </c>
      <c r="F11308" t="s">
        <v>132</v>
      </c>
      <c r="G11308" t="str">
        <f>"03-I23-00"</f>
        <v>03-I23-00</v>
      </c>
      <c r="H11308">
        <v>0.47639999999999999</v>
      </c>
      <c r="I11308" t="s">
        <v>7509</v>
      </c>
      <c r="J11308" t="s">
        <v>14</v>
      </c>
      <c r="K11308" t="str">
        <f>"6F5"</f>
        <v>6F5</v>
      </c>
      <c r="L11308" t="s">
        <v>15</v>
      </c>
    </row>
    <row r="11309" spans="1:12" x14ac:dyDescent="0.25">
      <c r="A11309" t="str">
        <f>"8252185359"</f>
        <v>8252185359</v>
      </c>
      <c r="B11309" t="str">
        <f t="shared" si="459"/>
        <v>89301000</v>
      </c>
      <c r="C11309" s="1">
        <v>44312</v>
      </c>
      <c r="D11309" s="1">
        <v>44316</v>
      </c>
      <c r="E11309">
        <v>1</v>
      </c>
      <c r="F11309" t="s">
        <v>18</v>
      </c>
      <c r="G11309" t="str">
        <f>"11-I17-03"</f>
        <v>11-I17-03</v>
      </c>
      <c r="H11309">
        <v>0.50609999999999999</v>
      </c>
      <c r="J11309" t="s">
        <v>14</v>
      </c>
      <c r="K11309" t="str">
        <f>"7F6"</f>
        <v>7F6</v>
      </c>
      <c r="L11309" t="s">
        <v>15</v>
      </c>
    </row>
    <row r="11310" spans="1:12" x14ac:dyDescent="0.25">
      <c r="A11310" t="str">
        <f>"8252235376"</f>
        <v>8252235376</v>
      </c>
      <c r="B11310" t="str">
        <f t="shared" si="459"/>
        <v>89301000</v>
      </c>
      <c r="C11310" s="1">
        <v>44408</v>
      </c>
      <c r="D11310" s="1">
        <v>44412</v>
      </c>
      <c r="E11310">
        <v>1</v>
      </c>
      <c r="F11310" t="s">
        <v>82</v>
      </c>
      <c r="G11310" t="str">
        <f>"14-I01-05"</f>
        <v>14-I01-05</v>
      </c>
      <c r="H11310">
        <v>0.80030000000000001</v>
      </c>
      <c r="I11310" t="s">
        <v>7510</v>
      </c>
      <c r="J11310" t="s">
        <v>59</v>
      </c>
      <c r="K11310" t="str">
        <f>"6F3"</f>
        <v>6F3</v>
      </c>
      <c r="L11310" t="s">
        <v>15</v>
      </c>
    </row>
    <row r="11311" spans="1:12" x14ac:dyDescent="0.25">
      <c r="A11311" t="str">
        <f>"8252245177"</f>
        <v>8252245177</v>
      </c>
      <c r="B11311" t="str">
        <f t="shared" si="459"/>
        <v>89301000</v>
      </c>
      <c r="C11311" s="1">
        <v>44501</v>
      </c>
      <c r="D11311" s="1">
        <v>44504</v>
      </c>
      <c r="E11311">
        <v>1</v>
      </c>
      <c r="F11311" t="s">
        <v>7511</v>
      </c>
      <c r="G11311" t="str">
        <f>"03-I19-03"</f>
        <v>03-I19-03</v>
      </c>
      <c r="H11311">
        <v>0.60699999999999998</v>
      </c>
      <c r="I11311" t="s">
        <v>7512</v>
      </c>
      <c r="J11311" t="s">
        <v>14</v>
      </c>
      <c r="K11311" t="str">
        <f>"6F5"</f>
        <v>6F5</v>
      </c>
      <c r="L11311" t="s">
        <v>15</v>
      </c>
    </row>
    <row r="11312" spans="1:12" x14ac:dyDescent="0.25">
      <c r="A11312" t="str">
        <f>"8253045328"</f>
        <v>8253045328</v>
      </c>
      <c r="B11312" t="str">
        <f t="shared" si="459"/>
        <v>89301000</v>
      </c>
      <c r="C11312" s="1">
        <v>44328</v>
      </c>
      <c r="D11312" s="1">
        <v>44329</v>
      </c>
      <c r="E11312">
        <v>1</v>
      </c>
      <c r="F11312" t="s">
        <v>2530</v>
      </c>
      <c r="G11312" t="str">
        <f>"08-M03-05"</f>
        <v>08-M03-05</v>
      </c>
      <c r="H11312">
        <v>0.51759999999999995</v>
      </c>
      <c r="I11312" t="s">
        <v>7513</v>
      </c>
      <c r="J11312" t="s">
        <v>14</v>
      </c>
      <c r="K11312" t="str">
        <f>"6F6"</f>
        <v>6F6</v>
      </c>
      <c r="L11312" t="s">
        <v>15</v>
      </c>
    </row>
    <row r="11313" spans="1:12" x14ac:dyDescent="0.25">
      <c r="A11313" t="str">
        <f>"8253045328"</f>
        <v>8253045328</v>
      </c>
      <c r="B11313" t="str">
        <f t="shared" si="459"/>
        <v>89301000</v>
      </c>
      <c r="C11313" s="1">
        <v>44337</v>
      </c>
      <c r="D11313" s="1">
        <v>44340</v>
      </c>
      <c r="E11313">
        <v>1</v>
      </c>
      <c r="F11313" t="s">
        <v>175</v>
      </c>
      <c r="G11313" t="str">
        <f>"05-K13-02"</f>
        <v>05-K13-02</v>
      </c>
      <c r="H11313">
        <v>0.60950000000000004</v>
      </c>
      <c r="I11313" t="s">
        <v>7514</v>
      </c>
      <c r="J11313" t="s">
        <v>14</v>
      </c>
      <c r="K11313" t="str">
        <f>"1F5"</f>
        <v>1F5</v>
      </c>
      <c r="L11313" t="s">
        <v>15</v>
      </c>
    </row>
    <row r="11314" spans="1:12" x14ac:dyDescent="0.25">
      <c r="A11314" t="str">
        <f>"8253094982"</f>
        <v>8253094982</v>
      </c>
      <c r="B11314" t="str">
        <f t="shared" si="459"/>
        <v>89301000</v>
      </c>
      <c r="C11314" s="1">
        <v>44211</v>
      </c>
      <c r="D11314" s="1">
        <v>44216</v>
      </c>
      <c r="E11314">
        <v>1</v>
      </c>
      <c r="F11314" t="s">
        <v>2648</v>
      </c>
      <c r="G11314" t="str">
        <f>"06-I07-06"</f>
        <v>06-I07-06</v>
      </c>
      <c r="H11314">
        <v>2.3988</v>
      </c>
      <c r="I11314" t="s">
        <v>282</v>
      </c>
      <c r="J11314" t="s">
        <v>17</v>
      </c>
      <c r="K11314" t="str">
        <f>"5F1"</f>
        <v>5F1</v>
      </c>
      <c r="L11314" t="s">
        <v>15</v>
      </c>
    </row>
    <row r="11315" spans="1:12" x14ac:dyDescent="0.25">
      <c r="A11315" t="str">
        <f>"8253215311"</f>
        <v>8253215311</v>
      </c>
      <c r="B11315" t="str">
        <f t="shared" si="459"/>
        <v>89301000</v>
      </c>
      <c r="C11315" s="1">
        <v>44426</v>
      </c>
      <c r="D11315" s="1">
        <v>44426</v>
      </c>
      <c r="E11315">
        <v>1</v>
      </c>
      <c r="F11315" t="s">
        <v>7515</v>
      </c>
      <c r="G11315" t="str">
        <f>"08-K08-00"</f>
        <v>08-K08-00</v>
      </c>
      <c r="H11315">
        <v>0.2596</v>
      </c>
      <c r="J11315" t="s">
        <v>14</v>
      </c>
      <c r="K11315" t="str">
        <f>"1F9"</f>
        <v>1F9</v>
      </c>
      <c r="L11315" t="s">
        <v>15</v>
      </c>
    </row>
    <row r="11316" spans="1:12" x14ac:dyDescent="0.25">
      <c r="A11316" t="str">
        <f>"8254215310"</f>
        <v>8254215310</v>
      </c>
      <c r="B11316" t="str">
        <f t="shared" si="459"/>
        <v>89301000</v>
      </c>
      <c r="C11316" s="1">
        <v>44497</v>
      </c>
      <c r="D11316" s="1">
        <v>44499</v>
      </c>
      <c r="E11316">
        <v>1</v>
      </c>
      <c r="F11316" t="s">
        <v>84</v>
      </c>
      <c r="G11316" t="str">
        <f>"09-I09-05"</f>
        <v>09-I09-05</v>
      </c>
      <c r="H11316">
        <v>0.47210000000000002</v>
      </c>
      <c r="I11316" t="s">
        <v>489</v>
      </c>
      <c r="J11316" t="s">
        <v>17</v>
      </c>
      <c r="K11316" t="str">
        <f>"5F1"</f>
        <v>5F1</v>
      </c>
      <c r="L11316" t="s">
        <v>15</v>
      </c>
    </row>
    <row r="11317" spans="1:12" x14ac:dyDescent="0.25">
      <c r="A11317" t="str">
        <f>"8254215321"</f>
        <v>8254215321</v>
      </c>
      <c r="B11317" t="str">
        <f t="shared" si="459"/>
        <v>89301000</v>
      </c>
      <c r="C11317" s="1">
        <v>44558</v>
      </c>
      <c r="D11317" s="1">
        <v>44561</v>
      </c>
      <c r="E11317">
        <v>1</v>
      </c>
      <c r="F11317" t="s">
        <v>75</v>
      </c>
      <c r="G11317" t="str">
        <f>"14-M01-05"</f>
        <v>14-M01-05</v>
      </c>
      <c r="H11317">
        <v>0.54239999999999999</v>
      </c>
      <c r="I11317" t="s">
        <v>180</v>
      </c>
      <c r="J11317" t="s">
        <v>59</v>
      </c>
      <c r="K11317" t="str">
        <f>"6F3"</f>
        <v>6F3</v>
      </c>
      <c r="L11317" t="s">
        <v>15</v>
      </c>
    </row>
    <row r="11318" spans="1:12" x14ac:dyDescent="0.25">
      <c r="A11318" t="str">
        <f>"8254265371"</f>
        <v>8254265371</v>
      </c>
      <c r="B11318" t="str">
        <f t="shared" si="459"/>
        <v>89301000</v>
      </c>
      <c r="C11318" s="1">
        <v>44316</v>
      </c>
      <c r="D11318" s="1">
        <v>44319</v>
      </c>
      <c r="E11318">
        <v>1</v>
      </c>
      <c r="F11318" t="s">
        <v>112</v>
      </c>
      <c r="G11318" t="str">
        <f>"14-M01-05"</f>
        <v>14-M01-05</v>
      </c>
      <c r="H11318">
        <v>0.54239999999999999</v>
      </c>
      <c r="I11318" t="s">
        <v>7516</v>
      </c>
      <c r="J11318" t="s">
        <v>59</v>
      </c>
      <c r="K11318" t="str">
        <f>"6F3"</f>
        <v>6F3</v>
      </c>
      <c r="L11318" t="s">
        <v>15</v>
      </c>
    </row>
    <row r="11319" spans="1:12" x14ac:dyDescent="0.25">
      <c r="A11319" t="str">
        <f>"8254274457"</f>
        <v>8254274457</v>
      </c>
      <c r="B11319" t="str">
        <f t="shared" si="459"/>
        <v>89301000</v>
      </c>
      <c r="C11319" s="1">
        <v>44209</v>
      </c>
      <c r="D11319" s="1">
        <v>44212</v>
      </c>
      <c r="E11319">
        <v>1</v>
      </c>
      <c r="F11319" t="s">
        <v>7048</v>
      </c>
      <c r="G11319" t="str">
        <f>"13-I14-03"</f>
        <v>13-I14-03</v>
      </c>
      <c r="H11319">
        <v>0.83199999999999996</v>
      </c>
      <c r="J11319" t="s">
        <v>24</v>
      </c>
      <c r="K11319" t="str">
        <f>"6F3"</f>
        <v>6F3</v>
      </c>
      <c r="L11319" t="s">
        <v>15</v>
      </c>
    </row>
    <row r="11320" spans="1:12" x14ac:dyDescent="0.25">
      <c r="A11320" t="str">
        <f>"8254554253"</f>
        <v>8254554253</v>
      </c>
      <c r="B11320" t="str">
        <f t="shared" si="459"/>
        <v>89301000</v>
      </c>
      <c r="C11320" s="1">
        <v>44534</v>
      </c>
      <c r="D11320" s="1">
        <v>44544</v>
      </c>
      <c r="E11320">
        <v>1</v>
      </c>
      <c r="F11320" t="s">
        <v>217</v>
      </c>
      <c r="G11320" t="str">
        <f>"04-K02-04"</f>
        <v>04-K02-04</v>
      </c>
      <c r="H11320">
        <v>0.82469999999999999</v>
      </c>
      <c r="I11320" t="s">
        <v>7517</v>
      </c>
      <c r="J11320" t="s">
        <v>14</v>
      </c>
      <c r="K11320" t="str">
        <f>"1F1"</f>
        <v>1F1</v>
      </c>
      <c r="L11320" t="s">
        <v>15</v>
      </c>
    </row>
    <row r="11321" spans="1:12" x14ac:dyDescent="0.25">
      <c r="A11321" t="str">
        <f>"8255035327"</f>
        <v>8255035327</v>
      </c>
      <c r="B11321" t="str">
        <f t="shared" si="459"/>
        <v>89301000</v>
      </c>
      <c r="C11321" s="1">
        <v>44425</v>
      </c>
      <c r="D11321" s="1">
        <v>44428</v>
      </c>
      <c r="E11321">
        <v>1</v>
      </c>
      <c r="F11321" t="s">
        <v>75</v>
      </c>
      <c r="G11321" t="str">
        <f>"14-M01-05"</f>
        <v>14-M01-05</v>
      </c>
      <c r="H11321">
        <v>0.54239999999999999</v>
      </c>
      <c r="I11321" t="s">
        <v>7354</v>
      </c>
      <c r="J11321" t="s">
        <v>59</v>
      </c>
      <c r="K11321" t="str">
        <f>"6F3"</f>
        <v>6F3</v>
      </c>
      <c r="L11321" t="s">
        <v>15</v>
      </c>
    </row>
    <row r="11322" spans="1:12" x14ac:dyDescent="0.25">
      <c r="A11322" t="str">
        <f>"8255044468"</f>
        <v>8255044468</v>
      </c>
      <c r="B11322" t="str">
        <f t="shared" si="459"/>
        <v>89301000</v>
      </c>
      <c r="C11322" s="1">
        <v>44258</v>
      </c>
      <c r="D11322" s="1">
        <v>44261</v>
      </c>
      <c r="E11322">
        <v>1</v>
      </c>
      <c r="F11322" t="s">
        <v>75</v>
      </c>
      <c r="G11322" t="str">
        <f>"14-M01-05"</f>
        <v>14-M01-05</v>
      </c>
      <c r="H11322">
        <v>0.54239999999999999</v>
      </c>
      <c r="J11322" t="s">
        <v>59</v>
      </c>
      <c r="K11322" t="str">
        <f>"6F3"</f>
        <v>6F3</v>
      </c>
      <c r="L11322" t="s">
        <v>15</v>
      </c>
    </row>
    <row r="11323" spans="1:12" x14ac:dyDescent="0.25">
      <c r="A11323" t="str">
        <f>"8255065324"</f>
        <v>8255065324</v>
      </c>
      <c r="B11323" t="str">
        <f t="shared" si="459"/>
        <v>89301000</v>
      </c>
      <c r="C11323" s="1">
        <v>44406</v>
      </c>
      <c r="D11323" s="1">
        <v>44409</v>
      </c>
      <c r="E11323">
        <v>1</v>
      </c>
      <c r="F11323" t="s">
        <v>75</v>
      </c>
      <c r="G11323" t="str">
        <f>"14-M01-05"</f>
        <v>14-M01-05</v>
      </c>
      <c r="H11323">
        <v>0.54239999999999999</v>
      </c>
      <c r="I11323" t="s">
        <v>256</v>
      </c>
      <c r="J11323" t="s">
        <v>59</v>
      </c>
      <c r="K11323" t="str">
        <f>"6F3"</f>
        <v>6F3</v>
      </c>
      <c r="L11323" t="s">
        <v>15</v>
      </c>
    </row>
    <row r="11324" spans="1:12" x14ac:dyDescent="0.25">
      <c r="A11324" t="str">
        <f>"8255115363"</f>
        <v>8255115363</v>
      </c>
      <c r="B11324" t="str">
        <f t="shared" si="459"/>
        <v>89301000</v>
      </c>
      <c r="C11324" s="1">
        <v>44503</v>
      </c>
      <c r="D11324" s="1">
        <v>44512</v>
      </c>
      <c r="E11324">
        <v>1</v>
      </c>
      <c r="F11324" t="s">
        <v>7518</v>
      </c>
      <c r="G11324" t="str">
        <f>"14-K03-01"</f>
        <v>14-K03-01</v>
      </c>
      <c r="H11324">
        <v>0.5706</v>
      </c>
      <c r="J11324" t="s">
        <v>14</v>
      </c>
      <c r="K11324" t="str">
        <f>"6F3"</f>
        <v>6F3</v>
      </c>
      <c r="L11324" t="s">
        <v>15</v>
      </c>
    </row>
    <row r="11325" spans="1:12" x14ac:dyDescent="0.25">
      <c r="A11325" t="str">
        <f>"8255115363"</f>
        <v>8255115363</v>
      </c>
      <c r="B11325" t="str">
        <f t="shared" si="459"/>
        <v>89301000</v>
      </c>
      <c r="C11325" s="1">
        <v>44519</v>
      </c>
      <c r="D11325" s="1">
        <v>44522</v>
      </c>
      <c r="E11325">
        <v>1</v>
      </c>
      <c r="F11325" t="s">
        <v>61</v>
      </c>
      <c r="G11325" t="str">
        <f>"14-I01-05"</f>
        <v>14-I01-05</v>
      </c>
      <c r="H11325">
        <v>0.80030000000000001</v>
      </c>
      <c r="I11325" t="s">
        <v>7519</v>
      </c>
      <c r="J11325" t="s">
        <v>59</v>
      </c>
      <c r="K11325" t="str">
        <f>"6F3"</f>
        <v>6F3</v>
      </c>
      <c r="L11325" t="s">
        <v>15</v>
      </c>
    </row>
    <row r="11326" spans="1:12" x14ac:dyDescent="0.25">
      <c r="A11326" t="str">
        <f>"8255145756"</f>
        <v>8255145756</v>
      </c>
      <c r="B11326" t="str">
        <f t="shared" si="459"/>
        <v>89301000</v>
      </c>
      <c r="C11326" s="1">
        <v>44340</v>
      </c>
      <c r="D11326" s="1">
        <v>44342</v>
      </c>
      <c r="E11326">
        <v>1</v>
      </c>
      <c r="F11326" t="s">
        <v>4382</v>
      </c>
      <c r="G11326" t="str">
        <f>"05-I30-02"</f>
        <v>05-I30-02</v>
      </c>
      <c r="H11326">
        <v>0.46729999999999999</v>
      </c>
      <c r="J11326" t="s">
        <v>14</v>
      </c>
      <c r="K11326" t="str">
        <f>"5F1"</f>
        <v>5F1</v>
      </c>
      <c r="L11326" t="s">
        <v>15</v>
      </c>
    </row>
    <row r="11327" spans="1:12" x14ac:dyDescent="0.25">
      <c r="A11327" t="str">
        <f>"8255155777"</f>
        <v>8255155777</v>
      </c>
      <c r="B11327" t="str">
        <f t="shared" si="459"/>
        <v>89301000</v>
      </c>
      <c r="C11327" s="1">
        <v>44281</v>
      </c>
      <c r="D11327" s="1">
        <v>44284</v>
      </c>
      <c r="E11327">
        <v>1</v>
      </c>
      <c r="F11327" t="s">
        <v>75</v>
      </c>
      <c r="G11327" t="str">
        <f>"14-M01-05"</f>
        <v>14-M01-05</v>
      </c>
      <c r="H11327">
        <v>0.54239999999999999</v>
      </c>
      <c r="I11327" t="s">
        <v>7520</v>
      </c>
      <c r="J11327" t="s">
        <v>59</v>
      </c>
      <c r="K11327" t="str">
        <f>"6F3"</f>
        <v>6F3</v>
      </c>
      <c r="L11327" t="s">
        <v>15</v>
      </c>
    </row>
    <row r="11328" spans="1:12" x14ac:dyDescent="0.25">
      <c r="A11328" t="str">
        <f>"8255174851"</f>
        <v>8255174851</v>
      </c>
      <c r="B11328" t="str">
        <f t="shared" si="459"/>
        <v>89301000</v>
      </c>
      <c r="C11328" s="1">
        <v>44376</v>
      </c>
      <c r="D11328" s="1">
        <v>44382</v>
      </c>
      <c r="E11328">
        <v>1</v>
      </c>
      <c r="F11328" t="s">
        <v>61</v>
      </c>
      <c r="G11328" t="str">
        <f>"14-I01-05"</f>
        <v>14-I01-05</v>
      </c>
      <c r="H11328">
        <v>0.80030000000000001</v>
      </c>
      <c r="I11328" t="s">
        <v>7521</v>
      </c>
      <c r="J11328" t="s">
        <v>59</v>
      </c>
      <c r="K11328" t="str">
        <f>"6F3"</f>
        <v>6F3</v>
      </c>
      <c r="L11328" t="s">
        <v>15</v>
      </c>
    </row>
    <row r="11329" spans="1:12" x14ac:dyDescent="0.25">
      <c r="A11329" t="str">
        <f>"8255315332"</f>
        <v>8255315332</v>
      </c>
      <c r="B11329" t="str">
        <f t="shared" si="459"/>
        <v>89301000</v>
      </c>
      <c r="C11329" s="1">
        <v>44229</v>
      </c>
      <c r="D11329" s="1">
        <v>44234</v>
      </c>
      <c r="E11329">
        <v>1</v>
      </c>
      <c r="F11329" t="s">
        <v>6237</v>
      </c>
      <c r="G11329" t="str">
        <f>"03-I18-02"</f>
        <v>03-I18-02</v>
      </c>
      <c r="H11329">
        <v>0.84370000000000001</v>
      </c>
      <c r="I11329" t="s">
        <v>7522</v>
      </c>
      <c r="J11329" t="s">
        <v>24</v>
      </c>
      <c r="K11329" t="str">
        <f>"7F1"</f>
        <v>7F1</v>
      </c>
      <c r="L11329" t="s">
        <v>15</v>
      </c>
    </row>
    <row r="11330" spans="1:12" x14ac:dyDescent="0.25">
      <c r="A11330" t="str">
        <f>"8256055709"</f>
        <v>8256055709</v>
      </c>
      <c r="B11330" t="str">
        <f t="shared" si="459"/>
        <v>89301000</v>
      </c>
      <c r="C11330" s="1">
        <v>44545</v>
      </c>
      <c r="D11330" s="1">
        <v>44549</v>
      </c>
      <c r="E11330">
        <v>1</v>
      </c>
      <c r="F11330" t="s">
        <v>75</v>
      </c>
      <c r="G11330" t="str">
        <f>"14-M01-05"</f>
        <v>14-M01-05</v>
      </c>
      <c r="H11330">
        <v>0.54239999999999999</v>
      </c>
      <c r="I11330" t="s">
        <v>7420</v>
      </c>
      <c r="J11330" t="s">
        <v>59</v>
      </c>
      <c r="K11330" t="str">
        <f>"6F3"</f>
        <v>6F3</v>
      </c>
      <c r="L11330" t="s">
        <v>15</v>
      </c>
    </row>
    <row r="11331" spans="1:12" x14ac:dyDescent="0.25">
      <c r="A11331" t="str">
        <f>"8256144490"</f>
        <v>8256144490</v>
      </c>
      <c r="B11331" t="str">
        <f t="shared" si="459"/>
        <v>89301000</v>
      </c>
      <c r="C11331" s="1">
        <v>44243</v>
      </c>
      <c r="D11331" s="1">
        <v>44244</v>
      </c>
      <c r="E11331">
        <v>1</v>
      </c>
      <c r="F11331" t="s">
        <v>1132</v>
      </c>
      <c r="G11331" t="str">
        <f>"23-K04-02"</f>
        <v>23-K04-02</v>
      </c>
      <c r="H11331">
        <v>0.38690000000000002</v>
      </c>
      <c r="J11331" t="s">
        <v>14</v>
      </c>
      <c r="K11331" t="str">
        <f>"2F9"</f>
        <v>2F9</v>
      </c>
      <c r="L11331" t="s">
        <v>15</v>
      </c>
    </row>
    <row r="11332" spans="1:12" x14ac:dyDescent="0.25">
      <c r="A11332" t="str">
        <f>"8256144853"</f>
        <v>8256144853</v>
      </c>
      <c r="B11332" t="str">
        <f t="shared" si="459"/>
        <v>89301000</v>
      </c>
      <c r="C11332" s="1">
        <v>44524</v>
      </c>
      <c r="D11332" s="1">
        <v>44533</v>
      </c>
      <c r="E11332">
        <v>4</v>
      </c>
      <c r="F11332" t="s">
        <v>649</v>
      </c>
      <c r="G11332" t="str">
        <f>"18-K02-04"</f>
        <v>18-K02-04</v>
      </c>
      <c r="H11332">
        <v>0.83260000000000001</v>
      </c>
      <c r="I11332" t="s">
        <v>7523</v>
      </c>
      <c r="J11332" t="s">
        <v>14</v>
      </c>
      <c r="K11332" t="str">
        <f>"1F6"</f>
        <v>1F6</v>
      </c>
      <c r="L11332" t="s">
        <v>15</v>
      </c>
    </row>
    <row r="11333" spans="1:12" x14ac:dyDescent="0.25">
      <c r="A11333" t="str">
        <f>"8256144853"</f>
        <v>8256144853</v>
      </c>
      <c r="B11333" t="str">
        <f t="shared" si="459"/>
        <v>89301000</v>
      </c>
      <c r="C11333" s="1">
        <v>44302</v>
      </c>
      <c r="D11333" s="1">
        <v>44323</v>
      </c>
      <c r="E11333">
        <v>1</v>
      </c>
      <c r="F11333" t="s">
        <v>7012</v>
      </c>
      <c r="G11333" t="str">
        <f>"19-K06-02"</f>
        <v>19-K06-02</v>
      </c>
      <c r="H11333">
        <v>2.4085000000000001</v>
      </c>
      <c r="I11333" t="s">
        <v>7130</v>
      </c>
      <c r="J11333" t="s">
        <v>27</v>
      </c>
      <c r="K11333" t="str">
        <f>"3F5"</f>
        <v>3F5</v>
      </c>
      <c r="L11333" t="s">
        <v>15</v>
      </c>
    </row>
    <row r="11334" spans="1:12" x14ac:dyDescent="0.25">
      <c r="A11334" t="str">
        <f>"8256235306"</f>
        <v>8256235306</v>
      </c>
      <c r="B11334" t="str">
        <f t="shared" si="459"/>
        <v>89301000</v>
      </c>
      <c r="C11334" s="1">
        <v>44545</v>
      </c>
      <c r="D11334" s="1">
        <v>44548</v>
      </c>
      <c r="E11334">
        <v>1</v>
      </c>
      <c r="F11334" t="s">
        <v>210</v>
      </c>
      <c r="G11334" t="str">
        <f>"08-I14-03"</f>
        <v>08-I14-03</v>
      </c>
      <c r="H11334">
        <v>1.5905</v>
      </c>
      <c r="I11334" t="s">
        <v>381</v>
      </c>
      <c r="J11334" t="s">
        <v>17</v>
      </c>
      <c r="K11334" t="str">
        <f>"5F3"</f>
        <v>5F3</v>
      </c>
      <c r="L11334" t="s">
        <v>15</v>
      </c>
    </row>
    <row r="11335" spans="1:12" x14ac:dyDescent="0.25">
      <c r="A11335" t="str">
        <f>"8256265325"</f>
        <v>8256265325</v>
      </c>
      <c r="B11335" t="str">
        <f t="shared" si="459"/>
        <v>89301000</v>
      </c>
      <c r="C11335" s="1">
        <v>44239</v>
      </c>
      <c r="D11335" s="1">
        <v>44243</v>
      </c>
      <c r="E11335">
        <v>1</v>
      </c>
      <c r="F11335" t="s">
        <v>82</v>
      </c>
      <c r="G11335" t="str">
        <f>"14-I01-05"</f>
        <v>14-I01-05</v>
      </c>
      <c r="H11335">
        <v>0.80030000000000001</v>
      </c>
      <c r="I11335" t="s">
        <v>7524</v>
      </c>
      <c r="J11335" t="s">
        <v>59</v>
      </c>
      <c r="K11335" t="str">
        <f>"6F3"</f>
        <v>6F3</v>
      </c>
      <c r="L11335" t="s">
        <v>15</v>
      </c>
    </row>
    <row r="11336" spans="1:12" x14ac:dyDescent="0.25">
      <c r="A11336" t="str">
        <f>"8256265325"</f>
        <v>8256265325</v>
      </c>
      <c r="B11336" t="str">
        <f t="shared" si="459"/>
        <v>89301000</v>
      </c>
      <c r="C11336" s="1">
        <v>44221</v>
      </c>
      <c r="D11336" s="1">
        <v>44228</v>
      </c>
      <c r="E11336">
        <v>1</v>
      </c>
      <c r="F11336" t="s">
        <v>7525</v>
      </c>
      <c r="G11336" t="str">
        <f>"14-K03-02"</f>
        <v>14-K03-02</v>
      </c>
      <c r="H11336">
        <v>0.2646</v>
      </c>
      <c r="J11336" t="s">
        <v>14</v>
      </c>
      <c r="K11336" t="str">
        <f>"6F3"</f>
        <v>6F3</v>
      </c>
      <c r="L11336" t="s">
        <v>15</v>
      </c>
    </row>
    <row r="11337" spans="1:12" x14ac:dyDescent="0.25">
      <c r="A11337" t="str">
        <f>"8256285774"</f>
        <v>8256285774</v>
      </c>
      <c r="B11337" t="str">
        <f t="shared" si="459"/>
        <v>89301000</v>
      </c>
      <c r="C11337" s="1">
        <v>44403</v>
      </c>
      <c r="D11337" s="1">
        <v>44405</v>
      </c>
      <c r="E11337">
        <v>1</v>
      </c>
      <c r="F11337" t="s">
        <v>2766</v>
      </c>
      <c r="G11337" t="str">
        <f>"08-I15-03"</f>
        <v>08-I15-03</v>
      </c>
      <c r="H11337">
        <v>1.1838</v>
      </c>
      <c r="I11337" t="s">
        <v>410</v>
      </c>
      <c r="J11337" t="s">
        <v>17</v>
      </c>
      <c r="K11337" t="str">
        <f>"5F3"</f>
        <v>5F3</v>
      </c>
      <c r="L11337" t="s">
        <v>15</v>
      </c>
    </row>
    <row r="11338" spans="1:12" x14ac:dyDescent="0.25">
      <c r="A11338" t="str">
        <f>"8257015360"</f>
        <v>8257015360</v>
      </c>
      <c r="B11338" t="str">
        <f t="shared" si="459"/>
        <v>89301000</v>
      </c>
      <c r="C11338" s="1">
        <v>44417</v>
      </c>
      <c r="D11338" s="1">
        <v>44417</v>
      </c>
      <c r="E11338">
        <v>6</v>
      </c>
      <c r="F11338" t="s">
        <v>75</v>
      </c>
      <c r="G11338" t="str">
        <f>"14-M01-05"</f>
        <v>14-M01-05</v>
      </c>
      <c r="H11338">
        <v>0.27289999999999998</v>
      </c>
      <c r="J11338" t="s">
        <v>59</v>
      </c>
      <c r="K11338" t="str">
        <f>"6F3"</f>
        <v>6F3</v>
      </c>
      <c r="L11338" t="s">
        <v>15</v>
      </c>
    </row>
    <row r="11339" spans="1:12" x14ac:dyDescent="0.25">
      <c r="A11339" t="str">
        <f>"8257055345"</f>
        <v>8257055345</v>
      </c>
      <c r="B11339" t="str">
        <f t="shared" si="459"/>
        <v>89301000</v>
      </c>
      <c r="C11339" s="1">
        <v>44369</v>
      </c>
      <c r="D11339" s="1">
        <v>44374</v>
      </c>
      <c r="E11339">
        <v>1</v>
      </c>
      <c r="F11339" t="s">
        <v>75</v>
      </c>
      <c r="G11339" t="str">
        <f>"14-M01-05"</f>
        <v>14-M01-05</v>
      </c>
      <c r="H11339">
        <v>0.54239999999999999</v>
      </c>
      <c r="J11339" t="s">
        <v>59</v>
      </c>
      <c r="K11339" t="str">
        <f>"6F3"</f>
        <v>6F3</v>
      </c>
      <c r="L11339" t="s">
        <v>15</v>
      </c>
    </row>
    <row r="11340" spans="1:12" x14ac:dyDescent="0.25">
      <c r="A11340" t="str">
        <f>"8257128011"</f>
        <v>8257128011</v>
      </c>
      <c r="B11340" t="str">
        <f t="shared" si="459"/>
        <v>89301000</v>
      </c>
      <c r="C11340" s="1">
        <v>44510</v>
      </c>
      <c r="D11340" s="1">
        <v>44511</v>
      </c>
      <c r="E11340">
        <v>1</v>
      </c>
      <c r="F11340" t="s">
        <v>75</v>
      </c>
      <c r="G11340" t="str">
        <f>"14-M01-05"</f>
        <v>14-M01-05</v>
      </c>
      <c r="H11340">
        <v>0.54239999999999999</v>
      </c>
      <c r="I11340" t="s">
        <v>7526</v>
      </c>
      <c r="J11340" t="s">
        <v>59</v>
      </c>
      <c r="K11340" t="str">
        <f>"6F3"</f>
        <v>6F3</v>
      </c>
      <c r="L11340" t="s">
        <v>15</v>
      </c>
    </row>
    <row r="11341" spans="1:12" x14ac:dyDescent="0.25">
      <c r="A11341" t="str">
        <f>"8257155335"</f>
        <v>8257155335</v>
      </c>
      <c r="B11341" t="str">
        <f t="shared" si="459"/>
        <v>89301000</v>
      </c>
      <c r="C11341" s="1">
        <v>44217</v>
      </c>
      <c r="D11341" s="1">
        <v>44219</v>
      </c>
      <c r="E11341">
        <v>1</v>
      </c>
      <c r="F11341" t="s">
        <v>2896</v>
      </c>
      <c r="G11341" t="str">
        <f>"09-I06-04"</f>
        <v>09-I06-04</v>
      </c>
      <c r="H11341">
        <v>0.98829999999999996</v>
      </c>
      <c r="J11341" t="s">
        <v>17</v>
      </c>
      <c r="K11341" t="str">
        <f>"5F1"</f>
        <v>5F1</v>
      </c>
      <c r="L11341" t="s">
        <v>15</v>
      </c>
    </row>
    <row r="11342" spans="1:12" x14ac:dyDescent="0.25">
      <c r="A11342" t="str">
        <f>"8257165356"</f>
        <v>8257165356</v>
      </c>
      <c r="B11342" t="str">
        <f t="shared" si="459"/>
        <v>89301000</v>
      </c>
      <c r="C11342" s="1">
        <v>44490</v>
      </c>
      <c r="D11342" s="1">
        <v>44491</v>
      </c>
      <c r="E11342">
        <v>1</v>
      </c>
      <c r="F11342" t="s">
        <v>84</v>
      </c>
      <c r="G11342" t="str">
        <f>"09-I09-05"</f>
        <v>09-I09-05</v>
      </c>
      <c r="H11342">
        <v>0.47210000000000002</v>
      </c>
      <c r="J11342" t="s">
        <v>17</v>
      </c>
      <c r="K11342" t="str">
        <f>"5F1"</f>
        <v>5F1</v>
      </c>
      <c r="L11342" t="s">
        <v>15</v>
      </c>
    </row>
    <row r="11343" spans="1:12" x14ac:dyDescent="0.25">
      <c r="A11343" t="str">
        <f>"8257225306"</f>
        <v>8257225306</v>
      </c>
      <c r="B11343" t="str">
        <f t="shared" si="459"/>
        <v>89301000</v>
      </c>
      <c r="C11343" s="1">
        <v>44404</v>
      </c>
      <c r="D11343" s="1">
        <v>44406</v>
      </c>
      <c r="E11343">
        <v>1</v>
      </c>
      <c r="F11343" t="s">
        <v>631</v>
      </c>
      <c r="G11343" t="str">
        <f>"06-I18-05"</f>
        <v>06-I18-05</v>
      </c>
      <c r="H11343">
        <v>0.85550000000000004</v>
      </c>
      <c r="I11343" t="s">
        <v>489</v>
      </c>
      <c r="J11343" t="s">
        <v>24</v>
      </c>
      <c r="K11343" t="str">
        <f>"5F1"</f>
        <v>5F1</v>
      </c>
      <c r="L11343" t="s">
        <v>15</v>
      </c>
    </row>
    <row r="11344" spans="1:12" x14ac:dyDescent="0.25">
      <c r="A11344" t="str">
        <f>"8257234480"</f>
        <v>8257234480</v>
      </c>
      <c r="B11344" t="str">
        <f t="shared" si="459"/>
        <v>89301000</v>
      </c>
      <c r="C11344" s="1">
        <v>44353</v>
      </c>
      <c r="D11344" s="1">
        <v>44359</v>
      </c>
      <c r="E11344">
        <v>1</v>
      </c>
      <c r="F11344" t="s">
        <v>2089</v>
      </c>
      <c r="G11344" t="str">
        <f>"08-I03-04"</f>
        <v>08-I03-04</v>
      </c>
      <c r="H11344">
        <v>4.8169000000000004</v>
      </c>
      <c r="I11344" t="s">
        <v>3940</v>
      </c>
      <c r="J11344" t="s">
        <v>17</v>
      </c>
      <c r="K11344" t="str">
        <f>"5F6"</f>
        <v>5F6</v>
      </c>
      <c r="L11344" t="s">
        <v>15</v>
      </c>
    </row>
    <row r="11345" spans="1:12" x14ac:dyDescent="0.25">
      <c r="A11345" t="str">
        <f>"8257274498"</f>
        <v>8257274498</v>
      </c>
      <c r="B11345" t="str">
        <f t="shared" si="459"/>
        <v>89301000</v>
      </c>
      <c r="C11345" s="1">
        <v>44230</v>
      </c>
      <c r="D11345" s="1">
        <v>44235</v>
      </c>
      <c r="E11345">
        <v>1</v>
      </c>
      <c r="F11345" t="s">
        <v>75</v>
      </c>
      <c r="G11345" t="str">
        <f>"14-M01-05"</f>
        <v>14-M01-05</v>
      </c>
      <c r="H11345">
        <v>0.54239999999999999</v>
      </c>
      <c r="I11345" t="s">
        <v>118</v>
      </c>
      <c r="J11345" t="s">
        <v>59</v>
      </c>
      <c r="K11345" t="str">
        <f>"6F3"</f>
        <v>6F3</v>
      </c>
      <c r="L11345" t="s">
        <v>15</v>
      </c>
    </row>
    <row r="11346" spans="1:12" x14ac:dyDescent="0.25">
      <c r="A11346" t="str">
        <f>"8257284486"</f>
        <v>8257284486</v>
      </c>
      <c r="B11346" t="str">
        <f t="shared" si="459"/>
        <v>89301000</v>
      </c>
      <c r="C11346" s="1">
        <v>44259</v>
      </c>
      <c r="D11346" s="1">
        <v>44261</v>
      </c>
      <c r="E11346">
        <v>1</v>
      </c>
      <c r="F11346" t="s">
        <v>1132</v>
      </c>
      <c r="G11346" t="str">
        <f>"23-K04-02"</f>
        <v>23-K04-02</v>
      </c>
      <c r="H11346">
        <v>0.38690000000000002</v>
      </c>
      <c r="I11346" t="s">
        <v>3457</v>
      </c>
      <c r="J11346" t="s">
        <v>14</v>
      </c>
      <c r="K11346" t="str">
        <f>"2F9"</f>
        <v>2F9</v>
      </c>
      <c r="L11346" t="s">
        <v>15</v>
      </c>
    </row>
    <row r="11347" spans="1:12" x14ac:dyDescent="0.25">
      <c r="A11347" t="str">
        <f>"8257294463"</f>
        <v>8257294463</v>
      </c>
      <c r="B11347" t="str">
        <f t="shared" si="459"/>
        <v>89301000</v>
      </c>
      <c r="C11347" s="1">
        <v>44214</v>
      </c>
      <c r="D11347" s="1">
        <v>44216</v>
      </c>
      <c r="E11347">
        <v>1</v>
      </c>
      <c r="F11347" t="s">
        <v>6775</v>
      </c>
      <c r="G11347" t="str">
        <f>"08-I26-03"</f>
        <v>08-I26-03</v>
      </c>
      <c r="H11347">
        <v>0.45679999999999998</v>
      </c>
      <c r="J11347" t="s">
        <v>14</v>
      </c>
      <c r="K11347" t="str">
        <f>"6F6"</f>
        <v>6F6</v>
      </c>
      <c r="L11347" t="s">
        <v>15</v>
      </c>
    </row>
    <row r="11348" spans="1:12" x14ac:dyDescent="0.25">
      <c r="A11348" t="str">
        <f>"8257295321"</f>
        <v>8257295321</v>
      </c>
      <c r="B11348" t="str">
        <f t="shared" si="459"/>
        <v>89301000</v>
      </c>
      <c r="C11348" s="1">
        <v>44543</v>
      </c>
      <c r="D11348" s="1">
        <v>44553</v>
      </c>
      <c r="E11348">
        <v>1</v>
      </c>
      <c r="F11348" t="s">
        <v>60</v>
      </c>
      <c r="G11348" t="str">
        <f>"14-K03-02"</f>
        <v>14-K03-02</v>
      </c>
      <c r="H11348">
        <v>0.38340000000000002</v>
      </c>
      <c r="J11348" t="s">
        <v>14</v>
      </c>
      <c r="K11348" t="str">
        <f>"6F3"</f>
        <v>6F3</v>
      </c>
      <c r="L11348" t="s">
        <v>15</v>
      </c>
    </row>
    <row r="11349" spans="1:12" x14ac:dyDescent="0.25">
      <c r="A11349" t="str">
        <f>"8257315484"</f>
        <v>8257315484</v>
      </c>
      <c r="B11349" t="str">
        <f t="shared" si="459"/>
        <v>89301000</v>
      </c>
      <c r="C11349" s="1">
        <v>44205</v>
      </c>
      <c r="D11349" s="1">
        <v>44209</v>
      </c>
      <c r="E11349">
        <v>1</v>
      </c>
      <c r="F11349" t="s">
        <v>75</v>
      </c>
      <c r="G11349" t="str">
        <f>"14-M01-05"</f>
        <v>14-M01-05</v>
      </c>
      <c r="H11349">
        <v>0.54239999999999999</v>
      </c>
      <c r="I11349" t="s">
        <v>7527</v>
      </c>
      <c r="J11349" t="s">
        <v>59</v>
      </c>
      <c r="K11349" t="str">
        <f>"6F3"</f>
        <v>6F3</v>
      </c>
      <c r="L11349" t="s">
        <v>15</v>
      </c>
    </row>
    <row r="11350" spans="1:12" x14ac:dyDescent="0.25">
      <c r="A11350" t="str">
        <f>"8258015788"</f>
        <v>8258015788</v>
      </c>
      <c r="B11350" t="str">
        <f t="shared" si="459"/>
        <v>89301000</v>
      </c>
      <c r="C11350" s="1">
        <v>44206</v>
      </c>
      <c r="D11350" s="1">
        <v>44208</v>
      </c>
      <c r="E11350">
        <v>1</v>
      </c>
      <c r="F11350" t="s">
        <v>212</v>
      </c>
      <c r="G11350" t="str">
        <f>"08-M03-04"</f>
        <v>08-M03-04</v>
      </c>
      <c r="H11350">
        <v>0.8609</v>
      </c>
      <c r="J11350" t="s">
        <v>14</v>
      </c>
      <c r="K11350" t="str">
        <f>"6F6"</f>
        <v>6F6</v>
      </c>
      <c r="L11350" t="s">
        <v>15</v>
      </c>
    </row>
    <row r="11351" spans="1:12" x14ac:dyDescent="0.25">
      <c r="A11351" t="str">
        <f>"8258045334"</f>
        <v>8258045334</v>
      </c>
      <c r="B11351" t="str">
        <f t="shared" si="459"/>
        <v>89301000</v>
      </c>
      <c r="C11351" s="1">
        <v>44405</v>
      </c>
      <c r="D11351" s="1">
        <v>44410</v>
      </c>
      <c r="E11351">
        <v>1</v>
      </c>
      <c r="F11351" t="s">
        <v>96</v>
      </c>
      <c r="G11351" t="str">
        <f>"11-K01-03"</f>
        <v>11-K01-03</v>
      </c>
      <c r="H11351">
        <v>0.59489999999999998</v>
      </c>
      <c r="I11351" t="s">
        <v>7528</v>
      </c>
      <c r="J11351" t="s">
        <v>14</v>
      </c>
      <c r="K11351" t="str">
        <f>"1F1"</f>
        <v>1F1</v>
      </c>
      <c r="L11351" t="s">
        <v>15</v>
      </c>
    </row>
    <row r="11352" spans="1:12" x14ac:dyDescent="0.25">
      <c r="A11352" t="str">
        <f>"8258114469"</f>
        <v>8258114469</v>
      </c>
      <c r="B11352" t="str">
        <f t="shared" si="459"/>
        <v>89301000</v>
      </c>
      <c r="C11352" s="1">
        <v>44406</v>
      </c>
      <c r="D11352" s="1">
        <v>44407</v>
      </c>
      <c r="E11352">
        <v>1</v>
      </c>
      <c r="F11352" t="s">
        <v>75</v>
      </c>
      <c r="G11352" t="str">
        <f>"14-M01-05"</f>
        <v>14-M01-05</v>
      </c>
      <c r="H11352">
        <v>0.54239999999999999</v>
      </c>
      <c r="I11352" t="s">
        <v>7420</v>
      </c>
      <c r="J11352" t="s">
        <v>59</v>
      </c>
      <c r="K11352" t="str">
        <f>"6F3"</f>
        <v>6F3</v>
      </c>
      <c r="L11352" t="s">
        <v>15</v>
      </c>
    </row>
    <row r="11353" spans="1:12" x14ac:dyDescent="0.25">
      <c r="A11353" t="str">
        <f>"8258115305"</f>
        <v>8258115305</v>
      </c>
      <c r="B11353" t="str">
        <f t="shared" si="459"/>
        <v>89301000</v>
      </c>
      <c r="C11353" s="1">
        <v>44444</v>
      </c>
      <c r="D11353" s="1">
        <v>44448</v>
      </c>
      <c r="E11353">
        <v>1</v>
      </c>
      <c r="F11353" t="s">
        <v>18</v>
      </c>
      <c r="G11353" t="str">
        <f>"11-I10-01"</f>
        <v>11-I10-01</v>
      </c>
      <c r="H11353">
        <v>2.8389000000000002</v>
      </c>
      <c r="J11353" t="s">
        <v>14</v>
      </c>
      <c r="K11353" t="str">
        <f>"7F6"</f>
        <v>7F6</v>
      </c>
      <c r="L11353" t="s">
        <v>15</v>
      </c>
    </row>
    <row r="11354" spans="1:12" x14ac:dyDescent="0.25">
      <c r="A11354" t="str">
        <f>"8258145181"</f>
        <v>8258145181</v>
      </c>
      <c r="B11354" t="str">
        <f t="shared" si="459"/>
        <v>89301000</v>
      </c>
      <c r="C11354" s="1">
        <v>44257</v>
      </c>
      <c r="D11354" s="1">
        <v>44260</v>
      </c>
      <c r="E11354">
        <v>1</v>
      </c>
      <c r="F11354" t="s">
        <v>75</v>
      </c>
      <c r="G11354" t="str">
        <f>"14-M01-05"</f>
        <v>14-M01-05</v>
      </c>
      <c r="H11354">
        <v>0.54239999999999999</v>
      </c>
      <c r="I11354" t="s">
        <v>7420</v>
      </c>
      <c r="J11354" t="s">
        <v>59</v>
      </c>
      <c r="K11354" t="str">
        <f>"6F3"</f>
        <v>6F3</v>
      </c>
      <c r="L11354" t="s">
        <v>15</v>
      </c>
    </row>
    <row r="11355" spans="1:12" x14ac:dyDescent="0.25">
      <c r="A11355" t="str">
        <f>"8258175354"</f>
        <v>8258175354</v>
      </c>
      <c r="B11355" t="str">
        <f t="shared" si="459"/>
        <v>89301000</v>
      </c>
      <c r="C11355" s="1">
        <v>44271</v>
      </c>
      <c r="D11355" s="1">
        <v>44277</v>
      </c>
      <c r="E11355">
        <v>1</v>
      </c>
      <c r="F11355" t="s">
        <v>1553</v>
      </c>
      <c r="G11355" t="str">
        <f>"04-K05-03"</f>
        <v>04-K05-03</v>
      </c>
      <c r="H11355">
        <v>0.74980000000000002</v>
      </c>
      <c r="I11355" t="s">
        <v>7529</v>
      </c>
      <c r="J11355" t="s">
        <v>14</v>
      </c>
      <c r="K11355" t="str">
        <f>"1F5"</f>
        <v>1F5</v>
      </c>
      <c r="L11355" t="s">
        <v>15</v>
      </c>
    </row>
    <row r="11356" spans="1:12" x14ac:dyDescent="0.25">
      <c r="A11356" t="str">
        <f>"8258195704"</f>
        <v>8258195704</v>
      </c>
      <c r="B11356" t="str">
        <f t="shared" si="459"/>
        <v>89301000</v>
      </c>
      <c r="C11356" s="1">
        <v>44284</v>
      </c>
      <c r="D11356" s="1">
        <v>44288</v>
      </c>
      <c r="E11356">
        <v>1</v>
      </c>
      <c r="F11356" t="s">
        <v>61</v>
      </c>
      <c r="G11356" t="str">
        <f>"14-I01-05"</f>
        <v>14-I01-05</v>
      </c>
      <c r="H11356">
        <v>0.80030000000000001</v>
      </c>
      <c r="I11356" t="s">
        <v>91</v>
      </c>
      <c r="J11356" t="s">
        <v>59</v>
      </c>
      <c r="K11356" t="str">
        <f>"6F3"</f>
        <v>6F3</v>
      </c>
      <c r="L11356" t="s">
        <v>15</v>
      </c>
    </row>
    <row r="11357" spans="1:12" x14ac:dyDescent="0.25">
      <c r="A11357" t="str">
        <f>"8259015358"</f>
        <v>8259015358</v>
      </c>
      <c r="B11357" t="str">
        <f t="shared" si="459"/>
        <v>89301000</v>
      </c>
      <c r="C11357" s="1">
        <v>44285</v>
      </c>
      <c r="D11357" s="1">
        <v>44288</v>
      </c>
      <c r="E11357">
        <v>1</v>
      </c>
      <c r="F11357" t="s">
        <v>2527</v>
      </c>
      <c r="G11357" t="str">
        <f>"13-I14-03"</f>
        <v>13-I14-03</v>
      </c>
      <c r="H11357">
        <v>0.83199999999999996</v>
      </c>
      <c r="J11357" t="s">
        <v>24</v>
      </c>
      <c r="K11357" t="str">
        <f>"6F3"</f>
        <v>6F3</v>
      </c>
      <c r="L11357" t="s">
        <v>15</v>
      </c>
    </row>
    <row r="11358" spans="1:12" x14ac:dyDescent="0.25">
      <c r="A11358" t="str">
        <f>"8259035312"</f>
        <v>8259035312</v>
      </c>
      <c r="B11358" t="str">
        <f t="shared" si="459"/>
        <v>89301000</v>
      </c>
      <c r="C11358" s="1">
        <v>44459</v>
      </c>
      <c r="D11358" s="1">
        <v>44461</v>
      </c>
      <c r="E11358">
        <v>1</v>
      </c>
      <c r="F11358" t="s">
        <v>4382</v>
      </c>
      <c r="G11358" t="str">
        <f>"05-I30-01"</f>
        <v>05-I30-01</v>
      </c>
      <c r="H11358">
        <v>0.64139999999999997</v>
      </c>
      <c r="J11358" t="s">
        <v>14</v>
      </c>
      <c r="K11358" t="str">
        <f>"5F1"</f>
        <v>5F1</v>
      </c>
      <c r="L11358" t="s">
        <v>15</v>
      </c>
    </row>
    <row r="11359" spans="1:12" x14ac:dyDescent="0.25">
      <c r="A11359" t="str">
        <f>"8259065122"</f>
        <v>8259065122</v>
      </c>
      <c r="B11359" t="str">
        <f t="shared" si="459"/>
        <v>89301000</v>
      </c>
      <c r="C11359" s="1">
        <v>44460</v>
      </c>
      <c r="D11359" s="1">
        <v>44462</v>
      </c>
      <c r="E11359">
        <v>1</v>
      </c>
      <c r="F11359" t="s">
        <v>71</v>
      </c>
      <c r="G11359" t="str">
        <f>"08-M03-06"</f>
        <v>08-M03-06</v>
      </c>
      <c r="H11359">
        <v>0.41899999999999998</v>
      </c>
      <c r="I11359" t="s">
        <v>5538</v>
      </c>
      <c r="J11359" t="s">
        <v>14</v>
      </c>
      <c r="K11359" t="str">
        <f>"6F6"</f>
        <v>6F6</v>
      </c>
      <c r="L11359" t="s">
        <v>15</v>
      </c>
    </row>
    <row r="11360" spans="1:12" x14ac:dyDescent="0.25">
      <c r="A11360" t="str">
        <f>"8259095328"</f>
        <v>8259095328</v>
      </c>
      <c r="B11360" t="str">
        <f t="shared" ref="B11360:B11422" si="460">"89301000"</f>
        <v>89301000</v>
      </c>
      <c r="C11360" s="1">
        <v>44531</v>
      </c>
      <c r="D11360" s="1">
        <v>44534</v>
      </c>
      <c r="E11360">
        <v>1</v>
      </c>
      <c r="F11360" t="s">
        <v>75</v>
      </c>
      <c r="G11360" t="str">
        <f>"14-M01-05"</f>
        <v>14-M01-05</v>
      </c>
      <c r="H11360">
        <v>0.54239999999999999</v>
      </c>
      <c r="I11360" t="s">
        <v>256</v>
      </c>
      <c r="J11360" t="s">
        <v>59</v>
      </c>
      <c r="K11360" t="str">
        <f>"6F3"</f>
        <v>6F3</v>
      </c>
      <c r="L11360" t="s">
        <v>15</v>
      </c>
    </row>
    <row r="11361" spans="1:12" x14ac:dyDescent="0.25">
      <c r="A11361" t="str">
        <f>"8259125699"</f>
        <v>8259125699</v>
      </c>
      <c r="B11361" t="str">
        <f t="shared" si="460"/>
        <v>89301000</v>
      </c>
      <c r="C11361" s="1">
        <v>44227</v>
      </c>
      <c r="D11361" s="1">
        <v>44230</v>
      </c>
      <c r="E11361">
        <v>1</v>
      </c>
      <c r="F11361" t="s">
        <v>112</v>
      </c>
      <c r="G11361" t="str">
        <f>"14-M01-02"</f>
        <v>14-M01-02</v>
      </c>
      <c r="H11361">
        <v>0.74450000000000005</v>
      </c>
      <c r="I11361" t="s">
        <v>7530</v>
      </c>
      <c r="J11361" t="s">
        <v>59</v>
      </c>
      <c r="K11361" t="str">
        <f>"6F3"</f>
        <v>6F3</v>
      </c>
      <c r="L11361" t="s">
        <v>15</v>
      </c>
    </row>
    <row r="11362" spans="1:12" x14ac:dyDescent="0.25">
      <c r="A11362" t="str">
        <f>"8259195318"</f>
        <v>8259195318</v>
      </c>
      <c r="B11362" t="str">
        <f t="shared" si="460"/>
        <v>89301000</v>
      </c>
      <c r="C11362" s="1">
        <v>44546</v>
      </c>
      <c r="D11362" s="1">
        <v>44553</v>
      </c>
      <c r="E11362">
        <v>1</v>
      </c>
      <c r="F11362" t="s">
        <v>81</v>
      </c>
      <c r="G11362" t="str">
        <f>"10-I13-02"</f>
        <v>10-I13-02</v>
      </c>
      <c r="H11362">
        <v>1.1751</v>
      </c>
      <c r="I11362" t="s">
        <v>7531</v>
      </c>
      <c r="J11362" t="s">
        <v>24</v>
      </c>
      <c r="K11362" t="str">
        <f>"7F1"</f>
        <v>7F1</v>
      </c>
      <c r="L11362" t="s">
        <v>15</v>
      </c>
    </row>
    <row r="11363" spans="1:12" x14ac:dyDescent="0.25">
      <c r="A11363" t="str">
        <f>"8259284649"</f>
        <v>8259284649</v>
      </c>
      <c r="B11363" t="str">
        <f t="shared" si="460"/>
        <v>89301000</v>
      </c>
      <c r="C11363" s="1">
        <v>44336</v>
      </c>
      <c r="D11363" s="1">
        <v>44339</v>
      </c>
      <c r="E11363">
        <v>1</v>
      </c>
      <c r="F11363" t="s">
        <v>544</v>
      </c>
      <c r="G11363" t="str">
        <f>"09-K02-00"</f>
        <v>09-K02-00</v>
      </c>
      <c r="H11363">
        <v>1.1361000000000001</v>
      </c>
      <c r="J11363" t="s">
        <v>14</v>
      </c>
      <c r="K11363" t="str">
        <f>"4F4"</f>
        <v>4F4</v>
      </c>
      <c r="L11363" t="s">
        <v>15</v>
      </c>
    </row>
    <row r="11364" spans="1:12" x14ac:dyDescent="0.25">
      <c r="A11364" t="str">
        <f>"8260021121"</f>
        <v>8260021121</v>
      </c>
      <c r="B11364" t="str">
        <f t="shared" si="460"/>
        <v>89301000</v>
      </c>
      <c r="C11364" s="1">
        <v>44326</v>
      </c>
      <c r="D11364" s="1">
        <v>44334</v>
      </c>
      <c r="E11364">
        <v>1</v>
      </c>
      <c r="F11364" t="s">
        <v>4145</v>
      </c>
      <c r="G11364" t="str">
        <f>"04-I03-03"</f>
        <v>04-I03-03</v>
      </c>
      <c r="H11364">
        <v>2.6869000000000001</v>
      </c>
      <c r="I11364" t="s">
        <v>3316</v>
      </c>
      <c r="J11364" t="s">
        <v>106</v>
      </c>
      <c r="K11364" t="str">
        <f>"5F1"</f>
        <v>5F1</v>
      </c>
      <c r="L11364" t="s">
        <v>15</v>
      </c>
    </row>
    <row r="11365" spans="1:12" x14ac:dyDescent="0.25">
      <c r="A11365" t="str">
        <f>"8260035311"</f>
        <v>8260035311</v>
      </c>
      <c r="B11365" t="str">
        <f t="shared" si="460"/>
        <v>89301000</v>
      </c>
      <c r="C11365" s="1">
        <v>44510</v>
      </c>
      <c r="D11365" s="1">
        <v>44511</v>
      </c>
      <c r="E11365">
        <v>6</v>
      </c>
      <c r="F11365" t="s">
        <v>5126</v>
      </c>
      <c r="G11365" t="str">
        <f>"13-I19-00"</f>
        <v>13-I19-00</v>
      </c>
      <c r="H11365">
        <v>0.24679999999999999</v>
      </c>
      <c r="J11365" t="s">
        <v>14</v>
      </c>
      <c r="K11365" t="str">
        <f>"6F3"</f>
        <v>6F3</v>
      </c>
      <c r="L11365" t="s">
        <v>15</v>
      </c>
    </row>
    <row r="11366" spans="1:12" x14ac:dyDescent="0.25">
      <c r="A11366" t="str">
        <f>"8260045365"</f>
        <v>8260045365</v>
      </c>
      <c r="B11366" t="str">
        <f t="shared" si="460"/>
        <v>89301000</v>
      </c>
      <c r="C11366" s="1">
        <v>44316</v>
      </c>
      <c r="D11366" s="1">
        <v>44319</v>
      </c>
      <c r="E11366">
        <v>1</v>
      </c>
      <c r="F11366" t="s">
        <v>75</v>
      </c>
      <c r="G11366" t="str">
        <f>"14-M01-05"</f>
        <v>14-M01-05</v>
      </c>
      <c r="H11366">
        <v>0.54239999999999999</v>
      </c>
      <c r="J11366" t="s">
        <v>59</v>
      </c>
      <c r="K11366" t="str">
        <f>"6F3"</f>
        <v>6F3</v>
      </c>
      <c r="L11366" t="s">
        <v>15</v>
      </c>
    </row>
    <row r="11367" spans="1:12" x14ac:dyDescent="0.25">
      <c r="A11367" t="str">
        <f>"8260174120"</f>
        <v>8260174120</v>
      </c>
      <c r="B11367" t="str">
        <f t="shared" si="460"/>
        <v>89301000</v>
      </c>
      <c r="C11367" s="1">
        <v>44353</v>
      </c>
      <c r="D11367" s="1">
        <v>44355</v>
      </c>
      <c r="E11367">
        <v>1</v>
      </c>
      <c r="F11367" t="s">
        <v>91</v>
      </c>
      <c r="G11367" t="str">
        <f>"14-K03-02"</f>
        <v>14-K03-02</v>
      </c>
      <c r="H11367">
        <v>0.2646</v>
      </c>
      <c r="I11367" t="s">
        <v>543</v>
      </c>
      <c r="J11367" t="s">
        <v>14</v>
      </c>
      <c r="K11367" t="str">
        <f>"6F3"</f>
        <v>6F3</v>
      </c>
      <c r="L11367" t="s">
        <v>15</v>
      </c>
    </row>
    <row r="11368" spans="1:12" x14ac:dyDescent="0.25">
      <c r="A11368" t="str">
        <f>"8260174120"</f>
        <v>8260174120</v>
      </c>
      <c r="B11368" t="str">
        <f t="shared" si="460"/>
        <v>89301000</v>
      </c>
      <c r="C11368" s="1">
        <v>44522</v>
      </c>
      <c r="D11368" s="1">
        <v>44527</v>
      </c>
      <c r="E11368">
        <v>1</v>
      </c>
      <c r="F11368" t="s">
        <v>75</v>
      </c>
      <c r="G11368" t="str">
        <f>"14-M01-05"</f>
        <v>14-M01-05</v>
      </c>
      <c r="H11368">
        <v>0.54239999999999999</v>
      </c>
      <c r="I11368" t="s">
        <v>7532</v>
      </c>
      <c r="J11368" t="s">
        <v>59</v>
      </c>
      <c r="K11368" t="str">
        <f>"6F3"</f>
        <v>6F3</v>
      </c>
      <c r="L11368" t="s">
        <v>15</v>
      </c>
    </row>
    <row r="11369" spans="1:12" x14ac:dyDescent="0.25">
      <c r="A11369" t="str">
        <f>"8261205304"</f>
        <v>8261205304</v>
      </c>
      <c r="B11369" t="str">
        <f t="shared" si="460"/>
        <v>89301000</v>
      </c>
      <c r="C11369" s="1">
        <v>44275</v>
      </c>
      <c r="D11369" s="1">
        <v>44299</v>
      </c>
      <c r="E11369">
        <v>1</v>
      </c>
      <c r="F11369" t="s">
        <v>217</v>
      </c>
      <c r="G11369" t="str">
        <f>"00-M02-04"</f>
        <v>00-M02-04</v>
      </c>
      <c r="H11369">
        <v>12.071199999999999</v>
      </c>
      <c r="I11369" t="s">
        <v>7533</v>
      </c>
      <c r="J11369" t="s">
        <v>14</v>
      </c>
      <c r="K11369" t="str">
        <f>"2F5"</f>
        <v>2F5</v>
      </c>
      <c r="L11369" t="s">
        <v>15</v>
      </c>
    </row>
    <row r="11370" spans="1:12" x14ac:dyDescent="0.25">
      <c r="A11370" t="str">
        <f>"8261255310"</f>
        <v>8261255310</v>
      </c>
      <c r="B11370" t="str">
        <f t="shared" si="460"/>
        <v>89301000</v>
      </c>
      <c r="C11370" s="1">
        <v>44446</v>
      </c>
      <c r="D11370" s="1">
        <v>44449</v>
      </c>
      <c r="E11370">
        <v>1</v>
      </c>
      <c r="F11370" t="s">
        <v>7534</v>
      </c>
      <c r="G11370" t="str">
        <f>"09-K02-00"</f>
        <v>09-K02-00</v>
      </c>
      <c r="H11370">
        <v>1.1361000000000001</v>
      </c>
      <c r="J11370" t="s">
        <v>14</v>
      </c>
      <c r="K11370" t="str">
        <f>"4F4"</f>
        <v>4F4</v>
      </c>
      <c r="L11370" t="s">
        <v>15</v>
      </c>
    </row>
    <row r="11371" spans="1:12" x14ac:dyDescent="0.25">
      <c r="A11371" t="str">
        <f>"8262035342"</f>
        <v>8262035342</v>
      </c>
      <c r="B11371" t="str">
        <f t="shared" si="460"/>
        <v>89301000</v>
      </c>
      <c r="C11371" s="1">
        <v>44345</v>
      </c>
      <c r="D11371" s="1">
        <v>44349</v>
      </c>
      <c r="E11371">
        <v>1</v>
      </c>
      <c r="F11371" t="s">
        <v>75</v>
      </c>
      <c r="G11371" t="str">
        <f>"14-M01-05"</f>
        <v>14-M01-05</v>
      </c>
      <c r="H11371">
        <v>0.54239999999999999</v>
      </c>
      <c r="I11371" t="s">
        <v>76</v>
      </c>
      <c r="J11371" t="s">
        <v>59</v>
      </c>
      <c r="K11371" t="str">
        <f>"6F3"</f>
        <v>6F3</v>
      </c>
      <c r="L11371" t="s">
        <v>15</v>
      </c>
    </row>
    <row r="11372" spans="1:12" x14ac:dyDescent="0.25">
      <c r="A11372" t="str">
        <f>"8262055120"</f>
        <v>8262055120</v>
      </c>
      <c r="B11372" t="str">
        <f t="shared" si="460"/>
        <v>89301000</v>
      </c>
      <c r="C11372" s="1">
        <v>44536</v>
      </c>
      <c r="D11372" s="1">
        <v>44538</v>
      </c>
      <c r="E11372">
        <v>1</v>
      </c>
      <c r="F11372" t="s">
        <v>75</v>
      </c>
      <c r="G11372" t="str">
        <f>"14-M01-05"</f>
        <v>14-M01-05</v>
      </c>
      <c r="H11372">
        <v>0.54239999999999999</v>
      </c>
      <c r="I11372" t="s">
        <v>180</v>
      </c>
      <c r="J11372" t="s">
        <v>59</v>
      </c>
      <c r="K11372" t="str">
        <f>"6F3"</f>
        <v>6F3</v>
      </c>
      <c r="L11372" t="s">
        <v>15</v>
      </c>
    </row>
    <row r="11373" spans="1:12" x14ac:dyDescent="0.25">
      <c r="A11373" t="str">
        <f>"8262055307"</f>
        <v>8262055307</v>
      </c>
      <c r="B11373" t="str">
        <f t="shared" si="460"/>
        <v>89301000</v>
      </c>
      <c r="C11373" s="1">
        <v>44529</v>
      </c>
      <c r="D11373" s="1">
        <v>44534</v>
      </c>
      <c r="E11373">
        <v>1</v>
      </c>
      <c r="F11373" t="s">
        <v>43</v>
      </c>
      <c r="G11373" t="str">
        <f>"06-I18-03"</f>
        <v>06-I18-03</v>
      </c>
      <c r="H11373">
        <v>1.4075</v>
      </c>
      <c r="I11373" t="s">
        <v>7535</v>
      </c>
      <c r="J11373" t="s">
        <v>24</v>
      </c>
      <c r="K11373" t="str">
        <f>"5F1"</f>
        <v>5F1</v>
      </c>
      <c r="L11373" t="s">
        <v>15</v>
      </c>
    </row>
    <row r="11374" spans="1:12" x14ac:dyDescent="0.25">
      <c r="A11374" t="str">
        <f>"8262175768"</f>
        <v>8262175768</v>
      </c>
      <c r="B11374" t="str">
        <f t="shared" si="460"/>
        <v>89301000</v>
      </c>
      <c r="C11374" s="1">
        <v>44518</v>
      </c>
      <c r="D11374" s="1">
        <v>44522</v>
      </c>
      <c r="E11374">
        <v>1</v>
      </c>
      <c r="F11374" t="s">
        <v>689</v>
      </c>
      <c r="G11374" t="str">
        <f>"03-I14-02"</f>
        <v>03-I14-02</v>
      </c>
      <c r="H11374">
        <v>1.1086</v>
      </c>
      <c r="I11374" t="s">
        <v>7536</v>
      </c>
      <c r="J11374" t="s">
        <v>14</v>
      </c>
      <c r="K11374" t="str">
        <f>"7F1"</f>
        <v>7F1</v>
      </c>
      <c r="L11374" t="s">
        <v>15</v>
      </c>
    </row>
    <row r="11375" spans="1:12" x14ac:dyDescent="0.25">
      <c r="A11375" t="str">
        <f>"8262195766"</f>
        <v>8262195766</v>
      </c>
      <c r="B11375" t="str">
        <f t="shared" si="460"/>
        <v>89301000</v>
      </c>
      <c r="C11375" s="1">
        <v>44203</v>
      </c>
      <c r="D11375" s="1">
        <v>44215</v>
      </c>
      <c r="E11375">
        <v>1</v>
      </c>
      <c r="F11375" t="s">
        <v>152</v>
      </c>
      <c r="G11375" t="str">
        <f>"19-K03-03"</f>
        <v>19-K03-03</v>
      </c>
      <c r="H11375">
        <v>0.93169999999999997</v>
      </c>
      <c r="I11375" t="s">
        <v>7537</v>
      </c>
      <c r="J11375" t="s">
        <v>27</v>
      </c>
      <c r="K11375" t="str">
        <f>"3F5"</f>
        <v>3F5</v>
      </c>
      <c r="L11375" t="s">
        <v>15</v>
      </c>
    </row>
    <row r="11376" spans="1:12" x14ac:dyDescent="0.25">
      <c r="A11376" t="str">
        <f>"8262284844"</f>
        <v>8262284844</v>
      </c>
      <c r="B11376" t="str">
        <f t="shared" si="460"/>
        <v>89301000</v>
      </c>
      <c r="C11376" s="1">
        <v>44501</v>
      </c>
      <c r="D11376" s="1">
        <v>44525</v>
      </c>
      <c r="E11376">
        <v>1</v>
      </c>
      <c r="F11376" t="s">
        <v>1572</v>
      </c>
      <c r="G11376" t="str">
        <f>"06-I07-04"</f>
        <v>06-I07-04</v>
      </c>
      <c r="H11376">
        <v>4.8221999999999996</v>
      </c>
      <c r="I11376" t="s">
        <v>7538</v>
      </c>
      <c r="J11376" t="s">
        <v>17</v>
      </c>
      <c r="K11376" t="str">
        <f>"5F1"</f>
        <v>5F1</v>
      </c>
      <c r="L11376" t="s">
        <v>15</v>
      </c>
    </row>
    <row r="11377" spans="1:12" x14ac:dyDescent="0.25">
      <c r="A11377" t="str">
        <f>"8262284844"</f>
        <v>8262284844</v>
      </c>
      <c r="B11377" t="str">
        <f t="shared" si="460"/>
        <v>89301000</v>
      </c>
      <c r="C11377" s="1">
        <v>44488</v>
      </c>
      <c r="D11377" s="1">
        <v>44495</v>
      </c>
      <c r="E11377">
        <v>1</v>
      </c>
      <c r="F11377" t="s">
        <v>1448</v>
      </c>
      <c r="G11377" t="str">
        <f>"11-I17-03"</f>
        <v>11-I17-03</v>
      </c>
      <c r="H11377">
        <v>0.62250000000000005</v>
      </c>
      <c r="I11377" t="s">
        <v>7539</v>
      </c>
      <c r="J11377" t="s">
        <v>14</v>
      </c>
      <c r="K11377" t="str">
        <f>"7F6"</f>
        <v>7F6</v>
      </c>
      <c r="L11377" t="s">
        <v>15</v>
      </c>
    </row>
    <row r="11378" spans="1:12" x14ac:dyDescent="0.25">
      <c r="A11378" t="str">
        <f>"8262284844"</f>
        <v>8262284844</v>
      </c>
      <c r="B11378" t="str">
        <f t="shared" si="460"/>
        <v>89301000</v>
      </c>
      <c r="C11378" s="1">
        <v>44323</v>
      </c>
      <c r="D11378" s="1">
        <v>44323</v>
      </c>
      <c r="E11378">
        <v>1</v>
      </c>
      <c r="F11378" t="s">
        <v>2495</v>
      </c>
      <c r="G11378" t="str">
        <f>"13-K11-00"</f>
        <v>13-K11-00</v>
      </c>
      <c r="H11378">
        <v>0.1288</v>
      </c>
      <c r="J11378" t="s">
        <v>14</v>
      </c>
      <c r="K11378" t="str">
        <f>"6F3"</f>
        <v>6F3</v>
      </c>
      <c r="L11378" t="s">
        <v>15</v>
      </c>
    </row>
    <row r="11379" spans="1:12" x14ac:dyDescent="0.25">
      <c r="A11379" t="str">
        <f>"8262284844"</f>
        <v>8262284844</v>
      </c>
      <c r="B11379" t="str">
        <f t="shared" si="460"/>
        <v>89301000</v>
      </c>
      <c r="C11379" s="1">
        <v>44326</v>
      </c>
      <c r="D11379" s="1">
        <v>44327</v>
      </c>
      <c r="E11379">
        <v>1</v>
      </c>
      <c r="F11379" t="s">
        <v>5453</v>
      </c>
      <c r="G11379" t="str">
        <f>"13-I19-00"</f>
        <v>13-I19-00</v>
      </c>
      <c r="H11379">
        <v>0.24679999999999999</v>
      </c>
      <c r="J11379" t="s">
        <v>14</v>
      </c>
      <c r="K11379" t="str">
        <f>"6F3"</f>
        <v>6F3</v>
      </c>
      <c r="L11379" t="s">
        <v>15</v>
      </c>
    </row>
    <row r="11380" spans="1:12" x14ac:dyDescent="0.25">
      <c r="A11380" t="str">
        <f>"8262284844"</f>
        <v>8262284844</v>
      </c>
      <c r="B11380" t="str">
        <f t="shared" si="460"/>
        <v>89301000</v>
      </c>
      <c r="C11380" s="1">
        <v>44391</v>
      </c>
      <c r="D11380" s="1">
        <v>44400</v>
      </c>
      <c r="E11380">
        <v>1</v>
      </c>
      <c r="F11380" t="s">
        <v>7540</v>
      </c>
      <c r="G11380" t="str">
        <f>"13-I11-03"</f>
        <v>13-I11-03</v>
      </c>
      <c r="H11380">
        <v>1.5034000000000001</v>
      </c>
      <c r="J11380" t="s">
        <v>24</v>
      </c>
      <c r="K11380" t="str">
        <f>"6F3"</f>
        <v>6F3</v>
      </c>
      <c r="L11380" t="s">
        <v>15</v>
      </c>
    </row>
    <row r="11381" spans="1:12" x14ac:dyDescent="0.25">
      <c r="A11381" t="str">
        <f>"8262285757"</f>
        <v>8262285757</v>
      </c>
      <c r="B11381" t="str">
        <f t="shared" si="460"/>
        <v>89301000</v>
      </c>
      <c r="C11381" s="1">
        <v>44468</v>
      </c>
      <c r="D11381" s="1">
        <v>44473</v>
      </c>
      <c r="E11381">
        <v>1</v>
      </c>
      <c r="F11381" t="s">
        <v>2637</v>
      </c>
      <c r="G11381" t="str">
        <f>"23-K05-01"</f>
        <v>23-K05-01</v>
      </c>
      <c r="H11381">
        <v>0.57099999999999995</v>
      </c>
      <c r="I11381" t="s">
        <v>2638</v>
      </c>
      <c r="J11381" t="s">
        <v>14</v>
      </c>
      <c r="K11381" t="str">
        <f>"4F7"</f>
        <v>4F7</v>
      </c>
      <c r="L11381" t="s">
        <v>15</v>
      </c>
    </row>
    <row r="11382" spans="1:12" x14ac:dyDescent="0.25">
      <c r="A11382" t="str">
        <f>"8262285757"</f>
        <v>8262285757</v>
      </c>
      <c r="B11382" t="str">
        <f t="shared" si="460"/>
        <v>89301000</v>
      </c>
      <c r="C11382" s="1">
        <v>44214</v>
      </c>
      <c r="D11382" s="1">
        <v>44222</v>
      </c>
      <c r="E11382">
        <v>1</v>
      </c>
      <c r="F11382" t="s">
        <v>79</v>
      </c>
      <c r="G11382" t="str">
        <f>"10-R02-01"</f>
        <v>10-R02-01</v>
      </c>
      <c r="H11382">
        <v>0.9698</v>
      </c>
      <c r="I11382" t="s">
        <v>80</v>
      </c>
      <c r="J11382" t="s">
        <v>24</v>
      </c>
      <c r="K11382" t="str">
        <f>"4F7"</f>
        <v>4F7</v>
      </c>
      <c r="L11382" t="s">
        <v>15</v>
      </c>
    </row>
    <row r="11383" spans="1:12" x14ac:dyDescent="0.25">
      <c r="A11383" t="str">
        <f>"8301025315"</f>
        <v>8301025315</v>
      </c>
      <c r="B11383" t="str">
        <f t="shared" si="460"/>
        <v>89301000</v>
      </c>
      <c r="C11383" s="1">
        <v>44379</v>
      </c>
      <c r="D11383" s="1">
        <v>44391</v>
      </c>
      <c r="E11383">
        <v>1</v>
      </c>
      <c r="F11383" t="s">
        <v>3316</v>
      </c>
      <c r="G11383" t="str">
        <f>"04-K14-01"</f>
        <v>04-K14-01</v>
      </c>
      <c r="H11383">
        <v>1.6798999999999999</v>
      </c>
      <c r="I11383" t="s">
        <v>7541</v>
      </c>
      <c r="J11383" t="s">
        <v>14</v>
      </c>
      <c r="K11383" t="str">
        <f>"2F5"</f>
        <v>2F5</v>
      </c>
      <c r="L11383" t="s">
        <v>15</v>
      </c>
    </row>
    <row r="11384" spans="1:12" x14ac:dyDescent="0.25">
      <c r="A11384" t="str">
        <f>"8301195309"</f>
        <v>8301195309</v>
      </c>
      <c r="B11384" t="str">
        <f t="shared" si="460"/>
        <v>89301000</v>
      </c>
      <c r="C11384" s="1">
        <v>44309</v>
      </c>
      <c r="D11384" s="1">
        <v>44312</v>
      </c>
      <c r="E11384">
        <v>1</v>
      </c>
      <c r="F11384" t="s">
        <v>738</v>
      </c>
      <c r="G11384" t="str">
        <f>"08-I17-02"</f>
        <v>08-I17-02</v>
      </c>
      <c r="H11384">
        <v>0.98309999999999997</v>
      </c>
      <c r="I11384" t="s">
        <v>7542</v>
      </c>
      <c r="J11384" t="s">
        <v>14</v>
      </c>
      <c r="K11384" t="str">
        <f>"5F3"</f>
        <v>5F3</v>
      </c>
      <c r="L11384" t="s">
        <v>15</v>
      </c>
    </row>
    <row r="11385" spans="1:12" x14ac:dyDescent="0.25">
      <c r="A11385" t="str">
        <f>"8302177323"</f>
        <v>8302177323</v>
      </c>
      <c r="B11385" t="str">
        <f t="shared" si="460"/>
        <v>89301000</v>
      </c>
      <c r="C11385" s="1">
        <v>44412</v>
      </c>
      <c r="D11385" s="1">
        <v>44416</v>
      </c>
      <c r="E11385">
        <v>1</v>
      </c>
      <c r="F11385" t="s">
        <v>4491</v>
      </c>
      <c r="G11385" t="str">
        <f>"01-K01-02"</f>
        <v>01-K01-02</v>
      </c>
      <c r="H11385">
        <v>0.50700000000000001</v>
      </c>
      <c r="J11385" t="s">
        <v>14</v>
      </c>
      <c r="K11385" t="str">
        <f>"2F9"</f>
        <v>2F9</v>
      </c>
      <c r="L11385" t="s">
        <v>15</v>
      </c>
    </row>
    <row r="11386" spans="1:12" x14ac:dyDescent="0.25">
      <c r="A11386" t="str">
        <f>"8302285321"</f>
        <v>8302285321</v>
      </c>
      <c r="B11386" t="str">
        <f t="shared" si="460"/>
        <v>89301000</v>
      </c>
      <c r="C11386" s="1">
        <v>44200</v>
      </c>
      <c r="D11386" s="1">
        <v>44203</v>
      </c>
      <c r="E11386">
        <v>1</v>
      </c>
      <c r="F11386" t="s">
        <v>351</v>
      </c>
      <c r="G11386" t="str">
        <f>"10-K04-04"</f>
        <v>10-K04-04</v>
      </c>
      <c r="H11386">
        <v>0.56330000000000002</v>
      </c>
      <c r="I11386" t="s">
        <v>2183</v>
      </c>
      <c r="J11386" t="s">
        <v>14</v>
      </c>
      <c r="K11386" t="str">
        <f>"1F1"</f>
        <v>1F1</v>
      </c>
      <c r="L11386" t="s">
        <v>15</v>
      </c>
    </row>
    <row r="11387" spans="1:12" x14ac:dyDescent="0.25">
      <c r="A11387" t="str">
        <f>"8303154475"</f>
        <v>8303154475</v>
      </c>
      <c r="B11387" t="str">
        <f t="shared" si="460"/>
        <v>89301000</v>
      </c>
      <c r="C11387" s="1">
        <v>44314</v>
      </c>
      <c r="D11387" s="1">
        <v>44320</v>
      </c>
      <c r="E11387">
        <v>1</v>
      </c>
      <c r="F11387" t="s">
        <v>472</v>
      </c>
      <c r="G11387" t="str">
        <f>"12-K01-02"</f>
        <v>12-K01-02</v>
      </c>
      <c r="H11387">
        <v>0.502</v>
      </c>
      <c r="I11387" t="s">
        <v>168</v>
      </c>
      <c r="J11387" t="s">
        <v>14</v>
      </c>
      <c r="K11387" t="str">
        <f>"7F6"</f>
        <v>7F6</v>
      </c>
      <c r="L11387" t="s">
        <v>15</v>
      </c>
    </row>
    <row r="11388" spans="1:12" x14ac:dyDescent="0.25">
      <c r="A11388" t="str">
        <f>"8303174473"</f>
        <v>8303174473</v>
      </c>
      <c r="B11388" t="str">
        <f t="shared" si="460"/>
        <v>89301000</v>
      </c>
      <c r="C11388" s="1">
        <v>44431</v>
      </c>
      <c r="D11388" s="1">
        <v>44432</v>
      </c>
      <c r="E11388">
        <v>1</v>
      </c>
      <c r="F11388" t="s">
        <v>20</v>
      </c>
      <c r="G11388" t="str">
        <f>"08-I18-02"</f>
        <v>08-I18-02</v>
      </c>
      <c r="H11388">
        <v>0.65769999999999995</v>
      </c>
      <c r="I11388" t="s">
        <v>512</v>
      </c>
      <c r="J11388" t="s">
        <v>17</v>
      </c>
      <c r="K11388" t="str">
        <f>"5F3"</f>
        <v>5F3</v>
      </c>
      <c r="L11388" t="s">
        <v>15</v>
      </c>
    </row>
    <row r="11389" spans="1:12" x14ac:dyDescent="0.25">
      <c r="A11389" t="str">
        <f>"8303215316"</f>
        <v>8303215316</v>
      </c>
      <c r="B11389" t="str">
        <f t="shared" si="460"/>
        <v>89301000</v>
      </c>
      <c r="C11389" s="1">
        <v>44433</v>
      </c>
      <c r="D11389" s="1">
        <v>44438</v>
      </c>
      <c r="E11389">
        <v>1</v>
      </c>
      <c r="F11389" t="s">
        <v>43</v>
      </c>
      <c r="G11389" t="str">
        <f>"06-I18-05"</f>
        <v>06-I18-05</v>
      </c>
      <c r="H11389">
        <v>0.85550000000000004</v>
      </c>
      <c r="J11389" t="s">
        <v>24</v>
      </c>
      <c r="K11389" t="str">
        <f>"5F1"</f>
        <v>5F1</v>
      </c>
      <c r="L11389" t="s">
        <v>15</v>
      </c>
    </row>
    <row r="11390" spans="1:12" x14ac:dyDescent="0.25">
      <c r="A11390" t="str">
        <f>"8303274848"</f>
        <v>8303274848</v>
      </c>
      <c r="B11390" t="str">
        <f t="shared" si="460"/>
        <v>89301000</v>
      </c>
      <c r="C11390" s="1">
        <v>44318</v>
      </c>
      <c r="D11390" s="1">
        <v>44333</v>
      </c>
      <c r="E11390">
        <v>4</v>
      </c>
      <c r="F11390" t="s">
        <v>6584</v>
      </c>
      <c r="G11390" t="str">
        <f>"19-K04-02"</f>
        <v>19-K04-02</v>
      </c>
      <c r="H11390">
        <v>1.4597</v>
      </c>
      <c r="I11390" t="s">
        <v>7543</v>
      </c>
      <c r="J11390" t="s">
        <v>27</v>
      </c>
      <c r="K11390" t="str">
        <f>"3F5"</f>
        <v>3F5</v>
      </c>
      <c r="L11390" t="s">
        <v>15</v>
      </c>
    </row>
    <row r="11391" spans="1:12" x14ac:dyDescent="0.25">
      <c r="A11391" t="str">
        <f>"8304025312"</f>
        <v>8304025312</v>
      </c>
      <c r="B11391" t="str">
        <f t="shared" si="460"/>
        <v>89301000</v>
      </c>
      <c r="C11391" s="1">
        <v>44259</v>
      </c>
      <c r="D11391" s="1">
        <v>44263</v>
      </c>
      <c r="E11391">
        <v>1</v>
      </c>
      <c r="F11391" t="s">
        <v>314</v>
      </c>
      <c r="G11391" t="str">
        <f>"03-K12-01"</f>
        <v>03-K12-01</v>
      </c>
      <c r="H11391">
        <v>0.376</v>
      </c>
      <c r="I11391" t="s">
        <v>7544</v>
      </c>
      <c r="J11391" t="s">
        <v>14</v>
      </c>
      <c r="K11391" t="str">
        <f>"6F5"</f>
        <v>6F5</v>
      </c>
      <c r="L11391" t="s">
        <v>15</v>
      </c>
    </row>
    <row r="11392" spans="1:12" x14ac:dyDescent="0.25">
      <c r="A11392" t="str">
        <f>"8304195152"</f>
        <v>8304195152</v>
      </c>
      <c r="B11392" t="str">
        <f t="shared" si="460"/>
        <v>89301000</v>
      </c>
      <c r="C11392" s="1">
        <v>44470</v>
      </c>
      <c r="D11392" s="1">
        <v>44471</v>
      </c>
      <c r="E11392">
        <v>1</v>
      </c>
      <c r="F11392" t="s">
        <v>1839</v>
      </c>
      <c r="G11392" t="str">
        <f>"06-M01-03"</f>
        <v>06-M01-03</v>
      </c>
      <c r="H11392">
        <v>0.82450000000000001</v>
      </c>
      <c r="I11392" t="s">
        <v>7545</v>
      </c>
      <c r="J11392" t="s">
        <v>14</v>
      </c>
      <c r="K11392" t="str">
        <f>"1F1"</f>
        <v>1F1</v>
      </c>
      <c r="L11392" t="s">
        <v>15</v>
      </c>
    </row>
    <row r="11393" spans="1:12" x14ac:dyDescent="0.25">
      <c r="A11393" t="str">
        <f>"8305025333"</f>
        <v>8305025333</v>
      </c>
      <c r="B11393" t="str">
        <f t="shared" si="460"/>
        <v>89301000</v>
      </c>
      <c r="C11393" s="1">
        <v>44479</v>
      </c>
      <c r="D11393" s="1">
        <v>44487</v>
      </c>
      <c r="E11393">
        <v>1</v>
      </c>
      <c r="F11393" t="s">
        <v>933</v>
      </c>
      <c r="G11393" t="str">
        <f>"17-K01-02"</f>
        <v>17-K01-02</v>
      </c>
      <c r="H11393">
        <v>1.1982999999999999</v>
      </c>
      <c r="I11393" t="s">
        <v>7546</v>
      </c>
      <c r="J11393" t="s">
        <v>14</v>
      </c>
      <c r="K11393" t="str">
        <f>"2F2"</f>
        <v>2F2</v>
      </c>
      <c r="L11393" t="s">
        <v>15</v>
      </c>
    </row>
    <row r="11394" spans="1:12" x14ac:dyDescent="0.25">
      <c r="A11394" t="str">
        <f>"8305025344"</f>
        <v>8305025344</v>
      </c>
      <c r="B11394" t="str">
        <f t="shared" si="460"/>
        <v>89301000</v>
      </c>
      <c r="C11394" s="1">
        <v>44486</v>
      </c>
      <c r="D11394" s="1">
        <v>44492</v>
      </c>
      <c r="E11394">
        <v>1</v>
      </c>
      <c r="F11394" t="s">
        <v>300</v>
      </c>
      <c r="G11394" t="str">
        <f>"11-M03-02"</f>
        <v>11-M03-02</v>
      </c>
      <c r="H11394">
        <v>1.2824</v>
      </c>
      <c r="I11394" t="s">
        <v>7547</v>
      </c>
      <c r="J11394" t="s">
        <v>17</v>
      </c>
      <c r="K11394" t="str">
        <f>"7F6"</f>
        <v>7F6</v>
      </c>
      <c r="L11394" t="s">
        <v>15</v>
      </c>
    </row>
    <row r="11395" spans="1:12" x14ac:dyDescent="0.25">
      <c r="A11395" t="str">
        <f>"8305025344"</f>
        <v>8305025344</v>
      </c>
      <c r="B11395" t="str">
        <f t="shared" si="460"/>
        <v>89301000</v>
      </c>
      <c r="C11395" s="1">
        <v>44282</v>
      </c>
      <c r="D11395" s="1">
        <v>44287</v>
      </c>
      <c r="E11395">
        <v>1</v>
      </c>
      <c r="F11395" t="s">
        <v>1948</v>
      </c>
      <c r="G11395" t="str">
        <f>"08-K08-00"</f>
        <v>08-K08-00</v>
      </c>
      <c r="H11395">
        <v>0.51670000000000005</v>
      </c>
      <c r="J11395" t="s">
        <v>14</v>
      </c>
      <c r="K11395" t="str">
        <f>"2F9"</f>
        <v>2F9</v>
      </c>
      <c r="L11395" t="s">
        <v>15</v>
      </c>
    </row>
    <row r="11396" spans="1:12" x14ac:dyDescent="0.25">
      <c r="A11396" t="str">
        <f>"8306035331"</f>
        <v>8306035331</v>
      </c>
      <c r="B11396" t="str">
        <f t="shared" si="460"/>
        <v>89301000</v>
      </c>
      <c r="C11396" s="1">
        <v>44362</v>
      </c>
      <c r="D11396" s="1">
        <v>44365</v>
      </c>
      <c r="E11396">
        <v>1</v>
      </c>
      <c r="F11396" t="s">
        <v>996</v>
      </c>
      <c r="G11396" t="str">
        <f>"06-I21-03"</f>
        <v>06-I21-03</v>
      </c>
      <c r="H11396">
        <v>0.47820000000000001</v>
      </c>
      <c r="J11396" t="s">
        <v>17</v>
      </c>
      <c r="K11396" t="str">
        <f>"5F1"</f>
        <v>5F1</v>
      </c>
      <c r="L11396" t="s">
        <v>15</v>
      </c>
    </row>
    <row r="11397" spans="1:12" x14ac:dyDescent="0.25">
      <c r="A11397" t="str">
        <f>"8306204456"</f>
        <v>8306204456</v>
      </c>
      <c r="B11397" t="str">
        <f t="shared" si="460"/>
        <v>89301000</v>
      </c>
      <c r="C11397" s="1">
        <v>44369</v>
      </c>
      <c r="D11397" s="1">
        <v>44379</v>
      </c>
      <c r="E11397">
        <v>4</v>
      </c>
      <c r="F11397" t="s">
        <v>78</v>
      </c>
      <c r="G11397" t="str">
        <f>"19-K03-03"</f>
        <v>19-K03-03</v>
      </c>
      <c r="H11397">
        <v>0.93169999999999997</v>
      </c>
      <c r="I11397" t="s">
        <v>2178</v>
      </c>
      <c r="J11397" t="s">
        <v>27</v>
      </c>
      <c r="K11397" t="str">
        <f>"3F5"</f>
        <v>3F5</v>
      </c>
      <c r="L11397" t="s">
        <v>15</v>
      </c>
    </row>
    <row r="11398" spans="1:12" x14ac:dyDescent="0.25">
      <c r="A11398" t="str">
        <f>"8306205314"</f>
        <v>8306205314</v>
      </c>
      <c r="B11398" t="str">
        <f t="shared" si="460"/>
        <v>89301000</v>
      </c>
      <c r="C11398" s="1">
        <v>44493</v>
      </c>
      <c r="D11398" s="1">
        <v>44496</v>
      </c>
      <c r="E11398">
        <v>6</v>
      </c>
      <c r="F11398" t="s">
        <v>6822</v>
      </c>
      <c r="G11398" t="str">
        <f>"04-K14-03"</f>
        <v>04-K14-03</v>
      </c>
      <c r="H11398">
        <v>0.78710000000000002</v>
      </c>
      <c r="I11398" t="s">
        <v>7548</v>
      </c>
      <c r="J11398" t="s">
        <v>14</v>
      </c>
      <c r="K11398" t="str">
        <f>"5T3"</f>
        <v>5T3</v>
      </c>
      <c r="L11398" t="s">
        <v>15</v>
      </c>
    </row>
    <row r="11399" spans="1:12" x14ac:dyDescent="0.25">
      <c r="A11399" t="str">
        <f>"8307034461"</f>
        <v>8307034461</v>
      </c>
      <c r="B11399" t="str">
        <f t="shared" si="460"/>
        <v>89301000</v>
      </c>
      <c r="C11399" s="1">
        <v>44461</v>
      </c>
      <c r="D11399" s="1">
        <v>44466</v>
      </c>
      <c r="E11399">
        <v>1</v>
      </c>
      <c r="F11399" t="s">
        <v>79</v>
      </c>
      <c r="G11399" t="str">
        <f>"10-K06-00"</f>
        <v>10-K06-00</v>
      </c>
      <c r="H11399">
        <v>0.55559999999999998</v>
      </c>
      <c r="I11399" t="s">
        <v>4498</v>
      </c>
      <c r="J11399" t="s">
        <v>14</v>
      </c>
      <c r="K11399" t="str">
        <f>"4F7"</f>
        <v>4F7</v>
      </c>
      <c r="L11399" t="s">
        <v>15</v>
      </c>
    </row>
    <row r="11400" spans="1:12" x14ac:dyDescent="0.25">
      <c r="A11400" t="str">
        <f>"8307055361"</f>
        <v>8307055361</v>
      </c>
      <c r="B11400" t="str">
        <f t="shared" si="460"/>
        <v>89301000</v>
      </c>
      <c r="C11400" s="1">
        <v>44483</v>
      </c>
      <c r="D11400" s="1">
        <v>44485</v>
      </c>
      <c r="E11400">
        <v>1</v>
      </c>
      <c r="F11400" t="s">
        <v>7313</v>
      </c>
      <c r="G11400" t="str">
        <f>"02-I10-02"</f>
        <v>02-I10-02</v>
      </c>
      <c r="H11400">
        <v>0.61150000000000004</v>
      </c>
      <c r="I11400" t="s">
        <v>7549</v>
      </c>
      <c r="J11400" t="s">
        <v>24</v>
      </c>
      <c r="K11400" t="str">
        <f>"7F1"</f>
        <v>7F1</v>
      </c>
      <c r="L11400" t="s">
        <v>15</v>
      </c>
    </row>
    <row r="11401" spans="1:12" x14ac:dyDescent="0.25">
      <c r="A11401" t="str">
        <f>"8307065316"</f>
        <v>8307065316</v>
      </c>
      <c r="B11401" t="str">
        <f t="shared" si="460"/>
        <v>89301000</v>
      </c>
      <c r="C11401" s="1">
        <v>44168</v>
      </c>
      <c r="D11401" s="1">
        <v>44203</v>
      </c>
      <c r="E11401">
        <v>8</v>
      </c>
      <c r="F11401" t="s">
        <v>625</v>
      </c>
      <c r="G11401" t="str">
        <f>"04-M01-03"</f>
        <v>04-M01-03</v>
      </c>
      <c r="H11401">
        <v>19.0122</v>
      </c>
      <c r="I11401" t="s">
        <v>7550</v>
      </c>
      <c r="J11401" t="s">
        <v>14</v>
      </c>
      <c r="K11401" t="str">
        <f>"7T8"</f>
        <v>7T8</v>
      </c>
      <c r="L11401" t="s">
        <v>15</v>
      </c>
    </row>
    <row r="11402" spans="1:12" x14ac:dyDescent="0.25">
      <c r="A11402" t="str">
        <f>"8307183819"</f>
        <v>8307183819</v>
      </c>
      <c r="B11402" t="str">
        <f t="shared" si="460"/>
        <v>89301000</v>
      </c>
      <c r="C11402" s="1">
        <v>44501</v>
      </c>
      <c r="D11402" s="1">
        <v>44506</v>
      </c>
      <c r="E11402">
        <v>1</v>
      </c>
      <c r="F11402" t="s">
        <v>6687</v>
      </c>
      <c r="G11402" t="str">
        <f>"03-I18-02"</f>
        <v>03-I18-02</v>
      </c>
      <c r="H11402">
        <v>0.84370000000000001</v>
      </c>
      <c r="J11402" t="s">
        <v>24</v>
      </c>
      <c r="K11402" t="str">
        <f>"7F1"</f>
        <v>7F1</v>
      </c>
      <c r="L11402" t="s">
        <v>15</v>
      </c>
    </row>
    <row r="11403" spans="1:12" x14ac:dyDescent="0.25">
      <c r="A11403" t="str">
        <f>"8307195314"</f>
        <v>8307195314</v>
      </c>
      <c r="B11403" t="str">
        <f t="shared" si="460"/>
        <v>89301000</v>
      </c>
      <c r="C11403" s="1">
        <v>44403</v>
      </c>
      <c r="D11403" s="1">
        <v>44405</v>
      </c>
      <c r="E11403">
        <v>1</v>
      </c>
      <c r="F11403" t="s">
        <v>4806</v>
      </c>
      <c r="G11403" t="str">
        <f>"05-I14-04"</f>
        <v>05-I14-04</v>
      </c>
      <c r="H11403">
        <v>5.4002999999999997</v>
      </c>
      <c r="J11403" t="s">
        <v>14</v>
      </c>
      <c r="K11403" t="str">
        <f>"1F1"</f>
        <v>1F1</v>
      </c>
      <c r="L11403" t="s">
        <v>15</v>
      </c>
    </row>
    <row r="11404" spans="1:12" x14ac:dyDescent="0.25">
      <c r="A11404" t="str">
        <f>"8310055347"</f>
        <v>8310055347</v>
      </c>
      <c r="B11404" t="str">
        <f t="shared" si="460"/>
        <v>89301000</v>
      </c>
      <c r="C11404" s="1">
        <v>44277</v>
      </c>
      <c r="D11404" s="1">
        <v>44281</v>
      </c>
      <c r="E11404">
        <v>1</v>
      </c>
      <c r="F11404" t="s">
        <v>41</v>
      </c>
      <c r="G11404" t="str">
        <f>"01-D01-03"</f>
        <v>01-D01-03</v>
      </c>
      <c r="H11404">
        <v>0.25280000000000002</v>
      </c>
      <c r="I11404" t="s">
        <v>7551</v>
      </c>
      <c r="J11404" t="s">
        <v>14</v>
      </c>
      <c r="K11404" t="str">
        <f>"2F5"</f>
        <v>2F5</v>
      </c>
      <c r="L11404" t="s">
        <v>15</v>
      </c>
    </row>
    <row r="11405" spans="1:12" x14ac:dyDescent="0.25">
      <c r="A11405" t="str">
        <f>"8310055347"</f>
        <v>8310055347</v>
      </c>
      <c r="B11405" t="str">
        <f t="shared" si="460"/>
        <v>89301000</v>
      </c>
      <c r="C11405" s="1">
        <v>44314</v>
      </c>
      <c r="D11405" s="1">
        <v>44337</v>
      </c>
      <c r="E11405">
        <v>6</v>
      </c>
      <c r="F11405" t="s">
        <v>217</v>
      </c>
      <c r="G11405" t="str">
        <f>"00-M02-04"</f>
        <v>00-M02-04</v>
      </c>
      <c r="H11405">
        <v>12.071199999999999</v>
      </c>
      <c r="I11405" t="s">
        <v>7552</v>
      </c>
      <c r="J11405" t="s">
        <v>14</v>
      </c>
      <c r="K11405" t="str">
        <f>"7T8"</f>
        <v>7T8</v>
      </c>
      <c r="L11405" t="s">
        <v>15</v>
      </c>
    </row>
    <row r="11406" spans="1:12" x14ac:dyDescent="0.25">
      <c r="A11406" t="str">
        <f>"8310055369"</f>
        <v>8310055369</v>
      </c>
      <c r="B11406" t="str">
        <f t="shared" si="460"/>
        <v>89301000</v>
      </c>
      <c r="C11406" s="1">
        <v>44312</v>
      </c>
      <c r="D11406" s="1">
        <v>44315</v>
      </c>
      <c r="E11406">
        <v>1</v>
      </c>
      <c r="F11406" t="s">
        <v>1690</v>
      </c>
      <c r="G11406" t="str">
        <f>"07-I10-06"</f>
        <v>07-I10-06</v>
      </c>
      <c r="H11406">
        <v>0.9728</v>
      </c>
      <c r="J11406" t="s">
        <v>17</v>
      </c>
      <c r="K11406" t="str">
        <f>"5F1"</f>
        <v>5F1</v>
      </c>
      <c r="L11406" t="s">
        <v>15</v>
      </c>
    </row>
    <row r="11407" spans="1:12" x14ac:dyDescent="0.25">
      <c r="A11407" t="str">
        <f>"8310155755"</f>
        <v>8310155755</v>
      </c>
      <c r="B11407" t="str">
        <f t="shared" si="460"/>
        <v>89301000</v>
      </c>
      <c r="C11407" s="1">
        <v>44454</v>
      </c>
      <c r="D11407" s="1">
        <v>44463</v>
      </c>
      <c r="E11407">
        <v>4</v>
      </c>
      <c r="F11407" t="s">
        <v>210</v>
      </c>
      <c r="G11407" t="str">
        <f>"08-I15-01"</f>
        <v>08-I15-01</v>
      </c>
      <c r="H11407">
        <v>2.1657999999999999</v>
      </c>
      <c r="I11407" t="s">
        <v>7553</v>
      </c>
      <c r="J11407" t="s">
        <v>17</v>
      </c>
      <c r="K11407" t="str">
        <f>"5F3"</f>
        <v>5F3</v>
      </c>
      <c r="L11407" t="s">
        <v>15</v>
      </c>
    </row>
    <row r="11408" spans="1:12" x14ac:dyDescent="0.25">
      <c r="A11408" t="str">
        <f>"8310195366"</f>
        <v>8310195366</v>
      </c>
      <c r="B11408" t="str">
        <f t="shared" si="460"/>
        <v>89301000</v>
      </c>
      <c r="C11408" s="1">
        <v>44405</v>
      </c>
      <c r="D11408" s="1">
        <v>44406</v>
      </c>
      <c r="E11408">
        <v>1</v>
      </c>
      <c r="F11408" t="s">
        <v>2457</v>
      </c>
      <c r="G11408" t="str">
        <f>"05-D01-08"</f>
        <v>05-D01-08</v>
      </c>
      <c r="H11408">
        <v>0.4093</v>
      </c>
      <c r="I11408" t="s">
        <v>416</v>
      </c>
      <c r="J11408" t="s">
        <v>14</v>
      </c>
      <c r="K11408" t="str">
        <f>"1F1"</f>
        <v>1F1</v>
      </c>
      <c r="L11408" t="s">
        <v>15</v>
      </c>
    </row>
    <row r="11409" spans="1:12" x14ac:dyDescent="0.25">
      <c r="A11409" t="str">
        <f>"8311024458"</f>
        <v>8311024458</v>
      </c>
      <c r="B11409" t="str">
        <f t="shared" si="460"/>
        <v>89301000</v>
      </c>
      <c r="C11409" s="1">
        <v>44419</v>
      </c>
      <c r="D11409" s="1">
        <v>44420</v>
      </c>
      <c r="E11409">
        <v>1</v>
      </c>
      <c r="F11409" t="s">
        <v>41</v>
      </c>
      <c r="G11409" t="str">
        <f>"01-D01-03"</f>
        <v>01-D01-03</v>
      </c>
      <c r="H11409">
        <v>0.158</v>
      </c>
      <c r="J11409" t="s">
        <v>14</v>
      </c>
      <c r="K11409" t="str">
        <f>"2F5"</f>
        <v>2F5</v>
      </c>
      <c r="L11409" t="s">
        <v>15</v>
      </c>
    </row>
    <row r="11410" spans="1:12" x14ac:dyDescent="0.25">
      <c r="A11410" t="str">
        <f>"8311075333"</f>
        <v>8311075333</v>
      </c>
      <c r="B11410" t="str">
        <f t="shared" si="460"/>
        <v>89301000</v>
      </c>
      <c r="C11410" s="1">
        <v>44304</v>
      </c>
      <c r="D11410" s="1">
        <v>44306</v>
      </c>
      <c r="E11410">
        <v>1</v>
      </c>
      <c r="F11410" t="s">
        <v>217</v>
      </c>
      <c r="G11410" t="str">
        <f>"04-K02-04"</f>
        <v>04-K02-04</v>
      </c>
      <c r="H11410">
        <v>0.82469999999999999</v>
      </c>
      <c r="I11410" t="s">
        <v>2025</v>
      </c>
      <c r="J11410" t="s">
        <v>14</v>
      </c>
      <c r="K11410" t="str">
        <f>"1F1"</f>
        <v>1F1</v>
      </c>
      <c r="L11410" t="s">
        <v>15</v>
      </c>
    </row>
    <row r="11411" spans="1:12" x14ac:dyDescent="0.25">
      <c r="A11411" t="str">
        <f>"8351124463"</f>
        <v>8351124463</v>
      </c>
      <c r="B11411" t="str">
        <f t="shared" si="460"/>
        <v>89301000</v>
      </c>
      <c r="C11411" s="1">
        <v>44273</v>
      </c>
      <c r="D11411" s="1">
        <v>44276</v>
      </c>
      <c r="E11411">
        <v>1</v>
      </c>
      <c r="F11411" t="s">
        <v>16</v>
      </c>
      <c r="G11411" t="str">
        <f>"08-I04-03"</f>
        <v>08-I04-03</v>
      </c>
      <c r="H11411">
        <v>1.331</v>
      </c>
      <c r="J11411" t="s">
        <v>17</v>
      </c>
      <c r="K11411" t="str">
        <f>"5F6"</f>
        <v>5F6</v>
      </c>
      <c r="L11411" t="s">
        <v>15</v>
      </c>
    </row>
    <row r="11412" spans="1:12" x14ac:dyDescent="0.25">
      <c r="A11412" t="str">
        <f>"8351285338"</f>
        <v>8351285338</v>
      </c>
      <c r="B11412" t="str">
        <f t="shared" si="460"/>
        <v>89301000</v>
      </c>
      <c r="C11412" s="1">
        <v>44244</v>
      </c>
      <c r="D11412" s="1">
        <v>44249</v>
      </c>
      <c r="E11412">
        <v>1</v>
      </c>
      <c r="F11412" t="s">
        <v>2637</v>
      </c>
      <c r="G11412" t="str">
        <f>"23-K05-01"</f>
        <v>23-K05-01</v>
      </c>
      <c r="H11412">
        <v>0.56999999999999995</v>
      </c>
      <c r="I11412" t="s">
        <v>2638</v>
      </c>
      <c r="J11412" t="s">
        <v>14</v>
      </c>
      <c r="K11412" t="str">
        <f>"4F7"</f>
        <v>4F7</v>
      </c>
      <c r="L11412" t="s">
        <v>15</v>
      </c>
    </row>
    <row r="11413" spans="1:12" x14ac:dyDescent="0.25">
      <c r="A11413" t="str">
        <f>"8352025308"</f>
        <v>8352025308</v>
      </c>
      <c r="B11413" t="str">
        <f t="shared" si="460"/>
        <v>89301000</v>
      </c>
      <c r="C11413" s="1">
        <v>44524</v>
      </c>
      <c r="D11413" s="1">
        <v>44534</v>
      </c>
      <c r="E11413">
        <v>1</v>
      </c>
      <c r="F11413" t="s">
        <v>2497</v>
      </c>
      <c r="G11413" t="str">
        <f>"13-K07-02"</f>
        <v>13-K07-02</v>
      </c>
      <c r="H11413">
        <v>0.48970000000000002</v>
      </c>
      <c r="I11413" t="s">
        <v>145</v>
      </c>
      <c r="J11413" t="s">
        <v>14</v>
      </c>
      <c r="K11413" t="str">
        <f>"4F2"</f>
        <v>4F2</v>
      </c>
      <c r="L11413" t="s">
        <v>15</v>
      </c>
    </row>
    <row r="11414" spans="1:12" x14ac:dyDescent="0.25">
      <c r="A11414" t="str">
        <f>"8352025308"</f>
        <v>8352025308</v>
      </c>
      <c r="B11414" t="str">
        <f t="shared" si="460"/>
        <v>89301000</v>
      </c>
      <c r="C11414" s="1">
        <v>44256</v>
      </c>
      <c r="D11414" s="1">
        <v>44263</v>
      </c>
      <c r="E11414">
        <v>1</v>
      </c>
      <c r="F11414" t="s">
        <v>2497</v>
      </c>
      <c r="G11414" t="str">
        <f>"13-I08-01"</f>
        <v>13-I08-01</v>
      </c>
      <c r="H11414">
        <v>1.6611</v>
      </c>
      <c r="J11414" t="s">
        <v>106</v>
      </c>
      <c r="K11414" t="str">
        <f>"6F3"</f>
        <v>6F3</v>
      </c>
      <c r="L11414" t="s">
        <v>15</v>
      </c>
    </row>
    <row r="11415" spans="1:12" x14ac:dyDescent="0.25">
      <c r="A11415" t="str">
        <f>"8352074456"</f>
        <v>8352074456</v>
      </c>
      <c r="B11415" t="str">
        <f t="shared" si="460"/>
        <v>89301000</v>
      </c>
      <c r="C11415" s="1">
        <v>44429</v>
      </c>
      <c r="D11415" s="1">
        <v>44432</v>
      </c>
      <c r="E11415">
        <v>1</v>
      </c>
      <c r="F11415" t="s">
        <v>75</v>
      </c>
      <c r="G11415" t="str">
        <f>"14-M01-05"</f>
        <v>14-M01-05</v>
      </c>
      <c r="H11415">
        <v>0.54239999999999999</v>
      </c>
      <c r="I11415" t="s">
        <v>7554</v>
      </c>
      <c r="J11415" t="s">
        <v>59</v>
      </c>
      <c r="K11415" t="str">
        <f>"6F3"</f>
        <v>6F3</v>
      </c>
      <c r="L11415" t="s">
        <v>15</v>
      </c>
    </row>
    <row r="11416" spans="1:12" x14ac:dyDescent="0.25">
      <c r="A11416" t="str">
        <f>"8352124055"</f>
        <v>8352124055</v>
      </c>
      <c r="B11416" t="str">
        <f t="shared" si="460"/>
        <v>89301000</v>
      </c>
      <c r="C11416" s="1">
        <v>44326</v>
      </c>
      <c r="D11416" s="1">
        <v>44330</v>
      </c>
      <c r="E11416">
        <v>1</v>
      </c>
      <c r="F11416" t="s">
        <v>3796</v>
      </c>
      <c r="G11416" t="str">
        <f>"08-K01-03"</f>
        <v>08-K01-03</v>
      </c>
      <c r="H11416">
        <v>0.65310000000000001</v>
      </c>
      <c r="I11416" t="s">
        <v>7555</v>
      </c>
      <c r="J11416" t="s">
        <v>14</v>
      </c>
      <c r="K11416" t="str">
        <f>"1F9"</f>
        <v>1F9</v>
      </c>
      <c r="L11416" t="s">
        <v>15</v>
      </c>
    </row>
    <row r="11417" spans="1:12" x14ac:dyDescent="0.25">
      <c r="A11417" t="str">
        <f>"8352125342"</f>
        <v>8352125342</v>
      </c>
      <c r="B11417" t="str">
        <f t="shared" si="460"/>
        <v>89301000</v>
      </c>
      <c r="C11417" s="1">
        <v>44437</v>
      </c>
      <c r="D11417" s="1">
        <v>44441</v>
      </c>
      <c r="E11417">
        <v>1</v>
      </c>
      <c r="F11417" t="s">
        <v>496</v>
      </c>
      <c r="G11417" t="str">
        <f>"08-M03-05"</f>
        <v>08-M03-05</v>
      </c>
      <c r="H11417">
        <v>0.51759999999999995</v>
      </c>
      <c r="J11417" t="s">
        <v>14</v>
      </c>
      <c r="K11417" t="str">
        <f>"6F6"</f>
        <v>6F6</v>
      </c>
      <c r="L11417" t="s">
        <v>15</v>
      </c>
    </row>
    <row r="11418" spans="1:12" x14ac:dyDescent="0.25">
      <c r="A11418" t="str">
        <f>"8352209096"</f>
        <v>8352209096</v>
      </c>
      <c r="B11418" t="str">
        <f t="shared" si="460"/>
        <v>89301000</v>
      </c>
      <c r="C11418" s="1">
        <v>44195</v>
      </c>
      <c r="D11418" s="1">
        <v>44200</v>
      </c>
      <c r="E11418">
        <v>1</v>
      </c>
      <c r="F11418" t="s">
        <v>1553</v>
      </c>
      <c r="G11418" t="str">
        <f>"04-K05-03"</f>
        <v>04-K05-03</v>
      </c>
      <c r="H11418">
        <v>0.74980000000000002</v>
      </c>
      <c r="I11418" t="s">
        <v>7556</v>
      </c>
      <c r="J11418" t="s">
        <v>14</v>
      </c>
      <c r="K11418" t="str">
        <f>"1F1"</f>
        <v>1F1</v>
      </c>
      <c r="L11418" t="s">
        <v>15</v>
      </c>
    </row>
    <row r="11419" spans="1:12" x14ac:dyDescent="0.25">
      <c r="A11419" t="str">
        <f>"8352209096"</f>
        <v>8352209096</v>
      </c>
      <c r="B11419" t="str">
        <f t="shared" si="460"/>
        <v>89301000</v>
      </c>
      <c r="C11419" s="1">
        <v>44331</v>
      </c>
      <c r="D11419" s="1">
        <v>44343</v>
      </c>
      <c r="E11419">
        <v>4</v>
      </c>
      <c r="F11419" t="s">
        <v>231</v>
      </c>
      <c r="G11419" t="str">
        <f>"19-K04-02"</f>
        <v>19-K04-02</v>
      </c>
      <c r="H11419">
        <v>1.4597</v>
      </c>
      <c r="I11419" t="s">
        <v>7557</v>
      </c>
      <c r="J11419" t="s">
        <v>27</v>
      </c>
      <c r="K11419" t="str">
        <f>"3F5"</f>
        <v>3F5</v>
      </c>
      <c r="L11419" t="s">
        <v>15</v>
      </c>
    </row>
    <row r="11420" spans="1:12" x14ac:dyDescent="0.25">
      <c r="A11420" t="str">
        <f>"8352209096"</f>
        <v>8352209096</v>
      </c>
      <c r="B11420" t="str">
        <f t="shared" si="460"/>
        <v>89301000</v>
      </c>
      <c r="C11420" s="1">
        <v>44396</v>
      </c>
      <c r="D11420" s="1">
        <v>44400</v>
      </c>
      <c r="E11420">
        <v>1</v>
      </c>
      <c r="F11420" t="s">
        <v>402</v>
      </c>
      <c r="G11420" t="str">
        <f>"04-K04-02"</f>
        <v>04-K04-02</v>
      </c>
      <c r="H11420">
        <v>0.50470000000000004</v>
      </c>
      <c r="I11420" t="s">
        <v>7558</v>
      </c>
      <c r="J11420" t="s">
        <v>14</v>
      </c>
      <c r="K11420" t="str">
        <f>"2F5"</f>
        <v>2F5</v>
      </c>
      <c r="L11420" t="s">
        <v>15</v>
      </c>
    </row>
    <row r="11421" spans="1:12" x14ac:dyDescent="0.25">
      <c r="A11421" t="str">
        <f>"8352225332"</f>
        <v>8352225332</v>
      </c>
      <c r="B11421" t="str">
        <f t="shared" si="460"/>
        <v>89301000</v>
      </c>
      <c r="C11421" s="1">
        <v>44229</v>
      </c>
      <c r="D11421" s="1">
        <v>44232</v>
      </c>
      <c r="E11421">
        <v>1</v>
      </c>
      <c r="F11421" t="s">
        <v>6312</v>
      </c>
      <c r="G11421" t="str">
        <f>"13-I16-00"</f>
        <v>13-I16-00</v>
      </c>
      <c r="H11421">
        <v>1.0256000000000001</v>
      </c>
      <c r="J11421" t="s">
        <v>17</v>
      </c>
      <c r="K11421" t="str">
        <f>"6F3"</f>
        <v>6F3</v>
      </c>
      <c r="L11421" t="s">
        <v>15</v>
      </c>
    </row>
    <row r="11422" spans="1:12" x14ac:dyDescent="0.25">
      <c r="A11422" t="str">
        <f>"8353025318"</f>
        <v>8353025318</v>
      </c>
      <c r="B11422" t="str">
        <f t="shared" si="460"/>
        <v>89301000</v>
      </c>
      <c r="C11422" s="1">
        <v>44449</v>
      </c>
      <c r="D11422" s="1">
        <v>44453</v>
      </c>
      <c r="E11422">
        <v>1</v>
      </c>
      <c r="F11422" t="s">
        <v>3194</v>
      </c>
      <c r="G11422" t="str">
        <f>"21-K06-00"</f>
        <v>21-K06-00</v>
      </c>
      <c r="H11422">
        <v>0.49320000000000003</v>
      </c>
      <c r="I11422" t="s">
        <v>7559</v>
      </c>
      <c r="J11422" t="s">
        <v>14</v>
      </c>
      <c r="K11422" t="str">
        <f>"6F3"</f>
        <v>6F3</v>
      </c>
      <c r="L11422" t="s">
        <v>15</v>
      </c>
    </row>
    <row r="11423" spans="1:12" x14ac:dyDescent="0.25">
      <c r="A11423" t="str">
        <f>"8353025318"</f>
        <v>8353025318</v>
      </c>
      <c r="B11423" t="str">
        <f t="shared" ref="B11423:B11486" si="461">"89301000"</f>
        <v>89301000</v>
      </c>
      <c r="C11423" s="1">
        <v>44423</v>
      </c>
      <c r="D11423" s="1">
        <v>44430</v>
      </c>
      <c r="E11423">
        <v>1</v>
      </c>
      <c r="F11423" t="s">
        <v>7284</v>
      </c>
      <c r="G11423" t="str">
        <f>"13-I11-03"</f>
        <v>13-I11-03</v>
      </c>
      <c r="H11423">
        <v>1.3809</v>
      </c>
      <c r="J11423" t="s">
        <v>24</v>
      </c>
      <c r="K11423" t="str">
        <f>"6F3"</f>
        <v>6F3</v>
      </c>
      <c r="L11423" t="s">
        <v>15</v>
      </c>
    </row>
    <row r="11424" spans="1:12" x14ac:dyDescent="0.25">
      <c r="A11424" t="str">
        <f>"8353045767"</f>
        <v>8353045767</v>
      </c>
      <c r="B11424" t="str">
        <f t="shared" si="461"/>
        <v>89301000</v>
      </c>
      <c r="C11424" s="1">
        <v>44192</v>
      </c>
      <c r="D11424" s="1">
        <v>44200</v>
      </c>
      <c r="E11424">
        <v>1</v>
      </c>
      <c r="F11424" t="s">
        <v>1946</v>
      </c>
      <c r="G11424" t="str">
        <f>"07-K05-02"</f>
        <v>07-K05-02</v>
      </c>
      <c r="H11424">
        <v>0.66100000000000003</v>
      </c>
      <c r="I11424" t="s">
        <v>7560</v>
      </c>
      <c r="J11424" t="s">
        <v>14</v>
      </c>
      <c r="K11424" t="str">
        <f>"1F5"</f>
        <v>1F5</v>
      </c>
      <c r="L11424" t="s">
        <v>15</v>
      </c>
    </row>
    <row r="11425" spans="1:12" x14ac:dyDescent="0.25">
      <c r="A11425" t="str">
        <f>"8353045767"</f>
        <v>8353045767</v>
      </c>
      <c r="B11425" t="str">
        <f t="shared" si="461"/>
        <v>89301000</v>
      </c>
      <c r="C11425" s="1">
        <v>44229</v>
      </c>
      <c r="D11425" s="1">
        <v>44265</v>
      </c>
      <c r="E11425">
        <v>1</v>
      </c>
      <c r="F11425" t="s">
        <v>566</v>
      </c>
      <c r="G11425" t="str">
        <f>"06-D01-00"</f>
        <v>06-D01-00</v>
      </c>
      <c r="H11425">
        <v>3.8228</v>
      </c>
      <c r="I11425" t="s">
        <v>7561</v>
      </c>
      <c r="J11425" t="s">
        <v>14</v>
      </c>
      <c r="K11425" t="str">
        <f>"1F1"</f>
        <v>1F1</v>
      </c>
      <c r="L11425" t="s">
        <v>15</v>
      </c>
    </row>
    <row r="11426" spans="1:12" x14ac:dyDescent="0.25">
      <c r="A11426" t="str">
        <f>"8353075247"</f>
        <v>8353075247</v>
      </c>
      <c r="B11426" t="str">
        <f t="shared" si="461"/>
        <v>89301000</v>
      </c>
      <c r="C11426" s="1">
        <v>44518</v>
      </c>
      <c r="D11426" s="1">
        <v>44521</v>
      </c>
      <c r="E11426">
        <v>1</v>
      </c>
      <c r="F11426" t="s">
        <v>61</v>
      </c>
      <c r="G11426" t="str">
        <f>"14-I01-05"</f>
        <v>14-I01-05</v>
      </c>
      <c r="H11426">
        <v>0.80030000000000001</v>
      </c>
      <c r="I11426" t="s">
        <v>7562</v>
      </c>
      <c r="J11426" t="s">
        <v>59</v>
      </c>
      <c r="K11426" t="str">
        <f>"6F3"</f>
        <v>6F3</v>
      </c>
      <c r="L11426" t="s">
        <v>15</v>
      </c>
    </row>
    <row r="11427" spans="1:12" x14ac:dyDescent="0.25">
      <c r="A11427" t="str">
        <f>"8353075313"</f>
        <v>8353075313</v>
      </c>
      <c r="B11427" t="str">
        <f t="shared" si="461"/>
        <v>89301000</v>
      </c>
      <c r="C11427" s="1">
        <v>44223</v>
      </c>
      <c r="D11427" s="1">
        <v>44223</v>
      </c>
      <c r="E11427">
        <v>6</v>
      </c>
      <c r="F11427" t="s">
        <v>75</v>
      </c>
      <c r="G11427" t="str">
        <f>"14-M01-05"</f>
        <v>14-M01-05</v>
      </c>
      <c r="H11427">
        <v>0.27289999999999998</v>
      </c>
      <c r="J11427" t="s">
        <v>59</v>
      </c>
      <c r="K11427" t="str">
        <f>"6F3"</f>
        <v>6F3</v>
      </c>
      <c r="L11427" t="s">
        <v>15</v>
      </c>
    </row>
    <row r="11428" spans="1:12" x14ac:dyDescent="0.25">
      <c r="A11428" t="str">
        <f>"8353214474"</f>
        <v>8353214474</v>
      </c>
      <c r="B11428" t="str">
        <f t="shared" si="461"/>
        <v>89301000</v>
      </c>
      <c r="C11428" s="1">
        <v>44354</v>
      </c>
      <c r="D11428" s="1">
        <v>44356</v>
      </c>
      <c r="E11428">
        <v>1</v>
      </c>
      <c r="F11428" t="s">
        <v>100</v>
      </c>
      <c r="G11428" t="str">
        <f>"14-I04-00"</f>
        <v>14-I04-00</v>
      </c>
      <c r="H11428">
        <v>0.78749999999999998</v>
      </c>
      <c r="I11428" t="s">
        <v>101</v>
      </c>
      <c r="J11428" t="s">
        <v>24</v>
      </c>
      <c r="K11428" t="str">
        <f>"6F3"</f>
        <v>6F3</v>
      </c>
      <c r="L11428" t="s">
        <v>15</v>
      </c>
    </row>
    <row r="11429" spans="1:12" x14ac:dyDescent="0.25">
      <c r="A11429" t="str">
        <f>"8353245329"</f>
        <v>8353245329</v>
      </c>
      <c r="B11429" t="str">
        <f t="shared" si="461"/>
        <v>89301000</v>
      </c>
      <c r="C11429" s="1">
        <v>44287</v>
      </c>
      <c r="D11429" s="1">
        <v>44291</v>
      </c>
      <c r="E11429">
        <v>1</v>
      </c>
      <c r="F11429" t="s">
        <v>112</v>
      </c>
      <c r="G11429" t="str">
        <f>"14-M01-05"</f>
        <v>14-M01-05</v>
      </c>
      <c r="H11429">
        <v>0.54239999999999999</v>
      </c>
      <c r="I11429" t="s">
        <v>7563</v>
      </c>
      <c r="J11429" t="s">
        <v>59</v>
      </c>
      <c r="K11429" t="str">
        <f>"6F3"</f>
        <v>6F3</v>
      </c>
      <c r="L11429" t="s">
        <v>15</v>
      </c>
    </row>
    <row r="11430" spans="1:12" x14ac:dyDescent="0.25">
      <c r="A11430" t="str">
        <f>"8353285688"</f>
        <v>8353285688</v>
      </c>
      <c r="B11430" t="str">
        <f t="shared" si="461"/>
        <v>89301000</v>
      </c>
      <c r="C11430" s="1">
        <v>44347</v>
      </c>
      <c r="D11430" s="1">
        <v>44349</v>
      </c>
      <c r="E11430">
        <v>1</v>
      </c>
      <c r="F11430" t="s">
        <v>7564</v>
      </c>
      <c r="G11430" t="str">
        <f>"03-I22-03"</f>
        <v>03-I22-03</v>
      </c>
      <c r="H11430">
        <v>0.49049999999999999</v>
      </c>
      <c r="J11430" t="s">
        <v>14</v>
      </c>
      <c r="K11430" t="str">
        <f>"7F1"</f>
        <v>7F1</v>
      </c>
      <c r="L11430" t="s">
        <v>15</v>
      </c>
    </row>
    <row r="11431" spans="1:12" x14ac:dyDescent="0.25">
      <c r="A11431" t="str">
        <f>"8353305323"</f>
        <v>8353305323</v>
      </c>
      <c r="B11431" t="str">
        <f t="shared" si="461"/>
        <v>89301000</v>
      </c>
      <c r="C11431" s="1">
        <v>44282</v>
      </c>
      <c r="D11431" s="1">
        <v>44285</v>
      </c>
      <c r="E11431">
        <v>1</v>
      </c>
      <c r="F11431" t="s">
        <v>75</v>
      </c>
      <c r="G11431" t="str">
        <f>"14-M01-05"</f>
        <v>14-M01-05</v>
      </c>
      <c r="H11431">
        <v>0.54239999999999999</v>
      </c>
      <c r="I11431" t="s">
        <v>7565</v>
      </c>
      <c r="J11431" t="s">
        <v>59</v>
      </c>
      <c r="K11431" t="str">
        <f>"6F3"</f>
        <v>6F3</v>
      </c>
      <c r="L11431" t="s">
        <v>15</v>
      </c>
    </row>
    <row r="11432" spans="1:12" x14ac:dyDescent="0.25">
      <c r="A11432" t="str">
        <f>"8353314849"</f>
        <v>8353314849</v>
      </c>
      <c r="B11432" t="str">
        <f t="shared" si="461"/>
        <v>89301000</v>
      </c>
      <c r="C11432" s="1">
        <v>44340</v>
      </c>
      <c r="D11432" s="1">
        <v>44342</v>
      </c>
      <c r="E11432">
        <v>1</v>
      </c>
      <c r="F11432" t="s">
        <v>4541</v>
      </c>
      <c r="G11432" t="str">
        <f>"03-K04-01"</f>
        <v>03-K04-01</v>
      </c>
      <c r="H11432">
        <v>0.46660000000000001</v>
      </c>
      <c r="I11432" t="s">
        <v>7566</v>
      </c>
      <c r="J11432" t="s">
        <v>14</v>
      </c>
      <c r="K11432" t="str">
        <f>"7F1"</f>
        <v>7F1</v>
      </c>
      <c r="L11432" t="s">
        <v>15</v>
      </c>
    </row>
    <row r="11433" spans="1:12" x14ac:dyDescent="0.25">
      <c r="A11433" t="str">
        <f>"8354015758"</f>
        <v>8354015758</v>
      </c>
      <c r="B11433" t="str">
        <f t="shared" si="461"/>
        <v>89301000</v>
      </c>
      <c r="C11433" s="1">
        <v>44438</v>
      </c>
      <c r="D11433" s="1">
        <v>44442</v>
      </c>
      <c r="E11433">
        <v>1</v>
      </c>
      <c r="F11433" t="s">
        <v>31</v>
      </c>
      <c r="G11433" t="str">
        <f>"08-I04-03"</f>
        <v>08-I04-03</v>
      </c>
      <c r="H11433">
        <v>1.331</v>
      </c>
      <c r="J11433" t="s">
        <v>17</v>
      </c>
      <c r="K11433" t="str">
        <f>"5F6"</f>
        <v>5F6</v>
      </c>
      <c r="L11433" t="s">
        <v>15</v>
      </c>
    </row>
    <row r="11434" spans="1:12" x14ac:dyDescent="0.25">
      <c r="A11434" t="str">
        <f>"8354035316"</f>
        <v>8354035316</v>
      </c>
      <c r="B11434" t="str">
        <f t="shared" si="461"/>
        <v>89301000</v>
      </c>
      <c r="C11434" s="1">
        <v>44413</v>
      </c>
      <c r="D11434" s="1">
        <v>44415</v>
      </c>
      <c r="E11434">
        <v>1</v>
      </c>
      <c r="F11434" t="s">
        <v>1599</v>
      </c>
      <c r="G11434" t="str">
        <f>"05-I14-04"</f>
        <v>05-I14-04</v>
      </c>
      <c r="H11434">
        <v>5.4002999999999997</v>
      </c>
      <c r="I11434" t="s">
        <v>7567</v>
      </c>
      <c r="J11434" t="s">
        <v>14</v>
      </c>
      <c r="K11434" t="str">
        <f>"1F1"</f>
        <v>1F1</v>
      </c>
      <c r="L11434" t="s">
        <v>15</v>
      </c>
    </row>
    <row r="11435" spans="1:12" x14ac:dyDescent="0.25">
      <c r="A11435" t="str">
        <f>"8354035316"</f>
        <v>8354035316</v>
      </c>
      <c r="B11435" t="str">
        <f t="shared" si="461"/>
        <v>89301000</v>
      </c>
      <c r="C11435" s="1">
        <v>44390</v>
      </c>
      <c r="D11435" s="1">
        <v>44391</v>
      </c>
      <c r="E11435">
        <v>1</v>
      </c>
      <c r="F11435" t="s">
        <v>1650</v>
      </c>
      <c r="G11435" t="str">
        <f>"05-D01-06"</f>
        <v>05-D01-06</v>
      </c>
      <c r="H11435">
        <v>0.7611</v>
      </c>
      <c r="J11435" t="s">
        <v>14</v>
      </c>
      <c r="K11435" t="str">
        <f>"1F1"</f>
        <v>1F1</v>
      </c>
      <c r="L11435" t="s">
        <v>15</v>
      </c>
    </row>
    <row r="11436" spans="1:12" x14ac:dyDescent="0.25">
      <c r="A11436" t="str">
        <f>"8354044468"</f>
        <v>8354044468</v>
      </c>
      <c r="B11436" t="str">
        <f t="shared" si="461"/>
        <v>89301000</v>
      </c>
      <c r="C11436" s="1">
        <v>44369</v>
      </c>
      <c r="D11436" s="1">
        <v>44371</v>
      </c>
      <c r="E11436">
        <v>1</v>
      </c>
      <c r="F11436" t="s">
        <v>1606</v>
      </c>
      <c r="G11436" t="str">
        <f>"05-M05-02"</f>
        <v>05-M05-02</v>
      </c>
      <c r="H11436">
        <v>3.516</v>
      </c>
      <c r="I11436" t="s">
        <v>7568</v>
      </c>
      <c r="J11436" t="s">
        <v>24</v>
      </c>
      <c r="K11436" t="str">
        <f>"1F1"</f>
        <v>1F1</v>
      </c>
      <c r="L11436" t="s">
        <v>15</v>
      </c>
    </row>
    <row r="11437" spans="1:12" x14ac:dyDescent="0.25">
      <c r="A11437" t="str">
        <f>"8354104473"</f>
        <v>8354104473</v>
      </c>
      <c r="B11437" t="str">
        <f t="shared" si="461"/>
        <v>89301000</v>
      </c>
      <c r="C11437" s="1">
        <v>44218</v>
      </c>
      <c r="D11437" s="1">
        <v>44220</v>
      </c>
      <c r="E11437">
        <v>6</v>
      </c>
      <c r="F11437" t="s">
        <v>1690</v>
      </c>
      <c r="G11437" t="str">
        <f>"07-I10-06"</f>
        <v>07-I10-06</v>
      </c>
      <c r="H11437">
        <v>0.9728</v>
      </c>
      <c r="J11437" t="s">
        <v>17</v>
      </c>
      <c r="K11437" t="str">
        <f>"5F1"</f>
        <v>5F1</v>
      </c>
      <c r="L11437" t="s">
        <v>15</v>
      </c>
    </row>
    <row r="11438" spans="1:12" x14ac:dyDescent="0.25">
      <c r="A11438" t="str">
        <f>"8354115308"</f>
        <v>8354115308</v>
      </c>
      <c r="B11438" t="str">
        <f t="shared" si="461"/>
        <v>89301000</v>
      </c>
      <c r="C11438" s="1">
        <v>44464</v>
      </c>
      <c r="D11438" s="1">
        <v>44470</v>
      </c>
      <c r="E11438">
        <v>1</v>
      </c>
      <c r="F11438" t="s">
        <v>75</v>
      </c>
      <c r="G11438" t="str">
        <f>"14-M01-05"</f>
        <v>14-M01-05</v>
      </c>
      <c r="H11438">
        <v>0.54239999999999999</v>
      </c>
      <c r="I11438" t="s">
        <v>7304</v>
      </c>
      <c r="J11438" t="s">
        <v>59</v>
      </c>
      <c r="K11438" t="str">
        <f>"6F3"</f>
        <v>6F3</v>
      </c>
      <c r="L11438" t="s">
        <v>15</v>
      </c>
    </row>
    <row r="11439" spans="1:12" x14ac:dyDescent="0.25">
      <c r="A11439" t="str">
        <f>"8354185345"</f>
        <v>8354185345</v>
      </c>
      <c r="B11439" t="str">
        <f t="shared" si="461"/>
        <v>89301000</v>
      </c>
      <c r="C11439" s="1">
        <v>44285</v>
      </c>
      <c r="D11439" s="1">
        <v>44288</v>
      </c>
      <c r="E11439">
        <v>1</v>
      </c>
      <c r="F11439" t="s">
        <v>2527</v>
      </c>
      <c r="G11439" t="str">
        <f>"13-I14-03"</f>
        <v>13-I14-03</v>
      </c>
      <c r="H11439">
        <v>0.83199999999999996</v>
      </c>
      <c r="J11439" t="s">
        <v>24</v>
      </c>
      <c r="K11439" t="str">
        <f>"6F3"</f>
        <v>6F3</v>
      </c>
      <c r="L11439" t="s">
        <v>15</v>
      </c>
    </row>
    <row r="11440" spans="1:12" x14ac:dyDescent="0.25">
      <c r="A11440" t="str">
        <f>"8354225352"</f>
        <v>8354225352</v>
      </c>
      <c r="B11440" t="str">
        <f t="shared" si="461"/>
        <v>89301000</v>
      </c>
      <c r="C11440" s="1">
        <v>44387</v>
      </c>
      <c r="D11440" s="1">
        <v>44390</v>
      </c>
      <c r="E11440">
        <v>1</v>
      </c>
      <c r="F11440" t="s">
        <v>75</v>
      </c>
      <c r="G11440" t="str">
        <f>"14-M01-05"</f>
        <v>14-M01-05</v>
      </c>
      <c r="H11440">
        <v>0.54239999999999999</v>
      </c>
      <c r="I11440" t="s">
        <v>7569</v>
      </c>
      <c r="J11440" t="s">
        <v>59</v>
      </c>
      <c r="K11440" t="str">
        <f>"6F3"</f>
        <v>6F3</v>
      </c>
      <c r="L11440" t="s">
        <v>15</v>
      </c>
    </row>
    <row r="11441" spans="1:12" x14ac:dyDescent="0.25">
      <c r="A11441" t="str">
        <f>"8354255778"</f>
        <v>8354255778</v>
      </c>
      <c r="B11441" t="str">
        <f t="shared" si="461"/>
        <v>89301000</v>
      </c>
      <c r="C11441" s="1">
        <v>44343</v>
      </c>
      <c r="D11441" s="1">
        <v>44345</v>
      </c>
      <c r="E11441">
        <v>1</v>
      </c>
      <c r="F11441" t="s">
        <v>1132</v>
      </c>
      <c r="G11441" t="str">
        <f>"23-K04-02"</f>
        <v>23-K04-02</v>
      </c>
      <c r="H11441">
        <v>0.38690000000000002</v>
      </c>
      <c r="I11441" t="s">
        <v>7570</v>
      </c>
      <c r="J11441" t="s">
        <v>14</v>
      </c>
      <c r="K11441" t="str">
        <f>"2F9"</f>
        <v>2F9</v>
      </c>
      <c r="L11441" t="s">
        <v>15</v>
      </c>
    </row>
    <row r="11442" spans="1:12" x14ac:dyDescent="0.25">
      <c r="A11442" t="str">
        <f>"8354295334"</f>
        <v>8354295334</v>
      </c>
      <c r="B11442" t="str">
        <f t="shared" si="461"/>
        <v>89301000</v>
      </c>
      <c r="C11442" s="1">
        <v>44480</v>
      </c>
      <c r="D11442" s="1">
        <v>44487</v>
      </c>
      <c r="E11442">
        <v>1</v>
      </c>
      <c r="F11442" t="s">
        <v>7571</v>
      </c>
      <c r="G11442" t="str">
        <f>"10-I13-02"</f>
        <v>10-I13-02</v>
      </c>
      <c r="H11442">
        <v>1.1468</v>
      </c>
      <c r="I11442" t="s">
        <v>2805</v>
      </c>
      <c r="J11442" t="s">
        <v>24</v>
      </c>
      <c r="K11442" t="str">
        <f>"5F1"</f>
        <v>5F1</v>
      </c>
      <c r="L11442" t="s">
        <v>15</v>
      </c>
    </row>
    <row r="11443" spans="1:12" x14ac:dyDescent="0.25">
      <c r="A11443" t="str">
        <f>"8354295334"</f>
        <v>8354295334</v>
      </c>
      <c r="B11443" t="str">
        <f t="shared" si="461"/>
        <v>89301000</v>
      </c>
      <c r="C11443" s="1">
        <v>44512</v>
      </c>
      <c r="D11443" s="1">
        <v>44514</v>
      </c>
      <c r="E11443">
        <v>1</v>
      </c>
      <c r="F11443" t="s">
        <v>2805</v>
      </c>
      <c r="G11443" t="str">
        <f>"02-K11-02"</f>
        <v>02-K11-02</v>
      </c>
      <c r="H11443">
        <v>0.52180000000000004</v>
      </c>
      <c r="I11443" t="s">
        <v>5110</v>
      </c>
      <c r="J11443" t="s">
        <v>14</v>
      </c>
      <c r="K11443" t="str">
        <f>"1F1"</f>
        <v>1F1</v>
      </c>
      <c r="L11443" t="s">
        <v>15</v>
      </c>
    </row>
    <row r="11444" spans="1:12" x14ac:dyDescent="0.25">
      <c r="A11444" t="str">
        <f>"8354295334"</f>
        <v>8354295334</v>
      </c>
      <c r="B11444" t="str">
        <f t="shared" si="461"/>
        <v>89301000</v>
      </c>
      <c r="C11444" s="1">
        <v>44448</v>
      </c>
      <c r="D11444" s="1">
        <v>44450</v>
      </c>
      <c r="E11444">
        <v>1</v>
      </c>
      <c r="F11444" t="s">
        <v>2805</v>
      </c>
      <c r="G11444" t="str">
        <f>"02-K11-02"</f>
        <v>02-K11-02</v>
      </c>
      <c r="H11444">
        <v>0.52180000000000004</v>
      </c>
      <c r="I11444" t="s">
        <v>475</v>
      </c>
      <c r="J11444" t="s">
        <v>14</v>
      </c>
      <c r="K11444" t="str">
        <f>"1F1"</f>
        <v>1F1</v>
      </c>
      <c r="L11444" t="s">
        <v>15</v>
      </c>
    </row>
    <row r="11445" spans="1:12" x14ac:dyDescent="0.25">
      <c r="A11445" t="str">
        <f>"8355055357"</f>
        <v>8355055357</v>
      </c>
      <c r="B11445" t="str">
        <f t="shared" si="461"/>
        <v>89301000</v>
      </c>
      <c r="C11445" s="1">
        <v>44480</v>
      </c>
      <c r="D11445" s="1">
        <v>44484</v>
      </c>
      <c r="E11445">
        <v>1</v>
      </c>
      <c r="F11445" t="s">
        <v>51</v>
      </c>
      <c r="G11445" t="str">
        <f>"13-I17-00"</f>
        <v>13-I17-00</v>
      </c>
      <c r="H11445">
        <v>0.74590000000000001</v>
      </c>
      <c r="J11445" t="s">
        <v>24</v>
      </c>
      <c r="K11445" t="str">
        <f>"6F3"</f>
        <v>6F3</v>
      </c>
      <c r="L11445" t="s">
        <v>15</v>
      </c>
    </row>
    <row r="11446" spans="1:12" x14ac:dyDescent="0.25">
      <c r="A11446" t="str">
        <f>"8355065774"</f>
        <v>8355065774</v>
      </c>
      <c r="B11446" t="str">
        <f t="shared" si="461"/>
        <v>89301000</v>
      </c>
      <c r="C11446" s="1">
        <v>44388</v>
      </c>
      <c r="D11446" s="1">
        <v>44390</v>
      </c>
      <c r="E11446">
        <v>1</v>
      </c>
      <c r="F11446" t="s">
        <v>3292</v>
      </c>
      <c r="G11446" t="str">
        <f>"08-I15-02"</f>
        <v>08-I15-02</v>
      </c>
      <c r="H11446">
        <v>1.7266999999999999</v>
      </c>
      <c r="I11446" t="s">
        <v>512</v>
      </c>
      <c r="J11446" t="s">
        <v>17</v>
      </c>
      <c r="K11446" t="str">
        <f>"5F3"</f>
        <v>5F3</v>
      </c>
      <c r="L11446" t="s">
        <v>15</v>
      </c>
    </row>
    <row r="11447" spans="1:12" x14ac:dyDescent="0.25">
      <c r="A11447" t="str">
        <f>"8355115351"</f>
        <v>8355115351</v>
      </c>
      <c r="B11447" t="str">
        <f t="shared" si="461"/>
        <v>89301000</v>
      </c>
      <c r="C11447" s="1">
        <v>44500</v>
      </c>
      <c r="D11447" s="1">
        <v>44513</v>
      </c>
      <c r="E11447">
        <v>1</v>
      </c>
      <c r="F11447" t="s">
        <v>2495</v>
      </c>
      <c r="G11447" t="str">
        <f>"13-I11-03"</f>
        <v>13-I11-03</v>
      </c>
      <c r="H11447">
        <v>1.9936</v>
      </c>
      <c r="J11447" t="s">
        <v>24</v>
      </c>
      <c r="K11447" t="str">
        <f>"6F3"</f>
        <v>6F3</v>
      </c>
      <c r="L11447" t="s">
        <v>15</v>
      </c>
    </row>
    <row r="11448" spans="1:12" x14ac:dyDescent="0.25">
      <c r="A11448" t="str">
        <f>"8355115362"</f>
        <v>8355115362</v>
      </c>
      <c r="B11448" t="str">
        <f t="shared" si="461"/>
        <v>89301000</v>
      </c>
      <c r="C11448" s="1">
        <v>44241</v>
      </c>
      <c r="D11448" s="1">
        <v>44245</v>
      </c>
      <c r="E11448">
        <v>1</v>
      </c>
      <c r="F11448" t="s">
        <v>82</v>
      </c>
      <c r="G11448" t="str">
        <f>"14-I01-05"</f>
        <v>14-I01-05</v>
      </c>
      <c r="H11448">
        <v>0.80030000000000001</v>
      </c>
      <c r="I11448" t="s">
        <v>7572</v>
      </c>
      <c r="J11448" t="s">
        <v>59</v>
      </c>
      <c r="K11448" t="str">
        <f>"6F3"</f>
        <v>6F3</v>
      </c>
      <c r="L11448" t="s">
        <v>15</v>
      </c>
    </row>
    <row r="11449" spans="1:12" x14ac:dyDescent="0.25">
      <c r="A11449" t="str">
        <f>"8355305343"</f>
        <v>8355305343</v>
      </c>
      <c r="B11449" t="str">
        <f t="shared" si="461"/>
        <v>89301000</v>
      </c>
      <c r="C11449" s="1">
        <v>44538</v>
      </c>
      <c r="D11449" s="1">
        <v>44543</v>
      </c>
      <c r="E11449">
        <v>1</v>
      </c>
      <c r="F11449" t="s">
        <v>2008</v>
      </c>
      <c r="G11449" t="str">
        <f>"13-I11-03"</f>
        <v>13-I11-03</v>
      </c>
      <c r="H11449">
        <v>1.3809</v>
      </c>
      <c r="J11449" t="s">
        <v>24</v>
      </c>
      <c r="K11449" t="str">
        <f>"6F3"</f>
        <v>6F3</v>
      </c>
      <c r="L11449" t="s">
        <v>15</v>
      </c>
    </row>
    <row r="11450" spans="1:12" x14ac:dyDescent="0.25">
      <c r="A11450" t="str">
        <f>"8356085331"</f>
        <v>8356085331</v>
      </c>
      <c r="B11450" t="str">
        <f t="shared" si="461"/>
        <v>89301000</v>
      </c>
      <c r="C11450" s="1">
        <v>44322</v>
      </c>
      <c r="D11450" s="1">
        <v>44325</v>
      </c>
      <c r="E11450">
        <v>1</v>
      </c>
      <c r="F11450" t="s">
        <v>75</v>
      </c>
      <c r="G11450" t="str">
        <f>"14-M01-05"</f>
        <v>14-M01-05</v>
      </c>
      <c r="H11450">
        <v>0.54239999999999999</v>
      </c>
      <c r="I11450" t="s">
        <v>76</v>
      </c>
      <c r="J11450" t="s">
        <v>59</v>
      </c>
      <c r="K11450" t="str">
        <f>"6F3"</f>
        <v>6F3</v>
      </c>
      <c r="L11450" t="s">
        <v>15</v>
      </c>
    </row>
    <row r="11451" spans="1:12" x14ac:dyDescent="0.25">
      <c r="A11451" t="str">
        <f>"8356085331"</f>
        <v>8356085331</v>
      </c>
      <c r="B11451" t="str">
        <f t="shared" si="461"/>
        <v>89301000</v>
      </c>
      <c r="C11451" s="1">
        <v>44539</v>
      </c>
      <c r="D11451" s="1">
        <v>44546</v>
      </c>
      <c r="E11451">
        <v>1</v>
      </c>
      <c r="F11451" t="s">
        <v>7573</v>
      </c>
      <c r="G11451" t="str">
        <f>"08-K08-00"</f>
        <v>08-K08-00</v>
      </c>
      <c r="H11451">
        <v>0.51670000000000005</v>
      </c>
      <c r="I11451" t="s">
        <v>7574</v>
      </c>
      <c r="J11451" t="s">
        <v>14</v>
      </c>
      <c r="K11451" t="str">
        <f>"2F9"</f>
        <v>2F9</v>
      </c>
      <c r="L11451" t="s">
        <v>15</v>
      </c>
    </row>
    <row r="11452" spans="1:12" x14ac:dyDescent="0.25">
      <c r="A11452" t="str">
        <f>"8356112743"</f>
        <v>8356112743</v>
      </c>
      <c r="B11452" t="str">
        <f t="shared" si="461"/>
        <v>89301000</v>
      </c>
      <c r="C11452" s="1">
        <v>44368</v>
      </c>
      <c r="D11452" s="1">
        <v>44371</v>
      </c>
      <c r="E11452">
        <v>1</v>
      </c>
      <c r="F11452" t="s">
        <v>4925</v>
      </c>
      <c r="G11452" t="str">
        <f>"19-K01-03"</f>
        <v>19-K01-03</v>
      </c>
      <c r="H11452">
        <v>0.60250000000000004</v>
      </c>
      <c r="I11452" t="s">
        <v>7575</v>
      </c>
      <c r="J11452" t="s">
        <v>27</v>
      </c>
      <c r="K11452" t="str">
        <f>"2F9"</f>
        <v>2F9</v>
      </c>
      <c r="L11452" t="s">
        <v>15</v>
      </c>
    </row>
    <row r="11453" spans="1:12" x14ac:dyDescent="0.25">
      <c r="A11453" t="str">
        <f>"8356165323"</f>
        <v>8356165323</v>
      </c>
      <c r="B11453" t="str">
        <f t="shared" si="461"/>
        <v>89301000</v>
      </c>
      <c r="C11453" s="1">
        <v>44547</v>
      </c>
      <c r="D11453" s="1">
        <v>44548</v>
      </c>
      <c r="E11453">
        <v>6</v>
      </c>
      <c r="F11453" t="s">
        <v>4382</v>
      </c>
      <c r="G11453" t="str">
        <f>"05-I30-01"</f>
        <v>05-I30-01</v>
      </c>
      <c r="H11453">
        <v>0.64139999999999997</v>
      </c>
      <c r="I11453" t="s">
        <v>348</v>
      </c>
      <c r="J11453" t="s">
        <v>14</v>
      </c>
      <c r="K11453" t="str">
        <f>"5T1"</f>
        <v>5T1</v>
      </c>
      <c r="L11453" t="s">
        <v>15</v>
      </c>
    </row>
    <row r="11454" spans="1:12" x14ac:dyDescent="0.25">
      <c r="A11454" t="str">
        <f>"8356245326"</f>
        <v>8356245326</v>
      </c>
      <c r="B11454" t="str">
        <f t="shared" si="461"/>
        <v>89301000</v>
      </c>
      <c r="C11454" s="1">
        <v>44210</v>
      </c>
      <c r="D11454" s="1">
        <v>44211</v>
      </c>
      <c r="E11454">
        <v>1</v>
      </c>
      <c r="F11454" t="s">
        <v>187</v>
      </c>
      <c r="G11454" t="str">
        <f>"14-I08-03"</f>
        <v>14-I08-03</v>
      </c>
      <c r="H11454">
        <v>0.21099999999999999</v>
      </c>
      <c r="J11454" t="s">
        <v>14</v>
      </c>
      <c r="K11454" t="str">
        <f>"6F3"</f>
        <v>6F3</v>
      </c>
      <c r="L11454" t="s">
        <v>15</v>
      </c>
    </row>
    <row r="11455" spans="1:12" x14ac:dyDescent="0.25">
      <c r="A11455" t="str">
        <f>"8356284475"</f>
        <v>8356284475</v>
      </c>
      <c r="B11455" t="str">
        <f t="shared" si="461"/>
        <v>89301000</v>
      </c>
      <c r="C11455" s="1">
        <v>44246</v>
      </c>
      <c r="D11455" s="1">
        <v>44248</v>
      </c>
      <c r="E11455">
        <v>1</v>
      </c>
      <c r="F11455" t="s">
        <v>550</v>
      </c>
      <c r="G11455" t="str">
        <f>"07-M02-04"</f>
        <v>07-M02-04</v>
      </c>
      <c r="H11455">
        <v>0.87039999999999995</v>
      </c>
      <c r="I11455" t="s">
        <v>7576</v>
      </c>
      <c r="J11455" t="s">
        <v>17</v>
      </c>
      <c r="K11455" t="str">
        <f>"1F5"</f>
        <v>1F5</v>
      </c>
      <c r="L11455" t="s">
        <v>15</v>
      </c>
    </row>
    <row r="11456" spans="1:12" x14ac:dyDescent="0.25">
      <c r="A11456" t="str">
        <f>"8357049943"</f>
        <v>8357049943</v>
      </c>
      <c r="B11456" t="str">
        <f t="shared" si="461"/>
        <v>89301000</v>
      </c>
      <c r="C11456" s="1">
        <v>44327</v>
      </c>
      <c r="D11456" s="1">
        <v>44364</v>
      </c>
      <c r="E11456">
        <v>1</v>
      </c>
      <c r="F11456" t="s">
        <v>7577</v>
      </c>
      <c r="G11456" t="str">
        <f>"19-K07-02"</f>
        <v>19-K07-02</v>
      </c>
      <c r="H11456">
        <v>2.8759999999999999</v>
      </c>
      <c r="I11456" t="s">
        <v>168</v>
      </c>
      <c r="J11456" t="s">
        <v>27</v>
      </c>
      <c r="K11456" t="str">
        <f>"3F5"</f>
        <v>3F5</v>
      </c>
      <c r="L11456" t="s">
        <v>15</v>
      </c>
    </row>
    <row r="11457" spans="1:12" x14ac:dyDescent="0.25">
      <c r="A11457" t="str">
        <f>"8357215757"</f>
        <v>8357215757</v>
      </c>
      <c r="B11457" t="str">
        <f t="shared" si="461"/>
        <v>89301000</v>
      </c>
      <c r="C11457" s="1">
        <v>44271</v>
      </c>
      <c r="D11457" s="1">
        <v>44280</v>
      </c>
      <c r="E11457">
        <v>1</v>
      </c>
      <c r="F11457" t="s">
        <v>61</v>
      </c>
      <c r="G11457" t="str">
        <f>"14-I01-05"</f>
        <v>14-I01-05</v>
      </c>
      <c r="H11457">
        <v>0.87990000000000002</v>
      </c>
      <c r="I11457" t="s">
        <v>7578</v>
      </c>
      <c r="J11457" t="s">
        <v>59</v>
      </c>
      <c r="K11457" t="str">
        <f>"6F3"</f>
        <v>6F3</v>
      </c>
      <c r="L11457" t="s">
        <v>15</v>
      </c>
    </row>
    <row r="11458" spans="1:12" x14ac:dyDescent="0.25">
      <c r="A11458" t="str">
        <f>"8357223952"</f>
        <v>8357223952</v>
      </c>
      <c r="B11458" t="str">
        <f t="shared" si="461"/>
        <v>89301000</v>
      </c>
      <c r="C11458" s="1">
        <v>44242</v>
      </c>
      <c r="D11458" s="1">
        <v>44245</v>
      </c>
      <c r="E11458">
        <v>1</v>
      </c>
      <c r="F11458" t="s">
        <v>74</v>
      </c>
      <c r="G11458" t="str">
        <f>"14-K03-02"</f>
        <v>14-K03-02</v>
      </c>
      <c r="H11458">
        <v>0.2646</v>
      </c>
      <c r="J11458" t="s">
        <v>14</v>
      </c>
      <c r="K11458" t="str">
        <f>"6F3"</f>
        <v>6F3</v>
      </c>
      <c r="L11458" t="s">
        <v>15</v>
      </c>
    </row>
    <row r="11459" spans="1:12" x14ac:dyDescent="0.25">
      <c r="A11459" t="str">
        <f>"8357223952"</f>
        <v>8357223952</v>
      </c>
      <c r="B11459" t="str">
        <f t="shared" si="461"/>
        <v>89301000</v>
      </c>
      <c r="C11459" s="1">
        <v>44464</v>
      </c>
      <c r="D11459" s="1">
        <v>44467</v>
      </c>
      <c r="E11459">
        <v>1</v>
      </c>
      <c r="F11459" t="s">
        <v>75</v>
      </c>
      <c r="G11459" t="str">
        <f>"14-M01-05"</f>
        <v>14-M01-05</v>
      </c>
      <c r="H11459">
        <v>0.54239999999999999</v>
      </c>
      <c r="I11459" t="s">
        <v>76</v>
      </c>
      <c r="J11459" t="s">
        <v>59</v>
      </c>
      <c r="K11459" t="str">
        <f>"6F3"</f>
        <v>6F3</v>
      </c>
      <c r="L11459" t="s">
        <v>15</v>
      </c>
    </row>
    <row r="11460" spans="1:12" x14ac:dyDescent="0.25">
      <c r="A11460" t="str">
        <f>"8357275322"</f>
        <v>8357275322</v>
      </c>
      <c r="B11460" t="str">
        <f t="shared" si="461"/>
        <v>89301000</v>
      </c>
      <c r="C11460" s="1">
        <v>44459</v>
      </c>
      <c r="D11460" s="1">
        <v>44462</v>
      </c>
      <c r="E11460">
        <v>1</v>
      </c>
      <c r="F11460" t="s">
        <v>2527</v>
      </c>
      <c r="G11460" t="str">
        <f>"13-I14-03"</f>
        <v>13-I14-03</v>
      </c>
      <c r="H11460">
        <v>0.83199999999999996</v>
      </c>
      <c r="J11460" t="s">
        <v>24</v>
      </c>
      <c r="K11460" t="str">
        <f>"6F3"</f>
        <v>6F3</v>
      </c>
      <c r="L11460" t="s">
        <v>15</v>
      </c>
    </row>
    <row r="11461" spans="1:12" x14ac:dyDescent="0.25">
      <c r="A11461" t="str">
        <f>"8358044475"</f>
        <v>8358044475</v>
      </c>
      <c r="B11461" t="str">
        <f t="shared" si="461"/>
        <v>89301000</v>
      </c>
      <c r="C11461" s="1">
        <v>44439</v>
      </c>
      <c r="D11461" s="1">
        <v>44441</v>
      </c>
      <c r="E11461">
        <v>1</v>
      </c>
      <c r="F11461" t="s">
        <v>75</v>
      </c>
      <c r="G11461" t="str">
        <f>"14-M01-05"</f>
        <v>14-M01-05</v>
      </c>
      <c r="H11461">
        <v>0.54239999999999999</v>
      </c>
      <c r="I11461" t="s">
        <v>180</v>
      </c>
      <c r="J11461" t="s">
        <v>59</v>
      </c>
      <c r="K11461" t="str">
        <f>"6F3"</f>
        <v>6F3</v>
      </c>
      <c r="L11461" t="s">
        <v>15</v>
      </c>
    </row>
    <row r="11462" spans="1:12" x14ac:dyDescent="0.25">
      <c r="A11462" t="str">
        <f>"8358055354"</f>
        <v>8358055354</v>
      </c>
      <c r="B11462" t="str">
        <f t="shared" si="461"/>
        <v>89301000</v>
      </c>
      <c r="C11462" s="1">
        <v>44493</v>
      </c>
      <c r="D11462" s="1">
        <v>44504</v>
      </c>
      <c r="E11462">
        <v>1</v>
      </c>
      <c r="F11462" t="s">
        <v>7579</v>
      </c>
      <c r="G11462" t="str">
        <f>"20-K04-02"</f>
        <v>20-K04-02</v>
      </c>
      <c r="H11462">
        <v>1.4984</v>
      </c>
      <c r="I11462" t="s">
        <v>7580</v>
      </c>
      <c r="J11462" t="s">
        <v>14</v>
      </c>
      <c r="K11462" t="str">
        <f>"3F5"</f>
        <v>3F5</v>
      </c>
      <c r="L11462" t="s">
        <v>15</v>
      </c>
    </row>
    <row r="11463" spans="1:12" x14ac:dyDescent="0.25">
      <c r="A11463" t="str">
        <f>"8358265344"</f>
        <v>8358265344</v>
      </c>
      <c r="B11463" t="str">
        <f t="shared" si="461"/>
        <v>89301000</v>
      </c>
      <c r="C11463" s="1">
        <v>44244</v>
      </c>
      <c r="D11463" s="1">
        <v>44245</v>
      </c>
      <c r="E11463">
        <v>1</v>
      </c>
      <c r="F11463" t="s">
        <v>210</v>
      </c>
      <c r="G11463" t="str">
        <f>"08-I15-03"</f>
        <v>08-I15-03</v>
      </c>
      <c r="H11463">
        <v>1.1838</v>
      </c>
      <c r="I11463" t="s">
        <v>196</v>
      </c>
      <c r="J11463" t="s">
        <v>17</v>
      </c>
      <c r="K11463" t="str">
        <f>"5F3"</f>
        <v>5F3</v>
      </c>
      <c r="L11463" t="s">
        <v>15</v>
      </c>
    </row>
    <row r="11464" spans="1:12" x14ac:dyDescent="0.25">
      <c r="A11464" t="str">
        <f>"8358284473"</f>
        <v>8358284473</v>
      </c>
      <c r="B11464" t="str">
        <f t="shared" si="461"/>
        <v>89301000</v>
      </c>
      <c r="C11464" s="1">
        <v>44515</v>
      </c>
      <c r="D11464" s="1">
        <v>44518</v>
      </c>
      <c r="E11464">
        <v>1</v>
      </c>
      <c r="F11464" t="s">
        <v>266</v>
      </c>
      <c r="G11464" t="str">
        <f>"13-I14-03"</f>
        <v>13-I14-03</v>
      </c>
      <c r="H11464">
        <v>0.83199999999999996</v>
      </c>
      <c r="J11464" t="s">
        <v>24</v>
      </c>
      <c r="K11464" t="str">
        <f>"6F3"</f>
        <v>6F3</v>
      </c>
      <c r="L11464" t="s">
        <v>15</v>
      </c>
    </row>
    <row r="11465" spans="1:12" x14ac:dyDescent="0.25">
      <c r="A11465" t="str">
        <f>"8358294461"</f>
        <v>8358294461</v>
      </c>
      <c r="B11465" t="str">
        <f t="shared" si="461"/>
        <v>89301000</v>
      </c>
      <c r="C11465" s="1">
        <v>44297</v>
      </c>
      <c r="D11465" s="1">
        <v>44300</v>
      </c>
      <c r="E11465">
        <v>1</v>
      </c>
      <c r="F11465" t="s">
        <v>81</v>
      </c>
      <c r="G11465" t="str">
        <f>"10-I13-02"</f>
        <v>10-I13-02</v>
      </c>
      <c r="H11465">
        <v>1.1468</v>
      </c>
      <c r="J11465" t="s">
        <v>24</v>
      </c>
      <c r="K11465" t="str">
        <f>"5F5"</f>
        <v>5F5</v>
      </c>
      <c r="L11465" t="s">
        <v>15</v>
      </c>
    </row>
    <row r="11466" spans="1:12" x14ac:dyDescent="0.25">
      <c r="A11466" t="str">
        <f>"8358305362"</f>
        <v>8358305362</v>
      </c>
      <c r="B11466" t="str">
        <f t="shared" si="461"/>
        <v>89301000</v>
      </c>
      <c r="C11466" s="1">
        <v>44390</v>
      </c>
      <c r="D11466" s="1">
        <v>44393</v>
      </c>
      <c r="E11466">
        <v>1</v>
      </c>
      <c r="F11466" t="s">
        <v>75</v>
      </c>
      <c r="G11466" t="str">
        <f>"14-M01-05"</f>
        <v>14-M01-05</v>
      </c>
      <c r="H11466">
        <v>0.54239999999999999</v>
      </c>
      <c r="I11466" t="s">
        <v>7554</v>
      </c>
      <c r="J11466" t="s">
        <v>59</v>
      </c>
      <c r="K11466" t="str">
        <f>"6F3"</f>
        <v>6F3</v>
      </c>
      <c r="L11466" t="s">
        <v>15</v>
      </c>
    </row>
    <row r="11467" spans="1:12" x14ac:dyDescent="0.25">
      <c r="A11467" t="str">
        <f>"8359065781"</f>
        <v>8359065781</v>
      </c>
      <c r="B11467" t="str">
        <f t="shared" si="461"/>
        <v>89301000</v>
      </c>
      <c r="C11467" s="1">
        <v>44292</v>
      </c>
      <c r="D11467" s="1">
        <v>44296</v>
      </c>
      <c r="E11467">
        <v>1</v>
      </c>
      <c r="F11467" t="s">
        <v>61</v>
      </c>
      <c r="G11467" t="str">
        <f>"14-I01-05"</f>
        <v>14-I01-05</v>
      </c>
      <c r="H11467">
        <v>0.80030000000000001</v>
      </c>
      <c r="I11467" t="s">
        <v>7581</v>
      </c>
      <c r="J11467" t="s">
        <v>59</v>
      </c>
      <c r="K11467" t="str">
        <f>"6F3"</f>
        <v>6F3</v>
      </c>
      <c r="L11467" t="s">
        <v>15</v>
      </c>
    </row>
    <row r="11468" spans="1:12" x14ac:dyDescent="0.25">
      <c r="A11468" t="str">
        <f>"8359095789"</f>
        <v>8359095789</v>
      </c>
      <c r="B11468" t="str">
        <f t="shared" si="461"/>
        <v>89301000</v>
      </c>
      <c r="C11468" s="1">
        <v>44307</v>
      </c>
      <c r="D11468" s="1">
        <v>44311</v>
      </c>
      <c r="E11468">
        <v>1</v>
      </c>
      <c r="F11468" t="s">
        <v>39</v>
      </c>
      <c r="G11468" t="str">
        <f>"03-I19-03"</f>
        <v>03-I19-03</v>
      </c>
      <c r="H11468">
        <v>0.60699999999999998</v>
      </c>
      <c r="I11468" t="s">
        <v>875</v>
      </c>
      <c r="J11468" t="s">
        <v>14</v>
      </c>
      <c r="K11468" t="str">
        <f>"6F5"</f>
        <v>6F5</v>
      </c>
      <c r="L11468" t="s">
        <v>15</v>
      </c>
    </row>
    <row r="11469" spans="1:12" x14ac:dyDescent="0.25">
      <c r="A11469" t="str">
        <f>"8359165760"</f>
        <v>8359165760</v>
      </c>
      <c r="B11469" t="str">
        <f t="shared" si="461"/>
        <v>89301000</v>
      </c>
      <c r="C11469" s="1">
        <v>44475</v>
      </c>
      <c r="D11469" s="1">
        <v>44480</v>
      </c>
      <c r="E11469">
        <v>1</v>
      </c>
      <c r="F11469" t="s">
        <v>7582</v>
      </c>
      <c r="G11469" t="str">
        <f>"13-I04-01"</f>
        <v>13-I04-01</v>
      </c>
      <c r="H11469">
        <v>2.6413000000000002</v>
      </c>
      <c r="J11469" t="s">
        <v>14</v>
      </c>
      <c r="K11469" t="str">
        <f>"6F3"</f>
        <v>6F3</v>
      </c>
      <c r="L11469" t="s">
        <v>15</v>
      </c>
    </row>
    <row r="11470" spans="1:12" x14ac:dyDescent="0.25">
      <c r="A11470" t="str">
        <f>"8359175319"</f>
        <v>8359175319</v>
      </c>
      <c r="B11470" t="str">
        <f t="shared" si="461"/>
        <v>89301000</v>
      </c>
      <c r="C11470" s="1">
        <v>44348</v>
      </c>
      <c r="D11470" s="1">
        <v>44354</v>
      </c>
      <c r="E11470">
        <v>1</v>
      </c>
      <c r="F11470" t="s">
        <v>283</v>
      </c>
      <c r="G11470" t="str">
        <f>"16-K02-02"</f>
        <v>16-K02-02</v>
      </c>
      <c r="H11470">
        <v>0.77459999999999996</v>
      </c>
      <c r="I11470" t="s">
        <v>7583</v>
      </c>
      <c r="J11470" t="s">
        <v>14</v>
      </c>
      <c r="K11470" t="str">
        <f>"1F1"</f>
        <v>1F1</v>
      </c>
      <c r="L11470" t="s">
        <v>15</v>
      </c>
    </row>
    <row r="11471" spans="1:12" x14ac:dyDescent="0.25">
      <c r="A11471" t="str">
        <f>"8359195339"</f>
        <v>8359195339</v>
      </c>
      <c r="B11471" t="str">
        <f t="shared" si="461"/>
        <v>89301000</v>
      </c>
      <c r="C11471" s="1">
        <v>44330</v>
      </c>
      <c r="D11471" s="1">
        <v>44334</v>
      </c>
      <c r="E11471">
        <v>1</v>
      </c>
      <c r="F11471" t="s">
        <v>61</v>
      </c>
      <c r="G11471" t="str">
        <f>"14-I01-05"</f>
        <v>14-I01-05</v>
      </c>
      <c r="H11471">
        <v>0.80030000000000001</v>
      </c>
      <c r="I11471" t="s">
        <v>7584</v>
      </c>
      <c r="J11471" t="s">
        <v>59</v>
      </c>
      <c r="K11471" t="str">
        <f>"6F3"</f>
        <v>6F3</v>
      </c>
      <c r="L11471" t="s">
        <v>15</v>
      </c>
    </row>
    <row r="11472" spans="1:12" x14ac:dyDescent="0.25">
      <c r="A11472" t="str">
        <f>"8359265321"</f>
        <v>8359265321</v>
      </c>
      <c r="B11472" t="str">
        <f t="shared" si="461"/>
        <v>89301000</v>
      </c>
      <c r="C11472" s="1">
        <v>44289</v>
      </c>
      <c r="D11472" s="1">
        <v>44295</v>
      </c>
      <c r="E11472">
        <v>1</v>
      </c>
      <c r="F11472" t="s">
        <v>324</v>
      </c>
      <c r="G11472" t="str">
        <f>"06-K01-02"</f>
        <v>06-K01-02</v>
      </c>
      <c r="H11472">
        <v>1.2551000000000001</v>
      </c>
      <c r="I11472" t="s">
        <v>7585</v>
      </c>
      <c r="J11472" t="s">
        <v>14</v>
      </c>
      <c r="K11472" t="str">
        <f>"1F5"</f>
        <v>1F5</v>
      </c>
      <c r="L11472" t="s">
        <v>15</v>
      </c>
    </row>
    <row r="11473" spans="1:12" x14ac:dyDescent="0.25">
      <c r="A11473" t="str">
        <f>"8359265321"</f>
        <v>8359265321</v>
      </c>
      <c r="B11473" t="str">
        <f t="shared" si="461"/>
        <v>89301000</v>
      </c>
      <c r="C11473" s="1">
        <v>44333</v>
      </c>
      <c r="D11473" s="1">
        <v>44335</v>
      </c>
      <c r="E11473">
        <v>1</v>
      </c>
      <c r="F11473" t="s">
        <v>75</v>
      </c>
      <c r="G11473" t="str">
        <f>"14-M01-05"</f>
        <v>14-M01-05</v>
      </c>
      <c r="H11473">
        <v>0.54239999999999999</v>
      </c>
      <c r="J11473" t="s">
        <v>59</v>
      </c>
      <c r="K11473" t="str">
        <f>"6F3"</f>
        <v>6F3</v>
      </c>
      <c r="L11473" t="s">
        <v>15</v>
      </c>
    </row>
    <row r="11474" spans="1:12" x14ac:dyDescent="0.25">
      <c r="A11474" t="str">
        <f>"8359265321"</f>
        <v>8359265321</v>
      </c>
      <c r="B11474" t="str">
        <f t="shared" si="461"/>
        <v>89301000</v>
      </c>
      <c r="C11474" s="1">
        <v>44261</v>
      </c>
      <c r="D11474" s="1">
        <v>44280</v>
      </c>
      <c r="E11474">
        <v>1</v>
      </c>
      <c r="F11474" t="s">
        <v>60</v>
      </c>
      <c r="G11474" t="str">
        <f>"00-M02-04"</f>
        <v>00-M02-04</v>
      </c>
      <c r="H11474">
        <v>12.071199999999999</v>
      </c>
      <c r="I11474" t="s">
        <v>4285</v>
      </c>
      <c r="J11474" t="s">
        <v>14</v>
      </c>
      <c r="K11474" t="str">
        <f>"6F3"</f>
        <v>6F3</v>
      </c>
      <c r="L11474" t="s">
        <v>15</v>
      </c>
    </row>
    <row r="11475" spans="1:12" x14ac:dyDescent="0.25">
      <c r="A11475" t="str">
        <f>"8359295307"</f>
        <v>8359295307</v>
      </c>
      <c r="B11475" t="str">
        <f t="shared" si="461"/>
        <v>89301000</v>
      </c>
      <c r="C11475" s="1">
        <v>44497</v>
      </c>
      <c r="D11475" s="1">
        <v>44500</v>
      </c>
      <c r="E11475">
        <v>1</v>
      </c>
      <c r="F11475" t="s">
        <v>632</v>
      </c>
      <c r="G11475" t="str">
        <f>"06-I17-04"</f>
        <v>06-I17-04</v>
      </c>
      <c r="H11475">
        <v>0.49940000000000001</v>
      </c>
      <c r="J11475" t="s">
        <v>17</v>
      </c>
      <c r="K11475" t="str">
        <f>"5F1"</f>
        <v>5F1</v>
      </c>
      <c r="L11475" t="s">
        <v>15</v>
      </c>
    </row>
    <row r="11476" spans="1:12" x14ac:dyDescent="0.25">
      <c r="A11476" t="str">
        <f>"8359295340"</f>
        <v>8359295340</v>
      </c>
      <c r="B11476" t="str">
        <f t="shared" si="461"/>
        <v>89301000</v>
      </c>
      <c r="C11476" s="1">
        <v>44294</v>
      </c>
      <c r="D11476" s="1">
        <v>44296</v>
      </c>
      <c r="E11476">
        <v>1</v>
      </c>
      <c r="F11476" t="s">
        <v>266</v>
      </c>
      <c r="G11476" t="str">
        <f>"13-K02-00"</f>
        <v>13-K02-00</v>
      </c>
      <c r="H11476">
        <v>0.24079999999999999</v>
      </c>
      <c r="J11476" t="s">
        <v>14</v>
      </c>
      <c r="K11476" t="str">
        <f>"6F3"</f>
        <v>6F3</v>
      </c>
      <c r="L11476" t="s">
        <v>15</v>
      </c>
    </row>
    <row r="11477" spans="1:12" x14ac:dyDescent="0.25">
      <c r="A11477" t="str">
        <f>"8360045331"</f>
        <v>8360045331</v>
      </c>
      <c r="B11477" t="str">
        <f t="shared" si="461"/>
        <v>89301000</v>
      </c>
      <c r="C11477" s="1">
        <v>44342</v>
      </c>
      <c r="D11477" s="1">
        <v>44346</v>
      </c>
      <c r="E11477">
        <v>1</v>
      </c>
      <c r="F11477" t="s">
        <v>31</v>
      </c>
      <c r="G11477" t="str">
        <f>"08-I04-03"</f>
        <v>08-I04-03</v>
      </c>
      <c r="H11477">
        <v>1.331</v>
      </c>
      <c r="I11477" t="s">
        <v>2257</v>
      </c>
      <c r="J11477" t="s">
        <v>17</v>
      </c>
      <c r="K11477" t="str">
        <f>"5F6"</f>
        <v>5F6</v>
      </c>
      <c r="L11477" t="s">
        <v>15</v>
      </c>
    </row>
    <row r="11478" spans="1:12" x14ac:dyDescent="0.25">
      <c r="A11478" t="str">
        <f>"8360075328"</f>
        <v>8360075328</v>
      </c>
      <c r="B11478" t="str">
        <f t="shared" si="461"/>
        <v>89301000</v>
      </c>
      <c r="C11478" s="1">
        <v>44438</v>
      </c>
      <c r="D11478" s="1">
        <v>44441</v>
      </c>
      <c r="E11478">
        <v>1</v>
      </c>
      <c r="F11478" t="s">
        <v>7586</v>
      </c>
      <c r="G11478" t="str">
        <f>"13-I18-03"</f>
        <v>13-I18-03</v>
      </c>
      <c r="H11478">
        <v>0.63680000000000003</v>
      </c>
      <c r="J11478" t="s">
        <v>14</v>
      </c>
      <c r="K11478" t="str">
        <f t="shared" ref="K11478:K11483" si="462">"6F3"</f>
        <v>6F3</v>
      </c>
      <c r="L11478" t="s">
        <v>15</v>
      </c>
    </row>
    <row r="11479" spans="1:12" x14ac:dyDescent="0.25">
      <c r="A11479" t="str">
        <f>"8360105314"</f>
        <v>8360105314</v>
      </c>
      <c r="B11479" t="str">
        <f t="shared" si="461"/>
        <v>89301000</v>
      </c>
      <c r="C11479" s="1">
        <v>44271</v>
      </c>
      <c r="D11479" s="1">
        <v>44286</v>
      </c>
      <c r="E11479">
        <v>1</v>
      </c>
      <c r="F11479" t="s">
        <v>187</v>
      </c>
      <c r="G11479" t="str">
        <f>"14-I08-03"</f>
        <v>14-I08-03</v>
      </c>
      <c r="H11479">
        <v>1.0261</v>
      </c>
      <c r="J11479" t="s">
        <v>14</v>
      </c>
      <c r="K11479" t="str">
        <f t="shared" si="462"/>
        <v>6F3</v>
      </c>
      <c r="L11479" t="s">
        <v>15</v>
      </c>
    </row>
    <row r="11480" spans="1:12" x14ac:dyDescent="0.25">
      <c r="A11480" t="str">
        <f>"8360115324"</f>
        <v>8360115324</v>
      </c>
      <c r="B11480" t="str">
        <f t="shared" si="461"/>
        <v>89301000</v>
      </c>
      <c r="C11480" s="1">
        <v>44489</v>
      </c>
      <c r="D11480" s="1">
        <v>44494</v>
      </c>
      <c r="E11480">
        <v>1</v>
      </c>
      <c r="F11480" t="s">
        <v>61</v>
      </c>
      <c r="G11480" t="str">
        <f>"14-I01-05"</f>
        <v>14-I01-05</v>
      </c>
      <c r="H11480">
        <v>0.80030000000000001</v>
      </c>
      <c r="I11480" t="s">
        <v>62</v>
      </c>
      <c r="J11480" t="s">
        <v>59</v>
      </c>
      <c r="K11480" t="str">
        <f t="shared" si="462"/>
        <v>6F3</v>
      </c>
      <c r="L11480" t="s">
        <v>15</v>
      </c>
    </row>
    <row r="11481" spans="1:12" x14ac:dyDescent="0.25">
      <c r="A11481" t="str">
        <f>"8360155309"</f>
        <v>8360155309</v>
      </c>
      <c r="B11481" t="str">
        <f t="shared" si="461"/>
        <v>89301000</v>
      </c>
      <c r="C11481" s="1">
        <v>44253</v>
      </c>
      <c r="D11481" s="1">
        <v>44256</v>
      </c>
      <c r="E11481">
        <v>1</v>
      </c>
      <c r="F11481" t="s">
        <v>75</v>
      </c>
      <c r="G11481" t="str">
        <f>"14-M01-05"</f>
        <v>14-M01-05</v>
      </c>
      <c r="H11481">
        <v>0.54239999999999999</v>
      </c>
      <c r="I11481" t="s">
        <v>7587</v>
      </c>
      <c r="J11481" t="s">
        <v>59</v>
      </c>
      <c r="K11481" t="str">
        <f t="shared" si="462"/>
        <v>6F3</v>
      </c>
      <c r="L11481" t="s">
        <v>15</v>
      </c>
    </row>
    <row r="11482" spans="1:12" x14ac:dyDescent="0.25">
      <c r="A11482" t="str">
        <f>"8360155331"</f>
        <v>8360155331</v>
      </c>
      <c r="B11482" t="str">
        <f t="shared" si="461"/>
        <v>89301000</v>
      </c>
      <c r="C11482" s="1">
        <v>44551</v>
      </c>
      <c r="D11482" s="1">
        <v>44553</v>
      </c>
      <c r="E11482">
        <v>1</v>
      </c>
      <c r="F11482" t="s">
        <v>75</v>
      </c>
      <c r="G11482" t="str">
        <f>"14-M01-01"</f>
        <v>14-M01-01</v>
      </c>
      <c r="H11482">
        <v>0.88219999999999998</v>
      </c>
      <c r="I11482" t="s">
        <v>7588</v>
      </c>
      <c r="J11482" t="s">
        <v>59</v>
      </c>
      <c r="K11482" t="str">
        <f t="shared" si="462"/>
        <v>6F3</v>
      </c>
      <c r="L11482" t="s">
        <v>15</v>
      </c>
    </row>
    <row r="11483" spans="1:12" x14ac:dyDescent="0.25">
      <c r="A11483" t="str">
        <f>"8360195327"</f>
        <v>8360195327</v>
      </c>
      <c r="B11483" t="str">
        <f t="shared" si="461"/>
        <v>89301000</v>
      </c>
      <c r="C11483" s="1">
        <v>44445</v>
      </c>
      <c r="D11483" s="1">
        <v>44451</v>
      </c>
      <c r="E11483">
        <v>1</v>
      </c>
      <c r="F11483" t="s">
        <v>82</v>
      </c>
      <c r="G11483" t="str">
        <f>"14-I01-02"</f>
        <v>14-I01-02</v>
      </c>
      <c r="H11483">
        <v>1.1289</v>
      </c>
      <c r="I11483" t="s">
        <v>7589</v>
      </c>
      <c r="J11483" t="s">
        <v>59</v>
      </c>
      <c r="K11483" t="str">
        <f t="shared" si="462"/>
        <v>6F3</v>
      </c>
      <c r="L11483" t="s">
        <v>15</v>
      </c>
    </row>
    <row r="11484" spans="1:12" x14ac:dyDescent="0.25">
      <c r="A11484" t="str">
        <f>"8360265320"</f>
        <v>8360265320</v>
      </c>
      <c r="B11484" t="str">
        <f t="shared" si="461"/>
        <v>89301000</v>
      </c>
      <c r="C11484" s="1">
        <v>44263</v>
      </c>
      <c r="D11484" s="1">
        <v>44266</v>
      </c>
      <c r="E11484">
        <v>1</v>
      </c>
      <c r="F11484" t="s">
        <v>593</v>
      </c>
      <c r="G11484" t="str">
        <f>"07-I10-06"</f>
        <v>07-I10-06</v>
      </c>
      <c r="H11484">
        <v>0.9728</v>
      </c>
      <c r="J11484" t="s">
        <v>17</v>
      </c>
      <c r="K11484" t="str">
        <f>"5F1"</f>
        <v>5F1</v>
      </c>
      <c r="L11484" t="s">
        <v>15</v>
      </c>
    </row>
    <row r="11485" spans="1:12" x14ac:dyDescent="0.25">
      <c r="A11485" t="str">
        <f>"8360284460"</f>
        <v>8360284460</v>
      </c>
      <c r="B11485" t="str">
        <f t="shared" si="461"/>
        <v>89301000</v>
      </c>
      <c r="C11485" s="1">
        <v>44239</v>
      </c>
      <c r="D11485" s="1">
        <v>44241</v>
      </c>
      <c r="E11485">
        <v>1</v>
      </c>
      <c r="F11485" t="s">
        <v>75</v>
      </c>
      <c r="G11485" t="str">
        <f>"14-M01-05"</f>
        <v>14-M01-05</v>
      </c>
      <c r="H11485">
        <v>0.54239999999999999</v>
      </c>
      <c r="I11485" t="s">
        <v>7590</v>
      </c>
      <c r="J11485" t="s">
        <v>59</v>
      </c>
      <c r="K11485" t="str">
        <f>"6F3"</f>
        <v>6F3</v>
      </c>
      <c r="L11485" t="s">
        <v>15</v>
      </c>
    </row>
    <row r="11486" spans="1:12" x14ac:dyDescent="0.25">
      <c r="A11486" t="str">
        <f>"8360315348"</f>
        <v>8360315348</v>
      </c>
      <c r="B11486" t="str">
        <f t="shared" si="461"/>
        <v>89301000</v>
      </c>
      <c r="C11486" s="1">
        <v>44271</v>
      </c>
      <c r="D11486" s="1">
        <v>44274</v>
      </c>
      <c r="E11486">
        <v>1</v>
      </c>
      <c r="F11486" t="s">
        <v>7048</v>
      </c>
      <c r="G11486" t="str">
        <f>"88-I13-00"</f>
        <v>88-I13-00</v>
      </c>
      <c r="H11486">
        <v>0.11459999999999999</v>
      </c>
      <c r="I11486" t="s">
        <v>51</v>
      </c>
      <c r="J11486" t="s">
        <v>14</v>
      </c>
      <c r="K11486" t="str">
        <f>"6F3"</f>
        <v>6F3</v>
      </c>
      <c r="L11486" t="s">
        <v>15</v>
      </c>
    </row>
    <row r="11487" spans="1:12" x14ac:dyDescent="0.25">
      <c r="A11487" t="str">
        <f>"8360315348"</f>
        <v>8360315348</v>
      </c>
      <c r="B11487" t="str">
        <f t="shared" ref="B11487:B11549" si="463">"89301000"</f>
        <v>89301000</v>
      </c>
      <c r="C11487" s="1">
        <v>44307</v>
      </c>
      <c r="D11487" s="1">
        <v>44312</v>
      </c>
      <c r="E11487">
        <v>1</v>
      </c>
      <c r="F11487" t="s">
        <v>2495</v>
      </c>
      <c r="G11487" t="str">
        <f>"13-I16-00"</f>
        <v>13-I16-00</v>
      </c>
      <c r="H11487">
        <v>1.0256000000000001</v>
      </c>
      <c r="J11487" t="s">
        <v>17</v>
      </c>
      <c r="K11487" t="str">
        <f>"6F3"</f>
        <v>6F3</v>
      </c>
      <c r="L11487" t="s">
        <v>15</v>
      </c>
    </row>
    <row r="11488" spans="1:12" x14ac:dyDescent="0.25">
      <c r="A11488" t="str">
        <f>"8361015333"</f>
        <v>8361015333</v>
      </c>
      <c r="B11488" t="str">
        <f t="shared" si="463"/>
        <v>89301000</v>
      </c>
      <c r="C11488" s="1">
        <v>44232</v>
      </c>
      <c r="D11488" s="1">
        <v>44238</v>
      </c>
      <c r="E11488">
        <v>1</v>
      </c>
      <c r="F11488" t="s">
        <v>217</v>
      </c>
      <c r="G11488" t="str">
        <f>"04-K02-04"</f>
        <v>04-K02-04</v>
      </c>
      <c r="H11488">
        <v>0.82469999999999999</v>
      </c>
      <c r="I11488" t="s">
        <v>7591</v>
      </c>
      <c r="J11488" t="s">
        <v>14</v>
      </c>
      <c r="K11488" t="str">
        <f>"5F1"</f>
        <v>5F1</v>
      </c>
      <c r="L11488" t="s">
        <v>15</v>
      </c>
    </row>
    <row r="11489" spans="1:12" x14ac:dyDescent="0.25">
      <c r="A11489" t="str">
        <f>"8361055318"</f>
        <v>8361055318</v>
      </c>
      <c r="B11489" t="str">
        <f t="shared" si="463"/>
        <v>89301000</v>
      </c>
      <c r="C11489" s="1">
        <v>44244</v>
      </c>
      <c r="D11489" s="1">
        <v>44246</v>
      </c>
      <c r="E11489">
        <v>1</v>
      </c>
      <c r="F11489" t="s">
        <v>75</v>
      </c>
      <c r="G11489" t="str">
        <f>"14-M01-05"</f>
        <v>14-M01-05</v>
      </c>
      <c r="H11489">
        <v>0.54239999999999999</v>
      </c>
      <c r="I11489" t="s">
        <v>180</v>
      </c>
      <c r="J11489" t="s">
        <v>59</v>
      </c>
      <c r="K11489" t="str">
        <f>"6F3"</f>
        <v>6F3</v>
      </c>
      <c r="L11489" t="s">
        <v>15</v>
      </c>
    </row>
    <row r="11490" spans="1:12" x14ac:dyDescent="0.25">
      <c r="A11490" t="str">
        <f>"8361055329"</f>
        <v>8361055329</v>
      </c>
      <c r="B11490" t="str">
        <f t="shared" si="463"/>
        <v>89301000</v>
      </c>
      <c r="C11490" s="1">
        <v>44309</v>
      </c>
      <c r="D11490" s="1">
        <v>44314</v>
      </c>
      <c r="E11490">
        <v>1</v>
      </c>
      <c r="F11490" t="s">
        <v>7455</v>
      </c>
      <c r="G11490" t="str">
        <f>"14-I01-02"</f>
        <v>14-I01-02</v>
      </c>
      <c r="H11490">
        <v>1.1289</v>
      </c>
      <c r="I11490" t="s">
        <v>7592</v>
      </c>
      <c r="J11490" t="s">
        <v>59</v>
      </c>
      <c r="K11490" t="str">
        <f>"6F3"</f>
        <v>6F3</v>
      </c>
      <c r="L11490" t="s">
        <v>15</v>
      </c>
    </row>
    <row r="11491" spans="1:12" x14ac:dyDescent="0.25">
      <c r="A11491" t="str">
        <f>"8361125311"</f>
        <v>8361125311</v>
      </c>
      <c r="B11491" t="str">
        <f t="shared" si="463"/>
        <v>89301000</v>
      </c>
      <c r="C11491" s="1">
        <v>44252</v>
      </c>
      <c r="D11491" s="1">
        <v>44256</v>
      </c>
      <c r="E11491">
        <v>1</v>
      </c>
      <c r="F11491" t="s">
        <v>61</v>
      </c>
      <c r="G11491" t="str">
        <f>"14-I01-05"</f>
        <v>14-I01-05</v>
      </c>
      <c r="H11491">
        <v>0.80030000000000001</v>
      </c>
      <c r="I11491" t="s">
        <v>62</v>
      </c>
      <c r="J11491" t="s">
        <v>59</v>
      </c>
      <c r="K11491" t="str">
        <f>"6F3"</f>
        <v>6F3</v>
      </c>
      <c r="L11491" t="s">
        <v>15</v>
      </c>
    </row>
    <row r="11492" spans="1:12" x14ac:dyDescent="0.25">
      <c r="A11492" t="str">
        <f>"8361235344"</f>
        <v>8361235344</v>
      </c>
      <c r="B11492" t="str">
        <f t="shared" si="463"/>
        <v>89301000</v>
      </c>
      <c r="C11492" s="1">
        <v>44221</v>
      </c>
      <c r="D11492" s="1">
        <v>44222</v>
      </c>
      <c r="E11492">
        <v>1</v>
      </c>
      <c r="F11492" t="s">
        <v>5453</v>
      </c>
      <c r="G11492" t="str">
        <f>"13-I19-00"</f>
        <v>13-I19-00</v>
      </c>
      <c r="H11492">
        <v>0.29089999999999999</v>
      </c>
      <c r="J11492" t="s">
        <v>14</v>
      </c>
      <c r="K11492" t="str">
        <f>"6F3"</f>
        <v>6F3</v>
      </c>
      <c r="L11492" t="s">
        <v>15</v>
      </c>
    </row>
    <row r="11493" spans="1:12" x14ac:dyDescent="0.25">
      <c r="A11493" t="str">
        <f>"8361285328"</f>
        <v>8361285328</v>
      </c>
      <c r="B11493" t="str">
        <f t="shared" si="463"/>
        <v>89301000</v>
      </c>
      <c r="C11493" s="1">
        <v>44496</v>
      </c>
      <c r="D11493" s="1">
        <v>44498</v>
      </c>
      <c r="E11493">
        <v>1</v>
      </c>
      <c r="F11493" t="s">
        <v>4382</v>
      </c>
      <c r="G11493" t="str">
        <f>"05-I30-01"</f>
        <v>05-I30-01</v>
      </c>
      <c r="H11493">
        <v>0.64139999999999997</v>
      </c>
      <c r="I11493" t="s">
        <v>7593</v>
      </c>
      <c r="J11493" t="s">
        <v>14</v>
      </c>
      <c r="K11493" t="str">
        <f>"5F1"</f>
        <v>5F1</v>
      </c>
      <c r="L11493" t="s">
        <v>15</v>
      </c>
    </row>
    <row r="11494" spans="1:12" x14ac:dyDescent="0.25">
      <c r="A11494" t="str">
        <f>"8362125332"</f>
        <v>8362125332</v>
      </c>
      <c r="B11494" t="str">
        <f t="shared" si="463"/>
        <v>89301000</v>
      </c>
      <c r="C11494" s="1">
        <v>44549</v>
      </c>
      <c r="D11494" s="1">
        <v>44551</v>
      </c>
      <c r="E11494">
        <v>6</v>
      </c>
      <c r="F11494" t="s">
        <v>61</v>
      </c>
      <c r="G11494" t="str">
        <f>"14-I01-05"</f>
        <v>14-I01-05</v>
      </c>
      <c r="H11494">
        <v>0.80030000000000001</v>
      </c>
      <c r="I11494" t="s">
        <v>62</v>
      </c>
      <c r="J11494" t="s">
        <v>59</v>
      </c>
      <c r="K11494" t="str">
        <f>"6F3"</f>
        <v>6F3</v>
      </c>
      <c r="L11494" t="s">
        <v>15</v>
      </c>
    </row>
    <row r="11495" spans="1:12" x14ac:dyDescent="0.25">
      <c r="A11495" t="str">
        <f>"8362155329"</f>
        <v>8362155329</v>
      </c>
      <c r="B11495" t="str">
        <f t="shared" si="463"/>
        <v>89301000</v>
      </c>
      <c r="C11495" s="1">
        <v>44549</v>
      </c>
      <c r="D11495" s="1">
        <v>44551</v>
      </c>
      <c r="E11495">
        <v>1</v>
      </c>
      <c r="F11495" t="s">
        <v>7594</v>
      </c>
      <c r="G11495" t="str">
        <f>"08-K13-02"</f>
        <v>08-K13-02</v>
      </c>
      <c r="H11495">
        <v>0.47210000000000002</v>
      </c>
      <c r="I11495" t="s">
        <v>7595</v>
      </c>
      <c r="J11495" t="s">
        <v>14</v>
      </c>
      <c r="K11495" t="str">
        <f>"5F3"</f>
        <v>5F3</v>
      </c>
      <c r="L11495" t="s">
        <v>15</v>
      </c>
    </row>
    <row r="11496" spans="1:12" x14ac:dyDescent="0.25">
      <c r="A11496" t="str">
        <f>"8362155329"</f>
        <v>8362155329</v>
      </c>
      <c r="B11496" t="str">
        <f t="shared" si="463"/>
        <v>89301000</v>
      </c>
      <c r="C11496" s="1">
        <v>44557</v>
      </c>
      <c r="D11496" s="1">
        <v>44559</v>
      </c>
      <c r="E11496">
        <v>1</v>
      </c>
      <c r="F11496" t="s">
        <v>7596</v>
      </c>
      <c r="G11496" t="str">
        <f>"02-I05-02"</f>
        <v>02-I05-02</v>
      </c>
      <c r="H11496">
        <v>1.3696999999999999</v>
      </c>
      <c r="I11496" t="s">
        <v>7597</v>
      </c>
      <c r="J11496" t="s">
        <v>17</v>
      </c>
      <c r="K11496" t="str">
        <f>"5F3"</f>
        <v>5F3</v>
      </c>
      <c r="L11496" t="s">
        <v>15</v>
      </c>
    </row>
    <row r="11497" spans="1:12" x14ac:dyDescent="0.25">
      <c r="A11497" t="str">
        <f>"8362274404"</f>
        <v>8362274404</v>
      </c>
      <c r="B11497" t="str">
        <f t="shared" si="463"/>
        <v>89301000</v>
      </c>
      <c r="C11497" s="1">
        <v>44217</v>
      </c>
      <c r="D11497" s="1">
        <v>44221</v>
      </c>
      <c r="E11497">
        <v>1</v>
      </c>
      <c r="F11497" t="s">
        <v>98</v>
      </c>
      <c r="G11497" t="str">
        <f>"19-K02-03"</f>
        <v>19-K02-03</v>
      </c>
      <c r="H11497">
        <v>0.67269999999999996</v>
      </c>
      <c r="I11497" t="s">
        <v>7598</v>
      </c>
      <c r="J11497" t="s">
        <v>27</v>
      </c>
      <c r="K11497" t="str">
        <f>"3F5"</f>
        <v>3F5</v>
      </c>
      <c r="L11497" t="s">
        <v>15</v>
      </c>
    </row>
    <row r="11498" spans="1:12" x14ac:dyDescent="0.25">
      <c r="A11498" t="str">
        <f>"8362295766"</f>
        <v>8362295766</v>
      </c>
      <c r="B11498" t="str">
        <f t="shared" si="463"/>
        <v>89301000</v>
      </c>
      <c r="C11498" s="1">
        <v>44300</v>
      </c>
      <c r="D11498" s="1">
        <v>44305</v>
      </c>
      <c r="E11498">
        <v>1</v>
      </c>
      <c r="F11498" t="s">
        <v>6246</v>
      </c>
      <c r="G11498" t="str">
        <f>"13-I11-03"</f>
        <v>13-I11-03</v>
      </c>
      <c r="H11498">
        <v>1.3809</v>
      </c>
      <c r="J11498" t="s">
        <v>24</v>
      </c>
      <c r="K11498" t="str">
        <f>"6F3"</f>
        <v>6F3</v>
      </c>
      <c r="L11498" t="s">
        <v>15</v>
      </c>
    </row>
    <row r="11499" spans="1:12" x14ac:dyDescent="0.25">
      <c r="A11499" t="str">
        <f>"8401034598"</f>
        <v>8401034598</v>
      </c>
      <c r="B11499" t="str">
        <f t="shared" si="463"/>
        <v>89301000</v>
      </c>
      <c r="C11499" s="1">
        <v>44326</v>
      </c>
      <c r="D11499" s="1">
        <v>44328</v>
      </c>
      <c r="E11499">
        <v>1</v>
      </c>
      <c r="F11499" t="s">
        <v>1553</v>
      </c>
      <c r="G11499" t="str">
        <f>"04-K05-03"</f>
        <v>04-K05-03</v>
      </c>
      <c r="H11499">
        <v>0.74980000000000002</v>
      </c>
      <c r="I11499" t="s">
        <v>274</v>
      </c>
      <c r="J11499" t="s">
        <v>14</v>
      </c>
      <c r="K11499" t="str">
        <f>"1F1"</f>
        <v>1F1</v>
      </c>
      <c r="L11499" t="s">
        <v>15</v>
      </c>
    </row>
    <row r="11500" spans="1:12" x14ac:dyDescent="0.25">
      <c r="A11500" t="str">
        <f>"8401085308"</f>
        <v>8401085308</v>
      </c>
      <c r="B11500" t="str">
        <f t="shared" si="463"/>
        <v>89301000</v>
      </c>
      <c r="C11500" s="1">
        <v>44389</v>
      </c>
      <c r="D11500" s="1">
        <v>44427</v>
      </c>
      <c r="E11500">
        <v>1</v>
      </c>
      <c r="F11500" t="s">
        <v>130</v>
      </c>
      <c r="G11500" t="str">
        <f>"19-K07-02"</f>
        <v>19-K07-02</v>
      </c>
      <c r="H11500">
        <v>2.8759999999999999</v>
      </c>
      <c r="I11500" t="s">
        <v>7599</v>
      </c>
      <c r="J11500" t="s">
        <v>27</v>
      </c>
      <c r="K11500" t="str">
        <f>"3F5"</f>
        <v>3F5</v>
      </c>
      <c r="L11500" t="s">
        <v>15</v>
      </c>
    </row>
    <row r="11501" spans="1:12" x14ac:dyDescent="0.25">
      <c r="A11501" t="str">
        <f>"8401265576"</f>
        <v>8401265576</v>
      </c>
      <c r="B11501" t="str">
        <f t="shared" si="463"/>
        <v>89301000</v>
      </c>
      <c r="C11501" s="1">
        <v>44368</v>
      </c>
      <c r="D11501" s="1">
        <v>44373</v>
      </c>
      <c r="E11501">
        <v>1</v>
      </c>
      <c r="F11501" t="s">
        <v>4382</v>
      </c>
      <c r="G11501" t="str">
        <f>"05-I30-01"</f>
        <v>05-I30-01</v>
      </c>
      <c r="H11501">
        <v>0.89790000000000003</v>
      </c>
      <c r="I11501" t="s">
        <v>489</v>
      </c>
      <c r="J11501" t="s">
        <v>14</v>
      </c>
      <c r="K11501" t="str">
        <f>"5F1"</f>
        <v>5F1</v>
      </c>
      <c r="L11501" t="s">
        <v>15</v>
      </c>
    </row>
    <row r="11502" spans="1:12" x14ac:dyDescent="0.25">
      <c r="A11502" t="str">
        <f>"8401295375"</f>
        <v>8401295375</v>
      </c>
      <c r="B11502" t="str">
        <f t="shared" si="463"/>
        <v>89301000</v>
      </c>
      <c r="C11502" s="1">
        <v>44314</v>
      </c>
      <c r="D11502" s="1">
        <v>44329</v>
      </c>
      <c r="E11502">
        <v>1</v>
      </c>
      <c r="F11502" t="s">
        <v>5226</v>
      </c>
      <c r="G11502" t="str">
        <f>"20-K04-02"</f>
        <v>20-K04-02</v>
      </c>
      <c r="H11502">
        <v>1.4984</v>
      </c>
      <c r="I11502" t="s">
        <v>7600</v>
      </c>
      <c r="J11502" t="s">
        <v>14</v>
      </c>
      <c r="K11502" t="str">
        <f>"3F5"</f>
        <v>3F5</v>
      </c>
      <c r="L11502" t="s">
        <v>15</v>
      </c>
    </row>
    <row r="11503" spans="1:12" x14ac:dyDescent="0.25">
      <c r="A11503" t="str">
        <f>"8402215316"</f>
        <v>8402215316</v>
      </c>
      <c r="B11503" t="str">
        <f t="shared" si="463"/>
        <v>89301000</v>
      </c>
      <c r="C11503" s="1">
        <v>44418</v>
      </c>
      <c r="D11503" s="1">
        <v>44422</v>
      </c>
      <c r="E11503">
        <v>1</v>
      </c>
      <c r="F11503" t="s">
        <v>307</v>
      </c>
      <c r="G11503" t="str">
        <f>"08-I25-01"</f>
        <v>08-I25-01</v>
      </c>
      <c r="H11503">
        <v>0.96560000000000001</v>
      </c>
      <c r="I11503" t="s">
        <v>7601</v>
      </c>
      <c r="J11503" t="s">
        <v>14</v>
      </c>
      <c r="K11503" t="str">
        <f>"5F3"</f>
        <v>5F3</v>
      </c>
      <c r="L11503" t="s">
        <v>15</v>
      </c>
    </row>
    <row r="11504" spans="1:12" x14ac:dyDescent="0.25">
      <c r="A11504" t="str">
        <f>"8403115754"</f>
        <v>8403115754</v>
      </c>
      <c r="B11504" t="str">
        <f t="shared" si="463"/>
        <v>89301000</v>
      </c>
      <c r="C11504" s="1">
        <v>44448</v>
      </c>
      <c r="D11504" s="1">
        <v>44451</v>
      </c>
      <c r="E11504">
        <v>1</v>
      </c>
      <c r="F11504" t="s">
        <v>31</v>
      </c>
      <c r="G11504" t="str">
        <f>"08-I04-03"</f>
        <v>08-I04-03</v>
      </c>
      <c r="H11504">
        <v>1.331</v>
      </c>
      <c r="J11504" t="s">
        <v>17</v>
      </c>
      <c r="K11504" t="str">
        <f>"5F6"</f>
        <v>5F6</v>
      </c>
      <c r="L11504" t="s">
        <v>15</v>
      </c>
    </row>
    <row r="11505" spans="1:12" x14ac:dyDescent="0.25">
      <c r="A11505" t="str">
        <f>"8403135796"</f>
        <v>8403135796</v>
      </c>
      <c r="B11505" t="str">
        <f t="shared" si="463"/>
        <v>89301000</v>
      </c>
      <c r="C11505" s="1">
        <v>44321</v>
      </c>
      <c r="D11505" s="1">
        <v>44336</v>
      </c>
      <c r="E11505">
        <v>1</v>
      </c>
      <c r="F11505" t="s">
        <v>4721</v>
      </c>
      <c r="G11505" t="str">
        <f>"04-K15-03"</f>
        <v>04-K15-03</v>
      </c>
      <c r="H11505">
        <v>0.92479999999999996</v>
      </c>
      <c r="I11505" t="s">
        <v>7602</v>
      </c>
      <c r="J11505" t="s">
        <v>14</v>
      </c>
      <c r="K11505" t="str">
        <f>"2F5"</f>
        <v>2F5</v>
      </c>
      <c r="L11505" t="s">
        <v>15</v>
      </c>
    </row>
    <row r="11506" spans="1:12" x14ac:dyDescent="0.25">
      <c r="A11506" t="str">
        <f>"8403135796"</f>
        <v>8403135796</v>
      </c>
      <c r="B11506" t="str">
        <f t="shared" si="463"/>
        <v>89301000</v>
      </c>
      <c r="C11506" s="1">
        <v>44361</v>
      </c>
      <c r="D11506" s="1">
        <v>44370</v>
      </c>
      <c r="E11506">
        <v>1</v>
      </c>
      <c r="F11506" t="s">
        <v>7603</v>
      </c>
      <c r="G11506" t="str">
        <f>"04-I03-04"</f>
        <v>04-I03-04</v>
      </c>
      <c r="H11506">
        <v>2.3504999999999998</v>
      </c>
      <c r="I11506" t="s">
        <v>7604</v>
      </c>
      <c r="J11506" t="s">
        <v>106</v>
      </c>
      <c r="K11506" t="str">
        <f>"5F1"</f>
        <v>5F1</v>
      </c>
      <c r="L11506" t="s">
        <v>15</v>
      </c>
    </row>
    <row r="11507" spans="1:12" x14ac:dyDescent="0.25">
      <c r="A11507" t="str">
        <f>"8403135796"</f>
        <v>8403135796</v>
      </c>
      <c r="B11507" t="str">
        <f t="shared" si="463"/>
        <v>89301000</v>
      </c>
      <c r="C11507" s="1">
        <v>44225</v>
      </c>
      <c r="D11507" s="1">
        <v>44234</v>
      </c>
      <c r="E11507">
        <v>1</v>
      </c>
      <c r="F11507" t="s">
        <v>603</v>
      </c>
      <c r="G11507" t="str">
        <f>"04-I02-04"</f>
        <v>04-I02-04</v>
      </c>
      <c r="H11507">
        <v>3.1617999999999999</v>
      </c>
      <c r="I11507" t="s">
        <v>7603</v>
      </c>
      <c r="J11507" t="s">
        <v>106</v>
      </c>
      <c r="K11507" t="str">
        <f>"5F1"</f>
        <v>5F1</v>
      </c>
      <c r="L11507" t="s">
        <v>15</v>
      </c>
    </row>
    <row r="11508" spans="1:12" x14ac:dyDescent="0.25">
      <c r="A11508" t="str">
        <f>"8403255773"</f>
        <v>8403255773</v>
      </c>
      <c r="B11508" t="str">
        <f t="shared" si="463"/>
        <v>89301000</v>
      </c>
      <c r="C11508" s="1">
        <v>44390</v>
      </c>
      <c r="D11508" s="1">
        <v>44393</v>
      </c>
      <c r="E11508">
        <v>1</v>
      </c>
      <c r="F11508" t="s">
        <v>38</v>
      </c>
      <c r="G11508" t="str">
        <f>"05-M06-06"</f>
        <v>05-M06-06</v>
      </c>
      <c r="H11508">
        <v>1.7652000000000001</v>
      </c>
      <c r="I11508" t="s">
        <v>1892</v>
      </c>
      <c r="J11508" t="s">
        <v>17</v>
      </c>
      <c r="K11508" t="str">
        <f>"1F1"</f>
        <v>1F1</v>
      </c>
      <c r="L11508" t="s">
        <v>15</v>
      </c>
    </row>
    <row r="11509" spans="1:12" x14ac:dyDescent="0.25">
      <c r="A11509" t="str">
        <f>"8404205612"</f>
        <v>8404205612</v>
      </c>
      <c r="B11509" t="str">
        <f t="shared" si="463"/>
        <v>89301000</v>
      </c>
      <c r="C11509" s="1">
        <v>44326</v>
      </c>
      <c r="D11509" s="1">
        <v>44364</v>
      </c>
      <c r="E11509">
        <v>1</v>
      </c>
      <c r="F11509" t="s">
        <v>6842</v>
      </c>
      <c r="G11509" t="str">
        <f>"19-K07-02"</f>
        <v>19-K07-02</v>
      </c>
      <c r="H11509">
        <v>2.8759999999999999</v>
      </c>
      <c r="I11509" t="s">
        <v>7605</v>
      </c>
      <c r="J11509" t="s">
        <v>27</v>
      </c>
      <c r="K11509" t="str">
        <f>"3F5"</f>
        <v>3F5</v>
      </c>
      <c r="L11509" t="s">
        <v>15</v>
      </c>
    </row>
    <row r="11510" spans="1:12" x14ac:dyDescent="0.25">
      <c r="A11510" t="str">
        <f>"8404205612"</f>
        <v>8404205612</v>
      </c>
      <c r="B11510" t="str">
        <f t="shared" si="463"/>
        <v>89301000</v>
      </c>
      <c r="C11510" s="1">
        <v>44367</v>
      </c>
      <c r="D11510" s="1">
        <v>44369</v>
      </c>
      <c r="E11510">
        <v>1</v>
      </c>
      <c r="F11510" t="s">
        <v>7494</v>
      </c>
      <c r="G11510" t="str">
        <f>"01-K16-05"</f>
        <v>01-K16-05</v>
      </c>
      <c r="H11510">
        <v>0.57979999999999998</v>
      </c>
      <c r="I11510" t="s">
        <v>7606</v>
      </c>
      <c r="J11510" t="s">
        <v>14</v>
      </c>
      <c r="K11510" t="str">
        <f>"5F3"</f>
        <v>5F3</v>
      </c>
      <c r="L11510" t="s">
        <v>15</v>
      </c>
    </row>
    <row r="11511" spans="1:12" x14ac:dyDescent="0.25">
      <c r="A11511" t="str">
        <f>"8405195766"</f>
        <v>8405195766</v>
      </c>
      <c r="B11511" t="str">
        <f t="shared" si="463"/>
        <v>89301000</v>
      </c>
      <c r="C11511" s="1">
        <v>44269</v>
      </c>
      <c r="D11511" s="1">
        <v>44278</v>
      </c>
      <c r="E11511">
        <v>1</v>
      </c>
      <c r="F11511" t="s">
        <v>2706</v>
      </c>
      <c r="G11511" t="str">
        <f>"09-K01-03"</f>
        <v>09-K01-03</v>
      </c>
      <c r="H11511">
        <v>0.88329999999999997</v>
      </c>
      <c r="I11511" t="s">
        <v>7607</v>
      </c>
      <c r="J11511" t="s">
        <v>14</v>
      </c>
      <c r="K11511" t="str">
        <f>"4F4"</f>
        <v>4F4</v>
      </c>
      <c r="L11511" t="s">
        <v>15</v>
      </c>
    </row>
    <row r="11512" spans="1:12" x14ac:dyDescent="0.25">
      <c r="A11512" t="str">
        <f>"8405294491"</f>
        <v>8405294491</v>
      </c>
      <c r="B11512" t="str">
        <f t="shared" si="463"/>
        <v>89301000</v>
      </c>
      <c r="C11512" s="1">
        <v>44530</v>
      </c>
      <c r="D11512" s="1">
        <v>44532</v>
      </c>
      <c r="E11512">
        <v>1</v>
      </c>
      <c r="F11512" t="s">
        <v>4491</v>
      </c>
      <c r="G11512" t="str">
        <f>"01-K01-02"</f>
        <v>01-K01-02</v>
      </c>
      <c r="H11512">
        <v>0.50700000000000001</v>
      </c>
      <c r="J11512" t="s">
        <v>14</v>
      </c>
      <c r="K11512" t="str">
        <f>"2F9"</f>
        <v>2F9</v>
      </c>
      <c r="L11512" t="s">
        <v>15</v>
      </c>
    </row>
    <row r="11513" spans="1:12" x14ac:dyDescent="0.25">
      <c r="A11513" t="str">
        <f>"8406085677"</f>
        <v>8406085677</v>
      </c>
      <c r="B11513" t="str">
        <f t="shared" si="463"/>
        <v>89301000</v>
      </c>
      <c r="C11513" s="1">
        <v>44251</v>
      </c>
      <c r="D11513" s="1">
        <v>44253</v>
      </c>
      <c r="E11513">
        <v>1</v>
      </c>
      <c r="F11513" t="s">
        <v>243</v>
      </c>
      <c r="G11513" t="str">
        <f>"08-I17-02"</f>
        <v>08-I17-02</v>
      </c>
      <c r="H11513">
        <v>0.98309999999999997</v>
      </c>
      <c r="I11513" t="s">
        <v>196</v>
      </c>
      <c r="J11513" t="s">
        <v>14</v>
      </c>
      <c r="K11513" t="str">
        <f>"5F3"</f>
        <v>5F3</v>
      </c>
      <c r="L11513" t="s">
        <v>15</v>
      </c>
    </row>
    <row r="11514" spans="1:12" x14ac:dyDescent="0.25">
      <c r="A11514" t="str">
        <f>"8406265395"</f>
        <v>8406265395</v>
      </c>
      <c r="B11514" t="str">
        <f t="shared" si="463"/>
        <v>89301000</v>
      </c>
      <c r="C11514" s="1">
        <v>44323</v>
      </c>
      <c r="D11514" s="1">
        <v>44326</v>
      </c>
      <c r="E11514">
        <v>1</v>
      </c>
      <c r="F11514" t="s">
        <v>260</v>
      </c>
      <c r="G11514" t="str">
        <f>"03-I22-03"</f>
        <v>03-I22-03</v>
      </c>
      <c r="H11514">
        <v>0.49049999999999999</v>
      </c>
      <c r="I11514" t="s">
        <v>53</v>
      </c>
      <c r="J11514" t="s">
        <v>14</v>
      </c>
      <c r="K11514" t="str">
        <f>"7F1"</f>
        <v>7F1</v>
      </c>
      <c r="L11514" t="s">
        <v>15</v>
      </c>
    </row>
    <row r="11515" spans="1:12" x14ac:dyDescent="0.25">
      <c r="A11515" t="str">
        <f>"8406294457"</f>
        <v>8406294457</v>
      </c>
      <c r="B11515" t="str">
        <f t="shared" si="463"/>
        <v>89301000</v>
      </c>
      <c r="C11515" s="1">
        <v>44507</v>
      </c>
      <c r="D11515" s="1">
        <v>44512</v>
      </c>
      <c r="E11515">
        <v>1</v>
      </c>
      <c r="F11515" t="s">
        <v>43</v>
      </c>
      <c r="G11515" t="str">
        <f>"06-I18-05"</f>
        <v>06-I18-05</v>
      </c>
      <c r="H11515">
        <v>0.85550000000000004</v>
      </c>
      <c r="I11515" t="s">
        <v>7608</v>
      </c>
      <c r="J11515" t="s">
        <v>24</v>
      </c>
      <c r="K11515" t="str">
        <f>"5F1"</f>
        <v>5F1</v>
      </c>
      <c r="L11515" t="s">
        <v>15</v>
      </c>
    </row>
    <row r="11516" spans="1:12" x14ac:dyDescent="0.25">
      <c r="A11516" t="str">
        <f>"8407055349"</f>
        <v>8407055349</v>
      </c>
      <c r="B11516" t="str">
        <f t="shared" si="463"/>
        <v>89301000</v>
      </c>
      <c r="C11516" s="1">
        <v>44473</v>
      </c>
      <c r="D11516" s="1">
        <v>44474</v>
      </c>
      <c r="E11516">
        <v>1</v>
      </c>
      <c r="F11516" t="s">
        <v>186</v>
      </c>
      <c r="G11516" t="str">
        <f>"05-M05-03"</f>
        <v>05-M05-03</v>
      </c>
      <c r="H11516">
        <v>1.9991000000000001</v>
      </c>
      <c r="J11516" t="s">
        <v>24</v>
      </c>
      <c r="K11516" t="str">
        <f>"1F1"</f>
        <v>1F1</v>
      </c>
      <c r="L11516" t="s">
        <v>15</v>
      </c>
    </row>
    <row r="11517" spans="1:12" x14ac:dyDescent="0.25">
      <c r="A11517" t="str">
        <f>"8407305687"</f>
        <v>8407305687</v>
      </c>
      <c r="B11517" t="str">
        <f t="shared" si="463"/>
        <v>89301000</v>
      </c>
      <c r="C11517" s="1">
        <v>44358</v>
      </c>
      <c r="D11517" s="1">
        <v>44361</v>
      </c>
      <c r="E11517">
        <v>1</v>
      </c>
      <c r="F11517" t="s">
        <v>351</v>
      </c>
      <c r="G11517" t="str">
        <f>"10-K04-04"</f>
        <v>10-K04-04</v>
      </c>
      <c r="H11517">
        <v>0.56330000000000002</v>
      </c>
      <c r="I11517" t="s">
        <v>3113</v>
      </c>
      <c r="J11517" t="s">
        <v>14</v>
      </c>
      <c r="K11517" t="str">
        <f>"1F1"</f>
        <v>1F1</v>
      </c>
      <c r="L11517" t="s">
        <v>15</v>
      </c>
    </row>
    <row r="11518" spans="1:12" x14ac:dyDescent="0.25">
      <c r="A11518" t="str">
        <f>"8408124461"</f>
        <v>8408124461</v>
      </c>
      <c r="B11518" t="str">
        <f t="shared" si="463"/>
        <v>89301000</v>
      </c>
      <c r="C11518" s="1">
        <v>44379</v>
      </c>
      <c r="D11518" s="1">
        <v>44381</v>
      </c>
      <c r="E11518">
        <v>1</v>
      </c>
      <c r="F11518" t="s">
        <v>460</v>
      </c>
      <c r="G11518" t="str">
        <f>"03-I19-03"</f>
        <v>03-I19-03</v>
      </c>
      <c r="H11518">
        <v>0.60699999999999998</v>
      </c>
      <c r="I11518" t="s">
        <v>2082</v>
      </c>
      <c r="J11518" t="s">
        <v>14</v>
      </c>
      <c r="K11518" t="str">
        <f>"6F5"</f>
        <v>6F5</v>
      </c>
      <c r="L11518" t="s">
        <v>15</v>
      </c>
    </row>
    <row r="11519" spans="1:12" x14ac:dyDescent="0.25">
      <c r="A11519" t="str">
        <f>"8409184465"</f>
        <v>8409184465</v>
      </c>
      <c r="B11519" t="str">
        <f t="shared" si="463"/>
        <v>89301000</v>
      </c>
      <c r="C11519" s="1">
        <v>44424</v>
      </c>
      <c r="D11519" s="1">
        <v>44439</v>
      </c>
      <c r="E11519">
        <v>1</v>
      </c>
      <c r="F11519" t="s">
        <v>6744</v>
      </c>
      <c r="G11519" t="str">
        <f>"06-I07-03"</f>
        <v>06-I07-03</v>
      </c>
      <c r="H11519">
        <v>5.3483000000000001</v>
      </c>
      <c r="I11519" t="s">
        <v>7609</v>
      </c>
      <c r="J11519" t="s">
        <v>17</v>
      </c>
      <c r="K11519" t="str">
        <f>"5F1"</f>
        <v>5F1</v>
      </c>
      <c r="L11519" t="s">
        <v>15</v>
      </c>
    </row>
    <row r="11520" spans="1:12" x14ac:dyDescent="0.25">
      <c r="A11520" t="str">
        <f>"8409235307"</f>
        <v>8409235307</v>
      </c>
      <c r="B11520" t="str">
        <f t="shared" si="463"/>
        <v>89301000</v>
      </c>
      <c r="C11520" s="1">
        <v>44322</v>
      </c>
      <c r="D11520" s="1">
        <v>44336</v>
      </c>
      <c r="E11520">
        <v>1</v>
      </c>
      <c r="F11520" t="s">
        <v>109</v>
      </c>
      <c r="G11520" t="str">
        <f>"24-M07-02"</f>
        <v>24-M07-02</v>
      </c>
      <c r="H11520">
        <v>1.5094000000000001</v>
      </c>
      <c r="I11520" t="s">
        <v>4390</v>
      </c>
      <c r="J11520" t="s">
        <v>14</v>
      </c>
      <c r="K11520" t="str">
        <f>"2F1"</f>
        <v>2F1</v>
      </c>
      <c r="L11520" t="s">
        <v>15</v>
      </c>
    </row>
    <row r="11521" spans="1:12" x14ac:dyDescent="0.25">
      <c r="A11521" t="str">
        <f>"8409235307"</f>
        <v>8409235307</v>
      </c>
      <c r="B11521" t="str">
        <f t="shared" si="463"/>
        <v>89301000</v>
      </c>
      <c r="C11521" s="1">
        <v>44294</v>
      </c>
      <c r="D11521" s="1">
        <v>44322</v>
      </c>
      <c r="E11521">
        <v>3</v>
      </c>
      <c r="F11521" t="s">
        <v>217</v>
      </c>
      <c r="G11521" t="str">
        <f>"00-M02-04"</f>
        <v>00-M02-04</v>
      </c>
      <c r="H11521">
        <v>12.219799999999999</v>
      </c>
      <c r="I11521" t="s">
        <v>7610</v>
      </c>
      <c r="J11521" t="s">
        <v>14</v>
      </c>
      <c r="K11521" t="str">
        <f>"2F5"</f>
        <v>2F5</v>
      </c>
      <c r="L11521" t="s">
        <v>15</v>
      </c>
    </row>
    <row r="11522" spans="1:12" x14ac:dyDescent="0.25">
      <c r="A11522" t="str">
        <f>"8410145381"</f>
        <v>8410145381</v>
      </c>
      <c r="B11522" t="str">
        <f t="shared" si="463"/>
        <v>89301000</v>
      </c>
      <c r="C11522" s="1">
        <v>44305</v>
      </c>
      <c r="D11522" s="1">
        <v>44308</v>
      </c>
      <c r="E11522">
        <v>1</v>
      </c>
      <c r="F11522" t="s">
        <v>652</v>
      </c>
      <c r="G11522" t="str">
        <f>"03-I19-03"</f>
        <v>03-I19-03</v>
      </c>
      <c r="H11522">
        <v>0.60699999999999998</v>
      </c>
      <c r="I11522" t="s">
        <v>7611</v>
      </c>
      <c r="J11522" t="s">
        <v>14</v>
      </c>
      <c r="K11522" t="str">
        <f>"6F5"</f>
        <v>6F5</v>
      </c>
      <c r="L11522" t="s">
        <v>15</v>
      </c>
    </row>
    <row r="11523" spans="1:12" x14ac:dyDescent="0.25">
      <c r="A11523" t="str">
        <f>"8410155358"</f>
        <v>8410155358</v>
      </c>
      <c r="B11523" t="str">
        <f t="shared" si="463"/>
        <v>89301000</v>
      </c>
      <c r="C11523" s="1">
        <v>44268</v>
      </c>
      <c r="D11523" s="1">
        <v>44270</v>
      </c>
      <c r="E11523">
        <v>1</v>
      </c>
      <c r="F11523" t="s">
        <v>210</v>
      </c>
      <c r="G11523" t="str">
        <f>"08-I15-03"</f>
        <v>08-I15-03</v>
      </c>
      <c r="H11523">
        <v>1.2399</v>
      </c>
      <c r="I11523" t="s">
        <v>455</v>
      </c>
      <c r="J11523" t="s">
        <v>17</v>
      </c>
      <c r="K11523" t="str">
        <f>"5F3"</f>
        <v>5F3</v>
      </c>
      <c r="L11523" t="s">
        <v>15</v>
      </c>
    </row>
    <row r="11524" spans="1:12" x14ac:dyDescent="0.25">
      <c r="A11524" t="str">
        <f>"8410165313"</f>
        <v>8410165313</v>
      </c>
      <c r="B11524" t="str">
        <f t="shared" si="463"/>
        <v>89301000</v>
      </c>
      <c r="C11524" s="1">
        <v>44352</v>
      </c>
      <c r="D11524" s="1">
        <v>44353</v>
      </c>
      <c r="E11524">
        <v>1</v>
      </c>
      <c r="F11524" t="s">
        <v>6717</v>
      </c>
      <c r="G11524" t="str">
        <f>"08-I18-02"</f>
        <v>08-I18-02</v>
      </c>
      <c r="H11524">
        <v>0.65769999999999995</v>
      </c>
      <c r="I11524" t="s">
        <v>7612</v>
      </c>
      <c r="J11524" t="s">
        <v>17</v>
      </c>
      <c r="K11524" t="str">
        <f>"5F3"</f>
        <v>5F3</v>
      </c>
      <c r="L11524" t="s">
        <v>15</v>
      </c>
    </row>
    <row r="11525" spans="1:12" x14ac:dyDescent="0.25">
      <c r="A11525" t="str">
        <f>"8410165357"</f>
        <v>8410165357</v>
      </c>
      <c r="B11525" t="str">
        <f t="shared" si="463"/>
        <v>89301000</v>
      </c>
      <c r="C11525" s="1">
        <v>44424</v>
      </c>
      <c r="D11525" s="1">
        <v>44425</v>
      </c>
      <c r="E11525">
        <v>1</v>
      </c>
      <c r="F11525" t="s">
        <v>41</v>
      </c>
      <c r="G11525" t="str">
        <f>"01-D01-03"</f>
        <v>01-D01-03</v>
      </c>
      <c r="H11525">
        <v>0.158</v>
      </c>
      <c r="I11525" t="s">
        <v>7613</v>
      </c>
      <c r="J11525" t="s">
        <v>14</v>
      </c>
      <c r="K11525" t="str">
        <f>"2F5"</f>
        <v>2F5</v>
      </c>
      <c r="L11525" t="s">
        <v>15</v>
      </c>
    </row>
    <row r="11526" spans="1:12" x14ac:dyDescent="0.25">
      <c r="A11526" t="str">
        <f>"8410165357"</f>
        <v>8410165357</v>
      </c>
      <c r="B11526" t="str">
        <f t="shared" si="463"/>
        <v>89301000</v>
      </c>
      <c r="C11526" s="1">
        <v>44498</v>
      </c>
      <c r="D11526" s="1">
        <v>44501</v>
      </c>
      <c r="E11526">
        <v>1</v>
      </c>
      <c r="F11526" t="s">
        <v>41</v>
      </c>
      <c r="G11526" t="str">
        <f>"01-D01-03"</f>
        <v>01-D01-03</v>
      </c>
      <c r="H11526">
        <v>0.2054</v>
      </c>
      <c r="I11526" t="s">
        <v>7614</v>
      </c>
      <c r="J11526" t="s">
        <v>14</v>
      </c>
      <c r="K11526" t="str">
        <f>"2F5"</f>
        <v>2F5</v>
      </c>
      <c r="L11526" t="s">
        <v>15</v>
      </c>
    </row>
    <row r="11527" spans="1:12" x14ac:dyDescent="0.25">
      <c r="A11527" t="str">
        <f>"8411054487"</f>
        <v>8411054487</v>
      </c>
      <c r="B11527" t="str">
        <f t="shared" si="463"/>
        <v>89301000</v>
      </c>
      <c r="C11527" s="1">
        <v>44396</v>
      </c>
      <c r="D11527" s="1">
        <v>44399</v>
      </c>
      <c r="E11527">
        <v>1</v>
      </c>
      <c r="F11527" t="s">
        <v>7615</v>
      </c>
      <c r="G11527" t="str">
        <f>"20-K02-03"</f>
        <v>20-K02-03</v>
      </c>
      <c r="H11527">
        <v>0.57279999999999998</v>
      </c>
      <c r="I11527" t="s">
        <v>7616</v>
      </c>
      <c r="J11527" t="s">
        <v>14</v>
      </c>
      <c r="K11527" t="str">
        <f>"3F5"</f>
        <v>3F5</v>
      </c>
      <c r="L11527" t="s">
        <v>15</v>
      </c>
    </row>
    <row r="11528" spans="1:12" x14ac:dyDescent="0.25">
      <c r="A11528" t="str">
        <f>"8411075761"</f>
        <v>8411075761</v>
      </c>
      <c r="B11528" t="str">
        <f t="shared" si="463"/>
        <v>89301000</v>
      </c>
      <c r="C11528" s="1">
        <v>44287</v>
      </c>
      <c r="D11528" s="1">
        <v>44288</v>
      </c>
      <c r="E11528">
        <v>1</v>
      </c>
      <c r="F11528" t="s">
        <v>3080</v>
      </c>
      <c r="G11528" t="str">
        <f>"02-I13-01"</f>
        <v>02-I13-01</v>
      </c>
      <c r="H11528">
        <v>0.69720000000000004</v>
      </c>
      <c r="J11528" t="s">
        <v>14</v>
      </c>
      <c r="K11528" t="str">
        <f>"6F1"</f>
        <v>6F1</v>
      </c>
      <c r="L11528" t="s">
        <v>15</v>
      </c>
    </row>
    <row r="11529" spans="1:12" x14ac:dyDescent="0.25">
      <c r="A11529" t="str">
        <f>"8411084473"</f>
        <v>8411084473</v>
      </c>
      <c r="B11529" t="str">
        <f t="shared" si="463"/>
        <v>89301000</v>
      </c>
      <c r="C11529" s="1">
        <v>44234</v>
      </c>
      <c r="D11529" s="1">
        <v>44236</v>
      </c>
      <c r="E11529">
        <v>1</v>
      </c>
      <c r="F11529" t="s">
        <v>1553</v>
      </c>
      <c r="G11529" t="str">
        <f>"04-K05-03"</f>
        <v>04-K05-03</v>
      </c>
      <c r="H11529">
        <v>0.74980000000000002</v>
      </c>
      <c r="I11529" t="s">
        <v>7617</v>
      </c>
      <c r="J11529" t="s">
        <v>14</v>
      </c>
      <c r="K11529" t="str">
        <f>"1F1"</f>
        <v>1F1</v>
      </c>
      <c r="L11529" t="s">
        <v>15</v>
      </c>
    </row>
    <row r="11530" spans="1:12" x14ac:dyDescent="0.25">
      <c r="A11530" t="str">
        <f>"8411135304"</f>
        <v>8411135304</v>
      </c>
      <c r="B11530" t="str">
        <f t="shared" si="463"/>
        <v>89301000</v>
      </c>
      <c r="C11530" s="1">
        <v>44261</v>
      </c>
      <c r="D11530" s="1">
        <v>44262</v>
      </c>
      <c r="E11530">
        <v>1</v>
      </c>
      <c r="F11530" t="s">
        <v>735</v>
      </c>
      <c r="G11530" t="str">
        <f>"08-I14-02"</f>
        <v>08-I14-02</v>
      </c>
      <c r="H11530">
        <v>1.2629999999999999</v>
      </c>
      <c r="I11530" t="s">
        <v>615</v>
      </c>
      <c r="J11530" t="s">
        <v>17</v>
      </c>
      <c r="K11530" t="str">
        <f>"5F3"</f>
        <v>5F3</v>
      </c>
      <c r="L11530" t="s">
        <v>15</v>
      </c>
    </row>
    <row r="11531" spans="1:12" x14ac:dyDescent="0.25">
      <c r="A11531" t="str">
        <f>"8412055883"</f>
        <v>8412055883</v>
      </c>
      <c r="B11531" t="str">
        <f t="shared" si="463"/>
        <v>89301000</v>
      </c>
      <c r="C11531" s="1">
        <v>44534</v>
      </c>
      <c r="D11531" s="1">
        <v>44538</v>
      </c>
      <c r="E11531">
        <v>1</v>
      </c>
      <c r="F11531" t="s">
        <v>5439</v>
      </c>
      <c r="G11531" t="str">
        <f>"05-K19-01"</f>
        <v>05-K19-01</v>
      </c>
      <c r="H11531">
        <v>0.41170000000000001</v>
      </c>
      <c r="J11531" t="s">
        <v>14</v>
      </c>
      <c r="K11531" t="str">
        <f>"1F1"</f>
        <v>1F1</v>
      </c>
      <c r="L11531" t="s">
        <v>15</v>
      </c>
    </row>
    <row r="11532" spans="1:12" x14ac:dyDescent="0.25">
      <c r="A11532" t="str">
        <f t="shared" ref="A11532:A11537" si="464">"8451065326"</f>
        <v>8451065326</v>
      </c>
      <c r="B11532" t="str">
        <f t="shared" si="463"/>
        <v>89301000</v>
      </c>
      <c r="C11532" s="1">
        <v>44507</v>
      </c>
      <c r="D11532" s="1">
        <v>44508</v>
      </c>
      <c r="E11532">
        <v>8</v>
      </c>
      <c r="F11532" t="s">
        <v>933</v>
      </c>
      <c r="G11532" t="str">
        <f>"17-K01-01"</f>
        <v>17-K01-01</v>
      </c>
      <c r="H11532">
        <v>2.4453999999999998</v>
      </c>
      <c r="I11532" t="s">
        <v>7618</v>
      </c>
      <c r="J11532" t="s">
        <v>14</v>
      </c>
      <c r="K11532" t="str">
        <f>"2F2"</f>
        <v>2F2</v>
      </c>
      <c r="L11532" t="s">
        <v>15</v>
      </c>
    </row>
    <row r="11533" spans="1:12" x14ac:dyDescent="0.25">
      <c r="A11533" t="str">
        <f t="shared" si="464"/>
        <v>8451065326</v>
      </c>
      <c r="B11533" t="str">
        <f t="shared" si="463"/>
        <v>89301000</v>
      </c>
      <c r="C11533" s="1">
        <v>44448</v>
      </c>
      <c r="D11533" s="1">
        <v>44464</v>
      </c>
      <c r="E11533">
        <v>1</v>
      </c>
      <c r="F11533" t="s">
        <v>933</v>
      </c>
      <c r="G11533" t="str">
        <f>"17-K01-01"</f>
        <v>17-K01-01</v>
      </c>
      <c r="H11533">
        <v>5.0045999999999999</v>
      </c>
      <c r="I11533" t="s">
        <v>7619</v>
      </c>
      <c r="J11533" t="s">
        <v>14</v>
      </c>
      <c r="K11533" t="str">
        <f>"2T2"</f>
        <v>2T2</v>
      </c>
      <c r="L11533" t="s">
        <v>15</v>
      </c>
    </row>
    <row r="11534" spans="1:12" x14ac:dyDescent="0.25">
      <c r="A11534" t="str">
        <f t="shared" si="464"/>
        <v>8451065326</v>
      </c>
      <c r="B11534" t="str">
        <f t="shared" si="463"/>
        <v>89301000</v>
      </c>
      <c r="C11534" s="1">
        <v>44435</v>
      </c>
      <c r="D11534" s="1">
        <v>44443</v>
      </c>
      <c r="E11534">
        <v>1</v>
      </c>
      <c r="F11534" t="s">
        <v>933</v>
      </c>
      <c r="G11534" t="str">
        <f>"17-K01-01"</f>
        <v>17-K01-01</v>
      </c>
      <c r="H11534">
        <v>4.8571999999999997</v>
      </c>
      <c r="I11534" t="s">
        <v>7620</v>
      </c>
      <c r="J11534" t="s">
        <v>14</v>
      </c>
      <c r="K11534" t="str">
        <f>"2F2"</f>
        <v>2F2</v>
      </c>
      <c r="L11534" t="s">
        <v>15</v>
      </c>
    </row>
    <row r="11535" spans="1:12" x14ac:dyDescent="0.25">
      <c r="A11535" t="str">
        <f t="shared" si="464"/>
        <v>8451065326</v>
      </c>
      <c r="B11535" t="str">
        <f t="shared" si="463"/>
        <v>89301000</v>
      </c>
      <c r="C11535" s="1">
        <v>44369</v>
      </c>
      <c r="D11535" s="1">
        <v>44400</v>
      </c>
      <c r="E11535">
        <v>1</v>
      </c>
      <c r="F11535" t="s">
        <v>933</v>
      </c>
      <c r="G11535" t="str">
        <f>"17-K01-01"</f>
        <v>17-K01-01</v>
      </c>
      <c r="H11535">
        <v>6.7477</v>
      </c>
      <c r="I11535" t="s">
        <v>7621</v>
      </c>
      <c r="J11535" t="s">
        <v>14</v>
      </c>
      <c r="K11535" t="str">
        <f>"2F2"</f>
        <v>2F2</v>
      </c>
      <c r="L11535" t="s">
        <v>15</v>
      </c>
    </row>
    <row r="11536" spans="1:12" x14ac:dyDescent="0.25">
      <c r="A11536" t="str">
        <f t="shared" si="464"/>
        <v>8451065326</v>
      </c>
      <c r="B11536" t="str">
        <f t="shared" si="463"/>
        <v>89301000</v>
      </c>
      <c r="C11536" s="1">
        <v>44413</v>
      </c>
      <c r="D11536" s="1">
        <v>44420</v>
      </c>
      <c r="E11536">
        <v>1</v>
      </c>
      <c r="F11536" t="s">
        <v>933</v>
      </c>
      <c r="G11536" t="str">
        <f>"17-K01-02"</f>
        <v>17-K01-02</v>
      </c>
      <c r="H11536">
        <v>0.99029999999999996</v>
      </c>
      <c r="I11536" t="s">
        <v>4063</v>
      </c>
      <c r="J11536" t="s">
        <v>14</v>
      </c>
      <c r="K11536" t="str">
        <f>"2F2"</f>
        <v>2F2</v>
      </c>
      <c r="L11536" t="s">
        <v>15</v>
      </c>
    </row>
    <row r="11537" spans="1:12" x14ac:dyDescent="0.25">
      <c r="A11537" t="str">
        <f t="shared" si="464"/>
        <v>8451065326</v>
      </c>
      <c r="B11537" t="str">
        <f t="shared" si="463"/>
        <v>89301000</v>
      </c>
      <c r="C11537" s="1">
        <v>44331</v>
      </c>
      <c r="D11537" s="1">
        <v>44362</v>
      </c>
      <c r="E11537">
        <v>1</v>
      </c>
      <c r="F11537" t="s">
        <v>933</v>
      </c>
      <c r="G11537" t="str">
        <f>"17-C01-02"</f>
        <v>17-C01-02</v>
      </c>
      <c r="H11537">
        <v>10.3367</v>
      </c>
      <c r="I11537" t="s">
        <v>7622</v>
      </c>
      <c r="J11537" t="s">
        <v>14</v>
      </c>
      <c r="K11537" t="str">
        <f>"2F2"</f>
        <v>2F2</v>
      </c>
      <c r="L11537" t="s">
        <v>15</v>
      </c>
    </row>
    <row r="11538" spans="1:12" x14ac:dyDescent="0.25">
      <c r="A11538" t="str">
        <f>"8451134461"</f>
        <v>8451134461</v>
      </c>
      <c r="B11538" t="str">
        <f t="shared" si="463"/>
        <v>89301000</v>
      </c>
      <c r="C11538" s="1">
        <v>44459</v>
      </c>
      <c r="D11538" s="1">
        <v>44475</v>
      </c>
      <c r="E11538">
        <v>1</v>
      </c>
      <c r="F11538" t="s">
        <v>1953</v>
      </c>
      <c r="G11538" t="str">
        <f>"07-K07-01"</f>
        <v>07-K07-01</v>
      </c>
      <c r="H11538">
        <v>1.0750999999999999</v>
      </c>
      <c r="I11538" t="s">
        <v>7623</v>
      </c>
      <c r="J11538" t="s">
        <v>14</v>
      </c>
      <c r="K11538" t="str">
        <f>"4F2"</f>
        <v>4F2</v>
      </c>
      <c r="L11538" t="s">
        <v>15</v>
      </c>
    </row>
    <row r="11539" spans="1:12" x14ac:dyDescent="0.25">
      <c r="A11539" t="str">
        <f>"8451134461"</f>
        <v>8451134461</v>
      </c>
      <c r="B11539" t="str">
        <f t="shared" si="463"/>
        <v>89301000</v>
      </c>
      <c r="C11539" s="1">
        <v>44425</v>
      </c>
      <c r="D11539" s="1">
        <v>44439</v>
      </c>
      <c r="E11539">
        <v>1</v>
      </c>
      <c r="F11539" t="s">
        <v>1008</v>
      </c>
      <c r="G11539" t="str">
        <f>"18-K01-07"</f>
        <v>18-K01-07</v>
      </c>
      <c r="H11539">
        <v>1.0324</v>
      </c>
      <c r="I11539" t="s">
        <v>7624</v>
      </c>
      <c r="J11539" t="s">
        <v>14</v>
      </c>
      <c r="K11539" t="str">
        <f>"4F2"</f>
        <v>4F2</v>
      </c>
      <c r="L11539" t="s">
        <v>15</v>
      </c>
    </row>
    <row r="11540" spans="1:12" x14ac:dyDescent="0.25">
      <c r="A11540" t="str">
        <f>"8451134461"</f>
        <v>8451134461</v>
      </c>
      <c r="B11540" t="str">
        <f t="shared" si="463"/>
        <v>89301000</v>
      </c>
      <c r="C11540" s="1">
        <v>44138</v>
      </c>
      <c r="D11540" s="1">
        <v>44211</v>
      </c>
      <c r="E11540">
        <v>1</v>
      </c>
      <c r="F11540" t="s">
        <v>479</v>
      </c>
      <c r="G11540" t="str">
        <f>"00-M02-02"</f>
        <v>00-M02-02</v>
      </c>
      <c r="H11540">
        <v>31.7089</v>
      </c>
      <c r="I11540" t="s">
        <v>7625</v>
      </c>
      <c r="J11540" t="s">
        <v>14</v>
      </c>
      <c r="K11540" t="str">
        <f>"1F1"</f>
        <v>1F1</v>
      </c>
      <c r="L11540" t="s">
        <v>15</v>
      </c>
    </row>
    <row r="11541" spans="1:12" x14ac:dyDescent="0.25">
      <c r="A11541" t="str">
        <f>"8451134461"</f>
        <v>8451134461</v>
      </c>
      <c r="B11541" t="str">
        <f t="shared" si="463"/>
        <v>89301000</v>
      </c>
      <c r="C11541" s="1">
        <v>44237</v>
      </c>
      <c r="D11541" s="1">
        <v>44266</v>
      </c>
      <c r="E11541">
        <v>1</v>
      </c>
      <c r="F11541" t="s">
        <v>1953</v>
      </c>
      <c r="G11541" t="str">
        <f>"07-I01-01"</f>
        <v>07-I01-01</v>
      </c>
      <c r="H11541">
        <v>9.4321000000000002</v>
      </c>
      <c r="I11541" t="s">
        <v>7626</v>
      </c>
      <c r="J11541" t="s">
        <v>17</v>
      </c>
      <c r="K11541" t="str">
        <f>"5F1"</f>
        <v>5F1</v>
      </c>
      <c r="L11541" t="s">
        <v>15</v>
      </c>
    </row>
    <row r="11542" spans="1:12" x14ac:dyDescent="0.25">
      <c r="A11542" t="str">
        <f>"8451195302"</f>
        <v>8451195302</v>
      </c>
      <c r="B11542" t="str">
        <f t="shared" si="463"/>
        <v>89301000</v>
      </c>
      <c r="C11542" s="1">
        <v>44321</v>
      </c>
      <c r="D11542" s="1">
        <v>44323</v>
      </c>
      <c r="E11542">
        <v>1</v>
      </c>
      <c r="F11542" t="s">
        <v>75</v>
      </c>
      <c r="G11542" t="str">
        <f>"14-M01-02"</f>
        <v>14-M01-02</v>
      </c>
      <c r="H11542">
        <v>0.74450000000000005</v>
      </c>
      <c r="I11542" t="s">
        <v>7627</v>
      </c>
      <c r="J11542" t="s">
        <v>59</v>
      </c>
      <c r="K11542" t="str">
        <f>"6F3"</f>
        <v>6F3</v>
      </c>
      <c r="L11542" t="s">
        <v>15</v>
      </c>
    </row>
    <row r="11543" spans="1:12" x14ac:dyDescent="0.25">
      <c r="A11543" t="str">
        <f>"8451204861"</f>
        <v>8451204861</v>
      </c>
      <c r="B11543" t="str">
        <f t="shared" si="463"/>
        <v>89301000</v>
      </c>
      <c r="C11543" s="1">
        <v>44482</v>
      </c>
      <c r="D11543" s="1">
        <v>44485</v>
      </c>
      <c r="E11543">
        <v>1</v>
      </c>
      <c r="F11543" t="s">
        <v>61</v>
      </c>
      <c r="G11543" t="str">
        <f>"14-I01-05"</f>
        <v>14-I01-05</v>
      </c>
      <c r="H11543">
        <v>0.80030000000000001</v>
      </c>
      <c r="I11543" t="s">
        <v>62</v>
      </c>
      <c r="J11543" t="s">
        <v>59</v>
      </c>
      <c r="K11543" t="str">
        <f>"6F3"</f>
        <v>6F3</v>
      </c>
      <c r="L11543" t="s">
        <v>15</v>
      </c>
    </row>
    <row r="11544" spans="1:12" x14ac:dyDescent="0.25">
      <c r="A11544" t="str">
        <f>"8452015319"</f>
        <v>8452015319</v>
      </c>
      <c r="B11544" t="str">
        <f t="shared" si="463"/>
        <v>89301000</v>
      </c>
      <c r="C11544" s="1">
        <v>44403</v>
      </c>
      <c r="D11544" s="1">
        <v>44406</v>
      </c>
      <c r="E11544">
        <v>1</v>
      </c>
      <c r="F11544" t="s">
        <v>1690</v>
      </c>
      <c r="G11544" t="str">
        <f>"07-I10-06"</f>
        <v>07-I10-06</v>
      </c>
      <c r="H11544">
        <v>0.9728</v>
      </c>
      <c r="I11544" t="s">
        <v>348</v>
      </c>
      <c r="J11544" t="s">
        <v>17</v>
      </c>
      <c r="K11544" t="str">
        <f>"5F1"</f>
        <v>5F1</v>
      </c>
      <c r="L11544" t="s">
        <v>15</v>
      </c>
    </row>
    <row r="11545" spans="1:12" x14ac:dyDescent="0.25">
      <c r="A11545" t="str">
        <f>"8452065325"</f>
        <v>8452065325</v>
      </c>
      <c r="B11545" t="str">
        <f t="shared" si="463"/>
        <v>89301000</v>
      </c>
      <c r="C11545" s="1">
        <v>44266</v>
      </c>
      <c r="D11545" s="1">
        <v>44274</v>
      </c>
      <c r="E11545">
        <v>1</v>
      </c>
      <c r="F11545" t="s">
        <v>217</v>
      </c>
      <c r="G11545" t="str">
        <f>"04-K02-03"</f>
        <v>04-K02-03</v>
      </c>
      <c r="H11545">
        <v>1.2859</v>
      </c>
      <c r="I11545" t="s">
        <v>7628</v>
      </c>
      <c r="J11545" t="s">
        <v>14</v>
      </c>
      <c r="K11545" t="str">
        <f>"1F1"</f>
        <v>1F1</v>
      </c>
      <c r="L11545" t="s">
        <v>15</v>
      </c>
    </row>
    <row r="11546" spans="1:12" x14ac:dyDescent="0.25">
      <c r="A11546" t="str">
        <f>"8452075313"</f>
        <v>8452075313</v>
      </c>
      <c r="B11546" t="str">
        <f t="shared" si="463"/>
        <v>89301000</v>
      </c>
      <c r="C11546" s="1">
        <v>44479</v>
      </c>
      <c r="D11546" s="1">
        <v>44482</v>
      </c>
      <c r="E11546">
        <v>1</v>
      </c>
      <c r="F11546" t="s">
        <v>2311</v>
      </c>
      <c r="G11546" t="str">
        <f>"08-I03-08"</f>
        <v>08-I03-08</v>
      </c>
      <c r="H11546">
        <v>2.0605000000000002</v>
      </c>
      <c r="I11546" t="s">
        <v>489</v>
      </c>
      <c r="J11546" t="s">
        <v>17</v>
      </c>
      <c r="K11546" t="str">
        <f>"5F6"</f>
        <v>5F6</v>
      </c>
      <c r="L11546" t="s">
        <v>15</v>
      </c>
    </row>
    <row r="11547" spans="1:12" x14ac:dyDescent="0.25">
      <c r="A11547" t="str">
        <f>"8452084608"</f>
        <v>8452084608</v>
      </c>
      <c r="B11547" t="str">
        <f t="shared" si="463"/>
        <v>89301000</v>
      </c>
      <c r="C11547" s="1">
        <v>44537</v>
      </c>
      <c r="D11547" s="1">
        <v>44538</v>
      </c>
      <c r="E11547">
        <v>1</v>
      </c>
      <c r="F11547" t="s">
        <v>7418</v>
      </c>
      <c r="G11547" t="str">
        <f>"14-I08-03"</f>
        <v>14-I08-03</v>
      </c>
      <c r="H11547">
        <v>0.21099999999999999</v>
      </c>
      <c r="J11547" t="s">
        <v>14</v>
      </c>
      <c r="K11547" t="str">
        <f>"6F3"</f>
        <v>6F3</v>
      </c>
      <c r="L11547" t="s">
        <v>15</v>
      </c>
    </row>
    <row r="11548" spans="1:12" x14ac:dyDescent="0.25">
      <c r="A11548" t="str">
        <f>"8452185786"</f>
        <v>8452185786</v>
      </c>
      <c r="B11548" t="str">
        <f t="shared" si="463"/>
        <v>89301000</v>
      </c>
      <c r="C11548" s="1">
        <v>44546</v>
      </c>
      <c r="D11548" s="1">
        <v>44550</v>
      </c>
      <c r="E11548">
        <v>1</v>
      </c>
      <c r="F11548" t="s">
        <v>1551</v>
      </c>
      <c r="G11548" t="str">
        <f>"09-I06-04"</f>
        <v>09-I06-04</v>
      </c>
      <c r="H11548">
        <v>0.98829999999999996</v>
      </c>
      <c r="J11548" t="s">
        <v>17</v>
      </c>
      <c r="K11548" t="str">
        <f>"5F1"</f>
        <v>5F1</v>
      </c>
      <c r="L11548" t="s">
        <v>15</v>
      </c>
    </row>
    <row r="11549" spans="1:12" x14ac:dyDescent="0.25">
      <c r="A11549" t="str">
        <f>"8452235352"</f>
        <v>8452235352</v>
      </c>
      <c r="B11549" t="str">
        <f t="shared" si="463"/>
        <v>89301000</v>
      </c>
      <c r="C11549" s="1">
        <v>44201</v>
      </c>
      <c r="D11549" s="1">
        <v>44208</v>
      </c>
      <c r="E11549">
        <v>1</v>
      </c>
      <c r="F11549" t="s">
        <v>75</v>
      </c>
      <c r="G11549" t="str">
        <f>"14-M01-05"</f>
        <v>14-M01-05</v>
      </c>
      <c r="H11549">
        <v>0.60709999999999997</v>
      </c>
      <c r="J11549" t="s">
        <v>59</v>
      </c>
      <c r="K11549" t="str">
        <f>"6F3"</f>
        <v>6F3</v>
      </c>
      <c r="L11549" t="s">
        <v>15</v>
      </c>
    </row>
    <row r="11550" spans="1:12" x14ac:dyDescent="0.25">
      <c r="A11550" t="str">
        <f>"8452275348"</f>
        <v>8452275348</v>
      </c>
      <c r="B11550" t="str">
        <f t="shared" ref="B11550:B11613" si="465">"89301000"</f>
        <v>89301000</v>
      </c>
      <c r="C11550" s="1">
        <v>44347</v>
      </c>
      <c r="D11550" s="1">
        <v>44348</v>
      </c>
      <c r="E11550">
        <v>1</v>
      </c>
      <c r="F11550" t="s">
        <v>622</v>
      </c>
      <c r="G11550" t="str">
        <f>"02-I11-02"</f>
        <v>02-I11-02</v>
      </c>
      <c r="H11550">
        <v>0.64790000000000003</v>
      </c>
      <c r="I11550" t="s">
        <v>2805</v>
      </c>
      <c r="J11550" t="s">
        <v>17</v>
      </c>
      <c r="K11550" t="str">
        <f>"7F5"</f>
        <v>7F5</v>
      </c>
      <c r="L11550" t="s">
        <v>15</v>
      </c>
    </row>
    <row r="11551" spans="1:12" x14ac:dyDescent="0.25">
      <c r="A11551" t="str">
        <f>"8453013844"</f>
        <v>8453013844</v>
      </c>
      <c r="B11551" t="str">
        <f t="shared" si="465"/>
        <v>89301000</v>
      </c>
      <c r="C11551" s="1">
        <v>44210</v>
      </c>
      <c r="D11551" s="1">
        <v>44211</v>
      </c>
      <c r="E11551">
        <v>1</v>
      </c>
      <c r="F11551" t="s">
        <v>7629</v>
      </c>
      <c r="G11551" t="str">
        <f>"14-I08-03"</f>
        <v>14-I08-03</v>
      </c>
      <c r="H11551">
        <v>0.21099999999999999</v>
      </c>
      <c r="J11551" t="s">
        <v>14</v>
      </c>
      <c r="K11551" t="str">
        <f>"6F3"</f>
        <v>6F3</v>
      </c>
      <c r="L11551" t="s">
        <v>15</v>
      </c>
    </row>
    <row r="11552" spans="1:12" x14ac:dyDescent="0.25">
      <c r="A11552" t="str">
        <f>"8453015758"</f>
        <v>8453015758</v>
      </c>
      <c r="B11552" t="str">
        <f t="shared" si="465"/>
        <v>89301000</v>
      </c>
      <c r="C11552" s="1">
        <v>44420</v>
      </c>
      <c r="D11552" s="1">
        <v>44442</v>
      </c>
      <c r="E11552">
        <v>4</v>
      </c>
      <c r="F11552" t="s">
        <v>7630</v>
      </c>
      <c r="G11552" t="str">
        <f>"19-K06-02"</f>
        <v>19-K06-02</v>
      </c>
      <c r="H11552">
        <v>2.4085000000000001</v>
      </c>
      <c r="I11552" t="s">
        <v>7631</v>
      </c>
      <c r="J11552" t="s">
        <v>27</v>
      </c>
      <c r="K11552" t="str">
        <f>"3F5"</f>
        <v>3F5</v>
      </c>
      <c r="L11552" t="s">
        <v>15</v>
      </c>
    </row>
    <row r="11553" spans="1:12" x14ac:dyDescent="0.25">
      <c r="A11553" t="str">
        <f>"8453015758"</f>
        <v>8453015758</v>
      </c>
      <c r="B11553" t="str">
        <f t="shared" si="465"/>
        <v>89301000</v>
      </c>
      <c r="C11553" s="1">
        <v>44400</v>
      </c>
      <c r="D11553" s="1">
        <v>44412</v>
      </c>
      <c r="E11553">
        <v>1</v>
      </c>
      <c r="F11553" t="s">
        <v>7632</v>
      </c>
      <c r="G11553" t="str">
        <f>"19-K04-02"</f>
        <v>19-K04-02</v>
      </c>
      <c r="H11553">
        <v>1.4597</v>
      </c>
      <c r="I11553" t="s">
        <v>168</v>
      </c>
      <c r="J11553" t="s">
        <v>27</v>
      </c>
      <c r="K11553" t="str">
        <f>"3F5"</f>
        <v>3F5</v>
      </c>
      <c r="L11553" t="s">
        <v>15</v>
      </c>
    </row>
    <row r="11554" spans="1:12" x14ac:dyDescent="0.25">
      <c r="A11554" t="str">
        <f>"8453105309"</f>
        <v>8453105309</v>
      </c>
      <c r="B11554" t="str">
        <f t="shared" si="465"/>
        <v>89301000</v>
      </c>
      <c r="C11554" s="1">
        <v>44418</v>
      </c>
      <c r="D11554" s="1">
        <v>44421</v>
      </c>
      <c r="E11554">
        <v>1</v>
      </c>
      <c r="F11554" t="s">
        <v>102</v>
      </c>
      <c r="G11554" t="str">
        <f>"03-K06-01"</f>
        <v>03-K06-01</v>
      </c>
      <c r="H11554">
        <v>0.4718</v>
      </c>
      <c r="I11554" t="s">
        <v>348</v>
      </c>
      <c r="J11554" t="s">
        <v>14</v>
      </c>
      <c r="K11554" t="str">
        <f>"7F1"</f>
        <v>7F1</v>
      </c>
      <c r="L11554" t="s">
        <v>15</v>
      </c>
    </row>
    <row r="11555" spans="1:12" x14ac:dyDescent="0.25">
      <c r="A11555" t="str">
        <f>"8453145008"</f>
        <v>8453145008</v>
      </c>
      <c r="B11555" t="str">
        <f t="shared" si="465"/>
        <v>89301000</v>
      </c>
      <c r="C11555" s="1">
        <v>44301</v>
      </c>
      <c r="D11555" s="1">
        <v>44316</v>
      </c>
      <c r="E11555">
        <v>4</v>
      </c>
      <c r="F11555" t="s">
        <v>2693</v>
      </c>
      <c r="G11555" t="str">
        <f>"04-K09-02"</f>
        <v>04-K09-02</v>
      </c>
      <c r="H11555">
        <v>1.2861</v>
      </c>
      <c r="I11555" t="s">
        <v>7633</v>
      </c>
      <c r="J11555" t="s">
        <v>14</v>
      </c>
      <c r="K11555" t="str">
        <f>"4F2"</f>
        <v>4F2</v>
      </c>
      <c r="L11555" t="s">
        <v>15</v>
      </c>
    </row>
    <row r="11556" spans="1:12" x14ac:dyDescent="0.25">
      <c r="A11556" t="str">
        <f>"8453225330"</f>
        <v>8453225330</v>
      </c>
      <c r="B11556" t="str">
        <f t="shared" si="465"/>
        <v>89301000</v>
      </c>
      <c r="C11556" s="1">
        <v>44527</v>
      </c>
      <c r="D11556" s="1">
        <v>44528</v>
      </c>
      <c r="E11556">
        <v>1</v>
      </c>
      <c r="F11556" t="s">
        <v>7634</v>
      </c>
      <c r="G11556" t="str">
        <f>"05-K15-01"</f>
        <v>05-K15-01</v>
      </c>
      <c r="H11556">
        <v>0.55910000000000004</v>
      </c>
      <c r="I11556" t="s">
        <v>274</v>
      </c>
      <c r="J11556" t="s">
        <v>14</v>
      </c>
      <c r="K11556" t="str">
        <f>"1F1"</f>
        <v>1F1</v>
      </c>
      <c r="L11556" t="s">
        <v>15</v>
      </c>
    </row>
    <row r="11557" spans="1:12" x14ac:dyDescent="0.25">
      <c r="A11557" t="str">
        <f>"8453225330"</f>
        <v>8453225330</v>
      </c>
      <c r="B11557" t="str">
        <f t="shared" si="465"/>
        <v>89301000</v>
      </c>
      <c r="C11557" s="1">
        <v>44534</v>
      </c>
      <c r="D11557" s="1">
        <v>44536</v>
      </c>
      <c r="E11557">
        <v>1</v>
      </c>
      <c r="F11557" t="s">
        <v>217</v>
      </c>
      <c r="G11557" t="str">
        <f>"04-K02-04"</f>
        <v>04-K02-04</v>
      </c>
      <c r="H11557">
        <v>0.82469999999999999</v>
      </c>
      <c r="I11557" t="s">
        <v>274</v>
      </c>
      <c r="J11557" t="s">
        <v>14</v>
      </c>
      <c r="K11557" t="str">
        <f>"5F1"</f>
        <v>5F1</v>
      </c>
      <c r="L11557" t="s">
        <v>15</v>
      </c>
    </row>
    <row r="11558" spans="1:12" x14ac:dyDescent="0.25">
      <c r="A11558" t="str">
        <f>"8453235791"</f>
        <v>8453235791</v>
      </c>
      <c r="B11558" t="str">
        <f t="shared" si="465"/>
        <v>89301000</v>
      </c>
      <c r="C11558" s="1">
        <v>44412</v>
      </c>
      <c r="D11558" s="1">
        <v>44417</v>
      </c>
      <c r="E11558">
        <v>1</v>
      </c>
      <c r="F11558" t="s">
        <v>2637</v>
      </c>
      <c r="G11558" t="str">
        <f>"23-K05-01"</f>
        <v>23-K05-01</v>
      </c>
      <c r="H11558">
        <v>0.56999999999999995</v>
      </c>
      <c r="I11558" t="s">
        <v>2638</v>
      </c>
      <c r="J11558" t="s">
        <v>14</v>
      </c>
      <c r="K11558" t="str">
        <f>"4F7"</f>
        <v>4F7</v>
      </c>
      <c r="L11558" t="s">
        <v>15</v>
      </c>
    </row>
    <row r="11559" spans="1:12" x14ac:dyDescent="0.25">
      <c r="A11559" t="str">
        <f>"8453274467"</f>
        <v>8453274467</v>
      </c>
      <c r="B11559" t="str">
        <f t="shared" si="465"/>
        <v>89301000</v>
      </c>
      <c r="C11559" s="1">
        <v>44502</v>
      </c>
      <c r="D11559" s="1">
        <v>44505</v>
      </c>
      <c r="E11559">
        <v>1</v>
      </c>
      <c r="F11559" t="s">
        <v>7048</v>
      </c>
      <c r="G11559" t="str">
        <f>"13-K06-00"</f>
        <v>13-K06-00</v>
      </c>
      <c r="H11559">
        <v>0.51339999999999997</v>
      </c>
      <c r="J11559" t="s">
        <v>14</v>
      </c>
      <c r="K11559" t="str">
        <f>"6F3"</f>
        <v>6F3</v>
      </c>
      <c r="L11559" t="s">
        <v>15</v>
      </c>
    </row>
    <row r="11560" spans="1:12" x14ac:dyDescent="0.25">
      <c r="A11560" t="str">
        <f>"8453305344"</f>
        <v>8453305344</v>
      </c>
      <c r="B11560" t="str">
        <f t="shared" si="465"/>
        <v>89301000</v>
      </c>
      <c r="C11560" s="1">
        <v>44364</v>
      </c>
      <c r="D11560" s="1">
        <v>44366</v>
      </c>
      <c r="E11560">
        <v>1</v>
      </c>
      <c r="F11560" t="s">
        <v>71</v>
      </c>
      <c r="G11560" t="str">
        <f>"08-M03-05"</f>
        <v>08-M03-05</v>
      </c>
      <c r="H11560">
        <v>0.51759999999999995</v>
      </c>
      <c r="I11560" t="s">
        <v>410</v>
      </c>
      <c r="J11560" t="s">
        <v>14</v>
      </c>
      <c r="K11560" t="str">
        <f>"5F3"</f>
        <v>5F3</v>
      </c>
      <c r="L11560" t="s">
        <v>15</v>
      </c>
    </row>
    <row r="11561" spans="1:12" x14ac:dyDescent="0.25">
      <c r="A11561" t="str">
        <f>"8454124470"</f>
        <v>8454124470</v>
      </c>
      <c r="B11561" t="str">
        <f t="shared" si="465"/>
        <v>89301000</v>
      </c>
      <c r="C11561" s="1">
        <v>44426</v>
      </c>
      <c r="D11561" s="1">
        <v>44429</v>
      </c>
      <c r="E11561">
        <v>1</v>
      </c>
      <c r="F11561" t="s">
        <v>61</v>
      </c>
      <c r="G11561" t="str">
        <f>"14-I01-05"</f>
        <v>14-I01-05</v>
      </c>
      <c r="H11561">
        <v>0.80030000000000001</v>
      </c>
      <c r="I11561" t="s">
        <v>7635</v>
      </c>
      <c r="J11561" t="s">
        <v>59</v>
      </c>
      <c r="K11561" t="str">
        <f>"6F3"</f>
        <v>6F3</v>
      </c>
      <c r="L11561" t="s">
        <v>15</v>
      </c>
    </row>
    <row r="11562" spans="1:12" x14ac:dyDescent="0.25">
      <c r="A11562" t="str">
        <f>"8454215363"</f>
        <v>8454215363</v>
      </c>
      <c r="B11562" t="str">
        <f t="shared" si="465"/>
        <v>89301000</v>
      </c>
      <c r="C11562" s="1">
        <v>44411</v>
      </c>
      <c r="D11562" s="1">
        <v>44413</v>
      </c>
      <c r="E11562">
        <v>1</v>
      </c>
      <c r="F11562" t="s">
        <v>4491</v>
      </c>
      <c r="G11562" t="str">
        <f>"01-K01-02"</f>
        <v>01-K01-02</v>
      </c>
      <c r="H11562">
        <v>0.50700000000000001</v>
      </c>
      <c r="J11562" t="s">
        <v>14</v>
      </c>
      <c r="K11562" t="str">
        <f>"2F9"</f>
        <v>2F9</v>
      </c>
      <c r="L11562" t="s">
        <v>15</v>
      </c>
    </row>
    <row r="11563" spans="1:12" x14ac:dyDescent="0.25">
      <c r="A11563" t="str">
        <f>"8454215407"</f>
        <v>8454215407</v>
      </c>
      <c r="B11563" t="str">
        <f t="shared" si="465"/>
        <v>89301000</v>
      </c>
      <c r="C11563" s="1">
        <v>44442</v>
      </c>
      <c r="D11563" s="1">
        <v>44443</v>
      </c>
      <c r="E11563">
        <v>1</v>
      </c>
      <c r="F11563" t="s">
        <v>7294</v>
      </c>
      <c r="G11563" t="str">
        <f>"13-I19-00"</f>
        <v>13-I19-00</v>
      </c>
      <c r="H11563">
        <v>0.24679999999999999</v>
      </c>
      <c r="J11563" t="s">
        <v>14</v>
      </c>
      <c r="K11563" t="str">
        <f>"6F3"</f>
        <v>6F3</v>
      </c>
      <c r="L11563" t="s">
        <v>15</v>
      </c>
    </row>
    <row r="11564" spans="1:12" x14ac:dyDescent="0.25">
      <c r="A11564" t="str">
        <f>"8454245690"</f>
        <v>8454245690</v>
      </c>
      <c r="B11564" t="str">
        <f t="shared" si="465"/>
        <v>89301000</v>
      </c>
      <c r="C11564" s="1">
        <v>44406</v>
      </c>
      <c r="D11564" s="1">
        <v>44408</v>
      </c>
      <c r="E11564">
        <v>1</v>
      </c>
      <c r="F11564" t="s">
        <v>2311</v>
      </c>
      <c r="G11564" t="str">
        <f>"08-I03-08"</f>
        <v>08-I03-08</v>
      </c>
      <c r="H11564">
        <v>2.0605000000000002</v>
      </c>
      <c r="I11564" t="s">
        <v>489</v>
      </c>
      <c r="J11564" t="s">
        <v>17</v>
      </c>
      <c r="K11564" t="str">
        <f>"5F6"</f>
        <v>5F6</v>
      </c>
      <c r="L11564" t="s">
        <v>15</v>
      </c>
    </row>
    <row r="11565" spans="1:12" x14ac:dyDescent="0.25">
      <c r="A11565" t="str">
        <f>"8454304463"</f>
        <v>8454304463</v>
      </c>
      <c r="B11565" t="str">
        <f t="shared" si="465"/>
        <v>89301000</v>
      </c>
      <c r="C11565" s="1">
        <v>44484</v>
      </c>
      <c r="D11565" s="1">
        <v>44487</v>
      </c>
      <c r="E11565">
        <v>1</v>
      </c>
      <c r="F11565" t="s">
        <v>75</v>
      </c>
      <c r="G11565" t="str">
        <f>"14-M01-05"</f>
        <v>14-M01-05</v>
      </c>
      <c r="H11565">
        <v>0.54239999999999999</v>
      </c>
      <c r="I11565" t="s">
        <v>76</v>
      </c>
      <c r="J11565" t="s">
        <v>59</v>
      </c>
      <c r="K11565" t="str">
        <f>"6F3"</f>
        <v>6F3</v>
      </c>
      <c r="L11565" t="s">
        <v>15</v>
      </c>
    </row>
    <row r="11566" spans="1:12" x14ac:dyDescent="0.25">
      <c r="A11566" t="str">
        <f>"8455065322"</f>
        <v>8455065322</v>
      </c>
      <c r="B11566" t="str">
        <f t="shared" si="465"/>
        <v>89301000</v>
      </c>
      <c r="C11566" s="1">
        <v>44515</v>
      </c>
      <c r="D11566" s="1">
        <v>44521</v>
      </c>
      <c r="E11566">
        <v>1</v>
      </c>
      <c r="F11566" t="s">
        <v>112</v>
      </c>
      <c r="G11566" t="str">
        <f>"14-M01-02"</f>
        <v>14-M01-02</v>
      </c>
      <c r="H11566">
        <v>0.75949999999999995</v>
      </c>
      <c r="I11566" t="s">
        <v>7636</v>
      </c>
      <c r="J11566" t="s">
        <v>59</v>
      </c>
      <c r="K11566" t="str">
        <f>"6F3"</f>
        <v>6F3</v>
      </c>
      <c r="L11566" t="s">
        <v>15</v>
      </c>
    </row>
    <row r="11567" spans="1:12" x14ac:dyDescent="0.25">
      <c r="A11567" t="str">
        <f>"8455065333"</f>
        <v>8455065333</v>
      </c>
      <c r="B11567" t="str">
        <f t="shared" si="465"/>
        <v>89301000</v>
      </c>
      <c r="C11567" s="1">
        <v>44532</v>
      </c>
      <c r="D11567" s="1">
        <v>44535</v>
      </c>
      <c r="E11567">
        <v>1</v>
      </c>
      <c r="F11567" t="s">
        <v>217</v>
      </c>
      <c r="G11567" t="str">
        <f>"04-K02-04"</f>
        <v>04-K02-04</v>
      </c>
      <c r="H11567">
        <v>0.82469999999999999</v>
      </c>
      <c r="I11567" t="s">
        <v>893</v>
      </c>
      <c r="J11567" t="s">
        <v>14</v>
      </c>
      <c r="K11567" t="str">
        <f>"1F1"</f>
        <v>1F1</v>
      </c>
      <c r="L11567" t="s">
        <v>15</v>
      </c>
    </row>
    <row r="11568" spans="1:12" x14ac:dyDescent="0.25">
      <c r="A11568" t="str">
        <f>"8455085694"</f>
        <v>8455085694</v>
      </c>
      <c r="B11568" t="str">
        <f t="shared" si="465"/>
        <v>89301000</v>
      </c>
      <c r="C11568" s="1">
        <v>44349</v>
      </c>
      <c r="D11568" s="1">
        <v>44352</v>
      </c>
      <c r="E11568">
        <v>1</v>
      </c>
      <c r="F11568" t="s">
        <v>61</v>
      </c>
      <c r="G11568" t="str">
        <f>"14-I01-05"</f>
        <v>14-I01-05</v>
      </c>
      <c r="H11568">
        <v>0.80030000000000001</v>
      </c>
      <c r="I11568" t="s">
        <v>7277</v>
      </c>
      <c r="J11568" t="s">
        <v>59</v>
      </c>
      <c r="K11568" t="str">
        <f>"6F3"</f>
        <v>6F3</v>
      </c>
      <c r="L11568" t="s">
        <v>15</v>
      </c>
    </row>
    <row r="11569" spans="1:12" x14ac:dyDescent="0.25">
      <c r="A11569" t="str">
        <f>"8455125767"</f>
        <v>8455125767</v>
      </c>
      <c r="B11569" t="str">
        <f t="shared" si="465"/>
        <v>89301000</v>
      </c>
      <c r="C11569" s="1">
        <v>44264</v>
      </c>
      <c r="D11569" s="1">
        <v>44267</v>
      </c>
      <c r="E11569">
        <v>1</v>
      </c>
      <c r="F11569" t="s">
        <v>75</v>
      </c>
      <c r="G11569" t="str">
        <f>"14-M01-05"</f>
        <v>14-M01-05</v>
      </c>
      <c r="H11569">
        <v>0.54239999999999999</v>
      </c>
      <c r="J11569" t="s">
        <v>59</v>
      </c>
      <c r="K11569" t="str">
        <f>"6F3"</f>
        <v>6F3</v>
      </c>
      <c r="L11569" t="s">
        <v>15</v>
      </c>
    </row>
    <row r="11570" spans="1:12" x14ac:dyDescent="0.25">
      <c r="A11570" t="str">
        <f>"8455174893"</f>
        <v>8455174893</v>
      </c>
      <c r="B11570" t="str">
        <f t="shared" si="465"/>
        <v>89301000</v>
      </c>
      <c r="C11570" s="1">
        <v>44490</v>
      </c>
      <c r="D11570" s="1">
        <v>44493</v>
      </c>
      <c r="E11570">
        <v>1</v>
      </c>
      <c r="F11570" t="s">
        <v>4382</v>
      </c>
      <c r="G11570" t="str">
        <f>"05-I30-01"</f>
        <v>05-I30-01</v>
      </c>
      <c r="H11570">
        <v>0.64139999999999997</v>
      </c>
      <c r="J11570" t="s">
        <v>14</v>
      </c>
      <c r="K11570" t="str">
        <f>"5F1"</f>
        <v>5F1</v>
      </c>
      <c r="L11570" t="s">
        <v>15</v>
      </c>
    </row>
    <row r="11571" spans="1:12" x14ac:dyDescent="0.25">
      <c r="A11571" t="str">
        <f>"8455205814"</f>
        <v>8455205814</v>
      </c>
      <c r="B11571" t="str">
        <f t="shared" si="465"/>
        <v>89301000</v>
      </c>
      <c r="C11571" s="1">
        <v>44217</v>
      </c>
      <c r="D11571" s="1">
        <v>44221</v>
      </c>
      <c r="E11571">
        <v>1</v>
      </c>
      <c r="F11571" t="s">
        <v>1551</v>
      </c>
      <c r="G11571" t="str">
        <f>"09-I06-04"</f>
        <v>09-I06-04</v>
      </c>
      <c r="H11571">
        <v>0.98829999999999996</v>
      </c>
      <c r="I11571" t="s">
        <v>860</v>
      </c>
      <c r="J11571" t="s">
        <v>17</v>
      </c>
      <c r="K11571" t="str">
        <f>"5F1"</f>
        <v>5F1</v>
      </c>
      <c r="L11571" t="s">
        <v>15</v>
      </c>
    </row>
    <row r="11572" spans="1:12" x14ac:dyDescent="0.25">
      <c r="A11572" t="str">
        <f>"8455235316"</f>
        <v>8455235316</v>
      </c>
      <c r="B11572" t="str">
        <f t="shared" si="465"/>
        <v>89301000</v>
      </c>
      <c r="C11572" s="1">
        <v>44298</v>
      </c>
      <c r="D11572" s="1">
        <v>44301</v>
      </c>
      <c r="E11572">
        <v>1</v>
      </c>
      <c r="F11572" t="s">
        <v>75</v>
      </c>
      <c r="G11572" t="str">
        <f>"14-M01-05"</f>
        <v>14-M01-05</v>
      </c>
      <c r="H11572">
        <v>0.54239999999999999</v>
      </c>
      <c r="I11572" t="s">
        <v>7637</v>
      </c>
      <c r="J11572" t="s">
        <v>59</v>
      </c>
      <c r="K11572" t="str">
        <f t="shared" ref="K11572:K11579" si="466">"6F3"</f>
        <v>6F3</v>
      </c>
      <c r="L11572" t="s">
        <v>15</v>
      </c>
    </row>
    <row r="11573" spans="1:12" x14ac:dyDescent="0.25">
      <c r="A11573" t="str">
        <f>"8455255787"</f>
        <v>8455255787</v>
      </c>
      <c r="B11573" t="str">
        <f t="shared" si="465"/>
        <v>89301000</v>
      </c>
      <c r="C11573" s="1">
        <v>44492</v>
      </c>
      <c r="D11573" s="1">
        <v>44496</v>
      </c>
      <c r="E11573">
        <v>1</v>
      </c>
      <c r="F11573" t="s">
        <v>75</v>
      </c>
      <c r="G11573" t="str">
        <f>"14-M01-05"</f>
        <v>14-M01-05</v>
      </c>
      <c r="H11573">
        <v>0.54239999999999999</v>
      </c>
      <c r="J11573" t="s">
        <v>59</v>
      </c>
      <c r="K11573" t="str">
        <f t="shared" si="466"/>
        <v>6F3</v>
      </c>
      <c r="L11573" t="s">
        <v>15</v>
      </c>
    </row>
    <row r="11574" spans="1:12" x14ac:dyDescent="0.25">
      <c r="A11574" t="str">
        <f>"8455295332"</f>
        <v>8455295332</v>
      </c>
      <c r="B11574" t="str">
        <f t="shared" si="465"/>
        <v>89301000</v>
      </c>
      <c r="C11574" s="1">
        <v>44353</v>
      </c>
      <c r="D11574" s="1">
        <v>44359</v>
      </c>
      <c r="E11574">
        <v>1</v>
      </c>
      <c r="F11574" t="s">
        <v>4522</v>
      </c>
      <c r="G11574" t="str">
        <f>"21-K06-00"</f>
        <v>21-K06-00</v>
      </c>
      <c r="H11574">
        <v>0.49320000000000003</v>
      </c>
      <c r="I11574" t="s">
        <v>7638</v>
      </c>
      <c r="J11574" t="s">
        <v>14</v>
      </c>
      <c r="K11574" t="str">
        <f t="shared" si="466"/>
        <v>6F3</v>
      </c>
      <c r="L11574" t="s">
        <v>15</v>
      </c>
    </row>
    <row r="11575" spans="1:12" x14ac:dyDescent="0.25">
      <c r="A11575" t="str">
        <f>"8456045334"</f>
        <v>8456045334</v>
      </c>
      <c r="B11575" t="str">
        <f t="shared" si="465"/>
        <v>89301000</v>
      </c>
      <c r="C11575" s="1">
        <v>44353</v>
      </c>
      <c r="D11575" s="1">
        <v>44355</v>
      </c>
      <c r="E11575">
        <v>1</v>
      </c>
      <c r="F11575" t="s">
        <v>75</v>
      </c>
      <c r="G11575" t="str">
        <f>"14-M01-05"</f>
        <v>14-M01-05</v>
      </c>
      <c r="H11575">
        <v>0.54239999999999999</v>
      </c>
      <c r="I11575" t="s">
        <v>118</v>
      </c>
      <c r="J11575" t="s">
        <v>59</v>
      </c>
      <c r="K11575" t="str">
        <f t="shared" si="466"/>
        <v>6F3</v>
      </c>
      <c r="L11575" t="s">
        <v>15</v>
      </c>
    </row>
    <row r="11576" spans="1:12" x14ac:dyDescent="0.25">
      <c r="A11576" t="str">
        <f>"8456195363"</f>
        <v>8456195363</v>
      </c>
      <c r="B11576" t="str">
        <f t="shared" si="465"/>
        <v>89301000</v>
      </c>
      <c r="C11576" s="1">
        <v>44278</v>
      </c>
      <c r="D11576" s="1">
        <v>44281</v>
      </c>
      <c r="E11576">
        <v>1</v>
      </c>
      <c r="F11576" t="s">
        <v>61</v>
      </c>
      <c r="G11576" t="str">
        <f>"14-I01-05"</f>
        <v>14-I01-05</v>
      </c>
      <c r="H11576">
        <v>0.80030000000000001</v>
      </c>
      <c r="I11576" t="s">
        <v>62</v>
      </c>
      <c r="J11576" t="s">
        <v>59</v>
      </c>
      <c r="K11576" t="str">
        <f t="shared" si="466"/>
        <v>6F3</v>
      </c>
      <c r="L11576" t="s">
        <v>15</v>
      </c>
    </row>
    <row r="11577" spans="1:12" x14ac:dyDescent="0.25">
      <c r="A11577" t="str">
        <f>"8457011992"</f>
        <v>8457011992</v>
      </c>
      <c r="B11577" t="str">
        <f t="shared" si="465"/>
        <v>89301000</v>
      </c>
      <c r="C11577" s="1">
        <v>44461</v>
      </c>
      <c r="D11577" s="1">
        <v>44461</v>
      </c>
      <c r="E11577">
        <v>1</v>
      </c>
      <c r="F11577" t="s">
        <v>116</v>
      </c>
      <c r="G11577" t="str">
        <f>"14-M01-05"</f>
        <v>14-M01-05</v>
      </c>
      <c r="H11577">
        <v>0.27289999999999998</v>
      </c>
      <c r="I11577" t="s">
        <v>7305</v>
      </c>
      <c r="J11577" t="s">
        <v>59</v>
      </c>
      <c r="K11577" t="str">
        <f t="shared" si="466"/>
        <v>6F3</v>
      </c>
      <c r="L11577" t="s">
        <v>15</v>
      </c>
    </row>
    <row r="11578" spans="1:12" x14ac:dyDescent="0.25">
      <c r="A11578" t="str">
        <f>"8457011992"</f>
        <v>8457011992</v>
      </c>
      <c r="B11578" t="str">
        <f t="shared" si="465"/>
        <v>89301000</v>
      </c>
      <c r="C11578" s="1">
        <v>44444</v>
      </c>
      <c r="D11578" s="1">
        <v>44456</v>
      </c>
      <c r="E11578">
        <v>1</v>
      </c>
      <c r="F11578" t="s">
        <v>7639</v>
      </c>
      <c r="G11578" t="str">
        <f>"14-K03-02"</f>
        <v>14-K03-02</v>
      </c>
      <c r="H11578">
        <v>0.46250000000000002</v>
      </c>
      <c r="J11578" t="s">
        <v>14</v>
      </c>
      <c r="K11578" t="str">
        <f t="shared" si="466"/>
        <v>6F3</v>
      </c>
      <c r="L11578" t="s">
        <v>15</v>
      </c>
    </row>
    <row r="11579" spans="1:12" x14ac:dyDescent="0.25">
      <c r="A11579" t="str">
        <f>"8457011992"</f>
        <v>8457011992</v>
      </c>
      <c r="B11579" t="str">
        <f t="shared" si="465"/>
        <v>89301000</v>
      </c>
      <c r="C11579" s="1">
        <v>44424</v>
      </c>
      <c r="D11579" s="1">
        <v>44427</v>
      </c>
      <c r="E11579">
        <v>1</v>
      </c>
      <c r="F11579" t="s">
        <v>7639</v>
      </c>
      <c r="G11579" t="str">
        <f>"14-K03-02"</f>
        <v>14-K03-02</v>
      </c>
      <c r="H11579">
        <v>0.2646</v>
      </c>
      <c r="J11579" t="s">
        <v>14</v>
      </c>
      <c r="K11579" t="str">
        <f t="shared" si="466"/>
        <v>6F3</v>
      </c>
      <c r="L11579" t="s">
        <v>15</v>
      </c>
    </row>
    <row r="11580" spans="1:12" x14ac:dyDescent="0.25">
      <c r="A11580" t="str">
        <f>"8457154871"</f>
        <v>8457154871</v>
      </c>
      <c r="B11580" t="str">
        <f t="shared" si="465"/>
        <v>89301000</v>
      </c>
      <c r="C11580" s="1">
        <v>44450</v>
      </c>
      <c r="D11580" s="1">
        <v>44452</v>
      </c>
      <c r="E11580">
        <v>1</v>
      </c>
      <c r="F11580" t="s">
        <v>132</v>
      </c>
      <c r="G11580" t="str">
        <f>"03-K03-02"</f>
        <v>03-K03-02</v>
      </c>
      <c r="H11580">
        <v>0.49249999999999999</v>
      </c>
      <c r="I11580" t="s">
        <v>7640</v>
      </c>
      <c r="J11580" t="s">
        <v>14</v>
      </c>
      <c r="K11580" t="str">
        <f>"6F5"</f>
        <v>6F5</v>
      </c>
      <c r="L11580" t="s">
        <v>15</v>
      </c>
    </row>
    <row r="11581" spans="1:12" x14ac:dyDescent="0.25">
      <c r="A11581" t="str">
        <f>"8457205361"</f>
        <v>8457205361</v>
      </c>
      <c r="B11581" t="str">
        <f t="shared" si="465"/>
        <v>89301000</v>
      </c>
      <c r="C11581" s="1">
        <v>44462</v>
      </c>
      <c r="D11581" s="1">
        <v>44465</v>
      </c>
      <c r="E11581">
        <v>1</v>
      </c>
      <c r="F11581" t="s">
        <v>12</v>
      </c>
      <c r="G11581" t="str">
        <f>"03-I14-02"</f>
        <v>03-I14-02</v>
      </c>
      <c r="H11581">
        <v>1.1086</v>
      </c>
      <c r="I11581" t="s">
        <v>754</v>
      </c>
      <c r="J11581" t="s">
        <v>14</v>
      </c>
      <c r="K11581" t="str">
        <f>"7F1"</f>
        <v>7F1</v>
      </c>
      <c r="L11581" t="s">
        <v>15</v>
      </c>
    </row>
    <row r="11582" spans="1:12" x14ac:dyDescent="0.25">
      <c r="A11582" t="str">
        <f>"8457235369"</f>
        <v>8457235369</v>
      </c>
      <c r="B11582" t="str">
        <f t="shared" si="465"/>
        <v>89301000</v>
      </c>
      <c r="C11582" s="1">
        <v>44293</v>
      </c>
      <c r="D11582" s="1">
        <v>44299</v>
      </c>
      <c r="E11582">
        <v>1</v>
      </c>
      <c r="F11582" t="s">
        <v>82</v>
      </c>
      <c r="G11582" t="str">
        <f>"14-I01-02"</f>
        <v>14-I01-02</v>
      </c>
      <c r="H11582">
        <v>1.1289</v>
      </c>
      <c r="I11582" t="s">
        <v>7641</v>
      </c>
      <c r="J11582" t="s">
        <v>59</v>
      </c>
      <c r="K11582" t="str">
        <f t="shared" ref="K11582:K11588" si="467">"6F3"</f>
        <v>6F3</v>
      </c>
      <c r="L11582" t="s">
        <v>15</v>
      </c>
    </row>
    <row r="11583" spans="1:12" x14ac:dyDescent="0.25">
      <c r="A11583" t="str">
        <f>"8457255345"</f>
        <v>8457255345</v>
      </c>
      <c r="B11583" t="str">
        <f t="shared" si="465"/>
        <v>89301000</v>
      </c>
      <c r="C11583" s="1">
        <v>44526</v>
      </c>
      <c r="D11583" s="1">
        <v>44537</v>
      </c>
      <c r="E11583">
        <v>1</v>
      </c>
      <c r="F11583" t="s">
        <v>7642</v>
      </c>
      <c r="G11583" t="str">
        <f>"14-K03-01"</f>
        <v>14-K03-01</v>
      </c>
      <c r="H11583">
        <v>0.5706</v>
      </c>
      <c r="J11583" t="s">
        <v>14</v>
      </c>
      <c r="K11583" t="str">
        <f t="shared" si="467"/>
        <v>6F3</v>
      </c>
      <c r="L11583" t="s">
        <v>15</v>
      </c>
    </row>
    <row r="11584" spans="1:12" x14ac:dyDescent="0.25">
      <c r="A11584" t="str">
        <f>"8458025334"</f>
        <v>8458025334</v>
      </c>
      <c r="B11584" t="str">
        <f t="shared" si="465"/>
        <v>89301000</v>
      </c>
      <c r="C11584" s="1">
        <v>44347</v>
      </c>
      <c r="D11584" s="1">
        <v>44358</v>
      </c>
      <c r="E11584">
        <v>1</v>
      </c>
      <c r="F11584" t="s">
        <v>74</v>
      </c>
      <c r="G11584" t="str">
        <f>"14-K03-02"</f>
        <v>14-K03-02</v>
      </c>
      <c r="H11584">
        <v>0.4229</v>
      </c>
      <c r="J11584" t="s">
        <v>14</v>
      </c>
      <c r="K11584" t="str">
        <f t="shared" si="467"/>
        <v>6F3</v>
      </c>
      <c r="L11584" t="s">
        <v>15</v>
      </c>
    </row>
    <row r="11585" spans="1:12" x14ac:dyDescent="0.25">
      <c r="A11585" t="str">
        <f>"8458025334"</f>
        <v>8458025334</v>
      </c>
      <c r="B11585" t="str">
        <f t="shared" si="465"/>
        <v>89301000</v>
      </c>
      <c r="C11585" s="1">
        <v>44539</v>
      </c>
      <c r="D11585" s="1">
        <v>44543</v>
      </c>
      <c r="E11585">
        <v>1</v>
      </c>
      <c r="F11585" t="s">
        <v>75</v>
      </c>
      <c r="G11585" t="str">
        <f>"14-M01-05"</f>
        <v>14-M01-05</v>
      </c>
      <c r="H11585">
        <v>0.54239999999999999</v>
      </c>
      <c r="I11585" t="s">
        <v>76</v>
      </c>
      <c r="J11585" t="s">
        <v>59</v>
      </c>
      <c r="K11585" t="str">
        <f t="shared" si="467"/>
        <v>6F3</v>
      </c>
      <c r="L11585" t="s">
        <v>15</v>
      </c>
    </row>
    <row r="11586" spans="1:12" x14ac:dyDescent="0.25">
      <c r="A11586" t="str">
        <f>"8458065330"</f>
        <v>8458065330</v>
      </c>
      <c r="B11586" t="str">
        <f t="shared" si="465"/>
        <v>89301000</v>
      </c>
      <c r="C11586" s="1">
        <v>44515</v>
      </c>
      <c r="D11586" s="1">
        <v>44515</v>
      </c>
      <c r="E11586">
        <v>6</v>
      </c>
      <c r="F11586" t="s">
        <v>5453</v>
      </c>
      <c r="G11586" t="str">
        <f>"13-I19-00"</f>
        <v>13-I19-00</v>
      </c>
      <c r="H11586">
        <v>0.1235</v>
      </c>
      <c r="J11586" t="s">
        <v>14</v>
      </c>
      <c r="K11586" t="str">
        <f t="shared" si="467"/>
        <v>6F3</v>
      </c>
      <c r="L11586" t="s">
        <v>15</v>
      </c>
    </row>
    <row r="11587" spans="1:12" x14ac:dyDescent="0.25">
      <c r="A11587" t="str">
        <f>"8458094458"</f>
        <v>8458094458</v>
      </c>
      <c r="B11587" t="str">
        <f t="shared" si="465"/>
        <v>89301000</v>
      </c>
      <c r="C11587" s="1">
        <v>44447</v>
      </c>
      <c r="D11587" s="1">
        <v>44451</v>
      </c>
      <c r="E11587">
        <v>1</v>
      </c>
      <c r="F11587" t="s">
        <v>61</v>
      </c>
      <c r="G11587" t="str">
        <f>"14-I01-05"</f>
        <v>14-I01-05</v>
      </c>
      <c r="H11587">
        <v>0.80030000000000001</v>
      </c>
      <c r="I11587" t="s">
        <v>7572</v>
      </c>
      <c r="J11587" t="s">
        <v>59</v>
      </c>
      <c r="K11587" t="str">
        <f t="shared" si="467"/>
        <v>6F3</v>
      </c>
      <c r="L11587" t="s">
        <v>15</v>
      </c>
    </row>
    <row r="11588" spans="1:12" x14ac:dyDescent="0.25">
      <c r="A11588" t="str">
        <f>"8458105326"</f>
        <v>8458105326</v>
      </c>
      <c r="B11588" t="str">
        <f t="shared" si="465"/>
        <v>89301000</v>
      </c>
      <c r="C11588" s="1">
        <v>44523</v>
      </c>
      <c r="D11588" s="1">
        <v>44527</v>
      </c>
      <c r="E11588">
        <v>1</v>
      </c>
      <c r="F11588" t="s">
        <v>82</v>
      </c>
      <c r="G11588" t="str">
        <f>"14-I01-05"</f>
        <v>14-I01-05</v>
      </c>
      <c r="H11588">
        <v>0.80030000000000001</v>
      </c>
      <c r="I11588" t="s">
        <v>7643</v>
      </c>
      <c r="J11588" t="s">
        <v>59</v>
      </c>
      <c r="K11588" t="str">
        <f t="shared" si="467"/>
        <v>6F3</v>
      </c>
      <c r="L11588" t="s">
        <v>15</v>
      </c>
    </row>
    <row r="11589" spans="1:12" x14ac:dyDescent="0.25">
      <c r="A11589" t="str">
        <f>"8458177332"</f>
        <v>8458177332</v>
      </c>
      <c r="B11589" t="str">
        <f t="shared" si="465"/>
        <v>89301000</v>
      </c>
      <c r="C11589" s="1">
        <v>44325</v>
      </c>
      <c r="D11589" s="1">
        <v>44328</v>
      </c>
      <c r="E11589">
        <v>1</v>
      </c>
      <c r="F11589" t="s">
        <v>593</v>
      </c>
      <c r="G11589" t="str">
        <f>"07-I10-06"</f>
        <v>07-I10-06</v>
      </c>
      <c r="H11589">
        <v>0.9728</v>
      </c>
      <c r="J11589" t="s">
        <v>17</v>
      </c>
      <c r="K11589" t="str">
        <f>"5F1"</f>
        <v>5F1</v>
      </c>
      <c r="L11589" t="s">
        <v>15</v>
      </c>
    </row>
    <row r="11590" spans="1:12" x14ac:dyDescent="0.25">
      <c r="A11590" t="str">
        <f>"8458225303"</f>
        <v>8458225303</v>
      </c>
      <c r="B11590" t="str">
        <f t="shared" si="465"/>
        <v>89301000</v>
      </c>
      <c r="C11590" s="1">
        <v>44445</v>
      </c>
      <c r="D11590" s="1">
        <v>44446</v>
      </c>
      <c r="E11590">
        <v>1</v>
      </c>
      <c r="F11590" t="s">
        <v>738</v>
      </c>
      <c r="G11590" t="str">
        <f>"08-I17-02"</f>
        <v>08-I17-02</v>
      </c>
      <c r="H11590">
        <v>0.98309999999999997</v>
      </c>
      <c r="I11590" t="s">
        <v>7644</v>
      </c>
      <c r="J11590" t="s">
        <v>14</v>
      </c>
      <c r="K11590" t="str">
        <f>"5F3"</f>
        <v>5F3</v>
      </c>
      <c r="L11590" t="s">
        <v>15</v>
      </c>
    </row>
    <row r="11591" spans="1:12" x14ac:dyDescent="0.25">
      <c r="A11591" t="str">
        <f>"8458225754"</f>
        <v>8458225754</v>
      </c>
      <c r="B11591" t="str">
        <f t="shared" si="465"/>
        <v>89301000</v>
      </c>
      <c r="C11591" s="1">
        <v>44357</v>
      </c>
      <c r="D11591" s="1">
        <v>44363</v>
      </c>
      <c r="E11591">
        <v>1</v>
      </c>
      <c r="F11591" t="s">
        <v>82</v>
      </c>
      <c r="G11591" t="str">
        <f>"14-I01-02"</f>
        <v>14-I01-02</v>
      </c>
      <c r="H11591">
        <v>1.1289</v>
      </c>
      <c r="I11591" t="s">
        <v>7645</v>
      </c>
      <c r="J11591" t="s">
        <v>59</v>
      </c>
      <c r="K11591" t="str">
        <f>"6F3"</f>
        <v>6F3</v>
      </c>
      <c r="L11591" t="s">
        <v>15</v>
      </c>
    </row>
    <row r="11592" spans="1:12" x14ac:dyDescent="0.25">
      <c r="A11592" t="str">
        <f>"8458265354"</f>
        <v>8458265354</v>
      </c>
      <c r="B11592" t="str">
        <f t="shared" si="465"/>
        <v>89301000</v>
      </c>
      <c r="C11592" s="1">
        <v>44298</v>
      </c>
      <c r="D11592" s="1">
        <v>44301</v>
      </c>
      <c r="E11592">
        <v>1</v>
      </c>
      <c r="F11592" t="s">
        <v>75</v>
      </c>
      <c r="G11592" t="str">
        <f>"14-M01-05"</f>
        <v>14-M01-05</v>
      </c>
      <c r="H11592">
        <v>0.54239999999999999</v>
      </c>
      <c r="I11592" t="s">
        <v>7429</v>
      </c>
      <c r="J11592" t="s">
        <v>59</v>
      </c>
      <c r="K11592" t="str">
        <f>"6F3"</f>
        <v>6F3</v>
      </c>
      <c r="L11592" t="s">
        <v>15</v>
      </c>
    </row>
    <row r="11593" spans="1:12" x14ac:dyDescent="0.25">
      <c r="A11593" t="str">
        <f>"8459044869"</f>
        <v>8459044869</v>
      </c>
      <c r="B11593" t="str">
        <f t="shared" si="465"/>
        <v>89301000</v>
      </c>
      <c r="C11593" s="1">
        <v>44386</v>
      </c>
      <c r="D11593" s="1">
        <v>44389</v>
      </c>
      <c r="E11593">
        <v>1</v>
      </c>
      <c r="F11593" t="s">
        <v>61</v>
      </c>
      <c r="G11593" t="str">
        <f>"14-I01-05"</f>
        <v>14-I01-05</v>
      </c>
      <c r="H11593">
        <v>0.80030000000000001</v>
      </c>
      <c r="I11593" t="s">
        <v>62</v>
      </c>
      <c r="J11593" t="s">
        <v>59</v>
      </c>
      <c r="K11593" t="str">
        <f>"6F3"</f>
        <v>6F3</v>
      </c>
      <c r="L11593" t="s">
        <v>15</v>
      </c>
    </row>
    <row r="11594" spans="1:12" x14ac:dyDescent="0.25">
      <c r="A11594" t="str">
        <f>"8459065307"</f>
        <v>8459065307</v>
      </c>
      <c r="B11594" t="str">
        <f t="shared" si="465"/>
        <v>89301000</v>
      </c>
      <c r="C11594" s="1">
        <v>44207</v>
      </c>
      <c r="D11594" s="1">
        <v>44209</v>
      </c>
      <c r="E11594">
        <v>1</v>
      </c>
      <c r="F11594" t="s">
        <v>6885</v>
      </c>
      <c r="G11594" t="str">
        <f>"08-I26-03"</f>
        <v>08-I26-03</v>
      </c>
      <c r="H11594">
        <v>0.45679999999999998</v>
      </c>
      <c r="J11594" t="s">
        <v>14</v>
      </c>
      <c r="K11594" t="str">
        <f>"6F6"</f>
        <v>6F6</v>
      </c>
      <c r="L11594" t="s">
        <v>15</v>
      </c>
    </row>
    <row r="11595" spans="1:12" x14ac:dyDescent="0.25">
      <c r="A11595" t="str">
        <f>"8459085305"</f>
        <v>8459085305</v>
      </c>
      <c r="B11595" t="str">
        <f t="shared" si="465"/>
        <v>89301000</v>
      </c>
      <c r="C11595" s="1">
        <v>44301</v>
      </c>
      <c r="D11595" s="1">
        <v>44304</v>
      </c>
      <c r="E11595">
        <v>1</v>
      </c>
      <c r="F11595" t="s">
        <v>61</v>
      </c>
      <c r="G11595" t="str">
        <f>"14-I01-05"</f>
        <v>14-I01-05</v>
      </c>
      <c r="H11595">
        <v>0.80030000000000001</v>
      </c>
      <c r="I11595" t="s">
        <v>62</v>
      </c>
      <c r="J11595" t="s">
        <v>59</v>
      </c>
      <c r="K11595" t="str">
        <f>"6F3"</f>
        <v>6F3</v>
      </c>
      <c r="L11595" t="s">
        <v>15</v>
      </c>
    </row>
    <row r="11596" spans="1:12" x14ac:dyDescent="0.25">
      <c r="A11596" t="str">
        <f>"8459115764"</f>
        <v>8459115764</v>
      </c>
      <c r="B11596" t="str">
        <f t="shared" si="465"/>
        <v>89301000</v>
      </c>
      <c r="C11596" s="1">
        <v>44220</v>
      </c>
      <c r="D11596" s="1">
        <v>44228</v>
      </c>
      <c r="E11596">
        <v>1</v>
      </c>
      <c r="F11596" t="s">
        <v>7646</v>
      </c>
      <c r="G11596" t="str">
        <f>"10-I13-02"</f>
        <v>10-I13-02</v>
      </c>
      <c r="H11596">
        <v>1.1468</v>
      </c>
      <c r="I11596" t="s">
        <v>7647</v>
      </c>
      <c r="J11596" t="s">
        <v>24</v>
      </c>
      <c r="K11596" t="str">
        <f>"1F1"</f>
        <v>1F1</v>
      </c>
      <c r="L11596" t="s">
        <v>15</v>
      </c>
    </row>
    <row r="11597" spans="1:12" x14ac:dyDescent="0.25">
      <c r="A11597" t="str">
        <f>"8459165319"</f>
        <v>8459165319</v>
      </c>
      <c r="B11597" t="str">
        <f t="shared" si="465"/>
        <v>89301000</v>
      </c>
      <c r="C11597" s="1">
        <v>44253</v>
      </c>
      <c r="D11597" s="1">
        <v>44257</v>
      </c>
      <c r="E11597">
        <v>1</v>
      </c>
      <c r="F11597" t="s">
        <v>7648</v>
      </c>
      <c r="G11597" t="str">
        <f>"14-M01-05"</f>
        <v>14-M01-05</v>
      </c>
      <c r="H11597">
        <v>0.54239999999999999</v>
      </c>
      <c r="I11597" t="s">
        <v>7649</v>
      </c>
      <c r="J11597" t="s">
        <v>59</v>
      </c>
      <c r="K11597" t="str">
        <f>"6F3"</f>
        <v>6F3</v>
      </c>
      <c r="L11597" t="s">
        <v>15</v>
      </c>
    </row>
    <row r="11598" spans="1:12" x14ac:dyDescent="0.25">
      <c r="A11598" t="str">
        <f>"8459174251"</f>
        <v>8459174251</v>
      </c>
      <c r="B11598" t="str">
        <f t="shared" si="465"/>
        <v>89301000</v>
      </c>
      <c r="C11598" s="1">
        <v>44302</v>
      </c>
      <c r="D11598" s="1">
        <v>44306</v>
      </c>
      <c r="E11598">
        <v>1</v>
      </c>
      <c r="F11598" t="s">
        <v>82</v>
      </c>
      <c r="G11598" t="str">
        <f>"14-I01-02"</f>
        <v>14-I01-02</v>
      </c>
      <c r="H11598">
        <v>1.1289</v>
      </c>
      <c r="I11598" t="s">
        <v>91</v>
      </c>
      <c r="J11598" t="s">
        <v>59</v>
      </c>
      <c r="K11598" t="str">
        <f>"6F3"</f>
        <v>6F3</v>
      </c>
      <c r="L11598" t="s">
        <v>15</v>
      </c>
    </row>
    <row r="11599" spans="1:12" x14ac:dyDescent="0.25">
      <c r="A11599" t="str">
        <f>"8459195327"</f>
        <v>8459195327</v>
      </c>
      <c r="B11599" t="str">
        <f t="shared" si="465"/>
        <v>89301000</v>
      </c>
      <c r="C11599" s="1">
        <v>44222</v>
      </c>
      <c r="D11599" s="1">
        <v>44224</v>
      </c>
      <c r="E11599">
        <v>1</v>
      </c>
      <c r="F11599" t="s">
        <v>7502</v>
      </c>
      <c r="G11599" t="str">
        <f>"14-K03-01"</f>
        <v>14-K03-01</v>
      </c>
      <c r="H11599">
        <v>0.5706</v>
      </c>
      <c r="J11599" t="s">
        <v>14</v>
      </c>
      <c r="K11599" t="str">
        <f>"6F3"</f>
        <v>6F3</v>
      </c>
      <c r="L11599" t="s">
        <v>15</v>
      </c>
    </row>
    <row r="11600" spans="1:12" x14ac:dyDescent="0.25">
      <c r="A11600" t="str">
        <f>"8459195327"</f>
        <v>8459195327</v>
      </c>
      <c r="B11600" t="str">
        <f t="shared" si="465"/>
        <v>89301000</v>
      </c>
      <c r="C11600" s="1">
        <v>44239</v>
      </c>
      <c r="D11600" s="1">
        <v>44243</v>
      </c>
      <c r="E11600">
        <v>1</v>
      </c>
      <c r="F11600" t="s">
        <v>82</v>
      </c>
      <c r="G11600" t="str">
        <f>"14-I01-05"</f>
        <v>14-I01-05</v>
      </c>
      <c r="H11600">
        <v>0.80030000000000001</v>
      </c>
      <c r="I11600" t="s">
        <v>7650</v>
      </c>
      <c r="J11600" t="s">
        <v>59</v>
      </c>
      <c r="K11600" t="str">
        <f>"6F3"</f>
        <v>6F3</v>
      </c>
      <c r="L11600" t="s">
        <v>15</v>
      </c>
    </row>
    <row r="11601" spans="1:12" x14ac:dyDescent="0.25">
      <c r="A11601" t="str">
        <f>"8459255332"</f>
        <v>8459255332</v>
      </c>
      <c r="B11601" t="str">
        <f t="shared" si="465"/>
        <v>89301000</v>
      </c>
      <c r="C11601" s="1">
        <v>44376</v>
      </c>
      <c r="D11601" s="1">
        <v>44381</v>
      </c>
      <c r="E11601">
        <v>1</v>
      </c>
      <c r="F11601" t="s">
        <v>197</v>
      </c>
      <c r="G11601" t="str">
        <f>"03-I18-02"</f>
        <v>03-I18-02</v>
      </c>
      <c r="H11601">
        <v>0.84370000000000001</v>
      </c>
      <c r="I11601" t="s">
        <v>7651</v>
      </c>
      <c r="J11601" t="s">
        <v>24</v>
      </c>
      <c r="K11601" t="str">
        <f>"7F1"</f>
        <v>7F1</v>
      </c>
      <c r="L11601" t="s">
        <v>15</v>
      </c>
    </row>
    <row r="11602" spans="1:12" x14ac:dyDescent="0.25">
      <c r="A11602" t="str">
        <f t="shared" ref="A11602:A11608" si="468">"8460135332"</f>
        <v>8460135332</v>
      </c>
      <c r="B11602" t="str">
        <f t="shared" si="465"/>
        <v>89301000</v>
      </c>
      <c r="C11602" s="1">
        <v>44259</v>
      </c>
      <c r="D11602" s="1">
        <v>44272</v>
      </c>
      <c r="E11602">
        <v>1</v>
      </c>
      <c r="F11602" t="s">
        <v>1572</v>
      </c>
      <c r="G11602" t="str">
        <f>"06-I07-05"</f>
        <v>06-I07-05</v>
      </c>
      <c r="H11602">
        <v>2.8466999999999998</v>
      </c>
      <c r="I11602" t="s">
        <v>2863</v>
      </c>
      <c r="J11602" t="s">
        <v>17</v>
      </c>
      <c r="K11602" t="str">
        <f>"5F1"</f>
        <v>5F1</v>
      </c>
      <c r="L11602" t="s">
        <v>15</v>
      </c>
    </row>
    <row r="11603" spans="1:12" x14ac:dyDescent="0.25">
      <c r="A11603" t="str">
        <f t="shared" si="468"/>
        <v>8460135332</v>
      </c>
      <c r="B11603" t="str">
        <f t="shared" si="465"/>
        <v>89301000</v>
      </c>
      <c r="C11603" s="1">
        <v>44326</v>
      </c>
      <c r="D11603" s="1">
        <v>44335</v>
      </c>
      <c r="E11603">
        <v>1</v>
      </c>
      <c r="F11603" t="s">
        <v>1762</v>
      </c>
      <c r="G11603" t="str">
        <f>"04-K09-02"</f>
        <v>04-K09-02</v>
      </c>
      <c r="H11603">
        <v>1.2861</v>
      </c>
      <c r="I11603" t="s">
        <v>7652</v>
      </c>
      <c r="J11603" t="s">
        <v>14</v>
      </c>
      <c r="K11603" t="str">
        <f>"4F2"</f>
        <v>4F2</v>
      </c>
      <c r="L11603" t="s">
        <v>15</v>
      </c>
    </row>
    <row r="11604" spans="1:12" x14ac:dyDescent="0.25">
      <c r="A11604" t="str">
        <f t="shared" si="468"/>
        <v>8460135332</v>
      </c>
      <c r="B11604" t="str">
        <f t="shared" si="465"/>
        <v>89301000</v>
      </c>
      <c r="C11604" s="1">
        <v>44315</v>
      </c>
      <c r="D11604" s="1">
        <v>44323</v>
      </c>
      <c r="E11604">
        <v>1</v>
      </c>
      <c r="F11604" t="s">
        <v>2863</v>
      </c>
      <c r="G11604" t="str">
        <f>"13-C01-02"</f>
        <v>13-C01-02</v>
      </c>
      <c r="H11604">
        <v>0.3795</v>
      </c>
      <c r="I11604" t="s">
        <v>7653</v>
      </c>
      <c r="J11604" t="s">
        <v>14</v>
      </c>
      <c r="K11604" t="str">
        <f>"4F2"</f>
        <v>4F2</v>
      </c>
      <c r="L11604" t="s">
        <v>15</v>
      </c>
    </row>
    <row r="11605" spans="1:12" x14ac:dyDescent="0.25">
      <c r="A11605" t="str">
        <f t="shared" si="468"/>
        <v>8460135332</v>
      </c>
      <c r="B11605" t="str">
        <f t="shared" si="465"/>
        <v>89301000</v>
      </c>
      <c r="C11605" s="1">
        <v>44309</v>
      </c>
      <c r="D11605" s="1">
        <v>44310</v>
      </c>
      <c r="E11605">
        <v>1</v>
      </c>
      <c r="F11605" t="s">
        <v>1762</v>
      </c>
      <c r="G11605" t="str">
        <f>"04-C02-02"</f>
        <v>04-C02-02</v>
      </c>
      <c r="H11605">
        <v>0.3589</v>
      </c>
      <c r="I11605" t="s">
        <v>7654</v>
      </c>
      <c r="J11605" t="s">
        <v>14</v>
      </c>
      <c r="K11605" t="str">
        <f>"4F2"</f>
        <v>4F2</v>
      </c>
      <c r="L11605" t="s">
        <v>15</v>
      </c>
    </row>
    <row r="11606" spans="1:12" x14ac:dyDescent="0.25">
      <c r="A11606" t="str">
        <f t="shared" si="468"/>
        <v>8460135332</v>
      </c>
      <c r="B11606" t="str">
        <f t="shared" si="465"/>
        <v>89301000</v>
      </c>
      <c r="C11606" s="1">
        <v>44292</v>
      </c>
      <c r="D11606" s="1">
        <v>44305</v>
      </c>
      <c r="E11606">
        <v>1</v>
      </c>
      <c r="F11606" t="s">
        <v>1762</v>
      </c>
      <c r="G11606" t="str">
        <f>"04-C02-02"</f>
        <v>04-C02-02</v>
      </c>
      <c r="H11606">
        <v>0.81</v>
      </c>
      <c r="I11606" t="s">
        <v>7655</v>
      </c>
      <c r="J11606" t="s">
        <v>14</v>
      </c>
      <c r="K11606" t="str">
        <f>"4F2"</f>
        <v>4F2</v>
      </c>
      <c r="L11606" t="s">
        <v>15</v>
      </c>
    </row>
    <row r="11607" spans="1:12" x14ac:dyDescent="0.25">
      <c r="A11607" t="str">
        <f t="shared" si="468"/>
        <v>8460135332</v>
      </c>
      <c r="B11607" t="str">
        <f t="shared" si="465"/>
        <v>89301000</v>
      </c>
      <c r="C11607" s="1">
        <v>44355</v>
      </c>
      <c r="D11607" s="1">
        <v>44364</v>
      </c>
      <c r="E11607">
        <v>4</v>
      </c>
      <c r="F11607" t="s">
        <v>2863</v>
      </c>
      <c r="G11607" t="str">
        <f>"13-K08-01"</f>
        <v>13-K08-01</v>
      </c>
      <c r="H11607">
        <v>1.2709999999999999</v>
      </c>
      <c r="I11607" t="s">
        <v>7656</v>
      </c>
      <c r="J11607" t="s">
        <v>14</v>
      </c>
      <c r="K11607" t="str">
        <f>"4F2"</f>
        <v>4F2</v>
      </c>
      <c r="L11607" t="s">
        <v>15</v>
      </c>
    </row>
    <row r="11608" spans="1:12" x14ac:dyDescent="0.25">
      <c r="A11608" t="str">
        <f t="shared" si="468"/>
        <v>8460135332</v>
      </c>
      <c r="B11608" t="str">
        <f t="shared" si="465"/>
        <v>89301000</v>
      </c>
      <c r="C11608" s="1">
        <v>44339</v>
      </c>
      <c r="D11608" s="1">
        <v>44349</v>
      </c>
      <c r="E11608">
        <v>1</v>
      </c>
      <c r="F11608" t="s">
        <v>1572</v>
      </c>
      <c r="G11608" t="str">
        <f>"06-I12-03"</f>
        <v>06-I12-03</v>
      </c>
      <c r="H11608">
        <v>1.8894</v>
      </c>
      <c r="I11608" t="s">
        <v>7657</v>
      </c>
      <c r="J11608" t="s">
        <v>14</v>
      </c>
      <c r="K11608" t="str">
        <f>"5F1"</f>
        <v>5F1</v>
      </c>
      <c r="L11608" t="s">
        <v>15</v>
      </c>
    </row>
    <row r="11609" spans="1:12" x14ac:dyDescent="0.25">
      <c r="A11609" t="str">
        <f>"8460145320"</f>
        <v>8460145320</v>
      </c>
      <c r="B11609" t="str">
        <f t="shared" si="465"/>
        <v>89301000</v>
      </c>
      <c r="C11609" s="1">
        <v>44461</v>
      </c>
      <c r="D11609" s="1">
        <v>44508</v>
      </c>
      <c r="E11609">
        <v>8</v>
      </c>
      <c r="F11609" t="s">
        <v>911</v>
      </c>
      <c r="G11609" t="str">
        <f>"17-K01-01"</f>
        <v>17-K01-01</v>
      </c>
      <c r="H11609">
        <v>17.6416</v>
      </c>
      <c r="I11609" t="s">
        <v>7658</v>
      </c>
      <c r="J11609" t="s">
        <v>14</v>
      </c>
      <c r="K11609" t="str">
        <f>"2T2"</f>
        <v>2T2</v>
      </c>
      <c r="L11609" t="s">
        <v>15</v>
      </c>
    </row>
    <row r="11610" spans="1:12" x14ac:dyDescent="0.25">
      <c r="A11610" t="str">
        <f>"8460145320"</f>
        <v>8460145320</v>
      </c>
      <c r="B11610" t="str">
        <f t="shared" si="465"/>
        <v>89301000</v>
      </c>
      <c r="C11610" s="1">
        <v>44350</v>
      </c>
      <c r="D11610" s="1">
        <v>44449</v>
      </c>
      <c r="E11610">
        <v>1</v>
      </c>
      <c r="F11610" t="s">
        <v>911</v>
      </c>
      <c r="G11610" t="str">
        <f>"00-M06-02"</f>
        <v>00-M06-02</v>
      </c>
      <c r="H11610">
        <v>40.385300000000001</v>
      </c>
      <c r="I11610" t="s">
        <v>7659</v>
      </c>
      <c r="J11610" t="s">
        <v>17</v>
      </c>
      <c r="K11610" t="str">
        <f>"2T2"</f>
        <v>2T2</v>
      </c>
      <c r="L11610" t="s">
        <v>15</v>
      </c>
    </row>
    <row r="11611" spans="1:12" x14ac:dyDescent="0.25">
      <c r="A11611" t="str">
        <f>"8460145320"</f>
        <v>8460145320</v>
      </c>
      <c r="B11611" t="str">
        <f t="shared" si="465"/>
        <v>89301000</v>
      </c>
      <c r="C11611" s="1">
        <v>44307</v>
      </c>
      <c r="D11611" s="1">
        <v>44336</v>
      </c>
      <c r="E11611">
        <v>1</v>
      </c>
      <c r="F11611" t="s">
        <v>911</v>
      </c>
      <c r="G11611" t="str">
        <f>"00-M06-02"</f>
        <v>00-M06-02</v>
      </c>
      <c r="H11611">
        <v>25.196200000000001</v>
      </c>
      <c r="I11611" t="s">
        <v>7660</v>
      </c>
      <c r="J11611" t="s">
        <v>17</v>
      </c>
      <c r="K11611" t="str">
        <f>"2T2"</f>
        <v>2T2</v>
      </c>
      <c r="L11611" t="s">
        <v>15</v>
      </c>
    </row>
    <row r="11612" spans="1:12" x14ac:dyDescent="0.25">
      <c r="A11612" t="str">
        <f>"8460154461"</f>
        <v>8460154461</v>
      </c>
      <c r="B11612" t="str">
        <f t="shared" si="465"/>
        <v>89301000</v>
      </c>
      <c r="C11612" s="1">
        <v>44276</v>
      </c>
      <c r="D11612" s="1">
        <v>44282</v>
      </c>
      <c r="E11612">
        <v>1</v>
      </c>
      <c r="F11612" t="s">
        <v>260</v>
      </c>
      <c r="G11612" t="str">
        <f>"03-I16-02"</f>
        <v>03-I16-02</v>
      </c>
      <c r="H11612">
        <v>0.89539999999999997</v>
      </c>
      <c r="I11612" t="s">
        <v>168</v>
      </c>
      <c r="J11612" t="s">
        <v>24</v>
      </c>
      <c r="K11612" t="str">
        <f>"7F1"</f>
        <v>7F1</v>
      </c>
      <c r="L11612" t="s">
        <v>15</v>
      </c>
    </row>
    <row r="11613" spans="1:12" x14ac:dyDescent="0.25">
      <c r="A11613" t="str">
        <f>"8460185305"</f>
        <v>8460185305</v>
      </c>
      <c r="B11613" t="str">
        <f t="shared" si="465"/>
        <v>89301000</v>
      </c>
      <c r="C11613" s="1">
        <v>44387</v>
      </c>
      <c r="D11613" s="1">
        <v>44389</v>
      </c>
      <c r="E11613">
        <v>1</v>
      </c>
      <c r="F11613" t="s">
        <v>75</v>
      </c>
      <c r="G11613" t="str">
        <f>"14-M01-05"</f>
        <v>14-M01-05</v>
      </c>
      <c r="H11613">
        <v>0.54239999999999999</v>
      </c>
      <c r="I11613" t="s">
        <v>180</v>
      </c>
      <c r="J11613" t="s">
        <v>59</v>
      </c>
      <c r="K11613" t="str">
        <f>"6F3"</f>
        <v>6F3</v>
      </c>
      <c r="L11613" t="s">
        <v>15</v>
      </c>
    </row>
    <row r="11614" spans="1:12" x14ac:dyDescent="0.25">
      <c r="A11614" t="str">
        <f>"8460205303"</f>
        <v>8460205303</v>
      </c>
      <c r="B11614" t="str">
        <f t="shared" ref="B11614:B11677" si="469">"89301000"</f>
        <v>89301000</v>
      </c>
      <c r="C11614" s="1">
        <v>44248</v>
      </c>
      <c r="D11614" s="1">
        <v>44250</v>
      </c>
      <c r="E11614">
        <v>1</v>
      </c>
      <c r="F11614" t="s">
        <v>3002</v>
      </c>
      <c r="G11614" t="str">
        <f>"05-K10-00"</f>
        <v>05-K10-00</v>
      </c>
      <c r="H11614">
        <v>0.52810000000000001</v>
      </c>
      <c r="J11614" t="s">
        <v>14</v>
      </c>
      <c r="K11614" t="str">
        <f>"5F5"</f>
        <v>5F5</v>
      </c>
      <c r="L11614" t="s">
        <v>15</v>
      </c>
    </row>
    <row r="11615" spans="1:12" x14ac:dyDescent="0.25">
      <c r="A11615" t="str">
        <f>"8460245332"</f>
        <v>8460245332</v>
      </c>
      <c r="B11615" t="str">
        <f t="shared" si="469"/>
        <v>89301000</v>
      </c>
      <c r="C11615" s="1">
        <v>44252</v>
      </c>
      <c r="D11615" s="1">
        <v>44255</v>
      </c>
      <c r="E11615">
        <v>1</v>
      </c>
      <c r="F11615" t="s">
        <v>61</v>
      </c>
      <c r="G11615" t="str">
        <f>"14-I01-05"</f>
        <v>14-I01-05</v>
      </c>
      <c r="H11615">
        <v>0.80030000000000001</v>
      </c>
      <c r="I11615" t="s">
        <v>7661</v>
      </c>
      <c r="J11615" t="s">
        <v>59</v>
      </c>
      <c r="K11615" t="str">
        <f>"6F3"</f>
        <v>6F3</v>
      </c>
      <c r="L11615" t="s">
        <v>15</v>
      </c>
    </row>
    <row r="11616" spans="1:12" x14ac:dyDescent="0.25">
      <c r="A11616" t="str">
        <f>"8460255309"</f>
        <v>8460255309</v>
      </c>
      <c r="B11616" t="str">
        <f t="shared" si="469"/>
        <v>89301000</v>
      </c>
      <c r="C11616" s="1">
        <v>44259</v>
      </c>
      <c r="D11616" s="1">
        <v>44262</v>
      </c>
      <c r="E11616">
        <v>1</v>
      </c>
      <c r="F11616" t="s">
        <v>61</v>
      </c>
      <c r="G11616" t="str">
        <f>"14-I01-05"</f>
        <v>14-I01-05</v>
      </c>
      <c r="H11616">
        <v>0.80030000000000001</v>
      </c>
      <c r="I11616" t="s">
        <v>7581</v>
      </c>
      <c r="J11616" t="s">
        <v>59</v>
      </c>
      <c r="K11616" t="str">
        <f>"6F3"</f>
        <v>6F3</v>
      </c>
      <c r="L11616" t="s">
        <v>15</v>
      </c>
    </row>
    <row r="11617" spans="1:12" x14ac:dyDescent="0.25">
      <c r="A11617" t="str">
        <f>"8460274603"</f>
        <v>8460274603</v>
      </c>
      <c r="B11617" t="str">
        <f t="shared" si="469"/>
        <v>89301000</v>
      </c>
      <c r="C11617" s="1">
        <v>44321</v>
      </c>
      <c r="D11617" s="1">
        <v>44330</v>
      </c>
      <c r="E11617">
        <v>1</v>
      </c>
      <c r="F11617" t="s">
        <v>130</v>
      </c>
      <c r="G11617" t="str">
        <f>"19-K03-03"</f>
        <v>19-K03-03</v>
      </c>
      <c r="H11617">
        <v>0.93169999999999997</v>
      </c>
      <c r="I11617" t="s">
        <v>7662</v>
      </c>
      <c r="J11617" t="s">
        <v>27</v>
      </c>
      <c r="K11617" t="str">
        <f>"3F5"</f>
        <v>3F5</v>
      </c>
      <c r="L11617" t="s">
        <v>15</v>
      </c>
    </row>
    <row r="11618" spans="1:12" x14ac:dyDescent="0.25">
      <c r="A11618" t="str">
        <f>"8461094147"</f>
        <v>8461094147</v>
      </c>
      <c r="B11618" t="str">
        <f t="shared" si="469"/>
        <v>89301000</v>
      </c>
      <c r="C11618" s="1">
        <v>44433</v>
      </c>
      <c r="D11618" s="1">
        <v>44438</v>
      </c>
      <c r="E11618">
        <v>1</v>
      </c>
      <c r="F11618" t="s">
        <v>100</v>
      </c>
      <c r="G11618" t="str">
        <f>"14-I04-00"</f>
        <v>14-I04-00</v>
      </c>
      <c r="H11618">
        <v>0.78749999999999998</v>
      </c>
      <c r="I11618" t="s">
        <v>101</v>
      </c>
      <c r="J11618" t="s">
        <v>24</v>
      </c>
      <c r="K11618" t="str">
        <f>"6F3"</f>
        <v>6F3</v>
      </c>
      <c r="L11618" t="s">
        <v>15</v>
      </c>
    </row>
    <row r="11619" spans="1:12" x14ac:dyDescent="0.25">
      <c r="A11619" t="str">
        <f>"8461125860"</f>
        <v>8461125860</v>
      </c>
      <c r="B11619" t="str">
        <f t="shared" si="469"/>
        <v>89301000</v>
      </c>
      <c r="C11619" s="1">
        <v>44555</v>
      </c>
      <c r="D11619" s="1">
        <v>44557</v>
      </c>
      <c r="E11619">
        <v>1</v>
      </c>
      <c r="F11619" t="s">
        <v>16</v>
      </c>
      <c r="G11619" t="str">
        <f>"08-I04-03"</f>
        <v>08-I04-03</v>
      </c>
      <c r="H11619">
        <v>1.331</v>
      </c>
      <c r="J11619" t="s">
        <v>17</v>
      </c>
      <c r="K11619" t="str">
        <f>"5F6"</f>
        <v>5F6</v>
      </c>
      <c r="L11619" t="s">
        <v>15</v>
      </c>
    </row>
    <row r="11620" spans="1:12" x14ac:dyDescent="0.25">
      <c r="A11620" t="str">
        <f>"8461163502"</f>
        <v>8461163502</v>
      </c>
      <c r="B11620" t="str">
        <f t="shared" si="469"/>
        <v>89301000</v>
      </c>
      <c r="C11620" s="1">
        <v>44217</v>
      </c>
      <c r="D11620" s="1">
        <v>44221</v>
      </c>
      <c r="E11620">
        <v>1</v>
      </c>
      <c r="F11620" t="s">
        <v>1551</v>
      </c>
      <c r="G11620" t="str">
        <f>"09-I06-04"</f>
        <v>09-I06-04</v>
      </c>
      <c r="H11620">
        <v>0.98829999999999996</v>
      </c>
      <c r="J11620" t="s">
        <v>17</v>
      </c>
      <c r="K11620" t="str">
        <f>"5F1"</f>
        <v>5F1</v>
      </c>
      <c r="L11620" t="s">
        <v>15</v>
      </c>
    </row>
    <row r="11621" spans="1:12" x14ac:dyDescent="0.25">
      <c r="A11621" t="str">
        <f>"8461285371"</f>
        <v>8461285371</v>
      </c>
      <c r="B11621" t="str">
        <f t="shared" si="469"/>
        <v>89301000</v>
      </c>
      <c r="C11621" s="1">
        <v>44362</v>
      </c>
      <c r="D11621" s="1">
        <v>44364</v>
      </c>
      <c r="E11621">
        <v>1</v>
      </c>
      <c r="F11621" t="s">
        <v>6122</v>
      </c>
      <c r="G11621" t="str">
        <f>"06-I21-03"</f>
        <v>06-I21-03</v>
      </c>
      <c r="H11621">
        <v>0.47820000000000001</v>
      </c>
      <c r="I11621" t="s">
        <v>282</v>
      </c>
      <c r="J11621" t="s">
        <v>17</v>
      </c>
      <c r="K11621" t="str">
        <f>"5F1"</f>
        <v>5F1</v>
      </c>
      <c r="L11621" t="s">
        <v>15</v>
      </c>
    </row>
    <row r="11622" spans="1:12" x14ac:dyDescent="0.25">
      <c r="A11622" t="str">
        <f>"8461285371"</f>
        <v>8461285371</v>
      </c>
      <c r="B11622" t="str">
        <f t="shared" si="469"/>
        <v>89301000</v>
      </c>
      <c r="C11622" s="1">
        <v>44530</v>
      </c>
      <c r="D11622" s="1">
        <v>44533</v>
      </c>
      <c r="E11622">
        <v>1</v>
      </c>
      <c r="F11622" t="s">
        <v>6122</v>
      </c>
      <c r="G11622" t="str">
        <f>"06-I21-03"</f>
        <v>06-I21-03</v>
      </c>
      <c r="H11622">
        <v>0.47820000000000001</v>
      </c>
      <c r="I11622" t="s">
        <v>6167</v>
      </c>
      <c r="J11622" t="s">
        <v>17</v>
      </c>
      <c r="K11622" t="str">
        <f>"5F1"</f>
        <v>5F1</v>
      </c>
      <c r="L11622" t="s">
        <v>15</v>
      </c>
    </row>
    <row r="11623" spans="1:12" x14ac:dyDescent="0.25">
      <c r="A11623" t="str">
        <f>"8462015320"</f>
        <v>8462015320</v>
      </c>
      <c r="B11623" t="str">
        <f t="shared" si="469"/>
        <v>89301000</v>
      </c>
      <c r="C11623" s="1">
        <v>44378</v>
      </c>
      <c r="D11623" s="1">
        <v>44381</v>
      </c>
      <c r="E11623">
        <v>1</v>
      </c>
      <c r="F11623" t="s">
        <v>61</v>
      </c>
      <c r="G11623" t="str">
        <f>"14-I01-05"</f>
        <v>14-I01-05</v>
      </c>
      <c r="H11623">
        <v>0.80030000000000001</v>
      </c>
      <c r="I11623" t="s">
        <v>7663</v>
      </c>
      <c r="J11623" t="s">
        <v>59</v>
      </c>
      <c r="K11623" t="str">
        <f>"6F3"</f>
        <v>6F3</v>
      </c>
      <c r="L11623" t="s">
        <v>15</v>
      </c>
    </row>
    <row r="11624" spans="1:12" x14ac:dyDescent="0.25">
      <c r="A11624" t="str">
        <f>"8462015430"</f>
        <v>8462015430</v>
      </c>
      <c r="B11624" t="str">
        <f t="shared" si="469"/>
        <v>89301000</v>
      </c>
      <c r="C11624" s="1">
        <v>44234</v>
      </c>
      <c r="D11624" s="1">
        <v>44237</v>
      </c>
      <c r="E11624">
        <v>1</v>
      </c>
      <c r="F11624" t="s">
        <v>309</v>
      </c>
      <c r="G11624" t="str">
        <f>"08-M03-05"</f>
        <v>08-M03-05</v>
      </c>
      <c r="H11624">
        <v>0.51759999999999995</v>
      </c>
      <c r="I11624" t="s">
        <v>3894</v>
      </c>
      <c r="J11624" t="s">
        <v>14</v>
      </c>
      <c r="K11624" t="str">
        <f>"6F6"</f>
        <v>6F6</v>
      </c>
      <c r="L11624" t="s">
        <v>15</v>
      </c>
    </row>
    <row r="11625" spans="1:12" x14ac:dyDescent="0.25">
      <c r="A11625" t="str">
        <f>"8462025704"</f>
        <v>8462025704</v>
      </c>
      <c r="B11625" t="str">
        <f t="shared" si="469"/>
        <v>89301000</v>
      </c>
      <c r="C11625" s="1">
        <v>44365</v>
      </c>
      <c r="D11625" s="1">
        <v>44369</v>
      </c>
      <c r="E11625">
        <v>1</v>
      </c>
      <c r="F11625" t="s">
        <v>7664</v>
      </c>
      <c r="G11625" t="str">
        <f>"13-I12-00"</f>
        <v>13-I12-00</v>
      </c>
      <c r="H11625">
        <v>1.4696</v>
      </c>
      <c r="I11625" t="s">
        <v>43</v>
      </c>
      <c r="J11625" t="s">
        <v>24</v>
      </c>
      <c r="K11625" t="str">
        <f>"5F1"</f>
        <v>5F1</v>
      </c>
      <c r="L11625" t="s">
        <v>15</v>
      </c>
    </row>
    <row r="11626" spans="1:12" x14ac:dyDescent="0.25">
      <c r="A11626" t="str">
        <f>"8462065326"</f>
        <v>8462065326</v>
      </c>
      <c r="B11626" t="str">
        <f t="shared" si="469"/>
        <v>89301000</v>
      </c>
      <c r="C11626" s="1">
        <v>44321</v>
      </c>
      <c r="D11626" s="1">
        <v>44326</v>
      </c>
      <c r="E11626">
        <v>1</v>
      </c>
      <c r="F11626" t="s">
        <v>593</v>
      </c>
      <c r="G11626" t="str">
        <f>"07-I10-06"</f>
        <v>07-I10-06</v>
      </c>
      <c r="H11626">
        <v>0.9728</v>
      </c>
      <c r="I11626" t="s">
        <v>241</v>
      </c>
      <c r="J11626" t="s">
        <v>17</v>
      </c>
      <c r="K11626" t="str">
        <f>"5F1"</f>
        <v>5F1</v>
      </c>
      <c r="L11626" t="s">
        <v>15</v>
      </c>
    </row>
    <row r="11627" spans="1:12" x14ac:dyDescent="0.25">
      <c r="A11627" t="str">
        <f>"8462135330"</f>
        <v>8462135330</v>
      </c>
      <c r="B11627" t="str">
        <f t="shared" si="469"/>
        <v>89301000</v>
      </c>
      <c r="C11627" s="1">
        <v>44504</v>
      </c>
      <c r="D11627" s="1">
        <v>44507</v>
      </c>
      <c r="E11627">
        <v>1</v>
      </c>
      <c r="F11627" t="s">
        <v>75</v>
      </c>
      <c r="G11627" t="str">
        <f>"14-M01-02"</f>
        <v>14-M01-02</v>
      </c>
      <c r="H11627">
        <v>0.74450000000000005</v>
      </c>
      <c r="I11627" t="s">
        <v>7665</v>
      </c>
      <c r="J11627" t="s">
        <v>59</v>
      </c>
      <c r="K11627" t="str">
        <f>"6F3"</f>
        <v>6F3</v>
      </c>
      <c r="L11627" t="s">
        <v>15</v>
      </c>
    </row>
    <row r="11628" spans="1:12" x14ac:dyDescent="0.25">
      <c r="A11628" t="str">
        <f>"8462205312"</f>
        <v>8462205312</v>
      </c>
      <c r="B11628" t="str">
        <f t="shared" si="469"/>
        <v>89301000</v>
      </c>
      <c r="C11628" s="1">
        <v>44244</v>
      </c>
      <c r="D11628" s="1">
        <v>44256</v>
      </c>
      <c r="E11628">
        <v>1</v>
      </c>
      <c r="F11628" t="s">
        <v>7666</v>
      </c>
      <c r="G11628" t="str">
        <f>"05-K05-05"</f>
        <v>05-K05-05</v>
      </c>
      <c r="H11628">
        <v>0.54749999999999999</v>
      </c>
      <c r="I11628" t="s">
        <v>7667</v>
      </c>
      <c r="J11628" t="s">
        <v>14</v>
      </c>
      <c r="K11628" t="str">
        <f>"2F9"</f>
        <v>2F9</v>
      </c>
      <c r="L11628" t="s">
        <v>15</v>
      </c>
    </row>
    <row r="11629" spans="1:12" x14ac:dyDescent="0.25">
      <c r="A11629" t="str">
        <f>"8462205312"</f>
        <v>8462205312</v>
      </c>
      <c r="B11629" t="str">
        <f t="shared" si="469"/>
        <v>89301000</v>
      </c>
      <c r="C11629" s="1">
        <v>44229</v>
      </c>
      <c r="D11629" s="1">
        <v>44230</v>
      </c>
      <c r="E11629">
        <v>1</v>
      </c>
      <c r="F11629" t="s">
        <v>92</v>
      </c>
      <c r="G11629" t="str">
        <f>"05-K15-02"</f>
        <v>05-K15-02</v>
      </c>
      <c r="H11629">
        <v>0.47510000000000002</v>
      </c>
      <c r="I11629" t="s">
        <v>2119</v>
      </c>
      <c r="J11629" t="s">
        <v>14</v>
      </c>
      <c r="K11629" t="str">
        <f>"1F1"</f>
        <v>1F1</v>
      </c>
      <c r="L11629" t="s">
        <v>15</v>
      </c>
    </row>
    <row r="11630" spans="1:12" x14ac:dyDescent="0.25">
      <c r="A11630" t="str">
        <f>"8462205312"</f>
        <v>8462205312</v>
      </c>
      <c r="B11630" t="str">
        <f t="shared" si="469"/>
        <v>89301000</v>
      </c>
      <c r="C11630" s="1">
        <v>44505</v>
      </c>
      <c r="D11630" s="1">
        <v>44506</v>
      </c>
      <c r="E11630">
        <v>1</v>
      </c>
      <c r="F11630" t="s">
        <v>92</v>
      </c>
      <c r="G11630" t="str">
        <f>"05-K15-02"</f>
        <v>05-K15-02</v>
      </c>
      <c r="H11630">
        <v>0.47510000000000002</v>
      </c>
      <c r="I11630" t="s">
        <v>7668</v>
      </c>
      <c r="J11630" t="s">
        <v>14</v>
      </c>
      <c r="K11630" t="str">
        <f>"1F1"</f>
        <v>1F1</v>
      </c>
      <c r="L11630" t="s">
        <v>15</v>
      </c>
    </row>
    <row r="11631" spans="1:12" x14ac:dyDescent="0.25">
      <c r="A11631" t="str">
        <f>"8501086209"</f>
        <v>8501086209</v>
      </c>
      <c r="B11631" t="str">
        <f t="shared" si="469"/>
        <v>89301000</v>
      </c>
      <c r="C11631" s="1">
        <v>44197</v>
      </c>
      <c r="D11631" s="1">
        <v>44202</v>
      </c>
      <c r="E11631">
        <v>1</v>
      </c>
      <c r="F11631" t="s">
        <v>67</v>
      </c>
      <c r="G11631" t="str">
        <f>"01-K10-03"</f>
        <v>01-K10-03</v>
      </c>
      <c r="H11631">
        <v>1.0016</v>
      </c>
      <c r="I11631" t="s">
        <v>7669</v>
      </c>
      <c r="J11631" t="s">
        <v>14</v>
      </c>
      <c r="K11631" t="str">
        <f>"2F9"</f>
        <v>2F9</v>
      </c>
      <c r="L11631" t="s">
        <v>15</v>
      </c>
    </row>
    <row r="11632" spans="1:12" x14ac:dyDescent="0.25">
      <c r="A11632" t="str">
        <f>"8501095438"</f>
        <v>8501095438</v>
      </c>
      <c r="B11632" t="str">
        <f t="shared" si="469"/>
        <v>89301000</v>
      </c>
      <c r="C11632" s="1">
        <v>44483</v>
      </c>
      <c r="D11632" s="1">
        <v>44485</v>
      </c>
      <c r="E11632">
        <v>1</v>
      </c>
      <c r="F11632" t="s">
        <v>366</v>
      </c>
      <c r="G11632" t="str">
        <f>"08-I24-01"</f>
        <v>08-I24-01</v>
      </c>
      <c r="H11632">
        <v>1.0648</v>
      </c>
      <c r="I11632" t="s">
        <v>7670</v>
      </c>
      <c r="J11632" t="s">
        <v>14</v>
      </c>
      <c r="K11632" t="str">
        <f>"5F3"</f>
        <v>5F3</v>
      </c>
      <c r="L11632" t="s">
        <v>15</v>
      </c>
    </row>
    <row r="11633" spans="1:12" x14ac:dyDescent="0.25">
      <c r="A11633" t="str">
        <f>"8501176266"</f>
        <v>8501176266</v>
      </c>
      <c r="B11633" t="str">
        <f t="shared" si="469"/>
        <v>89301000</v>
      </c>
      <c r="C11633" s="1">
        <v>44202</v>
      </c>
      <c r="D11633" s="1">
        <v>44218</v>
      </c>
      <c r="E11633">
        <v>1</v>
      </c>
      <c r="F11633" t="s">
        <v>3203</v>
      </c>
      <c r="G11633" t="str">
        <f>"07-K03-02"</f>
        <v>07-K03-02</v>
      </c>
      <c r="H11633">
        <v>0.82809999999999995</v>
      </c>
      <c r="I11633" t="s">
        <v>2236</v>
      </c>
      <c r="J11633" t="s">
        <v>14</v>
      </c>
      <c r="K11633" t="str">
        <f>"1F1"</f>
        <v>1F1</v>
      </c>
      <c r="L11633" t="s">
        <v>15</v>
      </c>
    </row>
    <row r="11634" spans="1:12" x14ac:dyDescent="0.25">
      <c r="A11634" t="str">
        <f>"8501235765"</f>
        <v>8501235765</v>
      </c>
      <c r="B11634" t="str">
        <f t="shared" si="469"/>
        <v>89301000</v>
      </c>
      <c r="C11634" s="1">
        <v>44461</v>
      </c>
      <c r="D11634" s="1">
        <v>44470</v>
      </c>
      <c r="E11634">
        <v>1</v>
      </c>
      <c r="F11634" t="s">
        <v>5534</v>
      </c>
      <c r="G11634" t="str">
        <f>"20-K03-03"</f>
        <v>20-K03-03</v>
      </c>
      <c r="H11634">
        <v>1.0109999999999999</v>
      </c>
      <c r="I11634" t="s">
        <v>7671</v>
      </c>
      <c r="J11634" t="s">
        <v>14</v>
      </c>
      <c r="K11634" t="str">
        <f>"3F5"</f>
        <v>3F5</v>
      </c>
      <c r="L11634" t="s">
        <v>15</v>
      </c>
    </row>
    <row r="11635" spans="1:12" x14ac:dyDescent="0.25">
      <c r="A11635" t="str">
        <f>"8501275156"</f>
        <v>8501275156</v>
      </c>
      <c r="B11635" t="str">
        <f t="shared" si="469"/>
        <v>89301000</v>
      </c>
      <c r="C11635" s="1">
        <v>44372</v>
      </c>
      <c r="D11635" s="1">
        <v>44374</v>
      </c>
      <c r="E11635">
        <v>1</v>
      </c>
      <c r="F11635" t="s">
        <v>41</v>
      </c>
      <c r="G11635" t="str">
        <f>"01-D01-03"</f>
        <v>01-D01-03</v>
      </c>
      <c r="H11635">
        <v>0.158</v>
      </c>
      <c r="I11635" t="s">
        <v>489</v>
      </c>
      <c r="J11635" t="s">
        <v>14</v>
      </c>
      <c r="K11635" t="str">
        <f>"2F5"</f>
        <v>2F5</v>
      </c>
      <c r="L11635" t="s">
        <v>15</v>
      </c>
    </row>
    <row r="11636" spans="1:12" x14ac:dyDescent="0.25">
      <c r="A11636" t="str">
        <f>"8502026280"</f>
        <v>8502026280</v>
      </c>
      <c r="B11636" t="str">
        <f t="shared" si="469"/>
        <v>89301000</v>
      </c>
      <c r="C11636" s="1">
        <v>44521</v>
      </c>
      <c r="D11636" s="1">
        <v>44530</v>
      </c>
      <c r="E11636">
        <v>1</v>
      </c>
      <c r="F11636" t="s">
        <v>962</v>
      </c>
      <c r="G11636" t="str">
        <f>"04-M01-06"</f>
        <v>04-M01-06</v>
      </c>
      <c r="H11636">
        <v>3.5308999999999999</v>
      </c>
      <c r="I11636" t="s">
        <v>7672</v>
      </c>
      <c r="J11636" t="s">
        <v>14</v>
      </c>
      <c r="K11636" t="str">
        <f>"5F1"</f>
        <v>5F1</v>
      </c>
      <c r="L11636" t="s">
        <v>15</v>
      </c>
    </row>
    <row r="11637" spans="1:12" x14ac:dyDescent="0.25">
      <c r="A11637" t="str">
        <f>"8502116249"</f>
        <v>8502116249</v>
      </c>
      <c r="B11637" t="str">
        <f t="shared" si="469"/>
        <v>89301000</v>
      </c>
      <c r="C11637" s="1">
        <v>44211</v>
      </c>
      <c r="D11637" s="1">
        <v>44232</v>
      </c>
      <c r="E11637">
        <v>1</v>
      </c>
      <c r="F11637" t="s">
        <v>911</v>
      </c>
      <c r="G11637" t="str">
        <f>"17-C03-03"</f>
        <v>17-C03-03</v>
      </c>
      <c r="H11637">
        <v>2.9491999999999998</v>
      </c>
      <c r="I11637" t="s">
        <v>7620</v>
      </c>
      <c r="J11637" t="s">
        <v>14</v>
      </c>
      <c r="K11637" t="str">
        <f>"2F2"</f>
        <v>2F2</v>
      </c>
      <c r="L11637" t="s">
        <v>15</v>
      </c>
    </row>
    <row r="11638" spans="1:12" x14ac:dyDescent="0.25">
      <c r="A11638" t="str">
        <f>"8502185813"</f>
        <v>8502185813</v>
      </c>
      <c r="B11638" t="str">
        <f t="shared" si="469"/>
        <v>89301000</v>
      </c>
      <c r="C11638" s="1">
        <v>44369</v>
      </c>
      <c r="D11638" s="1">
        <v>44370</v>
      </c>
      <c r="E11638">
        <v>1</v>
      </c>
      <c r="F11638" t="s">
        <v>457</v>
      </c>
      <c r="G11638" t="str">
        <f>"08-I16-04"</f>
        <v>08-I16-04</v>
      </c>
      <c r="H11638">
        <v>0.92159999999999997</v>
      </c>
      <c r="I11638" t="s">
        <v>7673</v>
      </c>
      <c r="J11638" t="s">
        <v>17</v>
      </c>
      <c r="K11638" t="str">
        <f>"5F3"</f>
        <v>5F3</v>
      </c>
      <c r="L11638" t="s">
        <v>15</v>
      </c>
    </row>
    <row r="11639" spans="1:12" x14ac:dyDescent="0.25">
      <c r="A11639" t="str">
        <f>"8503175780"</f>
        <v>8503175780</v>
      </c>
      <c r="B11639" t="str">
        <f t="shared" si="469"/>
        <v>89301000</v>
      </c>
      <c r="C11639" s="1">
        <v>44335</v>
      </c>
      <c r="D11639" s="1">
        <v>44340</v>
      </c>
      <c r="E11639">
        <v>1</v>
      </c>
      <c r="F11639" t="s">
        <v>3158</v>
      </c>
      <c r="G11639" t="str">
        <f>"05-M04-04"</f>
        <v>05-M04-04</v>
      </c>
      <c r="H11639">
        <v>2.3159000000000001</v>
      </c>
      <c r="I11639" t="s">
        <v>7674</v>
      </c>
      <c r="J11639" t="s">
        <v>17</v>
      </c>
      <c r="K11639" t="str">
        <f>"5F1"</f>
        <v>5F1</v>
      </c>
      <c r="L11639" t="s">
        <v>15</v>
      </c>
    </row>
    <row r="11640" spans="1:12" x14ac:dyDescent="0.25">
      <c r="A11640" t="str">
        <f>"8503185867"</f>
        <v>8503185867</v>
      </c>
      <c r="B11640" t="str">
        <f t="shared" si="469"/>
        <v>89301000</v>
      </c>
      <c r="C11640" s="1">
        <v>44242</v>
      </c>
      <c r="D11640" s="1">
        <v>44243</v>
      </c>
      <c r="E11640">
        <v>1</v>
      </c>
      <c r="F11640" t="s">
        <v>210</v>
      </c>
      <c r="G11640" t="str">
        <f>"08-I15-03"</f>
        <v>08-I15-03</v>
      </c>
      <c r="H11640">
        <v>1.1838</v>
      </c>
      <c r="I11640" t="s">
        <v>21</v>
      </c>
      <c r="J11640" t="s">
        <v>17</v>
      </c>
      <c r="K11640" t="str">
        <f>"5F3"</f>
        <v>5F3</v>
      </c>
      <c r="L11640" t="s">
        <v>15</v>
      </c>
    </row>
    <row r="11641" spans="1:12" x14ac:dyDescent="0.25">
      <c r="A11641" t="str">
        <f>"8504205853"</f>
        <v>8504205853</v>
      </c>
      <c r="B11641" t="str">
        <f t="shared" si="469"/>
        <v>89301000</v>
      </c>
      <c r="C11641" s="1">
        <v>44501</v>
      </c>
      <c r="D11641" s="1">
        <v>44517</v>
      </c>
      <c r="E11641">
        <v>5</v>
      </c>
      <c r="F11641" t="s">
        <v>217</v>
      </c>
      <c r="G11641" t="str">
        <f>"00-M02-04"</f>
        <v>00-M02-04</v>
      </c>
      <c r="H11641">
        <v>12.224600000000001</v>
      </c>
      <c r="I11641" t="s">
        <v>7675</v>
      </c>
      <c r="J11641" t="s">
        <v>14</v>
      </c>
      <c r="K11641" t="str">
        <f>"7T8"</f>
        <v>7T8</v>
      </c>
      <c r="L11641" t="s">
        <v>15</v>
      </c>
    </row>
    <row r="11642" spans="1:12" x14ac:dyDescent="0.25">
      <c r="A11642" t="str">
        <f>"8504255463"</f>
        <v>8504255463</v>
      </c>
      <c r="B11642" t="str">
        <f t="shared" si="469"/>
        <v>89301000</v>
      </c>
      <c r="C11642" s="1">
        <v>44300</v>
      </c>
      <c r="D11642" s="1">
        <v>44303</v>
      </c>
      <c r="E11642">
        <v>1</v>
      </c>
      <c r="F11642" t="s">
        <v>460</v>
      </c>
      <c r="G11642" t="str">
        <f>"03-I23-00"</f>
        <v>03-I23-00</v>
      </c>
      <c r="H11642">
        <v>0.47639999999999999</v>
      </c>
      <c r="I11642" t="s">
        <v>407</v>
      </c>
      <c r="J11642" t="s">
        <v>14</v>
      </c>
      <c r="K11642" t="str">
        <f>"6F5"</f>
        <v>6F5</v>
      </c>
      <c r="L11642" t="s">
        <v>15</v>
      </c>
    </row>
    <row r="11643" spans="1:12" x14ac:dyDescent="0.25">
      <c r="A11643" t="str">
        <f>"8505066064"</f>
        <v>8505066064</v>
      </c>
      <c r="B11643" t="str">
        <f t="shared" si="469"/>
        <v>89301000</v>
      </c>
      <c r="C11643" s="1">
        <v>44374</v>
      </c>
      <c r="D11643" s="1">
        <v>44377</v>
      </c>
      <c r="E11643">
        <v>1</v>
      </c>
      <c r="F11643" t="s">
        <v>6634</v>
      </c>
      <c r="G11643" t="str">
        <f>"08-M03-02"</f>
        <v>08-M03-02</v>
      </c>
      <c r="H11643">
        <v>0.86970000000000003</v>
      </c>
      <c r="I11643" t="s">
        <v>4738</v>
      </c>
      <c r="J11643" t="s">
        <v>14</v>
      </c>
      <c r="K11643" t="str">
        <f>"6F6"</f>
        <v>6F6</v>
      </c>
      <c r="L11643" t="s">
        <v>15</v>
      </c>
    </row>
    <row r="11644" spans="1:12" x14ac:dyDescent="0.25">
      <c r="A11644" t="str">
        <f>"8505165438"</f>
        <v>8505165438</v>
      </c>
      <c r="B11644" t="str">
        <f t="shared" si="469"/>
        <v>89301000</v>
      </c>
      <c r="C11644" s="1">
        <v>44220</v>
      </c>
      <c r="D11644" s="1">
        <v>44246</v>
      </c>
      <c r="E11644">
        <v>1</v>
      </c>
      <c r="F11644" t="s">
        <v>5665</v>
      </c>
      <c r="G11644" t="str">
        <f>"06-I12-01"</f>
        <v>06-I12-01</v>
      </c>
      <c r="H11644">
        <v>4.6520000000000001</v>
      </c>
      <c r="I11644" t="s">
        <v>7676</v>
      </c>
      <c r="J11644" t="s">
        <v>14</v>
      </c>
      <c r="K11644" t="str">
        <f>"5F1"</f>
        <v>5F1</v>
      </c>
      <c r="L11644" t="s">
        <v>15</v>
      </c>
    </row>
    <row r="11645" spans="1:12" x14ac:dyDescent="0.25">
      <c r="A11645" t="str">
        <f>"8505285811"</f>
        <v>8505285811</v>
      </c>
      <c r="B11645" t="str">
        <f t="shared" si="469"/>
        <v>89301000</v>
      </c>
      <c r="C11645" s="1">
        <v>44451</v>
      </c>
      <c r="D11645" s="1">
        <v>44453</v>
      </c>
      <c r="E11645">
        <v>1</v>
      </c>
      <c r="F11645" t="s">
        <v>457</v>
      </c>
      <c r="G11645" t="str">
        <f>"08-I16-04"</f>
        <v>08-I16-04</v>
      </c>
      <c r="H11645">
        <v>0.92159999999999997</v>
      </c>
      <c r="I11645" t="s">
        <v>7677</v>
      </c>
      <c r="J11645" t="s">
        <v>17</v>
      </c>
      <c r="K11645" t="str">
        <f>"5F3"</f>
        <v>5F3</v>
      </c>
      <c r="L11645" t="s">
        <v>15</v>
      </c>
    </row>
    <row r="11646" spans="1:12" x14ac:dyDescent="0.25">
      <c r="A11646" t="str">
        <f>"8506246210"</f>
        <v>8506246210</v>
      </c>
      <c r="B11646" t="str">
        <f t="shared" si="469"/>
        <v>89301000</v>
      </c>
      <c r="C11646" s="1">
        <v>44338</v>
      </c>
      <c r="D11646" s="1">
        <v>44347</v>
      </c>
      <c r="E11646">
        <v>1</v>
      </c>
      <c r="F11646" t="s">
        <v>4557</v>
      </c>
      <c r="G11646" t="str">
        <f>"20-K03-03"</f>
        <v>20-K03-03</v>
      </c>
      <c r="H11646">
        <v>1.0109999999999999</v>
      </c>
      <c r="I11646" t="s">
        <v>7678</v>
      </c>
      <c r="J11646" t="s">
        <v>14</v>
      </c>
      <c r="K11646" t="str">
        <f>"3F5"</f>
        <v>3F5</v>
      </c>
      <c r="L11646" t="s">
        <v>15</v>
      </c>
    </row>
    <row r="11647" spans="1:12" x14ac:dyDescent="0.25">
      <c r="A11647" t="str">
        <f>"8506261797"</f>
        <v>8506261797</v>
      </c>
      <c r="B11647" t="str">
        <f t="shared" si="469"/>
        <v>89301000</v>
      </c>
      <c r="C11647" s="1">
        <v>44350</v>
      </c>
      <c r="D11647" s="1">
        <v>44351</v>
      </c>
      <c r="E11647">
        <v>1</v>
      </c>
      <c r="F11647" t="s">
        <v>714</v>
      </c>
      <c r="G11647" t="str">
        <f>"03-K01-01"</f>
        <v>03-K01-01</v>
      </c>
      <c r="H11647">
        <v>0.66990000000000005</v>
      </c>
      <c r="I11647" t="s">
        <v>1340</v>
      </c>
      <c r="J11647" t="s">
        <v>14</v>
      </c>
      <c r="K11647" t="str">
        <f>"7F1"</f>
        <v>7F1</v>
      </c>
      <c r="L11647" t="s">
        <v>15</v>
      </c>
    </row>
    <row r="11648" spans="1:12" x14ac:dyDescent="0.25">
      <c r="A11648" t="str">
        <f>"8506261797"</f>
        <v>8506261797</v>
      </c>
      <c r="B11648" t="str">
        <f t="shared" si="469"/>
        <v>89301000</v>
      </c>
      <c r="C11648" s="1">
        <v>44358</v>
      </c>
      <c r="D11648" s="1">
        <v>44361</v>
      </c>
      <c r="E11648">
        <v>1</v>
      </c>
      <c r="F11648" t="s">
        <v>613</v>
      </c>
      <c r="G11648" t="str">
        <f>"03-I14-02"</f>
        <v>03-I14-02</v>
      </c>
      <c r="H11648">
        <v>1.1086</v>
      </c>
      <c r="I11648" t="s">
        <v>7679</v>
      </c>
      <c r="J11648" t="s">
        <v>14</v>
      </c>
      <c r="K11648" t="str">
        <f>"7F1"</f>
        <v>7F1</v>
      </c>
      <c r="L11648" t="s">
        <v>15</v>
      </c>
    </row>
    <row r="11649" spans="1:12" x14ac:dyDescent="0.25">
      <c r="A11649" t="str">
        <f>"8506261797"</f>
        <v>8506261797</v>
      </c>
      <c r="B11649" t="str">
        <f t="shared" si="469"/>
        <v>89301000</v>
      </c>
      <c r="C11649" s="1">
        <v>44241</v>
      </c>
      <c r="D11649" s="1">
        <v>44244</v>
      </c>
      <c r="E11649">
        <v>1</v>
      </c>
      <c r="F11649" t="s">
        <v>613</v>
      </c>
      <c r="G11649" t="str">
        <f>"03-I14-02"</f>
        <v>03-I14-02</v>
      </c>
      <c r="H11649">
        <v>1.1086</v>
      </c>
      <c r="I11649" t="s">
        <v>1340</v>
      </c>
      <c r="J11649" t="s">
        <v>14</v>
      </c>
      <c r="K11649" t="str">
        <f>"7F1"</f>
        <v>7F1</v>
      </c>
      <c r="L11649" t="s">
        <v>15</v>
      </c>
    </row>
    <row r="11650" spans="1:12" x14ac:dyDescent="0.25">
      <c r="A11650" t="str">
        <f>"8507116134"</f>
        <v>8507116134</v>
      </c>
      <c r="B11650" t="str">
        <f t="shared" si="469"/>
        <v>89301000</v>
      </c>
      <c r="C11650" s="1">
        <v>44430</v>
      </c>
      <c r="D11650" s="1">
        <v>44431</v>
      </c>
      <c r="E11650">
        <v>1</v>
      </c>
      <c r="F11650" t="s">
        <v>20</v>
      </c>
      <c r="G11650" t="str">
        <f>"08-I18-02"</f>
        <v>08-I18-02</v>
      </c>
      <c r="H11650">
        <v>0.65769999999999995</v>
      </c>
      <c r="I11650" t="s">
        <v>381</v>
      </c>
      <c r="J11650" t="s">
        <v>17</v>
      </c>
      <c r="K11650" t="str">
        <f>"5F3"</f>
        <v>5F3</v>
      </c>
      <c r="L11650" t="s">
        <v>15</v>
      </c>
    </row>
    <row r="11651" spans="1:12" x14ac:dyDescent="0.25">
      <c r="A11651" t="str">
        <f>"8508035778"</f>
        <v>8508035778</v>
      </c>
      <c r="B11651" t="str">
        <f t="shared" si="469"/>
        <v>89301000</v>
      </c>
      <c r="C11651" s="1">
        <v>44519</v>
      </c>
      <c r="D11651" s="1">
        <v>44522</v>
      </c>
      <c r="E11651">
        <v>1</v>
      </c>
      <c r="F11651" t="s">
        <v>41</v>
      </c>
      <c r="G11651" t="str">
        <f>"01-D01-03"</f>
        <v>01-D01-03</v>
      </c>
      <c r="H11651">
        <v>0.2054</v>
      </c>
      <c r="J11651" t="s">
        <v>14</v>
      </c>
      <c r="K11651" t="str">
        <f>"2F5"</f>
        <v>2F5</v>
      </c>
      <c r="L11651" t="s">
        <v>15</v>
      </c>
    </row>
    <row r="11652" spans="1:12" x14ac:dyDescent="0.25">
      <c r="A11652" t="str">
        <f>"8508195839"</f>
        <v>8508195839</v>
      </c>
      <c r="B11652" t="str">
        <f t="shared" si="469"/>
        <v>89301000</v>
      </c>
      <c r="C11652" s="1">
        <v>44335</v>
      </c>
      <c r="D11652" s="1">
        <v>44338</v>
      </c>
      <c r="E11652">
        <v>1</v>
      </c>
      <c r="F11652" t="s">
        <v>7680</v>
      </c>
      <c r="G11652" t="str">
        <f>"12-K01-01"</f>
        <v>12-K01-01</v>
      </c>
      <c r="H11652">
        <v>1.0772999999999999</v>
      </c>
      <c r="I11652" t="s">
        <v>7681</v>
      </c>
      <c r="J11652" t="s">
        <v>14</v>
      </c>
      <c r="K11652" t="str">
        <f>"4F4"</f>
        <v>4F4</v>
      </c>
      <c r="L11652" t="s">
        <v>15</v>
      </c>
    </row>
    <row r="11653" spans="1:12" x14ac:dyDescent="0.25">
      <c r="A11653" t="str">
        <f>"8509016241"</f>
        <v>8509016241</v>
      </c>
      <c r="B11653" t="str">
        <f t="shared" si="469"/>
        <v>89301000</v>
      </c>
      <c r="C11653" s="1">
        <v>44458</v>
      </c>
      <c r="D11653" s="1">
        <v>44460</v>
      </c>
      <c r="E11653">
        <v>1</v>
      </c>
      <c r="F11653" t="s">
        <v>260</v>
      </c>
      <c r="G11653" t="str">
        <f>"03-I22-03"</f>
        <v>03-I22-03</v>
      </c>
      <c r="H11653">
        <v>0.49049999999999999</v>
      </c>
      <c r="J11653" t="s">
        <v>14</v>
      </c>
      <c r="K11653" t="str">
        <f>"7F1"</f>
        <v>7F1</v>
      </c>
      <c r="L11653" t="s">
        <v>15</v>
      </c>
    </row>
    <row r="11654" spans="1:12" x14ac:dyDescent="0.25">
      <c r="A11654" t="str">
        <f>"8509185806"</f>
        <v>8509185806</v>
      </c>
      <c r="B11654" t="str">
        <f t="shared" si="469"/>
        <v>89301000</v>
      </c>
      <c r="C11654" s="1">
        <v>44313</v>
      </c>
      <c r="D11654" s="1">
        <v>44316</v>
      </c>
      <c r="E11654">
        <v>1</v>
      </c>
      <c r="F11654" t="s">
        <v>7615</v>
      </c>
      <c r="G11654" t="str">
        <f>"20-K02-03"</f>
        <v>20-K02-03</v>
      </c>
      <c r="H11654">
        <v>0.57279999999999998</v>
      </c>
      <c r="I11654" t="s">
        <v>7682</v>
      </c>
      <c r="J11654" t="s">
        <v>14</v>
      </c>
      <c r="K11654" t="str">
        <f>"3F5"</f>
        <v>3F5</v>
      </c>
      <c r="L11654" t="s">
        <v>15</v>
      </c>
    </row>
    <row r="11655" spans="1:12" x14ac:dyDescent="0.25">
      <c r="A11655" t="str">
        <f>"8510015877"</f>
        <v>8510015877</v>
      </c>
      <c r="B11655" t="str">
        <f t="shared" si="469"/>
        <v>89301000</v>
      </c>
      <c r="C11655" s="1">
        <v>44252</v>
      </c>
      <c r="D11655" s="1">
        <v>44253</v>
      </c>
      <c r="E11655">
        <v>1</v>
      </c>
      <c r="F11655" t="s">
        <v>500</v>
      </c>
      <c r="G11655" t="str">
        <f>"06-D01-00"</f>
        <v>06-D01-00</v>
      </c>
      <c r="H11655">
        <v>0.9274</v>
      </c>
      <c r="I11655" t="s">
        <v>7683</v>
      </c>
      <c r="J11655" t="s">
        <v>14</v>
      </c>
      <c r="K11655" t="str">
        <f>"1F1"</f>
        <v>1F1</v>
      </c>
      <c r="L11655" t="s">
        <v>15</v>
      </c>
    </row>
    <row r="11656" spans="1:12" x14ac:dyDescent="0.25">
      <c r="A11656" t="str">
        <f>"8510205770"</f>
        <v>8510205770</v>
      </c>
      <c r="B11656" t="str">
        <f t="shared" si="469"/>
        <v>89301000</v>
      </c>
      <c r="C11656" s="1">
        <v>44486</v>
      </c>
      <c r="D11656" s="1">
        <v>44516</v>
      </c>
      <c r="E11656">
        <v>1</v>
      </c>
      <c r="F11656" t="s">
        <v>2977</v>
      </c>
      <c r="G11656" t="str">
        <f>"19-K07-02"</f>
        <v>19-K07-02</v>
      </c>
      <c r="H11656">
        <v>2.8759999999999999</v>
      </c>
      <c r="J11656" t="s">
        <v>27</v>
      </c>
      <c r="K11656" t="str">
        <f>"3F5"</f>
        <v>3F5</v>
      </c>
      <c r="L11656" t="s">
        <v>15</v>
      </c>
    </row>
    <row r="11657" spans="1:12" x14ac:dyDescent="0.25">
      <c r="A11657" t="str">
        <f>"8510295365"</f>
        <v>8510295365</v>
      </c>
      <c r="B11657" t="str">
        <f t="shared" si="469"/>
        <v>89301000</v>
      </c>
      <c r="C11657" s="1">
        <v>44488</v>
      </c>
      <c r="D11657" s="1">
        <v>44497</v>
      </c>
      <c r="E11657">
        <v>1</v>
      </c>
      <c r="F11657" t="s">
        <v>571</v>
      </c>
      <c r="G11657" t="str">
        <f>"08-I14-01"</f>
        <v>08-I14-01</v>
      </c>
      <c r="H11657">
        <v>3.8473000000000002</v>
      </c>
      <c r="I11657" t="s">
        <v>572</v>
      </c>
      <c r="J11657" t="s">
        <v>17</v>
      </c>
      <c r="K11657" t="str">
        <f>"5F3"</f>
        <v>5F3</v>
      </c>
      <c r="L11657" t="s">
        <v>15</v>
      </c>
    </row>
    <row r="11658" spans="1:12" x14ac:dyDescent="0.25">
      <c r="A11658" t="str">
        <f>"8512064935"</f>
        <v>8512064935</v>
      </c>
      <c r="B11658" t="str">
        <f t="shared" si="469"/>
        <v>89301000</v>
      </c>
      <c r="C11658" s="1">
        <v>44521</v>
      </c>
      <c r="D11658" s="1">
        <v>44523</v>
      </c>
      <c r="E11658">
        <v>8</v>
      </c>
      <c r="F11658" t="s">
        <v>764</v>
      </c>
      <c r="G11658" t="str">
        <f>"01-K13-02"</f>
        <v>01-K13-02</v>
      </c>
      <c r="H11658">
        <v>0.7954</v>
      </c>
      <c r="J11658" t="s">
        <v>14</v>
      </c>
      <c r="K11658" t="str">
        <f>"2T9"</f>
        <v>2T9</v>
      </c>
      <c r="L11658" t="s">
        <v>15</v>
      </c>
    </row>
    <row r="11659" spans="1:12" x14ac:dyDescent="0.25">
      <c r="A11659" t="str">
        <f>"8512105767"</f>
        <v>8512105767</v>
      </c>
      <c r="B11659" t="str">
        <f t="shared" si="469"/>
        <v>89301000</v>
      </c>
      <c r="C11659" s="1">
        <v>44217</v>
      </c>
      <c r="D11659" s="1">
        <v>44218</v>
      </c>
      <c r="E11659">
        <v>1</v>
      </c>
      <c r="F11659" t="s">
        <v>7245</v>
      </c>
      <c r="G11659" t="str">
        <f>"08-I18-02"</f>
        <v>08-I18-02</v>
      </c>
      <c r="H11659">
        <v>0.65769999999999995</v>
      </c>
      <c r="I11659" t="s">
        <v>7684</v>
      </c>
      <c r="J11659" t="s">
        <v>17</v>
      </c>
      <c r="K11659" t="str">
        <f>"5F3"</f>
        <v>5F3</v>
      </c>
      <c r="L11659" t="s">
        <v>15</v>
      </c>
    </row>
    <row r="11660" spans="1:12" x14ac:dyDescent="0.25">
      <c r="A11660" t="str">
        <f>"8512115436"</f>
        <v>8512115436</v>
      </c>
      <c r="B11660" t="str">
        <f t="shared" si="469"/>
        <v>89301000</v>
      </c>
      <c r="C11660" s="1">
        <v>44458</v>
      </c>
      <c r="D11660" s="1">
        <v>44461</v>
      </c>
      <c r="E11660">
        <v>1</v>
      </c>
      <c r="F11660" t="s">
        <v>7685</v>
      </c>
      <c r="G11660" t="str">
        <f>"08-M03-05"</f>
        <v>08-M03-05</v>
      </c>
      <c r="H11660">
        <v>0.51759999999999995</v>
      </c>
      <c r="J11660" t="s">
        <v>14</v>
      </c>
      <c r="K11660" t="str">
        <f>"6F6"</f>
        <v>6F6</v>
      </c>
      <c r="L11660" t="s">
        <v>15</v>
      </c>
    </row>
    <row r="11661" spans="1:12" x14ac:dyDescent="0.25">
      <c r="A11661" t="str">
        <f>"8512165442"</f>
        <v>8512165442</v>
      </c>
      <c r="B11661" t="str">
        <f t="shared" si="469"/>
        <v>89301000</v>
      </c>
      <c r="C11661" s="1">
        <v>44364</v>
      </c>
      <c r="D11661" s="1">
        <v>44369</v>
      </c>
      <c r="E11661">
        <v>5</v>
      </c>
      <c r="F11661" t="s">
        <v>2736</v>
      </c>
      <c r="G11661" t="str">
        <f>"07-K02-03"</f>
        <v>07-K02-03</v>
      </c>
      <c r="H11661">
        <v>0.7742</v>
      </c>
      <c r="J11661" t="s">
        <v>14</v>
      </c>
      <c r="K11661" t="str">
        <f>"1F1"</f>
        <v>1F1</v>
      </c>
      <c r="L11661" t="s">
        <v>15</v>
      </c>
    </row>
    <row r="11662" spans="1:12" x14ac:dyDescent="0.25">
      <c r="A11662" t="str">
        <f>"8512314910"</f>
        <v>8512314910</v>
      </c>
      <c r="B11662" t="str">
        <f t="shared" si="469"/>
        <v>89301000</v>
      </c>
      <c r="C11662" s="1">
        <v>44252</v>
      </c>
      <c r="D11662" s="1">
        <v>44254</v>
      </c>
      <c r="E11662">
        <v>1</v>
      </c>
      <c r="F11662" t="s">
        <v>246</v>
      </c>
      <c r="G11662" t="str">
        <f>"01-K08-03"</f>
        <v>01-K08-03</v>
      </c>
      <c r="H11662">
        <v>0.46179999999999999</v>
      </c>
      <c r="I11662" t="s">
        <v>168</v>
      </c>
      <c r="J11662" t="s">
        <v>14</v>
      </c>
      <c r="K11662" t="str">
        <f>"5F3"</f>
        <v>5F3</v>
      </c>
      <c r="L11662" t="s">
        <v>15</v>
      </c>
    </row>
    <row r="11663" spans="1:12" x14ac:dyDescent="0.25">
      <c r="A11663" t="str">
        <f>"8551076226"</f>
        <v>8551076226</v>
      </c>
      <c r="B11663" t="str">
        <f t="shared" si="469"/>
        <v>89301000</v>
      </c>
      <c r="C11663" s="1">
        <v>44362</v>
      </c>
      <c r="D11663" s="1">
        <v>44365</v>
      </c>
      <c r="E11663">
        <v>1</v>
      </c>
      <c r="F11663" t="s">
        <v>7686</v>
      </c>
      <c r="G11663" t="str">
        <f>"06-I21-03"</f>
        <v>06-I21-03</v>
      </c>
      <c r="H11663">
        <v>0.47820000000000001</v>
      </c>
      <c r="I11663" t="s">
        <v>282</v>
      </c>
      <c r="J11663" t="s">
        <v>17</v>
      </c>
      <c r="K11663" t="str">
        <f>"5F1"</f>
        <v>5F1</v>
      </c>
      <c r="L11663" t="s">
        <v>15</v>
      </c>
    </row>
    <row r="11664" spans="1:12" x14ac:dyDescent="0.25">
      <c r="A11664" t="str">
        <f>"8551096213"</f>
        <v>8551096213</v>
      </c>
      <c r="B11664" t="str">
        <f t="shared" si="469"/>
        <v>89301000</v>
      </c>
      <c r="C11664" s="1">
        <v>44430</v>
      </c>
      <c r="D11664" s="1">
        <v>44434</v>
      </c>
      <c r="E11664">
        <v>1</v>
      </c>
      <c r="F11664" t="s">
        <v>81</v>
      </c>
      <c r="G11664" t="str">
        <f>"10-I13-02"</f>
        <v>10-I13-02</v>
      </c>
      <c r="H11664">
        <v>1.1468</v>
      </c>
      <c r="J11664" t="s">
        <v>24</v>
      </c>
      <c r="K11664" t="str">
        <f>"5F1"</f>
        <v>5F1</v>
      </c>
      <c r="L11664" t="s">
        <v>15</v>
      </c>
    </row>
    <row r="11665" spans="1:12" x14ac:dyDescent="0.25">
      <c r="A11665" t="str">
        <f>"8551175765"</f>
        <v>8551175765</v>
      </c>
      <c r="B11665" t="str">
        <f t="shared" si="469"/>
        <v>89301000</v>
      </c>
      <c r="C11665" s="1">
        <v>44444</v>
      </c>
      <c r="D11665" s="1">
        <v>44451</v>
      </c>
      <c r="E11665">
        <v>1</v>
      </c>
      <c r="F11665" t="s">
        <v>566</v>
      </c>
      <c r="G11665" t="str">
        <f>"06-I07-05"</f>
        <v>06-I07-05</v>
      </c>
      <c r="H11665">
        <v>2.8466999999999998</v>
      </c>
      <c r="I11665" t="s">
        <v>7687</v>
      </c>
      <c r="J11665" t="s">
        <v>17</v>
      </c>
      <c r="K11665" t="str">
        <f>"5F1"</f>
        <v>5F1</v>
      </c>
      <c r="L11665" t="s">
        <v>15</v>
      </c>
    </row>
    <row r="11666" spans="1:12" x14ac:dyDescent="0.25">
      <c r="A11666" t="str">
        <f>"8551175842"</f>
        <v>8551175842</v>
      </c>
      <c r="B11666" t="str">
        <f t="shared" si="469"/>
        <v>89301000</v>
      </c>
      <c r="C11666" s="1">
        <v>44528</v>
      </c>
      <c r="D11666" s="1">
        <v>44530</v>
      </c>
      <c r="E11666">
        <v>1</v>
      </c>
      <c r="F11666" t="s">
        <v>75</v>
      </c>
      <c r="G11666" t="str">
        <f>"14-M01-05"</f>
        <v>14-M01-05</v>
      </c>
      <c r="H11666">
        <v>0.54239999999999999</v>
      </c>
      <c r="I11666" t="s">
        <v>7688</v>
      </c>
      <c r="J11666" t="s">
        <v>59</v>
      </c>
      <c r="K11666" t="str">
        <f>"6F3"</f>
        <v>6F3</v>
      </c>
      <c r="L11666" t="s">
        <v>15</v>
      </c>
    </row>
    <row r="11667" spans="1:12" x14ac:dyDescent="0.25">
      <c r="A11667" t="str">
        <f>"8551245824"</f>
        <v>8551245824</v>
      </c>
      <c r="B11667" t="str">
        <f t="shared" si="469"/>
        <v>89301000</v>
      </c>
      <c r="C11667" s="1">
        <v>44263</v>
      </c>
      <c r="D11667" s="1">
        <v>44266</v>
      </c>
      <c r="E11667">
        <v>1</v>
      </c>
      <c r="F11667" t="s">
        <v>61</v>
      </c>
      <c r="G11667" t="str">
        <f>"14-I01-05"</f>
        <v>14-I01-05</v>
      </c>
      <c r="H11667">
        <v>0.80030000000000001</v>
      </c>
      <c r="I11667" t="s">
        <v>62</v>
      </c>
      <c r="J11667" t="s">
        <v>59</v>
      </c>
      <c r="K11667" t="str">
        <f>"6F3"</f>
        <v>6F3</v>
      </c>
      <c r="L11667" t="s">
        <v>15</v>
      </c>
    </row>
    <row r="11668" spans="1:12" x14ac:dyDescent="0.25">
      <c r="A11668" t="str">
        <f>"8551294917"</f>
        <v>8551294917</v>
      </c>
      <c r="B11668" t="str">
        <f t="shared" si="469"/>
        <v>89301000</v>
      </c>
      <c r="C11668" s="1">
        <v>44205</v>
      </c>
      <c r="D11668" s="1">
        <v>44207</v>
      </c>
      <c r="E11668">
        <v>1</v>
      </c>
      <c r="F11668" t="s">
        <v>75</v>
      </c>
      <c r="G11668" t="str">
        <f>"14-M01-05"</f>
        <v>14-M01-05</v>
      </c>
      <c r="H11668">
        <v>0.54239999999999999</v>
      </c>
      <c r="I11668" t="s">
        <v>180</v>
      </c>
      <c r="J11668" t="s">
        <v>59</v>
      </c>
      <c r="K11668" t="str">
        <f>"6F3"</f>
        <v>6F3</v>
      </c>
      <c r="L11668" t="s">
        <v>15</v>
      </c>
    </row>
    <row r="11669" spans="1:12" x14ac:dyDescent="0.25">
      <c r="A11669" t="str">
        <f>"8552015791"</f>
        <v>8552015791</v>
      </c>
      <c r="B11669" t="str">
        <f t="shared" si="469"/>
        <v>89301000</v>
      </c>
      <c r="C11669" s="1">
        <v>44413</v>
      </c>
      <c r="D11669" s="1">
        <v>44426</v>
      </c>
      <c r="E11669">
        <v>1</v>
      </c>
      <c r="F11669" t="s">
        <v>254</v>
      </c>
      <c r="G11669" t="str">
        <f>"19-K04-02"</f>
        <v>19-K04-02</v>
      </c>
      <c r="H11669">
        <v>1.4597</v>
      </c>
      <c r="I11669" t="s">
        <v>7689</v>
      </c>
      <c r="J11669" t="s">
        <v>27</v>
      </c>
      <c r="K11669" t="str">
        <f>"3F5"</f>
        <v>3F5</v>
      </c>
      <c r="L11669" t="s">
        <v>15</v>
      </c>
    </row>
    <row r="11670" spans="1:12" x14ac:dyDescent="0.25">
      <c r="A11670" t="str">
        <f>"8552095662"</f>
        <v>8552095662</v>
      </c>
      <c r="B11670" t="str">
        <f t="shared" si="469"/>
        <v>89301000</v>
      </c>
      <c r="C11670" s="1">
        <v>44418</v>
      </c>
      <c r="D11670" s="1">
        <v>44423</v>
      </c>
      <c r="E11670">
        <v>1</v>
      </c>
      <c r="F11670" t="s">
        <v>61</v>
      </c>
      <c r="G11670" t="str">
        <f>"14-I01-05"</f>
        <v>14-I01-05</v>
      </c>
      <c r="H11670">
        <v>0.80030000000000001</v>
      </c>
      <c r="I11670" t="s">
        <v>7690</v>
      </c>
      <c r="J11670" t="s">
        <v>59</v>
      </c>
      <c r="K11670" t="str">
        <f>"6F3"</f>
        <v>6F3</v>
      </c>
      <c r="L11670" t="s">
        <v>15</v>
      </c>
    </row>
    <row r="11671" spans="1:12" x14ac:dyDescent="0.25">
      <c r="A11671" t="str">
        <f>"8552145371"</f>
        <v>8552145371</v>
      </c>
      <c r="B11671" t="str">
        <f t="shared" si="469"/>
        <v>89301000</v>
      </c>
      <c r="C11671" s="1">
        <v>44550</v>
      </c>
      <c r="D11671" s="1">
        <v>44553</v>
      </c>
      <c r="E11671">
        <v>1</v>
      </c>
      <c r="F11671" t="s">
        <v>61</v>
      </c>
      <c r="G11671" t="str">
        <f>"14-I01-05"</f>
        <v>14-I01-05</v>
      </c>
      <c r="H11671">
        <v>0.80030000000000001</v>
      </c>
      <c r="I11671" t="s">
        <v>62</v>
      </c>
      <c r="J11671" t="s">
        <v>59</v>
      </c>
      <c r="K11671" t="str">
        <f>"6F3"</f>
        <v>6F3</v>
      </c>
      <c r="L11671" t="s">
        <v>15</v>
      </c>
    </row>
    <row r="11672" spans="1:12" x14ac:dyDescent="0.25">
      <c r="A11672" t="str">
        <f>"8552264578"</f>
        <v>8552264578</v>
      </c>
      <c r="B11672" t="str">
        <f t="shared" si="469"/>
        <v>89301000</v>
      </c>
      <c r="C11672" s="1">
        <v>44395</v>
      </c>
      <c r="D11672" s="1">
        <v>44399</v>
      </c>
      <c r="E11672">
        <v>1</v>
      </c>
      <c r="F11672" t="s">
        <v>75</v>
      </c>
      <c r="G11672" t="str">
        <f>"14-M01-05"</f>
        <v>14-M01-05</v>
      </c>
      <c r="H11672">
        <v>0.54239999999999999</v>
      </c>
      <c r="I11672" t="s">
        <v>7691</v>
      </c>
      <c r="J11672" t="s">
        <v>59</v>
      </c>
      <c r="K11672" t="str">
        <f>"6F3"</f>
        <v>6F3</v>
      </c>
      <c r="L11672" t="s">
        <v>15</v>
      </c>
    </row>
    <row r="11673" spans="1:12" x14ac:dyDescent="0.25">
      <c r="A11673" t="str">
        <f>"8553026152"</f>
        <v>8553026152</v>
      </c>
      <c r="B11673" t="str">
        <f t="shared" si="469"/>
        <v>89301000</v>
      </c>
      <c r="C11673" s="1">
        <v>44451</v>
      </c>
      <c r="D11673" s="1">
        <v>44455</v>
      </c>
      <c r="E11673">
        <v>1</v>
      </c>
      <c r="F11673" t="s">
        <v>81</v>
      </c>
      <c r="G11673" t="str">
        <f>"10-I13-03"</f>
        <v>10-I13-03</v>
      </c>
      <c r="H11673">
        <v>0.90449999999999997</v>
      </c>
      <c r="I11673" t="s">
        <v>489</v>
      </c>
      <c r="J11673" t="s">
        <v>24</v>
      </c>
      <c r="K11673" t="str">
        <f>"5F1"</f>
        <v>5F1</v>
      </c>
      <c r="L11673" t="s">
        <v>15</v>
      </c>
    </row>
    <row r="11674" spans="1:12" x14ac:dyDescent="0.25">
      <c r="A11674" t="str">
        <f>"8553046084"</f>
        <v>8553046084</v>
      </c>
      <c r="B11674" t="str">
        <f t="shared" si="469"/>
        <v>89301000</v>
      </c>
      <c r="C11674" s="1">
        <v>44461</v>
      </c>
      <c r="D11674" s="1">
        <v>44463</v>
      </c>
      <c r="E11674">
        <v>1</v>
      </c>
      <c r="F11674" t="s">
        <v>2139</v>
      </c>
      <c r="G11674" t="str">
        <f>"05-D01-06"</f>
        <v>05-D01-06</v>
      </c>
      <c r="H11674">
        <v>0.7611</v>
      </c>
      <c r="J11674" t="s">
        <v>14</v>
      </c>
      <c r="K11674" t="str">
        <f>"1F7"</f>
        <v>1F7</v>
      </c>
      <c r="L11674" t="s">
        <v>15</v>
      </c>
    </row>
    <row r="11675" spans="1:12" x14ac:dyDescent="0.25">
      <c r="A11675" t="str">
        <f>"8553065774"</f>
        <v>8553065774</v>
      </c>
      <c r="B11675" t="str">
        <f t="shared" si="469"/>
        <v>89301000</v>
      </c>
      <c r="C11675" s="1">
        <v>44446</v>
      </c>
      <c r="D11675" s="1">
        <v>44450</v>
      </c>
      <c r="E11675">
        <v>1</v>
      </c>
      <c r="F11675" t="s">
        <v>75</v>
      </c>
      <c r="G11675" t="str">
        <f>"14-M01-05"</f>
        <v>14-M01-05</v>
      </c>
      <c r="H11675">
        <v>0.54239999999999999</v>
      </c>
      <c r="I11675" t="s">
        <v>7692</v>
      </c>
      <c r="J11675" t="s">
        <v>59</v>
      </c>
      <c r="K11675" t="str">
        <f>"6F3"</f>
        <v>6F3</v>
      </c>
      <c r="L11675" t="s">
        <v>15</v>
      </c>
    </row>
    <row r="11676" spans="1:12" x14ac:dyDescent="0.25">
      <c r="A11676" t="str">
        <f>"8553075828"</f>
        <v>8553075828</v>
      </c>
      <c r="B11676" t="str">
        <f t="shared" si="469"/>
        <v>89301000</v>
      </c>
      <c r="C11676" s="1">
        <v>44307</v>
      </c>
      <c r="D11676" s="1">
        <v>44310</v>
      </c>
      <c r="E11676">
        <v>1</v>
      </c>
      <c r="F11676" t="s">
        <v>75</v>
      </c>
      <c r="G11676" t="str">
        <f>"14-M01-05"</f>
        <v>14-M01-05</v>
      </c>
      <c r="H11676">
        <v>0.54239999999999999</v>
      </c>
      <c r="I11676" t="s">
        <v>76</v>
      </c>
      <c r="J11676" t="s">
        <v>59</v>
      </c>
      <c r="K11676" t="str">
        <f>"6F3"</f>
        <v>6F3</v>
      </c>
      <c r="L11676" t="s">
        <v>15</v>
      </c>
    </row>
    <row r="11677" spans="1:12" x14ac:dyDescent="0.25">
      <c r="A11677" t="str">
        <f>"8553136152"</f>
        <v>8553136152</v>
      </c>
      <c r="B11677" t="str">
        <f t="shared" si="469"/>
        <v>89301000</v>
      </c>
      <c r="C11677" s="1">
        <v>44385</v>
      </c>
      <c r="D11677" s="1">
        <v>44389</v>
      </c>
      <c r="E11677">
        <v>1</v>
      </c>
      <c r="F11677" t="s">
        <v>75</v>
      </c>
      <c r="G11677" t="str">
        <f>"14-M01-05"</f>
        <v>14-M01-05</v>
      </c>
      <c r="H11677">
        <v>0.54239999999999999</v>
      </c>
      <c r="J11677" t="s">
        <v>59</v>
      </c>
      <c r="K11677" t="str">
        <f>"6F3"</f>
        <v>6F3</v>
      </c>
      <c r="L11677" t="s">
        <v>15</v>
      </c>
    </row>
    <row r="11678" spans="1:12" x14ac:dyDescent="0.25">
      <c r="A11678" t="str">
        <f>"8553185850"</f>
        <v>8553185850</v>
      </c>
      <c r="B11678" t="str">
        <f t="shared" ref="B11678:B11741" si="470">"89301000"</f>
        <v>89301000</v>
      </c>
      <c r="C11678" s="1">
        <v>44227</v>
      </c>
      <c r="D11678" s="1">
        <v>44242</v>
      </c>
      <c r="E11678">
        <v>1</v>
      </c>
      <c r="F11678" t="s">
        <v>2368</v>
      </c>
      <c r="G11678" t="str">
        <f>"08-I03-03"</f>
        <v>08-I03-03</v>
      </c>
      <c r="H11678">
        <v>5.3307000000000002</v>
      </c>
      <c r="I11678" t="s">
        <v>699</v>
      </c>
      <c r="J11678" t="s">
        <v>17</v>
      </c>
      <c r="K11678" t="str">
        <f>"5F6"</f>
        <v>5F6</v>
      </c>
      <c r="L11678" t="s">
        <v>15</v>
      </c>
    </row>
    <row r="11679" spans="1:12" x14ac:dyDescent="0.25">
      <c r="A11679" t="str">
        <f>"8553185850"</f>
        <v>8553185850</v>
      </c>
      <c r="B11679" t="str">
        <f t="shared" si="470"/>
        <v>89301000</v>
      </c>
      <c r="C11679" s="1">
        <v>44504</v>
      </c>
      <c r="D11679" s="1">
        <v>44510</v>
      </c>
      <c r="E11679">
        <v>1</v>
      </c>
      <c r="F11679" t="s">
        <v>1551</v>
      </c>
      <c r="G11679" t="str">
        <f>"09-I06-04"</f>
        <v>09-I06-04</v>
      </c>
      <c r="H11679">
        <v>0.98829999999999996</v>
      </c>
      <c r="J11679" t="s">
        <v>17</v>
      </c>
      <c r="K11679" t="str">
        <f>"5F1"</f>
        <v>5F1</v>
      </c>
      <c r="L11679" t="s">
        <v>15</v>
      </c>
    </row>
    <row r="11680" spans="1:12" x14ac:dyDescent="0.25">
      <c r="A11680" t="str">
        <f>"8553215803"</f>
        <v>8553215803</v>
      </c>
      <c r="B11680" t="str">
        <f t="shared" si="470"/>
        <v>89301000</v>
      </c>
      <c r="C11680" s="1">
        <v>44372</v>
      </c>
      <c r="D11680" s="1">
        <v>44376</v>
      </c>
      <c r="E11680">
        <v>1</v>
      </c>
      <c r="F11680" t="s">
        <v>75</v>
      </c>
      <c r="G11680" t="str">
        <f>"14-M01-05"</f>
        <v>14-M01-05</v>
      </c>
      <c r="H11680">
        <v>0.54239999999999999</v>
      </c>
      <c r="I11680" t="s">
        <v>7420</v>
      </c>
      <c r="J11680" t="s">
        <v>59</v>
      </c>
      <c r="K11680" t="str">
        <f>"6F3"</f>
        <v>6F3</v>
      </c>
      <c r="L11680" t="s">
        <v>15</v>
      </c>
    </row>
    <row r="11681" spans="1:12" x14ac:dyDescent="0.25">
      <c r="A11681" t="str">
        <f>"8553225802"</f>
        <v>8553225802</v>
      </c>
      <c r="B11681" t="str">
        <f t="shared" si="470"/>
        <v>89301000</v>
      </c>
      <c r="C11681" s="1">
        <v>44301</v>
      </c>
      <c r="D11681" s="1">
        <v>44307</v>
      </c>
      <c r="E11681">
        <v>1</v>
      </c>
      <c r="F11681" t="s">
        <v>61</v>
      </c>
      <c r="G11681" t="str">
        <f>"14-I01-05"</f>
        <v>14-I01-05</v>
      </c>
      <c r="H11681">
        <v>0.80030000000000001</v>
      </c>
      <c r="I11681" t="s">
        <v>7693</v>
      </c>
      <c r="J11681" t="s">
        <v>59</v>
      </c>
      <c r="K11681" t="str">
        <f>"6F3"</f>
        <v>6F3</v>
      </c>
      <c r="L11681" t="s">
        <v>15</v>
      </c>
    </row>
    <row r="11682" spans="1:12" x14ac:dyDescent="0.25">
      <c r="A11682" t="str">
        <f>"8553295773"</f>
        <v>8553295773</v>
      </c>
      <c r="B11682" t="str">
        <f t="shared" si="470"/>
        <v>89301000</v>
      </c>
      <c r="C11682" s="1">
        <v>44430</v>
      </c>
      <c r="D11682" s="1">
        <v>44436</v>
      </c>
      <c r="E11682">
        <v>1</v>
      </c>
      <c r="F11682" t="s">
        <v>75</v>
      </c>
      <c r="G11682" t="str">
        <f>"14-M01-05"</f>
        <v>14-M01-05</v>
      </c>
      <c r="H11682">
        <v>0.54239999999999999</v>
      </c>
      <c r="I11682" t="s">
        <v>7420</v>
      </c>
      <c r="J11682" t="s">
        <v>59</v>
      </c>
      <c r="K11682" t="str">
        <f>"6F3"</f>
        <v>6F3</v>
      </c>
      <c r="L11682" t="s">
        <v>15</v>
      </c>
    </row>
    <row r="11683" spans="1:12" x14ac:dyDescent="0.25">
      <c r="A11683" t="str">
        <f>"8554054377"</f>
        <v>8554054377</v>
      </c>
      <c r="B11683" t="str">
        <f t="shared" si="470"/>
        <v>89301000</v>
      </c>
      <c r="C11683" s="1">
        <v>44521</v>
      </c>
      <c r="D11683" s="1">
        <v>44522</v>
      </c>
      <c r="E11683">
        <v>1</v>
      </c>
      <c r="F11683" t="s">
        <v>500</v>
      </c>
      <c r="G11683" t="str">
        <f>"06-K06-02"</f>
        <v>06-K06-02</v>
      </c>
      <c r="H11683">
        <v>0.69359999999999999</v>
      </c>
      <c r="J11683" t="s">
        <v>14</v>
      </c>
      <c r="K11683" t="str">
        <f>"1F5"</f>
        <v>1F5</v>
      </c>
      <c r="L11683" t="s">
        <v>15</v>
      </c>
    </row>
    <row r="11684" spans="1:12" x14ac:dyDescent="0.25">
      <c r="A11684" t="str">
        <f>"8554115768"</f>
        <v>8554115768</v>
      </c>
      <c r="B11684" t="str">
        <f t="shared" si="470"/>
        <v>89301000</v>
      </c>
      <c r="C11684" s="1">
        <v>44206</v>
      </c>
      <c r="D11684" s="1">
        <v>44208</v>
      </c>
      <c r="E11684">
        <v>1</v>
      </c>
      <c r="F11684" t="s">
        <v>71</v>
      </c>
      <c r="G11684" t="str">
        <f>"08-M03-05"</f>
        <v>08-M03-05</v>
      </c>
      <c r="H11684">
        <v>0.51759999999999995</v>
      </c>
      <c r="I11684" t="s">
        <v>7694</v>
      </c>
      <c r="J11684" t="s">
        <v>14</v>
      </c>
      <c r="K11684" t="str">
        <f>"6F6"</f>
        <v>6F6</v>
      </c>
      <c r="L11684" t="s">
        <v>15</v>
      </c>
    </row>
    <row r="11685" spans="1:12" x14ac:dyDescent="0.25">
      <c r="A11685" t="str">
        <f>"8554115768"</f>
        <v>8554115768</v>
      </c>
      <c r="B11685" t="str">
        <f t="shared" si="470"/>
        <v>89301000</v>
      </c>
      <c r="C11685" s="1">
        <v>44508</v>
      </c>
      <c r="D11685" s="1">
        <v>44515</v>
      </c>
      <c r="E11685">
        <v>1</v>
      </c>
      <c r="F11685" t="s">
        <v>116</v>
      </c>
      <c r="G11685" t="str">
        <f>"14-M01-05"</f>
        <v>14-M01-05</v>
      </c>
      <c r="H11685">
        <v>0.60709999999999997</v>
      </c>
      <c r="J11685" t="s">
        <v>59</v>
      </c>
      <c r="K11685" t="str">
        <f>"6F3"</f>
        <v>6F3</v>
      </c>
      <c r="L11685" t="s">
        <v>15</v>
      </c>
    </row>
    <row r="11686" spans="1:12" x14ac:dyDescent="0.25">
      <c r="A11686" t="str">
        <f>"8554155786"</f>
        <v>8554155786</v>
      </c>
      <c r="B11686" t="str">
        <f t="shared" si="470"/>
        <v>89301000</v>
      </c>
      <c r="C11686" s="1">
        <v>44471</v>
      </c>
      <c r="D11686" s="1">
        <v>44473</v>
      </c>
      <c r="E11686">
        <v>5</v>
      </c>
      <c r="F11686" t="s">
        <v>217</v>
      </c>
      <c r="G11686" t="str">
        <f>"04-K02-04"</f>
        <v>04-K02-04</v>
      </c>
      <c r="H11686">
        <v>0.82469999999999999</v>
      </c>
      <c r="I11686" t="s">
        <v>7695</v>
      </c>
      <c r="J11686" t="s">
        <v>14</v>
      </c>
      <c r="K11686" t="str">
        <f>"1F1"</f>
        <v>1F1</v>
      </c>
      <c r="L11686" t="s">
        <v>15</v>
      </c>
    </row>
    <row r="11687" spans="1:12" x14ac:dyDescent="0.25">
      <c r="A11687" t="str">
        <f>"8554155841"</f>
        <v>8554155841</v>
      </c>
      <c r="B11687" t="str">
        <f t="shared" si="470"/>
        <v>89301000</v>
      </c>
      <c r="C11687" s="1">
        <v>44415</v>
      </c>
      <c r="D11687" s="1">
        <v>44417</v>
      </c>
      <c r="E11687">
        <v>1</v>
      </c>
      <c r="F11687" t="s">
        <v>7696</v>
      </c>
      <c r="G11687" t="str">
        <f>"08-I19-03"</f>
        <v>08-I19-03</v>
      </c>
      <c r="H11687">
        <v>0.61250000000000004</v>
      </c>
      <c r="I11687" t="s">
        <v>7697</v>
      </c>
      <c r="J11687" t="s">
        <v>17</v>
      </c>
      <c r="K11687" t="str">
        <f>"5F3"</f>
        <v>5F3</v>
      </c>
      <c r="L11687" t="s">
        <v>15</v>
      </c>
    </row>
    <row r="11688" spans="1:12" x14ac:dyDescent="0.25">
      <c r="A11688" t="str">
        <f>"8554165818"</f>
        <v>8554165818</v>
      </c>
      <c r="B11688" t="str">
        <f t="shared" si="470"/>
        <v>89301000</v>
      </c>
      <c r="C11688" s="1">
        <v>44259</v>
      </c>
      <c r="D11688" s="1">
        <v>44264</v>
      </c>
      <c r="E11688">
        <v>1</v>
      </c>
      <c r="F11688" t="s">
        <v>61</v>
      </c>
      <c r="G11688" t="str">
        <f>"14-I01-05"</f>
        <v>14-I01-05</v>
      </c>
      <c r="H11688">
        <v>0.80030000000000001</v>
      </c>
      <c r="I11688" t="s">
        <v>62</v>
      </c>
      <c r="J11688" t="s">
        <v>59</v>
      </c>
      <c r="K11688" t="str">
        <f>"6F3"</f>
        <v>6F3</v>
      </c>
      <c r="L11688" t="s">
        <v>15</v>
      </c>
    </row>
    <row r="11689" spans="1:12" x14ac:dyDescent="0.25">
      <c r="A11689" t="str">
        <f>"8554176246"</f>
        <v>8554176246</v>
      </c>
      <c r="B11689" t="str">
        <f t="shared" si="470"/>
        <v>89301000</v>
      </c>
      <c r="C11689" s="1">
        <v>44236</v>
      </c>
      <c r="D11689" s="1">
        <v>44239</v>
      </c>
      <c r="E11689">
        <v>1</v>
      </c>
      <c r="F11689" t="s">
        <v>51</v>
      </c>
      <c r="G11689" t="str">
        <f>"13-I17-00"</f>
        <v>13-I17-00</v>
      </c>
      <c r="H11689">
        <v>0.74590000000000001</v>
      </c>
      <c r="I11689" t="s">
        <v>7698</v>
      </c>
      <c r="J11689" t="s">
        <v>24</v>
      </c>
      <c r="K11689" t="str">
        <f>"6F3"</f>
        <v>6F3</v>
      </c>
      <c r="L11689" t="s">
        <v>15</v>
      </c>
    </row>
    <row r="11690" spans="1:12" x14ac:dyDescent="0.25">
      <c r="A11690" t="str">
        <f>"8554205803"</f>
        <v>8554205803</v>
      </c>
      <c r="B11690" t="str">
        <f t="shared" si="470"/>
        <v>89301000</v>
      </c>
      <c r="C11690" s="1">
        <v>44400</v>
      </c>
      <c r="D11690" s="1">
        <v>44403</v>
      </c>
      <c r="E11690">
        <v>1</v>
      </c>
      <c r="F11690" t="s">
        <v>82</v>
      </c>
      <c r="G11690" t="str">
        <f>"14-I01-02"</f>
        <v>14-I01-02</v>
      </c>
      <c r="H11690">
        <v>1.1289</v>
      </c>
      <c r="I11690" t="s">
        <v>7699</v>
      </c>
      <c r="J11690" t="s">
        <v>59</v>
      </c>
      <c r="K11690" t="str">
        <f>"6F3"</f>
        <v>6F3</v>
      </c>
      <c r="L11690" t="s">
        <v>15</v>
      </c>
    </row>
    <row r="11691" spans="1:12" x14ac:dyDescent="0.25">
      <c r="A11691" t="str">
        <f>"8554265775"</f>
        <v>8554265775</v>
      </c>
      <c r="B11691" t="str">
        <f t="shared" si="470"/>
        <v>89301000</v>
      </c>
      <c r="C11691" s="1">
        <v>44540</v>
      </c>
      <c r="D11691" s="1">
        <v>44543</v>
      </c>
      <c r="E11691">
        <v>1</v>
      </c>
      <c r="F11691" t="s">
        <v>75</v>
      </c>
      <c r="G11691" t="str">
        <f>"14-M01-05"</f>
        <v>14-M01-05</v>
      </c>
      <c r="H11691">
        <v>0.54239999999999999</v>
      </c>
      <c r="I11691" t="s">
        <v>426</v>
      </c>
      <c r="J11691" t="s">
        <v>59</v>
      </c>
      <c r="K11691" t="str">
        <f>"6F3"</f>
        <v>6F3</v>
      </c>
      <c r="L11691" t="s">
        <v>15</v>
      </c>
    </row>
    <row r="11692" spans="1:12" x14ac:dyDescent="0.25">
      <c r="A11692" t="str">
        <f>"8554265808"</f>
        <v>8554265808</v>
      </c>
      <c r="B11692" t="str">
        <f t="shared" si="470"/>
        <v>89301000</v>
      </c>
      <c r="C11692" s="1">
        <v>44287</v>
      </c>
      <c r="D11692" s="1">
        <v>44288</v>
      </c>
      <c r="E11692">
        <v>1</v>
      </c>
      <c r="F11692" t="s">
        <v>3852</v>
      </c>
      <c r="G11692" t="str">
        <f>"13-I19-00"</f>
        <v>13-I19-00</v>
      </c>
      <c r="H11692">
        <v>0.24679999999999999</v>
      </c>
      <c r="J11692" t="s">
        <v>14</v>
      </c>
      <c r="K11692" t="str">
        <f>"6F3"</f>
        <v>6F3</v>
      </c>
      <c r="L11692" t="s">
        <v>15</v>
      </c>
    </row>
    <row r="11693" spans="1:12" x14ac:dyDescent="0.25">
      <c r="A11693" t="str">
        <f>"8554265819"</f>
        <v>8554265819</v>
      </c>
      <c r="B11693" t="str">
        <f t="shared" si="470"/>
        <v>89301000</v>
      </c>
      <c r="C11693" s="1">
        <v>44438</v>
      </c>
      <c r="D11693" s="1">
        <v>44442</v>
      </c>
      <c r="E11693">
        <v>1</v>
      </c>
      <c r="F11693" t="s">
        <v>407</v>
      </c>
      <c r="G11693" t="str">
        <f>"03-I19-02"</f>
        <v>03-I19-02</v>
      </c>
      <c r="H11693">
        <v>0.88829999999999998</v>
      </c>
      <c r="I11693" t="s">
        <v>7700</v>
      </c>
      <c r="J11693" t="s">
        <v>14</v>
      </c>
      <c r="K11693" t="str">
        <f>"6F5"</f>
        <v>6F5</v>
      </c>
      <c r="L11693" t="s">
        <v>15</v>
      </c>
    </row>
    <row r="11694" spans="1:12" x14ac:dyDescent="0.25">
      <c r="A11694" t="str">
        <f>"8554284915"</f>
        <v>8554284915</v>
      </c>
      <c r="B11694" t="str">
        <f t="shared" si="470"/>
        <v>89301000</v>
      </c>
      <c r="C11694" s="1">
        <v>44286</v>
      </c>
      <c r="D11694" s="1">
        <v>44287</v>
      </c>
      <c r="E11694">
        <v>1</v>
      </c>
      <c r="F11694" t="s">
        <v>2693</v>
      </c>
      <c r="G11694" t="str">
        <f>"04-K09-03"</f>
        <v>04-K09-03</v>
      </c>
      <c r="H11694">
        <v>0.65610000000000002</v>
      </c>
      <c r="I11694" t="s">
        <v>7701</v>
      </c>
      <c r="J11694" t="s">
        <v>14</v>
      </c>
      <c r="K11694" t="str">
        <f>"4F2"</f>
        <v>4F2</v>
      </c>
      <c r="L11694" t="s">
        <v>15</v>
      </c>
    </row>
    <row r="11695" spans="1:12" x14ac:dyDescent="0.25">
      <c r="A11695" t="str">
        <f>"8555115811"</f>
        <v>8555115811</v>
      </c>
      <c r="B11695" t="str">
        <f t="shared" si="470"/>
        <v>89301000</v>
      </c>
      <c r="C11695" s="1">
        <v>44537</v>
      </c>
      <c r="D11695" s="1">
        <v>44539</v>
      </c>
      <c r="E11695">
        <v>1</v>
      </c>
      <c r="F11695" t="s">
        <v>215</v>
      </c>
      <c r="G11695" t="str">
        <f>"08-I15-03"</f>
        <v>08-I15-03</v>
      </c>
      <c r="H11695">
        <v>1.1838</v>
      </c>
      <c r="I11695" t="s">
        <v>7702</v>
      </c>
      <c r="J11695" t="s">
        <v>17</v>
      </c>
      <c r="K11695" t="str">
        <f>"5F3"</f>
        <v>5F3</v>
      </c>
      <c r="L11695" t="s">
        <v>15</v>
      </c>
    </row>
    <row r="11696" spans="1:12" x14ac:dyDescent="0.25">
      <c r="A11696" t="str">
        <f>"8555204911"</f>
        <v>8555204911</v>
      </c>
      <c r="B11696" t="str">
        <f t="shared" si="470"/>
        <v>89301000</v>
      </c>
      <c r="C11696" s="1">
        <v>44540</v>
      </c>
      <c r="D11696" s="1">
        <v>44543</v>
      </c>
      <c r="E11696">
        <v>1</v>
      </c>
      <c r="F11696" t="s">
        <v>75</v>
      </c>
      <c r="G11696" t="str">
        <f>"14-M01-05"</f>
        <v>14-M01-05</v>
      </c>
      <c r="H11696">
        <v>0.54239999999999999</v>
      </c>
      <c r="J11696" t="s">
        <v>59</v>
      </c>
      <c r="K11696" t="str">
        <f t="shared" ref="K11696:K11708" si="471">"6F3"</f>
        <v>6F3</v>
      </c>
      <c r="L11696" t="s">
        <v>15</v>
      </c>
    </row>
    <row r="11697" spans="1:12" x14ac:dyDescent="0.25">
      <c r="A11697" t="str">
        <f>"8555205769"</f>
        <v>8555205769</v>
      </c>
      <c r="B11697" t="str">
        <f t="shared" si="470"/>
        <v>89301000</v>
      </c>
      <c r="C11697" s="1">
        <v>44418</v>
      </c>
      <c r="D11697" s="1">
        <v>44422</v>
      </c>
      <c r="E11697">
        <v>1</v>
      </c>
      <c r="F11697" t="s">
        <v>82</v>
      </c>
      <c r="G11697" t="str">
        <f>"14-I01-02"</f>
        <v>14-I01-02</v>
      </c>
      <c r="H11697">
        <v>1.1289</v>
      </c>
      <c r="I11697" t="s">
        <v>7703</v>
      </c>
      <c r="J11697" t="s">
        <v>59</v>
      </c>
      <c r="K11697" t="str">
        <f t="shared" si="471"/>
        <v>6F3</v>
      </c>
      <c r="L11697" t="s">
        <v>15</v>
      </c>
    </row>
    <row r="11698" spans="1:12" x14ac:dyDescent="0.25">
      <c r="A11698" t="str">
        <f>"8555235810"</f>
        <v>8555235810</v>
      </c>
      <c r="B11698" t="str">
        <f t="shared" si="470"/>
        <v>89301000</v>
      </c>
      <c r="C11698" s="1">
        <v>44507</v>
      </c>
      <c r="D11698" s="1">
        <v>44511</v>
      </c>
      <c r="E11698">
        <v>1</v>
      </c>
      <c r="F11698" t="s">
        <v>4848</v>
      </c>
      <c r="G11698" t="str">
        <f>"13-I16-00"</f>
        <v>13-I16-00</v>
      </c>
      <c r="H11698">
        <v>1.0256000000000001</v>
      </c>
      <c r="J11698" t="s">
        <v>17</v>
      </c>
      <c r="K11698" t="str">
        <f t="shared" si="471"/>
        <v>6F3</v>
      </c>
      <c r="L11698" t="s">
        <v>15</v>
      </c>
    </row>
    <row r="11699" spans="1:12" x14ac:dyDescent="0.25">
      <c r="A11699" t="str">
        <f>"8555315813"</f>
        <v>8555315813</v>
      </c>
      <c r="B11699" t="str">
        <f t="shared" si="470"/>
        <v>89301000</v>
      </c>
      <c r="C11699" s="1">
        <v>44474</v>
      </c>
      <c r="D11699" s="1">
        <v>44479</v>
      </c>
      <c r="E11699">
        <v>1</v>
      </c>
      <c r="F11699" t="s">
        <v>112</v>
      </c>
      <c r="G11699" t="str">
        <f>"14-M01-05"</f>
        <v>14-M01-05</v>
      </c>
      <c r="H11699">
        <v>0.54239999999999999</v>
      </c>
      <c r="I11699" t="s">
        <v>7704</v>
      </c>
      <c r="J11699" t="s">
        <v>59</v>
      </c>
      <c r="K11699" t="str">
        <f t="shared" si="471"/>
        <v>6F3</v>
      </c>
      <c r="L11699" t="s">
        <v>15</v>
      </c>
    </row>
    <row r="11700" spans="1:12" x14ac:dyDescent="0.25">
      <c r="A11700" t="str">
        <f>"8556015798"</f>
        <v>8556015798</v>
      </c>
      <c r="B11700" t="str">
        <f t="shared" si="470"/>
        <v>89301000</v>
      </c>
      <c r="C11700" s="1">
        <v>44344</v>
      </c>
      <c r="D11700" s="1">
        <v>44347</v>
      </c>
      <c r="E11700">
        <v>1</v>
      </c>
      <c r="F11700" t="s">
        <v>75</v>
      </c>
      <c r="G11700" t="str">
        <f>"14-M01-05"</f>
        <v>14-M01-05</v>
      </c>
      <c r="H11700">
        <v>0.54239999999999999</v>
      </c>
      <c r="I11700" t="s">
        <v>7705</v>
      </c>
      <c r="J11700" t="s">
        <v>59</v>
      </c>
      <c r="K11700" t="str">
        <f t="shared" si="471"/>
        <v>6F3</v>
      </c>
      <c r="L11700" t="s">
        <v>15</v>
      </c>
    </row>
    <row r="11701" spans="1:12" x14ac:dyDescent="0.25">
      <c r="A11701" t="str">
        <f>"8556103831"</f>
        <v>8556103831</v>
      </c>
      <c r="B11701" t="str">
        <f t="shared" si="470"/>
        <v>89301000</v>
      </c>
      <c r="C11701" s="1">
        <v>44357</v>
      </c>
      <c r="D11701" s="1">
        <v>44359</v>
      </c>
      <c r="E11701">
        <v>1</v>
      </c>
      <c r="F11701" t="s">
        <v>266</v>
      </c>
      <c r="G11701" t="str">
        <f>"13-I14-03"</f>
        <v>13-I14-03</v>
      </c>
      <c r="H11701">
        <v>0.83199999999999996</v>
      </c>
      <c r="J11701" t="s">
        <v>24</v>
      </c>
      <c r="K11701" t="str">
        <f t="shared" si="471"/>
        <v>6F3</v>
      </c>
      <c r="L11701" t="s">
        <v>15</v>
      </c>
    </row>
    <row r="11702" spans="1:12" x14ac:dyDescent="0.25">
      <c r="A11702" t="str">
        <f>"8556156312"</f>
        <v>8556156312</v>
      </c>
      <c r="B11702" t="str">
        <f t="shared" si="470"/>
        <v>89301000</v>
      </c>
      <c r="C11702" s="1">
        <v>44212</v>
      </c>
      <c r="D11702" s="1">
        <v>44215</v>
      </c>
      <c r="E11702">
        <v>1</v>
      </c>
      <c r="F11702" t="s">
        <v>75</v>
      </c>
      <c r="G11702" t="str">
        <f>"14-M01-05"</f>
        <v>14-M01-05</v>
      </c>
      <c r="H11702">
        <v>0.54239999999999999</v>
      </c>
      <c r="I11702" t="s">
        <v>7706</v>
      </c>
      <c r="J11702" t="s">
        <v>59</v>
      </c>
      <c r="K11702" t="str">
        <f t="shared" si="471"/>
        <v>6F3</v>
      </c>
      <c r="L11702" t="s">
        <v>15</v>
      </c>
    </row>
    <row r="11703" spans="1:12" x14ac:dyDescent="0.25">
      <c r="A11703" t="str">
        <f>"8556175782"</f>
        <v>8556175782</v>
      </c>
      <c r="B11703" t="str">
        <f t="shared" si="470"/>
        <v>89301000</v>
      </c>
      <c r="C11703" s="1">
        <v>44312</v>
      </c>
      <c r="D11703" s="1">
        <v>44313</v>
      </c>
      <c r="E11703">
        <v>1</v>
      </c>
      <c r="F11703" t="s">
        <v>336</v>
      </c>
      <c r="G11703" t="str">
        <f>"14-I08-03"</f>
        <v>14-I08-03</v>
      </c>
      <c r="H11703">
        <v>0.21099999999999999</v>
      </c>
      <c r="J11703" t="s">
        <v>14</v>
      </c>
      <c r="K11703" t="str">
        <f t="shared" si="471"/>
        <v>6F3</v>
      </c>
      <c r="L11703" t="s">
        <v>15</v>
      </c>
    </row>
    <row r="11704" spans="1:12" x14ac:dyDescent="0.25">
      <c r="A11704" t="str">
        <f>"8556175793"</f>
        <v>8556175793</v>
      </c>
      <c r="B11704" t="str">
        <f t="shared" si="470"/>
        <v>89301000</v>
      </c>
      <c r="C11704" s="1">
        <v>44354</v>
      </c>
      <c r="D11704" s="1">
        <v>44358</v>
      </c>
      <c r="E11704">
        <v>1</v>
      </c>
      <c r="F11704" t="s">
        <v>75</v>
      </c>
      <c r="G11704" t="str">
        <f>"14-M01-02"</f>
        <v>14-M01-02</v>
      </c>
      <c r="H11704">
        <v>0.75580000000000003</v>
      </c>
      <c r="I11704" t="s">
        <v>7707</v>
      </c>
      <c r="J11704" t="s">
        <v>59</v>
      </c>
      <c r="K11704" t="str">
        <f t="shared" si="471"/>
        <v>6F3</v>
      </c>
      <c r="L11704" t="s">
        <v>15</v>
      </c>
    </row>
    <row r="11705" spans="1:12" x14ac:dyDescent="0.25">
      <c r="A11705" t="str">
        <f>"8556205779"</f>
        <v>8556205779</v>
      </c>
      <c r="B11705" t="str">
        <f t="shared" si="470"/>
        <v>89301000</v>
      </c>
      <c r="C11705" s="1">
        <v>44304</v>
      </c>
      <c r="D11705" s="1">
        <v>44311</v>
      </c>
      <c r="E11705">
        <v>1</v>
      </c>
      <c r="F11705" t="s">
        <v>75</v>
      </c>
      <c r="G11705" t="str">
        <f>"14-M01-02"</f>
        <v>14-M01-02</v>
      </c>
      <c r="H11705">
        <v>0.74450000000000005</v>
      </c>
      <c r="I11705" t="s">
        <v>7708</v>
      </c>
      <c r="J11705" t="s">
        <v>59</v>
      </c>
      <c r="K11705" t="str">
        <f t="shared" si="471"/>
        <v>6F3</v>
      </c>
      <c r="L11705" t="s">
        <v>15</v>
      </c>
    </row>
    <row r="11706" spans="1:12" x14ac:dyDescent="0.25">
      <c r="A11706" t="str">
        <f>"8556255796"</f>
        <v>8556255796</v>
      </c>
      <c r="B11706" t="str">
        <f t="shared" si="470"/>
        <v>89301000</v>
      </c>
      <c r="C11706" s="1">
        <v>44392</v>
      </c>
      <c r="D11706" s="1">
        <v>44396</v>
      </c>
      <c r="E11706">
        <v>1</v>
      </c>
      <c r="F11706" t="s">
        <v>112</v>
      </c>
      <c r="G11706" t="str">
        <f>"14-M01-05"</f>
        <v>14-M01-05</v>
      </c>
      <c r="H11706">
        <v>0.54239999999999999</v>
      </c>
      <c r="I11706" t="s">
        <v>7709</v>
      </c>
      <c r="J11706" t="s">
        <v>59</v>
      </c>
      <c r="K11706" t="str">
        <f t="shared" si="471"/>
        <v>6F3</v>
      </c>
      <c r="L11706" t="s">
        <v>15</v>
      </c>
    </row>
    <row r="11707" spans="1:12" x14ac:dyDescent="0.25">
      <c r="A11707" t="str">
        <f>"8557025829"</f>
        <v>8557025829</v>
      </c>
      <c r="B11707" t="str">
        <f t="shared" si="470"/>
        <v>89301000</v>
      </c>
      <c r="C11707" s="1">
        <v>44354</v>
      </c>
      <c r="D11707" s="1">
        <v>44357</v>
      </c>
      <c r="E11707">
        <v>1</v>
      </c>
      <c r="F11707" t="s">
        <v>61</v>
      </c>
      <c r="G11707" t="str">
        <f>"14-I01-05"</f>
        <v>14-I01-05</v>
      </c>
      <c r="H11707">
        <v>0.80030000000000001</v>
      </c>
      <c r="I11707" t="s">
        <v>7710</v>
      </c>
      <c r="J11707" t="s">
        <v>59</v>
      </c>
      <c r="K11707" t="str">
        <f t="shared" si="471"/>
        <v>6F3</v>
      </c>
      <c r="L11707" t="s">
        <v>15</v>
      </c>
    </row>
    <row r="11708" spans="1:12" x14ac:dyDescent="0.25">
      <c r="A11708" t="str">
        <f>"8557075791"</f>
        <v>8557075791</v>
      </c>
      <c r="B11708" t="str">
        <f t="shared" si="470"/>
        <v>89301000</v>
      </c>
      <c r="C11708" s="1">
        <v>44281</v>
      </c>
      <c r="D11708" s="1">
        <v>44284</v>
      </c>
      <c r="E11708">
        <v>1</v>
      </c>
      <c r="F11708" t="s">
        <v>75</v>
      </c>
      <c r="G11708" t="str">
        <f>"14-M01-05"</f>
        <v>14-M01-05</v>
      </c>
      <c r="H11708">
        <v>0.54239999999999999</v>
      </c>
      <c r="I11708" t="s">
        <v>7569</v>
      </c>
      <c r="J11708" t="s">
        <v>59</v>
      </c>
      <c r="K11708" t="str">
        <f t="shared" si="471"/>
        <v>6F3</v>
      </c>
      <c r="L11708" t="s">
        <v>15</v>
      </c>
    </row>
    <row r="11709" spans="1:12" x14ac:dyDescent="0.25">
      <c r="A11709" t="str">
        <f>"8557105777"</f>
        <v>8557105777</v>
      </c>
      <c r="B11709" t="str">
        <f t="shared" si="470"/>
        <v>89301000</v>
      </c>
      <c r="C11709" s="1">
        <v>44495</v>
      </c>
      <c r="D11709" s="1">
        <v>44499</v>
      </c>
      <c r="E11709">
        <v>1</v>
      </c>
      <c r="F11709" t="s">
        <v>16</v>
      </c>
      <c r="G11709" t="str">
        <f>"08-I04-03"</f>
        <v>08-I04-03</v>
      </c>
      <c r="H11709">
        <v>1.331</v>
      </c>
      <c r="I11709" t="s">
        <v>6540</v>
      </c>
      <c r="J11709" t="s">
        <v>17</v>
      </c>
      <c r="K11709" t="str">
        <f>"5F6"</f>
        <v>5F6</v>
      </c>
      <c r="L11709" t="s">
        <v>15</v>
      </c>
    </row>
    <row r="11710" spans="1:12" x14ac:dyDescent="0.25">
      <c r="A11710" t="str">
        <f>"8557125797"</f>
        <v>8557125797</v>
      </c>
      <c r="B11710" t="str">
        <f t="shared" si="470"/>
        <v>89301000</v>
      </c>
      <c r="C11710" s="1">
        <v>44190</v>
      </c>
      <c r="D11710" s="1">
        <v>44199</v>
      </c>
      <c r="E11710">
        <v>1</v>
      </c>
      <c r="F11710" t="s">
        <v>7449</v>
      </c>
      <c r="G11710" t="str">
        <f>"14-I01-01"</f>
        <v>14-I01-01</v>
      </c>
      <c r="H11710">
        <v>1.8219000000000001</v>
      </c>
      <c r="I11710" t="s">
        <v>7711</v>
      </c>
      <c r="J11710" t="s">
        <v>59</v>
      </c>
      <c r="K11710" t="str">
        <f>"6F3"</f>
        <v>6F3</v>
      </c>
      <c r="L11710" t="s">
        <v>15</v>
      </c>
    </row>
    <row r="11711" spans="1:12" x14ac:dyDescent="0.25">
      <c r="A11711" t="str">
        <f>"8557175770"</f>
        <v>8557175770</v>
      </c>
      <c r="B11711" t="str">
        <f t="shared" si="470"/>
        <v>89301000</v>
      </c>
      <c r="C11711" s="1">
        <v>44287</v>
      </c>
      <c r="D11711" s="1">
        <v>44289</v>
      </c>
      <c r="E11711">
        <v>1</v>
      </c>
      <c r="F11711" t="s">
        <v>75</v>
      </c>
      <c r="G11711" t="str">
        <f>"14-M01-05"</f>
        <v>14-M01-05</v>
      </c>
      <c r="H11711">
        <v>0.54239999999999999</v>
      </c>
      <c r="I11711" t="s">
        <v>7712</v>
      </c>
      <c r="J11711" t="s">
        <v>59</v>
      </c>
      <c r="K11711" t="str">
        <f>"6F3"</f>
        <v>6F3</v>
      </c>
      <c r="L11711" t="s">
        <v>15</v>
      </c>
    </row>
    <row r="11712" spans="1:12" x14ac:dyDescent="0.25">
      <c r="A11712" t="str">
        <f>"8557233113"</f>
        <v>8557233113</v>
      </c>
      <c r="B11712" t="str">
        <f t="shared" si="470"/>
        <v>89301000</v>
      </c>
      <c r="C11712" s="1">
        <v>44489</v>
      </c>
      <c r="D11712" s="1">
        <v>44490</v>
      </c>
      <c r="E11712">
        <v>1</v>
      </c>
      <c r="F11712" t="s">
        <v>116</v>
      </c>
      <c r="G11712" t="str">
        <f>"14-M01-05"</f>
        <v>14-M01-05</v>
      </c>
      <c r="H11712">
        <v>0.54239999999999999</v>
      </c>
      <c r="I11712" t="s">
        <v>7713</v>
      </c>
      <c r="J11712" t="s">
        <v>59</v>
      </c>
      <c r="K11712" t="str">
        <f>"6F3"</f>
        <v>6F3</v>
      </c>
      <c r="L11712" t="s">
        <v>15</v>
      </c>
    </row>
    <row r="11713" spans="1:12" x14ac:dyDescent="0.25">
      <c r="A11713" t="str">
        <f>"8557256246"</f>
        <v>8557256246</v>
      </c>
      <c r="B11713" t="str">
        <f t="shared" si="470"/>
        <v>89301000</v>
      </c>
      <c r="C11713" s="1">
        <v>44201</v>
      </c>
      <c r="D11713" s="1">
        <v>44206</v>
      </c>
      <c r="E11713">
        <v>1</v>
      </c>
      <c r="F11713" t="s">
        <v>82</v>
      </c>
      <c r="G11713" t="str">
        <f>"14-I01-02"</f>
        <v>14-I01-02</v>
      </c>
      <c r="H11713">
        <v>1.1289</v>
      </c>
      <c r="I11713" t="s">
        <v>269</v>
      </c>
      <c r="J11713" t="s">
        <v>59</v>
      </c>
      <c r="K11713" t="str">
        <f>"6F3"</f>
        <v>6F3</v>
      </c>
      <c r="L11713" t="s">
        <v>15</v>
      </c>
    </row>
    <row r="11714" spans="1:12" x14ac:dyDescent="0.25">
      <c r="A11714" t="str">
        <f>"8557304910"</f>
        <v>8557304910</v>
      </c>
      <c r="B11714" t="str">
        <f t="shared" si="470"/>
        <v>89301000</v>
      </c>
      <c r="C11714" s="1">
        <v>44454</v>
      </c>
      <c r="D11714" s="1">
        <v>44455</v>
      </c>
      <c r="E11714">
        <v>1</v>
      </c>
      <c r="F11714" t="s">
        <v>3852</v>
      </c>
      <c r="G11714" t="str">
        <f>"13-I19-00"</f>
        <v>13-I19-00</v>
      </c>
      <c r="H11714">
        <v>0.24679999999999999</v>
      </c>
      <c r="J11714" t="s">
        <v>14</v>
      </c>
      <c r="K11714" t="str">
        <f>"6F3"</f>
        <v>6F3</v>
      </c>
      <c r="L11714" t="s">
        <v>15</v>
      </c>
    </row>
    <row r="11715" spans="1:12" x14ac:dyDescent="0.25">
      <c r="A11715" t="str">
        <f>"8558016027"</f>
        <v>8558016027</v>
      </c>
      <c r="B11715" t="str">
        <f t="shared" si="470"/>
        <v>89301000</v>
      </c>
      <c r="C11715" s="1">
        <v>44223</v>
      </c>
      <c r="D11715" s="1">
        <v>44252</v>
      </c>
      <c r="E11715">
        <v>1</v>
      </c>
      <c r="F11715" t="s">
        <v>911</v>
      </c>
      <c r="G11715" t="str">
        <f>"00-M06-02"</f>
        <v>00-M06-02</v>
      </c>
      <c r="H11715">
        <v>22.7377</v>
      </c>
      <c r="I11715" t="s">
        <v>7714</v>
      </c>
      <c r="J11715" t="s">
        <v>17</v>
      </c>
      <c r="K11715" t="str">
        <f>"2F2"</f>
        <v>2F2</v>
      </c>
      <c r="L11715" t="s">
        <v>15</v>
      </c>
    </row>
    <row r="11716" spans="1:12" x14ac:dyDescent="0.25">
      <c r="A11716" t="str">
        <f>"8558016027"</f>
        <v>8558016027</v>
      </c>
      <c r="B11716" t="str">
        <f t="shared" si="470"/>
        <v>89301000</v>
      </c>
      <c r="C11716" s="1">
        <v>44482</v>
      </c>
      <c r="D11716" s="1">
        <v>44484</v>
      </c>
      <c r="E11716">
        <v>1</v>
      </c>
      <c r="F11716" t="s">
        <v>911</v>
      </c>
      <c r="G11716" t="str">
        <f>"00-M10-02"</f>
        <v>00-M10-02</v>
      </c>
      <c r="H11716">
        <v>1.2450000000000001</v>
      </c>
      <c r="I11716" t="s">
        <v>7715</v>
      </c>
      <c r="J11716" t="s">
        <v>24</v>
      </c>
      <c r="K11716" t="str">
        <f>"2F2"</f>
        <v>2F2</v>
      </c>
      <c r="L11716" t="s">
        <v>15</v>
      </c>
    </row>
    <row r="11717" spans="1:12" x14ac:dyDescent="0.25">
      <c r="A11717" t="str">
        <f>"8558016027"</f>
        <v>8558016027</v>
      </c>
      <c r="B11717" t="str">
        <f t="shared" si="470"/>
        <v>89301000</v>
      </c>
      <c r="C11717" s="1">
        <v>44510</v>
      </c>
      <c r="D11717" s="1">
        <v>44511</v>
      </c>
      <c r="E11717">
        <v>1</v>
      </c>
      <c r="F11717" t="s">
        <v>911</v>
      </c>
      <c r="G11717" t="str">
        <f>"17-K01-02"</f>
        <v>17-K01-02</v>
      </c>
      <c r="H11717">
        <v>0.83789999999999998</v>
      </c>
      <c r="I11717" t="s">
        <v>7716</v>
      </c>
      <c r="J11717" t="s">
        <v>14</v>
      </c>
      <c r="K11717" t="str">
        <f>"2T2"</f>
        <v>2T2</v>
      </c>
      <c r="L11717" t="s">
        <v>15</v>
      </c>
    </row>
    <row r="11718" spans="1:12" x14ac:dyDescent="0.25">
      <c r="A11718" t="str">
        <f>"8558016027"</f>
        <v>8558016027</v>
      </c>
      <c r="B11718" t="str">
        <f t="shared" si="470"/>
        <v>89301000</v>
      </c>
      <c r="C11718" s="1">
        <v>44524</v>
      </c>
      <c r="D11718" s="1">
        <v>44533</v>
      </c>
      <c r="E11718">
        <v>1</v>
      </c>
      <c r="F11718" t="s">
        <v>911</v>
      </c>
      <c r="G11718" t="str">
        <f>"17-K01-01"</f>
        <v>17-K01-01</v>
      </c>
      <c r="H11718">
        <v>5.0045999999999999</v>
      </c>
      <c r="I11718" t="s">
        <v>7090</v>
      </c>
      <c r="J11718" t="s">
        <v>14</v>
      </c>
      <c r="K11718" t="str">
        <f>"5F1"</f>
        <v>5F1</v>
      </c>
      <c r="L11718" t="s">
        <v>15</v>
      </c>
    </row>
    <row r="11719" spans="1:12" x14ac:dyDescent="0.25">
      <c r="A11719" t="str">
        <f>"8558065780"</f>
        <v>8558065780</v>
      </c>
      <c r="B11719" t="str">
        <f t="shared" si="470"/>
        <v>89301000</v>
      </c>
      <c r="C11719" s="1">
        <v>44440</v>
      </c>
      <c r="D11719" s="1">
        <v>44443</v>
      </c>
      <c r="E11719">
        <v>1</v>
      </c>
      <c r="F11719" t="s">
        <v>75</v>
      </c>
      <c r="G11719" t="str">
        <f>"14-M01-05"</f>
        <v>14-M01-05</v>
      </c>
      <c r="H11719">
        <v>0.54239999999999999</v>
      </c>
      <c r="I11719" t="s">
        <v>118</v>
      </c>
      <c r="J11719" t="s">
        <v>59</v>
      </c>
      <c r="K11719" t="str">
        <f t="shared" ref="K11719:K11727" si="472">"6F3"</f>
        <v>6F3</v>
      </c>
      <c r="L11719" t="s">
        <v>15</v>
      </c>
    </row>
    <row r="11720" spans="1:12" x14ac:dyDescent="0.25">
      <c r="A11720" t="str">
        <f>"8558105798"</f>
        <v>8558105798</v>
      </c>
      <c r="B11720" t="str">
        <f t="shared" si="470"/>
        <v>89301000</v>
      </c>
      <c r="C11720" s="1">
        <v>44278</v>
      </c>
      <c r="D11720" s="1">
        <v>44283</v>
      </c>
      <c r="E11720">
        <v>1</v>
      </c>
      <c r="F11720" t="s">
        <v>116</v>
      </c>
      <c r="G11720" t="str">
        <f>"14-M01-05"</f>
        <v>14-M01-05</v>
      </c>
      <c r="H11720">
        <v>0.54239999999999999</v>
      </c>
      <c r="I11720" t="s">
        <v>7717</v>
      </c>
      <c r="J11720" t="s">
        <v>59</v>
      </c>
      <c r="K11720" t="str">
        <f t="shared" si="472"/>
        <v>6F3</v>
      </c>
      <c r="L11720" t="s">
        <v>15</v>
      </c>
    </row>
    <row r="11721" spans="1:12" x14ac:dyDescent="0.25">
      <c r="A11721" t="str">
        <f>"8558105809"</f>
        <v>8558105809</v>
      </c>
      <c r="B11721" t="str">
        <f t="shared" si="470"/>
        <v>89301000</v>
      </c>
      <c r="C11721" s="1">
        <v>44228</v>
      </c>
      <c r="D11721" s="1">
        <v>44231</v>
      </c>
      <c r="E11721">
        <v>1</v>
      </c>
      <c r="F11721" t="s">
        <v>75</v>
      </c>
      <c r="G11721" t="str">
        <f>"14-M01-05"</f>
        <v>14-M01-05</v>
      </c>
      <c r="H11721">
        <v>0.54239999999999999</v>
      </c>
      <c r="I11721" t="s">
        <v>7718</v>
      </c>
      <c r="J11721" t="s">
        <v>59</v>
      </c>
      <c r="K11721" t="str">
        <f t="shared" si="472"/>
        <v>6F3</v>
      </c>
      <c r="L11721" t="s">
        <v>15</v>
      </c>
    </row>
    <row r="11722" spans="1:12" x14ac:dyDescent="0.25">
      <c r="A11722" t="str">
        <f>"8559035782"</f>
        <v>8559035782</v>
      </c>
      <c r="B11722" t="str">
        <f t="shared" si="470"/>
        <v>89301000</v>
      </c>
      <c r="C11722" s="1">
        <v>44319</v>
      </c>
      <c r="D11722" s="1">
        <v>44323</v>
      </c>
      <c r="E11722">
        <v>1</v>
      </c>
      <c r="F11722" t="s">
        <v>61</v>
      </c>
      <c r="G11722" t="str">
        <f>"14-I01-05"</f>
        <v>14-I01-05</v>
      </c>
      <c r="H11722">
        <v>0.80030000000000001</v>
      </c>
      <c r="I11722" t="s">
        <v>7719</v>
      </c>
      <c r="J11722" t="s">
        <v>59</v>
      </c>
      <c r="K11722" t="str">
        <f t="shared" si="472"/>
        <v>6F3</v>
      </c>
      <c r="L11722" t="s">
        <v>15</v>
      </c>
    </row>
    <row r="11723" spans="1:12" x14ac:dyDescent="0.25">
      <c r="A11723" t="str">
        <f>"8559035782"</f>
        <v>8559035782</v>
      </c>
      <c r="B11723" t="str">
        <f t="shared" si="470"/>
        <v>89301000</v>
      </c>
      <c r="C11723" s="1">
        <v>44305</v>
      </c>
      <c r="D11723" s="1">
        <v>44307</v>
      </c>
      <c r="E11723">
        <v>1</v>
      </c>
      <c r="F11723" t="s">
        <v>7367</v>
      </c>
      <c r="G11723" t="str">
        <f>"14-K03-02"</f>
        <v>14-K03-02</v>
      </c>
      <c r="H11723">
        <v>0.2646</v>
      </c>
      <c r="I11723" t="s">
        <v>7370</v>
      </c>
      <c r="J11723" t="s">
        <v>14</v>
      </c>
      <c r="K11723" t="str">
        <f t="shared" si="472"/>
        <v>6F3</v>
      </c>
      <c r="L11723" t="s">
        <v>15</v>
      </c>
    </row>
    <row r="11724" spans="1:12" x14ac:dyDescent="0.25">
      <c r="A11724" t="str">
        <f>"8559045792"</f>
        <v>8559045792</v>
      </c>
      <c r="B11724" t="str">
        <f t="shared" si="470"/>
        <v>89301000</v>
      </c>
      <c r="C11724" s="1">
        <v>44408</v>
      </c>
      <c r="D11724" s="1">
        <v>44417</v>
      </c>
      <c r="E11724">
        <v>1</v>
      </c>
      <c r="F11724" t="s">
        <v>116</v>
      </c>
      <c r="G11724" t="str">
        <f>"14-M01-05"</f>
        <v>14-M01-05</v>
      </c>
      <c r="H11724">
        <v>0.73650000000000004</v>
      </c>
      <c r="I11724" t="s">
        <v>256</v>
      </c>
      <c r="J11724" t="s">
        <v>59</v>
      </c>
      <c r="K11724" t="str">
        <f t="shared" si="472"/>
        <v>6F3</v>
      </c>
      <c r="L11724" t="s">
        <v>15</v>
      </c>
    </row>
    <row r="11725" spans="1:12" x14ac:dyDescent="0.25">
      <c r="A11725" t="str">
        <f>"8559046254"</f>
        <v>8559046254</v>
      </c>
      <c r="B11725" t="str">
        <f t="shared" si="470"/>
        <v>89301000</v>
      </c>
      <c r="C11725" s="1">
        <v>44417</v>
      </c>
      <c r="D11725" s="1">
        <v>44421</v>
      </c>
      <c r="E11725">
        <v>1</v>
      </c>
      <c r="F11725" t="s">
        <v>75</v>
      </c>
      <c r="G11725" t="str">
        <f>"14-M01-02"</f>
        <v>14-M01-02</v>
      </c>
      <c r="H11725">
        <v>0.74450000000000005</v>
      </c>
      <c r="I11725" t="s">
        <v>7720</v>
      </c>
      <c r="J11725" t="s">
        <v>59</v>
      </c>
      <c r="K11725" t="str">
        <f t="shared" si="472"/>
        <v>6F3</v>
      </c>
      <c r="L11725" t="s">
        <v>15</v>
      </c>
    </row>
    <row r="11726" spans="1:12" x14ac:dyDescent="0.25">
      <c r="A11726" t="str">
        <f>"8559075789"</f>
        <v>8559075789</v>
      </c>
      <c r="B11726" t="str">
        <f t="shared" si="470"/>
        <v>89301000</v>
      </c>
      <c r="C11726" s="1">
        <v>44284</v>
      </c>
      <c r="D11726" s="1">
        <v>44286</v>
      </c>
      <c r="E11726">
        <v>1</v>
      </c>
      <c r="F11726" t="s">
        <v>100</v>
      </c>
      <c r="G11726" t="str">
        <f>"14-I04-00"</f>
        <v>14-I04-00</v>
      </c>
      <c r="H11726">
        <v>0.78749999999999998</v>
      </c>
      <c r="I11726" t="s">
        <v>101</v>
      </c>
      <c r="J11726" t="s">
        <v>24</v>
      </c>
      <c r="K11726" t="str">
        <f t="shared" si="472"/>
        <v>6F3</v>
      </c>
      <c r="L11726" t="s">
        <v>15</v>
      </c>
    </row>
    <row r="11727" spans="1:12" x14ac:dyDescent="0.25">
      <c r="A11727" t="str">
        <f>"8559175801"</f>
        <v>8559175801</v>
      </c>
      <c r="B11727" t="str">
        <f t="shared" si="470"/>
        <v>89301000</v>
      </c>
      <c r="C11727" s="1">
        <v>44283</v>
      </c>
      <c r="D11727" s="1">
        <v>44286</v>
      </c>
      <c r="E11727">
        <v>1</v>
      </c>
      <c r="F11727" t="s">
        <v>7048</v>
      </c>
      <c r="G11727" t="str">
        <f>"13-I14-03"</f>
        <v>13-I14-03</v>
      </c>
      <c r="H11727">
        <v>0.83199999999999996</v>
      </c>
      <c r="J11727" t="s">
        <v>24</v>
      </c>
      <c r="K11727" t="str">
        <f t="shared" si="472"/>
        <v>6F3</v>
      </c>
      <c r="L11727" t="s">
        <v>15</v>
      </c>
    </row>
    <row r="11728" spans="1:12" x14ac:dyDescent="0.25">
      <c r="A11728" t="str">
        <f>"8559213839"</f>
        <v>8559213839</v>
      </c>
      <c r="B11728" t="str">
        <f t="shared" si="470"/>
        <v>89301000</v>
      </c>
      <c r="C11728" s="1">
        <v>44535</v>
      </c>
      <c r="D11728" s="1">
        <v>44538</v>
      </c>
      <c r="E11728">
        <v>1</v>
      </c>
      <c r="F11728" t="s">
        <v>6345</v>
      </c>
      <c r="G11728" t="str">
        <f>"09-I10-02"</f>
        <v>09-I10-02</v>
      </c>
      <c r="H11728">
        <v>0.98380000000000001</v>
      </c>
      <c r="J11728" t="s">
        <v>17</v>
      </c>
      <c r="K11728" t="str">
        <f>"7F1"</f>
        <v>7F1</v>
      </c>
      <c r="L11728" t="s">
        <v>15</v>
      </c>
    </row>
    <row r="11729" spans="1:12" x14ac:dyDescent="0.25">
      <c r="A11729" t="str">
        <f>"8559245794"</f>
        <v>8559245794</v>
      </c>
      <c r="B11729" t="str">
        <f t="shared" si="470"/>
        <v>89301000</v>
      </c>
      <c r="C11729" s="1">
        <v>44385</v>
      </c>
      <c r="D11729" s="1">
        <v>44387</v>
      </c>
      <c r="E11729">
        <v>1</v>
      </c>
      <c r="F11729" t="s">
        <v>5527</v>
      </c>
      <c r="G11729" t="str">
        <f>"01-K18-04"</f>
        <v>01-K18-04</v>
      </c>
      <c r="H11729">
        <v>0.49890000000000001</v>
      </c>
      <c r="J11729" t="s">
        <v>14</v>
      </c>
      <c r="K11729" t="str">
        <f>"2F9"</f>
        <v>2F9</v>
      </c>
      <c r="L11729" t="s">
        <v>15</v>
      </c>
    </row>
    <row r="11730" spans="1:12" x14ac:dyDescent="0.25">
      <c r="A11730" t="str">
        <f>"8559296251"</f>
        <v>8559296251</v>
      </c>
      <c r="B11730" t="str">
        <f t="shared" si="470"/>
        <v>89301000</v>
      </c>
      <c r="C11730" s="1">
        <v>44411</v>
      </c>
      <c r="D11730" s="1">
        <v>44418</v>
      </c>
      <c r="E11730">
        <v>1</v>
      </c>
      <c r="F11730" t="s">
        <v>920</v>
      </c>
      <c r="G11730" t="str">
        <f>"01-I06-04"</f>
        <v>01-I06-04</v>
      </c>
      <c r="H11730">
        <v>3.6231</v>
      </c>
      <c r="J11730" t="s">
        <v>17</v>
      </c>
      <c r="K11730" t="str">
        <f>"5F6"</f>
        <v>5F6</v>
      </c>
      <c r="L11730" t="s">
        <v>15</v>
      </c>
    </row>
    <row r="11731" spans="1:12" x14ac:dyDescent="0.25">
      <c r="A11731" t="str">
        <f>"8560015816"</f>
        <v>8560015816</v>
      </c>
      <c r="B11731" t="str">
        <f t="shared" si="470"/>
        <v>89301000</v>
      </c>
      <c r="C11731" s="1">
        <v>44461</v>
      </c>
      <c r="D11731" s="1">
        <v>44465</v>
      </c>
      <c r="E11731">
        <v>1</v>
      </c>
      <c r="F11731" t="s">
        <v>75</v>
      </c>
      <c r="G11731" t="str">
        <f>"14-M01-05"</f>
        <v>14-M01-05</v>
      </c>
      <c r="H11731">
        <v>0.54239999999999999</v>
      </c>
      <c r="I11731" t="s">
        <v>7721</v>
      </c>
      <c r="J11731" t="s">
        <v>59</v>
      </c>
      <c r="K11731" t="str">
        <f>"6F3"</f>
        <v>6F3</v>
      </c>
      <c r="L11731" t="s">
        <v>15</v>
      </c>
    </row>
    <row r="11732" spans="1:12" x14ac:dyDescent="0.25">
      <c r="A11732" t="str">
        <f>"8560085391"</f>
        <v>8560085391</v>
      </c>
      <c r="B11732" t="str">
        <f t="shared" si="470"/>
        <v>89301000</v>
      </c>
      <c r="C11732" s="1">
        <v>44510</v>
      </c>
      <c r="D11732" s="1">
        <v>44514</v>
      </c>
      <c r="E11732">
        <v>1</v>
      </c>
      <c r="F11732" t="s">
        <v>82</v>
      </c>
      <c r="G11732" t="str">
        <f>"14-I01-01"</f>
        <v>14-I01-01</v>
      </c>
      <c r="H11732">
        <v>2.0421999999999998</v>
      </c>
      <c r="I11732" t="s">
        <v>7722</v>
      </c>
      <c r="J11732" t="s">
        <v>59</v>
      </c>
      <c r="K11732" t="str">
        <f>"6F3"</f>
        <v>6F3</v>
      </c>
      <c r="L11732" t="s">
        <v>15</v>
      </c>
    </row>
    <row r="11733" spans="1:12" x14ac:dyDescent="0.25">
      <c r="A11733" t="str">
        <f>"8560126146"</f>
        <v>8560126146</v>
      </c>
      <c r="B11733" t="str">
        <f t="shared" si="470"/>
        <v>89301000</v>
      </c>
      <c r="C11733" s="1">
        <v>44550</v>
      </c>
      <c r="D11733" s="1">
        <v>44551</v>
      </c>
      <c r="E11733">
        <v>1</v>
      </c>
      <c r="F11733" t="s">
        <v>6874</v>
      </c>
      <c r="G11733" t="str">
        <f>"13-I19-00"</f>
        <v>13-I19-00</v>
      </c>
      <c r="H11733">
        <v>0.24679999999999999</v>
      </c>
      <c r="J11733" t="s">
        <v>14</v>
      </c>
      <c r="K11733" t="str">
        <f>"6F3"</f>
        <v>6F3</v>
      </c>
      <c r="L11733" t="s">
        <v>15</v>
      </c>
    </row>
    <row r="11734" spans="1:12" x14ac:dyDescent="0.25">
      <c r="A11734" t="str">
        <f>"8560225773"</f>
        <v>8560225773</v>
      </c>
      <c r="B11734" t="str">
        <f t="shared" si="470"/>
        <v>89301000</v>
      </c>
      <c r="C11734" s="1">
        <v>44280</v>
      </c>
      <c r="D11734" s="1">
        <v>44285</v>
      </c>
      <c r="E11734">
        <v>1</v>
      </c>
      <c r="F11734" t="s">
        <v>75</v>
      </c>
      <c r="G11734" t="str">
        <f>"14-M01-05"</f>
        <v>14-M01-05</v>
      </c>
      <c r="H11734">
        <v>0.54239999999999999</v>
      </c>
      <c r="I11734" t="s">
        <v>7723</v>
      </c>
      <c r="J11734" t="s">
        <v>59</v>
      </c>
      <c r="K11734" t="str">
        <f>"6F3"</f>
        <v>6F3</v>
      </c>
      <c r="L11734" t="s">
        <v>15</v>
      </c>
    </row>
    <row r="11735" spans="1:12" x14ac:dyDescent="0.25">
      <c r="A11735" t="str">
        <f>"8560295799"</f>
        <v>8560295799</v>
      </c>
      <c r="B11735" t="str">
        <f t="shared" si="470"/>
        <v>89301000</v>
      </c>
      <c r="C11735" s="1">
        <v>44404</v>
      </c>
      <c r="D11735" s="1">
        <v>44406</v>
      </c>
      <c r="E11735">
        <v>1</v>
      </c>
      <c r="F11735" t="s">
        <v>75</v>
      </c>
      <c r="G11735" t="str">
        <f>"14-M01-05"</f>
        <v>14-M01-05</v>
      </c>
      <c r="H11735">
        <v>0.54239999999999999</v>
      </c>
      <c r="I11735" t="s">
        <v>426</v>
      </c>
      <c r="J11735" t="s">
        <v>59</v>
      </c>
      <c r="K11735" t="str">
        <f>"6F3"</f>
        <v>6F3</v>
      </c>
      <c r="L11735" t="s">
        <v>15</v>
      </c>
    </row>
    <row r="11736" spans="1:12" x14ac:dyDescent="0.25">
      <c r="A11736" t="str">
        <f>"8561035802"</f>
        <v>8561035802</v>
      </c>
      <c r="B11736" t="str">
        <f t="shared" si="470"/>
        <v>89301000</v>
      </c>
      <c r="C11736" s="1">
        <v>44286</v>
      </c>
      <c r="D11736" s="1">
        <v>44291</v>
      </c>
      <c r="E11736">
        <v>1</v>
      </c>
      <c r="F11736" t="s">
        <v>593</v>
      </c>
      <c r="G11736" t="str">
        <f>"07-I10-06"</f>
        <v>07-I10-06</v>
      </c>
      <c r="H11736">
        <v>1.0386</v>
      </c>
      <c r="I11736" t="s">
        <v>550</v>
      </c>
      <c r="J11736" t="s">
        <v>17</v>
      </c>
      <c r="K11736" t="str">
        <f>"5F1"</f>
        <v>5F1</v>
      </c>
      <c r="L11736" t="s">
        <v>15</v>
      </c>
    </row>
    <row r="11737" spans="1:12" x14ac:dyDescent="0.25">
      <c r="A11737" t="str">
        <f>"8561035802"</f>
        <v>8561035802</v>
      </c>
      <c r="B11737" t="str">
        <f t="shared" si="470"/>
        <v>89301000</v>
      </c>
      <c r="C11737" s="1">
        <v>44250</v>
      </c>
      <c r="D11737" s="1">
        <v>44257</v>
      </c>
      <c r="E11737">
        <v>1</v>
      </c>
      <c r="F11737" t="s">
        <v>3632</v>
      </c>
      <c r="G11737" t="str">
        <f>"07-K02-03"</f>
        <v>07-K02-03</v>
      </c>
      <c r="H11737">
        <v>0.7742</v>
      </c>
      <c r="I11737" t="s">
        <v>168</v>
      </c>
      <c r="J11737" t="s">
        <v>14</v>
      </c>
      <c r="K11737" t="str">
        <f>"1F5"</f>
        <v>1F5</v>
      </c>
      <c r="L11737" t="s">
        <v>15</v>
      </c>
    </row>
    <row r="11738" spans="1:12" x14ac:dyDescent="0.25">
      <c r="A11738" t="str">
        <f>"8561153722"</f>
        <v>8561153722</v>
      </c>
      <c r="B11738" t="str">
        <f t="shared" si="470"/>
        <v>89301000</v>
      </c>
      <c r="C11738" s="1">
        <v>44477</v>
      </c>
      <c r="D11738" s="1">
        <v>44481</v>
      </c>
      <c r="E11738">
        <v>1</v>
      </c>
      <c r="F11738" t="s">
        <v>75</v>
      </c>
      <c r="G11738" t="str">
        <f>"14-M01-05"</f>
        <v>14-M01-05</v>
      </c>
      <c r="H11738">
        <v>0.54239999999999999</v>
      </c>
      <c r="I11738" t="s">
        <v>7724</v>
      </c>
      <c r="J11738" t="s">
        <v>59</v>
      </c>
      <c r="K11738" t="str">
        <f>"6F3"</f>
        <v>6F3</v>
      </c>
      <c r="L11738" t="s">
        <v>15</v>
      </c>
    </row>
    <row r="11739" spans="1:12" x14ac:dyDescent="0.25">
      <c r="A11739" t="str">
        <f>"8561208744"</f>
        <v>8561208744</v>
      </c>
      <c r="B11739" t="str">
        <f t="shared" si="470"/>
        <v>89301000</v>
      </c>
      <c r="C11739" s="1">
        <v>44329</v>
      </c>
      <c r="D11739" s="1">
        <v>44331</v>
      </c>
      <c r="E11739">
        <v>1</v>
      </c>
      <c r="F11739" t="s">
        <v>3577</v>
      </c>
      <c r="G11739" t="str">
        <f>"03-I22-03"</f>
        <v>03-I22-03</v>
      </c>
      <c r="H11739">
        <v>0.49049999999999999</v>
      </c>
      <c r="I11739" t="s">
        <v>7725</v>
      </c>
      <c r="J11739" t="s">
        <v>14</v>
      </c>
      <c r="K11739" t="str">
        <f>"7F1"</f>
        <v>7F1</v>
      </c>
      <c r="L11739" t="s">
        <v>15</v>
      </c>
    </row>
    <row r="11740" spans="1:12" x14ac:dyDescent="0.25">
      <c r="A11740" t="str">
        <f>"8561216246"</f>
        <v>8561216246</v>
      </c>
      <c r="B11740" t="str">
        <f t="shared" si="470"/>
        <v>89301000</v>
      </c>
      <c r="C11740" s="1">
        <v>44199</v>
      </c>
      <c r="D11740" s="1">
        <v>44200</v>
      </c>
      <c r="E11740">
        <v>1</v>
      </c>
      <c r="F11740" t="s">
        <v>336</v>
      </c>
      <c r="G11740" t="str">
        <f>"14-I08-03"</f>
        <v>14-I08-03</v>
      </c>
      <c r="H11740">
        <v>0.21099999999999999</v>
      </c>
      <c r="J11740" t="s">
        <v>14</v>
      </c>
      <c r="K11740" t="str">
        <f>"6F3"</f>
        <v>6F3</v>
      </c>
      <c r="L11740" t="s">
        <v>15</v>
      </c>
    </row>
    <row r="11741" spans="1:12" x14ac:dyDescent="0.25">
      <c r="A11741" t="str">
        <f>"8561285821"</f>
        <v>8561285821</v>
      </c>
      <c r="B11741" t="str">
        <f t="shared" si="470"/>
        <v>89301000</v>
      </c>
      <c r="C11741" s="1">
        <v>44454</v>
      </c>
      <c r="D11741" s="1">
        <v>44458</v>
      </c>
      <c r="E11741">
        <v>1</v>
      </c>
      <c r="F11741" t="s">
        <v>7455</v>
      </c>
      <c r="G11741" t="str">
        <f>"14-I01-02"</f>
        <v>14-I01-02</v>
      </c>
      <c r="H11741">
        <v>1.1289</v>
      </c>
      <c r="I11741" t="s">
        <v>7726</v>
      </c>
      <c r="J11741" t="s">
        <v>59</v>
      </c>
      <c r="K11741" t="str">
        <f>"6F3"</f>
        <v>6F3</v>
      </c>
      <c r="L11741" t="s">
        <v>15</v>
      </c>
    </row>
    <row r="11742" spans="1:12" x14ac:dyDescent="0.25">
      <c r="A11742" t="str">
        <f>"8561294907"</f>
        <v>8561294907</v>
      </c>
      <c r="B11742" t="str">
        <f t="shared" ref="B11742:B11805" si="473">"89301000"</f>
        <v>89301000</v>
      </c>
      <c r="C11742" s="1">
        <v>44253</v>
      </c>
      <c r="D11742" s="1">
        <v>44257</v>
      </c>
      <c r="E11742">
        <v>1</v>
      </c>
      <c r="F11742" t="s">
        <v>75</v>
      </c>
      <c r="G11742" t="str">
        <f>"14-M01-05"</f>
        <v>14-M01-05</v>
      </c>
      <c r="H11742">
        <v>0.54239999999999999</v>
      </c>
      <c r="I11742" t="s">
        <v>7727</v>
      </c>
      <c r="J11742" t="s">
        <v>59</v>
      </c>
      <c r="K11742" t="str">
        <f>"6F3"</f>
        <v>6F3</v>
      </c>
      <c r="L11742" t="s">
        <v>15</v>
      </c>
    </row>
    <row r="11743" spans="1:12" x14ac:dyDescent="0.25">
      <c r="A11743" t="str">
        <f>"8561305368"</f>
        <v>8561305368</v>
      </c>
      <c r="B11743" t="str">
        <f t="shared" si="473"/>
        <v>89301000</v>
      </c>
      <c r="C11743" s="1">
        <v>44285</v>
      </c>
      <c r="D11743" s="1">
        <v>44287</v>
      </c>
      <c r="E11743">
        <v>1</v>
      </c>
      <c r="F11743" t="s">
        <v>413</v>
      </c>
      <c r="G11743" t="str">
        <f>"09-I07-01"</f>
        <v>09-I07-01</v>
      </c>
      <c r="H11743">
        <v>1.7783</v>
      </c>
      <c r="I11743" t="s">
        <v>7728</v>
      </c>
      <c r="J11743" t="s">
        <v>24</v>
      </c>
      <c r="K11743" t="str">
        <f>"6F1"</f>
        <v>6F1</v>
      </c>
      <c r="L11743" t="s">
        <v>15</v>
      </c>
    </row>
    <row r="11744" spans="1:12" x14ac:dyDescent="0.25">
      <c r="A11744" t="str">
        <f>"8562052400"</f>
        <v>8562052400</v>
      </c>
      <c r="B11744" t="str">
        <f t="shared" si="473"/>
        <v>89301000</v>
      </c>
      <c r="C11744" s="1">
        <v>44302</v>
      </c>
      <c r="D11744" s="1">
        <v>44303</v>
      </c>
      <c r="E11744">
        <v>1</v>
      </c>
      <c r="F11744" t="s">
        <v>266</v>
      </c>
      <c r="G11744" t="str">
        <f>"13-K02-00"</f>
        <v>13-K02-00</v>
      </c>
      <c r="H11744">
        <v>0.24079999999999999</v>
      </c>
      <c r="J11744" t="s">
        <v>14</v>
      </c>
      <c r="K11744" t="str">
        <f>"6F3"</f>
        <v>6F3</v>
      </c>
      <c r="L11744" t="s">
        <v>15</v>
      </c>
    </row>
    <row r="11745" spans="1:12" x14ac:dyDescent="0.25">
      <c r="A11745" t="str">
        <f>"8562145361"</f>
        <v>8562145361</v>
      </c>
      <c r="B11745" t="str">
        <f t="shared" si="473"/>
        <v>89301000</v>
      </c>
      <c r="C11745" s="1">
        <v>44254</v>
      </c>
      <c r="D11745" s="1">
        <v>44265</v>
      </c>
      <c r="E11745">
        <v>1</v>
      </c>
      <c r="F11745" t="s">
        <v>130</v>
      </c>
      <c r="G11745" t="str">
        <f>"19-K03-03"</f>
        <v>19-K03-03</v>
      </c>
      <c r="H11745">
        <v>0.93169999999999997</v>
      </c>
      <c r="I11745" t="s">
        <v>7729</v>
      </c>
      <c r="J11745" t="s">
        <v>27</v>
      </c>
      <c r="K11745" t="str">
        <f>"3F5"</f>
        <v>3F5</v>
      </c>
      <c r="L11745" t="s">
        <v>15</v>
      </c>
    </row>
    <row r="11746" spans="1:12" x14ac:dyDescent="0.25">
      <c r="A11746" t="str">
        <f>"8562285765"</f>
        <v>8562285765</v>
      </c>
      <c r="B11746" t="str">
        <f t="shared" si="473"/>
        <v>89301000</v>
      </c>
      <c r="C11746" s="1">
        <v>44524</v>
      </c>
      <c r="D11746" s="1">
        <v>44526</v>
      </c>
      <c r="E11746">
        <v>1</v>
      </c>
      <c r="F11746" t="s">
        <v>3852</v>
      </c>
      <c r="G11746" t="str">
        <f>"13-I19-00"</f>
        <v>13-I19-00</v>
      </c>
      <c r="H11746">
        <v>0.24679999999999999</v>
      </c>
      <c r="I11746" t="s">
        <v>3194</v>
      </c>
      <c r="J11746" t="s">
        <v>14</v>
      </c>
      <c r="K11746" t="str">
        <f>"6F3"</f>
        <v>6F3</v>
      </c>
      <c r="L11746" t="s">
        <v>15</v>
      </c>
    </row>
    <row r="11747" spans="1:12" x14ac:dyDescent="0.25">
      <c r="A11747" t="str">
        <f>"8562295841"</f>
        <v>8562295841</v>
      </c>
      <c r="B11747" t="str">
        <f t="shared" si="473"/>
        <v>89301000</v>
      </c>
      <c r="C11747" s="1">
        <v>44349</v>
      </c>
      <c r="D11747" s="1">
        <v>44358</v>
      </c>
      <c r="E11747">
        <v>1</v>
      </c>
      <c r="F11747" t="s">
        <v>60</v>
      </c>
      <c r="G11747" t="str">
        <f>"14-K03-02"</f>
        <v>14-K03-02</v>
      </c>
      <c r="H11747">
        <v>0.34379999999999999</v>
      </c>
      <c r="J11747" t="s">
        <v>14</v>
      </c>
      <c r="K11747" t="str">
        <f>"6F3"</f>
        <v>6F3</v>
      </c>
      <c r="L11747" t="s">
        <v>15</v>
      </c>
    </row>
    <row r="11748" spans="1:12" x14ac:dyDescent="0.25">
      <c r="A11748" t="str">
        <f>"8562295841"</f>
        <v>8562295841</v>
      </c>
      <c r="B11748" t="str">
        <f t="shared" si="473"/>
        <v>89301000</v>
      </c>
      <c r="C11748" s="1">
        <v>44376</v>
      </c>
      <c r="D11748" s="1">
        <v>44384</v>
      </c>
      <c r="E11748">
        <v>1</v>
      </c>
      <c r="F11748" t="s">
        <v>82</v>
      </c>
      <c r="G11748" t="str">
        <f>"14-I01-05"</f>
        <v>14-I01-05</v>
      </c>
      <c r="H11748">
        <v>0.80030000000000001</v>
      </c>
      <c r="I11748" t="s">
        <v>7730</v>
      </c>
      <c r="J11748" t="s">
        <v>59</v>
      </c>
      <c r="K11748" t="str">
        <f>"6F3"</f>
        <v>6F3</v>
      </c>
      <c r="L11748" t="s">
        <v>15</v>
      </c>
    </row>
    <row r="11749" spans="1:12" x14ac:dyDescent="0.25">
      <c r="A11749" t="str">
        <f>"8562295841"</f>
        <v>8562295841</v>
      </c>
      <c r="B11749" t="str">
        <f t="shared" si="473"/>
        <v>89301000</v>
      </c>
      <c r="C11749" s="1">
        <v>44228</v>
      </c>
      <c r="D11749" s="1">
        <v>44230</v>
      </c>
      <c r="E11749">
        <v>1</v>
      </c>
      <c r="F11749" t="s">
        <v>7639</v>
      </c>
      <c r="G11749" t="str">
        <f>"14-K03-02"</f>
        <v>14-K03-02</v>
      </c>
      <c r="H11749">
        <v>0.2646</v>
      </c>
      <c r="J11749" t="s">
        <v>14</v>
      </c>
      <c r="K11749" t="str">
        <f>"6F3"</f>
        <v>6F3</v>
      </c>
      <c r="L11749" t="s">
        <v>15</v>
      </c>
    </row>
    <row r="11750" spans="1:12" x14ac:dyDescent="0.25">
      <c r="A11750" t="str">
        <f>"8562314915"</f>
        <v>8562314915</v>
      </c>
      <c r="B11750" t="str">
        <f t="shared" si="473"/>
        <v>89301000</v>
      </c>
      <c r="C11750" s="1">
        <v>44250</v>
      </c>
      <c r="D11750" s="1">
        <v>44252</v>
      </c>
      <c r="E11750">
        <v>1</v>
      </c>
      <c r="F11750" t="s">
        <v>7731</v>
      </c>
      <c r="G11750" t="str">
        <f>"11-K03-02"</f>
        <v>11-K03-02</v>
      </c>
      <c r="H11750">
        <v>0.6008</v>
      </c>
      <c r="I11750" t="s">
        <v>6642</v>
      </c>
      <c r="J11750" t="s">
        <v>14</v>
      </c>
      <c r="K11750" t="str">
        <f>"1F1"</f>
        <v>1F1</v>
      </c>
      <c r="L11750" t="s">
        <v>15</v>
      </c>
    </row>
    <row r="11751" spans="1:12" x14ac:dyDescent="0.25">
      <c r="A11751" t="str">
        <f>"8601036213"</f>
        <v>8601036213</v>
      </c>
      <c r="B11751" t="str">
        <f t="shared" si="473"/>
        <v>89301000</v>
      </c>
      <c r="C11751" s="1">
        <v>44546</v>
      </c>
      <c r="D11751" s="1">
        <v>44547</v>
      </c>
      <c r="E11751">
        <v>1</v>
      </c>
      <c r="F11751" t="s">
        <v>240</v>
      </c>
      <c r="G11751" t="str">
        <f>"03-K13-02"</f>
        <v>03-K13-02</v>
      </c>
      <c r="H11751">
        <v>0.2555</v>
      </c>
      <c r="J11751" t="s">
        <v>14</v>
      </c>
      <c r="K11751" t="str">
        <f>"2F5"</f>
        <v>2F5</v>
      </c>
      <c r="L11751" t="s">
        <v>15</v>
      </c>
    </row>
    <row r="11752" spans="1:12" x14ac:dyDescent="0.25">
      <c r="A11752" t="str">
        <f>"8601096141"</f>
        <v>8601096141</v>
      </c>
      <c r="B11752" t="str">
        <f t="shared" si="473"/>
        <v>89301000</v>
      </c>
      <c r="C11752" s="1">
        <v>44286</v>
      </c>
      <c r="D11752" s="1">
        <v>44289</v>
      </c>
      <c r="E11752">
        <v>1</v>
      </c>
      <c r="F11752" t="s">
        <v>79</v>
      </c>
      <c r="G11752" t="str">
        <f>"10-K06-00"</f>
        <v>10-K06-00</v>
      </c>
      <c r="H11752">
        <v>0.49530000000000002</v>
      </c>
      <c r="I11752" t="s">
        <v>4498</v>
      </c>
      <c r="J11752" t="s">
        <v>14</v>
      </c>
      <c r="K11752" t="str">
        <f>"4F7"</f>
        <v>4F7</v>
      </c>
      <c r="L11752" t="s">
        <v>15</v>
      </c>
    </row>
    <row r="11753" spans="1:12" x14ac:dyDescent="0.25">
      <c r="A11753" t="str">
        <f>"8601133266"</f>
        <v>8601133266</v>
      </c>
      <c r="B11753" t="str">
        <f t="shared" si="473"/>
        <v>89301000</v>
      </c>
      <c r="C11753" s="1">
        <v>44493</v>
      </c>
      <c r="D11753" s="1">
        <v>44501</v>
      </c>
      <c r="E11753">
        <v>3</v>
      </c>
      <c r="F11753" t="s">
        <v>32</v>
      </c>
      <c r="G11753" t="str">
        <f>"25-I02-02"</f>
        <v>25-I02-02</v>
      </c>
      <c r="H11753">
        <v>5.8459000000000003</v>
      </c>
      <c r="I11753" t="s">
        <v>7732</v>
      </c>
      <c r="J11753" t="s">
        <v>17</v>
      </c>
      <c r="K11753" t="str">
        <f>"5F6"</f>
        <v>5F6</v>
      </c>
      <c r="L11753" t="s">
        <v>15</v>
      </c>
    </row>
    <row r="11754" spans="1:12" x14ac:dyDescent="0.25">
      <c r="A11754" t="str">
        <f>"8601133266"</f>
        <v>8601133266</v>
      </c>
      <c r="B11754" t="str">
        <f t="shared" si="473"/>
        <v>89301000</v>
      </c>
      <c r="C11754" s="1">
        <v>44501</v>
      </c>
      <c r="D11754" s="1">
        <v>44512</v>
      </c>
      <c r="E11754">
        <v>1</v>
      </c>
      <c r="F11754" t="s">
        <v>109</v>
      </c>
      <c r="G11754" t="str">
        <f>"24-M06-02"</f>
        <v>24-M06-02</v>
      </c>
      <c r="H11754">
        <v>1.0233000000000001</v>
      </c>
      <c r="I11754" t="s">
        <v>7733</v>
      </c>
      <c r="J11754" t="s">
        <v>14</v>
      </c>
      <c r="K11754" t="str">
        <f>"2F1"</f>
        <v>2F1</v>
      </c>
      <c r="L11754" t="s">
        <v>15</v>
      </c>
    </row>
    <row r="11755" spans="1:12" x14ac:dyDescent="0.25">
      <c r="A11755" t="str">
        <f>"8601226249"</f>
        <v>8601226249</v>
      </c>
      <c r="B11755" t="str">
        <f t="shared" si="473"/>
        <v>89301000</v>
      </c>
      <c r="C11755" s="1">
        <v>44277</v>
      </c>
      <c r="D11755" s="1">
        <v>44306</v>
      </c>
      <c r="E11755">
        <v>4</v>
      </c>
      <c r="F11755" t="s">
        <v>78</v>
      </c>
      <c r="G11755" t="str">
        <f>"19-K05-02"</f>
        <v>19-K05-02</v>
      </c>
      <c r="H11755">
        <v>1.8835999999999999</v>
      </c>
      <c r="I11755" t="s">
        <v>168</v>
      </c>
      <c r="J11755" t="s">
        <v>27</v>
      </c>
      <c r="K11755" t="str">
        <f>"3F5"</f>
        <v>3F5</v>
      </c>
      <c r="L11755" t="s">
        <v>15</v>
      </c>
    </row>
    <row r="11756" spans="1:12" x14ac:dyDescent="0.25">
      <c r="A11756" t="str">
        <f>"8602155815"</f>
        <v>8602155815</v>
      </c>
      <c r="B11756" t="str">
        <f t="shared" si="473"/>
        <v>89301000</v>
      </c>
      <c r="C11756" s="1">
        <v>44541</v>
      </c>
      <c r="D11756" s="1">
        <v>44543</v>
      </c>
      <c r="E11756">
        <v>1</v>
      </c>
      <c r="F11756" t="s">
        <v>217</v>
      </c>
      <c r="G11756" t="str">
        <f>"04-K02-04"</f>
        <v>04-K02-04</v>
      </c>
      <c r="H11756">
        <v>0.82469999999999999</v>
      </c>
      <c r="I11756" t="s">
        <v>274</v>
      </c>
      <c r="J11756" t="s">
        <v>14</v>
      </c>
      <c r="K11756" t="str">
        <f>"1F1"</f>
        <v>1F1</v>
      </c>
      <c r="L11756" t="s">
        <v>15</v>
      </c>
    </row>
    <row r="11757" spans="1:12" x14ac:dyDescent="0.25">
      <c r="A11757" t="str">
        <f>"8603064910"</f>
        <v>8603064910</v>
      </c>
      <c r="B11757" t="str">
        <f t="shared" si="473"/>
        <v>89301000</v>
      </c>
      <c r="C11757" s="1">
        <v>44225</v>
      </c>
      <c r="D11757" s="1">
        <v>44228</v>
      </c>
      <c r="E11757">
        <v>1</v>
      </c>
      <c r="F11757" t="s">
        <v>16</v>
      </c>
      <c r="G11757" t="str">
        <f>"08-I04-03"</f>
        <v>08-I04-03</v>
      </c>
      <c r="H11757">
        <v>1.331</v>
      </c>
      <c r="J11757" t="s">
        <v>17</v>
      </c>
      <c r="K11757" t="str">
        <f>"5F6"</f>
        <v>5F6</v>
      </c>
      <c r="L11757" t="s">
        <v>15</v>
      </c>
    </row>
    <row r="11758" spans="1:12" x14ac:dyDescent="0.25">
      <c r="A11758" t="str">
        <f>"8603255848"</f>
        <v>8603255848</v>
      </c>
      <c r="B11758" t="str">
        <f t="shared" si="473"/>
        <v>89301000</v>
      </c>
      <c r="C11758" s="1">
        <v>44473</v>
      </c>
      <c r="D11758" s="1">
        <v>44480</v>
      </c>
      <c r="E11758">
        <v>1</v>
      </c>
      <c r="F11758" t="s">
        <v>1028</v>
      </c>
      <c r="G11758" t="str">
        <f>"04-K02-04"</f>
        <v>04-K02-04</v>
      </c>
      <c r="H11758">
        <v>0.82469999999999999</v>
      </c>
      <c r="J11758" t="s">
        <v>14</v>
      </c>
      <c r="K11758" t="str">
        <f>"2F5"</f>
        <v>2F5</v>
      </c>
      <c r="L11758" t="s">
        <v>15</v>
      </c>
    </row>
    <row r="11759" spans="1:12" x14ac:dyDescent="0.25">
      <c r="A11759" t="str">
        <f>"8604145814"</f>
        <v>8604145814</v>
      </c>
      <c r="B11759" t="str">
        <f t="shared" si="473"/>
        <v>89301000</v>
      </c>
      <c r="C11759" s="1">
        <v>44277</v>
      </c>
      <c r="D11759" s="1">
        <v>44291</v>
      </c>
      <c r="E11759">
        <v>1</v>
      </c>
      <c r="F11759" t="s">
        <v>7734</v>
      </c>
      <c r="G11759" t="str">
        <f>"18-K02-02"</f>
        <v>18-K02-02</v>
      </c>
      <c r="H11759">
        <v>1.2563</v>
      </c>
      <c r="I11759" t="s">
        <v>7735</v>
      </c>
      <c r="J11759" t="s">
        <v>14</v>
      </c>
      <c r="K11759" t="str">
        <f>"4F4"</f>
        <v>4F4</v>
      </c>
      <c r="L11759" t="s">
        <v>15</v>
      </c>
    </row>
    <row r="11760" spans="1:12" x14ac:dyDescent="0.25">
      <c r="A11760" t="str">
        <f>"8605015617"</f>
        <v>8605015617</v>
      </c>
      <c r="B11760" t="str">
        <f t="shared" si="473"/>
        <v>89301000</v>
      </c>
      <c r="C11760" s="1">
        <v>44201</v>
      </c>
      <c r="D11760" s="1">
        <v>44204</v>
      </c>
      <c r="E11760">
        <v>1</v>
      </c>
      <c r="F11760" t="s">
        <v>43</v>
      </c>
      <c r="G11760" t="str">
        <f>"06-I18-05"</f>
        <v>06-I18-05</v>
      </c>
      <c r="H11760">
        <v>0.85550000000000004</v>
      </c>
      <c r="I11760" t="s">
        <v>6390</v>
      </c>
      <c r="J11760" t="s">
        <v>24</v>
      </c>
      <c r="K11760" t="str">
        <f>"5F1"</f>
        <v>5F1</v>
      </c>
      <c r="L11760" t="s">
        <v>15</v>
      </c>
    </row>
    <row r="11761" spans="1:12" x14ac:dyDescent="0.25">
      <c r="A11761" t="str">
        <f>"8605095752"</f>
        <v>8605095752</v>
      </c>
      <c r="B11761" t="str">
        <f t="shared" si="473"/>
        <v>89301000</v>
      </c>
      <c r="C11761" s="1">
        <v>44408</v>
      </c>
      <c r="D11761" s="1">
        <v>44410</v>
      </c>
      <c r="E11761">
        <v>1</v>
      </c>
      <c r="F11761" t="s">
        <v>287</v>
      </c>
      <c r="G11761" t="str">
        <f>"01-K16-06"</f>
        <v>01-K16-06</v>
      </c>
      <c r="H11761">
        <v>0.26779999999999998</v>
      </c>
      <c r="I11761" t="s">
        <v>7736</v>
      </c>
      <c r="J11761" t="s">
        <v>14</v>
      </c>
      <c r="K11761" t="str">
        <f>"5F3"</f>
        <v>5F3</v>
      </c>
      <c r="L11761" t="s">
        <v>15</v>
      </c>
    </row>
    <row r="11762" spans="1:12" x14ac:dyDescent="0.25">
      <c r="A11762" t="str">
        <f>"8606045811"</f>
        <v>8606045811</v>
      </c>
      <c r="B11762" t="str">
        <f t="shared" si="473"/>
        <v>89301000</v>
      </c>
      <c r="C11762" s="1">
        <v>44330</v>
      </c>
      <c r="D11762" s="1">
        <v>44333</v>
      </c>
      <c r="E11762">
        <v>1</v>
      </c>
      <c r="F11762" t="s">
        <v>34</v>
      </c>
      <c r="G11762" t="str">
        <f>"08-I19-03"</f>
        <v>08-I19-03</v>
      </c>
      <c r="H11762">
        <v>0.61250000000000004</v>
      </c>
      <c r="I11762" t="s">
        <v>1206</v>
      </c>
      <c r="J11762" t="s">
        <v>17</v>
      </c>
      <c r="K11762" t="str">
        <f>"5F3"</f>
        <v>5F3</v>
      </c>
      <c r="L11762" t="s">
        <v>15</v>
      </c>
    </row>
    <row r="11763" spans="1:12" x14ac:dyDescent="0.25">
      <c r="A11763" t="str">
        <f>"8606045833"</f>
        <v>8606045833</v>
      </c>
      <c r="B11763" t="str">
        <f t="shared" si="473"/>
        <v>89301000</v>
      </c>
      <c r="C11763" s="1">
        <v>44447</v>
      </c>
      <c r="D11763" s="1">
        <v>44449</v>
      </c>
      <c r="E11763">
        <v>1</v>
      </c>
      <c r="F11763" t="s">
        <v>3577</v>
      </c>
      <c r="G11763" t="str">
        <f>"03-I22-03"</f>
        <v>03-I22-03</v>
      </c>
      <c r="H11763">
        <v>0.49049999999999999</v>
      </c>
      <c r="I11763" t="s">
        <v>7737</v>
      </c>
      <c r="J11763" t="s">
        <v>14</v>
      </c>
      <c r="K11763" t="str">
        <f>"7F1"</f>
        <v>7F1</v>
      </c>
      <c r="L11763" t="s">
        <v>15</v>
      </c>
    </row>
    <row r="11764" spans="1:12" x14ac:dyDescent="0.25">
      <c r="A11764" t="str">
        <f>"8606045833"</f>
        <v>8606045833</v>
      </c>
      <c r="B11764" t="str">
        <f t="shared" si="473"/>
        <v>89301000</v>
      </c>
      <c r="C11764" s="1">
        <v>44260</v>
      </c>
      <c r="D11764" s="1">
        <v>44293</v>
      </c>
      <c r="E11764">
        <v>1</v>
      </c>
      <c r="F11764" t="s">
        <v>217</v>
      </c>
      <c r="G11764" t="str">
        <f>"00-M02-04"</f>
        <v>00-M02-04</v>
      </c>
      <c r="H11764">
        <v>12.071199999999999</v>
      </c>
      <c r="I11764" t="s">
        <v>7738</v>
      </c>
      <c r="J11764" t="s">
        <v>14</v>
      </c>
      <c r="K11764" t="str">
        <f>"1F1"</f>
        <v>1F1</v>
      </c>
      <c r="L11764" t="s">
        <v>15</v>
      </c>
    </row>
    <row r="11765" spans="1:12" x14ac:dyDescent="0.25">
      <c r="A11765" t="str">
        <f>"8606155811"</f>
        <v>8606155811</v>
      </c>
      <c r="B11765" t="str">
        <f t="shared" si="473"/>
        <v>89301000</v>
      </c>
      <c r="C11765" s="1">
        <v>44215</v>
      </c>
      <c r="D11765" s="1">
        <v>44235</v>
      </c>
      <c r="E11765">
        <v>1</v>
      </c>
      <c r="F11765" t="s">
        <v>197</v>
      </c>
      <c r="G11765" t="str">
        <f>"03-I18-01"</f>
        <v>03-I18-01</v>
      </c>
      <c r="H11765">
        <v>2.3374000000000001</v>
      </c>
      <c r="I11765" t="s">
        <v>7739</v>
      </c>
      <c r="J11765" t="s">
        <v>24</v>
      </c>
      <c r="K11765" t="str">
        <f>"5F1"</f>
        <v>5F1</v>
      </c>
      <c r="L11765" t="s">
        <v>15</v>
      </c>
    </row>
    <row r="11766" spans="1:12" x14ac:dyDescent="0.25">
      <c r="A11766" t="str">
        <f>"8606195774"</f>
        <v>8606195774</v>
      </c>
      <c r="B11766" t="str">
        <f t="shared" si="473"/>
        <v>89301000</v>
      </c>
      <c r="C11766" s="1">
        <v>44524</v>
      </c>
      <c r="D11766" s="1">
        <v>44525</v>
      </c>
      <c r="E11766">
        <v>1</v>
      </c>
      <c r="F11766" t="s">
        <v>243</v>
      </c>
      <c r="G11766" t="str">
        <f>"08-I18-01"</f>
        <v>08-I18-01</v>
      </c>
      <c r="H11766">
        <v>1.0421</v>
      </c>
      <c r="I11766" t="s">
        <v>381</v>
      </c>
      <c r="J11766" t="s">
        <v>17</v>
      </c>
      <c r="K11766" t="str">
        <f>"5F3"</f>
        <v>5F3</v>
      </c>
      <c r="L11766" t="s">
        <v>15</v>
      </c>
    </row>
    <row r="11767" spans="1:12" x14ac:dyDescent="0.25">
      <c r="A11767" t="str">
        <f>"8606274941"</f>
        <v>8606274941</v>
      </c>
      <c r="B11767" t="str">
        <f t="shared" si="473"/>
        <v>89301000</v>
      </c>
      <c r="C11767" s="1">
        <v>44261</v>
      </c>
      <c r="D11767" s="1">
        <v>44263</v>
      </c>
      <c r="E11767">
        <v>1</v>
      </c>
      <c r="F11767" t="s">
        <v>2004</v>
      </c>
      <c r="G11767" t="str">
        <f>"05-M06-06"</f>
        <v>05-M06-06</v>
      </c>
      <c r="H11767">
        <v>1.7652000000000001</v>
      </c>
      <c r="I11767" t="s">
        <v>1892</v>
      </c>
      <c r="J11767" t="s">
        <v>17</v>
      </c>
      <c r="K11767" t="str">
        <f>"1F1"</f>
        <v>1F1</v>
      </c>
      <c r="L11767" t="s">
        <v>15</v>
      </c>
    </row>
    <row r="11768" spans="1:12" x14ac:dyDescent="0.25">
      <c r="A11768" t="str">
        <f>"8606275777"</f>
        <v>8606275777</v>
      </c>
      <c r="B11768" t="str">
        <f t="shared" si="473"/>
        <v>89301000</v>
      </c>
      <c r="C11768" s="1">
        <v>44259</v>
      </c>
      <c r="D11768" s="1">
        <v>44265</v>
      </c>
      <c r="E11768">
        <v>1</v>
      </c>
      <c r="F11768" t="s">
        <v>4557</v>
      </c>
      <c r="G11768" t="str">
        <f>"20-K02-03"</f>
        <v>20-K02-03</v>
      </c>
      <c r="H11768">
        <v>0.57279999999999998</v>
      </c>
      <c r="I11768" t="s">
        <v>7740</v>
      </c>
      <c r="J11768" t="s">
        <v>14</v>
      </c>
      <c r="K11768" t="str">
        <f>"3F5"</f>
        <v>3F5</v>
      </c>
      <c r="L11768" t="s">
        <v>15</v>
      </c>
    </row>
    <row r="11769" spans="1:12" x14ac:dyDescent="0.25">
      <c r="A11769" t="str">
        <f>"8607035811"</f>
        <v>8607035811</v>
      </c>
      <c r="B11769" t="str">
        <f t="shared" si="473"/>
        <v>89301000</v>
      </c>
      <c r="C11769" s="1">
        <v>44203</v>
      </c>
      <c r="D11769" s="1">
        <v>44204</v>
      </c>
      <c r="E11769">
        <v>1</v>
      </c>
      <c r="F11769" t="s">
        <v>194</v>
      </c>
      <c r="G11769" t="str">
        <f>"01-K07-03"</f>
        <v>01-K07-03</v>
      </c>
      <c r="H11769">
        <v>0.4642</v>
      </c>
      <c r="J11769" t="s">
        <v>14</v>
      </c>
      <c r="K11769" t="str">
        <f>"2F9"</f>
        <v>2F9</v>
      </c>
      <c r="L11769" t="s">
        <v>15</v>
      </c>
    </row>
    <row r="11770" spans="1:12" x14ac:dyDescent="0.25">
      <c r="A11770" t="str">
        <f>"8607178492"</f>
        <v>8607178492</v>
      </c>
      <c r="B11770" t="str">
        <f t="shared" si="473"/>
        <v>89301000</v>
      </c>
      <c r="C11770" s="1">
        <v>44304</v>
      </c>
      <c r="D11770" s="1">
        <v>44311</v>
      </c>
      <c r="E11770">
        <v>1</v>
      </c>
      <c r="F11770" t="s">
        <v>217</v>
      </c>
      <c r="G11770" t="str">
        <f>"04-K02-04"</f>
        <v>04-K02-04</v>
      </c>
      <c r="H11770">
        <v>0.82469999999999999</v>
      </c>
      <c r="I11770" t="s">
        <v>274</v>
      </c>
      <c r="J11770" t="s">
        <v>14</v>
      </c>
      <c r="K11770" t="str">
        <f>"1F1"</f>
        <v>1F1</v>
      </c>
      <c r="L11770" t="s">
        <v>15</v>
      </c>
    </row>
    <row r="11771" spans="1:12" x14ac:dyDescent="0.25">
      <c r="A11771" t="str">
        <f>"8607265788"</f>
        <v>8607265788</v>
      </c>
      <c r="B11771" t="str">
        <f t="shared" si="473"/>
        <v>89301000</v>
      </c>
      <c r="C11771" s="1">
        <v>44385</v>
      </c>
      <c r="D11771" s="1">
        <v>44387</v>
      </c>
      <c r="E11771">
        <v>1</v>
      </c>
      <c r="F11771" t="s">
        <v>300</v>
      </c>
      <c r="G11771" t="str">
        <f>"11-M05-02"</f>
        <v>11-M05-02</v>
      </c>
      <c r="H11771">
        <v>0.65690000000000004</v>
      </c>
      <c r="I11771" t="s">
        <v>7741</v>
      </c>
      <c r="J11771" t="s">
        <v>17</v>
      </c>
      <c r="K11771" t="str">
        <f>"7F6"</f>
        <v>7F6</v>
      </c>
      <c r="L11771" t="s">
        <v>15</v>
      </c>
    </row>
    <row r="11772" spans="1:12" x14ac:dyDescent="0.25">
      <c r="A11772" t="str">
        <f>"8607265788"</f>
        <v>8607265788</v>
      </c>
      <c r="B11772" t="str">
        <f t="shared" si="473"/>
        <v>89301000</v>
      </c>
      <c r="C11772" s="1">
        <v>44417</v>
      </c>
      <c r="D11772" s="1">
        <v>44422</v>
      </c>
      <c r="E11772">
        <v>1</v>
      </c>
      <c r="F11772" t="s">
        <v>300</v>
      </c>
      <c r="G11772" t="str">
        <f>"11-M03-02"</f>
        <v>11-M03-02</v>
      </c>
      <c r="H11772">
        <v>1.2824</v>
      </c>
      <c r="I11772" t="s">
        <v>7742</v>
      </c>
      <c r="J11772" t="s">
        <v>17</v>
      </c>
      <c r="K11772" t="str">
        <f>"7F6"</f>
        <v>7F6</v>
      </c>
      <c r="L11772" t="s">
        <v>15</v>
      </c>
    </row>
    <row r="11773" spans="1:12" x14ac:dyDescent="0.25">
      <c r="A11773" t="str">
        <f>"8607285698"</f>
        <v>8607285698</v>
      </c>
      <c r="B11773" t="str">
        <f t="shared" si="473"/>
        <v>89301000</v>
      </c>
      <c r="C11773" s="1">
        <v>44420</v>
      </c>
      <c r="D11773" s="1">
        <v>44422</v>
      </c>
      <c r="E11773">
        <v>1</v>
      </c>
      <c r="F11773" t="s">
        <v>798</v>
      </c>
      <c r="G11773" t="str">
        <f>"08-I18-02"</f>
        <v>08-I18-02</v>
      </c>
      <c r="H11773">
        <v>0.65769999999999995</v>
      </c>
      <c r="I11773" t="s">
        <v>381</v>
      </c>
      <c r="J11773" t="s">
        <v>17</v>
      </c>
      <c r="K11773" t="str">
        <f>"5F3"</f>
        <v>5F3</v>
      </c>
      <c r="L11773" t="s">
        <v>15</v>
      </c>
    </row>
    <row r="11774" spans="1:12" x14ac:dyDescent="0.25">
      <c r="A11774" t="str">
        <f>"8609085804"</f>
        <v>8609085804</v>
      </c>
      <c r="B11774" t="str">
        <f t="shared" si="473"/>
        <v>89301000</v>
      </c>
      <c r="C11774" s="1">
        <v>44461</v>
      </c>
      <c r="D11774" s="1">
        <v>44466</v>
      </c>
      <c r="E11774">
        <v>1</v>
      </c>
      <c r="F11774" t="s">
        <v>201</v>
      </c>
      <c r="G11774" t="str">
        <f>"04-K02-04"</f>
        <v>04-K02-04</v>
      </c>
      <c r="H11774">
        <v>0.82469999999999999</v>
      </c>
      <c r="J11774" t="s">
        <v>14</v>
      </c>
      <c r="K11774" t="str">
        <f>"2F5"</f>
        <v>2F5</v>
      </c>
      <c r="L11774" t="s">
        <v>15</v>
      </c>
    </row>
    <row r="11775" spans="1:12" x14ac:dyDescent="0.25">
      <c r="A11775" t="str">
        <f>"8609265830"</f>
        <v>8609265830</v>
      </c>
      <c r="B11775" t="str">
        <f t="shared" si="473"/>
        <v>89301000</v>
      </c>
      <c r="C11775" s="1">
        <v>44491</v>
      </c>
      <c r="D11775" s="1">
        <v>44494</v>
      </c>
      <c r="E11775">
        <v>1</v>
      </c>
      <c r="F11775" t="s">
        <v>1193</v>
      </c>
      <c r="G11775" t="str">
        <f>"16-K01-02"</f>
        <v>16-K01-02</v>
      </c>
      <c r="H11775">
        <v>0.50180000000000002</v>
      </c>
      <c r="I11775" t="s">
        <v>500</v>
      </c>
      <c r="J11775" t="s">
        <v>14</v>
      </c>
      <c r="K11775" t="str">
        <f>"6F5"</f>
        <v>6F5</v>
      </c>
      <c r="L11775" t="s">
        <v>15</v>
      </c>
    </row>
    <row r="11776" spans="1:12" x14ac:dyDescent="0.25">
      <c r="A11776" t="str">
        <f>"8609275796"</f>
        <v>8609275796</v>
      </c>
      <c r="B11776" t="str">
        <f t="shared" si="473"/>
        <v>89301000</v>
      </c>
      <c r="C11776" s="1">
        <v>44516</v>
      </c>
      <c r="D11776" s="1">
        <v>44525</v>
      </c>
      <c r="E11776">
        <v>1</v>
      </c>
      <c r="F11776" t="s">
        <v>217</v>
      </c>
      <c r="G11776" t="str">
        <f>"04-K02-04"</f>
        <v>04-K02-04</v>
      </c>
      <c r="H11776">
        <v>0.82469999999999999</v>
      </c>
      <c r="I11776" t="s">
        <v>274</v>
      </c>
      <c r="J11776" t="s">
        <v>14</v>
      </c>
      <c r="K11776" t="str">
        <f>"1F1"</f>
        <v>1F1</v>
      </c>
      <c r="L11776" t="s">
        <v>15</v>
      </c>
    </row>
    <row r="11777" spans="1:12" x14ac:dyDescent="0.25">
      <c r="A11777" t="str">
        <f>"8610085814"</f>
        <v>8610085814</v>
      </c>
      <c r="B11777" t="str">
        <f t="shared" si="473"/>
        <v>89301000</v>
      </c>
      <c r="C11777" s="1">
        <v>44489</v>
      </c>
      <c r="D11777" s="1">
        <v>44493</v>
      </c>
      <c r="E11777">
        <v>1</v>
      </c>
      <c r="F11777" t="s">
        <v>457</v>
      </c>
      <c r="G11777" t="str">
        <f>"08-I16-04"</f>
        <v>08-I16-04</v>
      </c>
      <c r="H11777">
        <v>0.92159999999999997</v>
      </c>
      <c r="I11777" t="s">
        <v>458</v>
      </c>
      <c r="J11777" t="s">
        <v>17</v>
      </c>
      <c r="K11777" t="str">
        <f>"5F3"</f>
        <v>5F3</v>
      </c>
      <c r="L11777" t="s">
        <v>15</v>
      </c>
    </row>
    <row r="11778" spans="1:12" x14ac:dyDescent="0.25">
      <c r="A11778" t="str">
        <f>"8610085814"</f>
        <v>8610085814</v>
      </c>
      <c r="B11778" t="str">
        <f t="shared" si="473"/>
        <v>89301000</v>
      </c>
      <c r="C11778" s="1">
        <v>44208</v>
      </c>
      <c r="D11778" s="1">
        <v>44215</v>
      </c>
      <c r="E11778">
        <v>1</v>
      </c>
      <c r="F11778" t="s">
        <v>7433</v>
      </c>
      <c r="G11778" t="str">
        <f>"10-K05-02"</f>
        <v>10-K05-02</v>
      </c>
      <c r="H11778">
        <v>0.53759999999999997</v>
      </c>
      <c r="I11778" t="s">
        <v>785</v>
      </c>
      <c r="J11778" t="s">
        <v>14</v>
      </c>
      <c r="K11778" t="str">
        <f>"1F1"</f>
        <v>1F1</v>
      </c>
      <c r="L11778" t="s">
        <v>15</v>
      </c>
    </row>
    <row r="11779" spans="1:12" x14ac:dyDescent="0.25">
      <c r="A11779" t="str">
        <f>"8610145379"</f>
        <v>8610145379</v>
      </c>
      <c r="B11779" t="str">
        <f t="shared" si="473"/>
        <v>89301000</v>
      </c>
      <c r="C11779" s="1">
        <v>44363</v>
      </c>
      <c r="D11779" s="1">
        <v>44375</v>
      </c>
      <c r="E11779">
        <v>1</v>
      </c>
      <c r="F11779" t="s">
        <v>7743</v>
      </c>
      <c r="G11779" t="str">
        <f>"20-K04-02"</f>
        <v>20-K04-02</v>
      </c>
      <c r="H11779">
        <v>1.4984</v>
      </c>
      <c r="I11779" t="s">
        <v>7744</v>
      </c>
      <c r="J11779" t="s">
        <v>14</v>
      </c>
      <c r="K11779" t="str">
        <f>"3F5"</f>
        <v>3F5</v>
      </c>
      <c r="L11779" t="s">
        <v>15</v>
      </c>
    </row>
    <row r="11780" spans="1:12" x14ac:dyDescent="0.25">
      <c r="A11780" t="str">
        <f>"8610175783"</f>
        <v>8610175783</v>
      </c>
      <c r="B11780" t="str">
        <f t="shared" si="473"/>
        <v>89301000</v>
      </c>
      <c r="C11780" s="1">
        <v>44451</v>
      </c>
      <c r="D11780" s="1">
        <v>44452</v>
      </c>
      <c r="E11780">
        <v>1</v>
      </c>
      <c r="F11780" t="s">
        <v>34</v>
      </c>
      <c r="G11780" t="str">
        <f>"08-I19-03"</f>
        <v>08-I19-03</v>
      </c>
      <c r="H11780">
        <v>0.61250000000000004</v>
      </c>
      <c r="I11780" t="s">
        <v>381</v>
      </c>
      <c r="J11780" t="s">
        <v>17</v>
      </c>
      <c r="K11780" t="str">
        <f>"5F3"</f>
        <v>5F3</v>
      </c>
      <c r="L11780" t="s">
        <v>15</v>
      </c>
    </row>
    <row r="11781" spans="1:12" x14ac:dyDescent="0.25">
      <c r="A11781" t="str">
        <f>"8610185793"</f>
        <v>8610185793</v>
      </c>
      <c r="B11781" t="str">
        <f t="shared" si="473"/>
        <v>89301000</v>
      </c>
      <c r="C11781" s="1">
        <v>44418</v>
      </c>
      <c r="D11781" s="1">
        <v>44419</v>
      </c>
      <c r="E11781">
        <v>1</v>
      </c>
      <c r="F11781" t="s">
        <v>41</v>
      </c>
      <c r="G11781" t="str">
        <f>"01-D01-03"</f>
        <v>01-D01-03</v>
      </c>
      <c r="H11781">
        <v>0.158</v>
      </c>
      <c r="J11781" t="s">
        <v>14</v>
      </c>
      <c r="K11781" t="str">
        <f>"2F5"</f>
        <v>2F5</v>
      </c>
      <c r="L11781" t="s">
        <v>15</v>
      </c>
    </row>
    <row r="11782" spans="1:12" x14ac:dyDescent="0.25">
      <c r="A11782" t="str">
        <f>"8611056256"</f>
        <v>8611056256</v>
      </c>
      <c r="B11782" t="str">
        <f t="shared" si="473"/>
        <v>89301000</v>
      </c>
      <c r="C11782" s="1">
        <v>44365</v>
      </c>
      <c r="D11782" s="1">
        <v>44366</v>
      </c>
      <c r="E11782">
        <v>1</v>
      </c>
      <c r="F11782" t="s">
        <v>2445</v>
      </c>
      <c r="G11782" t="str">
        <f>"04-K08-04"</f>
        <v>04-K08-04</v>
      </c>
      <c r="H11782">
        <v>0.92730000000000001</v>
      </c>
      <c r="I11782" t="s">
        <v>7745</v>
      </c>
      <c r="J11782" t="s">
        <v>14</v>
      </c>
      <c r="K11782" t="str">
        <f>"2F5"</f>
        <v>2F5</v>
      </c>
      <c r="L11782" t="s">
        <v>15</v>
      </c>
    </row>
    <row r="11783" spans="1:12" x14ac:dyDescent="0.25">
      <c r="A11783" t="str">
        <f>"8611056256"</f>
        <v>8611056256</v>
      </c>
      <c r="B11783" t="str">
        <f t="shared" si="473"/>
        <v>89301000</v>
      </c>
      <c r="C11783" s="1">
        <v>44306</v>
      </c>
      <c r="D11783" s="1">
        <v>44307</v>
      </c>
      <c r="E11783">
        <v>1</v>
      </c>
      <c r="F11783" t="s">
        <v>2445</v>
      </c>
      <c r="G11783" t="str">
        <f>"04-K08-04"</f>
        <v>04-K08-04</v>
      </c>
      <c r="H11783">
        <v>0.92730000000000001</v>
      </c>
      <c r="I11783" t="s">
        <v>7746</v>
      </c>
      <c r="J11783" t="s">
        <v>14</v>
      </c>
      <c r="K11783" t="str">
        <f>"2F5"</f>
        <v>2F5</v>
      </c>
      <c r="L11783" t="s">
        <v>15</v>
      </c>
    </row>
    <row r="11784" spans="1:12" x14ac:dyDescent="0.25">
      <c r="A11784" t="str">
        <f>"8611165068"</f>
        <v>8611165068</v>
      </c>
      <c r="B11784" t="str">
        <f t="shared" si="473"/>
        <v>89301000</v>
      </c>
      <c r="C11784" s="1">
        <v>44373</v>
      </c>
      <c r="D11784" s="1">
        <v>44384</v>
      </c>
      <c r="E11784">
        <v>1</v>
      </c>
      <c r="F11784" t="s">
        <v>4557</v>
      </c>
      <c r="G11784" t="str">
        <f>"20-K04-02"</f>
        <v>20-K04-02</v>
      </c>
      <c r="H11784">
        <v>1.4984</v>
      </c>
      <c r="I11784" t="s">
        <v>7747</v>
      </c>
      <c r="J11784" t="s">
        <v>14</v>
      </c>
      <c r="K11784" t="str">
        <f>"3F5"</f>
        <v>3F5</v>
      </c>
      <c r="L11784" t="s">
        <v>15</v>
      </c>
    </row>
    <row r="11785" spans="1:12" x14ac:dyDescent="0.25">
      <c r="A11785" t="str">
        <f>"8611194911"</f>
        <v>8611194911</v>
      </c>
      <c r="B11785" t="str">
        <f t="shared" si="473"/>
        <v>89301000</v>
      </c>
      <c r="C11785" s="1">
        <v>44267</v>
      </c>
      <c r="D11785" s="1">
        <v>44270</v>
      </c>
      <c r="E11785">
        <v>1</v>
      </c>
      <c r="F11785" t="s">
        <v>41</v>
      </c>
      <c r="G11785" t="str">
        <f>"01-D01-03"</f>
        <v>01-D01-03</v>
      </c>
      <c r="H11785">
        <v>0.2054</v>
      </c>
      <c r="I11785" t="s">
        <v>7748</v>
      </c>
      <c r="J11785" t="s">
        <v>14</v>
      </c>
      <c r="K11785" t="str">
        <f>"2F5"</f>
        <v>2F5</v>
      </c>
      <c r="L11785" t="s">
        <v>15</v>
      </c>
    </row>
    <row r="11786" spans="1:12" x14ac:dyDescent="0.25">
      <c r="A11786" t="str">
        <f>"8611680517"</f>
        <v>8611680517</v>
      </c>
      <c r="B11786" t="str">
        <f t="shared" si="473"/>
        <v>89301000</v>
      </c>
      <c r="C11786" s="1">
        <v>44197</v>
      </c>
      <c r="D11786" s="1">
        <v>44200</v>
      </c>
      <c r="E11786">
        <v>1</v>
      </c>
      <c r="F11786" t="s">
        <v>1132</v>
      </c>
      <c r="G11786" t="str">
        <f>"23-K04-02"</f>
        <v>23-K04-02</v>
      </c>
      <c r="H11786">
        <v>0.38690000000000002</v>
      </c>
      <c r="J11786" t="s">
        <v>14</v>
      </c>
      <c r="K11786" t="str">
        <f>"7F1"</f>
        <v>7F1</v>
      </c>
      <c r="L11786" t="s">
        <v>286</v>
      </c>
    </row>
    <row r="11787" spans="1:12" x14ac:dyDescent="0.25">
      <c r="A11787" t="str">
        <f>"8612096207"</f>
        <v>8612096207</v>
      </c>
      <c r="B11787" t="str">
        <f t="shared" si="473"/>
        <v>89301000</v>
      </c>
      <c r="C11787" s="1">
        <v>44390</v>
      </c>
      <c r="D11787" s="1">
        <v>44395</v>
      </c>
      <c r="E11787">
        <v>1</v>
      </c>
      <c r="F11787" t="s">
        <v>600</v>
      </c>
      <c r="G11787" t="str">
        <f>"01-I06-02"</f>
        <v>01-I06-02</v>
      </c>
      <c r="H11787">
        <v>5.1687000000000003</v>
      </c>
      <c r="I11787" t="s">
        <v>7749</v>
      </c>
      <c r="J11787" t="s">
        <v>17</v>
      </c>
      <c r="K11787" t="str">
        <f>"5F6"</f>
        <v>5F6</v>
      </c>
      <c r="L11787" t="s">
        <v>15</v>
      </c>
    </row>
    <row r="11788" spans="1:12" x14ac:dyDescent="0.25">
      <c r="A11788" t="str">
        <f>"8612114907"</f>
        <v>8612114907</v>
      </c>
      <c r="B11788" t="str">
        <f t="shared" si="473"/>
        <v>89301000</v>
      </c>
      <c r="C11788" s="1">
        <v>44337</v>
      </c>
      <c r="D11788" s="1">
        <v>44343</v>
      </c>
      <c r="E11788">
        <v>1</v>
      </c>
      <c r="F11788" t="s">
        <v>7615</v>
      </c>
      <c r="G11788" t="str">
        <f>"20-K03-03"</f>
        <v>20-K03-03</v>
      </c>
      <c r="H11788">
        <v>1.0109999999999999</v>
      </c>
      <c r="I11788" t="s">
        <v>7750</v>
      </c>
      <c r="J11788" t="s">
        <v>14</v>
      </c>
      <c r="K11788" t="str">
        <f>"3F5"</f>
        <v>3F5</v>
      </c>
      <c r="L11788" t="s">
        <v>15</v>
      </c>
    </row>
    <row r="11789" spans="1:12" x14ac:dyDescent="0.25">
      <c r="A11789" t="str">
        <f>"8612125786"</f>
        <v>8612125786</v>
      </c>
      <c r="B11789" t="str">
        <f t="shared" si="473"/>
        <v>89301000</v>
      </c>
      <c r="C11789" s="1">
        <v>44509</v>
      </c>
      <c r="D11789" s="1">
        <v>44511</v>
      </c>
      <c r="E11789">
        <v>1</v>
      </c>
      <c r="F11789" t="s">
        <v>3424</v>
      </c>
      <c r="G11789" t="str">
        <f>"08-I17-02"</f>
        <v>08-I17-02</v>
      </c>
      <c r="H11789">
        <v>1.085</v>
      </c>
      <c r="I11789" t="s">
        <v>7751</v>
      </c>
      <c r="J11789" t="s">
        <v>14</v>
      </c>
      <c r="K11789" t="str">
        <f>"5F3"</f>
        <v>5F3</v>
      </c>
      <c r="L11789" t="s">
        <v>15</v>
      </c>
    </row>
    <row r="11790" spans="1:12" x14ac:dyDescent="0.25">
      <c r="A11790" t="str">
        <f>"8612134938"</f>
        <v>8612134938</v>
      </c>
      <c r="B11790" t="str">
        <f t="shared" si="473"/>
        <v>89301000</v>
      </c>
      <c r="C11790" s="1">
        <v>44413</v>
      </c>
      <c r="D11790" s="1">
        <v>44414</v>
      </c>
      <c r="E11790">
        <v>1</v>
      </c>
      <c r="F11790" t="s">
        <v>41</v>
      </c>
      <c r="G11790" t="str">
        <f>"01-D01-03"</f>
        <v>01-D01-03</v>
      </c>
      <c r="H11790">
        <v>0.158</v>
      </c>
      <c r="I11790" t="s">
        <v>402</v>
      </c>
      <c r="J11790" t="s">
        <v>14</v>
      </c>
      <c r="K11790" t="str">
        <f>"2F5"</f>
        <v>2F5</v>
      </c>
      <c r="L11790" t="s">
        <v>15</v>
      </c>
    </row>
    <row r="11791" spans="1:12" x14ac:dyDescent="0.25">
      <c r="A11791" t="str">
        <f>"8612165793"</f>
        <v>8612165793</v>
      </c>
      <c r="B11791" t="str">
        <f t="shared" si="473"/>
        <v>89301000</v>
      </c>
      <c r="C11791" s="1">
        <v>44227</v>
      </c>
      <c r="D11791" s="1">
        <v>44232</v>
      </c>
      <c r="E11791">
        <v>1</v>
      </c>
      <c r="F11791" t="s">
        <v>722</v>
      </c>
      <c r="G11791" t="str">
        <f>"03-K13-02"</f>
        <v>03-K13-02</v>
      </c>
      <c r="H11791">
        <v>0.30640000000000001</v>
      </c>
      <c r="I11791" t="s">
        <v>7752</v>
      </c>
      <c r="J11791" t="s">
        <v>14</v>
      </c>
      <c r="K11791" t="str">
        <f>"7F1"</f>
        <v>7F1</v>
      </c>
      <c r="L11791" t="s">
        <v>15</v>
      </c>
    </row>
    <row r="11792" spans="1:12" x14ac:dyDescent="0.25">
      <c r="A11792" t="str">
        <f>"8612204293"</f>
        <v>8612204293</v>
      </c>
      <c r="B11792" t="str">
        <f t="shared" si="473"/>
        <v>89301000</v>
      </c>
      <c r="C11792" s="1">
        <v>44376</v>
      </c>
      <c r="D11792" s="1">
        <v>44377</v>
      </c>
      <c r="E11792">
        <v>1</v>
      </c>
      <c r="F11792" t="s">
        <v>41</v>
      </c>
      <c r="G11792" t="str">
        <f>"01-D01-03"</f>
        <v>01-D01-03</v>
      </c>
      <c r="H11792">
        <v>0.158</v>
      </c>
      <c r="I11792" t="s">
        <v>7753</v>
      </c>
      <c r="J11792" t="s">
        <v>14</v>
      </c>
      <c r="K11792" t="str">
        <f>"2F5"</f>
        <v>2F5</v>
      </c>
      <c r="L11792" t="s">
        <v>15</v>
      </c>
    </row>
    <row r="11793" spans="1:12" x14ac:dyDescent="0.25">
      <c r="A11793" t="str">
        <f>"8651104660"</f>
        <v>8651104660</v>
      </c>
      <c r="B11793" t="str">
        <f t="shared" si="473"/>
        <v>89301000</v>
      </c>
      <c r="C11793" s="1">
        <v>44535</v>
      </c>
      <c r="D11793" s="1">
        <v>44540</v>
      </c>
      <c r="E11793">
        <v>1</v>
      </c>
      <c r="F11793" t="s">
        <v>61</v>
      </c>
      <c r="G11793" t="str">
        <f>"14-I01-05"</f>
        <v>14-I01-05</v>
      </c>
      <c r="H11793">
        <v>0.80030000000000001</v>
      </c>
      <c r="I11793" t="s">
        <v>7292</v>
      </c>
      <c r="J11793" t="s">
        <v>59</v>
      </c>
      <c r="K11793" t="str">
        <f>"6F3"</f>
        <v>6F3</v>
      </c>
      <c r="L11793" t="s">
        <v>15</v>
      </c>
    </row>
    <row r="11794" spans="1:12" x14ac:dyDescent="0.25">
      <c r="A11794" t="str">
        <f>"8651104913"</f>
        <v>8651104913</v>
      </c>
      <c r="B11794" t="str">
        <f t="shared" si="473"/>
        <v>89301000</v>
      </c>
      <c r="C11794" s="1">
        <v>44250</v>
      </c>
      <c r="D11794" s="1">
        <v>44251</v>
      </c>
      <c r="E11794">
        <v>1</v>
      </c>
      <c r="F11794" t="s">
        <v>445</v>
      </c>
      <c r="G11794" t="str">
        <f>"08-I17-02"</f>
        <v>08-I17-02</v>
      </c>
      <c r="H11794">
        <v>0.98309999999999997</v>
      </c>
      <c r="I11794" t="s">
        <v>410</v>
      </c>
      <c r="J11794" t="s">
        <v>14</v>
      </c>
      <c r="K11794" t="str">
        <f>"5F3"</f>
        <v>5F3</v>
      </c>
      <c r="L11794" t="s">
        <v>15</v>
      </c>
    </row>
    <row r="11795" spans="1:12" x14ac:dyDescent="0.25">
      <c r="A11795" t="str">
        <f>"8651114912"</f>
        <v>8651114912</v>
      </c>
      <c r="B11795" t="str">
        <f t="shared" si="473"/>
        <v>89301000</v>
      </c>
      <c r="C11795" s="1">
        <v>44381</v>
      </c>
      <c r="D11795" s="1">
        <v>44382</v>
      </c>
      <c r="E11795">
        <v>1</v>
      </c>
      <c r="F11795" t="s">
        <v>75</v>
      </c>
      <c r="G11795" t="str">
        <f>"14-M01-05"</f>
        <v>14-M01-05</v>
      </c>
      <c r="H11795">
        <v>0.54239999999999999</v>
      </c>
      <c r="I11795" t="s">
        <v>117</v>
      </c>
      <c r="J11795" t="s">
        <v>59</v>
      </c>
      <c r="K11795" t="str">
        <f>"6F3"</f>
        <v>6F3</v>
      </c>
      <c r="L11795" t="s">
        <v>15</v>
      </c>
    </row>
    <row r="11796" spans="1:12" x14ac:dyDescent="0.25">
      <c r="A11796" t="str">
        <f>"8651145811"</f>
        <v>8651145811</v>
      </c>
      <c r="B11796" t="str">
        <f t="shared" si="473"/>
        <v>89301000</v>
      </c>
      <c r="C11796" s="1">
        <v>44244</v>
      </c>
      <c r="D11796" s="1">
        <v>44248</v>
      </c>
      <c r="E11796">
        <v>1</v>
      </c>
      <c r="F11796" t="s">
        <v>82</v>
      </c>
      <c r="G11796" t="str">
        <f>"14-I01-02"</f>
        <v>14-I01-02</v>
      </c>
      <c r="H11796">
        <v>1.1289</v>
      </c>
      <c r="I11796" t="s">
        <v>7754</v>
      </c>
      <c r="J11796" t="s">
        <v>59</v>
      </c>
      <c r="K11796" t="str">
        <f>"6F3"</f>
        <v>6F3</v>
      </c>
      <c r="L11796" t="s">
        <v>15</v>
      </c>
    </row>
    <row r="11797" spans="1:12" x14ac:dyDescent="0.25">
      <c r="A11797" t="str">
        <f>"8651205442"</f>
        <v>8651205442</v>
      </c>
      <c r="B11797" t="str">
        <f t="shared" si="473"/>
        <v>89301000</v>
      </c>
      <c r="C11797" s="1">
        <v>44404</v>
      </c>
      <c r="D11797" s="1">
        <v>44409</v>
      </c>
      <c r="E11797">
        <v>1</v>
      </c>
      <c r="F11797" t="s">
        <v>61</v>
      </c>
      <c r="G11797" t="str">
        <f>"14-I01-05"</f>
        <v>14-I01-05</v>
      </c>
      <c r="H11797">
        <v>0.80030000000000001</v>
      </c>
      <c r="I11797" t="s">
        <v>7690</v>
      </c>
      <c r="J11797" t="s">
        <v>59</v>
      </c>
      <c r="K11797" t="str">
        <f>"6F3"</f>
        <v>6F3</v>
      </c>
      <c r="L11797" t="s">
        <v>15</v>
      </c>
    </row>
    <row r="11798" spans="1:12" x14ac:dyDescent="0.25">
      <c r="A11798" t="str">
        <f>"8651275765"</f>
        <v>8651275765</v>
      </c>
      <c r="B11798" t="str">
        <f t="shared" si="473"/>
        <v>89301000</v>
      </c>
      <c r="C11798" s="1">
        <v>44209</v>
      </c>
      <c r="D11798" s="1">
        <v>44212</v>
      </c>
      <c r="E11798">
        <v>1</v>
      </c>
      <c r="F11798" t="s">
        <v>112</v>
      </c>
      <c r="G11798" t="str">
        <f>"14-M01-02"</f>
        <v>14-M01-02</v>
      </c>
      <c r="H11798">
        <v>0.74450000000000005</v>
      </c>
      <c r="J11798" t="s">
        <v>59</v>
      </c>
      <c r="K11798" t="str">
        <f>"6F3"</f>
        <v>6F3</v>
      </c>
      <c r="L11798" t="s">
        <v>15</v>
      </c>
    </row>
    <row r="11799" spans="1:12" x14ac:dyDescent="0.25">
      <c r="A11799" t="str">
        <f>"8652065774"</f>
        <v>8652065774</v>
      </c>
      <c r="B11799" t="str">
        <f t="shared" si="473"/>
        <v>89301000</v>
      </c>
      <c r="C11799" s="1">
        <v>44204</v>
      </c>
      <c r="D11799" s="1">
        <v>44207</v>
      </c>
      <c r="E11799">
        <v>1</v>
      </c>
      <c r="F11799" t="s">
        <v>75</v>
      </c>
      <c r="G11799" t="str">
        <f>"14-M01-05"</f>
        <v>14-M01-05</v>
      </c>
      <c r="H11799">
        <v>0.54239999999999999</v>
      </c>
      <c r="I11799" t="s">
        <v>7724</v>
      </c>
      <c r="J11799" t="s">
        <v>59</v>
      </c>
      <c r="K11799" t="str">
        <f>"6F3"</f>
        <v>6F3</v>
      </c>
      <c r="L11799" t="s">
        <v>15</v>
      </c>
    </row>
    <row r="11800" spans="1:12" x14ac:dyDescent="0.25">
      <c r="A11800" t="str">
        <f>"8652105836"</f>
        <v>8652105836</v>
      </c>
      <c r="B11800" t="str">
        <f t="shared" si="473"/>
        <v>89301000</v>
      </c>
      <c r="C11800" s="1">
        <v>44536</v>
      </c>
      <c r="D11800" s="1">
        <v>44539</v>
      </c>
      <c r="E11800">
        <v>1</v>
      </c>
      <c r="F11800" t="s">
        <v>197</v>
      </c>
      <c r="G11800" t="str">
        <f>"03-I18-02"</f>
        <v>03-I18-02</v>
      </c>
      <c r="H11800">
        <v>0.84370000000000001</v>
      </c>
      <c r="I11800" t="s">
        <v>7755</v>
      </c>
      <c r="J11800" t="s">
        <v>24</v>
      </c>
      <c r="K11800" t="str">
        <f>"7F1"</f>
        <v>7F1</v>
      </c>
      <c r="L11800" t="s">
        <v>15</v>
      </c>
    </row>
    <row r="11801" spans="1:12" x14ac:dyDescent="0.25">
      <c r="A11801" t="str">
        <f>"8652134920"</f>
        <v>8652134920</v>
      </c>
      <c r="B11801" t="str">
        <f t="shared" si="473"/>
        <v>89301000</v>
      </c>
      <c r="C11801" s="1">
        <v>44279</v>
      </c>
      <c r="D11801" s="1">
        <v>44281</v>
      </c>
      <c r="E11801">
        <v>1</v>
      </c>
      <c r="F11801" t="s">
        <v>132</v>
      </c>
      <c r="G11801" t="str">
        <f>"03-K03-02"</f>
        <v>03-K03-02</v>
      </c>
      <c r="H11801">
        <v>0.49249999999999999</v>
      </c>
      <c r="I11801" t="s">
        <v>7333</v>
      </c>
      <c r="J11801" t="s">
        <v>14</v>
      </c>
      <c r="K11801" t="str">
        <f>"6F5"</f>
        <v>6F5</v>
      </c>
      <c r="L11801" t="s">
        <v>15</v>
      </c>
    </row>
    <row r="11802" spans="1:12" x14ac:dyDescent="0.25">
      <c r="A11802" t="str">
        <f>"8652140222"</f>
        <v>8652140222</v>
      </c>
      <c r="B11802" t="str">
        <f t="shared" si="473"/>
        <v>89301000</v>
      </c>
      <c r="C11802" s="1">
        <v>44445</v>
      </c>
      <c r="D11802" s="1">
        <v>44449</v>
      </c>
      <c r="E11802">
        <v>1</v>
      </c>
      <c r="F11802" t="s">
        <v>75</v>
      </c>
      <c r="G11802" t="str">
        <f>"14-M01-05"</f>
        <v>14-M01-05</v>
      </c>
      <c r="H11802">
        <v>0.54239999999999999</v>
      </c>
      <c r="I11802" t="s">
        <v>76</v>
      </c>
      <c r="J11802" t="s">
        <v>59</v>
      </c>
      <c r="K11802" t="str">
        <f>"6F3"</f>
        <v>6F3</v>
      </c>
      <c r="L11802" t="s">
        <v>15</v>
      </c>
    </row>
    <row r="11803" spans="1:12" x14ac:dyDescent="0.25">
      <c r="A11803" t="str">
        <f>"8652165775"</f>
        <v>8652165775</v>
      </c>
      <c r="B11803" t="str">
        <f t="shared" si="473"/>
        <v>89301000</v>
      </c>
      <c r="C11803" s="1">
        <v>44537</v>
      </c>
      <c r="D11803" s="1">
        <v>44539</v>
      </c>
      <c r="E11803">
        <v>1</v>
      </c>
      <c r="F11803" t="s">
        <v>6609</v>
      </c>
      <c r="G11803" t="str">
        <f>"09-I08-03"</f>
        <v>09-I08-03</v>
      </c>
      <c r="H11803">
        <v>0.82189999999999996</v>
      </c>
      <c r="I11803" t="s">
        <v>7756</v>
      </c>
      <c r="J11803" t="s">
        <v>24</v>
      </c>
      <c r="K11803" t="str">
        <f>"6F1"</f>
        <v>6F1</v>
      </c>
      <c r="L11803" t="s">
        <v>15</v>
      </c>
    </row>
    <row r="11804" spans="1:12" x14ac:dyDescent="0.25">
      <c r="A11804" t="str">
        <f>"8652184530"</f>
        <v>8652184530</v>
      </c>
      <c r="B11804" t="str">
        <f t="shared" si="473"/>
        <v>89301000</v>
      </c>
      <c r="C11804" s="1">
        <v>44501</v>
      </c>
      <c r="D11804" s="1">
        <v>44504</v>
      </c>
      <c r="E11804">
        <v>1</v>
      </c>
      <c r="F11804" t="s">
        <v>75</v>
      </c>
      <c r="G11804" t="str">
        <f>"14-M01-05"</f>
        <v>14-M01-05</v>
      </c>
      <c r="H11804">
        <v>0.54239999999999999</v>
      </c>
      <c r="J11804" t="s">
        <v>59</v>
      </c>
      <c r="K11804" t="str">
        <f>"6F3"</f>
        <v>6F3</v>
      </c>
      <c r="L11804" t="s">
        <v>15</v>
      </c>
    </row>
    <row r="11805" spans="1:12" x14ac:dyDescent="0.25">
      <c r="A11805" t="str">
        <f>"8652256239"</f>
        <v>8652256239</v>
      </c>
      <c r="B11805" t="str">
        <f t="shared" si="473"/>
        <v>89301000</v>
      </c>
      <c r="C11805" s="1">
        <v>44236</v>
      </c>
      <c r="D11805" s="1">
        <v>44243</v>
      </c>
      <c r="E11805">
        <v>1</v>
      </c>
      <c r="F11805" t="s">
        <v>87</v>
      </c>
      <c r="G11805" t="str">
        <f>"09-K04-02"</f>
        <v>09-K04-02</v>
      </c>
      <c r="H11805">
        <v>0.68279999999999996</v>
      </c>
      <c r="I11805" t="s">
        <v>7757</v>
      </c>
      <c r="J11805" t="s">
        <v>14</v>
      </c>
      <c r="K11805" t="str">
        <f>"4F4"</f>
        <v>4F4</v>
      </c>
      <c r="L11805" t="s">
        <v>15</v>
      </c>
    </row>
    <row r="11806" spans="1:12" x14ac:dyDescent="0.25">
      <c r="A11806" t="str">
        <f>"8652275786"</f>
        <v>8652275786</v>
      </c>
      <c r="B11806" t="str">
        <f t="shared" ref="B11806:B11867" si="474">"89301000"</f>
        <v>89301000</v>
      </c>
      <c r="C11806" s="1">
        <v>44292</v>
      </c>
      <c r="D11806" s="1">
        <v>44295</v>
      </c>
      <c r="E11806">
        <v>1</v>
      </c>
      <c r="F11806" t="s">
        <v>7048</v>
      </c>
      <c r="G11806" t="str">
        <f>"13-I14-03"</f>
        <v>13-I14-03</v>
      </c>
      <c r="H11806">
        <v>0.83199999999999996</v>
      </c>
      <c r="J11806" t="s">
        <v>24</v>
      </c>
      <c r="K11806" t="str">
        <f>"6F3"</f>
        <v>6F3</v>
      </c>
      <c r="L11806" t="s">
        <v>15</v>
      </c>
    </row>
    <row r="11807" spans="1:12" x14ac:dyDescent="0.25">
      <c r="A11807" t="str">
        <f>"8653075805"</f>
        <v>8653075805</v>
      </c>
      <c r="B11807" t="str">
        <f t="shared" si="474"/>
        <v>89301000</v>
      </c>
      <c r="C11807" s="1">
        <v>44197</v>
      </c>
      <c r="D11807" s="1">
        <v>44199</v>
      </c>
      <c r="E11807">
        <v>1</v>
      </c>
      <c r="F11807" t="s">
        <v>152</v>
      </c>
      <c r="G11807" t="str">
        <f>"19-K02-03"</f>
        <v>19-K02-03</v>
      </c>
      <c r="H11807">
        <v>0.67269999999999996</v>
      </c>
      <c r="I11807" t="s">
        <v>7758</v>
      </c>
      <c r="J11807" t="s">
        <v>27</v>
      </c>
      <c r="K11807" t="str">
        <f>"3F5"</f>
        <v>3F5</v>
      </c>
      <c r="L11807" t="s">
        <v>15</v>
      </c>
    </row>
    <row r="11808" spans="1:12" x14ac:dyDescent="0.25">
      <c r="A11808" t="str">
        <f>"8653104548"</f>
        <v>8653104548</v>
      </c>
      <c r="B11808" t="str">
        <f t="shared" si="474"/>
        <v>89301000</v>
      </c>
      <c r="C11808" s="1">
        <v>44197</v>
      </c>
      <c r="D11808" s="1">
        <v>44199</v>
      </c>
      <c r="E11808">
        <v>1</v>
      </c>
      <c r="F11808" t="s">
        <v>380</v>
      </c>
      <c r="G11808" t="str">
        <f>"08-I17-01"</f>
        <v>08-I17-01</v>
      </c>
      <c r="H11808">
        <v>1.7847999999999999</v>
      </c>
      <c r="I11808" t="s">
        <v>7759</v>
      </c>
      <c r="J11808" t="s">
        <v>14</v>
      </c>
      <c r="K11808" t="str">
        <f>"5F1"</f>
        <v>5F1</v>
      </c>
      <c r="L11808" t="s">
        <v>15</v>
      </c>
    </row>
    <row r="11809" spans="1:12" x14ac:dyDescent="0.25">
      <c r="A11809" t="str">
        <f>"8653114910"</f>
        <v>8653114910</v>
      </c>
      <c r="B11809" t="str">
        <f t="shared" si="474"/>
        <v>89301000</v>
      </c>
      <c r="C11809" s="1">
        <v>44357</v>
      </c>
      <c r="D11809" s="1">
        <v>44360</v>
      </c>
      <c r="E11809">
        <v>1</v>
      </c>
      <c r="F11809" t="s">
        <v>593</v>
      </c>
      <c r="G11809" t="str">
        <f>"07-I10-06"</f>
        <v>07-I10-06</v>
      </c>
      <c r="H11809">
        <v>0.9728</v>
      </c>
      <c r="J11809" t="s">
        <v>17</v>
      </c>
      <c r="K11809" t="str">
        <f>"5F1"</f>
        <v>5F1</v>
      </c>
      <c r="L11809" t="s">
        <v>15</v>
      </c>
    </row>
    <row r="11810" spans="1:12" x14ac:dyDescent="0.25">
      <c r="A11810" t="str">
        <f>"8653115790"</f>
        <v>8653115790</v>
      </c>
      <c r="B11810" t="str">
        <f t="shared" si="474"/>
        <v>89301000</v>
      </c>
      <c r="C11810" s="1">
        <v>44383</v>
      </c>
      <c r="D11810" s="1">
        <v>44387</v>
      </c>
      <c r="E11810">
        <v>1</v>
      </c>
      <c r="F11810" t="s">
        <v>75</v>
      </c>
      <c r="G11810" t="str">
        <f>"14-M01-05"</f>
        <v>14-M01-05</v>
      </c>
      <c r="H11810">
        <v>0.54239999999999999</v>
      </c>
      <c r="I11810" t="s">
        <v>76</v>
      </c>
      <c r="J11810" t="s">
        <v>59</v>
      </c>
      <c r="K11810" t="str">
        <f>"6F3"</f>
        <v>6F3</v>
      </c>
      <c r="L11810" t="s">
        <v>15</v>
      </c>
    </row>
    <row r="11811" spans="1:12" x14ac:dyDescent="0.25">
      <c r="A11811" t="str">
        <f>"8653175773"</f>
        <v>8653175773</v>
      </c>
      <c r="B11811" t="str">
        <f t="shared" si="474"/>
        <v>89301000</v>
      </c>
      <c r="C11811" s="1">
        <v>44260</v>
      </c>
      <c r="D11811" s="1">
        <v>44264</v>
      </c>
      <c r="E11811">
        <v>1</v>
      </c>
      <c r="F11811" t="s">
        <v>7455</v>
      </c>
      <c r="G11811" t="str">
        <f>"14-I01-02"</f>
        <v>14-I01-02</v>
      </c>
      <c r="H11811">
        <v>1.1289</v>
      </c>
      <c r="I11811" t="s">
        <v>7760</v>
      </c>
      <c r="J11811" t="s">
        <v>59</v>
      </c>
      <c r="K11811" t="str">
        <f>"6F3"</f>
        <v>6F3</v>
      </c>
      <c r="L11811" t="s">
        <v>15</v>
      </c>
    </row>
    <row r="11812" spans="1:12" x14ac:dyDescent="0.25">
      <c r="A11812" t="str">
        <f>"8653205803"</f>
        <v>8653205803</v>
      </c>
      <c r="B11812" t="str">
        <f t="shared" si="474"/>
        <v>89301000</v>
      </c>
      <c r="C11812" s="1">
        <v>44309</v>
      </c>
      <c r="D11812" s="1">
        <v>44323</v>
      </c>
      <c r="E11812">
        <v>1</v>
      </c>
      <c r="F11812" t="s">
        <v>82</v>
      </c>
      <c r="G11812" t="str">
        <f>"14-I01-05"</f>
        <v>14-I01-05</v>
      </c>
      <c r="H11812">
        <v>1.2781</v>
      </c>
      <c r="I11812" t="s">
        <v>7761</v>
      </c>
      <c r="J11812" t="s">
        <v>59</v>
      </c>
      <c r="K11812" t="str">
        <f>"6F3"</f>
        <v>6F3</v>
      </c>
      <c r="L11812" t="s">
        <v>15</v>
      </c>
    </row>
    <row r="11813" spans="1:12" x14ac:dyDescent="0.25">
      <c r="A11813" t="str">
        <f>"8653205814"</f>
        <v>8653205814</v>
      </c>
      <c r="B11813" t="str">
        <f t="shared" si="474"/>
        <v>89301000</v>
      </c>
      <c r="C11813" s="1">
        <v>44343</v>
      </c>
      <c r="D11813" s="1">
        <v>44346</v>
      </c>
      <c r="E11813">
        <v>1</v>
      </c>
      <c r="F11813" t="s">
        <v>75</v>
      </c>
      <c r="G11813" t="str">
        <f>"14-M01-05"</f>
        <v>14-M01-05</v>
      </c>
      <c r="H11813">
        <v>0.54239999999999999</v>
      </c>
      <c r="I11813" t="s">
        <v>76</v>
      </c>
      <c r="J11813" t="s">
        <v>59</v>
      </c>
      <c r="K11813" t="str">
        <f>"6F3"</f>
        <v>6F3</v>
      </c>
      <c r="L11813" t="s">
        <v>15</v>
      </c>
    </row>
    <row r="11814" spans="1:12" x14ac:dyDescent="0.25">
      <c r="A11814" t="str">
        <f>"8653216231"</f>
        <v>8653216231</v>
      </c>
      <c r="B11814" t="str">
        <f t="shared" si="474"/>
        <v>89301000</v>
      </c>
      <c r="C11814" s="1">
        <v>44528</v>
      </c>
      <c r="D11814" s="1">
        <v>44531</v>
      </c>
      <c r="E11814">
        <v>1</v>
      </c>
      <c r="F11814" t="s">
        <v>3145</v>
      </c>
      <c r="G11814" t="str">
        <f>"10-I13-02"</f>
        <v>10-I13-02</v>
      </c>
      <c r="H11814">
        <v>1.1468</v>
      </c>
      <c r="J11814" t="s">
        <v>24</v>
      </c>
      <c r="K11814" t="str">
        <f>"5F1"</f>
        <v>5F1</v>
      </c>
      <c r="L11814" t="s">
        <v>15</v>
      </c>
    </row>
    <row r="11815" spans="1:12" x14ac:dyDescent="0.25">
      <c r="A11815" t="str">
        <f>"8653306222"</f>
        <v>8653306222</v>
      </c>
      <c r="B11815" t="str">
        <f t="shared" si="474"/>
        <v>89301000</v>
      </c>
      <c r="C11815" s="1">
        <v>44532</v>
      </c>
      <c r="D11815" s="1">
        <v>44541</v>
      </c>
      <c r="E11815">
        <v>1</v>
      </c>
      <c r="F11815" t="s">
        <v>7762</v>
      </c>
      <c r="G11815" t="str">
        <f>"14-K03-01"</f>
        <v>14-K03-01</v>
      </c>
      <c r="H11815">
        <v>0.5706</v>
      </c>
      <c r="J11815" t="s">
        <v>14</v>
      </c>
      <c r="K11815" t="str">
        <f>"6F3"</f>
        <v>6F3</v>
      </c>
      <c r="L11815" t="s">
        <v>15</v>
      </c>
    </row>
    <row r="11816" spans="1:12" x14ac:dyDescent="0.25">
      <c r="A11816" t="str">
        <f>"8654035786"</f>
        <v>8654035786</v>
      </c>
      <c r="B11816" t="str">
        <f t="shared" si="474"/>
        <v>89301000</v>
      </c>
      <c r="C11816" s="1">
        <v>44201</v>
      </c>
      <c r="D11816" s="1">
        <v>44216</v>
      </c>
      <c r="E11816">
        <v>1</v>
      </c>
      <c r="F11816" t="s">
        <v>78</v>
      </c>
      <c r="G11816" t="str">
        <f>"19-K03-03"</f>
        <v>19-K03-03</v>
      </c>
      <c r="H11816">
        <v>0.93169999999999997</v>
      </c>
      <c r="I11816" t="s">
        <v>7763</v>
      </c>
      <c r="J11816" t="s">
        <v>27</v>
      </c>
      <c r="K11816" t="str">
        <f>"3F5"</f>
        <v>3F5</v>
      </c>
      <c r="L11816" t="s">
        <v>15</v>
      </c>
    </row>
    <row r="11817" spans="1:12" x14ac:dyDescent="0.25">
      <c r="A11817" t="str">
        <f>"8654035786"</f>
        <v>8654035786</v>
      </c>
      <c r="B11817" t="str">
        <f t="shared" si="474"/>
        <v>89301000</v>
      </c>
      <c r="C11817" s="1">
        <v>44246</v>
      </c>
      <c r="D11817" s="1">
        <v>44252</v>
      </c>
      <c r="E11817">
        <v>4</v>
      </c>
      <c r="F11817" t="s">
        <v>78</v>
      </c>
      <c r="G11817" t="str">
        <f>"19-K02-03"</f>
        <v>19-K02-03</v>
      </c>
      <c r="H11817">
        <v>0.67269999999999996</v>
      </c>
      <c r="I11817" t="s">
        <v>7764</v>
      </c>
      <c r="J11817" t="s">
        <v>27</v>
      </c>
      <c r="K11817" t="str">
        <f>"3F5"</f>
        <v>3F5</v>
      </c>
      <c r="L11817" t="s">
        <v>15</v>
      </c>
    </row>
    <row r="11818" spans="1:12" x14ac:dyDescent="0.25">
      <c r="A11818" t="str">
        <f>"8654035786"</f>
        <v>8654035786</v>
      </c>
      <c r="B11818" t="str">
        <f t="shared" si="474"/>
        <v>89301000</v>
      </c>
      <c r="C11818" s="1">
        <v>44260</v>
      </c>
      <c r="D11818" s="1">
        <v>44267</v>
      </c>
      <c r="E11818">
        <v>1</v>
      </c>
      <c r="F11818" t="s">
        <v>282</v>
      </c>
      <c r="G11818" t="str">
        <f>"06-K06-01"</f>
        <v>06-K06-01</v>
      </c>
      <c r="H11818">
        <v>1.3448</v>
      </c>
      <c r="I11818" t="s">
        <v>7765</v>
      </c>
      <c r="J11818" t="s">
        <v>14</v>
      </c>
      <c r="K11818" t="str">
        <f>"1F1"</f>
        <v>1F1</v>
      </c>
      <c r="L11818" t="s">
        <v>15</v>
      </c>
    </row>
    <row r="11819" spans="1:12" x14ac:dyDescent="0.25">
      <c r="A11819" t="str">
        <f>"8654035797"</f>
        <v>8654035797</v>
      </c>
      <c r="B11819" t="str">
        <f t="shared" si="474"/>
        <v>89301000</v>
      </c>
      <c r="C11819" s="1">
        <v>44413</v>
      </c>
      <c r="D11819" s="1">
        <v>44415</v>
      </c>
      <c r="E11819">
        <v>1</v>
      </c>
      <c r="F11819" t="s">
        <v>75</v>
      </c>
      <c r="G11819" t="str">
        <f>"14-M01-05"</f>
        <v>14-M01-05</v>
      </c>
      <c r="H11819">
        <v>0.54239999999999999</v>
      </c>
      <c r="I11819" t="s">
        <v>426</v>
      </c>
      <c r="J11819" t="s">
        <v>59</v>
      </c>
      <c r="K11819" t="str">
        <f>"6F3"</f>
        <v>6F3</v>
      </c>
      <c r="L11819" t="s">
        <v>15</v>
      </c>
    </row>
    <row r="11820" spans="1:12" x14ac:dyDescent="0.25">
      <c r="A11820" t="str">
        <f>"8654095824"</f>
        <v>8654095824</v>
      </c>
      <c r="B11820" t="str">
        <f t="shared" si="474"/>
        <v>89301000</v>
      </c>
      <c r="C11820" s="1">
        <v>44208</v>
      </c>
      <c r="D11820" s="1">
        <v>44212</v>
      </c>
      <c r="E11820">
        <v>1</v>
      </c>
      <c r="F11820" t="s">
        <v>75</v>
      </c>
      <c r="G11820" t="str">
        <f>"14-M01-05"</f>
        <v>14-M01-05</v>
      </c>
      <c r="H11820">
        <v>0.54239999999999999</v>
      </c>
      <c r="I11820" t="s">
        <v>426</v>
      </c>
      <c r="J11820" t="s">
        <v>59</v>
      </c>
      <c r="K11820" t="str">
        <f>"6F3"</f>
        <v>6F3</v>
      </c>
      <c r="L11820" t="s">
        <v>15</v>
      </c>
    </row>
    <row r="11821" spans="1:12" x14ac:dyDescent="0.25">
      <c r="A11821" t="str">
        <f>"8654096297"</f>
        <v>8654096297</v>
      </c>
      <c r="B11821" t="str">
        <f t="shared" si="474"/>
        <v>89301000</v>
      </c>
      <c r="C11821" s="1">
        <v>44491</v>
      </c>
      <c r="D11821" s="1">
        <v>44503</v>
      </c>
      <c r="E11821">
        <v>1</v>
      </c>
      <c r="F11821" t="s">
        <v>979</v>
      </c>
      <c r="G11821" t="str">
        <f>"04-K02-03"</f>
        <v>04-K02-03</v>
      </c>
      <c r="H11821">
        <v>1.2859</v>
      </c>
      <c r="I11821" t="s">
        <v>952</v>
      </c>
      <c r="J11821" t="s">
        <v>14</v>
      </c>
      <c r="K11821" t="str">
        <f>"2F5"</f>
        <v>2F5</v>
      </c>
      <c r="L11821" t="s">
        <v>15</v>
      </c>
    </row>
    <row r="11822" spans="1:12" x14ac:dyDescent="0.25">
      <c r="A11822" t="str">
        <f>"8654136150"</f>
        <v>8654136150</v>
      </c>
      <c r="B11822" t="str">
        <f t="shared" si="474"/>
        <v>89301000</v>
      </c>
      <c r="C11822" s="1">
        <v>44401</v>
      </c>
      <c r="D11822" s="1">
        <v>44404</v>
      </c>
      <c r="E11822">
        <v>1</v>
      </c>
      <c r="F11822" t="s">
        <v>75</v>
      </c>
      <c r="G11822" t="str">
        <f>"14-M01-05"</f>
        <v>14-M01-05</v>
      </c>
      <c r="H11822">
        <v>0.54239999999999999</v>
      </c>
      <c r="I11822" t="s">
        <v>7766</v>
      </c>
      <c r="J11822" t="s">
        <v>59</v>
      </c>
      <c r="K11822" t="str">
        <f>"6F3"</f>
        <v>6F3</v>
      </c>
      <c r="L11822" t="s">
        <v>15</v>
      </c>
    </row>
    <row r="11823" spans="1:12" x14ac:dyDescent="0.25">
      <c r="A11823" t="str">
        <f>"8654176135"</f>
        <v>8654176135</v>
      </c>
      <c r="B11823" t="str">
        <f t="shared" si="474"/>
        <v>89301000</v>
      </c>
      <c r="C11823" s="1">
        <v>44510</v>
      </c>
      <c r="D11823" s="1">
        <v>44515</v>
      </c>
      <c r="E11823">
        <v>1</v>
      </c>
      <c r="F11823" t="s">
        <v>82</v>
      </c>
      <c r="G11823" t="str">
        <f>"14-I01-01"</f>
        <v>14-I01-01</v>
      </c>
      <c r="H11823">
        <v>1.5294000000000001</v>
      </c>
      <c r="I11823" t="s">
        <v>7767</v>
      </c>
      <c r="J11823" t="s">
        <v>59</v>
      </c>
      <c r="K11823" t="str">
        <f>"6F3"</f>
        <v>6F3</v>
      </c>
      <c r="L11823" t="s">
        <v>15</v>
      </c>
    </row>
    <row r="11824" spans="1:12" x14ac:dyDescent="0.25">
      <c r="A11824" t="str">
        <f>"8654184913"</f>
        <v>8654184913</v>
      </c>
      <c r="B11824" t="str">
        <f t="shared" si="474"/>
        <v>89301000</v>
      </c>
      <c r="C11824" s="1">
        <v>44210</v>
      </c>
      <c r="D11824" s="1">
        <v>44214</v>
      </c>
      <c r="E11824">
        <v>1</v>
      </c>
      <c r="F11824" t="s">
        <v>1551</v>
      </c>
      <c r="G11824" t="str">
        <f>"09-I06-04"</f>
        <v>09-I06-04</v>
      </c>
      <c r="H11824">
        <v>0.98829999999999996</v>
      </c>
      <c r="J11824" t="s">
        <v>17</v>
      </c>
      <c r="K11824" t="str">
        <f>"5F1"</f>
        <v>5F1</v>
      </c>
      <c r="L11824" t="s">
        <v>15</v>
      </c>
    </row>
    <row r="11825" spans="1:12" x14ac:dyDescent="0.25">
      <c r="A11825" t="str">
        <f>"8654185474"</f>
        <v>8654185474</v>
      </c>
      <c r="B11825" t="str">
        <f t="shared" si="474"/>
        <v>89301000</v>
      </c>
      <c r="C11825" s="1">
        <v>44407</v>
      </c>
      <c r="D11825" s="1">
        <v>44418</v>
      </c>
      <c r="E11825">
        <v>1</v>
      </c>
      <c r="F11825" t="s">
        <v>566</v>
      </c>
      <c r="G11825" t="str">
        <f>"06-K06-02"</f>
        <v>06-K06-02</v>
      </c>
      <c r="H11825">
        <v>0.69359999999999999</v>
      </c>
      <c r="I11825" t="s">
        <v>7768</v>
      </c>
      <c r="J11825" t="s">
        <v>14</v>
      </c>
      <c r="K11825" t="str">
        <f>"1F1"</f>
        <v>1F1</v>
      </c>
      <c r="L11825" t="s">
        <v>15</v>
      </c>
    </row>
    <row r="11826" spans="1:12" x14ac:dyDescent="0.25">
      <c r="A11826" t="str">
        <f>"8654293835"</f>
        <v>8654293835</v>
      </c>
      <c r="B11826" t="str">
        <f t="shared" si="474"/>
        <v>89301000</v>
      </c>
      <c r="C11826" s="1">
        <v>44194</v>
      </c>
      <c r="D11826" s="1">
        <v>44201</v>
      </c>
      <c r="E11826">
        <v>5</v>
      </c>
      <c r="F11826" t="s">
        <v>107</v>
      </c>
      <c r="G11826" t="str">
        <f>"25-K01-02"</f>
        <v>25-K01-02</v>
      </c>
      <c r="H11826">
        <v>2.6412</v>
      </c>
      <c r="I11826" t="s">
        <v>7769</v>
      </c>
      <c r="J11826" t="s">
        <v>17</v>
      </c>
      <c r="K11826" t="str">
        <f>"5F3"</f>
        <v>5F3</v>
      </c>
      <c r="L11826" t="s">
        <v>15</v>
      </c>
    </row>
    <row r="11827" spans="1:12" x14ac:dyDescent="0.25">
      <c r="A11827" t="str">
        <f>"8654304725"</f>
        <v>8654304725</v>
      </c>
      <c r="B11827" t="str">
        <f t="shared" si="474"/>
        <v>89301000</v>
      </c>
      <c r="C11827" s="1">
        <v>44238</v>
      </c>
      <c r="D11827" s="1">
        <v>44241</v>
      </c>
      <c r="E11827">
        <v>1</v>
      </c>
      <c r="F11827" t="s">
        <v>75</v>
      </c>
      <c r="G11827" t="str">
        <f>"14-M01-05"</f>
        <v>14-M01-05</v>
      </c>
      <c r="H11827">
        <v>0.54239999999999999</v>
      </c>
      <c r="I11827" t="s">
        <v>7770</v>
      </c>
      <c r="J11827" t="s">
        <v>59</v>
      </c>
      <c r="K11827" t="str">
        <f>"6F3"</f>
        <v>6F3</v>
      </c>
      <c r="L11827" t="s">
        <v>15</v>
      </c>
    </row>
    <row r="11828" spans="1:12" x14ac:dyDescent="0.25">
      <c r="A11828" t="str">
        <f>"8655065793"</f>
        <v>8655065793</v>
      </c>
      <c r="B11828" t="str">
        <f t="shared" si="474"/>
        <v>89301000</v>
      </c>
      <c r="C11828" s="1">
        <v>44505</v>
      </c>
      <c r="D11828" s="1">
        <v>44508</v>
      </c>
      <c r="E11828">
        <v>1</v>
      </c>
      <c r="F11828" t="s">
        <v>75</v>
      </c>
      <c r="G11828" t="str">
        <f>"14-M01-05"</f>
        <v>14-M01-05</v>
      </c>
      <c r="H11828">
        <v>0.54239999999999999</v>
      </c>
      <c r="I11828" t="s">
        <v>118</v>
      </c>
      <c r="J11828" t="s">
        <v>59</v>
      </c>
      <c r="K11828" t="str">
        <f>"6F3"</f>
        <v>6F3</v>
      </c>
      <c r="L11828" t="s">
        <v>15</v>
      </c>
    </row>
    <row r="11829" spans="1:12" x14ac:dyDescent="0.25">
      <c r="A11829" t="str">
        <f>"8655086231"</f>
        <v>8655086231</v>
      </c>
      <c r="B11829" t="str">
        <f t="shared" si="474"/>
        <v>89301000</v>
      </c>
      <c r="C11829" s="1">
        <v>44273</v>
      </c>
      <c r="D11829" s="1">
        <v>44276</v>
      </c>
      <c r="E11829">
        <v>1</v>
      </c>
      <c r="F11829" t="s">
        <v>266</v>
      </c>
      <c r="G11829" t="str">
        <f>"13-I14-03"</f>
        <v>13-I14-03</v>
      </c>
      <c r="H11829">
        <v>0.83199999999999996</v>
      </c>
      <c r="I11829" t="s">
        <v>51</v>
      </c>
      <c r="J11829" t="s">
        <v>24</v>
      </c>
      <c r="K11829" t="str">
        <f>"6F3"</f>
        <v>6F3</v>
      </c>
      <c r="L11829" t="s">
        <v>15</v>
      </c>
    </row>
    <row r="11830" spans="1:12" x14ac:dyDescent="0.25">
      <c r="A11830" t="str">
        <f>"8655105778"</f>
        <v>8655105778</v>
      </c>
      <c r="B11830" t="str">
        <f t="shared" si="474"/>
        <v>89301000</v>
      </c>
      <c r="C11830" s="1">
        <v>44292</v>
      </c>
      <c r="D11830" s="1">
        <v>44300</v>
      </c>
      <c r="E11830">
        <v>1</v>
      </c>
      <c r="F11830" t="s">
        <v>7771</v>
      </c>
      <c r="G11830" t="str">
        <f>"14-K03-02"</f>
        <v>14-K03-02</v>
      </c>
      <c r="H11830">
        <v>0.30420000000000003</v>
      </c>
      <c r="J11830" t="s">
        <v>14</v>
      </c>
      <c r="K11830" t="str">
        <f>"6F3"</f>
        <v>6F3</v>
      </c>
      <c r="L11830" t="s">
        <v>15</v>
      </c>
    </row>
    <row r="11831" spans="1:12" x14ac:dyDescent="0.25">
      <c r="A11831" t="str">
        <f>"8655125820"</f>
        <v>8655125820</v>
      </c>
      <c r="B11831" t="str">
        <f t="shared" si="474"/>
        <v>89301000</v>
      </c>
      <c r="C11831" s="1">
        <v>44376</v>
      </c>
      <c r="D11831" s="1">
        <v>44380</v>
      </c>
      <c r="E11831">
        <v>1</v>
      </c>
      <c r="F11831" t="s">
        <v>197</v>
      </c>
      <c r="G11831" t="str">
        <f>"03-I18-02"</f>
        <v>03-I18-02</v>
      </c>
      <c r="H11831">
        <v>0.84370000000000001</v>
      </c>
      <c r="I11831" t="s">
        <v>7772</v>
      </c>
      <c r="J11831" t="s">
        <v>24</v>
      </c>
      <c r="K11831" t="str">
        <f>"7F1"</f>
        <v>7F1</v>
      </c>
      <c r="L11831" t="s">
        <v>15</v>
      </c>
    </row>
    <row r="11832" spans="1:12" x14ac:dyDescent="0.25">
      <c r="A11832" t="str">
        <f>"8655235765"</f>
        <v>8655235765</v>
      </c>
      <c r="B11832" t="str">
        <f t="shared" si="474"/>
        <v>89301000</v>
      </c>
      <c r="C11832" s="1">
        <v>44305</v>
      </c>
      <c r="D11832" s="1">
        <v>44308</v>
      </c>
      <c r="E11832">
        <v>1</v>
      </c>
      <c r="F11832" t="s">
        <v>61</v>
      </c>
      <c r="G11832" t="str">
        <f>"14-I01-05"</f>
        <v>14-I01-05</v>
      </c>
      <c r="H11832">
        <v>0.80030000000000001</v>
      </c>
      <c r="I11832" t="s">
        <v>7690</v>
      </c>
      <c r="J11832" t="s">
        <v>59</v>
      </c>
      <c r="K11832" t="str">
        <f t="shared" ref="K11832:K11837" si="475">"6F3"</f>
        <v>6F3</v>
      </c>
      <c r="L11832" t="s">
        <v>15</v>
      </c>
    </row>
    <row r="11833" spans="1:12" x14ac:dyDescent="0.25">
      <c r="A11833" t="str">
        <f>"8655254916"</f>
        <v>8655254916</v>
      </c>
      <c r="B11833" t="str">
        <f t="shared" si="474"/>
        <v>89301000</v>
      </c>
      <c r="C11833" s="1">
        <v>44273</v>
      </c>
      <c r="D11833" s="1">
        <v>44276</v>
      </c>
      <c r="E11833">
        <v>1</v>
      </c>
      <c r="F11833" t="s">
        <v>75</v>
      </c>
      <c r="G11833" t="str">
        <f>"14-M01-05"</f>
        <v>14-M01-05</v>
      </c>
      <c r="H11833">
        <v>0.54239999999999999</v>
      </c>
      <c r="J11833" t="s">
        <v>59</v>
      </c>
      <c r="K11833" t="str">
        <f t="shared" si="475"/>
        <v>6F3</v>
      </c>
      <c r="L11833" t="s">
        <v>15</v>
      </c>
    </row>
    <row r="11834" spans="1:12" x14ac:dyDescent="0.25">
      <c r="A11834" t="str">
        <f>"8655255774"</f>
        <v>8655255774</v>
      </c>
      <c r="B11834" t="str">
        <f t="shared" si="474"/>
        <v>89301000</v>
      </c>
      <c r="C11834" s="1">
        <v>44483</v>
      </c>
      <c r="D11834" s="1">
        <v>44486</v>
      </c>
      <c r="E11834">
        <v>1</v>
      </c>
      <c r="F11834" t="s">
        <v>75</v>
      </c>
      <c r="G11834" t="str">
        <f>"14-M01-05"</f>
        <v>14-M01-05</v>
      </c>
      <c r="H11834">
        <v>0.54239999999999999</v>
      </c>
      <c r="I11834" t="s">
        <v>426</v>
      </c>
      <c r="J11834" t="s">
        <v>59</v>
      </c>
      <c r="K11834" t="str">
        <f t="shared" si="475"/>
        <v>6F3</v>
      </c>
      <c r="L11834" t="s">
        <v>15</v>
      </c>
    </row>
    <row r="11835" spans="1:12" x14ac:dyDescent="0.25">
      <c r="A11835" t="str">
        <f>"8655285793"</f>
        <v>8655285793</v>
      </c>
      <c r="B11835" t="str">
        <f t="shared" si="474"/>
        <v>89301000</v>
      </c>
      <c r="C11835" s="1">
        <v>44452</v>
      </c>
      <c r="D11835" s="1">
        <v>44455</v>
      </c>
      <c r="E11835">
        <v>1</v>
      </c>
      <c r="F11835" t="s">
        <v>75</v>
      </c>
      <c r="G11835" t="str">
        <f>"14-M01-05"</f>
        <v>14-M01-05</v>
      </c>
      <c r="H11835">
        <v>0.54239999999999999</v>
      </c>
      <c r="I11835" t="s">
        <v>118</v>
      </c>
      <c r="J11835" t="s">
        <v>59</v>
      </c>
      <c r="K11835" t="str">
        <f t="shared" si="475"/>
        <v>6F3</v>
      </c>
      <c r="L11835" t="s">
        <v>15</v>
      </c>
    </row>
    <row r="11836" spans="1:12" x14ac:dyDescent="0.25">
      <c r="A11836" t="str">
        <f>"8655294373"</f>
        <v>8655294373</v>
      </c>
      <c r="B11836" t="str">
        <f t="shared" si="474"/>
        <v>89301000</v>
      </c>
      <c r="C11836" s="1">
        <v>44322</v>
      </c>
      <c r="D11836" s="1">
        <v>44334</v>
      </c>
      <c r="E11836">
        <v>1</v>
      </c>
      <c r="F11836" t="s">
        <v>61</v>
      </c>
      <c r="G11836" t="str">
        <f>"14-I01-02"</f>
        <v>14-I01-02</v>
      </c>
      <c r="H11836">
        <v>1.4649000000000001</v>
      </c>
      <c r="I11836" t="s">
        <v>7773</v>
      </c>
      <c r="J11836" t="s">
        <v>59</v>
      </c>
      <c r="K11836" t="str">
        <f t="shared" si="475"/>
        <v>6F3</v>
      </c>
      <c r="L11836" t="s">
        <v>15</v>
      </c>
    </row>
    <row r="11837" spans="1:12" x14ac:dyDescent="0.25">
      <c r="A11837" t="str">
        <f>"8656065770"</f>
        <v>8656065770</v>
      </c>
      <c r="B11837" t="str">
        <f t="shared" si="474"/>
        <v>89301000</v>
      </c>
      <c r="C11837" s="1">
        <v>44481</v>
      </c>
      <c r="D11837" s="1">
        <v>44484</v>
      </c>
      <c r="E11837">
        <v>1</v>
      </c>
      <c r="F11837" t="s">
        <v>75</v>
      </c>
      <c r="G11837" t="str">
        <f>"14-M01-05"</f>
        <v>14-M01-05</v>
      </c>
      <c r="H11837">
        <v>0.54239999999999999</v>
      </c>
      <c r="I11837" t="s">
        <v>76</v>
      </c>
      <c r="J11837" t="s">
        <v>59</v>
      </c>
      <c r="K11837" t="str">
        <f t="shared" si="475"/>
        <v>6F3</v>
      </c>
      <c r="L11837" t="s">
        <v>15</v>
      </c>
    </row>
    <row r="11838" spans="1:12" x14ac:dyDescent="0.25">
      <c r="A11838" t="str">
        <f>"8656135367"</f>
        <v>8656135367</v>
      </c>
      <c r="B11838" t="str">
        <f t="shared" si="474"/>
        <v>89301000</v>
      </c>
      <c r="C11838" s="1">
        <v>44328</v>
      </c>
      <c r="D11838" s="1">
        <v>44330</v>
      </c>
      <c r="E11838">
        <v>1</v>
      </c>
      <c r="F11838" t="s">
        <v>387</v>
      </c>
      <c r="G11838" t="str">
        <f>"08-I18-02"</f>
        <v>08-I18-02</v>
      </c>
      <c r="H11838">
        <v>0.65769999999999995</v>
      </c>
      <c r="I11838" t="s">
        <v>7774</v>
      </c>
      <c r="J11838" t="s">
        <v>17</v>
      </c>
      <c r="K11838" t="str">
        <f>"5F3"</f>
        <v>5F3</v>
      </c>
      <c r="L11838" t="s">
        <v>15</v>
      </c>
    </row>
    <row r="11839" spans="1:12" x14ac:dyDescent="0.25">
      <c r="A11839" t="str">
        <f>"8656154914"</f>
        <v>8656154914</v>
      </c>
      <c r="B11839" t="str">
        <f t="shared" si="474"/>
        <v>89301000</v>
      </c>
      <c r="C11839" s="1">
        <v>44474</v>
      </c>
      <c r="D11839" s="1">
        <v>44476</v>
      </c>
      <c r="E11839">
        <v>1</v>
      </c>
      <c r="F11839" t="s">
        <v>1034</v>
      </c>
      <c r="G11839" t="str">
        <f>"05-K14-02"</f>
        <v>05-K14-02</v>
      </c>
      <c r="H11839">
        <v>0.9748</v>
      </c>
      <c r="I11839" t="s">
        <v>3799</v>
      </c>
      <c r="J11839" t="s">
        <v>14</v>
      </c>
      <c r="K11839" t="str">
        <f>"1F7"</f>
        <v>1F7</v>
      </c>
      <c r="L11839" t="s">
        <v>15</v>
      </c>
    </row>
    <row r="11840" spans="1:12" x14ac:dyDescent="0.25">
      <c r="A11840" t="str">
        <f>"8656154914"</f>
        <v>8656154914</v>
      </c>
      <c r="B11840" t="str">
        <f t="shared" si="474"/>
        <v>89301000</v>
      </c>
      <c r="C11840" s="1">
        <v>44375</v>
      </c>
      <c r="D11840" s="1">
        <v>44376</v>
      </c>
      <c r="E11840">
        <v>1</v>
      </c>
      <c r="F11840" t="s">
        <v>3799</v>
      </c>
      <c r="G11840" t="str">
        <f>"11-K03-02"</f>
        <v>11-K03-02</v>
      </c>
      <c r="H11840">
        <v>0.6008</v>
      </c>
      <c r="I11840" t="s">
        <v>7775</v>
      </c>
      <c r="J11840" t="s">
        <v>14</v>
      </c>
      <c r="K11840" t="str">
        <f>"1F1"</f>
        <v>1F1</v>
      </c>
      <c r="L11840" t="s">
        <v>15</v>
      </c>
    </row>
    <row r="11841" spans="1:12" x14ac:dyDescent="0.25">
      <c r="A11841" t="str">
        <f>"8656166167"</f>
        <v>8656166167</v>
      </c>
      <c r="B11841" t="str">
        <f t="shared" si="474"/>
        <v>89301000</v>
      </c>
      <c r="C11841" s="1">
        <v>44502</v>
      </c>
      <c r="D11841" s="1">
        <v>44508</v>
      </c>
      <c r="E11841">
        <v>1</v>
      </c>
      <c r="F11841" t="s">
        <v>75</v>
      </c>
      <c r="G11841" t="str">
        <f>"14-M01-05"</f>
        <v>14-M01-05</v>
      </c>
      <c r="H11841">
        <v>0.54239999999999999</v>
      </c>
      <c r="I11841" t="s">
        <v>256</v>
      </c>
      <c r="J11841" t="s">
        <v>59</v>
      </c>
      <c r="K11841" t="str">
        <f>"6F3"</f>
        <v>6F3</v>
      </c>
      <c r="L11841" t="s">
        <v>15</v>
      </c>
    </row>
    <row r="11842" spans="1:12" x14ac:dyDescent="0.25">
      <c r="A11842" t="str">
        <f>"8656254915"</f>
        <v>8656254915</v>
      </c>
      <c r="B11842" t="str">
        <f t="shared" si="474"/>
        <v>89301000</v>
      </c>
      <c r="C11842" s="1">
        <v>44467</v>
      </c>
      <c r="D11842" s="1">
        <v>44471</v>
      </c>
      <c r="E11842">
        <v>1</v>
      </c>
      <c r="F11842" t="s">
        <v>112</v>
      </c>
      <c r="G11842" t="str">
        <f>"14-M01-05"</f>
        <v>14-M01-05</v>
      </c>
      <c r="H11842">
        <v>0.54239999999999999</v>
      </c>
      <c r="I11842" t="s">
        <v>269</v>
      </c>
      <c r="J11842" t="s">
        <v>59</v>
      </c>
      <c r="K11842" t="str">
        <f>"6F3"</f>
        <v>6F3</v>
      </c>
      <c r="L11842" t="s">
        <v>15</v>
      </c>
    </row>
    <row r="11843" spans="1:12" x14ac:dyDescent="0.25">
      <c r="A11843" t="str">
        <f>"8657034914"</f>
        <v>8657034914</v>
      </c>
      <c r="B11843" t="str">
        <f t="shared" si="474"/>
        <v>89301000</v>
      </c>
      <c r="C11843" s="1">
        <v>44236</v>
      </c>
      <c r="D11843" s="1">
        <v>44239</v>
      </c>
      <c r="E11843">
        <v>1</v>
      </c>
      <c r="F11843" t="s">
        <v>2068</v>
      </c>
      <c r="G11843" t="str">
        <f>"02-I06-02"</f>
        <v>02-I06-02</v>
      </c>
      <c r="H11843">
        <v>0.90300000000000002</v>
      </c>
      <c r="I11843" t="s">
        <v>621</v>
      </c>
      <c r="J11843" t="s">
        <v>17</v>
      </c>
      <c r="K11843" t="str">
        <f>"7F5"</f>
        <v>7F5</v>
      </c>
      <c r="L11843" t="s">
        <v>15</v>
      </c>
    </row>
    <row r="11844" spans="1:12" x14ac:dyDescent="0.25">
      <c r="A11844" t="str">
        <f>"8657034914"</f>
        <v>8657034914</v>
      </c>
      <c r="B11844" t="str">
        <f t="shared" si="474"/>
        <v>89301000</v>
      </c>
      <c r="C11844" s="1">
        <v>44364</v>
      </c>
      <c r="D11844" s="1">
        <v>44365</v>
      </c>
      <c r="E11844">
        <v>1</v>
      </c>
      <c r="F11844" t="s">
        <v>1704</v>
      </c>
      <c r="G11844" t="str">
        <f>"23-I10-00"</f>
        <v>23-I10-00</v>
      </c>
      <c r="H11844">
        <v>0.59630000000000005</v>
      </c>
      <c r="I11844" t="s">
        <v>7776</v>
      </c>
      <c r="J11844" t="s">
        <v>14</v>
      </c>
      <c r="K11844" t="str">
        <f>"7F5"</f>
        <v>7F5</v>
      </c>
      <c r="L11844" t="s">
        <v>15</v>
      </c>
    </row>
    <row r="11845" spans="1:12" x14ac:dyDescent="0.25">
      <c r="A11845" t="str">
        <f>"8657095777"</f>
        <v>8657095777</v>
      </c>
      <c r="B11845" t="str">
        <f t="shared" si="474"/>
        <v>89301000</v>
      </c>
      <c r="C11845" s="1">
        <v>44356</v>
      </c>
      <c r="D11845" s="1">
        <v>44360</v>
      </c>
      <c r="E11845">
        <v>1</v>
      </c>
      <c r="F11845" t="s">
        <v>61</v>
      </c>
      <c r="G11845" t="str">
        <f>"14-I01-05"</f>
        <v>14-I01-05</v>
      </c>
      <c r="H11845">
        <v>0.80030000000000001</v>
      </c>
      <c r="I11845" t="s">
        <v>7777</v>
      </c>
      <c r="J11845" t="s">
        <v>59</v>
      </c>
      <c r="K11845" t="str">
        <f>"6F3"</f>
        <v>6F3</v>
      </c>
      <c r="L11845" t="s">
        <v>15</v>
      </c>
    </row>
    <row r="11846" spans="1:12" x14ac:dyDescent="0.25">
      <c r="A11846" t="str">
        <f>"8657135806"</f>
        <v>8657135806</v>
      </c>
      <c r="B11846" t="str">
        <f t="shared" si="474"/>
        <v>89301000</v>
      </c>
      <c r="C11846" s="1">
        <v>44293</v>
      </c>
      <c r="D11846" s="1">
        <v>44297</v>
      </c>
      <c r="E11846">
        <v>1</v>
      </c>
      <c r="F11846" t="s">
        <v>75</v>
      </c>
      <c r="G11846" t="str">
        <f>"14-M01-05"</f>
        <v>14-M01-05</v>
      </c>
      <c r="H11846">
        <v>0.54239999999999999</v>
      </c>
      <c r="I11846" t="s">
        <v>426</v>
      </c>
      <c r="J11846" t="s">
        <v>59</v>
      </c>
      <c r="K11846" t="str">
        <f>"6F3"</f>
        <v>6F3</v>
      </c>
      <c r="L11846" t="s">
        <v>15</v>
      </c>
    </row>
    <row r="11847" spans="1:12" x14ac:dyDescent="0.25">
      <c r="A11847" t="str">
        <f>"8657165836"</f>
        <v>8657165836</v>
      </c>
      <c r="B11847" t="str">
        <f t="shared" si="474"/>
        <v>89301000</v>
      </c>
      <c r="C11847" s="1">
        <v>44451</v>
      </c>
      <c r="D11847" s="1">
        <v>44453</v>
      </c>
      <c r="E11847">
        <v>1</v>
      </c>
      <c r="F11847" t="s">
        <v>82</v>
      </c>
      <c r="G11847" t="str">
        <f>"14-I01-05"</f>
        <v>14-I01-05</v>
      </c>
      <c r="H11847">
        <v>0.80030000000000001</v>
      </c>
      <c r="I11847" t="s">
        <v>7778</v>
      </c>
      <c r="J11847" t="s">
        <v>59</v>
      </c>
      <c r="K11847" t="str">
        <f>"6F3"</f>
        <v>6F3</v>
      </c>
      <c r="L11847" t="s">
        <v>15</v>
      </c>
    </row>
    <row r="11848" spans="1:12" x14ac:dyDescent="0.25">
      <c r="A11848" t="str">
        <f>"8657184910"</f>
        <v>8657184910</v>
      </c>
      <c r="B11848" t="str">
        <f t="shared" si="474"/>
        <v>89301000</v>
      </c>
      <c r="C11848" s="1">
        <v>44513</v>
      </c>
      <c r="D11848" s="1">
        <v>44516</v>
      </c>
      <c r="E11848">
        <v>1</v>
      </c>
      <c r="F11848" t="s">
        <v>75</v>
      </c>
      <c r="G11848" t="str">
        <f>"14-M01-05"</f>
        <v>14-M01-05</v>
      </c>
      <c r="H11848">
        <v>0.54239999999999999</v>
      </c>
      <c r="I11848" t="s">
        <v>76</v>
      </c>
      <c r="J11848" t="s">
        <v>59</v>
      </c>
      <c r="K11848" t="str">
        <f>"6F3"</f>
        <v>6F3</v>
      </c>
      <c r="L11848" t="s">
        <v>15</v>
      </c>
    </row>
    <row r="11849" spans="1:12" x14ac:dyDescent="0.25">
      <c r="A11849" t="str">
        <f>"8657185801"</f>
        <v>8657185801</v>
      </c>
      <c r="B11849" t="str">
        <f t="shared" si="474"/>
        <v>89301000</v>
      </c>
      <c r="C11849" s="1">
        <v>44549</v>
      </c>
      <c r="D11849" s="1">
        <v>44552</v>
      </c>
      <c r="E11849">
        <v>1</v>
      </c>
      <c r="F11849" t="s">
        <v>7648</v>
      </c>
      <c r="G11849" t="str">
        <f>"14-M01-05"</f>
        <v>14-M01-05</v>
      </c>
      <c r="H11849">
        <v>0.54239999999999999</v>
      </c>
      <c r="I11849" t="s">
        <v>7448</v>
      </c>
      <c r="J11849" t="s">
        <v>59</v>
      </c>
      <c r="K11849" t="str">
        <f>"6F3"</f>
        <v>6F3</v>
      </c>
      <c r="L11849" t="s">
        <v>15</v>
      </c>
    </row>
    <row r="11850" spans="1:12" x14ac:dyDescent="0.25">
      <c r="A11850" t="str">
        <f>"8657225819"</f>
        <v>8657225819</v>
      </c>
      <c r="B11850" t="str">
        <f t="shared" si="474"/>
        <v>89301000</v>
      </c>
      <c r="C11850" s="1">
        <v>44253</v>
      </c>
      <c r="D11850" s="1">
        <v>44270</v>
      </c>
      <c r="E11850">
        <v>1</v>
      </c>
      <c r="F11850" t="s">
        <v>5282</v>
      </c>
      <c r="G11850" t="str">
        <f>"01-M01-02"</f>
        <v>01-M01-02</v>
      </c>
      <c r="H11850">
        <v>7.7656999999999998</v>
      </c>
      <c r="I11850" t="s">
        <v>962</v>
      </c>
      <c r="J11850" t="s">
        <v>17</v>
      </c>
      <c r="K11850" t="str">
        <f>"5F6"</f>
        <v>5F6</v>
      </c>
      <c r="L11850" t="s">
        <v>15</v>
      </c>
    </row>
    <row r="11851" spans="1:12" x14ac:dyDescent="0.25">
      <c r="A11851" t="str">
        <f>"8657264847"</f>
        <v>8657264847</v>
      </c>
      <c r="B11851" t="str">
        <f t="shared" si="474"/>
        <v>89301000</v>
      </c>
      <c r="C11851" s="1">
        <v>44224</v>
      </c>
      <c r="D11851" s="1">
        <v>44229</v>
      </c>
      <c r="E11851">
        <v>5</v>
      </c>
      <c r="F11851" t="s">
        <v>16</v>
      </c>
      <c r="G11851" t="str">
        <f>"08-I04-03"</f>
        <v>08-I04-03</v>
      </c>
      <c r="H11851">
        <v>1.331</v>
      </c>
      <c r="J11851" t="s">
        <v>17</v>
      </c>
      <c r="K11851" t="str">
        <f>"5F6"</f>
        <v>5F6</v>
      </c>
      <c r="L11851" t="s">
        <v>15</v>
      </c>
    </row>
    <row r="11852" spans="1:12" x14ac:dyDescent="0.25">
      <c r="A11852" t="str">
        <f>"8657265782"</f>
        <v>8657265782</v>
      </c>
      <c r="B11852" t="str">
        <f t="shared" si="474"/>
        <v>89301000</v>
      </c>
      <c r="C11852" s="1">
        <v>44463</v>
      </c>
      <c r="D11852" s="1">
        <v>44466</v>
      </c>
      <c r="E11852">
        <v>1</v>
      </c>
      <c r="F11852" t="s">
        <v>41</v>
      </c>
      <c r="G11852" t="str">
        <f>"01-D01-03"</f>
        <v>01-D01-03</v>
      </c>
      <c r="H11852">
        <v>0.2054</v>
      </c>
      <c r="I11852" t="s">
        <v>7779</v>
      </c>
      <c r="J11852" t="s">
        <v>14</v>
      </c>
      <c r="K11852" t="str">
        <f>"2F5"</f>
        <v>2F5</v>
      </c>
      <c r="L11852" t="s">
        <v>15</v>
      </c>
    </row>
    <row r="11853" spans="1:12" x14ac:dyDescent="0.25">
      <c r="A11853" t="str">
        <f>"8658015795"</f>
        <v>8658015795</v>
      </c>
      <c r="B11853" t="str">
        <f t="shared" si="474"/>
        <v>89301000</v>
      </c>
      <c r="C11853" s="1">
        <v>44537</v>
      </c>
      <c r="D11853" s="1">
        <v>44540</v>
      </c>
      <c r="E11853">
        <v>1</v>
      </c>
      <c r="F11853" t="s">
        <v>6312</v>
      </c>
      <c r="G11853" t="str">
        <f>"13-I16-00"</f>
        <v>13-I16-00</v>
      </c>
      <c r="H11853">
        <v>1.0256000000000001</v>
      </c>
      <c r="J11853" t="s">
        <v>17</v>
      </c>
      <c r="K11853" t="str">
        <f>"6F3"</f>
        <v>6F3</v>
      </c>
      <c r="L11853" t="s">
        <v>15</v>
      </c>
    </row>
    <row r="11854" spans="1:12" x14ac:dyDescent="0.25">
      <c r="A11854" t="str">
        <f>"8658015817"</f>
        <v>8658015817</v>
      </c>
      <c r="B11854" t="str">
        <f t="shared" si="474"/>
        <v>89301000</v>
      </c>
      <c r="C11854" s="1">
        <v>44520</v>
      </c>
      <c r="D11854" s="1">
        <v>44524</v>
      </c>
      <c r="E11854">
        <v>1</v>
      </c>
      <c r="F11854" t="s">
        <v>43</v>
      </c>
      <c r="G11854" t="str">
        <f>"06-I18-05"</f>
        <v>06-I18-05</v>
      </c>
      <c r="H11854">
        <v>0.85550000000000004</v>
      </c>
      <c r="J11854" t="s">
        <v>24</v>
      </c>
      <c r="K11854" t="str">
        <f>"5F1"</f>
        <v>5F1</v>
      </c>
      <c r="L11854" t="s">
        <v>15</v>
      </c>
    </row>
    <row r="11855" spans="1:12" x14ac:dyDescent="0.25">
      <c r="A11855" t="str">
        <f>"8658044912"</f>
        <v>8658044912</v>
      </c>
      <c r="B11855" t="str">
        <f t="shared" si="474"/>
        <v>89301000</v>
      </c>
      <c r="C11855" s="1">
        <v>44336</v>
      </c>
      <c r="D11855" s="1">
        <v>44337</v>
      </c>
      <c r="E11855">
        <v>1</v>
      </c>
      <c r="F11855" t="s">
        <v>2303</v>
      </c>
      <c r="G11855" t="str">
        <f>"13-I19-00"</f>
        <v>13-I19-00</v>
      </c>
      <c r="H11855">
        <v>0.24679999999999999</v>
      </c>
      <c r="J11855" t="s">
        <v>14</v>
      </c>
      <c r="K11855" t="str">
        <f>"6F3"</f>
        <v>6F3</v>
      </c>
      <c r="L11855" t="s">
        <v>15</v>
      </c>
    </row>
    <row r="11856" spans="1:12" x14ac:dyDescent="0.25">
      <c r="A11856" t="str">
        <f>"8658054922"</f>
        <v>8658054922</v>
      </c>
      <c r="B11856" t="str">
        <f t="shared" si="474"/>
        <v>89301000</v>
      </c>
      <c r="C11856" s="1">
        <v>44409</v>
      </c>
      <c r="D11856" s="1">
        <v>44412</v>
      </c>
      <c r="E11856">
        <v>1</v>
      </c>
      <c r="F11856" t="s">
        <v>445</v>
      </c>
      <c r="G11856" t="str">
        <f>"08-I17-01"</f>
        <v>08-I17-01</v>
      </c>
      <c r="H11856">
        <v>1.7847999999999999</v>
      </c>
      <c r="I11856" t="s">
        <v>7780</v>
      </c>
      <c r="J11856" t="s">
        <v>14</v>
      </c>
      <c r="K11856" t="str">
        <f>"5F3"</f>
        <v>5F3</v>
      </c>
      <c r="L11856" t="s">
        <v>15</v>
      </c>
    </row>
    <row r="11857" spans="1:12" x14ac:dyDescent="0.25">
      <c r="A11857" t="str">
        <f>"8658055769"</f>
        <v>8658055769</v>
      </c>
      <c r="B11857" t="str">
        <f t="shared" si="474"/>
        <v>89301000</v>
      </c>
      <c r="C11857" s="1">
        <v>44208</v>
      </c>
      <c r="D11857" s="1">
        <v>44212</v>
      </c>
      <c r="E11857">
        <v>1</v>
      </c>
      <c r="F11857" t="s">
        <v>61</v>
      </c>
      <c r="G11857" t="str">
        <f>"14-I01-05"</f>
        <v>14-I01-05</v>
      </c>
      <c r="H11857">
        <v>0.80030000000000001</v>
      </c>
      <c r="J11857" t="s">
        <v>59</v>
      </c>
      <c r="K11857" t="str">
        <f>"6F3"</f>
        <v>6F3</v>
      </c>
      <c r="L11857" t="s">
        <v>15</v>
      </c>
    </row>
    <row r="11858" spans="1:12" x14ac:dyDescent="0.25">
      <c r="A11858" t="str">
        <f>"8658085491"</f>
        <v>8658085491</v>
      </c>
      <c r="B11858" t="str">
        <f t="shared" si="474"/>
        <v>89301000</v>
      </c>
      <c r="C11858" s="1">
        <v>44432</v>
      </c>
      <c r="D11858" s="1">
        <v>44433</v>
      </c>
      <c r="E11858">
        <v>1</v>
      </c>
      <c r="F11858" t="s">
        <v>2576</v>
      </c>
      <c r="G11858" t="str">
        <f>"11-K05-00"</f>
        <v>11-K05-00</v>
      </c>
      <c r="H11858">
        <v>0.36730000000000002</v>
      </c>
      <c r="J11858" t="s">
        <v>14</v>
      </c>
      <c r="K11858" t="str">
        <f>"6F3"</f>
        <v>6F3</v>
      </c>
      <c r="L11858" t="s">
        <v>15</v>
      </c>
    </row>
    <row r="11859" spans="1:12" x14ac:dyDescent="0.25">
      <c r="A11859" t="str">
        <f>"8658085799"</f>
        <v>8658085799</v>
      </c>
      <c r="B11859" t="str">
        <f t="shared" si="474"/>
        <v>89301000</v>
      </c>
      <c r="C11859" s="1">
        <v>44214</v>
      </c>
      <c r="D11859" s="1">
        <v>44221</v>
      </c>
      <c r="E11859">
        <v>1</v>
      </c>
      <c r="F11859" t="s">
        <v>7455</v>
      </c>
      <c r="G11859" t="str">
        <f>"14-I01-01"</f>
        <v>14-I01-01</v>
      </c>
      <c r="H11859">
        <v>1.5294000000000001</v>
      </c>
      <c r="I11859" t="s">
        <v>7781</v>
      </c>
      <c r="J11859" t="s">
        <v>59</v>
      </c>
      <c r="K11859" t="str">
        <f>"6F3"</f>
        <v>6F3</v>
      </c>
      <c r="L11859" t="s">
        <v>15</v>
      </c>
    </row>
    <row r="11860" spans="1:12" x14ac:dyDescent="0.25">
      <c r="A11860" t="str">
        <f>"8658165791"</f>
        <v>8658165791</v>
      </c>
      <c r="B11860" t="str">
        <f t="shared" si="474"/>
        <v>89301000</v>
      </c>
      <c r="C11860" s="1">
        <v>44418</v>
      </c>
      <c r="D11860" s="1">
        <v>44426</v>
      </c>
      <c r="E11860">
        <v>1</v>
      </c>
      <c r="F11860" t="s">
        <v>82</v>
      </c>
      <c r="G11860" t="str">
        <f>"14-I01-02"</f>
        <v>14-I01-02</v>
      </c>
      <c r="H11860">
        <v>1.1289</v>
      </c>
      <c r="I11860" t="s">
        <v>269</v>
      </c>
      <c r="J11860" t="s">
        <v>59</v>
      </c>
      <c r="K11860" t="str">
        <f>"6F3"</f>
        <v>6F3</v>
      </c>
      <c r="L11860" t="s">
        <v>15</v>
      </c>
    </row>
    <row r="11861" spans="1:12" x14ac:dyDescent="0.25">
      <c r="A11861" t="str">
        <f>"8658195799"</f>
        <v>8658195799</v>
      </c>
      <c r="B11861" t="str">
        <f t="shared" si="474"/>
        <v>89301000</v>
      </c>
      <c r="C11861" s="1">
        <v>44251</v>
      </c>
      <c r="D11861" s="1">
        <v>44254</v>
      </c>
      <c r="E11861">
        <v>1</v>
      </c>
      <c r="F11861" t="s">
        <v>75</v>
      </c>
      <c r="G11861" t="str">
        <f>"14-M01-05"</f>
        <v>14-M01-05</v>
      </c>
      <c r="H11861">
        <v>0.54239999999999999</v>
      </c>
      <c r="I11861" t="s">
        <v>7782</v>
      </c>
      <c r="J11861" t="s">
        <v>59</v>
      </c>
      <c r="K11861" t="str">
        <f>"6F3"</f>
        <v>6F3</v>
      </c>
      <c r="L11861" t="s">
        <v>15</v>
      </c>
    </row>
    <row r="11862" spans="1:12" x14ac:dyDescent="0.25">
      <c r="A11862" t="str">
        <f>"8658255826"</f>
        <v>8658255826</v>
      </c>
      <c r="B11862" t="str">
        <f t="shared" si="474"/>
        <v>89301000</v>
      </c>
      <c r="C11862" s="1">
        <v>44384</v>
      </c>
      <c r="D11862" s="1">
        <v>44389</v>
      </c>
      <c r="E11862">
        <v>1</v>
      </c>
      <c r="F11862" t="s">
        <v>1553</v>
      </c>
      <c r="G11862" t="str">
        <f>"04-K05-03"</f>
        <v>04-K05-03</v>
      </c>
      <c r="H11862">
        <v>0.74980000000000002</v>
      </c>
      <c r="J11862" t="s">
        <v>14</v>
      </c>
      <c r="K11862" t="str">
        <f>"1F7"</f>
        <v>1F7</v>
      </c>
      <c r="L11862" t="s">
        <v>15</v>
      </c>
    </row>
    <row r="11863" spans="1:12" x14ac:dyDescent="0.25">
      <c r="A11863" t="str">
        <f>"8659025782"</f>
        <v>8659025782</v>
      </c>
      <c r="B11863" t="str">
        <f t="shared" si="474"/>
        <v>89301000</v>
      </c>
      <c r="C11863" s="1">
        <v>44262</v>
      </c>
      <c r="D11863" s="1">
        <v>44263</v>
      </c>
      <c r="E11863">
        <v>1</v>
      </c>
      <c r="F11863" t="s">
        <v>5573</v>
      </c>
      <c r="G11863" t="str">
        <f>"19-K02-03"</f>
        <v>19-K02-03</v>
      </c>
      <c r="H11863">
        <v>0.44850000000000001</v>
      </c>
      <c r="I11863" t="s">
        <v>7783</v>
      </c>
      <c r="J11863" t="s">
        <v>27</v>
      </c>
      <c r="K11863" t="str">
        <f>"3F5"</f>
        <v>3F5</v>
      </c>
      <c r="L11863" t="s">
        <v>15</v>
      </c>
    </row>
    <row r="11864" spans="1:12" x14ac:dyDescent="0.25">
      <c r="A11864" t="str">
        <f>"8659036265"</f>
        <v>8659036265</v>
      </c>
      <c r="B11864" t="str">
        <f t="shared" si="474"/>
        <v>89301000</v>
      </c>
      <c r="C11864" s="1">
        <v>44494</v>
      </c>
      <c r="D11864" s="1">
        <v>44497</v>
      </c>
      <c r="E11864">
        <v>1</v>
      </c>
      <c r="F11864" t="s">
        <v>75</v>
      </c>
      <c r="G11864" t="str">
        <f>"14-M01-05"</f>
        <v>14-M01-05</v>
      </c>
      <c r="H11864">
        <v>0.54239999999999999</v>
      </c>
      <c r="I11864" t="s">
        <v>256</v>
      </c>
      <c r="J11864" t="s">
        <v>59</v>
      </c>
      <c r="K11864" t="str">
        <f>"6F3"</f>
        <v>6F3</v>
      </c>
      <c r="L11864" t="s">
        <v>15</v>
      </c>
    </row>
    <row r="11865" spans="1:12" x14ac:dyDescent="0.25">
      <c r="A11865" t="str">
        <f>"8659055372"</f>
        <v>8659055372</v>
      </c>
      <c r="B11865" t="str">
        <f t="shared" si="474"/>
        <v>89301000</v>
      </c>
      <c r="C11865" s="1">
        <v>44369</v>
      </c>
      <c r="D11865" s="1">
        <v>44376</v>
      </c>
      <c r="E11865">
        <v>1</v>
      </c>
      <c r="F11865" t="s">
        <v>82</v>
      </c>
      <c r="G11865" t="str">
        <f>"14-I01-02"</f>
        <v>14-I01-02</v>
      </c>
      <c r="H11865">
        <v>1.1289</v>
      </c>
      <c r="I11865" t="s">
        <v>7784</v>
      </c>
      <c r="J11865" t="s">
        <v>59</v>
      </c>
      <c r="K11865" t="str">
        <f>"6F3"</f>
        <v>6F3</v>
      </c>
      <c r="L11865" t="s">
        <v>15</v>
      </c>
    </row>
    <row r="11866" spans="1:12" x14ac:dyDescent="0.25">
      <c r="A11866" t="str">
        <f>"8659085809"</f>
        <v>8659085809</v>
      </c>
      <c r="B11866" t="str">
        <f t="shared" si="474"/>
        <v>89301000</v>
      </c>
      <c r="C11866" s="1">
        <v>44323</v>
      </c>
      <c r="D11866" s="1">
        <v>44344</v>
      </c>
      <c r="E11866">
        <v>1</v>
      </c>
      <c r="F11866" t="s">
        <v>7785</v>
      </c>
      <c r="G11866" t="str">
        <f>"08-M01-00"</f>
        <v>08-M01-00</v>
      </c>
      <c r="H11866">
        <v>5.1256000000000004</v>
      </c>
      <c r="I11866" t="s">
        <v>7786</v>
      </c>
      <c r="J11866" t="s">
        <v>14</v>
      </c>
      <c r="K11866" t="str">
        <f>"2F2"</f>
        <v>2F2</v>
      </c>
      <c r="L11866" t="s">
        <v>15</v>
      </c>
    </row>
    <row r="11867" spans="1:12" x14ac:dyDescent="0.25">
      <c r="A11867" t="str">
        <f>"8659085820"</f>
        <v>8659085820</v>
      </c>
      <c r="B11867" t="str">
        <f t="shared" si="474"/>
        <v>89301000</v>
      </c>
      <c r="C11867" s="1">
        <v>44551</v>
      </c>
      <c r="D11867" s="1">
        <v>44553</v>
      </c>
      <c r="E11867">
        <v>1</v>
      </c>
      <c r="F11867" t="s">
        <v>16</v>
      </c>
      <c r="G11867" t="str">
        <f>"08-I03-06"</f>
        <v>08-I03-06</v>
      </c>
      <c r="H11867">
        <v>2.8199000000000001</v>
      </c>
      <c r="J11867" t="s">
        <v>17</v>
      </c>
      <c r="K11867" t="str">
        <f>"5F6"</f>
        <v>5F6</v>
      </c>
      <c r="L11867" t="s">
        <v>15</v>
      </c>
    </row>
    <row r="11868" spans="1:12" x14ac:dyDescent="0.25">
      <c r="A11868" t="str">
        <f>"8659085820"</f>
        <v>8659085820</v>
      </c>
      <c r="B11868" t="str">
        <f t="shared" ref="B11868:B11931" si="476">"89301000"</f>
        <v>89301000</v>
      </c>
      <c r="C11868" s="1">
        <v>44559</v>
      </c>
      <c r="D11868" s="1">
        <v>44561</v>
      </c>
      <c r="E11868">
        <v>1</v>
      </c>
      <c r="F11868" t="s">
        <v>16</v>
      </c>
      <c r="G11868" t="str">
        <f>"08-I04-03"</f>
        <v>08-I04-03</v>
      </c>
      <c r="H11868">
        <v>1.331</v>
      </c>
      <c r="J11868" t="s">
        <v>17</v>
      </c>
      <c r="K11868" t="str">
        <f>"5F6"</f>
        <v>5F6</v>
      </c>
      <c r="L11868" t="s">
        <v>15</v>
      </c>
    </row>
    <row r="11869" spans="1:12" x14ac:dyDescent="0.25">
      <c r="A11869" t="str">
        <f>"8659165790"</f>
        <v>8659165790</v>
      </c>
      <c r="B11869" t="str">
        <f t="shared" si="476"/>
        <v>89301000</v>
      </c>
      <c r="C11869" s="1">
        <v>44448</v>
      </c>
      <c r="D11869" s="1">
        <v>44454</v>
      </c>
      <c r="E11869">
        <v>1</v>
      </c>
      <c r="F11869" t="s">
        <v>116</v>
      </c>
      <c r="G11869" t="str">
        <f>"14-M01-05"</f>
        <v>14-M01-05</v>
      </c>
      <c r="H11869">
        <v>0.54239999999999999</v>
      </c>
      <c r="I11869" t="s">
        <v>7787</v>
      </c>
      <c r="J11869" t="s">
        <v>59</v>
      </c>
      <c r="K11869" t="str">
        <f>"6F3"</f>
        <v>6F3</v>
      </c>
      <c r="L11869" t="s">
        <v>15</v>
      </c>
    </row>
    <row r="11870" spans="1:12" x14ac:dyDescent="0.25">
      <c r="A11870" t="str">
        <f>"8659245859"</f>
        <v>8659245859</v>
      </c>
      <c r="B11870" t="str">
        <f t="shared" si="476"/>
        <v>89301000</v>
      </c>
      <c r="C11870" s="1">
        <v>44372</v>
      </c>
      <c r="D11870" s="1">
        <v>44372</v>
      </c>
      <c r="E11870">
        <v>6</v>
      </c>
      <c r="F11870" t="s">
        <v>187</v>
      </c>
      <c r="G11870" t="str">
        <f>"14-I08-03"</f>
        <v>14-I08-03</v>
      </c>
      <c r="H11870">
        <v>0.1065</v>
      </c>
      <c r="J11870" t="s">
        <v>14</v>
      </c>
      <c r="K11870" t="str">
        <f>"6F3"</f>
        <v>6F3</v>
      </c>
      <c r="L11870" t="s">
        <v>15</v>
      </c>
    </row>
    <row r="11871" spans="1:12" x14ac:dyDescent="0.25">
      <c r="A11871" t="str">
        <f>"8659245859"</f>
        <v>8659245859</v>
      </c>
      <c r="B11871" t="str">
        <f t="shared" si="476"/>
        <v>89301000</v>
      </c>
      <c r="C11871" s="1">
        <v>44211</v>
      </c>
      <c r="D11871" s="1">
        <v>44217</v>
      </c>
      <c r="E11871">
        <v>1</v>
      </c>
      <c r="F11871" t="s">
        <v>5063</v>
      </c>
      <c r="G11871" t="str">
        <f>"08-I19-01"</f>
        <v>08-I19-01</v>
      </c>
      <c r="H11871">
        <v>1.0456000000000001</v>
      </c>
      <c r="I11871" t="s">
        <v>196</v>
      </c>
      <c r="J11871" t="s">
        <v>17</v>
      </c>
      <c r="K11871" t="str">
        <f>"5F3"</f>
        <v>5F3</v>
      </c>
      <c r="L11871" t="s">
        <v>15</v>
      </c>
    </row>
    <row r="11872" spans="1:12" x14ac:dyDescent="0.25">
      <c r="A11872" t="str">
        <f>"8659275911"</f>
        <v>8659275911</v>
      </c>
      <c r="B11872" t="str">
        <f t="shared" si="476"/>
        <v>89301000</v>
      </c>
      <c r="C11872" s="1">
        <v>44233</v>
      </c>
      <c r="D11872" s="1">
        <v>44238</v>
      </c>
      <c r="E11872">
        <v>1</v>
      </c>
      <c r="F11872" t="s">
        <v>82</v>
      </c>
      <c r="G11872" t="str">
        <f>"14-I01-02"</f>
        <v>14-I01-02</v>
      </c>
      <c r="H11872">
        <v>1.1289</v>
      </c>
      <c r="I11872" t="s">
        <v>7788</v>
      </c>
      <c r="J11872" t="s">
        <v>59</v>
      </c>
      <c r="K11872" t="str">
        <f>"6F3"</f>
        <v>6F3</v>
      </c>
      <c r="L11872" t="s">
        <v>15</v>
      </c>
    </row>
    <row r="11873" spans="1:12" x14ac:dyDescent="0.25">
      <c r="A11873" t="str">
        <f>"8659295799"</f>
        <v>8659295799</v>
      </c>
      <c r="B11873" t="str">
        <f t="shared" si="476"/>
        <v>89301000</v>
      </c>
      <c r="C11873" s="1">
        <v>44340</v>
      </c>
      <c r="D11873" s="1">
        <v>44343</v>
      </c>
      <c r="E11873">
        <v>1</v>
      </c>
      <c r="F11873" t="s">
        <v>7789</v>
      </c>
      <c r="G11873" t="str">
        <f>"14-K02-00"</f>
        <v>14-K02-00</v>
      </c>
      <c r="H11873">
        <v>0.1754</v>
      </c>
      <c r="I11873" t="s">
        <v>43</v>
      </c>
      <c r="J11873" t="s">
        <v>14</v>
      </c>
      <c r="K11873" t="str">
        <f>"6F3"</f>
        <v>6F3</v>
      </c>
      <c r="L11873" t="s">
        <v>15</v>
      </c>
    </row>
    <row r="11874" spans="1:12" x14ac:dyDescent="0.25">
      <c r="A11874" t="str">
        <f>"8660035780"</f>
        <v>8660035780</v>
      </c>
      <c r="B11874" t="str">
        <f t="shared" si="476"/>
        <v>89301000</v>
      </c>
      <c r="C11874" s="1">
        <v>44375</v>
      </c>
      <c r="D11874" s="1">
        <v>44377</v>
      </c>
      <c r="E11874">
        <v>1</v>
      </c>
      <c r="F11874" t="s">
        <v>3648</v>
      </c>
      <c r="G11874" t="str">
        <f>"08-I18-02"</f>
        <v>08-I18-02</v>
      </c>
      <c r="H11874">
        <v>0.65769999999999995</v>
      </c>
      <c r="I11874" t="s">
        <v>410</v>
      </c>
      <c r="J11874" t="s">
        <v>17</v>
      </c>
      <c r="K11874" t="str">
        <f>"5F3"</f>
        <v>5F3</v>
      </c>
      <c r="L11874" t="s">
        <v>15</v>
      </c>
    </row>
    <row r="11875" spans="1:12" x14ac:dyDescent="0.25">
      <c r="A11875" t="str">
        <f>"8660126145"</f>
        <v>8660126145</v>
      </c>
      <c r="B11875" t="str">
        <f t="shared" si="476"/>
        <v>89301000</v>
      </c>
      <c r="C11875" s="1">
        <v>44513</v>
      </c>
      <c r="D11875" s="1">
        <v>44516</v>
      </c>
      <c r="E11875">
        <v>1</v>
      </c>
      <c r="F11875" t="s">
        <v>43</v>
      </c>
      <c r="G11875" t="str">
        <f>"06-I18-05"</f>
        <v>06-I18-05</v>
      </c>
      <c r="H11875">
        <v>0.88939999999999997</v>
      </c>
      <c r="J11875" t="s">
        <v>24</v>
      </c>
      <c r="K11875" t="str">
        <f>"5F1"</f>
        <v>5F1</v>
      </c>
      <c r="L11875" t="s">
        <v>15</v>
      </c>
    </row>
    <row r="11876" spans="1:12" x14ac:dyDescent="0.25">
      <c r="A11876" t="str">
        <f>"8660145780"</f>
        <v>8660145780</v>
      </c>
      <c r="B11876" t="str">
        <f t="shared" si="476"/>
        <v>89301000</v>
      </c>
      <c r="C11876" s="1">
        <v>44201</v>
      </c>
      <c r="D11876" s="1">
        <v>44205</v>
      </c>
      <c r="E11876">
        <v>1</v>
      </c>
      <c r="F11876" t="s">
        <v>75</v>
      </c>
      <c r="G11876" t="str">
        <f>"14-M01-05"</f>
        <v>14-M01-05</v>
      </c>
      <c r="H11876">
        <v>0.54239999999999999</v>
      </c>
      <c r="J11876" t="s">
        <v>59</v>
      </c>
      <c r="K11876" t="str">
        <f>"6F3"</f>
        <v>6F3</v>
      </c>
      <c r="L11876" t="s">
        <v>15</v>
      </c>
    </row>
    <row r="11877" spans="1:12" x14ac:dyDescent="0.25">
      <c r="A11877" t="str">
        <f>"8660155834"</f>
        <v>8660155834</v>
      </c>
      <c r="B11877" t="str">
        <f t="shared" si="476"/>
        <v>89301000</v>
      </c>
      <c r="C11877" s="1">
        <v>44211</v>
      </c>
      <c r="D11877" s="1">
        <v>44216</v>
      </c>
      <c r="E11877">
        <v>1</v>
      </c>
      <c r="F11877" t="s">
        <v>75</v>
      </c>
      <c r="G11877" t="str">
        <f>"14-M01-05"</f>
        <v>14-M01-05</v>
      </c>
      <c r="H11877">
        <v>0.54239999999999999</v>
      </c>
      <c r="I11877" t="s">
        <v>7649</v>
      </c>
      <c r="J11877" t="s">
        <v>59</v>
      </c>
      <c r="K11877" t="str">
        <f>"6F3"</f>
        <v>6F3</v>
      </c>
      <c r="L11877" t="s">
        <v>15</v>
      </c>
    </row>
    <row r="11878" spans="1:12" x14ac:dyDescent="0.25">
      <c r="A11878" t="str">
        <f>"8660165151"</f>
        <v>8660165151</v>
      </c>
      <c r="B11878" t="str">
        <f t="shared" si="476"/>
        <v>89301000</v>
      </c>
      <c r="C11878" s="1">
        <v>44463</v>
      </c>
      <c r="D11878" s="1">
        <v>44467</v>
      </c>
      <c r="E11878">
        <v>1</v>
      </c>
      <c r="F11878" t="s">
        <v>75</v>
      </c>
      <c r="G11878" t="str">
        <f>"14-M01-05"</f>
        <v>14-M01-05</v>
      </c>
      <c r="H11878">
        <v>0.54239999999999999</v>
      </c>
      <c r="I11878" t="s">
        <v>7429</v>
      </c>
      <c r="J11878" t="s">
        <v>59</v>
      </c>
      <c r="K11878" t="str">
        <f>"6F3"</f>
        <v>6F3</v>
      </c>
      <c r="L11878" t="s">
        <v>15</v>
      </c>
    </row>
    <row r="11879" spans="1:12" x14ac:dyDescent="0.25">
      <c r="A11879" t="str">
        <f>"8660208898"</f>
        <v>8660208898</v>
      </c>
      <c r="B11879" t="str">
        <f t="shared" si="476"/>
        <v>89301000</v>
      </c>
      <c r="C11879" s="1">
        <v>44334</v>
      </c>
      <c r="D11879" s="1">
        <v>44337</v>
      </c>
      <c r="E11879">
        <v>1</v>
      </c>
      <c r="F11879" t="s">
        <v>75</v>
      </c>
      <c r="G11879" t="str">
        <f>"14-M01-05"</f>
        <v>14-M01-05</v>
      </c>
      <c r="H11879">
        <v>0.54239999999999999</v>
      </c>
      <c r="I11879" t="s">
        <v>7108</v>
      </c>
      <c r="J11879" t="s">
        <v>59</v>
      </c>
      <c r="K11879" t="str">
        <f>"6F3"</f>
        <v>6F3</v>
      </c>
      <c r="L11879" t="s">
        <v>15</v>
      </c>
    </row>
    <row r="11880" spans="1:12" x14ac:dyDescent="0.25">
      <c r="A11880" t="str">
        <f>"8661125385"</f>
        <v>8661125385</v>
      </c>
      <c r="B11880" t="str">
        <f t="shared" si="476"/>
        <v>89301000</v>
      </c>
      <c r="C11880" s="1">
        <v>44337</v>
      </c>
      <c r="D11880" s="1">
        <v>44338</v>
      </c>
      <c r="E11880">
        <v>1</v>
      </c>
      <c r="F11880" t="s">
        <v>1716</v>
      </c>
      <c r="G11880" t="str">
        <f>"11-M05-02"</f>
        <v>11-M05-02</v>
      </c>
      <c r="H11880">
        <v>0.65690000000000004</v>
      </c>
      <c r="I11880" t="s">
        <v>7790</v>
      </c>
      <c r="J11880" t="s">
        <v>17</v>
      </c>
      <c r="K11880" t="str">
        <f>"7F6"</f>
        <v>7F6</v>
      </c>
      <c r="L11880" t="s">
        <v>15</v>
      </c>
    </row>
    <row r="11881" spans="1:12" x14ac:dyDescent="0.25">
      <c r="A11881" t="str">
        <f>"8661125385"</f>
        <v>8661125385</v>
      </c>
      <c r="B11881" t="str">
        <f t="shared" si="476"/>
        <v>89301000</v>
      </c>
      <c r="C11881" s="1">
        <v>44322</v>
      </c>
      <c r="D11881" s="1">
        <v>44323</v>
      </c>
      <c r="E11881">
        <v>1</v>
      </c>
      <c r="F11881" t="s">
        <v>1716</v>
      </c>
      <c r="G11881" t="str">
        <f>"11-K06-02"</f>
        <v>11-K06-02</v>
      </c>
      <c r="H11881">
        <v>0.2263</v>
      </c>
      <c r="I11881" t="s">
        <v>7790</v>
      </c>
      <c r="J11881" t="s">
        <v>14</v>
      </c>
      <c r="K11881" t="str">
        <f>"7F6"</f>
        <v>7F6</v>
      </c>
      <c r="L11881" t="s">
        <v>15</v>
      </c>
    </row>
    <row r="11882" spans="1:12" x14ac:dyDescent="0.25">
      <c r="A11882" t="str">
        <f>"8661125803"</f>
        <v>8661125803</v>
      </c>
      <c r="B11882" t="str">
        <f t="shared" si="476"/>
        <v>89301000</v>
      </c>
      <c r="C11882" s="1">
        <v>44425</v>
      </c>
      <c r="D11882" s="1">
        <v>44426</v>
      </c>
      <c r="E11882">
        <v>1</v>
      </c>
      <c r="F11882" t="s">
        <v>186</v>
      </c>
      <c r="G11882" t="str">
        <f>"05-K05-05"</f>
        <v>05-K05-05</v>
      </c>
      <c r="H11882">
        <v>0.37819999999999998</v>
      </c>
      <c r="J11882" t="s">
        <v>14</v>
      </c>
      <c r="K11882" t="str">
        <f>"1F1"</f>
        <v>1F1</v>
      </c>
      <c r="L11882" t="s">
        <v>15</v>
      </c>
    </row>
    <row r="11883" spans="1:12" x14ac:dyDescent="0.25">
      <c r="A11883" t="str">
        <f>"8661125803"</f>
        <v>8661125803</v>
      </c>
      <c r="B11883" t="str">
        <f t="shared" si="476"/>
        <v>89301000</v>
      </c>
      <c r="C11883" s="1">
        <v>44433</v>
      </c>
      <c r="D11883" s="1">
        <v>44434</v>
      </c>
      <c r="E11883">
        <v>1</v>
      </c>
      <c r="F11883" t="s">
        <v>186</v>
      </c>
      <c r="G11883" t="str">
        <f>"05-M05-03"</f>
        <v>05-M05-03</v>
      </c>
      <c r="H11883">
        <v>1.9991000000000001</v>
      </c>
      <c r="J11883" t="s">
        <v>24</v>
      </c>
      <c r="K11883" t="str">
        <f>"1F1"</f>
        <v>1F1</v>
      </c>
      <c r="L11883" t="s">
        <v>15</v>
      </c>
    </row>
    <row r="11884" spans="1:12" x14ac:dyDescent="0.25">
      <c r="A11884" t="str">
        <f>"8661125836"</f>
        <v>8661125836</v>
      </c>
      <c r="B11884" t="str">
        <f t="shared" si="476"/>
        <v>89301000</v>
      </c>
      <c r="C11884" s="1">
        <v>44360</v>
      </c>
      <c r="D11884" s="1">
        <v>44363</v>
      </c>
      <c r="E11884">
        <v>1</v>
      </c>
      <c r="F11884" t="s">
        <v>112</v>
      </c>
      <c r="G11884" t="str">
        <f>"14-M01-05"</f>
        <v>14-M01-05</v>
      </c>
      <c r="H11884">
        <v>0.54239999999999999</v>
      </c>
      <c r="I11884" t="s">
        <v>7791</v>
      </c>
      <c r="J11884" t="s">
        <v>59</v>
      </c>
      <c r="K11884" t="str">
        <f>"6F3"</f>
        <v>6F3</v>
      </c>
      <c r="L11884" t="s">
        <v>15</v>
      </c>
    </row>
    <row r="11885" spans="1:12" x14ac:dyDescent="0.25">
      <c r="A11885" t="str">
        <f>"8661206235"</f>
        <v>8661206235</v>
      </c>
      <c r="B11885" t="str">
        <f t="shared" si="476"/>
        <v>89301000</v>
      </c>
      <c r="C11885" s="1">
        <v>44411</v>
      </c>
      <c r="D11885" s="1">
        <v>44413</v>
      </c>
      <c r="E11885">
        <v>1</v>
      </c>
      <c r="F11885" t="s">
        <v>75</v>
      </c>
      <c r="G11885" t="str">
        <f>"14-M01-05"</f>
        <v>14-M01-05</v>
      </c>
      <c r="H11885">
        <v>0.54239999999999999</v>
      </c>
      <c r="I11885" t="s">
        <v>426</v>
      </c>
      <c r="J11885" t="s">
        <v>59</v>
      </c>
      <c r="K11885" t="str">
        <f>"6F3"</f>
        <v>6F3</v>
      </c>
      <c r="L11885" t="s">
        <v>15</v>
      </c>
    </row>
    <row r="11886" spans="1:12" x14ac:dyDescent="0.25">
      <c r="A11886" t="str">
        <f>"8661226310"</f>
        <v>8661226310</v>
      </c>
      <c r="B11886" t="str">
        <f t="shared" si="476"/>
        <v>89301000</v>
      </c>
      <c r="C11886" s="1">
        <v>44362</v>
      </c>
      <c r="D11886" s="1">
        <v>44365</v>
      </c>
      <c r="E11886">
        <v>1</v>
      </c>
      <c r="F11886" t="s">
        <v>75</v>
      </c>
      <c r="G11886" t="str">
        <f>"14-M01-05"</f>
        <v>14-M01-05</v>
      </c>
      <c r="H11886">
        <v>0.54239999999999999</v>
      </c>
      <c r="I11886" t="s">
        <v>180</v>
      </c>
      <c r="J11886" t="s">
        <v>59</v>
      </c>
      <c r="K11886" t="str">
        <f>"6F3"</f>
        <v>6F3</v>
      </c>
      <c r="L11886" t="s">
        <v>15</v>
      </c>
    </row>
    <row r="11887" spans="1:12" x14ac:dyDescent="0.25">
      <c r="A11887" t="str">
        <f>"8662045766"</f>
        <v>8662045766</v>
      </c>
      <c r="B11887" t="str">
        <f t="shared" si="476"/>
        <v>89301000</v>
      </c>
      <c r="C11887" s="1">
        <v>44194</v>
      </c>
      <c r="D11887" s="1">
        <v>44197</v>
      </c>
      <c r="E11887">
        <v>1</v>
      </c>
      <c r="F11887" t="s">
        <v>75</v>
      </c>
      <c r="G11887" t="str">
        <f>"14-M01-05"</f>
        <v>14-M01-05</v>
      </c>
      <c r="H11887">
        <v>0.54239999999999999</v>
      </c>
      <c r="I11887" t="s">
        <v>7792</v>
      </c>
      <c r="J11887" t="s">
        <v>59</v>
      </c>
      <c r="K11887" t="str">
        <f>"6F3"</f>
        <v>6F3</v>
      </c>
      <c r="L11887" t="s">
        <v>15</v>
      </c>
    </row>
    <row r="11888" spans="1:12" x14ac:dyDescent="0.25">
      <c r="A11888" t="str">
        <f>"8662135361"</f>
        <v>8662135361</v>
      </c>
      <c r="B11888" t="str">
        <f t="shared" si="476"/>
        <v>89301000</v>
      </c>
      <c r="C11888" s="1">
        <v>44400</v>
      </c>
      <c r="D11888" s="1">
        <v>44402</v>
      </c>
      <c r="E11888">
        <v>6</v>
      </c>
      <c r="F11888" t="s">
        <v>1164</v>
      </c>
      <c r="G11888" t="str">
        <f>"01-K03-08"</f>
        <v>01-K03-08</v>
      </c>
      <c r="H11888">
        <v>0.34789999999999999</v>
      </c>
      <c r="I11888" t="s">
        <v>7793</v>
      </c>
      <c r="J11888" t="s">
        <v>14</v>
      </c>
      <c r="K11888" t="str">
        <f>"2F9"</f>
        <v>2F9</v>
      </c>
      <c r="L11888" t="s">
        <v>15</v>
      </c>
    </row>
    <row r="11889" spans="1:12" x14ac:dyDescent="0.25">
      <c r="A11889" t="str">
        <f>"8662135768"</f>
        <v>8662135768</v>
      </c>
      <c r="B11889" t="str">
        <f t="shared" si="476"/>
        <v>89301000</v>
      </c>
      <c r="C11889" s="1">
        <v>44242</v>
      </c>
      <c r="D11889" s="1">
        <v>44246</v>
      </c>
      <c r="E11889">
        <v>1</v>
      </c>
      <c r="F11889" t="s">
        <v>61</v>
      </c>
      <c r="G11889" t="str">
        <f>"14-I01-05"</f>
        <v>14-I01-05</v>
      </c>
      <c r="H11889">
        <v>0.80030000000000001</v>
      </c>
      <c r="I11889" t="s">
        <v>7794</v>
      </c>
      <c r="J11889" t="s">
        <v>59</v>
      </c>
      <c r="K11889" t="str">
        <f>"6F3"</f>
        <v>6F3</v>
      </c>
      <c r="L11889" t="s">
        <v>15</v>
      </c>
    </row>
    <row r="11890" spans="1:12" x14ac:dyDescent="0.25">
      <c r="A11890" t="str">
        <f>"8662205464"</f>
        <v>8662205464</v>
      </c>
      <c r="B11890" t="str">
        <f t="shared" si="476"/>
        <v>89301000</v>
      </c>
      <c r="C11890" s="1">
        <v>44400</v>
      </c>
      <c r="D11890" s="1">
        <v>44400</v>
      </c>
      <c r="E11890">
        <v>6</v>
      </c>
      <c r="F11890" t="s">
        <v>3852</v>
      </c>
      <c r="G11890" t="str">
        <f>"13-I19-00"</f>
        <v>13-I19-00</v>
      </c>
      <c r="H11890">
        <v>0.1235</v>
      </c>
      <c r="J11890" t="s">
        <v>14</v>
      </c>
      <c r="K11890" t="str">
        <f>"6F3"</f>
        <v>6F3</v>
      </c>
      <c r="L11890" t="s">
        <v>15</v>
      </c>
    </row>
    <row r="11891" spans="1:12" x14ac:dyDescent="0.25">
      <c r="A11891" t="str">
        <f>"8662215782"</f>
        <v>8662215782</v>
      </c>
      <c r="B11891" t="str">
        <f t="shared" si="476"/>
        <v>89301000</v>
      </c>
      <c r="C11891" s="1">
        <v>44252</v>
      </c>
      <c r="D11891" s="1">
        <v>44256</v>
      </c>
      <c r="E11891">
        <v>1</v>
      </c>
      <c r="F11891" t="s">
        <v>75</v>
      </c>
      <c r="G11891" t="str">
        <f>"14-M01-05"</f>
        <v>14-M01-05</v>
      </c>
      <c r="H11891">
        <v>0.54239999999999999</v>
      </c>
      <c r="I11891" t="s">
        <v>7795</v>
      </c>
      <c r="J11891" t="s">
        <v>59</v>
      </c>
      <c r="K11891" t="str">
        <f>"6F3"</f>
        <v>6F3</v>
      </c>
      <c r="L11891" t="s">
        <v>15</v>
      </c>
    </row>
    <row r="11892" spans="1:12" x14ac:dyDescent="0.25">
      <c r="A11892" t="str">
        <f>"8662244910"</f>
        <v>8662244910</v>
      </c>
      <c r="B11892" t="str">
        <f t="shared" si="476"/>
        <v>89301000</v>
      </c>
      <c r="C11892" s="1">
        <v>44285</v>
      </c>
      <c r="D11892" s="1">
        <v>44289</v>
      </c>
      <c r="E11892">
        <v>1</v>
      </c>
      <c r="F11892" t="s">
        <v>75</v>
      </c>
      <c r="G11892" t="str">
        <f>"14-M01-05"</f>
        <v>14-M01-05</v>
      </c>
      <c r="H11892">
        <v>0.54239999999999999</v>
      </c>
      <c r="I11892" t="s">
        <v>76</v>
      </c>
      <c r="J11892" t="s">
        <v>59</v>
      </c>
      <c r="K11892" t="str">
        <f>"6F3"</f>
        <v>6F3</v>
      </c>
      <c r="L11892" t="s">
        <v>15</v>
      </c>
    </row>
    <row r="11893" spans="1:12" x14ac:dyDescent="0.25">
      <c r="A11893" t="str">
        <f>"8662245801"</f>
        <v>8662245801</v>
      </c>
      <c r="B11893" t="str">
        <f t="shared" si="476"/>
        <v>89301000</v>
      </c>
      <c r="C11893" s="1">
        <v>44250</v>
      </c>
      <c r="D11893" s="1">
        <v>44254</v>
      </c>
      <c r="E11893">
        <v>1</v>
      </c>
      <c r="F11893" t="s">
        <v>61</v>
      </c>
      <c r="G11893" t="str">
        <f>"14-I01-05"</f>
        <v>14-I01-05</v>
      </c>
      <c r="H11893">
        <v>0.80030000000000001</v>
      </c>
      <c r="I11893" t="s">
        <v>7796</v>
      </c>
      <c r="J11893" t="s">
        <v>59</v>
      </c>
      <c r="K11893" t="str">
        <f>"6F3"</f>
        <v>6F3</v>
      </c>
      <c r="L11893" t="s">
        <v>15</v>
      </c>
    </row>
    <row r="11894" spans="1:12" x14ac:dyDescent="0.25">
      <c r="A11894" t="str">
        <f>"8662245812"</f>
        <v>8662245812</v>
      </c>
      <c r="B11894" t="str">
        <f t="shared" si="476"/>
        <v>89301000</v>
      </c>
      <c r="C11894" s="1">
        <v>44433</v>
      </c>
      <c r="D11894" s="1">
        <v>44436</v>
      </c>
      <c r="E11894">
        <v>1</v>
      </c>
      <c r="F11894" t="s">
        <v>3567</v>
      </c>
      <c r="G11894" t="str">
        <f>"08-M03-04"</f>
        <v>08-M03-04</v>
      </c>
      <c r="H11894">
        <v>0.8609</v>
      </c>
      <c r="I11894" t="s">
        <v>309</v>
      </c>
      <c r="J11894" t="s">
        <v>14</v>
      </c>
      <c r="K11894" t="str">
        <f>"6F6"</f>
        <v>6F6</v>
      </c>
      <c r="L11894" t="s">
        <v>15</v>
      </c>
    </row>
    <row r="11895" spans="1:12" x14ac:dyDescent="0.25">
      <c r="A11895" t="str">
        <f>"8662274918"</f>
        <v>8662274918</v>
      </c>
      <c r="B11895" t="str">
        <f t="shared" si="476"/>
        <v>89301000</v>
      </c>
      <c r="C11895" s="1">
        <v>44389</v>
      </c>
      <c r="D11895" s="1">
        <v>44392</v>
      </c>
      <c r="E11895">
        <v>1</v>
      </c>
      <c r="F11895" t="s">
        <v>75</v>
      </c>
      <c r="G11895" t="str">
        <f>"14-M01-05"</f>
        <v>14-M01-05</v>
      </c>
      <c r="H11895">
        <v>0.54239999999999999</v>
      </c>
      <c r="I11895" t="s">
        <v>76</v>
      </c>
      <c r="J11895" t="s">
        <v>59</v>
      </c>
      <c r="K11895" t="str">
        <f>"6F3"</f>
        <v>6F3</v>
      </c>
      <c r="L11895" t="s">
        <v>15</v>
      </c>
    </row>
    <row r="11896" spans="1:12" x14ac:dyDescent="0.25">
      <c r="A11896" t="str">
        <f>"8701045782"</f>
        <v>8701045782</v>
      </c>
      <c r="B11896" t="str">
        <f t="shared" si="476"/>
        <v>89301000</v>
      </c>
      <c r="C11896" s="1">
        <v>44222</v>
      </c>
      <c r="D11896" s="1">
        <v>44222</v>
      </c>
      <c r="E11896">
        <v>1</v>
      </c>
      <c r="F11896" t="s">
        <v>1579</v>
      </c>
      <c r="G11896" t="str">
        <f>"05-I25-03"</f>
        <v>05-I25-03</v>
      </c>
      <c r="H11896">
        <v>1.2622</v>
      </c>
      <c r="J11896" t="s">
        <v>17</v>
      </c>
      <c r="K11896" t="str">
        <f>"1F7"</f>
        <v>1F7</v>
      </c>
      <c r="L11896" t="s">
        <v>15</v>
      </c>
    </row>
    <row r="11897" spans="1:12" x14ac:dyDescent="0.25">
      <c r="A11897" t="str">
        <f>"8701096206"</f>
        <v>8701096206</v>
      </c>
      <c r="B11897" t="str">
        <f t="shared" si="476"/>
        <v>89301000</v>
      </c>
      <c r="C11897" s="1">
        <v>44340</v>
      </c>
      <c r="D11897" s="1">
        <v>44341</v>
      </c>
      <c r="E11897">
        <v>1</v>
      </c>
      <c r="F11897" t="s">
        <v>34</v>
      </c>
      <c r="G11897" t="str">
        <f>"08-I19-03"</f>
        <v>08-I19-03</v>
      </c>
      <c r="H11897">
        <v>0.61250000000000004</v>
      </c>
      <c r="I11897" t="s">
        <v>4122</v>
      </c>
      <c r="J11897" t="s">
        <v>17</v>
      </c>
      <c r="K11897" t="str">
        <f>"5F3"</f>
        <v>5F3</v>
      </c>
      <c r="L11897" t="s">
        <v>15</v>
      </c>
    </row>
    <row r="11898" spans="1:12" x14ac:dyDescent="0.25">
      <c r="A11898" t="str">
        <f>"8702045803"</f>
        <v>8702045803</v>
      </c>
      <c r="B11898" t="str">
        <f t="shared" si="476"/>
        <v>89301000</v>
      </c>
      <c r="C11898" s="1">
        <v>44284</v>
      </c>
      <c r="D11898" s="1">
        <v>44285</v>
      </c>
      <c r="E11898">
        <v>1</v>
      </c>
      <c r="F11898" t="s">
        <v>41</v>
      </c>
      <c r="G11898" t="str">
        <f>"01-D01-03"</f>
        <v>01-D01-03</v>
      </c>
      <c r="H11898">
        <v>0.158</v>
      </c>
      <c r="J11898" t="s">
        <v>14</v>
      </c>
      <c r="K11898" t="str">
        <f>"2F5"</f>
        <v>2F5</v>
      </c>
      <c r="L11898" t="s">
        <v>15</v>
      </c>
    </row>
    <row r="11899" spans="1:12" x14ac:dyDescent="0.25">
      <c r="A11899" t="str">
        <f>"8702144539"</f>
        <v>8702144539</v>
      </c>
      <c r="B11899" t="str">
        <f t="shared" si="476"/>
        <v>89301000</v>
      </c>
      <c r="C11899" s="1">
        <v>44473</v>
      </c>
      <c r="D11899" s="1">
        <v>44479</v>
      </c>
      <c r="E11899">
        <v>1</v>
      </c>
      <c r="F11899" t="s">
        <v>7797</v>
      </c>
      <c r="G11899" t="str">
        <f>"01-K04-02"</f>
        <v>01-K04-02</v>
      </c>
      <c r="H11899">
        <v>0.80059999999999998</v>
      </c>
      <c r="I11899" t="s">
        <v>910</v>
      </c>
      <c r="J11899" t="s">
        <v>14</v>
      </c>
      <c r="K11899" t="str">
        <f>"2F9"</f>
        <v>2F9</v>
      </c>
      <c r="L11899" t="s">
        <v>15</v>
      </c>
    </row>
    <row r="11900" spans="1:12" x14ac:dyDescent="0.25">
      <c r="A11900" t="str">
        <f>"8702195799"</f>
        <v>8702195799</v>
      </c>
      <c r="B11900" t="str">
        <f t="shared" si="476"/>
        <v>89301000</v>
      </c>
      <c r="C11900" s="1">
        <v>44500</v>
      </c>
      <c r="D11900" s="1">
        <v>44502</v>
      </c>
      <c r="E11900">
        <v>1</v>
      </c>
      <c r="F11900" t="s">
        <v>173</v>
      </c>
      <c r="G11900" t="str">
        <f>"08-I32-02"</f>
        <v>08-I32-02</v>
      </c>
      <c r="H11900">
        <v>0.4143</v>
      </c>
      <c r="J11900" t="s">
        <v>14</v>
      </c>
      <c r="K11900" t="str">
        <f>"5F3"</f>
        <v>5F3</v>
      </c>
      <c r="L11900" t="s">
        <v>15</v>
      </c>
    </row>
    <row r="11901" spans="1:12" x14ac:dyDescent="0.25">
      <c r="A11901" t="str">
        <f>"8702195799"</f>
        <v>8702195799</v>
      </c>
      <c r="B11901" t="str">
        <f t="shared" si="476"/>
        <v>89301000</v>
      </c>
      <c r="C11901" s="1">
        <v>44405</v>
      </c>
      <c r="D11901" s="1">
        <v>44407</v>
      </c>
      <c r="E11901">
        <v>1</v>
      </c>
      <c r="F11901" t="s">
        <v>457</v>
      </c>
      <c r="G11901" t="str">
        <f>"08-I16-04"</f>
        <v>08-I16-04</v>
      </c>
      <c r="H11901">
        <v>0.92159999999999997</v>
      </c>
      <c r="I11901" t="s">
        <v>512</v>
      </c>
      <c r="J11901" t="s">
        <v>17</v>
      </c>
      <c r="K11901" t="str">
        <f>"5F3"</f>
        <v>5F3</v>
      </c>
      <c r="L11901" t="s">
        <v>15</v>
      </c>
    </row>
    <row r="11902" spans="1:12" x14ac:dyDescent="0.25">
      <c r="A11902" t="str">
        <f>"8702234926"</f>
        <v>8702234926</v>
      </c>
      <c r="B11902" t="str">
        <f t="shared" si="476"/>
        <v>89301000</v>
      </c>
      <c r="C11902" s="1">
        <v>44249</v>
      </c>
      <c r="D11902" s="1">
        <v>44270</v>
      </c>
      <c r="E11902">
        <v>1</v>
      </c>
      <c r="F11902" t="s">
        <v>6091</v>
      </c>
      <c r="G11902" t="str">
        <f>"17-C05-03"</f>
        <v>17-C05-03</v>
      </c>
      <c r="H11902">
        <v>1.5931</v>
      </c>
      <c r="I11902" t="s">
        <v>7798</v>
      </c>
      <c r="J11902" t="s">
        <v>14</v>
      </c>
      <c r="K11902" t="str">
        <f>"2F2"</f>
        <v>2F2</v>
      </c>
      <c r="L11902" t="s">
        <v>15</v>
      </c>
    </row>
    <row r="11903" spans="1:12" x14ac:dyDescent="0.25">
      <c r="A11903" t="str">
        <f>"8703055801"</f>
        <v>8703055801</v>
      </c>
      <c r="B11903" t="str">
        <f t="shared" si="476"/>
        <v>89301000</v>
      </c>
      <c r="C11903" s="1">
        <v>44248</v>
      </c>
      <c r="D11903" s="1">
        <v>44252</v>
      </c>
      <c r="E11903">
        <v>1</v>
      </c>
      <c r="F11903" t="s">
        <v>142</v>
      </c>
      <c r="G11903" t="str">
        <f>"03-I19-03"</f>
        <v>03-I19-03</v>
      </c>
      <c r="H11903">
        <v>0.60699999999999998</v>
      </c>
      <c r="I11903" t="s">
        <v>7799</v>
      </c>
      <c r="J11903" t="s">
        <v>14</v>
      </c>
      <c r="K11903" t="str">
        <f>"6F5"</f>
        <v>6F5</v>
      </c>
      <c r="L11903" t="s">
        <v>15</v>
      </c>
    </row>
    <row r="11904" spans="1:12" x14ac:dyDescent="0.25">
      <c r="A11904" t="str">
        <f>"8703116246"</f>
        <v>8703116246</v>
      </c>
      <c r="B11904" t="str">
        <f t="shared" si="476"/>
        <v>89301000</v>
      </c>
      <c r="C11904" s="1">
        <v>44466</v>
      </c>
      <c r="D11904" s="1">
        <v>44476</v>
      </c>
      <c r="E11904">
        <v>1</v>
      </c>
      <c r="F11904" t="s">
        <v>119</v>
      </c>
      <c r="G11904" t="str">
        <f>"05-I22-00"</f>
        <v>05-I22-00</v>
      </c>
      <c r="H11904">
        <v>1.8794999999999999</v>
      </c>
      <c r="I11904" t="s">
        <v>7800</v>
      </c>
      <c r="J11904" t="s">
        <v>17</v>
      </c>
      <c r="K11904" t="str">
        <f>"6F1"</f>
        <v>6F1</v>
      </c>
      <c r="L11904" t="s">
        <v>15</v>
      </c>
    </row>
    <row r="11905" spans="1:12" x14ac:dyDescent="0.25">
      <c r="A11905" t="str">
        <f>"8703266132"</f>
        <v>8703266132</v>
      </c>
      <c r="B11905" t="str">
        <f t="shared" si="476"/>
        <v>89301000</v>
      </c>
      <c r="C11905" s="1">
        <v>44305</v>
      </c>
      <c r="D11905" s="1">
        <v>44310</v>
      </c>
      <c r="E11905">
        <v>1</v>
      </c>
      <c r="F11905" t="s">
        <v>194</v>
      </c>
      <c r="G11905" t="str">
        <f>"01-K07-03"</f>
        <v>01-K07-03</v>
      </c>
      <c r="H11905">
        <v>0.4642</v>
      </c>
      <c r="I11905" t="s">
        <v>7801</v>
      </c>
      <c r="J11905" t="s">
        <v>14</v>
      </c>
      <c r="K11905" t="str">
        <f>"2F9"</f>
        <v>2F9</v>
      </c>
      <c r="L11905" t="s">
        <v>15</v>
      </c>
    </row>
    <row r="11906" spans="1:12" x14ac:dyDescent="0.25">
      <c r="A11906" t="str">
        <f>"8703266132"</f>
        <v>8703266132</v>
      </c>
      <c r="B11906" t="str">
        <f t="shared" si="476"/>
        <v>89301000</v>
      </c>
      <c r="C11906" s="1">
        <v>44518</v>
      </c>
      <c r="D11906" s="1">
        <v>44519</v>
      </c>
      <c r="E11906">
        <v>1</v>
      </c>
      <c r="F11906" t="s">
        <v>41</v>
      </c>
      <c r="G11906" t="str">
        <f>"01-D01-03"</f>
        <v>01-D01-03</v>
      </c>
      <c r="H11906">
        <v>0.158</v>
      </c>
      <c r="I11906" t="s">
        <v>4491</v>
      </c>
      <c r="J11906" t="s">
        <v>14</v>
      </c>
      <c r="K11906" t="str">
        <f>"2F5"</f>
        <v>2F5</v>
      </c>
      <c r="L11906" t="s">
        <v>15</v>
      </c>
    </row>
    <row r="11907" spans="1:12" x14ac:dyDescent="0.25">
      <c r="A11907" t="str">
        <f>"8703275779"</f>
        <v>8703275779</v>
      </c>
      <c r="B11907" t="str">
        <f t="shared" si="476"/>
        <v>89301000</v>
      </c>
      <c r="C11907" s="1">
        <v>44533</v>
      </c>
      <c r="D11907" s="1">
        <v>44537</v>
      </c>
      <c r="E11907">
        <v>1</v>
      </c>
      <c r="F11907" t="s">
        <v>7802</v>
      </c>
      <c r="G11907" t="str">
        <f>"03-I22-02"</f>
        <v>03-I22-02</v>
      </c>
      <c r="H11907">
        <v>0.75970000000000004</v>
      </c>
      <c r="I11907" t="s">
        <v>197</v>
      </c>
      <c r="J11907" t="s">
        <v>14</v>
      </c>
      <c r="K11907" t="str">
        <f>"7F1"</f>
        <v>7F1</v>
      </c>
      <c r="L11907" t="s">
        <v>15</v>
      </c>
    </row>
    <row r="11908" spans="1:12" x14ac:dyDescent="0.25">
      <c r="A11908" t="str">
        <f>"8705015792"</f>
        <v>8705015792</v>
      </c>
      <c r="B11908" t="str">
        <f t="shared" si="476"/>
        <v>89301000</v>
      </c>
      <c r="C11908" s="1">
        <v>44256</v>
      </c>
      <c r="D11908" s="1">
        <v>44257</v>
      </c>
      <c r="E11908">
        <v>5</v>
      </c>
      <c r="F11908" t="s">
        <v>217</v>
      </c>
      <c r="G11908" t="str">
        <f>"04-K02-03"</f>
        <v>04-K02-03</v>
      </c>
      <c r="H11908">
        <v>0.6724</v>
      </c>
      <c r="I11908" t="s">
        <v>7803</v>
      </c>
      <c r="J11908" t="s">
        <v>14</v>
      </c>
      <c r="K11908" t="str">
        <f>"5F1"</f>
        <v>5F1</v>
      </c>
      <c r="L11908" t="s">
        <v>15</v>
      </c>
    </row>
    <row r="11909" spans="1:12" x14ac:dyDescent="0.25">
      <c r="A11909" t="str">
        <f>"8705085829"</f>
        <v>8705085829</v>
      </c>
      <c r="B11909" t="str">
        <f t="shared" si="476"/>
        <v>89301000</v>
      </c>
      <c r="C11909" s="1">
        <v>44242</v>
      </c>
      <c r="D11909" s="1">
        <v>44257</v>
      </c>
      <c r="E11909">
        <v>1</v>
      </c>
      <c r="F11909" t="s">
        <v>2706</v>
      </c>
      <c r="G11909" t="str">
        <f>"09-K01-02"</f>
        <v>09-K01-02</v>
      </c>
      <c r="H11909">
        <v>1.0527</v>
      </c>
      <c r="I11909" t="s">
        <v>7804</v>
      </c>
      <c r="J11909" t="s">
        <v>14</v>
      </c>
      <c r="K11909" t="str">
        <f>"4F4"</f>
        <v>4F4</v>
      </c>
      <c r="L11909" t="s">
        <v>15</v>
      </c>
    </row>
    <row r="11910" spans="1:12" x14ac:dyDescent="0.25">
      <c r="A11910" t="str">
        <f>"8705185775"</f>
        <v>8705185775</v>
      </c>
      <c r="B11910" t="str">
        <f t="shared" si="476"/>
        <v>89301000</v>
      </c>
      <c r="C11910" s="1">
        <v>44545</v>
      </c>
      <c r="D11910" s="1">
        <v>44547</v>
      </c>
      <c r="E11910">
        <v>1</v>
      </c>
      <c r="F11910" t="s">
        <v>457</v>
      </c>
      <c r="G11910" t="str">
        <f>"08-I16-04"</f>
        <v>08-I16-04</v>
      </c>
      <c r="H11910">
        <v>0.92159999999999997</v>
      </c>
      <c r="I11910" t="s">
        <v>381</v>
      </c>
      <c r="J11910" t="s">
        <v>17</v>
      </c>
      <c r="K11910" t="str">
        <f>"5F3"</f>
        <v>5F3</v>
      </c>
      <c r="L11910" t="s">
        <v>15</v>
      </c>
    </row>
    <row r="11911" spans="1:12" x14ac:dyDescent="0.25">
      <c r="A11911" t="str">
        <f>"8706045777"</f>
        <v>8706045777</v>
      </c>
      <c r="B11911" t="str">
        <f t="shared" si="476"/>
        <v>89301000</v>
      </c>
      <c r="C11911" s="1">
        <v>44327</v>
      </c>
      <c r="D11911" s="1">
        <v>44334</v>
      </c>
      <c r="E11911">
        <v>1</v>
      </c>
      <c r="F11911" t="s">
        <v>2698</v>
      </c>
      <c r="G11911" t="str">
        <f>"01-I06-05"</f>
        <v>01-I06-05</v>
      </c>
      <c r="H11911">
        <v>2.6736</v>
      </c>
      <c r="I11911" t="s">
        <v>97</v>
      </c>
      <c r="J11911" t="s">
        <v>17</v>
      </c>
      <c r="K11911" t="str">
        <f>"5F6"</f>
        <v>5F6</v>
      </c>
      <c r="L11911" t="s">
        <v>15</v>
      </c>
    </row>
    <row r="11912" spans="1:12" x14ac:dyDescent="0.25">
      <c r="A11912" t="str">
        <f>"8706165809"</f>
        <v>8706165809</v>
      </c>
      <c r="B11912" t="str">
        <f t="shared" si="476"/>
        <v>89301000</v>
      </c>
      <c r="C11912" s="1">
        <v>44515</v>
      </c>
      <c r="D11912" s="1">
        <v>44523</v>
      </c>
      <c r="E11912">
        <v>1</v>
      </c>
      <c r="F11912" t="s">
        <v>4557</v>
      </c>
      <c r="G11912" t="str">
        <f>"20-K03-03"</f>
        <v>20-K03-03</v>
      </c>
      <c r="H11912">
        <v>1.0109999999999999</v>
      </c>
      <c r="I11912" t="s">
        <v>7805</v>
      </c>
      <c r="J11912" t="s">
        <v>14</v>
      </c>
      <c r="K11912" t="str">
        <f>"3F5"</f>
        <v>3F5</v>
      </c>
      <c r="L11912" t="s">
        <v>15</v>
      </c>
    </row>
    <row r="11913" spans="1:12" x14ac:dyDescent="0.25">
      <c r="A11913" t="str">
        <f>"8706195817"</f>
        <v>8706195817</v>
      </c>
      <c r="B11913" t="str">
        <f t="shared" si="476"/>
        <v>89301000</v>
      </c>
      <c r="C11913" s="1">
        <v>44307</v>
      </c>
      <c r="D11913" s="1">
        <v>44308</v>
      </c>
      <c r="E11913">
        <v>1</v>
      </c>
      <c r="F11913" t="s">
        <v>174</v>
      </c>
      <c r="G11913" t="str">
        <f>"12-I14-00"</f>
        <v>12-I14-00</v>
      </c>
      <c r="H11913">
        <v>0.44350000000000001</v>
      </c>
      <c r="I11913" t="s">
        <v>7806</v>
      </c>
      <c r="J11913" t="s">
        <v>14</v>
      </c>
      <c r="K11913" t="str">
        <f>"7F6"</f>
        <v>7F6</v>
      </c>
      <c r="L11913" t="s">
        <v>15</v>
      </c>
    </row>
    <row r="11914" spans="1:12" x14ac:dyDescent="0.25">
      <c r="A11914" t="str">
        <f>"8707016340"</f>
        <v>8707016340</v>
      </c>
      <c r="B11914" t="str">
        <f t="shared" si="476"/>
        <v>89301000</v>
      </c>
      <c r="C11914" s="1">
        <v>44550</v>
      </c>
      <c r="D11914" s="1">
        <v>44554</v>
      </c>
      <c r="E11914">
        <v>1</v>
      </c>
      <c r="F11914" t="s">
        <v>1643</v>
      </c>
      <c r="G11914" t="str">
        <f>"08-I13-05"</f>
        <v>08-I13-05</v>
      </c>
      <c r="H11914">
        <v>2.1778</v>
      </c>
      <c r="I11914" t="s">
        <v>7807</v>
      </c>
      <c r="J11914" t="s">
        <v>17</v>
      </c>
      <c r="K11914" t="str">
        <f>"5F3"</f>
        <v>5F3</v>
      </c>
      <c r="L11914" t="s">
        <v>15</v>
      </c>
    </row>
    <row r="11915" spans="1:12" x14ac:dyDescent="0.25">
      <c r="A11915" t="str">
        <f>"8707035777"</f>
        <v>8707035777</v>
      </c>
      <c r="B11915" t="str">
        <f t="shared" si="476"/>
        <v>89301000</v>
      </c>
      <c r="C11915" s="1">
        <v>44408</v>
      </c>
      <c r="D11915" s="1">
        <v>44410</v>
      </c>
      <c r="E11915">
        <v>1</v>
      </c>
      <c r="F11915" t="s">
        <v>735</v>
      </c>
      <c r="G11915" t="str">
        <f>"08-I14-02"</f>
        <v>08-I14-02</v>
      </c>
      <c r="H11915">
        <v>1.7324999999999999</v>
      </c>
      <c r="I11915" t="s">
        <v>512</v>
      </c>
      <c r="J11915" t="s">
        <v>17</v>
      </c>
      <c r="K11915" t="str">
        <f>"5F3"</f>
        <v>5F3</v>
      </c>
      <c r="L11915" t="s">
        <v>15</v>
      </c>
    </row>
    <row r="11916" spans="1:12" x14ac:dyDescent="0.25">
      <c r="A11916" t="str">
        <f>"8707085772"</f>
        <v>8707085772</v>
      </c>
      <c r="B11916" t="str">
        <f t="shared" si="476"/>
        <v>89301000</v>
      </c>
      <c r="C11916" s="1">
        <v>44544</v>
      </c>
      <c r="D11916" s="1">
        <v>44546</v>
      </c>
      <c r="E11916">
        <v>1</v>
      </c>
      <c r="F11916" t="s">
        <v>273</v>
      </c>
      <c r="G11916" t="str">
        <f>"23-K06-00"</f>
        <v>23-K06-00</v>
      </c>
      <c r="H11916">
        <v>0.61319999999999997</v>
      </c>
      <c r="I11916" t="s">
        <v>7808</v>
      </c>
      <c r="J11916" t="s">
        <v>14</v>
      </c>
      <c r="K11916" t="str">
        <f>"1F1"</f>
        <v>1F1</v>
      </c>
      <c r="L11916" t="s">
        <v>15</v>
      </c>
    </row>
    <row r="11917" spans="1:12" x14ac:dyDescent="0.25">
      <c r="A11917" t="str">
        <f>"8707085772"</f>
        <v>8707085772</v>
      </c>
      <c r="B11917" t="str">
        <f t="shared" si="476"/>
        <v>89301000</v>
      </c>
      <c r="C11917" s="1">
        <v>44463</v>
      </c>
      <c r="D11917" s="1">
        <v>44464</v>
      </c>
      <c r="E11917">
        <v>6</v>
      </c>
      <c r="F11917" t="s">
        <v>2665</v>
      </c>
      <c r="G11917" t="str">
        <f>"05-M07-06"</f>
        <v>05-M07-06</v>
      </c>
      <c r="H11917">
        <v>1.2513000000000001</v>
      </c>
      <c r="I11917" t="s">
        <v>7809</v>
      </c>
      <c r="J11917" t="s">
        <v>17</v>
      </c>
      <c r="K11917" t="str">
        <f>"5F1"</f>
        <v>5F1</v>
      </c>
      <c r="L11917" t="s">
        <v>15</v>
      </c>
    </row>
    <row r="11918" spans="1:12" x14ac:dyDescent="0.25">
      <c r="A11918" t="str">
        <f>"8707085772"</f>
        <v>8707085772</v>
      </c>
      <c r="B11918" t="str">
        <f t="shared" si="476"/>
        <v>89301000</v>
      </c>
      <c r="C11918" s="1">
        <v>44501</v>
      </c>
      <c r="D11918" s="1">
        <v>44524</v>
      </c>
      <c r="E11918">
        <v>1</v>
      </c>
      <c r="F11918" t="s">
        <v>3308</v>
      </c>
      <c r="G11918" t="str">
        <f>"00-I05-01"</f>
        <v>00-I05-01</v>
      </c>
      <c r="H11918">
        <v>13.4655</v>
      </c>
      <c r="I11918" t="s">
        <v>7810</v>
      </c>
      <c r="J11918" t="s">
        <v>17</v>
      </c>
      <c r="K11918" t="str">
        <f>"1F1"</f>
        <v>1F1</v>
      </c>
      <c r="L11918" t="s">
        <v>15</v>
      </c>
    </row>
    <row r="11919" spans="1:12" x14ac:dyDescent="0.25">
      <c r="A11919" t="str">
        <f>"8707165819"</f>
        <v>8707165819</v>
      </c>
      <c r="B11919" t="str">
        <f t="shared" si="476"/>
        <v>89301000</v>
      </c>
      <c r="C11919" s="1">
        <v>44419</v>
      </c>
      <c r="D11919" s="1">
        <v>44434</v>
      </c>
      <c r="E11919">
        <v>1</v>
      </c>
      <c r="F11919" t="s">
        <v>774</v>
      </c>
      <c r="G11919" t="str">
        <f>"03-I18-02"</f>
        <v>03-I18-02</v>
      </c>
      <c r="H11919">
        <v>1.7455000000000001</v>
      </c>
      <c r="I11919" t="s">
        <v>7811</v>
      </c>
      <c r="J11919" t="s">
        <v>24</v>
      </c>
      <c r="K11919" t="str">
        <f>"7F1"</f>
        <v>7F1</v>
      </c>
      <c r="L11919" t="s">
        <v>15</v>
      </c>
    </row>
    <row r="11920" spans="1:12" x14ac:dyDescent="0.25">
      <c r="A11920" t="str">
        <f>"8707246372"</f>
        <v>8707246372</v>
      </c>
      <c r="B11920" t="str">
        <f t="shared" si="476"/>
        <v>89301000</v>
      </c>
      <c r="C11920" s="1">
        <v>44304</v>
      </c>
      <c r="D11920" s="1">
        <v>44308</v>
      </c>
      <c r="E11920">
        <v>1</v>
      </c>
      <c r="F11920" t="s">
        <v>6237</v>
      </c>
      <c r="G11920" t="str">
        <f>"03-I18-02"</f>
        <v>03-I18-02</v>
      </c>
      <c r="H11920">
        <v>0.84370000000000001</v>
      </c>
      <c r="J11920" t="s">
        <v>24</v>
      </c>
      <c r="K11920" t="str">
        <f>"7F1"</f>
        <v>7F1</v>
      </c>
      <c r="L11920" t="s">
        <v>15</v>
      </c>
    </row>
    <row r="11921" spans="1:12" x14ac:dyDescent="0.25">
      <c r="A11921" t="str">
        <f>"8707246372"</f>
        <v>8707246372</v>
      </c>
      <c r="B11921" t="str">
        <f t="shared" si="476"/>
        <v>89301000</v>
      </c>
      <c r="C11921" s="1">
        <v>44250</v>
      </c>
      <c r="D11921" s="1">
        <v>44254</v>
      </c>
      <c r="E11921">
        <v>1</v>
      </c>
      <c r="F11921" t="s">
        <v>407</v>
      </c>
      <c r="G11921" t="str">
        <f>"03-I19-02"</f>
        <v>03-I19-02</v>
      </c>
      <c r="H11921">
        <v>0.88829999999999998</v>
      </c>
      <c r="I11921" t="s">
        <v>7812</v>
      </c>
      <c r="J11921" t="s">
        <v>14</v>
      </c>
      <c r="K11921" t="str">
        <f>"6F5"</f>
        <v>6F5</v>
      </c>
      <c r="L11921" t="s">
        <v>15</v>
      </c>
    </row>
    <row r="11922" spans="1:12" x14ac:dyDescent="0.25">
      <c r="A11922" t="str">
        <f>"8707246372"</f>
        <v>8707246372</v>
      </c>
      <c r="B11922" t="str">
        <f t="shared" si="476"/>
        <v>89301000</v>
      </c>
      <c r="C11922" s="1">
        <v>44488</v>
      </c>
      <c r="D11922" s="1">
        <v>44492</v>
      </c>
      <c r="E11922">
        <v>1</v>
      </c>
      <c r="F11922" t="s">
        <v>6687</v>
      </c>
      <c r="G11922" t="str">
        <f>"03-I18-02"</f>
        <v>03-I18-02</v>
      </c>
      <c r="H11922">
        <v>0.84370000000000001</v>
      </c>
      <c r="J11922" t="s">
        <v>24</v>
      </c>
      <c r="K11922" t="str">
        <f>"7F1"</f>
        <v>7F1</v>
      </c>
      <c r="L11922" t="s">
        <v>15</v>
      </c>
    </row>
    <row r="11923" spans="1:12" x14ac:dyDescent="0.25">
      <c r="A11923" t="str">
        <f>"8707305772"</f>
        <v>8707305772</v>
      </c>
      <c r="B11923" t="str">
        <f t="shared" si="476"/>
        <v>89301000</v>
      </c>
      <c r="C11923" s="1">
        <v>44560</v>
      </c>
      <c r="D11923" s="1">
        <v>44561</v>
      </c>
      <c r="E11923">
        <v>1</v>
      </c>
      <c r="F11923" t="s">
        <v>34</v>
      </c>
      <c r="G11923" t="str">
        <f>"08-I19-03"</f>
        <v>08-I19-03</v>
      </c>
      <c r="H11923">
        <v>0.61250000000000004</v>
      </c>
      <c r="I11923" t="s">
        <v>30</v>
      </c>
      <c r="J11923" t="s">
        <v>17</v>
      </c>
      <c r="K11923" t="str">
        <f>"5F3"</f>
        <v>5F3</v>
      </c>
      <c r="L11923" t="s">
        <v>15</v>
      </c>
    </row>
    <row r="11924" spans="1:12" x14ac:dyDescent="0.25">
      <c r="A11924" t="str">
        <f>"8708075816"</f>
        <v>8708075816</v>
      </c>
      <c r="B11924" t="str">
        <f t="shared" si="476"/>
        <v>89301000</v>
      </c>
      <c r="C11924" s="1">
        <v>44256</v>
      </c>
      <c r="D11924" s="1">
        <v>44258</v>
      </c>
      <c r="E11924">
        <v>1</v>
      </c>
      <c r="F11924" t="s">
        <v>786</v>
      </c>
      <c r="G11924" t="str">
        <f>"04-K07-03"</f>
        <v>04-K07-03</v>
      </c>
      <c r="H11924">
        <v>0.66259999999999997</v>
      </c>
      <c r="I11924" t="s">
        <v>145</v>
      </c>
      <c r="J11924" t="s">
        <v>14</v>
      </c>
      <c r="K11924" t="str">
        <f>"2F5"</f>
        <v>2F5</v>
      </c>
      <c r="L11924" t="s">
        <v>15</v>
      </c>
    </row>
    <row r="11925" spans="1:12" x14ac:dyDescent="0.25">
      <c r="A11925" t="str">
        <f>"8708075816"</f>
        <v>8708075816</v>
      </c>
      <c r="B11925" t="str">
        <f t="shared" si="476"/>
        <v>89301000</v>
      </c>
      <c r="C11925" s="1">
        <v>44206</v>
      </c>
      <c r="D11925" s="1">
        <v>44208</v>
      </c>
      <c r="E11925">
        <v>1</v>
      </c>
      <c r="F11925" t="s">
        <v>71</v>
      </c>
      <c r="G11925" t="str">
        <f>"08-M03-05"</f>
        <v>08-M03-05</v>
      </c>
      <c r="H11925">
        <v>0.51759999999999995</v>
      </c>
      <c r="I11925" t="s">
        <v>7813</v>
      </c>
      <c r="J11925" t="s">
        <v>14</v>
      </c>
      <c r="K11925" t="str">
        <f>"6F6"</f>
        <v>6F6</v>
      </c>
      <c r="L11925" t="s">
        <v>15</v>
      </c>
    </row>
    <row r="11926" spans="1:12" x14ac:dyDescent="0.25">
      <c r="A11926" t="str">
        <f>"8708126207"</f>
        <v>8708126207</v>
      </c>
      <c r="B11926" t="str">
        <f t="shared" si="476"/>
        <v>89301000</v>
      </c>
      <c r="C11926" s="1">
        <v>44300</v>
      </c>
      <c r="D11926" s="1">
        <v>44305</v>
      </c>
      <c r="E11926">
        <v>1</v>
      </c>
      <c r="F11926" t="s">
        <v>5250</v>
      </c>
      <c r="G11926" t="str">
        <f>"07-K02-03"</f>
        <v>07-K02-03</v>
      </c>
      <c r="H11926">
        <v>0.7742</v>
      </c>
      <c r="I11926" t="s">
        <v>7814</v>
      </c>
      <c r="J11926" t="s">
        <v>14</v>
      </c>
      <c r="K11926" t="str">
        <f>"1F1"</f>
        <v>1F1</v>
      </c>
      <c r="L11926" t="s">
        <v>15</v>
      </c>
    </row>
    <row r="11927" spans="1:12" x14ac:dyDescent="0.25">
      <c r="A11927" t="str">
        <f>"8708204923"</f>
        <v>8708204923</v>
      </c>
      <c r="B11927" t="str">
        <f t="shared" si="476"/>
        <v>89301000</v>
      </c>
      <c r="C11927" s="1">
        <v>44279</v>
      </c>
      <c r="D11927" s="1">
        <v>44281</v>
      </c>
      <c r="E11927">
        <v>1</v>
      </c>
      <c r="F11927" t="s">
        <v>3577</v>
      </c>
      <c r="G11927" t="str">
        <f>"03-I22-03"</f>
        <v>03-I22-03</v>
      </c>
      <c r="H11927">
        <v>0.49049999999999999</v>
      </c>
      <c r="I11927" t="s">
        <v>168</v>
      </c>
      <c r="J11927" t="s">
        <v>14</v>
      </c>
      <c r="K11927" t="str">
        <f>"7F1"</f>
        <v>7F1</v>
      </c>
      <c r="L11927" t="s">
        <v>15</v>
      </c>
    </row>
    <row r="11928" spans="1:12" x14ac:dyDescent="0.25">
      <c r="A11928" t="str">
        <f>"8709094911"</f>
        <v>8709094911</v>
      </c>
      <c r="B11928" t="str">
        <f t="shared" si="476"/>
        <v>89301000</v>
      </c>
      <c r="C11928" s="1">
        <v>44267</v>
      </c>
      <c r="D11928" s="1">
        <v>44270</v>
      </c>
      <c r="E11928">
        <v>1</v>
      </c>
      <c r="F11928" t="s">
        <v>3799</v>
      </c>
      <c r="G11928" t="str">
        <f>"11-M02-07"</f>
        <v>11-M02-07</v>
      </c>
      <c r="H11928">
        <v>0.54100000000000004</v>
      </c>
      <c r="I11928" t="s">
        <v>7815</v>
      </c>
      <c r="J11928" t="s">
        <v>14</v>
      </c>
      <c r="K11928" t="str">
        <f>"1F1"</f>
        <v>1F1</v>
      </c>
      <c r="L11928" t="s">
        <v>15</v>
      </c>
    </row>
    <row r="11929" spans="1:12" x14ac:dyDescent="0.25">
      <c r="A11929" t="str">
        <f>"8709094911"</f>
        <v>8709094911</v>
      </c>
      <c r="B11929" t="str">
        <f t="shared" si="476"/>
        <v>89301000</v>
      </c>
      <c r="C11929" s="1">
        <v>44509</v>
      </c>
      <c r="D11929" s="1">
        <v>44512</v>
      </c>
      <c r="E11929">
        <v>1</v>
      </c>
      <c r="F11929" t="s">
        <v>1928</v>
      </c>
      <c r="G11929" t="str">
        <f>"11-M02-06"</f>
        <v>11-M02-06</v>
      </c>
      <c r="H11929">
        <v>0.98209999999999997</v>
      </c>
      <c r="I11929" t="s">
        <v>7816</v>
      </c>
      <c r="J11929" t="s">
        <v>14</v>
      </c>
      <c r="K11929" t="str">
        <f>"5F1"</f>
        <v>5F1</v>
      </c>
      <c r="L11929" t="s">
        <v>15</v>
      </c>
    </row>
    <row r="11930" spans="1:12" x14ac:dyDescent="0.25">
      <c r="A11930" t="str">
        <f>"8709185848"</f>
        <v>8709185848</v>
      </c>
      <c r="B11930" t="str">
        <f t="shared" si="476"/>
        <v>89301000</v>
      </c>
      <c r="C11930" s="1">
        <v>44252</v>
      </c>
      <c r="D11930" s="1">
        <v>44253</v>
      </c>
      <c r="E11930">
        <v>1</v>
      </c>
      <c r="F11930" t="s">
        <v>41</v>
      </c>
      <c r="G11930" t="str">
        <f>"01-D01-03"</f>
        <v>01-D01-03</v>
      </c>
      <c r="H11930">
        <v>0.158</v>
      </c>
      <c r="I11930" t="s">
        <v>3208</v>
      </c>
      <c r="J11930" t="s">
        <v>14</v>
      </c>
      <c r="K11930" t="str">
        <f>"2F5"</f>
        <v>2F5</v>
      </c>
      <c r="L11930" t="s">
        <v>15</v>
      </c>
    </row>
    <row r="11931" spans="1:12" x14ac:dyDescent="0.25">
      <c r="A11931" t="str">
        <f>"8709185848"</f>
        <v>8709185848</v>
      </c>
      <c r="B11931" t="str">
        <f t="shared" si="476"/>
        <v>89301000</v>
      </c>
      <c r="C11931" s="1">
        <v>44445</v>
      </c>
      <c r="D11931" s="1">
        <v>44446</v>
      </c>
      <c r="E11931">
        <v>1</v>
      </c>
      <c r="F11931" t="s">
        <v>7817</v>
      </c>
      <c r="G11931" t="str">
        <f>"23-K04-02"</f>
        <v>23-K04-02</v>
      </c>
      <c r="H11931">
        <v>0.38690000000000002</v>
      </c>
      <c r="I11931" t="s">
        <v>3208</v>
      </c>
      <c r="J11931" t="s">
        <v>14</v>
      </c>
      <c r="K11931" t="str">
        <f>"2F5"</f>
        <v>2F5</v>
      </c>
      <c r="L11931" t="s">
        <v>15</v>
      </c>
    </row>
    <row r="11932" spans="1:12" x14ac:dyDescent="0.25">
      <c r="A11932" t="str">
        <f>"8709185859"</f>
        <v>8709185859</v>
      </c>
      <c r="B11932" t="str">
        <f t="shared" ref="B11932:B11994" si="477">"89301000"</f>
        <v>89301000</v>
      </c>
      <c r="C11932" s="1">
        <v>44435</v>
      </c>
      <c r="D11932" s="1">
        <v>44439</v>
      </c>
      <c r="E11932">
        <v>1</v>
      </c>
      <c r="F11932" t="s">
        <v>3901</v>
      </c>
      <c r="G11932" t="str">
        <f>"07-K04-04"</f>
        <v>07-K04-04</v>
      </c>
      <c r="H11932">
        <v>0.61360000000000003</v>
      </c>
      <c r="I11932" t="s">
        <v>7818</v>
      </c>
      <c r="J11932" t="s">
        <v>14</v>
      </c>
      <c r="K11932" t="str">
        <f>"1F5"</f>
        <v>1F5</v>
      </c>
      <c r="L11932" t="s">
        <v>15</v>
      </c>
    </row>
    <row r="11933" spans="1:12" x14ac:dyDescent="0.25">
      <c r="A11933" t="str">
        <f>"8709225855"</f>
        <v>8709225855</v>
      </c>
      <c r="B11933" t="str">
        <f t="shared" si="477"/>
        <v>89301000</v>
      </c>
      <c r="C11933" s="1">
        <v>44449</v>
      </c>
      <c r="D11933" s="1">
        <v>44453</v>
      </c>
      <c r="E11933">
        <v>1</v>
      </c>
      <c r="F11933" t="s">
        <v>1553</v>
      </c>
      <c r="G11933" t="str">
        <f>"04-K05-03"</f>
        <v>04-K05-03</v>
      </c>
      <c r="H11933">
        <v>0.74980000000000002</v>
      </c>
      <c r="I11933" t="s">
        <v>7819</v>
      </c>
      <c r="J11933" t="s">
        <v>14</v>
      </c>
      <c r="K11933" t="str">
        <f>"1F5"</f>
        <v>1F5</v>
      </c>
      <c r="L11933" t="s">
        <v>15</v>
      </c>
    </row>
    <row r="11934" spans="1:12" x14ac:dyDescent="0.25">
      <c r="A11934" t="str">
        <f>"8710206142"</f>
        <v>8710206142</v>
      </c>
      <c r="B11934" t="str">
        <f t="shared" si="477"/>
        <v>89301000</v>
      </c>
      <c r="C11934" s="1">
        <v>44315</v>
      </c>
      <c r="D11934" s="1">
        <v>44329</v>
      </c>
      <c r="E11934">
        <v>1</v>
      </c>
      <c r="F11934" t="s">
        <v>217</v>
      </c>
      <c r="G11934" t="str">
        <f>"00-M01-04"</f>
        <v>00-M01-04</v>
      </c>
      <c r="H11934">
        <v>6.85</v>
      </c>
      <c r="I11934" t="s">
        <v>7820</v>
      </c>
      <c r="J11934" t="s">
        <v>14</v>
      </c>
      <c r="K11934" t="str">
        <f>"1F1"</f>
        <v>1F1</v>
      </c>
      <c r="L11934" t="s">
        <v>15</v>
      </c>
    </row>
    <row r="11935" spans="1:12" x14ac:dyDescent="0.25">
      <c r="A11935" t="str">
        <f>"8711025796"</f>
        <v>8711025796</v>
      </c>
      <c r="B11935" t="str">
        <f t="shared" si="477"/>
        <v>89301000</v>
      </c>
      <c r="C11935" s="1">
        <v>44384</v>
      </c>
      <c r="D11935" s="1">
        <v>44391</v>
      </c>
      <c r="E11935">
        <v>1</v>
      </c>
      <c r="F11935" t="s">
        <v>2433</v>
      </c>
      <c r="G11935" t="str">
        <f>"09-K04-02"</f>
        <v>09-K04-02</v>
      </c>
      <c r="H11935">
        <v>0.68279999999999996</v>
      </c>
      <c r="J11935" t="s">
        <v>14</v>
      </c>
      <c r="K11935" t="str">
        <f>"4F4"</f>
        <v>4F4</v>
      </c>
      <c r="L11935" t="s">
        <v>15</v>
      </c>
    </row>
    <row r="11936" spans="1:12" x14ac:dyDescent="0.25">
      <c r="A11936" t="str">
        <f>"8711145806"</f>
        <v>8711145806</v>
      </c>
      <c r="B11936" t="str">
        <f t="shared" si="477"/>
        <v>89301000</v>
      </c>
      <c r="C11936" s="1">
        <v>44551</v>
      </c>
      <c r="D11936" s="1">
        <v>44553</v>
      </c>
      <c r="E11936">
        <v>1</v>
      </c>
      <c r="F11936" t="s">
        <v>2914</v>
      </c>
      <c r="G11936" t="str">
        <f>"08-I14-02"</f>
        <v>08-I14-02</v>
      </c>
      <c r="H11936">
        <v>1.7324999999999999</v>
      </c>
      <c r="I11936" t="s">
        <v>244</v>
      </c>
      <c r="J11936" t="s">
        <v>17</v>
      </c>
      <c r="K11936" t="str">
        <f>"5F3"</f>
        <v>5F3</v>
      </c>
      <c r="L11936" t="s">
        <v>15</v>
      </c>
    </row>
    <row r="11937" spans="1:12" x14ac:dyDescent="0.25">
      <c r="A11937" t="str">
        <f>"8711186022"</f>
        <v>8711186022</v>
      </c>
      <c r="B11937" t="str">
        <f t="shared" si="477"/>
        <v>89301000</v>
      </c>
      <c r="C11937" s="1">
        <v>44547</v>
      </c>
      <c r="D11937" s="1">
        <v>44558</v>
      </c>
      <c r="E11937">
        <v>4</v>
      </c>
      <c r="F11937" t="s">
        <v>5555</v>
      </c>
      <c r="G11937" t="str">
        <f>"20-K04-02"</f>
        <v>20-K04-02</v>
      </c>
      <c r="H11937">
        <v>1.4984</v>
      </c>
      <c r="I11937" t="s">
        <v>7821</v>
      </c>
      <c r="J11937" t="s">
        <v>14</v>
      </c>
      <c r="K11937" t="str">
        <f>"3F5"</f>
        <v>3F5</v>
      </c>
      <c r="L11937" t="s">
        <v>15</v>
      </c>
    </row>
    <row r="11938" spans="1:12" x14ac:dyDescent="0.25">
      <c r="A11938" t="str">
        <f>"8711245796"</f>
        <v>8711245796</v>
      </c>
      <c r="B11938" t="str">
        <f t="shared" si="477"/>
        <v>89301000</v>
      </c>
      <c r="C11938" s="1">
        <v>44443</v>
      </c>
      <c r="D11938" s="1">
        <v>44460</v>
      </c>
      <c r="E11938">
        <v>4</v>
      </c>
      <c r="F11938" t="s">
        <v>7822</v>
      </c>
      <c r="G11938" t="str">
        <f>"08-I23-01"</f>
        <v>08-I23-01</v>
      </c>
      <c r="H11938">
        <v>1.7242999999999999</v>
      </c>
      <c r="I11938" t="s">
        <v>7823</v>
      </c>
      <c r="J11938" t="s">
        <v>17</v>
      </c>
      <c r="K11938" t="str">
        <f>"5F3"</f>
        <v>5F3</v>
      </c>
      <c r="L11938" t="s">
        <v>15</v>
      </c>
    </row>
    <row r="11939" spans="1:12" x14ac:dyDescent="0.25">
      <c r="A11939" t="str">
        <f>"8751046227"</f>
        <v>8751046227</v>
      </c>
      <c r="B11939" t="str">
        <f t="shared" si="477"/>
        <v>89301000</v>
      </c>
      <c r="C11939" s="1">
        <v>44545</v>
      </c>
      <c r="D11939" s="1">
        <v>44557</v>
      </c>
      <c r="E11939">
        <v>4</v>
      </c>
      <c r="F11939" t="s">
        <v>7824</v>
      </c>
      <c r="G11939" t="str">
        <f>"08-I21-01"</f>
        <v>08-I21-01</v>
      </c>
      <c r="H11939">
        <v>2.4729999999999999</v>
      </c>
      <c r="I11939" t="s">
        <v>7825</v>
      </c>
      <c r="J11939" t="s">
        <v>17</v>
      </c>
      <c r="K11939" t="str">
        <f>"5F3"</f>
        <v>5F3</v>
      </c>
      <c r="L11939" t="s">
        <v>15</v>
      </c>
    </row>
    <row r="11940" spans="1:12" x14ac:dyDescent="0.25">
      <c r="A11940" t="str">
        <f>"8751046227"</f>
        <v>8751046227</v>
      </c>
      <c r="B11940" t="str">
        <f t="shared" si="477"/>
        <v>89301000</v>
      </c>
      <c r="C11940" s="1">
        <v>44477</v>
      </c>
      <c r="D11940" s="1">
        <v>44482</v>
      </c>
      <c r="E11940">
        <v>1</v>
      </c>
      <c r="F11940" t="s">
        <v>4557</v>
      </c>
      <c r="G11940" t="str">
        <f>"20-K03-03"</f>
        <v>20-K03-03</v>
      </c>
      <c r="H11940">
        <v>1.0109999999999999</v>
      </c>
      <c r="I11940" t="s">
        <v>7826</v>
      </c>
      <c r="J11940" t="s">
        <v>14</v>
      </c>
      <c r="K11940" t="str">
        <f>"3F5"</f>
        <v>3F5</v>
      </c>
      <c r="L11940" t="s">
        <v>15</v>
      </c>
    </row>
    <row r="11941" spans="1:12" x14ac:dyDescent="0.25">
      <c r="A11941" t="str">
        <f>"8751046227"</f>
        <v>8751046227</v>
      </c>
      <c r="B11941" t="str">
        <f t="shared" si="477"/>
        <v>89301000</v>
      </c>
      <c r="C11941" s="1">
        <v>44489</v>
      </c>
      <c r="D11941" s="1">
        <v>44498</v>
      </c>
      <c r="E11941">
        <v>4</v>
      </c>
      <c r="F11941" t="s">
        <v>7827</v>
      </c>
      <c r="G11941" t="str">
        <f>"08-I03-07"</f>
        <v>08-I03-07</v>
      </c>
      <c r="H11941">
        <v>3.0385</v>
      </c>
      <c r="I11941" t="s">
        <v>7828</v>
      </c>
      <c r="J11941" t="s">
        <v>17</v>
      </c>
      <c r="K11941" t="str">
        <f>"5T6"</f>
        <v>5T6</v>
      </c>
      <c r="L11941" t="s">
        <v>15</v>
      </c>
    </row>
    <row r="11942" spans="1:12" x14ac:dyDescent="0.25">
      <c r="A11942" t="str">
        <f>"8751066214"</f>
        <v>8751066214</v>
      </c>
      <c r="B11942" t="str">
        <f t="shared" si="477"/>
        <v>89301000</v>
      </c>
      <c r="C11942" s="1">
        <v>44409</v>
      </c>
      <c r="D11942" s="1">
        <v>44413</v>
      </c>
      <c r="E11942">
        <v>1</v>
      </c>
      <c r="F11942" t="s">
        <v>75</v>
      </c>
      <c r="G11942" t="str">
        <f>"14-M01-05"</f>
        <v>14-M01-05</v>
      </c>
      <c r="H11942">
        <v>0.54239999999999999</v>
      </c>
      <c r="I11942" t="s">
        <v>256</v>
      </c>
      <c r="J11942" t="s">
        <v>59</v>
      </c>
      <c r="K11942" t="str">
        <f>"6F3"</f>
        <v>6F3</v>
      </c>
      <c r="L11942" t="s">
        <v>15</v>
      </c>
    </row>
    <row r="11943" spans="1:12" x14ac:dyDescent="0.25">
      <c r="A11943" t="str">
        <f>"8751085783"</f>
        <v>8751085783</v>
      </c>
      <c r="B11943" t="str">
        <f t="shared" si="477"/>
        <v>89301000</v>
      </c>
      <c r="C11943" s="1">
        <v>44459</v>
      </c>
      <c r="D11943" s="1">
        <v>44462</v>
      </c>
      <c r="E11943">
        <v>1</v>
      </c>
      <c r="F11943" t="s">
        <v>1551</v>
      </c>
      <c r="G11943" t="str">
        <f>"09-I06-04"</f>
        <v>09-I06-04</v>
      </c>
      <c r="H11943">
        <v>0.98829999999999996</v>
      </c>
      <c r="J11943" t="s">
        <v>17</v>
      </c>
      <c r="K11943" t="str">
        <f>"5F1"</f>
        <v>5F1</v>
      </c>
      <c r="L11943" t="s">
        <v>15</v>
      </c>
    </row>
    <row r="11944" spans="1:12" x14ac:dyDescent="0.25">
      <c r="A11944" t="str">
        <f>"8751134535"</f>
        <v>8751134535</v>
      </c>
      <c r="B11944" t="str">
        <f t="shared" si="477"/>
        <v>89301000</v>
      </c>
      <c r="C11944" s="1">
        <v>44445</v>
      </c>
      <c r="D11944" s="1">
        <v>44448</v>
      </c>
      <c r="E11944">
        <v>1</v>
      </c>
      <c r="F11944" t="s">
        <v>123</v>
      </c>
      <c r="G11944" t="str">
        <f>"03-I11-02"</f>
        <v>03-I11-02</v>
      </c>
      <c r="H11944">
        <v>1.3197000000000001</v>
      </c>
      <c r="J11944" t="s">
        <v>17</v>
      </c>
      <c r="K11944" t="str">
        <f>"6F5"</f>
        <v>6F5</v>
      </c>
      <c r="L11944" t="s">
        <v>15</v>
      </c>
    </row>
    <row r="11945" spans="1:12" x14ac:dyDescent="0.25">
      <c r="A11945" t="str">
        <f>"8751156216"</f>
        <v>8751156216</v>
      </c>
      <c r="B11945" t="str">
        <f t="shared" si="477"/>
        <v>89301000</v>
      </c>
      <c r="C11945" s="1">
        <v>44335</v>
      </c>
      <c r="D11945" s="1">
        <v>44339</v>
      </c>
      <c r="E11945">
        <v>1</v>
      </c>
      <c r="F11945" t="s">
        <v>87</v>
      </c>
      <c r="G11945" t="str">
        <f>"09-K04-02"</f>
        <v>09-K04-02</v>
      </c>
      <c r="H11945">
        <v>0.68279999999999996</v>
      </c>
      <c r="J11945" t="s">
        <v>14</v>
      </c>
      <c r="K11945" t="str">
        <f>"4F4"</f>
        <v>4F4</v>
      </c>
      <c r="L11945" t="s">
        <v>15</v>
      </c>
    </row>
    <row r="11946" spans="1:12" x14ac:dyDescent="0.25">
      <c r="A11946" t="str">
        <f>"8751215990"</f>
        <v>8751215990</v>
      </c>
      <c r="B11946" t="str">
        <f t="shared" si="477"/>
        <v>89301000</v>
      </c>
      <c r="C11946" s="1">
        <v>44526</v>
      </c>
      <c r="D11946" s="1">
        <v>44537</v>
      </c>
      <c r="E11946">
        <v>1</v>
      </c>
      <c r="F11946" t="s">
        <v>2089</v>
      </c>
      <c r="G11946" t="str">
        <f>"08-K08-00"</f>
        <v>08-K08-00</v>
      </c>
      <c r="H11946">
        <v>0.51670000000000005</v>
      </c>
      <c r="I11946" t="s">
        <v>4630</v>
      </c>
      <c r="J11946" t="s">
        <v>14</v>
      </c>
      <c r="K11946" t="str">
        <f>"5F6"</f>
        <v>5F6</v>
      </c>
      <c r="L11946" t="s">
        <v>15</v>
      </c>
    </row>
    <row r="11947" spans="1:12" x14ac:dyDescent="0.25">
      <c r="A11947" t="str">
        <f>"8751215990"</f>
        <v>8751215990</v>
      </c>
      <c r="B11947" t="str">
        <f t="shared" si="477"/>
        <v>89301000</v>
      </c>
      <c r="C11947" s="1">
        <v>44509</v>
      </c>
      <c r="D11947" s="1">
        <v>44516</v>
      </c>
      <c r="E11947">
        <v>1</v>
      </c>
      <c r="F11947" t="s">
        <v>6401</v>
      </c>
      <c r="G11947" t="str">
        <f>"08-I04-03"</f>
        <v>08-I04-03</v>
      </c>
      <c r="H11947">
        <v>1.331</v>
      </c>
      <c r="J11947" t="s">
        <v>17</v>
      </c>
      <c r="K11947" t="str">
        <f>"5F6"</f>
        <v>5F6</v>
      </c>
      <c r="L11947" t="s">
        <v>15</v>
      </c>
    </row>
    <row r="11948" spans="1:12" x14ac:dyDescent="0.25">
      <c r="A11948" t="str">
        <f>"8751304947"</f>
        <v>8751304947</v>
      </c>
      <c r="B11948" t="str">
        <f t="shared" si="477"/>
        <v>89301000</v>
      </c>
      <c r="C11948" s="1">
        <v>44410</v>
      </c>
      <c r="D11948" s="1">
        <v>44420</v>
      </c>
      <c r="E11948">
        <v>1</v>
      </c>
      <c r="F11948" t="s">
        <v>7829</v>
      </c>
      <c r="G11948" t="str">
        <f>"07-I02-02"</f>
        <v>07-I02-02</v>
      </c>
      <c r="H11948">
        <v>3.5583999999999998</v>
      </c>
      <c r="I11948" t="s">
        <v>7830</v>
      </c>
      <c r="J11948" t="s">
        <v>17</v>
      </c>
      <c r="K11948" t="str">
        <f>"5F1"</f>
        <v>5F1</v>
      </c>
      <c r="L11948" t="s">
        <v>15</v>
      </c>
    </row>
    <row r="11949" spans="1:12" x14ac:dyDescent="0.25">
      <c r="A11949" t="str">
        <f>"8751304947"</f>
        <v>8751304947</v>
      </c>
      <c r="B11949" t="str">
        <f t="shared" si="477"/>
        <v>89301000</v>
      </c>
      <c r="C11949" s="1">
        <v>44397</v>
      </c>
      <c r="D11949" s="1">
        <v>44398</v>
      </c>
      <c r="E11949">
        <v>1</v>
      </c>
      <c r="F11949" t="s">
        <v>1621</v>
      </c>
      <c r="G11949" t="str">
        <f>"07-K06-02"</f>
        <v>07-K06-02</v>
      </c>
      <c r="H11949">
        <v>0.45710000000000001</v>
      </c>
      <c r="I11949" t="s">
        <v>7831</v>
      </c>
      <c r="J11949" t="s">
        <v>14</v>
      </c>
      <c r="K11949" t="str">
        <f>"1F5"</f>
        <v>1F5</v>
      </c>
      <c r="L11949" t="s">
        <v>15</v>
      </c>
    </row>
    <row r="11950" spans="1:12" x14ac:dyDescent="0.25">
      <c r="A11950" t="str">
        <f>"8752046270"</f>
        <v>8752046270</v>
      </c>
      <c r="B11950" t="str">
        <f t="shared" si="477"/>
        <v>89301000</v>
      </c>
      <c r="C11950" s="1">
        <v>44366</v>
      </c>
      <c r="D11950" s="1">
        <v>44368</v>
      </c>
      <c r="E11950">
        <v>1</v>
      </c>
      <c r="F11950" t="s">
        <v>75</v>
      </c>
      <c r="G11950" t="str">
        <f>"14-M01-05"</f>
        <v>14-M01-05</v>
      </c>
      <c r="H11950">
        <v>0.54239999999999999</v>
      </c>
      <c r="I11950" t="s">
        <v>76</v>
      </c>
      <c r="J11950" t="s">
        <v>59</v>
      </c>
      <c r="K11950" t="str">
        <f>"6F3"</f>
        <v>6F3</v>
      </c>
      <c r="L11950" t="s">
        <v>15</v>
      </c>
    </row>
    <row r="11951" spans="1:12" x14ac:dyDescent="0.25">
      <c r="A11951" t="str">
        <f>"8752064915"</f>
        <v>8752064915</v>
      </c>
      <c r="B11951" t="str">
        <f t="shared" si="477"/>
        <v>89301000</v>
      </c>
      <c r="C11951" s="1">
        <v>44236</v>
      </c>
      <c r="D11951" s="1">
        <v>44239</v>
      </c>
      <c r="E11951">
        <v>1</v>
      </c>
      <c r="F11951" t="s">
        <v>7455</v>
      </c>
      <c r="G11951" t="str">
        <f>"14-I01-02"</f>
        <v>14-I01-02</v>
      </c>
      <c r="H11951">
        <v>1.1289</v>
      </c>
      <c r="I11951" t="s">
        <v>7726</v>
      </c>
      <c r="J11951" t="s">
        <v>59</v>
      </c>
      <c r="K11951" t="str">
        <f>"6F3"</f>
        <v>6F3</v>
      </c>
      <c r="L11951" t="s">
        <v>15</v>
      </c>
    </row>
    <row r="11952" spans="1:12" x14ac:dyDescent="0.25">
      <c r="A11952" t="str">
        <f>"8752165774"</f>
        <v>8752165774</v>
      </c>
      <c r="B11952" t="str">
        <f t="shared" si="477"/>
        <v>89301000</v>
      </c>
      <c r="C11952" s="1">
        <v>44468</v>
      </c>
      <c r="D11952" s="1">
        <v>44471</v>
      </c>
      <c r="E11952">
        <v>1</v>
      </c>
      <c r="F11952" t="s">
        <v>2527</v>
      </c>
      <c r="G11952" t="str">
        <f>"13-I14-03"</f>
        <v>13-I14-03</v>
      </c>
      <c r="H11952">
        <v>0.83199999999999996</v>
      </c>
      <c r="I11952" t="s">
        <v>51</v>
      </c>
      <c r="J11952" t="s">
        <v>24</v>
      </c>
      <c r="K11952" t="str">
        <f>"6F3"</f>
        <v>6F3</v>
      </c>
      <c r="L11952" t="s">
        <v>15</v>
      </c>
    </row>
    <row r="11953" spans="1:12" x14ac:dyDescent="0.25">
      <c r="A11953" t="str">
        <f>"8752165818"</f>
        <v>8752165818</v>
      </c>
      <c r="B11953" t="str">
        <f t="shared" si="477"/>
        <v>89301000</v>
      </c>
      <c r="C11953" s="1">
        <v>44454</v>
      </c>
      <c r="D11953" s="1">
        <v>44459</v>
      </c>
      <c r="E11953">
        <v>1</v>
      </c>
      <c r="F11953" t="s">
        <v>2527</v>
      </c>
      <c r="G11953" t="str">
        <f>"13-I14-03"</f>
        <v>13-I14-03</v>
      </c>
      <c r="H11953">
        <v>0.83199999999999996</v>
      </c>
      <c r="J11953" t="s">
        <v>24</v>
      </c>
      <c r="K11953" t="str">
        <f>"6F3"</f>
        <v>6F3</v>
      </c>
      <c r="L11953" t="s">
        <v>15</v>
      </c>
    </row>
    <row r="11954" spans="1:12" x14ac:dyDescent="0.25">
      <c r="A11954" t="str">
        <f>"8752175883"</f>
        <v>8752175883</v>
      </c>
      <c r="B11954" t="str">
        <f t="shared" si="477"/>
        <v>89301000</v>
      </c>
      <c r="C11954" s="1">
        <v>44334</v>
      </c>
      <c r="D11954" s="1">
        <v>44336</v>
      </c>
      <c r="E11954">
        <v>1</v>
      </c>
      <c r="F11954" t="s">
        <v>6933</v>
      </c>
      <c r="G11954" t="str">
        <f>"05-K19-01"</f>
        <v>05-K19-01</v>
      </c>
      <c r="H11954">
        <v>0.41170000000000001</v>
      </c>
      <c r="I11954" t="s">
        <v>7832</v>
      </c>
      <c r="J11954" t="s">
        <v>14</v>
      </c>
      <c r="K11954" t="str">
        <f>"1F1"</f>
        <v>1F1</v>
      </c>
      <c r="L11954" t="s">
        <v>15</v>
      </c>
    </row>
    <row r="11955" spans="1:12" x14ac:dyDescent="0.25">
      <c r="A11955" t="str">
        <f>"8752254918"</f>
        <v>8752254918</v>
      </c>
      <c r="B11955" t="str">
        <f t="shared" si="477"/>
        <v>89301000</v>
      </c>
      <c r="C11955" s="1">
        <v>44207</v>
      </c>
      <c r="D11955" s="1">
        <v>44210</v>
      </c>
      <c r="E11955">
        <v>1</v>
      </c>
      <c r="F11955" t="s">
        <v>6136</v>
      </c>
      <c r="G11955" t="str">
        <f>"03-I19-03"</f>
        <v>03-I19-03</v>
      </c>
      <c r="H11955">
        <v>0.60699999999999998</v>
      </c>
      <c r="I11955" t="s">
        <v>4396</v>
      </c>
      <c r="J11955" t="s">
        <v>14</v>
      </c>
      <c r="K11955" t="str">
        <f>"6F5"</f>
        <v>6F5</v>
      </c>
      <c r="L11955" t="s">
        <v>15</v>
      </c>
    </row>
    <row r="11956" spans="1:12" x14ac:dyDescent="0.25">
      <c r="A11956" t="str">
        <f>"8752254918"</f>
        <v>8752254918</v>
      </c>
      <c r="B11956" t="str">
        <f t="shared" si="477"/>
        <v>89301000</v>
      </c>
      <c r="C11956" s="1">
        <v>44224</v>
      </c>
      <c r="D11956" s="1">
        <v>44229</v>
      </c>
      <c r="E11956">
        <v>1</v>
      </c>
      <c r="F11956" t="s">
        <v>7833</v>
      </c>
      <c r="G11956" t="str">
        <f>"03-I19-02"</f>
        <v>03-I19-02</v>
      </c>
      <c r="H11956">
        <v>0.88829999999999998</v>
      </c>
      <c r="I11956" t="s">
        <v>7834</v>
      </c>
      <c r="J11956" t="s">
        <v>14</v>
      </c>
      <c r="K11956" t="str">
        <f>"6F5"</f>
        <v>6F5</v>
      </c>
      <c r="L11956" t="s">
        <v>15</v>
      </c>
    </row>
    <row r="11957" spans="1:12" x14ac:dyDescent="0.25">
      <c r="A11957" t="str">
        <f>"8752254918"</f>
        <v>8752254918</v>
      </c>
      <c r="B11957" t="str">
        <f t="shared" si="477"/>
        <v>89301000</v>
      </c>
      <c r="C11957" s="1">
        <v>44280</v>
      </c>
      <c r="D11957" s="1">
        <v>44289</v>
      </c>
      <c r="E11957">
        <v>1</v>
      </c>
      <c r="F11957" t="s">
        <v>5499</v>
      </c>
      <c r="G11957" t="str">
        <f>"03-I03-01"</f>
        <v>03-I03-01</v>
      </c>
      <c r="H11957">
        <v>7.6824000000000003</v>
      </c>
      <c r="I11957" t="s">
        <v>7835</v>
      </c>
      <c r="J11957" t="s">
        <v>17</v>
      </c>
      <c r="K11957" t="str">
        <f>"6F5"</f>
        <v>6F5</v>
      </c>
      <c r="L11957" t="s">
        <v>15</v>
      </c>
    </row>
    <row r="11958" spans="1:12" x14ac:dyDescent="0.25">
      <c r="A11958" t="str">
        <f>"8752264950"</f>
        <v>8752264950</v>
      </c>
      <c r="B11958" t="str">
        <f t="shared" si="477"/>
        <v>89301000</v>
      </c>
      <c r="C11958" s="1">
        <v>44218</v>
      </c>
      <c r="D11958" s="1">
        <v>44220</v>
      </c>
      <c r="E11958">
        <v>1</v>
      </c>
      <c r="F11958" t="s">
        <v>75</v>
      </c>
      <c r="G11958" t="str">
        <f>"14-M01-05"</f>
        <v>14-M01-05</v>
      </c>
      <c r="H11958">
        <v>0.54239999999999999</v>
      </c>
      <c r="J11958" t="s">
        <v>59</v>
      </c>
      <c r="K11958" t="str">
        <f>"6F3"</f>
        <v>6F3</v>
      </c>
      <c r="L11958" t="s">
        <v>15</v>
      </c>
    </row>
    <row r="11959" spans="1:12" x14ac:dyDescent="0.25">
      <c r="A11959" t="str">
        <f>"8752275631"</f>
        <v>8752275631</v>
      </c>
      <c r="B11959" t="str">
        <f t="shared" si="477"/>
        <v>89301000</v>
      </c>
      <c r="C11959" s="1">
        <v>44282</v>
      </c>
      <c r="D11959" s="1">
        <v>44282</v>
      </c>
      <c r="E11959">
        <v>6</v>
      </c>
      <c r="F11959" t="s">
        <v>75</v>
      </c>
      <c r="G11959" t="str">
        <f>"14-M01-05"</f>
        <v>14-M01-05</v>
      </c>
      <c r="H11959">
        <v>0.27289999999999998</v>
      </c>
      <c r="I11959" t="s">
        <v>117</v>
      </c>
      <c r="J11959" t="s">
        <v>59</v>
      </c>
      <c r="K11959" t="str">
        <f>"6F3"</f>
        <v>6F3</v>
      </c>
      <c r="L11959" t="s">
        <v>15</v>
      </c>
    </row>
    <row r="11960" spans="1:12" x14ac:dyDescent="0.25">
      <c r="A11960" t="str">
        <f>"8753104921"</f>
        <v>8753104921</v>
      </c>
      <c r="B11960" t="str">
        <f t="shared" si="477"/>
        <v>89301000</v>
      </c>
      <c r="C11960" s="1">
        <v>44307</v>
      </c>
      <c r="D11960" s="1">
        <v>44309</v>
      </c>
      <c r="E11960">
        <v>1</v>
      </c>
      <c r="F11960" t="s">
        <v>2819</v>
      </c>
      <c r="G11960" t="str">
        <f>"09-I10-02"</f>
        <v>09-I10-02</v>
      </c>
      <c r="H11960">
        <v>0.98380000000000001</v>
      </c>
      <c r="J11960" t="s">
        <v>17</v>
      </c>
      <c r="K11960" t="str">
        <f>"6F1"</f>
        <v>6F1</v>
      </c>
      <c r="L11960" t="s">
        <v>15</v>
      </c>
    </row>
    <row r="11961" spans="1:12" x14ac:dyDescent="0.25">
      <c r="A11961" t="str">
        <f>"8753153530"</f>
        <v>8753153530</v>
      </c>
      <c r="B11961" t="str">
        <f t="shared" si="477"/>
        <v>89301000</v>
      </c>
      <c r="C11961" s="1">
        <v>44386</v>
      </c>
      <c r="D11961" s="1">
        <v>44388</v>
      </c>
      <c r="E11961">
        <v>1</v>
      </c>
      <c r="F11961" t="s">
        <v>75</v>
      </c>
      <c r="G11961" t="str">
        <f>"14-M01-05"</f>
        <v>14-M01-05</v>
      </c>
      <c r="H11961">
        <v>0.54239999999999999</v>
      </c>
      <c r="I11961" t="s">
        <v>7354</v>
      </c>
      <c r="J11961" t="s">
        <v>59</v>
      </c>
      <c r="K11961" t="str">
        <f>"6F3"</f>
        <v>6F3</v>
      </c>
      <c r="L11961" t="s">
        <v>15</v>
      </c>
    </row>
    <row r="11962" spans="1:12" x14ac:dyDescent="0.25">
      <c r="A11962" t="str">
        <f>"8753165806"</f>
        <v>8753165806</v>
      </c>
      <c r="B11962" t="str">
        <f t="shared" si="477"/>
        <v>89301000</v>
      </c>
      <c r="C11962" s="1">
        <v>44349</v>
      </c>
      <c r="D11962" s="1">
        <v>44352</v>
      </c>
      <c r="E11962">
        <v>1</v>
      </c>
      <c r="F11962" t="s">
        <v>75</v>
      </c>
      <c r="G11962" t="str">
        <f>"14-M01-05"</f>
        <v>14-M01-05</v>
      </c>
      <c r="H11962">
        <v>0.54239999999999999</v>
      </c>
      <c r="I11962" t="s">
        <v>7836</v>
      </c>
      <c r="J11962" t="s">
        <v>59</v>
      </c>
      <c r="K11962" t="str">
        <f>"6F3"</f>
        <v>6F3</v>
      </c>
      <c r="L11962" t="s">
        <v>15</v>
      </c>
    </row>
    <row r="11963" spans="1:12" x14ac:dyDescent="0.25">
      <c r="A11963" t="str">
        <f>"8753214921"</f>
        <v>8753214921</v>
      </c>
      <c r="B11963" t="str">
        <f t="shared" si="477"/>
        <v>89301000</v>
      </c>
      <c r="C11963" s="1">
        <v>44437</v>
      </c>
      <c r="D11963" s="1">
        <v>44439</v>
      </c>
      <c r="E11963">
        <v>1</v>
      </c>
      <c r="F11963" t="s">
        <v>75</v>
      </c>
      <c r="G11963" t="str">
        <f>"14-M01-05"</f>
        <v>14-M01-05</v>
      </c>
      <c r="H11963">
        <v>0.54239999999999999</v>
      </c>
      <c r="J11963" t="s">
        <v>59</v>
      </c>
      <c r="K11963" t="str">
        <f>"6F3"</f>
        <v>6F3</v>
      </c>
      <c r="L11963" t="s">
        <v>15</v>
      </c>
    </row>
    <row r="11964" spans="1:12" x14ac:dyDescent="0.25">
      <c r="A11964" t="str">
        <f>"8753214921"</f>
        <v>8753214921</v>
      </c>
      <c r="B11964" t="str">
        <f t="shared" si="477"/>
        <v>89301000</v>
      </c>
      <c r="C11964" s="1">
        <v>44422</v>
      </c>
      <c r="D11964" s="1">
        <v>44422</v>
      </c>
      <c r="E11964">
        <v>1</v>
      </c>
      <c r="F11964" t="s">
        <v>60</v>
      </c>
      <c r="G11964" t="str">
        <f>"14-K03-02"</f>
        <v>14-K03-02</v>
      </c>
      <c r="H11964">
        <v>0.13270000000000001</v>
      </c>
      <c r="J11964" t="s">
        <v>14</v>
      </c>
      <c r="K11964" t="str">
        <f>"6F3"</f>
        <v>6F3</v>
      </c>
      <c r="L11964" t="s">
        <v>15</v>
      </c>
    </row>
    <row r="11965" spans="1:12" x14ac:dyDescent="0.25">
      <c r="A11965" t="str">
        <f>"8753214921"</f>
        <v>8753214921</v>
      </c>
      <c r="B11965" t="str">
        <f t="shared" si="477"/>
        <v>89301000</v>
      </c>
      <c r="C11965" s="1">
        <v>44483</v>
      </c>
      <c r="D11965" s="1">
        <v>44484</v>
      </c>
      <c r="E11965">
        <v>6</v>
      </c>
      <c r="F11965" t="s">
        <v>86</v>
      </c>
      <c r="G11965" t="str">
        <f>"14-I08-03"</f>
        <v>14-I08-03</v>
      </c>
      <c r="H11965">
        <v>0.21099999999999999</v>
      </c>
      <c r="J11965" t="s">
        <v>14</v>
      </c>
      <c r="K11965" t="str">
        <f>"6F3"</f>
        <v>6F3</v>
      </c>
      <c r="L11965" t="s">
        <v>15</v>
      </c>
    </row>
    <row r="11966" spans="1:12" x14ac:dyDescent="0.25">
      <c r="A11966" t="str">
        <f>"8753246205"</f>
        <v>8753246205</v>
      </c>
      <c r="B11966" t="str">
        <f t="shared" si="477"/>
        <v>89301000</v>
      </c>
      <c r="C11966" s="1">
        <v>44375</v>
      </c>
      <c r="D11966" s="1">
        <v>44379</v>
      </c>
      <c r="E11966">
        <v>1</v>
      </c>
      <c r="F11966" t="s">
        <v>79</v>
      </c>
      <c r="G11966" t="str">
        <f>"10-K06-00"</f>
        <v>10-K06-00</v>
      </c>
      <c r="H11966">
        <v>0.49530000000000002</v>
      </c>
      <c r="I11966" t="s">
        <v>4498</v>
      </c>
      <c r="J11966" t="s">
        <v>14</v>
      </c>
      <c r="K11966" t="str">
        <f>"4F7"</f>
        <v>4F7</v>
      </c>
      <c r="L11966" t="s">
        <v>15</v>
      </c>
    </row>
    <row r="11967" spans="1:12" x14ac:dyDescent="0.25">
      <c r="A11967" t="str">
        <f>"8754076232"</f>
        <v>8754076232</v>
      </c>
      <c r="B11967" t="str">
        <f t="shared" si="477"/>
        <v>89301000</v>
      </c>
      <c r="C11967" s="1">
        <v>44421</v>
      </c>
      <c r="D11967" s="1">
        <v>44426</v>
      </c>
      <c r="E11967">
        <v>1</v>
      </c>
      <c r="F11967" t="s">
        <v>60</v>
      </c>
      <c r="G11967" t="str">
        <f>"14-K03-02"</f>
        <v>14-K03-02</v>
      </c>
      <c r="H11967">
        <v>0.2646</v>
      </c>
      <c r="J11967" t="s">
        <v>14</v>
      </c>
      <c r="K11967" t="str">
        <f>"6F3"</f>
        <v>6F3</v>
      </c>
      <c r="L11967" t="s">
        <v>15</v>
      </c>
    </row>
    <row r="11968" spans="1:12" x14ac:dyDescent="0.25">
      <c r="A11968" t="str">
        <f>"8754105778"</f>
        <v>8754105778</v>
      </c>
      <c r="B11968" t="str">
        <f t="shared" si="477"/>
        <v>89301000</v>
      </c>
      <c r="C11968" s="1">
        <v>44250</v>
      </c>
      <c r="D11968" s="1">
        <v>44256</v>
      </c>
      <c r="E11968">
        <v>1</v>
      </c>
      <c r="F11968" t="s">
        <v>7367</v>
      </c>
      <c r="G11968" t="str">
        <f>"14-K03-02"</f>
        <v>14-K03-02</v>
      </c>
      <c r="H11968">
        <v>0.2646</v>
      </c>
      <c r="J11968" t="s">
        <v>14</v>
      </c>
      <c r="K11968" t="str">
        <f>"6F3"</f>
        <v>6F3</v>
      </c>
      <c r="L11968" t="s">
        <v>15</v>
      </c>
    </row>
    <row r="11969" spans="1:12" x14ac:dyDescent="0.25">
      <c r="A11969" t="str">
        <f>"8754105778"</f>
        <v>8754105778</v>
      </c>
      <c r="B11969" t="str">
        <f t="shared" si="477"/>
        <v>89301000</v>
      </c>
      <c r="C11969" s="1">
        <v>44263</v>
      </c>
      <c r="D11969" s="1">
        <v>44274</v>
      </c>
      <c r="E11969">
        <v>1</v>
      </c>
      <c r="F11969" t="s">
        <v>82</v>
      </c>
      <c r="G11969" t="str">
        <f>"14-I01-01"</f>
        <v>14-I01-01</v>
      </c>
      <c r="H11969">
        <v>1.5294000000000001</v>
      </c>
      <c r="I11969" t="s">
        <v>7837</v>
      </c>
      <c r="J11969" t="s">
        <v>59</v>
      </c>
      <c r="K11969" t="str">
        <f>"6F3"</f>
        <v>6F3</v>
      </c>
      <c r="L11969" t="s">
        <v>15</v>
      </c>
    </row>
    <row r="11970" spans="1:12" x14ac:dyDescent="0.25">
      <c r="A11970" t="str">
        <f>"8754124929"</f>
        <v>8754124929</v>
      </c>
      <c r="B11970" t="str">
        <f t="shared" si="477"/>
        <v>89301000</v>
      </c>
      <c r="C11970" s="1">
        <v>44263</v>
      </c>
      <c r="D11970" s="1">
        <v>44263</v>
      </c>
      <c r="E11970">
        <v>5</v>
      </c>
      <c r="F11970" t="s">
        <v>2457</v>
      </c>
      <c r="G11970" t="str">
        <f>"05-D01-08"</f>
        <v>05-D01-08</v>
      </c>
      <c r="H11970">
        <v>0.21890000000000001</v>
      </c>
      <c r="J11970" t="s">
        <v>14</v>
      </c>
      <c r="K11970" t="str">
        <f>"1F1"</f>
        <v>1F1</v>
      </c>
      <c r="L11970" t="s">
        <v>15</v>
      </c>
    </row>
    <row r="11971" spans="1:12" x14ac:dyDescent="0.25">
      <c r="A11971" t="str">
        <f>"8754134378"</f>
        <v>8754134378</v>
      </c>
      <c r="B11971" t="str">
        <f t="shared" si="477"/>
        <v>89301000</v>
      </c>
      <c r="C11971" s="1">
        <v>44236</v>
      </c>
      <c r="D11971" s="1">
        <v>44244</v>
      </c>
      <c r="E11971">
        <v>1</v>
      </c>
      <c r="F11971" t="s">
        <v>5458</v>
      </c>
      <c r="G11971" t="str">
        <f>"08-K02-03"</f>
        <v>08-K02-03</v>
      </c>
      <c r="H11971">
        <v>0.73560000000000003</v>
      </c>
      <c r="I11971" t="s">
        <v>7838</v>
      </c>
      <c r="J11971" t="s">
        <v>14</v>
      </c>
      <c r="K11971" t="str">
        <f>"4F4"</f>
        <v>4F4</v>
      </c>
      <c r="L11971" t="s">
        <v>15</v>
      </c>
    </row>
    <row r="11972" spans="1:12" x14ac:dyDescent="0.25">
      <c r="A11972" t="str">
        <f>"8754185770"</f>
        <v>8754185770</v>
      </c>
      <c r="B11972" t="str">
        <f t="shared" si="477"/>
        <v>89301000</v>
      </c>
      <c r="C11972" s="1">
        <v>44459</v>
      </c>
      <c r="D11972" s="1">
        <v>44462</v>
      </c>
      <c r="E11972">
        <v>1</v>
      </c>
      <c r="F11972" t="s">
        <v>75</v>
      </c>
      <c r="G11972" t="str">
        <f>"14-M01-05"</f>
        <v>14-M01-05</v>
      </c>
      <c r="H11972">
        <v>0.54239999999999999</v>
      </c>
      <c r="I11972" t="s">
        <v>180</v>
      </c>
      <c r="J11972" t="s">
        <v>59</v>
      </c>
      <c r="K11972" t="str">
        <f>"6F3"</f>
        <v>6F3</v>
      </c>
      <c r="L11972" t="s">
        <v>15</v>
      </c>
    </row>
    <row r="11973" spans="1:12" x14ac:dyDescent="0.25">
      <c r="A11973" t="str">
        <f>"8754285793"</f>
        <v>8754285793</v>
      </c>
      <c r="B11973" t="str">
        <f t="shared" si="477"/>
        <v>89301000</v>
      </c>
      <c r="C11973" s="1">
        <v>44469</v>
      </c>
      <c r="D11973" s="1">
        <v>44471</v>
      </c>
      <c r="E11973">
        <v>1</v>
      </c>
      <c r="F11973" t="s">
        <v>84</v>
      </c>
      <c r="G11973" t="str">
        <f>"09-I09-05"</f>
        <v>09-I09-05</v>
      </c>
      <c r="H11973">
        <v>0.47210000000000002</v>
      </c>
      <c r="J11973" t="s">
        <v>17</v>
      </c>
      <c r="K11973" t="str">
        <f>"5F1"</f>
        <v>5F1</v>
      </c>
      <c r="L11973" t="s">
        <v>15</v>
      </c>
    </row>
    <row r="11974" spans="1:12" x14ac:dyDescent="0.25">
      <c r="A11974" t="str">
        <f>"8754286024"</f>
        <v>8754286024</v>
      </c>
      <c r="B11974" t="str">
        <f t="shared" si="477"/>
        <v>89301000</v>
      </c>
      <c r="C11974" s="1">
        <v>44532</v>
      </c>
      <c r="D11974" s="1">
        <v>44536</v>
      </c>
      <c r="E11974">
        <v>1</v>
      </c>
      <c r="F11974" t="s">
        <v>75</v>
      </c>
      <c r="G11974" t="str">
        <f>"14-M01-05"</f>
        <v>14-M01-05</v>
      </c>
      <c r="H11974">
        <v>0.54239999999999999</v>
      </c>
      <c r="I11974" t="s">
        <v>274</v>
      </c>
      <c r="J11974" t="s">
        <v>59</v>
      </c>
      <c r="K11974" t="str">
        <f>"6F3"</f>
        <v>6F3</v>
      </c>
      <c r="L11974" t="s">
        <v>15</v>
      </c>
    </row>
    <row r="11975" spans="1:12" x14ac:dyDescent="0.25">
      <c r="A11975" t="str">
        <f>"8755014917"</f>
        <v>8755014917</v>
      </c>
      <c r="B11975" t="str">
        <f t="shared" si="477"/>
        <v>89301000</v>
      </c>
      <c r="C11975" s="1">
        <v>44208</v>
      </c>
      <c r="D11975" s="1">
        <v>44211</v>
      </c>
      <c r="E11975">
        <v>4</v>
      </c>
      <c r="F11975" t="s">
        <v>7012</v>
      </c>
      <c r="G11975" t="str">
        <f>"19-K02-03"</f>
        <v>19-K02-03</v>
      </c>
      <c r="H11975">
        <v>0.67269999999999996</v>
      </c>
      <c r="I11975" t="s">
        <v>7839</v>
      </c>
      <c r="J11975" t="s">
        <v>27</v>
      </c>
      <c r="K11975" t="str">
        <f>"3F5"</f>
        <v>3F5</v>
      </c>
      <c r="L11975" t="s">
        <v>15</v>
      </c>
    </row>
    <row r="11976" spans="1:12" x14ac:dyDescent="0.25">
      <c r="A11976" t="str">
        <f>"8755014917"</f>
        <v>8755014917</v>
      </c>
      <c r="B11976" t="str">
        <f t="shared" si="477"/>
        <v>89301000</v>
      </c>
      <c r="C11976" s="1">
        <v>44335</v>
      </c>
      <c r="D11976" s="1">
        <v>44364</v>
      </c>
      <c r="E11976">
        <v>4</v>
      </c>
      <c r="F11976" t="s">
        <v>7012</v>
      </c>
      <c r="G11976" t="str">
        <f>"19-K07-02"</f>
        <v>19-K07-02</v>
      </c>
      <c r="H11976">
        <v>2.8759999999999999</v>
      </c>
      <c r="I11976" t="s">
        <v>7840</v>
      </c>
      <c r="J11976" t="s">
        <v>27</v>
      </c>
      <c r="K11976" t="str">
        <f>"3F5"</f>
        <v>3F5</v>
      </c>
      <c r="L11976" t="s">
        <v>15</v>
      </c>
    </row>
    <row r="11977" spans="1:12" x14ac:dyDescent="0.25">
      <c r="A11977" t="str">
        <f>"8755105788"</f>
        <v>8755105788</v>
      </c>
      <c r="B11977" t="str">
        <f t="shared" si="477"/>
        <v>89301000</v>
      </c>
      <c r="C11977" s="1">
        <v>44291</v>
      </c>
      <c r="D11977" s="1">
        <v>44293</v>
      </c>
      <c r="E11977">
        <v>1</v>
      </c>
      <c r="F11977" t="s">
        <v>287</v>
      </c>
      <c r="G11977" t="str">
        <f>"01-K16-06"</f>
        <v>01-K16-06</v>
      </c>
      <c r="H11977">
        <v>0.26469999999999999</v>
      </c>
      <c r="I11977" t="s">
        <v>7841</v>
      </c>
      <c r="J11977" t="s">
        <v>14</v>
      </c>
      <c r="K11977" t="str">
        <f>"5F3"</f>
        <v>5F3</v>
      </c>
      <c r="L11977" t="s">
        <v>15</v>
      </c>
    </row>
    <row r="11978" spans="1:12" x14ac:dyDescent="0.25">
      <c r="A11978" t="str">
        <f>"8755125841"</f>
        <v>8755125841</v>
      </c>
      <c r="B11978" t="str">
        <f t="shared" si="477"/>
        <v>89301000</v>
      </c>
      <c r="C11978" s="1">
        <v>44509</v>
      </c>
      <c r="D11978" s="1">
        <v>44514</v>
      </c>
      <c r="E11978">
        <v>1</v>
      </c>
      <c r="F11978" t="s">
        <v>75</v>
      </c>
      <c r="G11978" t="str">
        <f>"14-M01-05"</f>
        <v>14-M01-05</v>
      </c>
      <c r="H11978">
        <v>0.54239999999999999</v>
      </c>
      <c r="I11978" t="s">
        <v>7842</v>
      </c>
      <c r="J11978" t="s">
        <v>59</v>
      </c>
      <c r="K11978" t="str">
        <f>"6F3"</f>
        <v>6F3</v>
      </c>
      <c r="L11978" t="s">
        <v>15</v>
      </c>
    </row>
    <row r="11979" spans="1:12" x14ac:dyDescent="0.25">
      <c r="A11979" t="str">
        <f>"8755165782"</f>
        <v>8755165782</v>
      </c>
      <c r="B11979" t="str">
        <f t="shared" si="477"/>
        <v>89301000</v>
      </c>
      <c r="C11979" s="1">
        <v>44465</v>
      </c>
      <c r="D11979" s="1">
        <v>44469</v>
      </c>
      <c r="E11979">
        <v>1</v>
      </c>
      <c r="F11979" t="s">
        <v>75</v>
      </c>
      <c r="G11979" t="str">
        <f>"14-M01-05"</f>
        <v>14-M01-05</v>
      </c>
      <c r="H11979">
        <v>0.54239999999999999</v>
      </c>
      <c r="I11979" t="s">
        <v>7108</v>
      </c>
      <c r="J11979" t="s">
        <v>59</v>
      </c>
      <c r="K11979" t="str">
        <f>"6F3"</f>
        <v>6F3</v>
      </c>
      <c r="L11979" t="s">
        <v>15</v>
      </c>
    </row>
    <row r="11980" spans="1:12" x14ac:dyDescent="0.25">
      <c r="A11980" t="str">
        <f>"8755176221"</f>
        <v>8755176221</v>
      </c>
      <c r="B11980" t="str">
        <f t="shared" si="477"/>
        <v>89301000</v>
      </c>
      <c r="C11980" s="1">
        <v>44468</v>
      </c>
      <c r="D11980" s="1">
        <v>44470</v>
      </c>
      <c r="E11980">
        <v>1</v>
      </c>
      <c r="F11980" t="s">
        <v>4382</v>
      </c>
      <c r="G11980" t="str">
        <f>"05-I30-01"</f>
        <v>05-I30-01</v>
      </c>
      <c r="H11980">
        <v>0.64139999999999997</v>
      </c>
      <c r="I11980" t="s">
        <v>7843</v>
      </c>
      <c r="J11980" t="s">
        <v>14</v>
      </c>
      <c r="K11980" t="str">
        <f>"5F1"</f>
        <v>5F1</v>
      </c>
      <c r="L11980" t="s">
        <v>15</v>
      </c>
    </row>
    <row r="11981" spans="1:12" x14ac:dyDescent="0.25">
      <c r="A11981" t="str">
        <f>"8755215381"</f>
        <v>8755215381</v>
      </c>
      <c r="B11981" t="str">
        <f t="shared" si="477"/>
        <v>89301000</v>
      </c>
      <c r="C11981" s="1">
        <v>44529</v>
      </c>
      <c r="D11981" s="1">
        <v>44531</v>
      </c>
      <c r="E11981">
        <v>1</v>
      </c>
      <c r="F11981" t="s">
        <v>75</v>
      </c>
      <c r="G11981" t="str">
        <f>"14-M01-05"</f>
        <v>14-M01-05</v>
      </c>
      <c r="H11981">
        <v>0.54239999999999999</v>
      </c>
      <c r="I11981" t="s">
        <v>7844</v>
      </c>
      <c r="J11981" t="s">
        <v>59</v>
      </c>
      <c r="K11981" t="str">
        <f>"6F3"</f>
        <v>6F3</v>
      </c>
      <c r="L11981" t="s">
        <v>15</v>
      </c>
    </row>
    <row r="11982" spans="1:12" x14ac:dyDescent="0.25">
      <c r="A11982" t="str">
        <f>"8756044462"</f>
        <v>8756044462</v>
      </c>
      <c r="B11982" t="str">
        <f t="shared" si="477"/>
        <v>89301000</v>
      </c>
      <c r="C11982" s="1">
        <v>44334</v>
      </c>
      <c r="D11982" s="1">
        <v>44336</v>
      </c>
      <c r="E11982">
        <v>1</v>
      </c>
      <c r="F11982" t="s">
        <v>234</v>
      </c>
      <c r="G11982" t="str">
        <f>"03-I21-00"</f>
        <v>03-I21-00</v>
      </c>
      <c r="H11982">
        <v>0.38500000000000001</v>
      </c>
      <c r="J11982" t="s">
        <v>14</v>
      </c>
      <c r="K11982" t="str">
        <f>"7F1"</f>
        <v>7F1</v>
      </c>
      <c r="L11982" t="s">
        <v>15</v>
      </c>
    </row>
    <row r="11983" spans="1:12" x14ac:dyDescent="0.25">
      <c r="A11983" t="str">
        <f>"8756056232"</f>
        <v>8756056232</v>
      </c>
      <c r="B11983" t="str">
        <f t="shared" si="477"/>
        <v>89301000</v>
      </c>
      <c r="C11983" s="1">
        <v>44532</v>
      </c>
      <c r="D11983" s="1">
        <v>44536</v>
      </c>
      <c r="E11983">
        <v>1</v>
      </c>
      <c r="F11983" t="s">
        <v>632</v>
      </c>
      <c r="G11983" t="str">
        <f>"06-I17-04"</f>
        <v>06-I17-04</v>
      </c>
      <c r="H11983">
        <v>0.49940000000000001</v>
      </c>
      <c r="I11983" t="s">
        <v>347</v>
      </c>
      <c r="J11983" t="s">
        <v>17</v>
      </c>
      <c r="K11983" t="str">
        <f>"5F1"</f>
        <v>5F1</v>
      </c>
      <c r="L11983" t="s">
        <v>15</v>
      </c>
    </row>
    <row r="11984" spans="1:12" x14ac:dyDescent="0.25">
      <c r="A11984" t="str">
        <f>"8756132902"</f>
        <v>8756132902</v>
      </c>
      <c r="B11984" t="str">
        <f t="shared" si="477"/>
        <v>89301000</v>
      </c>
      <c r="C11984" s="1">
        <v>44405</v>
      </c>
      <c r="D11984" s="1">
        <v>44410</v>
      </c>
      <c r="E11984">
        <v>1</v>
      </c>
      <c r="F11984" t="s">
        <v>28</v>
      </c>
      <c r="G11984" t="str">
        <f>"03-I12-02"</f>
        <v>03-I12-02</v>
      </c>
      <c r="H11984">
        <v>1.3284</v>
      </c>
      <c r="J11984" t="s">
        <v>17</v>
      </c>
      <c r="K11984" t="str">
        <f>"7F1"</f>
        <v>7F1</v>
      </c>
      <c r="L11984" t="s">
        <v>15</v>
      </c>
    </row>
    <row r="11985" spans="1:12" x14ac:dyDescent="0.25">
      <c r="A11985" t="str">
        <f>"8756266134"</f>
        <v>8756266134</v>
      </c>
      <c r="B11985" t="str">
        <f t="shared" si="477"/>
        <v>89301000</v>
      </c>
      <c r="C11985" s="1">
        <v>44424</v>
      </c>
      <c r="D11985" s="1">
        <v>44429</v>
      </c>
      <c r="E11985">
        <v>1</v>
      </c>
      <c r="F11985" t="s">
        <v>879</v>
      </c>
      <c r="G11985" t="str">
        <f>"03-I22-01"</f>
        <v>03-I22-01</v>
      </c>
      <c r="H11985">
        <v>1.3317000000000001</v>
      </c>
      <c r="I11985" t="s">
        <v>7846</v>
      </c>
      <c r="J11985" t="s">
        <v>14</v>
      </c>
      <c r="K11985" t="str">
        <f>"7F1"</f>
        <v>7F1</v>
      </c>
      <c r="L11985" t="s">
        <v>15</v>
      </c>
    </row>
    <row r="11986" spans="1:12" x14ac:dyDescent="0.25">
      <c r="A11986" t="str">
        <f>"8757025794"</f>
        <v>8757025794</v>
      </c>
      <c r="B11986" t="str">
        <f t="shared" si="477"/>
        <v>89301000</v>
      </c>
      <c r="C11986" s="1">
        <v>44313</v>
      </c>
      <c r="D11986" s="1">
        <v>44314</v>
      </c>
      <c r="E11986">
        <v>1</v>
      </c>
      <c r="F11986" t="s">
        <v>7847</v>
      </c>
      <c r="G11986" t="str">
        <f>"08-I18-02"</f>
        <v>08-I18-02</v>
      </c>
      <c r="H11986">
        <v>0.65769999999999995</v>
      </c>
      <c r="I11986" t="s">
        <v>30</v>
      </c>
      <c r="J11986" t="s">
        <v>17</v>
      </c>
      <c r="K11986" t="str">
        <f>"5F3"</f>
        <v>5F3</v>
      </c>
      <c r="L11986" t="s">
        <v>15</v>
      </c>
    </row>
    <row r="11987" spans="1:12" x14ac:dyDescent="0.25">
      <c r="A11987" t="str">
        <f>"8757135827"</f>
        <v>8757135827</v>
      </c>
      <c r="B11987" t="str">
        <f t="shared" si="477"/>
        <v>89301000</v>
      </c>
      <c r="C11987" s="1">
        <v>44371</v>
      </c>
      <c r="D11987" s="1">
        <v>44375</v>
      </c>
      <c r="E11987">
        <v>1</v>
      </c>
      <c r="F11987" t="s">
        <v>75</v>
      </c>
      <c r="G11987" t="str">
        <f>"14-M01-05"</f>
        <v>14-M01-05</v>
      </c>
      <c r="H11987">
        <v>0.54239999999999999</v>
      </c>
      <c r="I11987" t="s">
        <v>426</v>
      </c>
      <c r="J11987" t="s">
        <v>59</v>
      </c>
      <c r="K11987" t="str">
        <f>"6F3"</f>
        <v>6F3</v>
      </c>
      <c r="L11987" t="s">
        <v>15</v>
      </c>
    </row>
    <row r="11988" spans="1:12" x14ac:dyDescent="0.25">
      <c r="A11988" t="str">
        <f>"8757155770"</f>
        <v>8757155770</v>
      </c>
      <c r="B11988" t="str">
        <f t="shared" si="477"/>
        <v>89301000</v>
      </c>
      <c r="C11988" s="1">
        <v>44463</v>
      </c>
      <c r="D11988" s="1">
        <v>44466</v>
      </c>
      <c r="E11988">
        <v>1</v>
      </c>
      <c r="F11988" t="s">
        <v>75</v>
      </c>
      <c r="G11988" t="str">
        <f>"14-M01-05"</f>
        <v>14-M01-05</v>
      </c>
      <c r="H11988">
        <v>0.54239999999999999</v>
      </c>
      <c r="I11988" t="s">
        <v>76</v>
      </c>
      <c r="J11988" t="s">
        <v>59</v>
      </c>
      <c r="K11988" t="str">
        <f>"6F3"</f>
        <v>6F3</v>
      </c>
      <c r="L11988" t="s">
        <v>15</v>
      </c>
    </row>
    <row r="11989" spans="1:12" x14ac:dyDescent="0.25">
      <c r="A11989" t="str">
        <f>"8757224663"</f>
        <v>8757224663</v>
      </c>
      <c r="B11989" t="str">
        <f t="shared" si="477"/>
        <v>89301000</v>
      </c>
      <c r="C11989" s="1">
        <v>44525</v>
      </c>
      <c r="D11989" s="1">
        <v>44533</v>
      </c>
      <c r="E11989">
        <v>4</v>
      </c>
      <c r="F11989" t="s">
        <v>6584</v>
      </c>
      <c r="G11989" t="str">
        <f>"19-K03-03"</f>
        <v>19-K03-03</v>
      </c>
      <c r="H11989">
        <v>0.93169999999999997</v>
      </c>
      <c r="I11989" t="s">
        <v>7848</v>
      </c>
      <c r="J11989" t="s">
        <v>27</v>
      </c>
      <c r="K11989" t="str">
        <f>"3F5"</f>
        <v>3F5</v>
      </c>
      <c r="L11989" t="s">
        <v>15</v>
      </c>
    </row>
    <row r="11990" spans="1:12" x14ac:dyDescent="0.25">
      <c r="A11990" t="str">
        <f>"8757224663"</f>
        <v>8757224663</v>
      </c>
      <c r="B11990" t="str">
        <f t="shared" si="477"/>
        <v>89301000</v>
      </c>
      <c r="C11990" s="1">
        <v>44370</v>
      </c>
      <c r="D11990" s="1">
        <v>44404</v>
      </c>
      <c r="E11990">
        <v>4</v>
      </c>
      <c r="F11990" t="s">
        <v>6584</v>
      </c>
      <c r="G11990" t="str">
        <f>"19-M01-00"</f>
        <v>19-M01-00</v>
      </c>
      <c r="H11990">
        <v>2.39</v>
      </c>
      <c r="I11990" t="s">
        <v>7848</v>
      </c>
      <c r="J11990" t="s">
        <v>27</v>
      </c>
      <c r="K11990" t="str">
        <f>"3F5"</f>
        <v>3F5</v>
      </c>
      <c r="L11990" t="s">
        <v>15</v>
      </c>
    </row>
    <row r="11991" spans="1:12" x14ac:dyDescent="0.25">
      <c r="A11991" t="str">
        <f>"8758035803"</f>
        <v>8758035803</v>
      </c>
      <c r="B11991" t="str">
        <f t="shared" si="477"/>
        <v>89301000</v>
      </c>
      <c r="C11991" s="1">
        <v>44336</v>
      </c>
      <c r="D11991" s="1">
        <v>44338</v>
      </c>
      <c r="E11991">
        <v>1</v>
      </c>
      <c r="F11991" t="s">
        <v>7849</v>
      </c>
      <c r="G11991" t="str">
        <f>"08-I17-02"</f>
        <v>08-I17-02</v>
      </c>
      <c r="H11991">
        <v>0.98309999999999997</v>
      </c>
      <c r="I11991" t="s">
        <v>446</v>
      </c>
      <c r="J11991" t="s">
        <v>14</v>
      </c>
      <c r="K11991" t="str">
        <f>"5F3"</f>
        <v>5F3</v>
      </c>
      <c r="L11991" t="s">
        <v>15</v>
      </c>
    </row>
    <row r="11992" spans="1:12" x14ac:dyDescent="0.25">
      <c r="A11992" t="str">
        <f>"8758065613"</f>
        <v>8758065613</v>
      </c>
      <c r="B11992" t="str">
        <f t="shared" si="477"/>
        <v>89301000</v>
      </c>
      <c r="C11992" s="1">
        <v>44258</v>
      </c>
      <c r="D11992" s="1">
        <v>44263</v>
      </c>
      <c r="E11992">
        <v>1</v>
      </c>
      <c r="F11992" t="s">
        <v>75</v>
      </c>
      <c r="G11992" t="str">
        <f>"14-M01-01"</f>
        <v>14-M01-01</v>
      </c>
      <c r="H11992">
        <v>0.8881</v>
      </c>
      <c r="I11992" t="s">
        <v>7850</v>
      </c>
      <c r="J11992" t="s">
        <v>59</v>
      </c>
      <c r="K11992" t="str">
        <f>"6F3"</f>
        <v>6F3</v>
      </c>
      <c r="L11992" t="s">
        <v>15</v>
      </c>
    </row>
    <row r="11993" spans="1:12" x14ac:dyDescent="0.25">
      <c r="A11993" t="str">
        <f>"8758105818"</f>
        <v>8758105818</v>
      </c>
      <c r="B11993" t="str">
        <f t="shared" si="477"/>
        <v>89301000</v>
      </c>
      <c r="C11993" s="1">
        <v>44368</v>
      </c>
      <c r="D11993" s="1">
        <v>44370</v>
      </c>
      <c r="E11993">
        <v>1</v>
      </c>
      <c r="F11993" t="s">
        <v>7100</v>
      </c>
      <c r="G11993" t="str">
        <f>"13-K06-00"</f>
        <v>13-K06-00</v>
      </c>
      <c r="H11993">
        <v>0.37859999999999999</v>
      </c>
      <c r="J11993" t="s">
        <v>14</v>
      </c>
      <c r="K11993" t="str">
        <f>"6F1"</f>
        <v>6F1</v>
      </c>
      <c r="L11993" t="s">
        <v>15</v>
      </c>
    </row>
    <row r="11994" spans="1:12" x14ac:dyDescent="0.25">
      <c r="A11994" t="str">
        <f>"8758213849"</f>
        <v>8758213849</v>
      </c>
      <c r="B11994" t="str">
        <f t="shared" si="477"/>
        <v>89301000</v>
      </c>
      <c r="C11994" s="1">
        <v>44300</v>
      </c>
      <c r="D11994" s="1">
        <v>44302</v>
      </c>
      <c r="E11994">
        <v>1</v>
      </c>
      <c r="F11994" t="s">
        <v>75</v>
      </c>
      <c r="G11994" t="str">
        <f>"14-M01-05"</f>
        <v>14-M01-05</v>
      </c>
      <c r="H11994">
        <v>0.54239999999999999</v>
      </c>
      <c r="I11994" t="s">
        <v>7692</v>
      </c>
      <c r="J11994" t="s">
        <v>59</v>
      </c>
      <c r="K11994" t="str">
        <f t="shared" ref="K11994:K12010" si="478">"6F3"</f>
        <v>6F3</v>
      </c>
      <c r="L11994" t="s">
        <v>15</v>
      </c>
    </row>
    <row r="11995" spans="1:12" x14ac:dyDescent="0.25">
      <c r="A11995" t="str">
        <f>"8758223837"</f>
        <v>8758223837</v>
      </c>
      <c r="B11995" t="str">
        <f t="shared" ref="B11995:B12057" si="479">"89301000"</f>
        <v>89301000</v>
      </c>
      <c r="C11995" s="1">
        <v>44210</v>
      </c>
      <c r="D11995" s="1">
        <v>44213</v>
      </c>
      <c r="E11995">
        <v>1</v>
      </c>
      <c r="F11995" t="s">
        <v>82</v>
      </c>
      <c r="G11995" t="str">
        <f>"14-I01-05"</f>
        <v>14-I01-05</v>
      </c>
      <c r="H11995">
        <v>0.80030000000000001</v>
      </c>
      <c r="I11995" t="s">
        <v>269</v>
      </c>
      <c r="J11995" t="s">
        <v>59</v>
      </c>
      <c r="K11995" t="str">
        <f t="shared" si="478"/>
        <v>6F3</v>
      </c>
      <c r="L11995" t="s">
        <v>15</v>
      </c>
    </row>
    <row r="11996" spans="1:12" x14ac:dyDescent="0.25">
      <c r="A11996" t="str">
        <f>"8758226257"</f>
        <v>8758226257</v>
      </c>
      <c r="B11996" t="str">
        <f t="shared" si="479"/>
        <v>89301000</v>
      </c>
      <c r="C11996" s="1">
        <v>44265</v>
      </c>
      <c r="D11996" s="1">
        <v>44271</v>
      </c>
      <c r="E11996">
        <v>1</v>
      </c>
      <c r="F11996" t="s">
        <v>7851</v>
      </c>
      <c r="G11996" t="str">
        <f>"14-K05-03"</f>
        <v>14-K05-03</v>
      </c>
      <c r="H11996">
        <v>0.30209999999999998</v>
      </c>
      <c r="J11996" t="s">
        <v>14</v>
      </c>
      <c r="K11996" t="str">
        <f t="shared" si="478"/>
        <v>6F3</v>
      </c>
      <c r="L11996" t="s">
        <v>15</v>
      </c>
    </row>
    <row r="11997" spans="1:12" x14ac:dyDescent="0.25">
      <c r="A11997" t="str">
        <f>"8758226257"</f>
        <v>8758226257</v>
      </c>
      <c r="B11997" t="str">
        <f t="shared" si="479"/>
        <v>89301000</v>
      </c>
      <c r="C11997" s="1">
        <v>44249</v>
      </c>
      <c r="D11997" s="1">
        <v>44254</v>
      </c>
      <c r="E11997">
        <v>1</v>
      </c>
      <c r="F11997" t="s">
        <v>75</v>
      </c>
      <c r="G11997" t="str">
        <f>"14-M01-05"</f>
        <v>14-M01-05</v>
      </c>
      <c r="H11997">
        <v>0.54239999999999999</v>
      </c>
      <c r="I11997" t="s">
        <v>76</v>
      </c>
      <c r="J11997" t="s">
        <v>59</v>
      </c>
      <c r="K11997" t="str">
        <f t="shared" si="478"/>
        <v>6F3</v>
      </c>
      <c r="L11997" t="s">
        <v>15</v>
      </c>
    </row>
    <row r="11998" spans="1:12" x14ac:dyDescent="0.25">
      <c r="A11998" t="str">
        <f>"8758275779"</f>
        <v>8758275779</v>
      </c>
      <c r="B11998" t="str">
        <f t="shared" si="479"/>
        <v>89301000</v>
      </c>
      <c r="C11998" s="1">
        <v>44328</v>
      </c>
      <c r="D11998" s="1">
        <v>44330</v>
      </c>
      <c r="E11998">
        <v>1</v>
      </c>
      <c r="F11998" t="s">
        <v>75</v>
      </c>
      <c r="G11998" t="str">
        <f>"14-M01-05"</f>
        <v>14-M01-05</v>
      </c>
      <c r="H11998">
        <v>0.54239999999999999</v>
      </c>
      <c r="I11998" t="s">
        <v>7852</v>
      </c>
      <c r="J11998" t="s">
        <v>59</v>
      </c>
      <c r="K11998" t="str">
        <f t="shared" si="478"/>
        <v>6F3</v>
      </c>
      <c r="L11998" t="s">
        <v>15</v>
      </c>
    </row>
    <row r="11999" spans="1:12" x14ac:dyDescent="0.25">
      <c r="A11999" t="str">
        <f>"8758276230"</f>
        <v>8758276230</v>
      </c>
      <c r="B11999" t="str">
        <f t="shared" si="479"/>
        <v>89301000</v>
      </c>
      <c r="C11999" s="1">
        <v>44286</v>
      </c>
      <c r="D11999" s="1">
        <v>44291</v>
      </c>
      <c r="E11999">
        <v>1</v>
      </c>
      <c r="F11999" t="s">
        <v>7375</v>
      </c>
      <c r="G11999" t="str">
        <f>"13-I04-01"</f>
        <v>13-I04-01</v>
      </c>
      <c r="H11999">
        <v>2.6413000000000002</v>
      </c>
      <c r="J11999" t="s">
        <v>14</v>
      </c>
      <c r="K11999" t="str">
        <f t="shared" si="478"/>
        <v>6F3</v>
      </c>
      <c r="L11999" t="s">
        <v>15</v>
      </c>
    </row>
    <row r="12000" spans="1:12" x14ac:dyDescent="0.25">
      <c r="A12000" t="str">
        <f>"8758294424"</f>
        <v>8758294424</v>
      </c>
      <c r="B12000" t="str">
        <f t="shared" si="479"/>
        <v>89301000</v>
      </c>
      <c r="C12000" s="1">
        <v>44330</v>
      </c>
      <c r="D12000" s="1">
        <v>44335</v>
      </c>
      <c r="E12000">
        <v>1</v>
      </c>
      <c r="F12000" t="s">
        <v>116</v>
      </c>
      <c r="G12000" t="str">
        <f>"14-M01-05"</f>
        <v>14-M01-05</v>
      </c>
      <c r="H12000">
        <v>0.54239999999999999</v>
      </c>
      <c r="I12000" t="s">
        <v>117</v>
      </c>
      <c r="J12000" t="s">
        <v>59</v>
      </c>
      <c r="K12000" t="str">
        <f t="shared" si="478"/>
        <v>6F3</v>
      </c>
      <c r="L12000" t="s">
        <v>15</v>
      </c>
    </row>
    <row r="12001" spans="1:12" x14ac:dyDescent="0.25">
      <c r="A12001" t="str">
        <f>"8758295480"</f>
        <v>8758295480</v>
      </c>
      <c r="B12001" t="str">
        <f t="shared" si="479"/>
        <v>89301000</v>
      </c>
      <c r="C12001" s="1">
        <v>44362</v>
      </c>
      <c r="D12001" s="1">
        <v>44364</v>
      </c>
      <c r="E12001">
        <v>1</v>
      </c>
      <c r="F12001" t="s">
        <v>91</v>
      </c>
      <c r="G12001" t="str">
        <f>"14-K03-02"</f>
        <v>14-K03-02</v>
      </c>
      <c r="H12001">
        <v>0.2646</v>
      </c>
      <c r="I12001" t="s">
        <v>669</v>
      </c>
      <c r="J12001" t="s">
        <v>14</v>
      </c>
      <c r="K12001" t="str">
        <f t="shared" si="478"/>
        <v>6F3</v>
      </c>
      <c r="L12001" t="s">
        <v>15</v>
      </c>
    </row>
    <row r="12002" spans="1:12" x14ac:dyDescent="0.25">
      <c r="A12002" t="str">
        <f>"8758295480"</f>
        <v>8758295480</v>
      </c>
      <c r="B12002" t="str">
        <f t="shared" si="479"/>
        <v>89301000</v>
      </c>
      <c r="C12002" s="1">
        <v>44394</v>
      </c>
      <c r="D12002" s="1">
        <v>44397</v>
      </c>
      <c r="E12002">
        <v>1</v>
      </c>
      <c r="F12002" t="s">
        <v>75</v>
      </c>
      <c r="G12002" t="str">
        <f>"14-M01-05"</f>
        <v>14-M01-05</v>
      </c>
      <c r="H12002">
        <v>0.54239999999999999</v>
      </c>
      <c r="J12002" t="s">
        <v>59</v>
      </c>
      <c r="K12002" t="str">
        <f t="shared" si="478"/>
        <v>6F3</v>
      </c>
      <c r="L12002" t="s">
        <v>15</v>
      </c>
    </row>
    <row r="12003" spans="1:12" x14ac:dyDescent="0.25">
      <c r="A12003" t="str">
        <f>"8758316248"</f>
        <v>8758316248</v>
      </c>
      <c r="B12003" t="str">
        <f t="shared" si="479"/>
        <v>89301000</v>
      </c>
      <c r="C12003" s="1">
        <v>44227</v>
      </c>
      <c r="D12003" s="1">
        <v>44230</v>
      </c>
      <c r="E12003">
        <v>1</v>
      </c>
      <c r="F12003" t="s">
        <v>75</v>
      </c>
      <c r="G12003" t="str">
        <f>"14-M01-05"</f>
        <v>14-M01-05</v>
      </c>
      <c r="H12003">
        <v>0.54239999999999999</v>
      </c>
      <c r="I12003" t="s">
        <v>7346</v>
      </c>
      <c r="J12003" t="s">
        <v>59</v>
      </c>
      <c r="K12003" t="str">
        <f t="shared" si="478"/>
        <v>6F3</v>
      </c>
      <c r="L12003" t="s">
        <v>15</v>
      </c>
    </row>
    <row r="12004" spans="1:12" x14ac:dyDescent="0.25">
      <c r="A12004" t="str">
        <f>"8759045801"</f>
        <v>8759045801</v>
      </c>
      <c r="B12004" t="str">
        <f t="shared" si="479"/>
        <v>89301000</v>
      </c>
      <c r="C12004" s="1">
        <v>44447</v>
      </c>
      <c r="D12004" s="1">
        <v>44450</v>
      </c>
      <c r="E12004">
        <v>1</v>
      </c>
      <c r="F12004" t="s">
        <v>60</v>
      </c>
      <c r="G12004" t="str">
        <f>"14-K03-02"</f>
        <v>14-K03-02</v>
      </c>
      <c r="H12004">
        <v>0.2646</v>
      </c>
      <c r="I12004" t="s">
        <v>7429</v>
      </c>
      <c r="J12004" t="s">
        <v>14</v>
      </c>
      <c r="K12004" t="str">
        <f t="shared" si="478"/>
        <v>6F3</v>
      </c>
      <c r="L12004" t="s">
        <v>15</v>
      </c>
    </row>
    <row r="12005" spans="1:12" x14ac:dyDescent="0.25">
      <c r="A12005" t="str">
        <f>"8759055778"</f>
        <v>8759055778</v>
      </c>
      <c r="B12005" t="str">
        <f t="shared" si="479"/>
        <v>89301000</v>
      </c>
      <c r="C12005" s="1">
        <v>44321</v>
      </c>
      <c r="D12005" s="1">
        <v>44326</v>
      </c>
      <c r="E12005">
        <v>1</v>
      </c>
      <c r="F12005" t="s">
        <v>61</v>
      </c>
      <c r="G12005" t="str">
        <f>"14-I01-05"</f>
        <v>14-I01-05</v>
      </c>
      <c r="H12005">
        <v>0.80030000000000001</v>
      </c>
      <c r="I12005" t="s">
        <v>7853</v>
      </c>
      <c r="J12005" t="s">
        <v>59</v>
      </c>
      <c r="K12005" t="str">
        <f t="shared" si="478"/>
        <v>6F3</v>
      </c>
      <c r="L12005" t="s">
        <v>15</v>
      </c>
    </row>
    <row r="12006" spans="1:12" x14ac:dyDescent="0.25">
      <c r="A12006" t="str">
        <f>"8759095807"</f>
        <v>8759095807</v>
      </c>
      <c r="B12006" t="str">
        <f t="shared" si="479"/>
        <v>89301000</v>
      </c>
      <c r="C12006" s="1">
        <v>44329</v>
      </c>
      <c r="D12006" s="1">
        <v>44332</v>
      </c>
      <c r="E12006">
        <v>1</v>
      </c>
      <c r="F12006" t="s">
        <v>61</v>
      </c>
      <c r="G12006" t="str">
        <f>"14-I01-05"</f>
        <v>14-I01-05</v>
      </c>
      <c r="H12006">
        <v>0.80030000000000001</v>
      </c>
      <c r="I12006" t="s">
        <v>7572</v>
      </c>
      <c r="J12006" t="s">
        <v>59</v>
      </c>
      <c r="K12006" t="str">
        <f t="shared" si="478"/>
        <v>6F3</v>
      </c>
      <c r="L12006" t="s">
        <v>15</v>
      </c>
    </row>
    <row r="12007" spans="1:12" x14ac:dyDescent="0.25">
      <c r="A12007" t="str">
        <f>"8759104673"</f>
        <v>8759104673</v>
      </c>
      <c r="B12007" t="str">
        <f t="shared" si="479"/>
        <v>89301000</v>
      </c>
      <c r="C12007" s="1">
        <v>44350</v>
      </c>
      <c r="D12007" s="1">
        <v>44354</v>
      </c>
      <c r="E12007">
        <v>1</v>
      </c>
      <c r="F12007" t="s">
        <v>75</v>
      </c>
      <c r="G12007" t="str">
        <f>"14-M01-05"</f>
        <v>14-M01-05</v>
      </c>
      <c r="H12007">
        <v>0.54239999999999999</v>
      </c>
      <c r="I12007" t="s">
        <v>7854</v>
      </c>
      <c r="J12007" t="s">
        <v>59</v>
      </c>
      <c r="K12007" t="str">
        <f t="shared" si="478"/>
        <v>6F3</v>
      </c>
      <c r="L12007" t="s">
        <v>15</v>
      </c>
    </row>
    <row r="12008" spans="1:12" x14ac:dyDescent="0.25">
      <c r="A12008" t="str">
        <f>"8759125793"</f>
        <v>8759125793</v>
      </c>
      <c r="B12008" t="str">
        <f t="shared" si="479"/>
        <v>89301000</v>
      </c>
      <c r="C12008" s="1">
        <v>44527</v>
      </c>
      <c r="D12008" s="1">
        <v>44528</v>
      </c>
      <c r="E12008">
        <v>6</v>
      </c>
      <c r="F12008" t="s">
        <v>74</v>
      </c>
      <c r="G12008" t="str">
        <f>"14-K03-02"</f>
        <v>14-K03-02</v>
      </c>
      <c r="H12008">
        <v>0.2646</v>
      </c>
      <c r="J12008" t="s">
        <v>14</v>
      </c>
      <c r="K12008" t="str">
        <f t="shared" si="478"/>
        <v>6F3</v>
      </c>
      <c r="L12008" t="s">
        <v>15</v>
      </c>
    </row>
    <row r="12009" spans="1:12" x14ac:dyDescent="0.25">
      <c r="A12009" t="str">
        <f>"8759144933"</f>
        <v>8759144933</v>
      </c>
      <c r="B12009" t="str">
        <f t="shared" si="479"/>
        <v>89301000</v>
      </c>
      <c r="C12009" s="1">
        <v>44468</v>
      </c>
      <c r="D12009" s="1">
        <v>44472</v>
      </c>
      <c r="E12009">
        <v>1</v>
      </c>
      <c r="F12009" t="s">
        <v>82</v>
      </c>
      <c r="G12009" t="str">
        <f>"14-I01-02"</f>
        <v>14-I01-02</v>
      </c>
      <c r="H12009">
        <v>1.1289</v>
      </c>
      <c r="I12009" t="s">
        <v>7855</v>
      </c>
      <c r="J12009" t="s">
        <v>59</v>
      </c>
      <c r="K12009" t="str">
        <f t="shared" si="478"/>
        <v>6F3</v>
      </c>
      <c r="L12009" t="s">
        <v>15</v>
      </c>
    </row>
    <row r="12010" spans="1:12" x14ac:dyDescent="0.25">
      <c r="A12010" t="str">
        <f>"8759145703"</f>
        <v>8759145703</v>
      </c>
      <c r="B12010" t="str">
        <f t="shared" si="479"/>
        <v>89301000</v>
      </c>
      <c r="C12010" s="1">
        <v>44211</v>
      </c>
      <c r="D12010" s="1">
        <v>44215</v>
      </c>
      <c r="E12010">
        <v>1</v>
      </c>
      <c r="F12010" t="s">
        <v>82</v>
      </c>
      <c r="G12010" t="str">
        <f>"14-I01-05"</f>
        <v>14-I01-05</v>
      </c>
      <c r="H12010">
        <v>0.80030000000000001</v>
      </c>
      <c r="I12010" t="s">
        <v>7856</v>
      </c>
      <c r="J12010" t="s">
        <v>59</v>
      </c>
      <c r="K12010" t="str">
        <f t="shared" si="478"/>
        <v>6F3</v>
      </c>
      <c r="L12010" t="s">
        <v>15</v>
      </c>
    </row>
    <row r="12011" spans="1:12" x14ac:dyDescent="0.25">
      <c r="A12011" t="str">
        <f>"8759165778"</f>
        <v>8759165778</v>
      </c>
      <c r="B12011" t="str">
        <f t="shared" si="479"/>
        <v>89301000</v>
      </c>
      <c r="C12011" s="1">
        <v>44278</v>
      </c>
      <c r="D12011" s="1">
        <v>44279</v>
      </c>
      <c r="E12011">
        <v>1</v>
      </c>
      <c r="F12011" t="s">
        <v>994</v>
      </c>
      <c r="G12011" t="str">
        <f>"01-K05-02"</f>
        <v>01-K05-02</v>
      </c>
      <c r="H12011">
        <v>0.52649999999999997</v>
      </c>
      <c r="J12011" t="s">
        <v>14</v>
      </c>
      <c r="K12011" t="str">
        <f>"5F6"</f>
        <v>5F6</v>
      </c>
      <c r="L12011" t="s">
        <v>15</v>
      </c>
    </row>
    <row r="12012" spans="1:12" x14ac:dyDescent="0.25">
      <c r="A12012" t="str">
        <f>"8759184918"</f>
        <v>8759184918</v>
      </c>
      <c r="B12012" t="str">
        <f t="shared" si="479"/>
        <v>89301000</v>
      </c>
      <c r="C12012" s="1">
        <v>44551</v>
      </c>
      <c r="D12012" s="1">
        <v>44553</v>
      </c>
      <c r="E12012">
        <v>1</v>
      </c>
      <c r="F12012" t="s">
        <v>75</v>
      </c>
      <c r="G12012" t="str">
        <f>"14-M01-05"</f>
        <v>14-M01-05</v>
      </c>
      <c r="H12012">
        <v>0.54239999999999999</v>
      </c>
      <c r="I12012" t="s">
        <v>7590</v>
      </c>
      <c r="J12012" t="s">
        <v>59</v>
      </c>
      <c r="K12012" t="str">
        <f>"6F3"</f>
        <v>6F3</v>
      </c>
      <c r="L12012" t="s">
        <v>15</v>
      </c>
    </row>
    <row r="12013" spans="1:12" x14ac:dyDescent="0.25">
      <c r="A12013" t="str">
        <f>"8759214915"</f>
        <v>8759214915</v>
      </c>
      <c r="B12013" t="str">
        <f t="shared" si="479"/>
        <v>89301000</v>
      </c>
      <c r="C12013" s="1">
        <v>44397</v>
      </c>
      <c r="D12013" s="1">
        <v>44401</v>
      </c>
      <c r="E12013">
        <v>1</v>
      </c>
      <c r="F12013" t="s">
        <v>75</v>
      </c>
      <c r="G12013" t="str">
        <f>"14-M01-05"</f>
        <v>14-M01-05</v>
      </c>
      <c r="H12013">
        <v>0.54239999999999999</v>
      </c>
      <c r="I12013" t="s">
        <v>180</v>
      </c>
      <c r="J12013" t="s">
        <v>59</v>
      </c>
      <c r="K12013" t="str">
        <f>"6F3"</f>
        <v>6F3</v>
      </c>
      <c r="L12013" t="s">
        <v>15</v>
      </c>
    </row>
    <row r="12014" spans="1:12" x14ac:dyDescent="0.25">
      <c r="A12014" t="str">
        <f>"8759245792"</f>
        <v>8759245792</v>
      </c>
      <c r="B12014" t="str">
        <f t="shared" si="479"/>
        <v>89301000</v>
      </c>
      <c r="C12014" s="1">
        <v>44439</v>
      </c>
      <c r="D12014" s="1">
        <v>44442</v>
      </c>
      <c r="E12014">
        <v>1</v>
      </c>
      <c r="F12014" t="s">
        <v>75</v>
      </c>
      <c r="G12014" t="str">
        <f>"14-M01-05"</f>
        <v>14-M01-05</v>
      </c>
      <c r="H12014">
        <v>0.54239999999999999</v>
      </c>
      <c r="I12014" t="s">
        <v>76</v>
      </c>
      <c r="J12014" t="s">
        <v>59</v>
      </c>
      <c r="K12014" t="str">
        <f>"6F3"</f>
        <v>6F3</v>
      </c>
      <c r="L12014" t="s">
        <v>15</v>
      </c>
    </row>
    <row r="12015" spans="1:12" x14ac:dyDescent="0.25">
      <c r="A12015" t="str">
        <f>"8759254911"</f>
        <v>8759254911</v>
      </c>
      <c r="B12015" t="str">
        <f t="shared" si="479"/>
        <v>89301000</v>
      </c>
      <c r="C12015" s="1">
        <v>44454</v>
      </c>
      <c r="D12015" s="1">
        <v>44456</v>
      </c>
      <c r="E12015">
        <v>1</v>
      </c>
      <c r="F12015" t="s">
        <v>6609</v>
      </c>
      <c r="G12015" t="str">
        <f>"09-I04-02"</f>
        <v>09-I04-02</v>
      </c>
      <c r="H12015">
        <v>1.5007999999999999</v>
      </c>
      <c r="I12015" t="s">
        <v>413</v>
      </c>
      <c r="J12015" t="s">
        <v>17</v>
      </c>
      <c r="K12015" t="str">
        <f>"6F1"</f>
        <v>6F1</v>
      </c>
      <c r="L12015" t="s">
        <v>15</v>
      </c>
    </row>
    <row r="12016" spans="1:12" x14ac:dyDescent="0.25">
      <c r="A12016" t="str">
        <f>"8759254911"</f>
        <v>8759254911</v>
      </c>
      <c r="B12016" t="str">
        <f t="shared" si="479"/>
        <v>89301000</v>
      </c>
      <c r="C12016" s="1">
        <v>44200</v>
      </c>
      <c r="D12016" s="1">
        <v>44204</v>
      </c>
      <c r="E12016">
        <v>1</v>
      </c>
      <c r="F12016" t="s">
        <v>1551</v>
      </c>
      <c r="G12016" t="str">
        <f>"09-I06-04"</f>
        <v>09-I06-04</v>
      </c>
      <c r="H12016">
        <v>0.98829999999999996</v>
      </c>
      <c r="J12016" t="s">
        <v>17</v>
      </c>
      <c r="K12016" t="str">
        <f>"5F1"</f>
        <v>5F1</v>
      </c>
      <c r="L12016" t="s">
        <v>15</v>
      </c>
    </row>
    <row r="12017" spans="1:12" x14ac:dyDescent="0.25">
      <c r="A12017" t="str">
        <f>"8759265988"</f>
        <v>8759265988</v>
      </c>
      <c r="B12017" t="str">
        <f t="shared" si="479"/>
        <v>89301000</v>
      </c>
      <c r="C12017" s="1">
        <v>44540</v>
      </c>
      <c r="D12017" s="1">
        <v>44541</v>
      </c>
      <c r="E12017">
        <v>1</v>
      </c>
      <c r="F12017" t="s">
        <v>2863</v>
      </c>
      <c r="G12017" t="str">
        <f>"13-I19-00"</f>
        <v>13-I19-00</v>
      </c>
      <c r="H12017">
        <v>0.24679999999999999</v>
      </c>
      <c r="J12017" t="s">
        <v>14</v>
      </c>
      <c r="K12017" t="str">
        <f t="shared" ref="K12017:K12027" si="480">"6F3"</f>
        <v>6F3</v>
      </c>
      <c r="L12017" t="s">
        <v>15</v>
      </c>
    </row>
    <row r="12018" spans="1:12" x14ac:dyDescent="0.25">
      <c r="A12018" t="str">
        <f>"8759804284"</f>
        <v>8759804284</v>
      </c>
      <c r="B12018" t="str">
        <f t="shared" si="479"/>
        <v>89301000</v>
      </c>
      <c r="C12018" s="1">
        <v>44203</v>
      </c>
      <c r="D12018" s="1">
        <v>44208</v>
      </c>
      <c r="E12018">
        <v>1</v>
      </c>
      <c r="F12018" t="s">
        <v>75</v>
      </c>
      <c r="G12018" t="str">
        <f>"14-M01-05"</f>
        <v>14-M01-05</v>
      </c>
      <c r="H12018">
        <v>0.54239999999999999</v>
      </c>
      <c r="I12018" t="s">
        <v>788</v>
      </c>
      <c r="J12018" t="s">
        <v>59</v>
      </c>
      <c r="K12018" t="str">
        <f t="shared" si="480"/>
        <v>6F3</v>
      </c>
      <c r="L12018" t="s">
        <v>15</v>
      </c>
    </row>
    <row r="12019" spans="1:12" x14ac:dyDescent="0.25">
      <c r="A12019" t="str">
        <f>"8760026209"</f>
        <v>8760026209</v>
      </c>
      <c r="B12019" t="str">
        <f t="shared" si="479"/>
        <v>89301000</v>
      </c>
      <c r="C12019" s="1">
        <v>44249</v>
      </c>
      <c r="D12019" s="1">
        <v>44252</v>
      </c>
      <c r="E12019">
        <v>1</v>
      </c>
      <c r="F12019" t="s">
        <v>75</v>
      </c>
      <c r="G12019" t="str">
        <f>"14-M01-05"</f>
        <v>14-M01-05</v>
      </c>
      <c r="H12019">
        <v>0.54239999999999999</v>
      </c>
      <c r="I12019" t="s">
        <v>7857</v>
      </c>
      <c r="J12019" t="s">
        <v>59</v>
      </c>
      <c r="K12019" t="str">
        <f t="shared" si="480"/>
        <v>6F3</v>
      </c>
      <c r="L12019" t="s">
        <v>15</v>
      </c>
    </row>
    <row r="12020" spans="1:12" x14ac:dyDescent="0.25">
      <c r="A12020" t="str">
        <f>"8760056228"</f>
        <v>8760056228</v>
      </c>
      <c r="B12020" t="str">
        <f t="shared" si="479"/>
        <v>89301000</v>
      </c>
      <c r="C12020" s="1">
        <v>44424</v>
      </c>
      <c r="D12020" s="1">
        <v>44426</v>
      </c>
      <c r="E12020">
        <v>1</v>
      </c>
      <c r="F12020" t="s">
        <v>75</v>
      </c>
      <c r="G12020" t="str">
        <f>"14-M01-05"</f>
        <v>14-M01-05</v>
      </c>
      <c r="H12020">
        <v>0.54239999999999999</v>
      </c>
      <c r="I12020" t="s">
        <v>256</v>
      </c>
      <c r="J12020" t="s">
        <v>59</v>
      </c>
      <c r="K12020" t="str">
        <f t="shared" si="480"/>
        <v>6F3</v>
      </c>
      <c r="L12020" t="s">
        <v>15</v>
      </c>
    </row>
    <row r="12021" spans="1:12" x14ac:dyDescent="0.25">
      <c r="A12021" t="str">
        <f>"8760075786"</f>
        <v>8760075786</v>
      </c>
      <c r="B12021" t="str">
        <f t="shared" si="479"/>
        <v>89301000</v>
      </c>
      <c r="C12021" s="1">
        <v>44448</v>
      </c>
      <c r="D12021" s="1">
        <v>44454</v>
      </c>
      <c r="E12021">
        <v>1</v>
      </c>
      <c r="F12021" t="s">
        <v>82</v>
      </c>
      <c r="G12021" t="str">
        <f>"14-I01-05"</f>
        <v>14-I01-05</v>
      </c>
      <c r="H12021">
        <v>0.80030000000000001</v>
      </c>
      <c r="I12021" t="s">
        <v>7858</v>
      </c>
      <c r="J12021" t="s">
        <v>59</v>
      </c>
      <c r="K12021" t="str">
        <f t="shared" si="480"/>
        <v>6F3</v>
      </c>
      <c r="L12021" t="s">
        <v>15</v>
      </c>
    </row>
    <row r="12022" spans="1:12" x14ac:dyDescent="0.25">
      <c r="A12022" t="str">
        <f>"8760085807"</f>
        <v>8760085807</v>
      </c>
      <c r="B12022" t="str">
        <f t="shared" si="479"/>
        <v>89301000</v>
      </c>
      <c r="C12022" s="1">
        <v>44315</v>
      </c>
      <c r="D12022" s="1">
        <v>44318</v>
      </c>
      <c r="E12022">
        <v>1</v>
      </c>
      <c r="F12022" t="s">
        <v>75</v>
      </c>
      <c r="G12022" t="str">
        <f>"14-M01-05"</f>
        <v>14-M01-05</v>
      </c>
      <c r="H12022">
        <v>0.54239999999999999</v>
      </c>
      <c r="I12022" t="s">
        <v>7792</v>
      </c>
      <c r="J12022" t="s">
        <v>59</v>
      </c>
      <c r="K12022" t="str">
        <f t="shared" si="480"/>
        <v>6F3</v>
      </c>
      <c r="L12022" t="s">
        <v>15</v>
      </c>
    </row>
    <row r="12023" spans="1:12" x14ac:dyDescent="0.25">
      <c r="A12023" t="str">
        <f>"8760095795"</f>
        <v>8760095795</v>
      </c>
      <c r="B12023" t="str">
        <f t="shared" si="479"/>
        <v>89301000</v>
      </c>
      <c r="C12023" s="1">
        <v>44232</v>
      </c>
      <c r="D12023" s="1">
        <v>44235</v>
      </c>
      <c r="E12023">
        <v>1</v>
      </c>
      <c r="F12023" t="s">
        <v>75</v>
      </c>
      <c r="G12023" t="str">
        <f>"14-M01-05"</f>
        <v>14-M01-05</v>
      </c>
      <c r="H12023">
        <v>0.54239999999999999</v>
      </c>
      <c r="I12023" t="s">
        <v>76</v>
      </c>
      <c r="J12023" t="s">
        <v>59</v>
      </c>
      <c r="K12023" t="str">
        <f t="shared" si="480"/>
        <v>6F3</v>
      </c>
      <c r="L12023" t="s">
        <v>15</v>
      </c>
    </row>
    <row r="12024" spans="1:12" x14ac:dyDescent="0.25">
      <c r="A12024" t="str">
        <f>"8760145779"</f>
        <v>8760145779</v>
      </c>
      <c r="B12024" t="str">
        <f t="shared" si="479"/>
        <v>89301000</v>
      </c>
      <c r="C12024" s="1">
        <v>44274</v>
      </c>
      <c r="D12024" s="1">
        <v>44279</v>
      </c>
      <c r="E12024">
        <v>1</v>
      </c>
      <c r="F12024" t="s">
        <v>82</v>
      </c>
      <c r="G12024" t="str">
        <f>"14-I01-02"</f>
        <v>14-I01-02</v>
      </c>
      <c r="H12024">
        <v>1.1289</v>
      </c>
      <c r="I12024" t="s">
        <v>7859</v>
      </c>
      <c r="J12024" t="s">
        <v>59</v>
      </c>
      <c r="K12024" t="str">
        <f t="shared" si="480"/>
        <v>6F3</v>
      </c>
      <c r="L12024" t="s">
        <v>15</v>
      </c>
    </row>
    <row r="12025" spans="1:12" x14ac:dyDescent="0.25">
      <c r="A12025" t="str">
        <f>"8760165766"</f>
        <v>8760165766</v>
      </c>
      <c r="B12025" t="str">
        <f t="shared" si="479"/>
        <v>89301000</v>
      </c>
      <c r="C12025" s="1">
        <v>44372</v>
      </c>
      <c r="D12025" s="1">
        <v>44373</v>
      </c>
      <c r="E12025">
        <v>1</v>
      </c>
      <c r="F12025" t="s">
        <v>266</v>
      </c>
      <c r="G12025" t="str">
        <f>"13-K02-00"</f>
        <v>13-K02-00</v>
      </c>
      <c r="H12025">
        <v>0.24079999999999999</v>
      </c>
      <c r="J12025" t="s">
        <v>14</v>
      </c>
      <c r="K12025" t="str">
        <f t="shared" si="480"/>
        <v>6F3</v>
      </c>
      <c r="L12025" t="s">
        <v>15</v>
      </c>
    </row>
    <row r="12026" spans="1:12" x14ac:dyDescent="0.25">
      <c r="A12026" t="str">
        <f>"8760215794"</f>
        <v>8760215794</v>
      </c>
      <c r="B12026" t="str">
        <f t="shared" si="479"/>
        <v>89301000</v>
      </c>
      <c r="C12026" s="1">
        <v>44481</v>
      </c>
      <c r="D12026" s="1">
        <v>44484</v>
      </c>
      <c r="E12026">
        <v>1</v>
      </c>
      <c r="F12026" t="s">
        <v>75</v>
      </c>
      <c r="G12026" t="str">
        <f>"14-M01-05"</f>
        <v>14-M01-05</v>
      </c>
      <c r="H12026">
        <v>0.54239999999999999</v>
      </c>
      <c r="I12026" t="s">
        <v>426</v>
      </c>
      <c r="J12026" t="s">
        <v>59</v>
      </c>
      <c r="K12026" t="str">
        <f t="shared" si="480"/>
        <v>6F3</v>
      </c>
      <c r="L12026" t="s">
        <v>15</v>
      </c>
    </row>
    <row r="12027" spans="1:12" x14ac:dyDescent="0.25">
      <c r="A12027" t="str">
        <f>"8760235781"</f>
        <v>8760235781</v>
      </c>
      <c r="B12027" t="str">
        <f t="shared" si="479"/>
        <v>89301000</v>
      </c>
      <c r="C12027" s="1">
        <v>44417</v>
      </c>
      <c r="D12027" s="1">
        <v>44421</v>
      </c>
      <c r="E12027">
        <v>1</v>
      </c>
      <c r="F12027" t="s">
        <v>61</v>
      </c>
      <c r="G12027" t="str">
        <f>"14-I01-05"</f>
        <v>14-I01-05</v>
      </c>
      <c r="H12027">
        <v>0.80030000000000001</v>
      </c>
      <c r="I12027" t="s">
        <v>7860</v>
      </c>
      <c r="J12027" t="s">
        <v>59</v>
      </c>
      <c r="K12027" t="str">
        <f t="shared" si="480"/>
        <v>6F3</v>
      </c>
      <c r="L12027" t="s">
        <v>15</v>
      </c>
    </row>
    <row r="12028" spans="1:12" x14ac:dyDescent="0.25">
      <c r="A12028" t="str">
        <f>"8760245373"</f>
        <v>8760245373</v>
      </c>
      <c r="B12028" t="str">
        <f t="shared" si="479"/>
        <v>89301000</v>
      </c>
      <c r="C12028" s="1">
        <v>44461</v>
      </c>
      <c r="D12028" s="1">
        <v>44468</v>
      </c>
      <c r="E12028">
        <v>1</v>
      </c>
      <c r="F12028" t="s">
        <v>7240</v>
      </c>
      <c r="G12028" t="str">
        <f>"18-K02-03"</f>
        <v>18-K02-03</v>
      </c>
      <c r="H12028">
        <v>0.87570000000000003</v>
      </c>
      <c r="I12028" t="s">
        <v>7861</v>
      </c>
      <c r="J12028" t="s">
        <v>14</v>
      </c>
      <c r="K12028" t="str">
        <f>"4F4"</f>
        <v>4F4</v>
      </c>
      <c r="L12028" t="s">
        <v>15</v>
      </c>
    </row>
    <row r="12029" spans="1:12" x14ac:dyDescent="0.25">
      <c r="A12029" t="str">
        <f>"8760284907"</f>
        <v>8760284907</v>
      </c>
      <c r="B12029" t="str">
        <f t="shared" si="479"/>
        <v>89301000</v>
      </c>
      <c r="C12029" s="1">
        <v>44441</v>
      </c>
      <c r="D12029" s="1">
        <v>44445</v>
      </c>
      <c r="E12029">
        <v>1</v>
      </c>
      <c r="F12029" t="s">
        <v>61</v>
      </c>
      <c r="G12029" t="str">
        <f>"14-I01-05"</f>
        <v>14-I01-05</v>
      </c>
      <c r="H12029">
        <v>0.80030000000000001</v>
      </c>
      <c r="I12029" t="s">
        <v>7572</v>
      </c>
      <c r="J12029" t="s">
        <v>59</v>
      </c>
      <c r="K12029" t="str">
        <f>"6F3"</f>
        <v>6F3</v>
      </c>
      <c r="L12029" t="s">
        <v>15</v>
      </c>
    </row>
    <row r="12030" spans="1:12" x14ac:dyDescent="0.25">
      <c r="A12030" t="str">
        <f>"8760286227"</f>
        <v>8760286227</v>
      </c>
      <c r="B12030" t="str">
        <f t="shared" si="479"/>
        <v>89301000</v>
      </c>
      <c r="C12030" s="1">
        <v>44354</v>
      </c>
      <c r="D12030" s="1">
        <v>44355</v>
      </c>
      <c r="E12030">
        <v>1</v>
      </c>
      <c r="F12030" t="s">
        <v>457</v>
      </c>
      <c r="G12030" t="str">
        <f>"08-I16-04"</f>
        <v>08-I16-04</v>
      </c>
      <c r="H12030">
        <v>0.92159999999999997</v>
      </c>
      <c r="I12030" t="s">
        <v>381</v>
      </c>
      <c r="J12030" t="s">
        <v>17</v>
      </c>
      <c r="K12030" t="str">
        <f>"5F3"</f>
        <v>5F3</v>
      </c>
      <c r="L12030" t="s">
        <v>15</v>
      </c>
    </row>
    <row r="12031" spans="1:12" x14ac:dyDescent="0.25">
      <c r="A12031" t="str">
        <f>"8760314541"</f>
        <v>8760314541</v>
      </c>
      <c r="B12031" t="str">
        <f t="shared" si="479"/>
        <v>89301000</v>
      </c>
      <c r="C12031" s="1">
        <v>44333</v>
      </c>
      <c r="D12031" s="1">
        <v>44338</v>
      </c>
      <c r="E12031">
        <v>1</v>
      </c>
      <c r="F12031" t="s">
        <v>61</v>
      </c>
      <c r="G12031" t="str">
        <f>"14-I01-05"</f>
        <v>14-I01-05</v>
      </c>
      <c r="H12031">
        <v>0.80030000000000001</v>
      </c>
      <c r="I12031" t="s">
        <v>62</v>
      </c>
      <c r="J12031" t="s">
        <v>59</v>
      </c>
      <c r="K12031" t="str">
        <f>"6F3"</f>
        <v>6F3</v>
      </c>
      <c r="L12031" t="s">
        <v>15</v>
      </c>
    </row>
    <row r="12032" spans="1:12" x14ac:dyDescent="0.25">
      <c r="A12032" t="str">
        <f>"8761015769"</f>
        <v>8761015769</v>
      </c>
      <c r="B12032" t="str">
        <f t="shared" si="479"/>
        <v>89301000</v>
      </c>
      <c r="C12032" s="1">
        <v>44460</v>
      </c>
      <c r="D12032" s="1">
        <v>44463</v>
      </c>
      <c r="E12032">
        <v>1</v>
      </c>
      <c r="F12032" t="s">
        <v>75</v>
      </c>
      <c r="G12032" t="str">
        <f>"14-M01-05"</f>
        <v>14-M01-05</v>
      </c>
      <c r="H12032">
        <v>0.54239999999999999</v>
      </c>
      <c r="I12032" t="s">
        <v>426</v>
      </c>
      <c r="J12032" t="s">
        <v>59</v>
      </c>
      <c r="K12032" t="str">
        <f>"6F3"</f>
        <v>6F3</v>
      </c>
      <c r="L12032" t="s">
        <v>15</v>
      </c>
    </row>
    <row r="12033" spans="1:12" x14ac:dyDescent="0.25">
      <c r="A12033" t="str">
        <f>"8761073849"</f>
        <v>8761073849</v>
      </c>
      <c r="B12033" t="str">
        <f t="shared" si="479"/>
        <v>89301000</v>
      </c>
      <c r="C12033" s="1">
        <v>44304</v>
      </c>
      <c r="D12033" s="1">
        <v>44308</v>
      </c>
      <c r="E12033">
        <v>1</v>
      </c>
      <c r="F12033" t="s">
        <v>75</v>
      </c>
      <c r="G12033" t="str">
        <f>"14-M01-05"</f>
        <v>14-M01-05</v>
      </c>
      <c r="H12033">
        <v>0.54239999999999999</v>
      </c>
      <c r="I12033" t="s">
        <v>7503</v>
      </c>
      <c r="J12033" t="s">
        <v>59</v>
      </c>
      <c r="K12033" t="str">
        <f>"6F3"</f>
        <v>6F3</v>
      </c>
      <c r="L12033" t="s">
        <v>15</v>
      </c>
    </row>
    <row r="12034" spans="1:12" x14ac:dyDescent="0.25">
      <c r="A12034" t="str">
        <f>"8761204936"</f>
        <v>8761204936</v>
      </c>
      <c r="B12034" t="str">
        <f t="shared" si="479"/>
        <v>89301000</v>
      </c>
      <c r="C12034" s="1">
        <v>44419</v>
      </c>
      <c r="D12034" s="1">
        <v>44421</v>
      </c>
      <c r="E12034">
        <v>6</v>
      </c>
      <c r="F12034" t="s">
        <v>61</v>
      </c>
      <c r="G12034" t="str">
        <f>"14-I01-05"</f>
        <v>14-I01-05</v>
      </c>
      <c r="H12034">
        <v>0.80030000000000001</v>
      </c>
      <c r="I12034" t="s">
        <v>7562</v>
      </c>
      <c r="J12034" t="s">
        <v>59</v>
      </c>
      <c r="K12034" t="str">
        <f>"6F3"</f>
        <v>6F3</v>
      </c>
      <c r="L12034" t="s">
        <v>15</v>
      </c>
    </row>
    <row r="12035" spans="1:12" x14ac:dyDescent="0.25">
      <c r="A12035" t="str">
        <f>"8761205783"</f>
        <v>8761205783</v>
      </c>
      <c r="B12035" t="str">
        <f t="shared" si="479"/>
        <v>89301000</v>
      </c>
      <c r="C12035" s="1">
        <v>44318</v>
      </c>
      <c r="D12035" s="1">
        <v>44323</v>
      </c>
      <c r="E12035">
        <v>1</v>
      </c>
      <c r="F12035" t="s">
        <v>583</v>
      </c>
      <c r="G12035" t="str">
        <f>"05-I24-03"</f>
        <v>05-I24-03</v>
      </c>
      <c r="H12035">
        <v>3.1404999999999998</v>
      </c>
      <c r="I12035" t="s">
        <v>7862</v>
      </c>
      <c r="J12035" t="s">
        <v>14</v>
      </c>
      <c r="K12035" t="str">
        <f>"5F1"</f>
        <v>5F1</v>
      </c>
      <c r="L12035" t="s">
        <v>15</v>
      </c>
    </row>
    <row r="12036" spans="1:12" x14ac:dyDescent="0.25">
      <c r="A12036" t="str">
        <f>"8761205783"</f>
        <v>8761205783</v>
      </c>
      <c r="B12036" t="str">
        <f t="shared" si="479"/>
        <v>89301000</v>
      </c>
      <c r="C12036" s="1">
        <v>44346</v>
      </c>
      <c r="D12036" s="1">
        <v>44356</v>
      </c>
      <c r="E12036">
        <v>1</v>
      </c>
      <c r="F12036" t="s">
        <v>1927</v>
      </c>
      <c r="G12036" t="str">
        <f>"05-I24-04"</f>
        <v>05-I24-04</v>
      </c>
      <c r="H12036">
        <v>2.1857000000000002</v>
      </c>
      <c r="I12036" t="s">
        <v>1928</v>
      </c>
      <c r="J12036" t="s">
        <v>14</v>
      </c>
      <c r="K12036" t="str">
        <f>"5F1"</f>
        <v>5F1</v>
      </c>
      <c r="L12036" t="s">
        <v>15</v>
      </c>
    </row>
    <row r="12037" spans="1:12" x14ac:dyDescent="0.25">
      <c r="A12037" t="str">
        <f>"8762045787"</f>
        <v>8762045787</v>
      </c>
      <c r="B12037" t="str">
        <f t="shared" si="479"/>
        <v>89301000</v>
      </c>
      <c r="C12037" s="1">
        <v>44343</v>
      </c>
      <c r="D12037" s="1">
        <v>44346</v>
      </c>
      <c r="E12037">
        <v>1</v>
      </c>
      <c r="F12037" t="s">
        <v>75</v>
      </c>
      <c r="G12037" t="str">
        <f>"14-M01-05"</f>
        <v>14-M01-05</v>
      </c>
      <c r="H12037">
        <v>0.54239999999999999</v>
      </c>
      <c r="I12037" t="s">
        <v>7863</v>
      </c>
      <c r="J12037" t="s">
        <v>59</v>
      </c>
      <c r="K12037" t="str">
        <f t="shared" ref="K12037:K12046" si="481">"6F3"</f>
        <v>6F3</v>
      </c>
      <c r="L12037" t="s">
        <v>15</v>
      </c>
    </row>
    <row r="12038" spans="1:12" x14ac:dyDescent="0.25">
      <c r="A12038" t="str">
        <f>"8762083836"</f>
        <v>8762083836</v>
      </c>
      <c r="B12038" t="str">
        <f t="shared" si="479"/>
        <v>89301000</v>
      </c>
      <c r="C12038" s="1">
        <v>44531</v>
      </c>
      <c r="D12038" s="1">
        <v>44538</v>
      </c>
      <c r="E12038">
        <v>1</v>
      </c>
      <c r="F12038" t="s">
        <v>61</v>
      </c>
      <c r="G12038" t="str">
        <f>"14-I01-01"</f>
        <v>14-I01-01</v>
      </c>
      <c r="H12038">
        <v>1.5294000000000001</v>
      </c>
      <c r="I12038" t="s">
        <v>7864</v>
      </c>
      <c r="J12038" t="s">
        <v>59</v>
      </c>
      <c r="K12038" t="str">
        <f t="shared" si="481"/>
        <v>6F3</v>
      </c>
      <c r="L12038" t="s">
        <v>15</v>
      </c>
    </row>
    <row r="12039" spans="1:12" x14ac:dyDescent="0.25">
      <c r="A12039" t="str">
        <f>"8762164917"</f>
        <v>8762164917</v>
      </c>
      <c r="B12039" t="str">
        <f t="shared" si="479"/>
        <v>89301000</v>
      </c>
      <c r="C12039" s="1">
        <v>44232</v>
      </c>
      <c r="D12039" s="1">
        <v>44234</v>
      </c>
      <c r="E12039">
        <v>1</v>
      </c>
      <c r="F12039" t="s">
        <v>75</v>
      </c>
      <c r="G12039" t="str">
        <f>"14-M01-02"</f>
        <v>14-M01-02</v>
      </c>
      <c r="H12039">
        <v>0.74450000000000005</v>
      </c>
      <c r="I12039" t="s">
        <v>7865</v>
      </c>
      <c r="J12039" t="s">
        <v>59</v>
      </c>
      <c r="K12039" t="str">
        <f t="shared" si="481"/>
        <v>6F3</v>
      </c>
      <c r="L12039" t="s">
        <v>15</v>
      </c>
    </row>
    <row r="12040" spans="1:12" x14ac:dyDescent="0.25">
      <c r="A12040" t="str">
        <f>"8762175785"</f>
        <v>8762175785</v>
      </c>
      <c r="B12040" t="str">
        <f t="shared" si="479"/>
        <v>89301000</v>
      </c>
      <c r="C12040" s="1">
        <v>44231</v>
      </c>
      <c r="D12040" s="1">
        <v>44236</v>
      </c>
      <c r="E12040">
        <v>1</v>
      </c>
      <c r="F12040" t="s">
        <v>61</v>
      </c>
      <c r="G12040" t="str">
        <f>"14-I01-05"</f>
        <v>14-I01-05</v>
      </c>
      <c r="H12040">
        <v>0.80030000000000001</v>
      </c>
      <c r="I12040" t="s">
        <v>91</v>
      </c>
      <c r="J12040" t="s">
        <v>59</v>
      </c>
      <c r="K12040" t="str">
        <f t="shared" si="481"/>
        <v>6F3</v>
      </c>
      <c r="L12040" t="s">
        <v>15</v>
      </c>
    </row>
    <row r="12041" spans="1:12" x14ac:dyDescent="0.25">
      <c r="A12041" t="str">
        <f>"8762175818"</f>
        <v>8762175818</v>
      </c>
      <c r="B12041" t="str">
        <f t="shared" si="479"/>
        <v>89301000</v>
      </c>
      <c r="C12041" s="1">
        <v>44381</v>
      </c>
      <c r="D12041" s="1">
        <v>44384</v>
      </c>
      <c r="E12041">
        <v>1</v>
      </c>
      <c r="F12041" t="s">
        <v>75</v>
      </c>
      <c r="G12041" t="str">
        <f>"14-M01-05"</f>
        <v>14-M01-05</v>
      </c>
      <c r="H12041">
        <v>0.54239999999999999</v>
      </c>
      <c r="I12041" t="s">
        <v>76</v>
      </c>
      <c r="J12041" t="s">
        <v>59</v>
      </c>
      <c r="K12041" t="str">
        <f t="shared" si="481"/>
        <v>6F3</v>
      </c>
      <c r="L12041" t="s">
        <v>15</v>
      </c>
    </row>
    <row r="12042" spans="1:12" x14ac:dyDescent="0.25">
      <c r="A12042" t="str">
        <f>"8762225813"</f>
        <v>8762225813</v>
      </c>
      <c r="B12042" t="str">
        <f t="shared" si="479"/>
        <v>89301000</v>
      </c>
      <c r="C12042" s="1">
        <v>44232</v>
      </c>
      <c r="D12042" s="1">
        <v>44235</v>
      </c>
      <c r="E12042">
        <v>1</v>
      </c>
      <c r="F12042" t="s">
        <v>75</v>
      </c>
      <c r="G12042" t="str">
        <f>"14-M01-05"</f>
        <v>14-M01-05</v>
      </c>
      <c r="H12042">
        <v>0.54239999999999999</v>
      </c>
      <c r="I12042" t="s">
        <v>76</v>
      </c>
      <c r="J12042" t="s">
        <v>59</v>
      </c>
      <c r="K12042" t="str">
        <f t="shared" si="481"/>
        <v>6F3</v>
      </c>
      <c r="L12042" t="s">
        <v>15</v>
      </c>
    </row>
    <row r="12043" spans="1:12" x14ac:dyDescent="0.25">
      <c r="A12043" t="str">
        <f>"8762226231"</f>
        <v>8762226231</v>
      </c>
      <c r="B12043" t="str">
        <f t="shared" si="479"/>
        <v>89301000</v>
      </c>
      <c r="C12043" s="1">
        <v>44319</v>
      </c>
      <c r="D12043" s="1">
        <v>44326</v>
      </c>
      <c r="E12043">
        <v>1</v>
      </c>
      <c r="F12043" t="s">
        <v>116</v>
      </c>
      <c r="G12043" t="str">
        <f>"14-M01-05"</f>
        <v>14-M01-05</v>
      </c>
      <c r="H12043">
        <v>0.60709999999999997</v>
      </c>
      <c r="I12043" t="s">
        <v>7866</v>
      </c>
      <c r="J12043" t="s">
        <v>59</v>
      </c>
      <c r="K12043" t="str">
        <f t="shared" si="481"/>
        <v>6F3</v>
      </c>
      <c r="L12043" t="s">
        <v>15</v>
      </c>
    </row>
    <row r="12044" spans="1:12" x14ac:dyDescent="0.25">
      <c r="A12044" t="str">
        <f>"8762226231"</f>
        <v>8762226231</v>
      </c>
      <c r="B12044" t="str">
        <f t="shared" si="479"/>
        <v>89301000</v>
      </c>
      <c r="C12044" s="1">
        <v>44304</v>
      </c>
      <c r="D12044" s="1">
        <v>44315</v>
      </c>
      <c r="E12044">
        <v>1</v>
      </c>
      <c r="F12044" t="s">
        <v>60</v>
      </c>
      <c r="G12044" t="str">
        <f>"14-K03-02"</f>
        <v>14-K03-02</v>
      </c>
      <c r="H12044">
        <v>0.4229</v>
      </c>
      <c r="J12044" t="s">
        <v>14</v>
      </c>
      <c r="K12044" t="str">
        <f t="shared" si="481"/>
        <v>6F3</v>
      </c>
      <c r="L12044" t="s">
        <v>15</v>
      </c>
    </row>
    <row r="12045" spans="1:12" x14ac:dyDescent="0.25">
      <c r="A12045" t="str">
        <f>"8762295773"</f>
        <v>8762295773</v>
      </c>
      <c r="B12045" t="str">
        <f t="shared" si="479"/>
        <v>89301000</v>
      </c>
      <c r="C12045" s="1">
        <v>44504</v>
      </c>
      <c r="D12045" s="1">
        <v>44507</v>
      </c>
      <c r="E12045">
        <v>1</v>
      </c>
      <c r="F12045" t="s">
        <v>75</v>
      </c>
      <c r="G12045" t="str">
        <f>"14-M01-02"</f>
        <v>14-M01-02</v>
      </c>
      <c r="H12045">
        <v>0.75570000000000004</v>
      </c>
      <c r="I12045" t="s">
        <v>7867</v>
      </c>
      <c r="J12045" t="s">
        <v>59</v>
      </c>
      <c r="K12045" t="str">
        <f t="shared" si="481"/>
        <v>6F3</v>
      </c>
      <c r="L12045" t="s">
        <v>15</v>
      </c>
    </row>
    <row r="12046" spans="1:12" x14ac:dyDescent="0.25">
      <c r="A12046" t="str">
        <f>"8762295784"</f>
        <v>8762295784</v>
      </c>
      <c r="B12046" t="str">
        <f t="shared" si="479"/>
        <v>89301000</v>
      </c>
      <c r="C12046" s="1">
        <v>44223</v>
      </c>
      <c r="D12046" s="1">
        <v>44226</v>
      </c>
      <c r="E12046">
        <v>1</v>
      </c>
      <c r="F12046" t="s">
        <v>75</v>
      </c>
      <c r="G12046" t="str">
        <f>"14-M01-05"</f>
        <v>14-M01-05</v>
      </c>
      <c r="H12046">
        <v>0.54239999999999999</v>
      </c>
      <c r="I12046" t="s">
        <v>426</v>
      </c>
      <c r="J12046" t="s">
        <v>59</v>
      </c>
      <c r="K12046" t="str">
        <f t="shared" si="481"/>
        <v>6F3</v>
      </c>
      <c r="L12046" t="s">
        <v>15</v>
      </c>
    </row>
    <row r="12047" spans="1:12" x14ac:dyDescent="0.25">
      <c r="A12047" t="str">
        <f>"8801174382"</f>
        <v>8801174382</v>
      </c>
      <c r="B12047" t="str">
        <f t="shared" si="479"/>
        <v>89301000</v>
      </c>
      <c r="C12047" s="1">
        <v>44328</v>
      </c>
      <c r="D12047" s="1">
        <v>44329</v>
      </c>
      <c r="E12047">
        <v>1</v>
      </c>
      <c r="F12047" t="s">
        <v>41</v>
      </c>
      <c r="G12047" t="str">
        <f>"01-D01-03"</f>
        <v>01-D01-03</v>
      </c>
      <c r="H12047">
        <v>0.158</v>
      </c>
      <c r="J12047" t="s">
        <v>14</v>
      </c>
      <c r="K12047" t="str">
        <f>"2F5"</f>
        <v>2F5</v>
      </c>
      <c r="L12047" t="s">
        <v>15</v>
      </c>
    </row>
    <row r="12048" spans="1:12" x14ac:dyDescent="0.25">
      <c r="A12048" t="str">
        <f>"8801255771"</f>
        <v>8801255771</v>
      </c>
      <c r="B12048" t="str">
        <f t="shared" si="479"/>
        <v>89301000</v>
      </c>
      <c r="C12048" s="1">
        <v>44367</v>
      </c>
      <c r="D12048" s="1">
        <v>44371</v>
      </c>
      <c r="E12048">
        <v>1</v>
      </c>
      <c r="F12048" t="s">
        <v>722</v>
      </c>
      <c r="G12048" t="str">
        <f>"03-I22-03"</f>
        <v>03-I22-03</v>
      </c>
      <c r="H12048">
        <v>0.49049999999999999</v>
      </c>
      <c r="I12048" t="s">
        <v>7868</v>
      </c>
      <c r="J12048" t="s">
        <v>14</v>
      </c>
      <c r="K12048" t="str">
        <f>"7F1"</f>
        <v>7F1</v>
      </c>
      <c r="L12048" t="s">
        <v>15</v>
      </c>
    </row>
    <row r="12049" spans="1:12" x14ac:dyDescent="0.25">
      <c r="A12049" t="str">
        <f>"8801285768"</f>
        <v>8801285768</v>
      </c>
      <c r="B12049" t="str">
        <f t="shared" si="479"/>
        <v>89301000</v>
      </c>
      <c r="C12049" s="1">
        <v>44493</v>
      </c>
      <c r="D12049" s="1">
        <v>44498</v>
      </c>
      <c r="E12049">
        <v>1</v>
      </c>
      <c r="F12049" t="s">
        <v>98</v>
      </c>
      <c r="G12049" t="str">
        <f>"19-K03-03"</f>
        <v>19-K03-03</v>
      </c>
      <c r="H12049">
        <v>0.93169999999999997</v>
      </c>
      <c r="I12049" t="s">
        <v>7869</v>
      </c>
      <c r="J12049" t="s">
        <v>27</v>
      </c>
      <c r="K12049" t="str">
        <f>"3F5"</f>
        <v>3F5</v>
      </c>
      <c r="L12049" t="s">
        <v>15</v>
      </c>
    </row>
    <row r="12050" spans="1:12" x14ac:dyDescent="0.25">
      <c r="A12050" t="str">
        <f>"8801305788"</f>
        <v>8801305788</v>
      </c>
      <c r="B12050" t="str">
        <f t="shared" si="479"/>
        <v>89301000</v>
      </c>
      <c r="C12050" s="1">
        <v>44548</v>
      </c>
      <c r="D12050" s="1">
        <v>44551</v>
      </c>
      <c r="E12050">
        <v>1</v>
      </c>
      <c r="F12050" t="s">
        <v>7870</v>
      </c>
      <c r="G12050" t="str">
        <f>"05-D01-05"</f>
        <v>05-D01-05</v>
      </c>
      <c r="H12050">
        <v>1.1738</v>
      </c>
      <c r="I12050" t="s">
        <v>45</v>
      </c>
      <c r="J12050" t="s">
        <v>14</v>
      </c>
      <c r="K12050" t="str">
        <f>"1F1"</f>
        <v>1F1</v>
      </c>
      <c r="L12050" t="s">
        <v>15</v>
      </c>
    </row>
    <row r="12051" spans="1:12" x14ac:dyDescent="0.25">
      <c r="A12051" t="str">
        <f>"8802115861"</f>
        <v>8802115861</v>
      </c>
      <c r="B12051" t="str">
        <f t="shared" si="479"/>
        <v>89301000</v>
      </c>
      <c r="C12051" s="1">
        <v>44309</v>
      </c>
      <c r="D12051" s="1">
        <v>44311</v>
      </c>
      <c r="E12051">
        <v>1</v>
      </c>
      <c r="F12051" t="s">
        <v>16</v>
      </c>
      <c r="G12051" t="str">
        <f>"08-I04-03"</f>
        <v>08-I04-03</v>
      </c>
      <c r="H12051">
        <v>1.331</v>
      </c>
      <c r="I12051" t="s">
        <v>168</v>
      </c>
      <c r="J12051" t="s">
        <v>17</v>
      </c>
      <c r="K12051" t="str">
        <f>"5F6"</f>
        <v>5F6</v>
      </c>
      <c r="L12051" t="s">
        <v>15</v>
      </c>
    </row>
    <row r="12052" spans="1:12" x14ac:dyDescent="0.25">
      <c r="A12052" t="str">
        <f>"8802184699"</f>
        <v>8802184699</v>
      </c>
      <c r="B12052" t="str">
        <f t="shared" si="479"/>
        <v>89301000</v>
      </c>
      <c r="C12052" s="1">
        <v>44343</v>
      </c>
      <c r="D12052" s="1">
        <v>44348</v>
      </c>
      <c r="E12052">
        <v>1</v>
      </c>
      <c r="F12052" t="s">
        <v>7871</v>
      </c>
      <c r="G12052" t="str">
        <f>"06-I21-03"</f>
        <v>06-I21-03</v>
      </c>
      <c r="H12052">
        <v>0.47820000000000001</v>
      </c>
      <c r="I12052" t="s">
        <v>7872</v>
      </c>
      <c r="J12052" t="s">
        <v>17</v>
      </c>
      <c r="K12052" t="str">
        <f>"5F1"</f>
        <v>5F1</v>
      </c>
      <c r="L12052" t="s">
        <v>15</v>
      </c>
    </row>
    <row r="12053" spans="1:12" x14ac:dyDescent="0.25">
      <c r="A12053" t="str">
        <f>"8803015804"</f>
        <v>8803015804</v>
      </c>
      <c r="B12053" t="str">
        <f t="shared" si="479"/>
        <v>89301000</v>
      </c>
      <c r="C12053" s="1">
        <v>44219</v>
      </c>
      <c r="D12053" s="1">
        <v>44221</v>
      </c>
      <c r="E12053">
        <v>1</v>
      </c>
      <c r="F12053" t="s">
        <v>1683</v>
      </c>
      <c r="G12053" t="str">
        <f>"05-M06-05"</f>
        <v>05-M06-05</v>
      </c>
      <c r="H12053">
        <v>2.3010000000000002</v>
      </c>
      <c r="I12053" t="s">
        <v>1892</v>
      </c>
      <c r="J12053" t="s">
        <v>17</v>
      </c>
      <c r="K12053" t="str">
        <f>"1F1"</f>
        <v>1F1</v>
      </c>
      <c r="L12053" t="s">
        <v>15</v>
      </c>
    </row>
    <row r="12054" spans="1:12" x14ac:dyDescent="0.25">
      <c r="A12054" t="str">
        <f>"8803105773"</f>
        <v>8803105773</v>
      </c>
      <c r="B12054" t="str">
        <f t="shared" si="479"/>
        <v>89301000</v>
      </c>
      <c r="C12054" s="1">
        <v>44258</v>
      </c>
      <c r="D12054" s="1">
        <v>44259</v>
      </c>
      <c r="E12054">
        <v>1</v>
      </c>
      <c r="F12054" t="s">
        <v>41</v>
      </c>
      <c r="G12054" t="str">
        <f>"01-D01-03"</f>
        <v>01-D01-03</v>
      </c>
      <c r="H12054">
        <v>0.158</v>
      </c>
      <c r="J12054" t="s">
        <v>14</v>
      </c>
      <c r="K12054" t="str">
        <f>"2F5"</f>
        <v>2F5</v>
      </c>
      <c r="L12054" t="s">
        <v>15</v>
      </c>
    </row>
    <row r="12055" spans="1:12" x14ac:dyDescent="0.25">
      <c r="A12055" t="str">
        <f>"8803295809"</f>
        <v>8803295809</v>
      </c>
      <c r="B12055" t="str">
        <f t="shared" si="479"/>
        <v>89301000</v>
      </c>
      <c r="C12055" s="1">
        <v>44450</v>
      </c>
      <c r="D12055" s="1">
        <v>44453</v>
      </c>
      <c r="E12055">
        <v>1</v>
      </c>
      <c r="F12055" t="s">
        <v>142</v>
      </c>
      <c r="G12055" t="str">
        <f>"03-I11-03"</f>
        <v>03-I11-03</v>
      </c>
      <c r="H12055">
        <v>1.0253000000000001</v>
      </c>
      <c r="I12055" t="s">
        <v>7873</v>
      </c>
      <c r="J12055" t="s">
        <v>17</v>
      </c>
      <c r="K12055" t="str">
        <f>"6F5"</f>
        <v>6F5</v>
      </c>
      <c r="L12055" t="s">
        <v>15</v>
      </c>
    </row>
    <row r="12056" spans="1:12" x14ac:dyDescent="0.25">
      <c r="A12056" t="str">
        <f>"8804066227"</f>
        <v>8804066227</v>
      </c>
      <c r="B12056" t="str">
        <f t="shared" si="479"/>
        <v>89301000</v>
      </c>
      <c r="C12056" s="1">
        <v>44298</v>
      </c>
      <c r="D12056" s="1">
        <v>44300</v>
      </c>
      <c r="E12056">
        <v>1</v>
      </c>
      <c r="F12056" t="s">
        <v>6545</v>
      </c>
      <c r="G12056" t="str">
        <f>"08-I03-07"</f>
        <v>08-I03-07</v>
      </c>
      <c r="H12056">
        <v>2.4403000000000001</v>
      </c>
      <c r="I12056" t="s">
        <v>381</v>
      </c>
      <c r="J12056" t="s">
        <v>17</v>
      </c>
      <c r="K12056" t="str">
        <f>"5F6"</f>
        <v>5F6</v>
      </c>
      <c r="L12056" t="s">
        <v>15</v>
      </c>
    </row>
    <row r="12057" spans="1:12" x14ac:dyDescent="0.25">
      <c r="A12057" t="str">
        <f>"8804224924"</f>
        <v>8804224924</v>
      </c>
      <c r="B12057" t="str">
        <f t="shared" si="479"/>
        <v>89301000</v>
      </c>
      <c r="C12057" s="1">
        <v>44414</v>
      </c>
      <c r="D12057" s="1">
        <v>44419</v>
      </c>
      <c r="E12057">
        <v>1</v>
      </c>
      <c r="F12057" t="s">
        <v>130</v>
      </c>
      <c r="G12057" t="str">
        <f>"19-K03-03"</f>
        <v>19-K03-03</v>
      </c>
      <c r="H12057">
        <v>0.93169999999999997</v>
      </c>
      <c r="I12057" t="s">
        <v>168</v>
      </c>
      <c r="J12057" t="s">
        <v>27</v>
      </c>
      <c r="K12057" t="str">
        <f>"3F5"</f>
        <v>3F5</v>
      </c>
      <c r="L12057" t="s">
        <v>15</v>
      </c>
    </row>
    <row r="12058" spans="1:12" x14ac:dyDescent="0.25">
      <c r="A12058" t="str">
        <f>"8805046261"</f>
        <v>8805046261</v>
      </c>
      <c r="B12058" t="str">
        <f t="shared" ref="B12058:B12121" si="482">"89301000"</f>
        <v>89301000</v>
      </c>
      <c r="C12058" s="1">
        <v>44248</v>
      </c>
      <c r="D12058" s="1">
        <v>44250</v>
      </c>
      <c r="E12058">
        <v>1</v>
      </c>
      <c r="F12058" t="s">
        <v>217</v>
      </c>
      <c r="G12058" t="str">
        <f>"04-K02-04"</f>
        <v>04-K02-04</v>
      </c>
      <c r="H12058">
        <v>0.82469999999999999</v>
      </c>
      <c r="I12058" t="s">
        <v>274</v>
      </c>
      <c r="J12058" t="s">
        <v>14</v>
      </c>
      <c r="K12058" t="str">
        <f>"1F1"</f>
        <v>1F1</v>
      </c>
      <c r="L12058" t="s">
        <v>15</v>
      </c>
    </row>
    <row r="12059" spans="1:12" x14ac:dyDescent="0.25">
      <c r="A12059" t="str">
        <f>"8805055798"</f>
        <v>8805055798</v>
      </c>
      <c r="B12059" t="str">
        <f t="shared" si="482"/>
        <v>89301000</v>
      </c>
      <c r="C12059" s="1">
        <v>44491</v>
      </c>
      <c r="D12059" s="1">
        <v>44492</v>
      </c>
      <c r="E12059">
        <v>1</v>
      </c>
      <c r="F12059" t="s">
        <v>174</v>
      </c>
      <c r="G12059" t="str">
        <f>"12-I14-00"</f>
        <v>12-I14-00</v>
      </c>
      <c r="H12059">
        <v>0.44350000000000001</v>
      </c>
      <c r="J12059" t="s">
        <v>14</v>
      </c>
      <c r="K12059" t="str">
        <f>"7F6"</f>
        <v>7F6</v>
      </c>
      <c r="L12059" t="s">
        <v>15</v>
      </c>
    </row>
    <row r="12060" spans="1:12" x14ac:dyDescent="0.25">
      <c r="A12060" t="str">
        <f>"8805205794"</f>
        <v>8805205794</v>
      </c>
      <c r="B12060" t="str">
        <f t="shared" si="482"/>
        <v>89301000</v>
      </c>
      <c r="C12060" s="1">
        <v>44445</v>
      </c>
      <c r="D12060" s="1">
        <v>44446</v>
      </c>
      <c r="E12060">
        <v>1</v>
      </c>
      <c r="F12060" t="s">
        <v>102</v>
      </c>
      <c r="G12060" t="str">
        <f>"03-K06-01"</f>
        <v>03-K06-01</v>
      </c>
      <c r="H12060">
        <v>0.4718</v>
      </c>
      <c r="I12060" t="s">
        <v>7874</v>
      </c>
      <c r="J12060" t="s">
        <v>14</v>
      </c>
      <c r="K12060" t="str">
        <f>"7F1"</f>
        <v>7F1</v>
      </c>
      <c r="L12060" t="s">
        <v>15</v>
      </c>
    </row>
    <row r="12061" spans="1:12" x14ac:dyDescent="0.25">
      <c r="A12061" t="str">
        <f>"8805214946"</f>
        <v>8805214946</v>
      </c>
      <c r="B12061" t="str">
        <f t="shared" si="482"/>
        <v>89301000</v>
      </c>
      <c r="C12061" s="1">
        <v>44372</v>
      </c>
      <c r="D12061" s="1">
        <v>44373</v>
      </c>
      <c r="E12061">
        <v>1</v>
      </c>
      <c r="F12061" t="s">
        <v>1716</v>
      </c>
      <c r="G12061" t="str">
        <f>"11-M05-02"</f>
        <v>11-M05-02</v>
      </c>
      <c r="H12061">
        <v>0.65690000000000004</v>
      </c>
      <c r="I12061" t="s">
        <v>300</v>
      </c>
      <c r="J12061" t="s">
        <v>17</v>
      </c>
      <c r="K12061" t="str">
        <f>"7F6"</f>
        <v>7F6</v>
      </c>
      <c r="L12061" t="s">
        <v>15</v>
      </c>
    </row>
    <row r="12062" spans="1:12" x14ac:dyDescent="0.25">
      <c r="A12062" t="str">
        <f>"8806075861"</f>
        <v>8806075861</v>
      </c>
      <c r="B12062" t="str">
        <f t="shared" si="482"/>
        <v>89301000</v>
      </c>
      <c r="C12062" s="1">
        <v>44462</v>
      </c>
      <c r="D12062" s="1">
        <v>44463</v>
      </c>
      <c r="E12062">
        <v>1</v>
      </c>
      <c r="F12062" t="s">
        <v>246</v>
      </c>
      <c r="G12062" t="str">
        <f>"01-I13-00"</f>
        <v>01-I13-00</v>
      </c>
      <c r="H12062">
        <v>0.42880000000000001</v>
      </c>
      <c r="I12062" t="s">
        <v>348</v>
      </c>
      <c r="J12062" t="s">
        <v>14</v>
      </c>
      <c r="K12062" t="str">
        <f>"5F6"</f>
        <v>5F6</v>
      </c>
      <c r="L12062" t="s">
        <v>15</v>
      </c>
    </row>
    <row r="12063" spans="1:12" x14ac:dyDescent="0.25">
      <c r="A12063" t="str">
        <f>"8806196212"</f>
        <v>8806196212</v>
      </c>
      <c r="B12063" t="str">
        <f t="shared" si="482"/>
        <v>89301000</v>
      </c>
      <c r="C12063" s="1">
        <v>44252</v>
      </c>
      <c r="D12063" s="1">
        <v>44256</v>
      </c>
      <c r="E12063">
        <v>1</v>
      </c>
      <c r="F12063" t="s">
        <v>197</v>
      </c>
      <c r="G12063" t="str">
        <f>"03-I18-02"</f>
        <v>03-I18-02</v>
      </c>
      <c r="H12063">
        <v>0.84370000000000001</v>
      </c>
      <c r="I12063" t="s">
        <v>320</v>
      </c>
      <c r="J12063" t="s">
        <v>24</v>
      </c>
      <c r="K12063" t="str">
        <f>"6F5"</f>
        <v>6F5</v>
      </c>
      <c r="L12063" t="s">
        <v>15</v>
      </c>
    </row>
    <row r="12064" spans="1:12" x14ac:dyDescent="0.25">
      <c r="A12064" t="str">
        <f>"8806234921"</f>
        <v>8806234921</v>
      </c>
      <c r="B12064" t="str">
        <f t="shared" si="482"/>
        <v>89301000</v>
      </c>
      <c r="C12064" s="1">
        <v>44418</v>
      </c>
      <c r="D12064" s="1">
        <v>44421</v>
      </c>
      <c r="E12064">
        <v>1</v>
      </c>
      <c r="F12064" t="s">
        <v>4382</v>
      </c>
      <c r="G12064" t="str">
        <f>"05-I30-01"</f>
        <v>05-I30-01</v>
      </c>
      <c r="H12064">
        <v>0.64139999999999997</v>
      </c>
      <c r="J12064" t="s">
        <v>14</v>
      </c>
      <c r="K12064" t="str">
        <f>"5F1"</f>
        <v>5F1</v>
      </c>
      <c r="L12064" t="s">
        <v>15</v>
      </c>
    </row>
    <row r="12065" spans="1:12" x14ac:dyDescent="0.25">
      <c r="A12065" t="str">
        <f>"8807074914"</f>
        <v>8807074914</v>
      </c>
      <c r="B12065" t="str">
        <f t="shared" si="482"/>
        <v>89301000</v>
      </c>
      <c r="C12065" s="1">
        <v>44439</v>
      </c>
      <c r="D12065" s="1">
        <v>44443</v>
      </c>
      <c r="E12065">
        <v>1</v>
      </c>
      <c r="F12065" t="s">
        <v>114</v>
      </c>
      <c r="G12065" t="str">
        <f>"03-I17-00"</f>
        <v>03-I17-00</v>
      </c>
      <c r="H12065">
        <v>0.84960000000000002</v>
      </c>
      <c r="I12065" t="s">
        <v>6272</v>
      </c>
      <c r="J12065" t="s">
        <v>24</v>
      </c>
      <c r="K12065" t="str">
        <f>"7F1"</f>
        <v>7F1</v>
      </c>
      <c r="L12065" t="s">
        <v>15</v>
      </c>
    </row>
    <row r="12066" spans="1:12" x14ac:dyDescent="0.25">
      <c r="A12066" t="str">
        <f>"8807145765"</f>
        <v>8807145765</v>
      </c>
      <c r="B12066" t="str">
        <f t="shared" si="482"/>
        <v>89301000</v>
      </c>
      <c r="C12066" s="1">
        <v>44231</v>
      </c>
      <c r="D12066" s="1">
        <v>44235</v>
      </c>
      <c r="E12066">
        <v>1</v>
      </c>
      <c r="F12066" t="s">
        <v>194</v>
      </c>
      <c r="G12066" t="str">
        <f>"01-K07-03"</f>
        <v>01-K07-03</v>
      </c>
      <c r="H12066">
        <v>0.4642</v>
      </c>
      <c r="J12066" t="s">
        <v>14</v>
      </c>
      <c r="K12066" t="str">
        <f>"2F9"</f>
        <v>2F9</v>
      </c>
      <c r="L12066" t="s">
        <v>15</v>
      </c>
    </row>
    <row r="12067" spans="1:12" x14ac:dyDescent="0.25">
      <c r="A12067" t="str">
        <f>"8807256018"</f>
        <v>8807256018</v>
      </c>
      <c r="B12067" t="str">
        <f t="shared" si="482"/>
        <v>89301000</v>
      </c>
      <c r="C12067" s="1">
        <v>44267</v>
      </c>
      <c r="D12067" s="1">
        <v>44268</v>
      </c>
      <c r="E12067">
        <v>1</v>
      </c>
      <c r="F12067" t="s">
        <v>2805</v>
      </c>
      <c r="G12067" t="str">
        <f>"02-K11-02"</f>
        <v>02-K11-02</v>
      </c>
      <c r="H12067">
        <v>0.52180000000000004</v>
      </c>
      <c r="I12067" t="s">
        <v>1586</v>
      </c>
      <c r="J12067" t="s">
        <v>14</v>
      </c>
      <c r="K12067" t="str">
        <f>"1F1"</f>
        <v>1F1</v>
      </c>
      <c r="L12067" t="s">
        <v>15</v>
      </c>
    </row>
    <row r="12068" spans="1:12" x14ac:dyDescent="0.25">
      <c r="A12068" t="str">
        <f>"8807256018"</f>
        <v>8807256018</v>
      </c>
      <c r="B12068" t="str">
        <f t="shared" si="482"/>
        <v>89301000</v>
      </c>
      <c r="C12068" s="1">
        <v>44253</v>
      </c>
      <c r="D12068" s="1">
        <v>44254</v>
      </c>
      <c r="E12068">
        <v>1</v>
      </c>
      <c r="F12068" t="s">
        <v>2805</v>
      </c>
      <c r="G12068" t="str">
        <f>"02-K11-02"</f>
        <v>02-K11-02</v>
      </c>
      <c r="H12068">
        <v>0.52180000000000004</v>
      </c>
      <c r="I12068" t="s">
        <v>489</v>
      </c>
      <c r="J12068" t="s">
        <v>14</v>
      </c>
      <c r="K12068" t="str">
        <f>"1F1"</f>
        <v>1F1</v>
      </c>
      <c r="L12068" t="s">
        <v>15</v>
      </c>
    </row>
    <row r="12069" spans="1:12" x14ac:dyDescent="0.25">
      <c r="A12069" t="str">
        <f>"8808205769"</f>
        <v>8808205769</v>
      </c>
      <c r="B12069" t="str">
        <f t="shared" si="482"/>
        <v>89301000</v>
      </c>
      <c r="C12069" s="1">
        <v>44299</v>
      </c>
      <c r="D12069" s="1">
        <v>44300</v>
      </c>
      <c r="E12069">
        <v>1</v>
      </c>
      <c r="F12069" t="s">
        <v>7875</v>
      </c>
      <c r="G12069" t="str">
        <f>"12-K11-00"</f>
        <v>12-K11-00</v>
      </c>
      <c r="H12069">
        <v>0.42370000000000002</v>
      </c>
      <c r="J12069" t="s">
        <v>14</v>
      </c>
      <c r="K12069" t="str">
        <f>"7F6"</f>
        <v>7F6</v>
      </c>
      <c r="L12069" t="s">
        <v>15</v>
      </c>
    </row>
    <row r="12070" spans="1:12" x14ac:dyDescent="0.25">
      <c r="A12070" t="str">
        <f>"8808255830"</f>
        <v>8808255830</v>
      </c>
      <c r="B12070" t="str">
        <f t="shared" si="482"/>
        <v>89301000</v>
      </c>
      <c r="C12070" s="1">
        <v>44389</v>
      </c>
      <c r="D12070" s="1">
        <v>44390</v>
      </c>
      <c r="E12070">
        <v>1</v>
      </c>
      <c r="F12070" t="s">
        <v>348</v>
      </c>
      <c r="G12070" t="str">
        <f>"10-K01-02"</f>
        <v>10-K01-02</v>
      </c>
      <c r="H12070">
        <v>0.63170000000000004</v>
      </c>
      <c r="I12070" t="s">
        <v>47</v>
      </c>
      <c r="J12070" t="s">
        <v>14</v>
      </c>
      <c r="K12070" t="str">
        <f>"1F1"</f>
        <v>1F1</v>
      </c>
      <c r="L12070" t="s">
        <v>15</v>
      </c>
    </row>
    <row r="12071" spans="1:12" x14ac:dyDescent="0.25">
      <c r="A12071" t="str">
        <f>"8808265807"</f>
        <v>8808265807</v>
      </c>
      <c r="B12071" t="str">
        <f t="shared" si="482"/>
        <v>89301000</v>
      </c>
      <c r="C12071" s="1">
        <v>44321</v>
      </c>
      <c r="D12071" s="1">
        <v>44322</v>
      </c>
      <c r="E12071">
        <v>1</v>
      </c>
      <c r="F12071" t="s">
        <v>429</v>
      </c>
      <c r="G12071" t="str">
        <f>"20-K01-06"</f>
        <v>20-K01-06</v>
      </c>
      <c r="H12071">
        <v>0.25779999999999997</v>
      </c>
      <c r="I12071" t="s">
        <v>7876</v>
      </c>
      <c r="J12071" t="s">
        <v>14</v>
      </c>
      <c r="K12071" t="str">
        <f>"1F1"</f>
        <v>1F1</v>
      </c>
      <c r="L12071" t="s">
        <v>15</v>
      </c>
    </row>
    <row r="12072" spans="1:12" x14ac:dyDescent="0.25">
      <c r="A12072" t="str">
        <f>"8808275795"</f>
        <v>8808275795</v>
      </c>
      <c r="B12072" t="str">
        <f t="shared" si="482"/>
        <v>89301000</v>
      </c>
      <c r="C12072" s="1">
        <v>44424</v>
      </c>
      <c r="D12072" s="1">
        <v>44426</v>
      </c>
      <c r="E12072">
        <v>1</v>
      </c>
      <c r="F12072" t="s">
        <v>71</v>
      </c>
      <c r="G12072" t="str">
        <f>"08-M03-05"</f>
        <v>08-M03-05</v>
      </c>
      <c r="H12072">
        <v>0.51759999999999995</v>
      </c>
      <c r="I12072" t="s">
        <v>381</v>
      </c>
      <c r="J12072" t="s">
        <v>14</v>
      </c>
      <c r="K12072" t="str">
        <f t="shared" ref="K12072:K12077" si="483">"5F3"</f>
        <v>5F3</v>
      </c>
      <c r="L12072" t="s">
        <v>15</v>
      </c>
    </row>
    <row r="12073" spans="1:12" x14ac:dyDescent="0.25">
      <c r="A12073" t="str">
        <f>"8809155839"</f>
        <v>8809155839</v>
      </c>
      <c r="B12073" t="str">
        <f t="shared" si="482"/>
        <v>89301000</v>
      </c>
      <c r="C12073" s="1">
        <v>44470</v>
      </c>
      <c r="D12073" s="1">
        <v>44471</v>
      </c>
      <c r="E12073">
        <v>1</v>
      </c>
      <c r="F12073" t="s">
        <v>215</v>
      </c>
      <c r="G12073" t="str">
        <f>"08-I15-03"</f>
        <v>08-I15-03</v>
      </c>
      <c r="H12073">
        <v>1.1838</v>
      </c>
      <c r="I12073" t="s">
        <v>6079</v>
      </c>
      <c r="J12073" t="s">
        <v>17</v>
      </c>
      <c r="K12073" t="str">
        <f t="shared" si="483"/>
        <v>5F3</v>
      </c>
      <c r="L12073" t="s">
        <v>15</v>
      </c>
    </row>
    <row r="12074" spans="1:12" x14ac:dyDescent="0.25">
      <c r="A12074" t="str">
        <f>"8809225821"</f>
        <v>8809225821</v>
      </c>
      <c r="B12074" t="str">
        <f t="shared" si="482"/>
        <v>89301000</v>
      </c>
      <c r="C12074" s="1">
        <v>44531</v>
      </c>
      <c r="D12074" s="1">
        <v>44534</v>
      </c>
      <c r="E12074">
        <v>1</v>
      </c>
      <c r="F12074" t="s">
        <v>5063</v>
      </c>
      <c r="G12074" t="str">
        <f>"08-M03-04"</f>
        <v>08-M03-04</v>
      </c>
      <c r="H12074">
        <v>0.8609</v>
      </c>
      <c r="I12074" t="s">
        <v>512</v>
      </c>
      <c r="J12074" t="s">
        <v>14</v>
      </c>
      <c r="K12074" t="str">
        <f t="shared" si="483"/>
        <v>5F3</v>
      </c>
      <c r="L12074" t="s">
        <v>15</v>
      </c>
    </row>
    <row r="12075" spans="1:12" x14ac:dyDescent="0.25">
      <c r="A12075" t="str">
        <f>"8810274913"</f>
        <v>8810274913</v>
      </c>
      <c r="B12075" t="str">
        <f t="shared" si="482"/>
        <v>89301000</v>
      </c>
      <c r="C12075" s="1">
        <v>44314</v>
      </c>
      <c r="D12075" s="1">
        <v>44314</v>
      </c>
      <c r="E12075">
        <v>1</v>
      </c>
      <c r="F12075" t="s">
        <v>7877</v>
      </c>
      <c r="G12075" t="str">
        <f>"08-I19-03"</f>
        <v>08-I19-03</v>
      </c>
      <c r="H12075">
        <v>0.31230000000000002</v>
      </c>
      <c r="I12075" t="s">
        <v>640</v>
      </c>
      <c r="J12075" t="s">
        <v>17</v>
      </c>
      <c r="K12075" t="str">
        <f t="shared" si="483"/>
        <v>5F3</v>
      </c>
      <c r="L12075" t="s">
        <v>15</v>
      </c>
    </row>
    <row r="12076" spans="1:12" x14ac:dyDescent="0.25">
      <c r="A12076" t="str">
        <f>"8811035816"</f>
        <v>8811035816</v>
      </c>
      <c r="B12076" t="str">
        <f t="shared" si="482"/>
        <v>89301000</v>
      </c>
      <c r="C12076" s="1">
        <v>44272</v>
      </c>
      <c r="D12076" s="1">
        <v>44274</v>
      </c>
      <c r="E12076">
        <v>1</v>
      </c>
      <c r="F12076" t="s">
        <v>287</v>
      </c>
      <c r="G12076" t="str">
        <f>"01-K16-06"</f>
        <v>01-K16-06</v>
      </c>
      <c r="H12076">
        <v>0.26469999999999999</v>
      </c>
      <c r="I12076" t="s">
        <v>7878</v>
      </c>
      <c r="J12076" t="s">
        <v>14</v>
      </c>
      <c r="K12076" t="str">
        <f t="shared" si="483"/>
        <v>5F3</v>
      </c>
      <c r="L12076" t="s">
        <v>15</v>
      </c>
    </row>
    <row r="12077" spans="1:12" x14ac:dyDescent="0.25">
      <c r="A12077" t="str">
        <f>"8811155782"</f>
        <v>8811155782</v>
      </c>
      <c r="B12077" t="str">
        <f t="shared" si="482"/>
        <v>89301000</v>
      </c>
      <c r="C12077" s="1">
        <v>44351</v>
      </c>
      <c r="D12077" s="1">
        <v>44352</v>
      </c>
      <c r="E12077">
        <v>1</v>
      </c>
      <c r="F12077" t="s">
        <v>635</v>
      </c>
      <c r="G12077" t="str">
        <f>"01-K16-06"</f>
        <v>01-K16-06</v>
      </c>
      <c r="H12077">
        <v>0.26469999999999999</v>
      </c>
      <c r="I12077" t="s">
        <v>7879</v>
      </c>
      <c r="J12077" t="s">
        <v>14</v>
      </c>
      <c r="K12077" t="str">
        <f t="shared" si="483"/>
        <v>5F3</v>
      </c>
      <c r="L12077" t="s">
        <v>15</v>
      </c>
    </row>
    <row r="12078" spans="1:12" x14ac:dyDescent="0.25">
      <c r="A12078" t="str">
        <f>"8811156035"</f>
        <v>8811156035</v>
      </c>
      <c r="B12078" t="str">
        <f t="shared" si="482"/>
        <v>89301000</v>
      </c>
      <c r="C12078" s="1">
        <v>44312</v>
      </c>
      <c r="D12078" s="1">
        <v>44319</v>
      </c>
      <c r="E12078">
        <v>5</v>
      </c>
      <c r="F12078" t="s">
        <v>2397</v>
      </c>
      <c r="G12078" t="str">
        <f>"05-D01-06"</f>
        <v>05-D01-06</v>
      </c>
      <c r="H12078">
        <v>0.7611</v>
      </c>
      <c r="I12078" t="s">
        <v>1650</v>
      </c>
      <c r="J12078" t="s">
        <v>14</v>
      </c>
      <c r="K12078" t="str">
        <f>"1F7"</f>
        <v>1F7</v>
      </c>
      <c r="L12078" t="s">
        <v>15</v>
      </c>
    </row>
    <row r="12079" spans="1:12" x14ac:dyDescent="0.25">
      <c r="A12079" t="str">
        <f>"8811156035"</f>
        <v>8811156035</v>
      </c>
      <c r="B12079" t="str">
        <f t="shared" si="482"/>
        <v>89301000</v>
      </c>
      <c r="C12079" s="1">
        <v>44414</v>
      </c>
      <c r="D12079" s="1">
        <v>44415</v>
      </c>
      <c r="E12079">
        <v>1</v>
      </c>
      <c r="F12079" t="s">
        <v>1563</v>
      </c>
      <c r="G12079" t="str">
        <f>"05-I14-03"</f>
        <v>05-I14-03</v>
      </c>
      <c r="H12079">
        <v>6.1292</v>
      </c>
      <c r="I12079" t="s">
        <v>1567</v>
      </c>
      <c r="J12079" t="s">
        <v>14</v>
      </c>
      <c r="K12079" t="str">
        <f>"1F7"</f>
        <v>1F7</v>
      </c>
      <c r="L12079" t="s">
        <v>15</v>
      </c>
    </row>
    <row r="12080" spans="1:12" x14ac:dyDescent="0.25">
      <c r="A12080" t="str">
        <f>"8811285890"</f>
        <v>8811285890</v>
      </c>
      <c r="B12080" t="str">
        <f t="shared" si="482"/>
        <v>89301000</v>
      </c>
      <c r="C12080" s="1">
        <v>44452</v>
      </c>
      <c r="D12080" s="1">
        <v>44466</v>
      </c>
      <c r="E12080">
        <v>1</v>
      </c>
      <c r="F12080" t="s">
        <v>6554</v>
      </c>
      <c r="G12080" t="str">
        <f>"18-K02-02"</f>
        <v>18-K02-02</v>
      </c>
      <c r="H12080">
        <v>1.2563</v>
      </c>
      <c r="I12080" t="s">
        <v>6555</v>
      </c>
      <c r="J12080" t="s">
        <v>14</v>
      </c>
      <c r="K12080" t="str">
        <f>"4F4"</f>
        <v>4F4</v>
      </c>
      <c r="L12080" t="s">
        <v>15</v>
      </c>
    </row>
    <row r="12081" spans="1:12" x14ac:dyDescent="0.25">
      <c r="A12081" t="str">
        <f>"8811306152"</f>
        <v>8811306152</v>
      </c>
      <c r="B12081" t="str">
        <f t="shared" si="482"/>
        <v>89301000</v>
      </c>
      <c r="C12081" s="1">
        <v>44307</v>
      </c>
      <c r="D12081" s="1">
        <v>44312</v>
      </c>
      <c r="E12081">
        <v>1</v>
      </c>
      <c r="F12081" t="s">
        <v>3940</v>
      </c>
      <c r="G12081" t="str">
        <f>"08-I03-06"</f>
        <v>08-I03-06</v>
      </c>
      <c r="H12081">
        <v>3.3738000000000001</v>
      </c>
      <c r="J12081" t="s">
        <v>17</v>
      </c>
      <c r="K12081" t="str">
        <f>"5F6"</f>
        <v>5F6</v>
      </c>
      <c r="L12081" t="s">
        <v>15</v>
      </c>
    </row>
    <row r="12082" spans="1:12" x14ac:dyDescent="0.25">
      <c r="A12082" t="str">
        <f>"8812034924"</f>
        <v>8812034924</v>
      </c>
      <c r="B12082" t="str">
        <f t="shared" si="482"/>
        <v>89301000</v>
      </c>
      <c r="C12082" s="1">
        <v>44242</v>
      </c>
      <c r="D12082" s="1">
        <v>44266</v>
      </c>
      <c r="E12082">
        <v>1</v>
      </c>
      <c r="F12082" t="s">
        <v>208</v>
      </c>
      <c r="G12082" t="str">
        <f>"08-I03-02"</f>
        <v>08-I03-02</v>
      </c>
      <c r="H12082">
        <v>7.9692999999999996</v>
      </c>
      <c r="I12082" t="s">
        <v>7880</v>
      </c>
      <c r="J12082" t="s">
        <v>17</v>
      </c>
      <c r="K12082" t="str">
        <f>"5F1"</f>
        <v>5F1</v>
      </c>
      <c r="L12082" t="s">
        <v>15</v>
      </c>
    </row>
    <row r="12083" spans="1:12" x14ac:dyDescent="0.25">
      <c r="A12083" t="str">
        <f>"8812034924"</f>
        <v>8812034924</v>
      </c>
      <c r="B12083" t="str">
        <f t="shared" si="482"/>
        <v>89301000</v>
      </c>
      <c r="C12083" s="1">
        <v>44270</v>
      </c>
      <c r="D12083" s="1">
        <v>44281</v>
      </c>
      <c r="E12083">
        <v>1</v>
      </c>
      <c r="F12083" t="s">
        <v>109</v>
      </c>
      <c r="G12083" t="str">
        <f>"24-M06-02"</f>
        <v>24-M06-02</v>
      </c>
      <c r="H12083">
        <v>1.0233000000000001</v>
      </c>
      <c r="I12083" t="s">
        <v>7881</v>
      </c>
      <c r="J12083" t="s">
        <v>14</v>
      </c>
      <c r="K12083" t="str">
        <f>"2F1"</f>
        <v>2F1</v>
      </c>
      <c r="L12083" t="s">
        <v>15</v>
      </c>
    </row>
    <row r="12084" spans="1:12" x14ac:dyDescent="0.25">
      <c r="A12084" t="str">
        <f>"8812055890"</f>
        <v>8812055890</v>
      </c>
      <c r="B12084" t="str">
        <f t="shared" si="482"/>
        <v>89301000</v>
      </c>
      <c r="C12084" s="1">
        <v>44234</v>
      </c>
      <c r="D12084" s="1">
        <v>44237</v>
      </c>
      <c r="E12084">
        <v>1</v>
      </c>
      <c r="F12084" t="s">
        <v>43</v>
      </c>
      <c r="G12084" t="str">
        <f>"06-I18-05"</f>
        <v>06-I18-05</v>
      </c>
      <c r="H12084">
        <v>0.85550000000000004</v>
      </c>
      <c r="J12084" t="s">
        <v>24</v>
      </c>
      <c r="K12084" t="str">
        <f>"5F1"</f>
        <v>5F1</v>
      </c>
      <c r="L12084" t="s">
        <v>15</v>
      </c>
    </row>
    <row r="12085" spans="1:12" x14ac:dyDescent="0.25">
      <c r="A12085" t="str">
        <f>"8851044917"</f>
        <v>8851044917</v>
      </c>
      <c r="B12085" t="str">
        <f t="shared" si="482"/>
        <v>89301000</v>
      </c>
      <c r="C12085" s="1">
        <v>44370</v>
      </c>
      <c r="D12085" s="1">
        <v>44374</v>
      </c>
      <c r="E12085">
        <v>1</v>
      </c>
      <c r="F12085" t="s">
        <v>75</v>
      </c>
      <c r="G12085" t="str">
        <f>"14-M01-05"</f>
        <v>14-M01-05</v>
      </c>
      <c r="H12085">
        <v>0.54239999999999999</v>
      </c>
      <c r="I12085" t="s">
        <v>7721</v>
      </c>
      <c r="J12085" t="s">
        <v>59</v>
      </c>
      <c r="K12085" t="str">
        <f t="shared" ref="K12085:K12093" si="484">"6F3"</f>
        <v>6F3</v>
      </c>
      <c r="L12085" t="s">
        <v>15</v>
      </c>
    </row>
    <row r="12086" spans="1:12" x14ac:dyDescent="0.25">
      <c r="A12086" t="str">
        <f>"8851045797"</f>
        <v>8851045797</v>
      </c>
      <c r="B12086" t="str">
        <f t="shared" si="482"/>
        <v>89301000</v>
      </c>
      <c r="C12086" s="1">
        <v>44456</v>
      </c>
      <c r="D12086" s="1">
        <v>44457</v>
      </c>
      <c r="E12086">
        <v>1</v>
      </c>
      <c r="F12086" t="s">
        <v>7882</v>
      </c>
      <c r="G12086" t="str">
        <f>"13-I19-00"</f>
        <v>13-I19-00</v>
      </c>
      <c r="H12086">
        <v>0.24679999999999999</v>
      </c>
      <c r="J12086" t="s">
        <v>14</v>
      </c>
      <c r="K12086" t="str">
        <f t="shared" si="484"/>
        <v>6F3</v>
      </c>
      <c r="L12086" t="s">
        <v>15</v>
      </c>
    </row>
    <row r="12087" spans="1:12" x14ac:dyDescent="0.25">
      <c r="A12087" t="str">
        <f>"8851084913"</f>
        <v>8851084913</v>
      </c>
      <c r="B12087" t="str">
        <f t="shared" si="482"/>
        <v>89301000</v>
      </c>
      <c r="C12087" s="1">
        <v>44475</v>
      </c>
      <c r="D12087" s="1">
        <v>44478</v>
      </c>
      <c r="E12087">
        <v>1</v>
      </c>
      <c r="F12087" t="s">
        <v>82</v>
      </c>
      <c r="G12087" t="str">
        <f>"14-I01-05"</f>
        <v>14-I01-05</v>
      </c>
      <c r="H12087">
        <v>0.80030000000000001</v>
      </c>
      <c r="I12087" t="s">
        <v>7883</v>
      </c>
      <c r="J12087" t="s">
        <v>59</v>
      </c>
      <c r="K12087" t="str">
        <f t="shared" si="484"/>
        <v>6F3</v>
      </c>
      <c r="L12087" t="s">
        <v>15</v>
      </c>
    </row>
    <row r="12088" spans="1:12" x14ac:dyDescent="0.25">
      <c r="A12088" t="str">
        <f>"8851085804"</f>
        <v>8851085804</v>
      </c>
      <c r="B12088" t="str">
        <f t="shared" si="482"/>
        <v>89301000</v>
      </c>
      <c r="C12088" s="1">
        <v>44518</v>
      </c>
      <c r="D12088" s="1">
        <v>44522</v>
      </c>
      <c r="E12088">
        <v>1</v>
      </c>
      <c r="F12088" t="s">
        <v>100</v>
      </c>
      <c r="G12088" t="str">
        <f>"14-I04-00"</f>
        <v>14-I04-00</v>
      </c>
      <c r="H12088">
        <v>0.78749999999999998</v>
      </c>
      <c r="I12088" t="s">
        <v>101</v>
      </c>
      <c r="J12088" t="s">
        <v>24</v>
      </c>
      <c r="K12088" t="str">
        <f t="shared" si="484"/>
        <v>6F3</v>
      </c>
      <c r="L12088" t="s">
        <v>15</v>
      </c>
    </row>
    <row r="12089" spans="1:12" x14ac:dyDescent="0.25">
      <c r="A12089" t="str">
        <f>"8851135788"</f>
        <v>8851135788</v>
      </c>
      <c r="B12089" t="str">
        <f t="shared" si="482"/>
        <v>89301000</v>
      </c>
      <c r="C12089" s="1">
        <v>44381</v>
      </c>
      <c r="D12089" s="1">
        <v>44384</v>
      </c>
      <c r="E12089">
        <v>1</v>
      </c>
      <c r="F12089" t="s">
        <v>75</v>
      </c>
      <c r="G12089" t="str">
        <f>"14-M01-05"</f>
        <v>14-M01-05</v>
      </c>
      <c r="H12089">
        <v>0.54239999999999999</v>
      </c>
      <c r="I12089" t="s">
        <v>76</v>
      </c>
      <c r="J12089" t="s">
        <v>59</v>
      </c>
      <c r="K12089" t="str">
        <f t="shared" si="484"/>
        <v>6F3</v>
      </c>
      <c r="L12089" t="s">
        <v>15</v>
      </c>
    </row>
    <row r="12090" spans="1:12" x14ac:dyDescent="0.25">
      <c r="A12090" t="str">
        <f>"8851254940"</f>
        <v>8851254940</v>
      </c>
      <c r="B12090" t="str">
        <f t="shared" si="482"/>
        <v>89301000</v>
      </c>
      <c r="C12090" s="1">
        <v>44418</v>
      </c>
      <c r="D12090" s="1">
        <v>44421</v>
      </c>
      <c r="E12090">
        <v>1</v>
      </c>
      <c r="F12090" t="s">
        <v>61</v>
      </c>
      <c r="G12090" t="str">
        <f>"14-I01-05"</f>
        <v>14-I01-05</v>
      </c>
      <c r="H12090">
        <v>0.80030000000000001</v>
      </c>
      <c r="I12090" t="s">
        <v>62</v>
      </c>
      <c r="J12090" t="s">
        <v>59</v>
      </c>
      <c r="K12090" t="str">
        <f t="shared" si="484"/>
        <v>6F3</v>
      </c>
      <c r="L12090" t="s">
        <v>15</v>
      </c>
    </row>
    <row r="12091" spans="1:12" x14ac:dyDescent="0.25">
      <c r="A12091" t="str">
        <f>"8851265819"</f>
        <v>8851265819</v>
      </c>
      <c r="B12091" t="str">
        <f t="shared" si="482"/>
        <v>89301000</v>
      </c>
      <c r="C12091" s="1">
        <v>44530</v>
      </c>
      <c r="D12091" s="1">
        <v>44533</v>
      </c>
      <c r="E12091">
        <v>1</v>
      </c>
      <c r="F12091" t="s">
        <v>82</v>
      </c>
      <c r="G12091" t="str">
        <f>"14-I01-05"</f>
        <v>14-I01-05</v>
      </c>
      <c r="H12091">
        <v>0.80030000000000001</v>
      </c>
      <c r="I12091" t="s">
        <v>7661</v>
      </c>
      <c r="J12091" t="s">
        <v>59</v>
      </c>
      <c r="K12091" t="str">
        <f t="shared" si="484"/>
        <v>6F3</v>
      </c>
      <c r="L12091" t="s">
        <v>15</v>
      </c>
    </row>
    <row r="12092" spans="1:12" x14ac:dyDescent="0.25">
      <c r="A12092" t="str">
        <f>"8851285784"</f>
        <v>8851285784</v>
      </c>
      <c r="B12092" t="str">
        <f t="shared" si="482"/>
        <v>89301000</v>
      </c>
      <c r="C12092" s="1">
        <v>44221</v>
      </c>
      <c r="D12092" s="1">
        <v>44225</v>
      </c>
      <c r="E12092">
        <v>1</v>
      </c>
      <c r="F12092" t="s">
        <v>112</v>
      </c>
      <c r="G12092" t="str">
        <f>"14-M01-05"</f>
        <v>14-M01-05</v>
      </c>
      <c r="H12092">
        <v>0.54239999999999999</v>
      </c>
      <c r="I12092" t="s">
        <v>7884</v>
      </c>
      <c r="J12092" t="s">
        <v>59</v>
      </c>
      <c r="K12092" t="str">
        <f t="shared" si="484"/>
        <v>6F3</v>
      </c>
      <c r="L12092" t="s">
        <v>15</v>
      </c>
    </row>
    <row r="12093" spans="1:12" x14ac:dyDescent="0.25">
      <c r="A12093" t="str">
        <f>"8851314912"</f>
        <v>8851314912</v>
      </c>
      <c r="B12093" t="str">
        <f t="shared" si="482"/>
        <v>89301000</v>
      </c>
      <c r="C12093" s="1">
        <v>44415</v>
      </c>
      <c r="D12093" s="1">
        <v>44417</v>
      </c>
      <c r="E12093">
        <v>1</v>
      </c>
      <c r="F12093" t="s">
        <v>7648</v>
      </c>
      <c r="G12093" t="str">
        <f>"14-M01-05"</f>
        <v>14-M01-05</v>
      </c>
      <c r="H12093">
        <v>0.54239999999999999</v>
      </c>
      <c r="I12093" t="s">
        <v>7108</v>
      </c>
      <c r="J12093" t="s">
        <v>59</v>
      </c>
      <c r="K12093" t="str">
        <f t="shared" si="484"/>
        <v>6F3</v>
      </c>
      <c r="L12093" t="s">
        <v>15</v>
      </c>
    </row>
    <row r="12094" spans="1:12" x14ac:dyDescent="0.25">
      <c r="A12094" t="str">
        <f>"8852025787"</f>
        <v>8852025787</v>
      </c>
      <c r="B12094" t="str">
        <f t="shared" si="482"/>
        <v>89301000</v>
      </c>
      <c r="C12094" s="1">
        <v>44316</v>
      </c>
      <c r="D12094" s="1">
        <v>44322</v>
      </c>
      <c r="E12094">
        <v>8</v>
      </c>
      <c r="F12094" t="s">
        <v>217</v>
      </c>
      <c r="G12094" t="str">
        <f>"00-M01-04"</f>
        <v>00-M01-04</v>
      </c>
      <c r="H12094">
        <v>9.8596000000000004</v>
      </c>
      <c r="I12094" t="s">
        <v>7885</v>
      </c>
      <c r="J12094" t="s">
        <v>14</v>
      </c>
      <c r="K12094" t="str">
        <f>"7T8"</f>
        <v>7T8</v>
      </c>
      <c r="L12094" t="s">
        <v>15</v>
      </c>
    </row>
    <row r="12095" spans="1:12" x14ac:dyDescent="0.25">
      <c r="A12095" t="str">
        <f>"8852045829"</f>
        <v>8852045829</v>
      </c>
      <c r="B12095" t="str">
        <f t="shared" si="482"/>
        <v>89301000</v>
      </c>
      <c r="C12095" s="1">
        <v>44256</v>
      </c>
      <c r="D12095" s="1">
        <v>44259</v>
      </c>
      <c r="E12095">
        <v>1</v>
      </c>
      <c r="F12095" t="s">
        <v>75</v>
      </c>
      <c r="G12095" t="str">
        <f>"14-M01-05"</f>
        <v>14-M01-05</v>
      </c>
      <c r="H12095">
        <v>0.54239999999999999</v>
      </c>
      <c r="I12095" t="s">
        <v>76</v>
      </c>
      <c r="J12095" t="s">
        <v>59</v>
      </c>
      <c r="K12095" t="str">
        <f t="shared" ref="K12095:K12101" si="485">"6F3"</f>
        <v>6F3</v>
      </c>
      <c r="L12095" t="s">
        <v>15</v>
      </c>
    </row>
    <row r="12096" spans="1:12" x14ac:dyDescent="0.25">
      <c r="A12096" t="str">
        <f>"8852115833"</f>
        <v>8852115833</v>
      </c>
      <c r="B12096" t="str">
        <f t="shared" si="482"/>
        <v>89301000</v>
      </c>
      <c r="C12096" s="1">
        <v>44450</v>
      </c>
      <c r="D12096" s="1">
        <v>44453</v>
      </c>
      <c r="E12096">
        <v>1</v>
      </c>
      <c r="F12096" t="s">
        <v>75</v>
      </c>
      <c r="G12096" t="str">
        <f>"14-M01-05"</f>
        <v>14-M01-05</v>
      </c>
      <c r="H12096">
        <v>0.54239999999999999</v>
      </c>
      <c r="I12096" t="s">
        <v>180</v>
      </c>
      <c r="J12096" t="s">
        <v>59</v>
      </c>
      <c r="K12096" t="str">
        <f t="shared" si="485"/>
        <v>6F3</v>
      </c>
      <c r="L12096" t="s">
        <v>15</v>
      </c>
    </row>
    <row r="12097" spans="1:12" x14ac:dyDescent="0.25">
      <c r="A12097" t="str">
        <f>"8852115877"</f>
        <v>8852115877</v>
      </c>
      <c r="B12097" t="str">
        <f t="shared" si="482"/>
        <v>89301000</v>
      </c>
      <c r="C12097" s="1">
        <v>44219</v>
      </c>
      <c r="D12097" s="1">
        <v>44223</v>
      </c>
      <c r="E12097">
        <v>1</v>
      </c>
      <c r="F12097" t="s">
        <v>75</v>
      </c>
      <c r="G12097" t="str">
        <f>"14-M01-05"</f>
        <v>14-M01-05</v>
      </c>
      <c r="H12097">
        <v>0.54239999999999999</v>
      </c>
      <c r="I12097" t="s">
        <v>256</v>
      </c>
      <c r="J12097" t="s">
        <v>59</v>
      </c>
      <c r="K12097" t="str">
        <f t="shared" si="485"/>
        <v>6F3</v>
      </c>
      <c r="L12097" t="s">
        <v>15</v>
      </c>
    </row>
    <row r="12098" spans="1:12" x14ac:dyDescent="0.25">
      <c r="A12098" t="str">
        <f>"8852175783"</f>
        <v>8852175783</v>
      </c>
      <c r="B12098" t="str">
        <f t="shared" si="482"/>
        <v>89301000</v>
      </c>
      <c r="C12098" s="1">
        <v>44460</v>
      </c>
      <c r="D12098" s="1">
        <v>44463</v>
      </c>
      <c r="E12098">
        <v>1</v>
      </c>
      <c r="F12098" t="s">
        <v>75</v>
      </c>
      <c r="G12098" t="str">
        <f>"14-M01-05"</f>
        <v>14-M01-05</v>
      </c>
      <c r="H12098">
        <v>0.54239999999999999</v>
      </c>
      <c r="I12098" t="s">
        <v>76</v>
      </c>
      <c r="J12098" t="s">
        <v>59</v>
      </c>
      <c r="K12098" t="str">
        <f t="shared" si="485"/>
        <v>6F3</v>
      </c>
      <c r="L12098" t="s">
        <v>15</v>
      </c>
    </row>
    <row r="12099" spans="1:12" x14ac:dyDescent="0.25">
      <c r="A12099" t="str">
        <f>"8852223842"</f>
        <v>8852223842</v>
      </c>
      <c r="B12099" t="str">
        <f t="shared" si="482"/>
        <v>89301000</v>
      </c>
      <c r="C12099" s="1">
        <v>44389</v>
      </c>
      <c r="D12099" s="1">
        <v>44392</v>
      </c>
      <c r="E12099">
        <v>1</v>
      </c>
      <c r="F12099" t="s">
        <v>75</v>
      </c>
      <c r="G12099" t="str">
        <f>"14-M01-05"</f>
        <v>14-M01-05</v>
      </c>
      <c r="H12099">
        <v>0.54239999999999999</v>
      </c>
      <c r="I12099" t="s">
        <v>7691</v>
      </c>
      <c r="J12099" t="s">
        <v>59</v>
      </c>
      <c r="K12099" t="str">
        <f t="shared" si="485"/>
        <v>6F3</v>
      </c>
      <c r="L12099" t="s">
        <v>15</v>
      </c>
    </row>
    <row r="12100" spans="1:12" x14ac:dyDescent="0.25">
      <c r="A12100" t="str">
        <f>"8852223842"</f>
        <v>8852223842</v>
      </c>
      <c r="B12100" t="str">
        <f t="shared" si="482"/>
        <v>89301000</v>
      </c>
      <c r="C12100" s="1">
        <v>44341</v>
      </c>
      <c r="D12100" s="1">
        <v>44348</v>
      </c>
      <c r="E12100">
        <v>1</v>
      </c>
      <c r="F12100" t="s">
        <v>60</v>
      </c>
      <c r="G12100" t="str">
        <f>"14-K03-02"</f>
        <v>14-K03-02</v>
      </c>
      <c r="H12100">
        <v>0.2646</v>
      </c>
      <c r="J12100" t="s">
        <v>14</v>
      </c>
      <c r="K12100" t="str">
        <f t="shared" si="485"/>
        <v>6F3</v>
      </c>
      <c r="L12100" t="s">
        <v>15</v>
      </c>
    </row>
    <row r="12101" spans="1:12" x14ac:dyDescent="0.25">
      <c r="A12101" t="str">
        <f>"8853035774"</f>
        <v>8853035774</v>
      </c>
      <c r="B12101" t="str">
        <f t="shared" si="482"/>
        <v>89301000</v>
      </c>
      <c r="C12101" s="1">
        <v>44468</v>
      </c>
      <c r="D12101" s="1">
        <v>44472</v>
      </c>
      <c r="E12101">
        <v>1</v>
      </c>
      <c r="F12101" t="s">
        <v>75</v>
      </c>
      <c r="G12101" t="str">
        <f>"14-M01-05"</f>
        <v>14-M01-05</v>
      </c>
      <c r="H12101">
        <v>0.54239999999999999</v>
      </c>
      <c r="I12101" t="s">
        <v>7886</v>
      </c>
      <c r="J12101" t="s">
        <v>59</v>
      </c>
      <c r="K12101" t="str">
        <f t="shared" si="485"/>
        <v>6F3</v>
      </c>
      <c r="L12101" t="s">
        <v>15</v>
      </c>
    </row>
    <row r="12102" spans="1:12" x14ac:dyDescent="0.25">
      <c r="A12102" t="str">
        <f>"8853154915"</f>
        <v>8853154915</v>
      </c>
      <c r="B12102" t="str">
        <f t="shared" si="482"/>
        <v>89301000</v>
      </c>
      <c r="C12102" s="1">
        <v>44224</v>
      </c>
      <c r="D12102" s="1">
        <v>44226</v>
      </c>
      <c r="E12102">
        <v>1</v>
      </c>
      <c r="F12102" t="s">
        <v>173</v>
      </c>
      <c r="G12102" t="str">
        <f>"08-I32-02"</f>
        <v>08-I32-02</v>
      </c>
      <c r="H12102">
        <v>0.4143</v>
      </c>
      <c r="I12102" t="s">
        <v>2407</v>
      </c>
      <c r="J12102" t="s">
        <v>14</v>
      </c>
      <c r="K12102" t="str">
        <f>"6F6"</f>
        <v>6F6</v>
      </c>
      <c r="L12102" t="s">
        <v>15</v>
      </c>
    </row>
    <row r="12103" spans="1:12" x14ac:dyDescent="0.25">
      <c r="A12103" t="str">
        <f>"8853156026"</f>
        <v>8853156026</v>
      </c>
      <c r="B12103" t="str">
        <f t="shared" si="482"/>
        <v>89301000</v>
      </c>
      <c r="C12103" s="1">
        <v>44308</v>
      </c>
      <c r="D12103" s="1">
        <v>44309</v>
      </c>
      <c r="E12103">
        <v>1</v>
      </c>
      <c r="F12103" t="s">
        <v>148</v>
      </c>
      <c r="G12103" t="str">
        <f>"04-K11-01"</f>
        <v>04-K11-01</v>
      </c>
      <c r="H12103">
        <v>1.0472999999999999</v>
      </c>
      <c r="I12103" t="s">
        <v>7887</v>
      </c>
      <c r="J12103" t="s">
        <v>14</v>
      </c>
      <c r="K12103" t="str">
        <f>"2F5"</f>
        <v>2F5</v>
      </c>
      <c r="L12103" t="s">
        <v>15</v>
      </c>
    </row>
    <row r="12104" spans="1:12" x14ac:dyDescent="0.25">
      <c r="A12104" t="str">
        <f>"8853156026"</f>
        <v>8853156026</v>
      </c>
      <c r="B12104" t="str">
        <f t="shared" si="482"/>
        <v>89301000</v>
      </c>
      <c r="C12104" s="1">
        <v>44372</v>
      </c>
      <c r="D12104" s="1">
        <v>44389</v>
      </c>
      <c r="E12104">
        <v>1</v>
      </c>
      <c r="F12104" t="s">
        <v>148</v>
      </c>
      <c r="G12104" t="str">
        <f>"04-K11-01"</f>
        <v>04-K11-01</v>
      </c>
      <c r="H12104">
        <v>1.8947000000000001</v>
      </c>
      <c r="I12104" t="s">
        <v>7888</v>
      </c>
      <c r="J12104" t="s">
        <v>14</v>
      </c>
      <c r="K12104" t="str">
        <f>"2F5"</f>
        <v>2F5</v>
      </c>
      <c r="L12104" t="s">
        <v>15</v>
      </c>
    </row>
    <row r="12105" spans="1:12" x14ac:dyDescent="0.25">
      <c r="A12105" t="str">
        <f>"8853165442"</f>
        <v>8853165442</v>
      </c>
      <c r="B12105" t="str">
        <f t="shared" si="482"/>
        <v>89301000</v>
      </c>
      <c r="C12105" s="1">
        <v>44238</v>
      </c>
      <c r="D12105" s="1">
        <v>44241</v>
      </c>
      <c r="E12105">
        <v>1</v>
      </c>
      <c r="F12105" t="s">
        <v>75</v>
      </c>
      <c r="G12105" t="str">
        <f>"14-M01-05"</f>
        <v>14-M01-05</v>
      </c>
      <c r="H12105">
        <v>0.54239999999999999</v>
      </c>
      <c r="I12105" t="s">
        <v>76</v>
      </c>
      <c r="J12105" t="s">
        <v>59</v>
      </c>
      <c r="K12105" t="str">
        <f>"6F3"</f>
        <v>6F3</v>
      </c>
      <c r="L12105" t="s">
        <v>15</v>
      </c>
    </row>
    <row r="12106" spans="1:12" x14ac:dyDescent="0.25">
      <c r="A12106" t="str">
        <f>"8853176299"</f>
        <v>8853176299</v>
      </c>
      <c r="B12106" t="str">
        <f t="shared" si="482"/>
        <v>89301000</v>
      </c>
      <c r="C12106" s="1">
        <v>44501</v>
      </c>
      <c r="D12106" s="1">
        <v>44503</v>
      </c>
      <c r="E12106">
        <v>1</v>
      </c>
      <c r="F12106" t="s">
        <v>4382</v>
      </c>
      <c r="G12106" t="str">
        <f>"05-I30-02"</f>
        <v>05-I30-02</v>
      </c>
      <c r="H12106">
        <v>0.46729999999999999</v>
      </c>
      <c r="I12106" t="s">
        <v>7889</v>
      </c>
      <c r="J12106" t="s">
        <v>14</v>
      </c>
      <c r="K12106" t="str">
        <f>"5F1"</f>
        <v>5F1</v>
      </c>
      <c r="L12106" t="s">
        <v>15</v>
      </c>
    </row>
    <row r="12107" spans="1:12" x14ac:dyDescent="0.25">
      <c r="A12107" t="str">
        <f>"8853176321"</f>
        <v>8853176321</v>
      </c>
      <c r="B12107" t="str">
        <f t="shared" si="482"/>
        <v>89301000</v>
      </c>
      <c r="C12107" s="1">
        <v>44412</v>
      </c>
      <c r="D12107" s="1">
        <v>44415</v>
      </c>
      <c r="E12107">
        <v>1</v>
      </c>
      <c r="F12107" t="s">
        <v>75</v>
      </c>
      <c r="G12107" t="str">
        <f>"14-M01-05"</f>
        <v>14-M01-05</v>
      </c>
      <c r="H12107">
        <v>0.54239999999999999</v>
      </c>
      <c r="I12107" t="s">
        <v>7587</v>
      </c>
      <c r="J12107" t="s">
        <v>59</v>
      </c>
      <c r="K12107" t="str">
        <f>"6F3"</f>
        <v>6F3</v>
      </c>
      <c r="L12107" t="s">
        <v>15</v>
      </c>
    </row>
    <row r="12108" spans="1:12" x14ac:dyDescent="0.25">
      <c r="A12108" t="str">
        <f>"8853204910"</f>
        <v>8853204910</v>
      </c>
      <c r="B12108" t="str">
        <f t="shared" si="482"/>
        <v>89301000</v>
      </c>
      <c r="C12108" s="1">
        <v>44472</v>
      </c>
      <c r="D12108" s="1">
        <v>44477</v>
      </c>
      <c r="E12108">
        <v>1</v>
      </c>
      <c r="F12108" t="s">
        <v>112</v>
      </c>
      <c r="G12108" t="str">
        <f>"14-M01-05"</f>
        <v>14-M01-05</v>
      </c>
      <c r="H12108">
        <v>0.54239999999999999</v>
      </c>
      <c r="I12108" t="s">
        <v>7890</v>
      </c>
      <c r="J12108" t="s">
        <v>59</v>
      </c>
      <c r="K12108" t="str">
        <f>"6F3"</f>
        <v>6F3</v>
      </c>
      <c r="L12108" t="s">
        <v>15</v>
      </c>
    </row>
    <row r="12109" spans="1:12" x14ac:dyDescent="0.25">
      <c r="A12109" t="str">
        <f>"8853215778"</f>
        <v>8853215778</v>
      </c>
      <c r="B12109" t="str">
        <f t="shared" si="482"/>
        <v>89301000</v>
      </c>
      <c r="C12109" s="1">
        <v>44458</v>
      </c>
      <c r="D12109" s="1">
        <v>44461</v>
      </c>
      <c r="E12109">
        <v>1</v>
      </c>
      <c r="F12109" t="s">
        <v>3642</v>
      </c>
      <c r="G12109" t="str">
        <f>"08-I25-01"</f>
        <v>08-I25-01</v>
      </c>
      <c r="H12109">
        <v>1.0732999999999999</v>
      </c>
      <c r="I12109" t="s">
        <v>7891</v>
      </c>
      <c r="J12109" t="s">
        <v>14</v>
      </c>
      <c r="K12109" t="str">
        <f>"5F3"</f>
        <v>5F3</v>
      </c>
      <c r="L12109" t="s">
        <v>15</v>
      </c>
    </row>
    <row r="12110" spans="1:12" x14ac:dyDescent="0.25">
      <c r="A12110" t="str">
        <f>"8853215778"</f>
        <v>8853215778</v>
      </c>
      <c r="B12110" t="str">
        <f t="shared" si="482"/>
        <v>89301000</v>
      </c>
      <c r="C12110" s="1">
        <v>44230</v>
      </c>
      <c r="D12110" s="1">
        <v>44234</v>
      </c>
      <c r="E12110">
        <v>1</v>
      </c>
      <c r="F12110" t="s">
        <v>4172</v>
      </c>
      <c r="G12110" t="str">
        <f>"08-I24-02"</f>
        <v>08-I24-02</v>
      </c>
      <c r="H12110">
        <v>0.74470000000000003</v>
      </c>
      <c r="I12110" t="s">
        <v>7892</v>
      </c>
      <c r="J12110" t="s">
        <v>14</v>
      </c>
      <c r="K12110" t="str">
        <f>"5F3"</f>
        <v>5F3</v>
      </c>
      <c r="L12110" t="s">
        <v>15</v>
      </c>
    </row>
    <row r="12111" spans="1:12" x14ac:dyDescent="0.25">
      <c r="A12111" t="str">
        <f>"8853225799"</f>
        <v>8853225799</v>
      </c>
      <c r="B12111" t="str">
        <f t="shared" si="482"/>
        <v>89301000</v>
      </c>
      <c r="C12111" s="1">
        <v>44505</v>
      </c>
      <c r="D12111" s="1">
        <v>44507</v>
      </c>
      <c r="E12111">
        <v>1</v>
      </c>
      <c r="F12111" t="s">
        <v>75</v>
      </c>
      <c r="G12111" t="str">
        <f>"14-M01-05"</f>
        <v>14-M01-05</v>
      </c>
      <c r="H12111">
        <v>0.54239999999999999</v>
      </c>
      <c r="I12111" t="s">
        <v>426</v>
      </c>
      <c r="J12111" t="s">
        <v>59</v>
      </c>
      <c r="K12111" t="str">
        <f>"6F3"</f>
        <v>6F3</v>
      </c>
      <c r="L12111" t="s">
        <v>15</v>
      </c>
    </row>
    <row r="12112" spans="1:12" x14ac:dyDescent="0.25">
      <c r="A12112" t="str">
        <f>"8854076209"</f>
        <v>8854076209</v>
      </c>
      <c r="B12112" t="str">
        <f t="shared" si="482"/>
        <v>89301000</v>
      </c>
      <c r="C12112" s="1">
        <v>44312</v>
      </c>
      <c r="D12112" s="1">
        <v>44335</v>
      </c>
      <c r="E12112">
        <v>1</v>
      </c>
      <c r="F12112" t="s">
        <v>25</v>
      </c>
      <c r="G12112" t="str">
        <f>"19-M01-00"</f>
        <v>19-M01-00</v>
      </c>
      <c r="H12112">
        <v>2.39</v>
      </c>
      <c r="I12112" t="s">
        <v>7893</v>
      </c>
      <c r="J12112" t="s">
        <v>27</v>
      </c>
      <c r="K12112" t="str">
        <f>"3F5"</f>
        <v>3F5</v>
      </c>
      <c r="L12112" t="s">
        <v>15</v>
      </c>
    </row>
    <row r="12113" spans="1:12" x14ac:dyDescent="0.25">
      <c r="A12113" t="str">
        <f>"8854205778"</f>
        <v>8854205778</v>
      </c>
      <c r="B12113" t="str">
        <f t="shared" si="482"/>
        <v>89301000</v>
      </c>
      <c r="C12113" s="1">
        <v>44423</v>
      </c>
      <c r="D12113" s="1">
        <v>44427</v>
      </c>
      <c r="E12113">
        <v>1</v>
      </c>
      <c r="F12113" t="s">
        <v>61</v>
      </c>
      <c r="G12113" t="str">
        <f>"14-I01-05"</f>
        <v>14-I01-05</v>
      </c>
      <c r="H12113">
        <v>0.80030000000000001</v>
      </c>
      <c r="I12113" t="s">
        <v>62</v>
      </c>
      <c r="J12113" t="s">
        <v>59</v>
      </c>
      <c r="K12113" t="str">
        <f>"6F3"</f>
        <v>6F3</v>
      </c>
      <c r="L12113" t="s">
        <v>15</v>
      </c>
    </row>
    <row r="12114" spans="1:12" x14ac:dyDescent="0.25">
      <c r="A12114" t="str">
        <f>"8854214908"</f>
        <v>8854214908</v>
      </c>
      <c r="B12114" t="str">
        <f t="shared" si="482"/>
        <v>89301000</v>
      </c>
      <c r="C12114" s="1">
        <v>44210</v>
      </c>
      <c r="D12114" s="1">
        <v>44213</v>
      </c>
      <c r="E12114">
        <v>1</v>
      </c>
      <c r="F12114" t="s">
        <v>75</v>
      </c>
      <c r="G12114" t="str">
        <f>"14-M01-05"</f>
        <v>14-M01-05</v>
      </c>
      <c r="H12114">
        <v>0.54239999999999999</v>
      </c>
      <c r="I12114" t="s">
        <v>7554</v>
      </c>
      <c r="J12114" t="s">
        <v>59</v>
      </c>
      <c r="K12114" t="str">
        <f>"6F3"</f>
        <v>6F3</v>
      </c>
      <c r="L12114" t="s">
        <v>15</v>
      </c>
    </row>
    <row r="12115" spans="1:12" x14ac:dyDescent="0.25">
      <c r="A12115" t="str">
        <f>"8854275078"</f>
        <v>8854275078</v>
      </c>
      <c r="B12115" t="str">
        <f t="shared" si="482"/>
        <v>89301000</v>
      </c>
      <c r="C12115" s="1">
        <v>44222</v>
      </c>
      <c r="D12115" s="1">
        <v>44225</v>
      </c>
      <c r="E12115">
        <v>1</v>
      </c>
      <c r="F12115" t="s">
        <v>61</v>
      </c>
      <c r="G12115" t="str">
        <f>"14-I01-05"</f>
        <v>14-I01-05</v>
      </c>
      <c r="H12115">
        <v>0.80030000000000001</v>
      </c>
      <c r="I12115" t="s">
        <v>7894</v>
      </c>
      <c r="J12115" t="s">
        <v>59</v>
      </c>
      <c r="K12115" t="str">
        <f>"6F3"</f>
        <v>6F3</v>
      </c>
      <c r="L12115" t="s">
        <v>15</v>
      </c>
    </row>
    <row r="12116" spans="1:12" x14ac:dyDescent="0.25">
      <c r="A12116" t="str">
        <f>"8854285814"</f>
        <v>8854285814</v>
      </c>
      <c r="B12116" t="str">
        <f t="shared" si="482"/>
        <v>89301000</v>
      </c>
      <c r="C12116" s="1">
        <v>44215</v>
      </c>
      <c r="D12116" s="1">
        <v>44217</v>
      </c>
      <c r="E12116">
        <v>1</v>
      </c>
      <c r="F12116" t="s">
        <v>215</v>
      </c>
      <c r="G12116" t="str">
        <f>"08-I15-03"</f>
        <v>08-I15-03</v>
      </c>
      <c r="H12116">
        <v>1.1838</v>
      </c>
      <c r="I12116" t="s">
        <v>615</v>
      </c>
      <c r="J12116" t="s">
        <v>17</v>
      </c>
      <c r="K12116" t="str">
        <f>"5F3"</f>
        <v>5F3</v>
      </c>
      <c r="L12116" t="s">
        <v>15</v>
      </c>
    </row>
    <row r="12117" spans="1:12" x14ac:dyDescent="0.25">
      <c r="A12117" t="str">
        <f>"8855025839"</f>
        <v>8855025839</v>
      </c>
      <c r="B12117" t="str">
        <f t="shared" si="482"/>
        <v>89301000</v>
      </c>
      <c r="C12117" s="1">
        <v>44359</v>
      </c>
      <c r="D12117" s="1">
        <v>44359</v>
      </c>
      <c r="E12117">
        <v>6</v>
      </c>
      <c r="F12117" t="s">
        <v>336</v>
      </c>
      <c r="G12117" t="str">
        <f>"14-I08-03"</f>
        <v>14-I08-03</v>
      </c>
      <c r="H12117">
        <v>0.1065</v>
      </c>
      <c r="J12117" t="s">
        <v>14</v>
      </c>
      <c r="K12117" t="str">
        <f t="shared" ref="K12117:K12134" si="486">"6F3"</f>
        <v>6F3</v>
      </c>
      <c r="L12117" t="s">
        <v>15</v>
      </c>
    </row>
    <row r="12118" spans="1:12" x14ac:dyDescent="0.25">
      <c r="A12118" t="str">
        <f>"8855035783"</f>
        <v>8855035783</v>
      </c>
      <c r="B12118" t="str">
        <f t="shared" si="482"/>
        <v>89301000</v>
      </c>
      <c r="C12118" s="1">
        <v>44383</v>
      </c>
      <c r="D12118" s="1">
        <v>44386</v>
      </c>
      <c r="E12118">
        <v>1</v>
      </c>
      <c r="F12118" t="s">
        <v>75</v>
      </c>
      <c r="G12118" t="str">
        <f>"14-M01-05"</f>
        <v>14-M01-05</v>
      </c>
      <c r="H12118">
        <v>0.54239999999999999</v>
      </c>
      <c r="I12118" t="s">
        <v>7367</v>
      </c>
      <c r="J12118" t="s">
        <v>59</v>
      </c>
      <c r="K12118" t="str">
        <f t="shared" si="486"/>
        <v>6F3</v>
      </c>
      <c r="L12118" t="s">
        <v>15</v>
      </c>
    </row>
    <row r="12119" spans="1:12" x14ac:dyDescent="0.25">
      <c r="A12119" t="str">
        <f>"8855045804"</f>
        <v>8855045804</v>
      </c>
      <c r="B12119" t="str">
        <f t="shared" si="482"/>
        <v>89301000</v>
      </c>
      <c r="C12119" s="1">
        <v>44501</v>
      </c>
      <c r="D12119" s="1">
        <v>44504</v>
      </c>
      <c r="E12119">
        <v>1</v>
      </c>
      <c r="F12119" t="s">
        <v>75</v>
      </c>
      <c r="G12119" t="str">
        <f>"14-M01-05"</f>
        <v>14-M01-05</v>
      </c>
      <c r="H12119">
        <v>0.54239999999999999</v>
      </c>
      <c r="I12119" t="s">
        <v>7692</v>
      </c>
      <c r="J12119" t="s">
        <v>59</v>
      </c>
      <c r="K12119" t="str">
        <f t="shared" si="486"/>
        <v>6F3</v>
      </c>
      <c r="L12119" t="s">
        <v>15</v>
      </c>
    </row>
    <row r="12120" spans="1:12" x14ac:dyDescent="0.25">
      <c r="A12120" t="str">
        <f>"8855123574"</f>
        <v>8855123574</v>
      </c>
      <c r="B12120" t="str">
        <f t="shared" si="482"/>
        <v>89301000</v>
      </c>
      <c r="C12120" s="1">
        <v>44335</v>
      </c>
      <c r="D12120" s="1">
        <v>44341</v>
      </c>
      <c r="E12120">
        <v>1</v>
      </c>
      <c r="F12120" t="s">
        <v>7582</v>
      </c>
      <c r="G12120" t="str">
        <f>"13-I04-01"</f>
        <v>13-I04-01</v>
      </c>
      <c r="H12120">
        <v>2.6413000000000002</v>
      </c>
      <c r="J12120" t="s">
        <v>14</v>
      </c>
      <c r="K12120" t="str">
        <f t="shared" si="486"/>
        <v>6F3</v>
      </c>
      <c r="L12120" t="s">
        <v>15</v>
      </c>
    </row>
    <row r="12121" spans="1:12" x14ac:dyDescent="0.25">
      <c r="A12121" t="str">
        <f>"8855135773"</f>
        <v>8855135773</v>
      </c>
      <c r="B12121" t="str">
        <f t="shared" si="482"/>
        <v>89301000</v>
      </c>
      <c r="C12121" s="1">
        <v>44343</v>
      </c>
      <c r="D12121" s="1">
        <v>44346</v>
      </c>
      <c r="E12121">
        <v>1</v>
      </c>
      <c r="F12121" t="s">
        <v>75</v>
      </c>
      <c r="G12121" t="str">
        <f t="shared" ref="G12121:G12126" si="487">"14-M01-05"</f>
        <v>14-M01-05</v>
      </c>
      <c r="H12121">
        <v>0.54239999999999999</v>
      </c>
      <c r="I12121" t="s">
        <v>7420</v>
      </c>
      <c r="J12121" t="s">
        <v>59</v>
      </c>
      <c r="K12121" t="str">
        <f t="shared" si="486"/>
        <v>6F3</v>
      </c>
      <c r="L12121" t="s">
        <v>15</v>
      </c>
    </row>
    <row r="12122" spans="1:12" x14ac:dyDescent="0.25">
      <c r="A12122" t="str">
        <f>"8855165781"</f>
        <v>8855165781</v>
      </c>
      <c r="B12122" t="str">
        <f t="shared" ref="B12122:B12185" si="488">"89301000"</f>
        <v>89301000</v>
      </c>
      <c r="C12122" s="1">
        <v>44524</v>
      </c>
      <c r="D12122" s="1">
        <v>44528</v>
      </c>
      <c r="E12122">
        <v>1</v>
      </c>
      <c r="F12122" t="s">
        <v>7895</v>
      </c>
      <c r="G12122" t="str">
        <f t="shared" si="487"/>
        <v>14-M01-05</v>
      </c>
      <c r="H12122">
        <v>0.54239999999999999</v>
      </c>
      <c r="I12122" t="s">
        <v>426</v>
      </c>
      <c r="J12122" t="s">
        <v>59</v>
      </c>
      <c r="K12122" t="str">
        <f t="shared" si="486"/>
        <v>6F3</v>
      </c>
      <c r="L12122" t="s">
        <v>15</v>
      </c>
    </row>
    <row r="12123" spans="1:12" x14ac:dyDescent="0.25">
      <c r="A12123" t="str">
        <f>"8855169653"</f>
        <v>8855169653</v>
      </c>
      <c r="B12123" t="str">
        <f t="shared" si="488"/>
        <v>89301000</v>
      </c>
      <c r="C12123" s="1">
        <v>44371</v>
      </c>
      <c r="D12123" s="1">
        <v>44375</v>
      </c>
      <c r="E12123">
        <v>1</v>
      </c>
      <c r="F12123" t="s">
        <v>112</v>
      </c>
      <c r="G12123" t="str">
        <f t="shared" si="487"/>
        <v>14-M01-05</v>
      </c>
      <c r="H12123">
        <v>0.54239999999999999</v>
      </c>
      <c r="I12123" t="s">
        <v>7896</v>
      </c>
      <c r="J12123" t="s">
        <v>59</v>
      </c>
      <c r="K12123" t="str">
        <f t="shared" si="486"/>
        <v>6F3</v>
      </c>
      <c r="L12123" t="s">
        <v>15</v>
      </c>
    </row>
    <row r="12124" spans="1:12" x14ac:dyDescent="0.25">
      <c r="A12124" t="str">
        <f>"8855193831"</f>
        <v>8855193831</v>
      </c>
      <c r="B12124" t="str">
        <f t="shared" si="488"/>
        <v>89301000</v>
      </c>
      <c r="C12124" s="1">
        <v>44218</v>
      </c>
      <c r="D12124" s="1">
        <v>44220</v>
      </c>
      <c r="E12124">
        <v>1</v>
      </c>
      <c r="F12124" t="s">
        <v>75</v>
      </c>
      <c r="G12124" t="str">
        <f t="shared" si="487"/>
        <v>14-M01-05</v>
      </c>
      <c r="H12124">
        <v>0.54239999999999999</v>
      </c>
      <c r="I12124" t="s">
        <v>426</v>
      </c>
      <c r="J12124" t="s">
        <v>59</v>
      </c>
      <c r="K12124" t="str">
        <f t="shared" si="486"/>
        <v>6F3</v>
      </c>
      <c r="L12124" t="s">
        <v>15</v>
      </c>
    </row>
    <row r="12125" spans="1:12" x14ac:dyDescent="0.25">
      <c r="A12125" t="str">
        <f>"8855205821"</f>
        <v>8855205821</v>
      </c>
      <c r="B12125" t="str">
        <f t="shared" si="488"/>
        <v>89301000</v>
      </c>
      <c r="C12125" s="1">
        <v>44219</v>
      </c>
      <c r="D12125" s="1">
        <v>44223</v>
      </c>
      <c r="E12125">
        <v>1</v>
      </c>
      <c r="F12125" t="s">
        <v>75</v>
      </c>
      <c r="G12125" t="str">
        <f t="shared" si="487"/>
        <v>14-M01-05</v>
      </c>
      <c r="H12125">
        <v>0.54239999999999999</v>
      </c>
      <c r="I12125" t="s">
        <v>7569</v>
      </c>
      <c r="J12125" t="s">
        <v>59</v>
      </c>
      <c r="K12125" t="str">
        <f t="shared" si="486"/>
        <v>6F3</v>
      </c>
      <c r="L12125" t="s">
        <v>15</v>
      </c>
    </row>
    <row r="12126" spans="1:12" x14ac:dyDescent="0.25">
      <c r="A12126" t="str">
        <f>"8855216293"</f>
        <v>8855216293</v>
      </c>
      <c r="B12126" t="str">
        <f t="shared" si="488"/>
        <v>89301000</v>
      </c>
      <c r="C12126" s="1">
        <v>44527</v>
      </c>
      <c r="D12126" s="1">
        <v>44529</v>
      </c>
      <c r="E12126">
        <v>1</v>
      </c>
      <c r="F12126" t="s">
        <v>75</v>
      </c>
      <c r="G12126" t="str">
        <f t="shared" si="487"/>
        <v>14-M01-05</v>
      </c>
      <c r="H12126">
        <v>0.54239999999999999</v>
      </c>
      <c r="I12126" t="s">
        <v>7637</v>
      </c>
      <c r="J12126" t="s">
        <v>59</v>
      </c>
      <c r="K12126" t="str">
        <f t="shared" si="486"/>
        <v>6F3</v>
      </c>
      <c r="L12126" t="s">
        <v>15</v>
      </c>
    </row>
    <row r="12127" spans="1:12" x14ac:dyDescent="0.25">
      <c r="A12127" t="str">
        <f>"8855225786"</f>
        <v>8855225786</v>
      </c>
      <c r="B12127" t="str">
        <f t="shared" si="488"/>
        <v>89301000</v>
      </c>
      <c r="C12127" s="1">
        <v>44230</v>
      </c>
      <c r="D12127" s="1">
        <v>44232</v>
      </c>
      <c r="E12127">
        <v>1</v>
      </c>
      <c r="F12127" t="s">
        <v>7897</v>
      </c>
      <c r="G12127" t="str">
        <f>"14-I08-03"</f>
        <v>14-I08-03</v>
      </c>
      <c r="H12127">
        <v>0.21099999999999999</v>
      </c>
      <c r="J12127" t="s">
        <v>14</v>
      </c>
      <c r="K12127" t="str">
        <f t="shared" si="486"/>
        <v>6F3</v>
      </c>
      <c r="L12127" t="s">
        <v>15</v>
      </c>
    </row>
    <row r="12128" spans="1:12" x14ac:dyDescent="0.25">
      <c r="A12128" t="str">
        <f>"8855226237"</f>
        <v>8855226237</v>
      </c>
      <c r="B12128" t="str">
        <f t="shared" si="488"/>
        <v>89301000</v>
      </c>
      <c r="C12128" s="1">
        <v>44378</v>
      </c>
      <c r="D12128" s="1">
        <v>44383</v>
      </c>
      <c r="E12128">
        <v>1</v>
      </c>
      <c r="F12128" t="s">
        <v>75</v>
      </c>
      <c r="G12128" t="str">
        <f>"14-M01-05"</f>
        <v>14-M01-05</v>
      </c>
      <c r="H12128">
        <v>0.54239999999999999</v>
      </c>
      <c r="I12128" t="s">
        <v>7898</v>
      </c>
      <c r="J12128" t="s">
        <v>59</v>
      </c>
      <c r="K12128" t="str">
        <f t="shared" si="486"/>
        <v>6F3</v>
      </c>
      <c r="L12128" t="s">
        <v>15</v>
      </c>
    </row>
    <row r="12129" spans="1:12" x14ac:dyDescent="0.25">
      <c r="A12129" t="str">
        <f>"8855233739"</f>
        <v>8855233739</v>
      </c>
      <c r="B12129" t="str">
        <f t="shared" si="488"/>
        <v>89301000</v>
      </c>
      <c r="C12129" s="1">
        <v>44318</v>
      </c>
      <c r="D12129" s="1">
        <v>44321</v>
      </c>
      <c r="E12129">
        <v>1</v>
      </c>
      <c r="F12129" t="s">
        <v>7882</v>
      </c>
      <c r="G12129" t="str">
        <f>"13-I18-03"</f>
        <v>13-I18-03</v>
      </c>
      <c r="H12129">
        <v>0.63680000000000003</v>
      </c>
      <c r="J12129" t="s">
        <v>14</v>
      </c>
      <c r="K12129" t="str">
        <f t="shared" si="486"/>
        <v>6F3</v>
      </c>
      <c r="L12129" t="s">
        <v>15</v>
      </c>
    </row>
    <row r="12130" spans="1:12" x14ac:dyDescent="0.25">
      <c r="A12130" t="str">
        <f>"8855234916"</f>
        <v>8855234916</v>
      </c>
      <c r="B12130" t="str">
        <f t="shared" si="488"/>
        <v>89301000</v>
      </c>
      <c r="C12130" s="1">
        <v>44516</v>
      </c>
      <c r="D12130" s="1">
        <v>44519</v>
      </c>
      <c r="E12130">
        <v>1</v>
      </c>
      <c r="F12130" t="s">
        <v>61</v>
      </c>
      <c r="G12130" t="str">
        <f>"14-I01-05"</f>
        <v>14-I01-05</v>
      </c>
      <c r="H12130">
        <v>0.80030000000000001</v>
      </c>
      <c r="I12130" t="s">
        <v>7572</v>
      </c>
      <c r="J12130" t="s">
        <v>59</v>
      </c>
      <c r="K12130" t="str">
        <f t="shared" si="486"/>
        <v>6F3</v>
      </c>
      <c r="L12130" t="s">
        <v>15</v>
      </c>
    </row>
    <row r="12131" spans="1:12" x14ac:dyDescent="0.25">
      <c r="A12131" t="str">
        <f>"8855285373"</f>
        <v>8855285373</v>
      </c>
      <c r="B12131" t="str">
        <f t="shared" si="488"/>
        <v>89301000</v>
      </c>
      <c r="C12131" s="1">
        <v>44453</v>
      </c>
      <c r="D12131" s="1">
        <v>44458</v>
      </c>
      <c r="E12131">
        <v>1</v>
      </c>
      <c r="F12131" t="s">
        <v>654</v>
      </c>
      <c r="G12131" t="str">
        <f>"13-I14-01"</f>
        <v>13-I14-01</v>
      </c>
      <c r="H12131">
        <v>2.1783999999999999</v>
      </c>
      <c r="I12131" t="s">
        <v>7899</v>
      </c>
      <c r="J12131" t="s">
        <v>24</v>
      </c>
      <c r="K12131" t="str">
        <f t="shared" si="486"/>
        <v>6F3</v>
      </c>
      <c r="L12131" t="s">
        <v>15</v>
      </c>
    </row>
    <row r="12132" spans="1:12" x14ac:dyDescent="0.25">
      <c r="A12132" t="str">
        <f>"8855285373"</f>
        <v>8855285373</v>
      </c>
      <c r="B12132" t="str">
        <f t="shared" si="488"/>
        <v>89301000</v>
      </c>
      <c r="C12132" s="1">
        <v>44349</v>
      </c>
      <c r="D12132" s="1">
        <v>44350</v>
      </c>
      <c r="E12132">
        <v>1</v>
      </c>
      <c r="F12132" t="s">
        <v>7048</v>
      </c>
      <c r="G12132" t="str">
        <f>"13-K06-00"</f>
        <v>13-K06-00</v>
      </c>
      <c r="H12132">
        <v>0.37859999999999999</v>
      </c>
      <c r="J12132" t="s">
        <v>14</v>
      </c>
      <c r="K12132" t="str">
        <f t="shared" si="486"/>
        <v>6F3</v>
      </c>
      <c r="L12132" t="s">
        <v>15</v>
      </c>
    </row>
    <row r="12133" spans="1:12" x14ac:dyDescent="0.25">
      <c r="A12133" t="str">
        <f>"8855305371"</f>
        <v>8855305371</v>
      </c>
      <c r="B12133" t="str">
        <f t="shared" si="488"/>
        <v>89301000</v>
      </c>
      <c r="C12133" s="1">
        <v>44233</v>
      </c>
      <c r="D12133" s="1">
        <v>44236</v>
      </c>
      <c r="E12133">
        <v>1</v>
      </c>
      <c r="F12133" t="s">
        <v>75</v>
      </c>
      <c r="G12133" t="str">
        <f>"14-M01-05"</f>
        <v>14-M01-05</v>
      </c>
      <c r="H12133">
        <v>0.54239999999999999</v>
      </c>
      <c r="I12133" t="s">
        <v>7706</v>
      </c>
      <c r="J12133" t="s">
        <v>59</v>
      </c>
      <c r="K12133" t="str">
        <f t="shared" si="486"/>
        <v>6F3</v>
      </c>
      <c r="L12133" t="s">
        <v>15</v>
      </c>
    </row>
    <row r="12134" spans="1:12" x14ac:dyDescent="0.25">
      <c r="A12134" t="str">
        <f>"8855305800"</f>
        <v>8855305800</v>
      </c>
      <c r="B12134" t="str">
        <f t="shared" si="488"/>
        <v>89301000</v>
      </c>
      <c r="C12134" s="1">
        <v>44539</v>
      </c>
      <c r="D12134" s="1">
        <v>44542</v>
      </c>
      <c r="E12134">
        <v>1</v>
      </c>
      <c r="F12134" t="s">
        <v>75</v>
      </c>
      <c r="G12134" t="str">
        <f>"14-M01-05"</f>
        <v>14-M01-05</v>
      </c>
      <c r="H12134">
        <v>0.54239999999999999</v>
      </c>
      <c r="I12134" t="s">
        <v>76</v>
      </c>
      <c r="J12134" t="s">
        <v>59</v>
      </c>
      <c r="K12134" t="str">
        <f t="shared" si="486"/>
        <v>6F3</v>
      </c>
      <c r="L12134" t="s">
        <v>15</v>
      </c>
    </row>
    <row r="12135" spans="1:12" x14ac:dyDescent="0.25">
      <c r="A12135" t="str">
        <f>"8856025629"</f>
        <v>8856025629</v>
      </c>
      <c r="B12135" t="str">
        <f t="shared" si="488"/>
        <v>89301000</v>
      </c>
      <c r="C12135" s="1">
        <v>44193</v>
      </c>
      <c r="D12135" s="1">
        <v>44198</v>
      </c>
      <c r="E12135">
        <v>1</v>
      </c>
      <c r="F12135" t="s">
        <v>3524</v>
      </c>
      <c r="G12135" t="str">
        <f>"02-I06-01"</f>
        <v>02-I06-01</v>
      </c>
      <c r="H12135">
        <v>1.3171999999999999</v>
      </c>
      <c r="J12135" t="s">
        <v>17</v>
      </c>
      <c r="K12135" t="str">
        <f>"7F5"</f>
        <v>7F5</v>
      </c>
      <c r="L12135" t="s">
        <v>15</v>
      </c>
    </row>
    <row r="12136" spans="1:12" x14ac:dyDescent="0.25">
      <c r="A12136" t="str">
        <f>"8856035826"</f>
        <v>8856035826</v>
      </c>
      <c r="B12136" t="str">
        <f t="shared" si="488"/>
        <v>89301000</v>
      </c>
      <c r="C12136" s="1">
        <v>44330</v>
      </c>
      <c r="D12136" s="1">
        <v>44332</v>
      </c>
      <c r="E12136">
        <v>1</v>
      </c>
      <c r="F12136" t="s">
        <v>75</v>
      </c>
      <c r="G12136" t="str">
        <f>"14-M01-05"</f>
        <v>14-M01-05</v>
      </c>
      <c r="H12136">
        <v>0.54239999999999999</v>
      </c>
      <c r="I12136" t="s">
        <v>7900</v>
      </c>
      <c r="J12136" t="s">
        <v>59</v>
      </c>
      <c r="K12136" t="str">
        <f>"6F3"</f>
        <v>6F3</v>
      </c>
      <c r="L12136" t="s">
        <v>15</v>
      </c>
    </row>
    <row r="12137" spans="1:12" x14ac:dyDescent="0.25">
      <c r="A12137" t="str">
        <f>"8856055384"</f>
        <v>8856055384</v>
      </c>
      <c r="B12137" t="str">
        <f t="shared" si="488"/>
        <v>89301000</v>
      </c>
      <c r="C12137" s="1">
        <v>44418</v>
      </c>
      <c r="D12137" s="1">
        <v>44421</v>
      </c>
      <c r="E12137">
        <v>1</v>
      </c>
      <c r="F12137" t="s">
        <v>132</v>
      </c>
      <c r="G12137" t="str">
        <f>"03-I23-00"</f>
        <v>03-I23-00</v>
      </c>
      <c r="H12137">
        <v>0.47639999999999999</v>
      </c>
      <c r="I12137" t="s">
        <v>320</v>
      </c>
      <c r="J12137" t="s">
        <v>14</v>
      </c>
      <c r="K12137" t="str">
        <f>"6F5"</f>
        <v>6F5</v>
      </c>
      <c r="L12137" t="s">
        <v>15</v>
      </c>
    </row>
    <row r="12138" spans="1:12" x14ac:dyDescent="0.25">
      <c r="A12138" t="str">
        <f>"8856075811"</f>
        <v>8856075811</v>
      </c>
      <c r="B12138" t="str">
        <f t="shared" si="488"/>
        <v>89301000</v>
      </c>
      <c r="C12138" s="1">
        <v>44419</v>
      </c>
      <c r="D12138" s="1">
        <v>44422</v>
      </c>
      <c r="E12138">
        <v>1</v>
      </c>
      <c r="F12138" t="s">
        <v>7901</v>
      </c>
      <c r="G12138" t="str">
        <f>"14-K05-03"</f>
        <v>14-K05-03</v>
      </c>
      <c r="H12138">
        <v>0.30209999999999998</v>
      </c>
      <c r="I12138" t="s">
        <v>92</v>
      </c>
      <c r="J12138" t="s">
        <v>14</v>
      </c>
      <c r="K12138" t="str">
        <f>"6F3"</f>
        <v>6F3</v>
      </c>
      <c r="L12138" t="s">
        <v>15</v>
      </c>
    </row>
    <row r="12139" spans="1:12" x14ac:dyDescent="0.25">
      <c r="A12139" t="str">
        <f>"8856225455"</f>
        <v>8856225455</v>
      </c>
      <c r="B12139" t="str">
        <f t="shared" si="488"/>
        <v>89301000</v>
      </c>
      <c r="C12139" s="1">
        <v>44257</v>
      </c>
      <c r="D12139" s="1">
        <v>44258</v>
      </c>
      <c r="E12139">
        <v>1</v>
      </c>
      <c r="F12139" t="s">
        <v>7902</v>
      </c>
      <c r="G12139" t="str">
        <f>"13-K15-02"</f>
        <v>13-K15-02</v>
      </c>
      <c r="H12139">
        <v>0.18360000000000001</v>
      </c>
      <c r="I12139" t="s">
        <v>92</v>
      </c>
      <c r="J12139" t="s">
        <v>14</v>
      </c>
      <c r="K12139" t="str">
        <f>"6F3"</f>
        <v>6F3</v>
      </c>
      <c r="L12139" t="s">
        <v>15</v>
      </c>
    </row>
    <row r="12140" spans="1:12" x14ac:dyDescent="0.25">
      <c r="A12140" t="str">
        <f>"8856294931"</f>
        <v>8856294931</v>
      </c>
      <c r="B12140" t="str">
        <f t="shared" si="488"/>
        <v>89301000</v>
      </c>
      <c r="C12140" s="1">
        <v>44306</v>
      </c>
      <c r="D12140" s="1">
        <v>44317</v>
      </c>
      <c r="E12140">
        <v>1</v>
      </c>
      <c r="F12140" t="s">
        <v>4082</v>
      </c>
      <c r="G12140" t="str">
        <f>"01-I06-01"</f>
        <v>01-I06-01</v>
      </c>
      <c r="H12140">
        <v>7.2766000000000002</v>
      </c>
      <c r="J12140" t="s">
        <v>17</v>
      </c>
      <c r="K12140" t="str">
        <f>"5F6"</f>
        <v>5F6</v>
      </c>
      <c r="L12140" t="s">
        <v>15</v>
      </c>
    </row>
    <row r="12141" spans="1:12" x14ac:dyDescent="0.25">
      <c r="A12141" t="str">
        <f>"8856295789"</f>
        <v>8856295789</v>
      </c>
      <c r="B12141" t="str">
        <f t="shared" si="488"/>
        <v>89301000</v>
      </c>
      <c r="C12141" s="1">
        <v>44356</v>
      </c>
      <c r="D12141" s="1">
        <v>44359</v>
      </c>
      <c r="E12141">
        <v>1</v>
      </c>
      <c r="F12141" t="s">
        <v>61</v>
      </c>
      <c r="G12141" t="str">
        <f>"14-I01-05"</f>
        <v>14-I01-05</v>
      </c>
      <c r="H12141">
        <v>0.80030000000000001</v>
      </c>
      <c r="I12141" t="s">
        <v>7572</v>
      </c>
      <c r="J12141" t="s">
        <v>59</v>
      </c>
      <c r="K12141" t="str">
        <f t="shared" ref="K12141:K12146" si="489">"6F3"</f>
        <v>6F3</v>
      </c>
      <c r="L12141" t="s">
        <v>15</v>
      </c>
    </row>
    <row r="12142" spans="1:12" x14ac:dyDescent="0.25">
      <c r="A12142" t="str">
        <f>"8856295789"</f>
        <v>8856295789</v>
      </c>
      <c r="B12142" t="str">
        <f t="shared" si="488"/>
        <v>89301000</v>
      </c>
      <c r="C12142" s="1">
        <v>44348</v>
      </c>
      <c r="D12142" s="1">
        <v>44348</v>
      </c>
      <c r="E12142">
        <v>1</v>
      </c>
      <c r="F12142" t="s">
        <v>7903</v>
      </c>
      <c r="G12142" t="str">
        <f>"14-K03-02"</f>
        <v>14-K03-02</v>
      </c>
      <c r="H12142">
        <v>0.13270000000000001</v>
      </c>
      <c r="J12142" t="s">
        <v>14</v>
      </c>
      <c r="K12142" t="str">
        <f t="shared" si="489"/>
        <v>6F3</v>
      </c>
      <c r="L12142" t="s">
        <v>15</v>
      </c>
    </row>
    <row r="12143" spans="1:12" x14ac:dyDescent="0.25">
      <c r="A12143" t="str">
        <f>"8856305788"</f>
        <v>8856305788</v>
      </c>
      <c r="B12143" t="str">
        <f t="shared" si="488"/>
        <v>89301000</v>
      </c>
      <c r="C12143" s="1">
        <v>44522</v>
      </c>
      <c r="D12143" s="1">
        <v>44526</v>
      </c>
      <c r="E12143">
        <v>1</v>
      </c>
      <c r="F12143" t="s">
        <v>82</v>
      </c>
      <c r="G12143" t="str">
        <f>"14-I01-05"</f>
        <v>14-I01-05</v>
      </c>
      <c r="H12143">
        <v>0.80030000000000001</v>
      </c>
      <c r="I12143" t="s">
        <v>269</v>
      </c>
      <c r="J12143" t="s">
        <v>59</v>
      </c>
      <c r="K12143" t="str">
        <f t="shared" si="489"/>
        <v>6F3</v>
      </c>
      <c r="L12143" t="s">
        <v>15</v>
      </c>
    </row>
    <row r="12144" spans="1:12" x14ac:dyDescent="0.25">
      <c r="A12144" t="str">
        <f>"8857025793"</f>
        <v>8857025793</v>
      </c>
      <c r="B12144" t="str">
        <f t="shared" si="488"/>
        <v>89301000</v>
      </c>
      <c r="C12144" s="1">
        <v>44450</v>
      </c>
      <c r="D12144" s="1">
        <v>44452</v>
      </c>
      <c r="E12144">
        <v>1</v>
      </c>
      <c r="F12144" t="s">
        <v>75</v>
      </c>
      <c r="G12144" t="str">
        <f>"14-M01-05"</f>
        <v>14-M01-05</v>
      </c>
      <c r="H12144">
        <v>0.54239999999999999</v>
      </c>
      <c r="I12144" t="s">
        <v>180</v>
      </c>
      <c r="J12144" t="s">
        <v>59</v>
      </c>
      <c r="K12144" t="str">
        <f t="shared" si="489"/>
        <v>6F3</v>
      </c>
      <c r="L12144" t="s">
        <v>15</v>
      </c>
    </row>
    <row r="12145" spans="1:12" x14ac:dyDescent="0.25">
      <c r="A12145" t="str">
        <f>"8857056208"</f>
        <v>8857056208</v>
      </c>
      <c r="B12145" t="str">
        <f t="shared" si="488"/>
        <v>89301000</v>
      </c>
      <c r="C12145" s="1">
        <v>44480</v>
      </c>
      <c r="D12145" s="1">
        <v>44484</v>
      </c>
      <c r="E12145">
        <v>1</v>
      </c>
      <c r="F12145" t="s">
        <v>61</v>
      </c>
      <c r="G12145" t="str">
        <f>"14-I01-05"</f>
        <v>14-I01-05</v>
      </c>
      <c r="H12145">
        <v>0.80030000000000001</v>
      </c>
      <c r="I12145" t="s">
        <v>7277</v>
      </c>
      <c r="J12145" t="s">
        <v>59</v>
      </c>
      <c r="K12145" t="str">
        <f t="shared" si="489"/>
        <v>6F3</v>
      </c>
      <c r="L12145" t="s">
        <v>15</v>
      </c>
    </row>
    <row r="12146" spans="1:12" x14ac:dyDescent="0.25">
      <c r="A12146" t="str">
        <f>"8857196249"</f>
        <v>8857196249</v>
      </c>
      <c r="B12146" t="str">
        <f t="shared" si="488"/>
        <v>89301000</v>
      </c>
      <c r="C12146" s="1">
        <v>44450</v>
      </c>
      <c r="D12146" s="1">
        <v>44453</v>
      </c>
      <c r="E12146">
        <v>1</v>
      </c>
      <c r="F12146" t="s">
        <v>75</v>
      </c>
      <c r="G12146" t="str">
        <f>"14-M01-05"</f>
        <v>14-M01-05</v>
      </c>
      <c r="H12146">
        <v>0.54239999999999999</v>
      </c>
      <c r="I12146" t="s">
        <v>256</v>
      </c>
      <c r="J12146" t="s">
        <v>59</v>
      </c>
      <c r="K12146" t="str">
        <f t="shared" si="489"/>
        <v>6F3</v>
      </c>
      <c r="L12146" t="s">
        <v>15</v>
      </c>
    </row>
    <row r="12147" spans="1:12" x14ac:dyDescent="0.25">
      <c r="A12147" t="str">
        <f>"8857225806"</f>
        <v>8857225806</v>
      </c>
      <c r="B12147" t="str">
        <f t="shared" si="488"/>
        <v>89301000</v>
      </c>
      <c r="C12147" s="1">
        <v>44361</v>
      </c>
      <c r="D12147" s="1">
        <v>44374</v>
      </c>
      <c r="E12147">
        <v>1</v>
      </c>
      <c r="F12147" t="s">
        <v>81</v>
      </c>
      <c r="G12147" t="str">
        <f>"10-I13-02"</f>
        <v>10-I13-02</v>
      </c>
      <c r="H12147">
        <v>1.7174</v>
      </c>
      <c r="I12147" t="s">
        <v>7904</v>
      </c>
      <c r="J12147" t="s">
        <v>24</v>
      </c>
      <c r="K12147" t="str">
        <f>"7F1"</f>
        <v>7F1</v>
      </c>
      <c r="L12147" t="s">
        <v>15</v>
      </c>
    </row>
    <row r="12148" spans="1:12" x14ac:dyDescent="0.25">
      <c r="A12148" t="str">
        <f>"8857254373"</f>
        <v>8857254373</v>
      </c>
      <c r="B12148" t="str">
        <f t="shared" si="488"/>
        <v>89301000</v>
      </c>
      <c r="C12148" s="1">
        <v>44506</v>
      </c>
      <c r="D12148" s="1">
        <v>44511</v>
      </c>
      <c r="E12148">
        <v>1</v>
      </c>
      <c r="F12148" t="s">
        <v>82</v>
      </c>
      <c r="G12148" t="str">
        <f>"14-I01-02"</f>
        <v>14-I01-02</v>
      </c>
      <c r="H12148">
        <v>1.1289</v>
      </c>
      <c r="I12148" t="s">
        <v>7784</v>
      </c>
      <c r="J12148" t="s">
        <v>59</v>
      </c>
      <c r="K12148" t="str">
        <f>"6F3"</f>
        <v>6F3</v>
      </c>
      <c r="L12148" t="s">
        <v>15</v>
      </c>
    </row>
    <row r="12149" spans="1:12" x14ac:dyDescent="0.25">
      <c r="A12149" t="str">
        <f>"8857275801"</f>
        <v>8857275801</v>
      </c>
      <c r="B12149" t="str">
        <f t="shared" si="488"/>
        <v>89301000</v>
      </c>
      <c r="C12149" s="1">
        <v>44391</v>
      </c>
      <c r="D12149" s="1">
        <v>44396</v>
      </c>
      <c r="E12149">
        <v>1</v>
      </c>
      <c r="F12149" t="s">
        <v>7905</v>
      </c>
      <c r="G12149" t="str">
        <f>"14-K03-02"</f>
        <v>14-K03-02</v>
      </c>
      <c r="H12149">
        <v>0.2646</v>
      </c>
      <c r="J12149" t="s">
        <v>14</v>
      </c>
      <c r="K12149" t="str">
        <f>"6F3"</f>
        <v>6F3</v>
      </c>
      <c r="L12149" t="s">
        <v>15</v>
      </c>
    </row>
    <row r="12150" spans="1:12" x14ac:dyDescent="0.25">
      <c r="A12150" t="str">
        <f>"8857275801"</f>
        <v>8857275801</v>
      </c>
      <c r="B12150" t="str">
        <f t="shared" si="488"/>
        <v>89301000</v>
      </c>
      <c r="C12150" s="1">
        <v>44415</v>
      </c>
      <c r="D12150" s="1">
        <v>44417</v>
      </c>
      <c r="E12150">
        <v>1</v>
      </c>
      <c r="F12150" t="s">
        <v>75</v>
      </c>
      <c r="G12150" t="str">
        <f>"14-M01-05"</f>
        <v>14-M01-05</v>
      </c>
      <c r="H12150">
        <v>0.54239999999999999</v>
      </c>
      <c r="J12150" t="s">
        <v>59</v>
      </c>
      <c r="K12150" t="str">
        <f>"6F3"</f>
        <v>6F3</v>
      </c>
      <c r="L12150" t="s">
        <v>15</v>
      </c>
    </row>
    <row r="12151" spans="1:12" x14ac:dyDescent="0.25">
      <c r="A12151" t="str">
        <f>"8857294919"</f>
        <v>8857294919</v>
      </c>
      <c r="B12151" t="str">
        <f t="shared" si="488"/>
        <v>89301000</v>
      </c>
      <c r="C12151" s="1">
        <v>44228</v>
      </c>
      <c r="D12151" s="1">
        <v>44231</v>
      </c>
      <c r="E12151">
        <v>1</v>
      </c>
      <c r="F12151" t="s">
        <v>75</v>
      </c>
      <c r="G12151" t="str">
        <f>"14-M01-05"</f>
        <v>14-M01-05</v>
      </c>
      <c r="H12151">
        <v>0.54239999999999999</v>
      </c>
      <c r="I12151" t="s">
        <v>117</v>
      </c>
      <c r="J12151" t="s">
        <v>59</v>
      </c>
      <c r="K12151" t="str">
        <f>"6F3"</f>
        <v>6F3</v>
      </c>
      <c r="L12151" t="s">
        <v>15</v>
      </c>
    </row>
    <row r="12152" spans="1:12" x14ac:dyDescent="0.25">
      <c r="A12152" t="str">
        <f>"8857315775"</f>
        <v>8857315775</v>
      </c>
      <c r="B12152" t="str">
        <f t="shared" si="488"/>
        <v>89301000</v>
      </c>
      <c r="C12152" s="1">
        <v>44537</v>
      </c>
      <c r="D12152" s="1">
        <v>44551</v>
      </c>
      <c r="E12152">
        <v>1</v>
      </c>
      <c r="F12152" t="s">
        <v>979</v>
      </c>
      <c r="G12152" t="str">
        <f>"04-K02-03"</f>
        <v>04-K02-03</v>
      </c>
      <c r="H12152">
        <v>1.2859</v>
      </c>
      <c r="I12152" t="s">
        <v>7906</v>
      </c>
      <c r="J12152" t="s">
        <v>14</v>
      </c>
      <c r="K12152" t="str">
        <f>"2F5"</f>
        <v>2F5</v>
      </c>
      <c r="L12152" t="s">
        <v>15</v>
      </c>
    </row>
    <row r="12153" spans="1:12" x14ac:dyDescent="0.25">
      <c r="A12153" t="str">
        <f>"8858044525"</f>
        <v>8858044525</v>
      </c>
      <c r="B12153" t="str">
        <f t="shared" si="488"/>
        <v>89301000</v>
      </c>
      <c r="C12153" s="1">
        <v>44503</v>
      </c>
      <c r="D12153" s="1">
        <v>44505</v>
      </c>
      <c r="E12153">
        <v>1</v>
      </c>
      <c r="F12153" t="s">
        <v>75</v>
      </c>
      <c r="G12153" t="str">
        <f>"14-M01-05"</f>
        <v>14-M01-05</v>
      </c>
      <c r="H12153">
        <v>0.54239999999999999</v>
      </c>
      <c r="I12153" t="s">
        <v>426</v>
      </c>
      <c r="J12153" t="s">
        <v>59</v>
      </c>
      <c r="K12153" t="str">
        <f t="shared" ref="K12153:K12158" si="490">"6F3"</f>
        <v>6F3</v>
      </c>
      <c r="L12153" t="s">
        <v>15</v>
      </c>
    </row>
    <row r="12154" spans="1:12" x14ac:dyDescent="0.25">
      <c r="A12154" t="str">
        <f>"8858045768"</f>
        <v>8858045768</v>
      </c>
      <c r="B12154" t="str">
        <f t="shared" si="488"/>
        <v>89301000</v>
      </c>
      <c r="C12154" s="1">
        <v>44421</v>
      </c>
      <c r="D12154" s="1">
        <v>44424</v>
      </c>
      <c r="E12154">
        <v>1</v>
      </c>
      <c r="F12154" t="s">
        <v>75</v>
      </c>
      <c r="G12154" t="str">
        <f>"14-M01-05"</f>
        <v>14-M01-05</v>
      </c>
      <c r="H12154">
        <v>0.54239999999999999</v>
      </c>
      <c r="I12154" t="s">
        <v>117</v>
      </c>
      <c r="J12154" t="s">
        <v>59</v>
      </c>
      <c r="K12154" t="str">
        <f t="shared" si="490"/>
        <v>6F3</v>
      </c>
      <c r="L12154" t="s">
        <v>15</v>
      </c>
    </row>
    <row r="12155" spans="1:12" x14ac:dyDescent="0.25">
      <c r="A12155" t="str">
        <f>"8858095796"</f>
        <v>8858095796</v>
      </c>
      <c r="B12155" t="str">
        <f t="shared" si="488"/>
        <v>89301000</v>
      </c>
      <c r="C12155" s="1">
        <v>44355</v>
      </c>
      <c r="D12155" s="1">
        <v>44360</v>
      </c>
      <c r="E12155">
        <v>1</v>
      </c>
      <c r="F12155" t="s">
        <v>61</v>
      </c>
      <c r="G12155" t="str">
        <f>"14-I01-05"</f>
        <v>14-I01-05</v>
      </c>
      <c r="H12155">
        <v>0.80030000000000001</v>
      </c>
      <c r="I12155" t="s">
        <v>62</v>
      </c>
      <c r="J12155" t="s">
        <v>59</v>
      </c>
      <c r="K12155" t="str">
        <f t="shared" si="490"/>
        <v>6F3</v>
      </c>
      <c r="L12155" t="s">
        <v>15</v>
      </c>
    </row>
    <row r="12156" spans="1:12" x14ac:dyDescent="0.25">
      <c r="A12156" t="str">
        <f>"8858135077"</f>
        <v>8858135077</v>
      </c>
      <c r="B12156" t="str">
        <f t="shared" si="488"/>
        <v>89301000</v>
      </c>
      <c r="C12156" s="1">
        <v>44435</v>
      </c>
      <c r="D12156" s="1">
        <v>44438</v>
      </c>
      <c r="E12156">
        <v>1</v>
      </c>
      <c r="F12156" t="s">
        <v>7648</v>
      </c>
      <c r="G12156" t="str">
        <f>"14-M01-05"</f>
        <v>14-M01-05</v>
      </c>
      <c r="H12156">
        <v>0.54239999999999999</v>
      </c>
      <c r="I12156" t="s">
        <v>7692</v>
      </c>
      <c r="J12156" t="s">
        <v>59</v>
      </c>
      <c r="K12156" t="str">
        <f t="shared" si="490"/>
        <v>6F3</v>
      </c>
      <c r="L12156" t="s">
        <v>15</v>
      </c>
    </row>
    <row r="12157" spans="1:12" x14ac:dyDescent="0.25">
      <c r="A12157" t="str">
        <f>"8858145285"</f>
        <v>8858145285</v>
      </c>
      <c r="B12157" t="str">
        <f t="shared" si="488"/>
        <v>89301000</v>
      </c>
      <c r="C12157" s="1">
        <v>44288</v>
      </c>
      <c r="D12157" s="1">
        <v>44299</v>
      </c>
      <c r="E12157">
        <v>1</v>
      </c>
      <c r="F12157" t="s">
        <v>75</v>
      </c>
      <c r="G12157" t="str">
        <f>"14-M01-01"</f>
        <v>14-M01-01</v>
      </c>
      <c r="H12157">
        <v>1.5253000000000001</v>
      </c>
      <c r="I12157" t="s">
        <v>7907</v>
      </c>
      <c r="J12157" t="s">
        <v>59</v>
      </c>
      <c r="K12157" t="str">
        <f t="shared" si="490"/>
        <v>6F3</v>
      </c>
      <c r="L12157" t="s">
        <v>15</v>
      </c>
    </row>
    <row r="12158" spans="1:12" x14ac:dyDescent="0.25">
      <c r="A12158" t="str">
        <f>"8858145791"</f>
        <v>8858145791</v>
      </c>
      <c r="B12158" t="str">
        <f t="shared" si="488"/>
        <v>89301000</v>
      </c>
      <c r="C12158" s="1">
        <v>44480</v>
      </c>
      <c r="D12158" s="1">
        <v>44484</v>
      </c>
      <c r="E12158">
        <v>1</v>
      </c>
      <c r="F12158" t="s">
        <v>75</v>
      </c>
      <c r="G12158" t="str">
        <f>"14-M01-05"</f>
        <v>14-M01-05</v>
      </c>
      <c r="H12158">
        <v>0.54239999999999999</v>
      </c>
      <c r="I12158" t="s">
        <v>127</v>
      </c>
      <c r="J12158" t="s">
        <v>59</v>
      </c>
      <c r="K12158" t="str">
        <f t="shared" si="490"/>
        <v>6F3</v>
      </c>
      <c r="L12158" t="s">
        <v>15</v>
      </c>
    </row>
    <row r="12159" spans="1:12" x14ac:dyDescent="0.25">
      <c r="A12159" t="str">
        <f>"8858165778"</f>
        <v>8858165778</v>
      </c>
      <c r="B12159" t="str">
        <f t="shared" si="488"/>
        <v>89301000</v>
      </c>
      <c r="C12159" s="1">
        <v>44398</v>
      </c>
      <c r="D12159" s="1">
        <v>44400</v>
      </c>
      <c r="E12159">
        <v>1</v>
      </c>
      <c r="F12159" t="s">
        <v>1248</v>
      </c>
      <c r="G12159" t="str">
        <f>"01-K16-05"</f>
        <v>01-K16-05</v>
      </c>
      <c r="H12159">
        <v>0.57979999999999998</v>
      </c>
      <c r="I12159" t="s">
        <v>7908</v>
      </c>
      <c r="J12159" t="s">
        <v>14</v>
      </c>
      <c r="K12159" t="str">
        <f>"5F3"</f>
        <v>5F3</v>
      </c>
      <c r="L12159" t="s">
        <v>15</v>
      </c>
    </row>
    <row r="12160" spans="1:12" x14ac:dyDescent="0.25">
      <c r="A12160" t="str">
        <f>"8858175788"</f>
        <v>8858175788</v>
      </c>
      <c r="B12160" t="str">
        <f t="shared" si="488"/>
        <v>89301000</v>
      </c>
      <c r="C12160" s="1">
        <v>44421</v>
      </c>
      <c r="D12160" s="1">
        <v>44424</v>
      </c>
      <c r="E12160">
        <v>1</v>
      </c>
      <c r="F12160" t="s">
        <v>102</v>
      </c>
      <c r="G12160" t="str">
        <f>"03-K06-01"</f>
        <v>03-K06-01</v>
      </c>
      <c r="H12160">
        <v>0.4718</v>
      </c>
      <c r="J12160" t="s">
        <v>14</v>
      </c>
      <c r="K12160" t="str">
        <f>"7F1"</f>
        <v>7F1</v>
      </c>
      <c r="L12160" t="s">
        <v>15</v>
      </c>
    </row>
    <row r="12161" spans="1:12" x14ac:dyDescent="0.25">
      <c r="A12161" t="str">
        <f>"8858225783"</f>
        <v>8858225783</v>
      </c>
      <c r="B12161" t="str">
        <f t="shared" si="488"/>
        <v>89301000</v>
      </c>
      <c r="C12161" s="1">
        <v>44305</v>
      </c>
      <c r="D12161" s="1">
        <v>44309</v>
      </c>
      <c r="E12161">
        <v>1</v>
      </c>
      <c r="F12161" t="s">
        <v>75</v>
      </c>
      <c r="G12161" t="str">
        <f>"14-M01-05"</f>
        <v>14-M01-05</v>
      </c>
      <c r="H12161">
        <v>0.54239999999999999</v>
      </c>
      <c r="I12161" t="s">
        <v>7420</v>
      </c>
      <c r="J12161" t="s">
        <v>59</v>
      </c>
      <c r="K12161" t="str">
        <f>"6F3"</f>
        <v>6F3</v>
      </c>
      <c r="L12161" t="s">
        <v>15</v>
      </c>
    </row>
    <row r="12162" spans="1:12" x14ac:dyDescent="0.25">
      <c r="A12162" t="str">
        <f>"8858295798"</f>
        <v>8858295798</v>
      </c>
      <c r="B12162" t="str">
        <f t="shared" si="488"/>
        <v>89301000</v>
      </c>
      <c r="C12162" s="1">
        <v>44206</v>
      </c>
      <c r="D12162" s="1">
        <v>44212</v>
      </c>
      <c r="E12162">
        <v>1</v>
      </c>
      <c r="F12162" t="s">
        <v>500</v>
      </c>
      <c r="G12162" t="str">
        <f>"06-I07-05"</f>
        <v>06-I07-05</v>
      </c>
      <c r="H12162">
        <v>2.8466999999999998</v>
      </c>
      <c r="J12162" t="s">
        <v>17</v>
      </c>
      <c r="K12162" t="str">
        <f>"5F1"</f>
        <v>5F1</v>
      </c>
      <c r="L12162" t="s">
        <v>15</v>
      </c>
    </row>
    <row r="12163" spans="1:12" x14ac:dyDescent="0.25">
      <c r="A12163" t="str">
        <f>"8859015792"</f>
        <v>8859015792</v>
      </c>
      <c r="B12163" t="str">
        <f t="shared" si="488"/>
        <v>89301000</v>
      </c>
      <c r="C12163" s="1">
        <v>44293</v>
      </c>
      <c r="D12163" s="1">
        <v>44299</v>
      </c>
      <c r="E12163">
        <v>1</v>
      </c>
      <c r="F12163" t="s">
        <v>112</v>
      </c>
      <c r="G12163" t="str">
        <f>"14-M01-05"</f>
        <v>14-M01-05</v>
      </c>
      <c r="H12163">
        <v>0.54239999999999999</v>
      </c>
      <c r="I12163" t="s">
        <v>7909</v>
      </c>
      <c r="J12163" t="s">
        <v>59</v>
      </c>
      <c r="K12163" t="str">
        <f t="shared" ref="K12163:K12168" si="491">"6F3"</f>
        <v>6F3</v>
      </c>
      <c r="L12163" t="s">
        <v>15</v>
      </c>
    </row>
    <row r="12164" spans="1:12" x14ac:dyDescent="0.25">
      <c r="A12164" t="str">
        <f>"8859084927"</f>
        <v>8859084927</v>
      </c>
      <c r="B12164" t="str">
        <f t="shared" si="488"/>
        <v>89301000</v>
      </c>
      <c r="C12164" s="1">
        <v>44516</v>
      </c>
      <c r="D12164" s="1">
        <v>44518</v>
      </c>
      <c r="E12164">
        <v>1</v>
      </c>
      <c r="F12164" t="s">
        <v>116</v>
      </c>
      <c r="G12164" t="str">
        <f>"14-M01-05"</f>
        <v>14-M01-05</v>
      </c>
      <c r="H12164">
        <v>0.54239999999999999</v>
      </c>
      <c r="I12164" t="s">
        <v>426</v>
      </c>
      <c r="J12164" t="s">
        <v>59</v>
      </c>
      <c r="K12164" t="str">
        <f t="shared" si="491"/>
        <v>6F3</v>
      </c>
      <c r="L12164" t="s">
        <v>15</v>
      </c>
    </row>
    <row r="12165" spans="1:12" x14ac:dyDescent="0.25">
      <c r="A12165" t="str">
        <f>"8859105794"</f>
        <v>8859105794</v>
      </c>
      <c r="B12165" t="str">
        <f t="shared" si="488"/>
        <v>89301000</v>
      </c>
      <c r="C12165" s="1">
        <v>44289</v>
      </c>
      <c r="D12165" s="1">
        <v>44291</v>
      </c>
      <c r="E12165">
        <v>1</v>
      </c>
      <c r="F12165" t="s">
        <v>7910</v>
      </c>
      <c r="G12165" t="str">
        <f>"13-K02-00"</f>
        <v>13-K02-00</v>
      </c>
      <c r="H12165">
        <v>0.24079999999999999</v>
      </c>
      <c r="J12165" t="s">
        <v>14</v>
      </c>
      <c r="K12165" t="str">
        <f t="shared" si="491"/>
        <v>6F3</v>
      </c>
      <c r="L12165" t="s">
        <v>15</v>
      </c>
    </row>
    <row r="12166" spans="1:12" x14ac:dyDescent="0.25">
      <c r="A12166" t="str">
        <f>"8859145823"</f>
        <v>8859145823</v>
      </c>
      <c r="B12166" t="str">
        <f t="shared" si="488"/>
        <v>89301000</v>
      </c>
      <c r="C12166" s="1">
        <v>44306</v>
      </c>
      <c r="D12166" s="1">
        <v>44320</v>
      </c>
      <c r="E12166">
        <v>1</v>
      </c>
      <c r="F12166" t="s">
        <v>1420</v>
      </c>
      <c r="G12166" t="str">
        <f>"00-M01-04"</f>
        <v>00-M01-04</v>
      </c>
      <c r="H12166">
        <v>6.85</v>
      </c>
      <c r="I12166" t="s">
        <v>7911</v>
      </c>
      <c r="J12166" t="s">
        <v>14</v>
      </c>
      <c r="K12166" t="str">
        <f t="shared" si="491"/>
        <v>6F3</v>
      </c>
      <c r="L12166" t="s">
        <v>15</v>
      </c>
    </row>
    <row r="12167" spans="1:12" x14ac:dyDescent="0.25">
      <c r="A12167" t="str">
        <f>"8859156207"</f>
        <v>8859156207</v>
      </c>
      <c r="B12167" t="str">
        <f t="shared" si="488"/>
        <v>89301000</v>
      </c>
      <c r="C12167" s="1">
        <v>44448</v>
      </c>
      <c r="D12167" s="1">
        <v>44451</v>
      </c>
      <c r="E12167">
        <v>1</v>
      </c>
      <c r="F12167" t="s">
        <v>112</v>
      </c>
      <c r="G12167" t="str">
        <f>"14-M01-05"</f>
        <v>14-M01-05</v>
      </c>
      <c r="H12167">
        <v>0.54239999999999999</v>
      </c>
      <c r="I12167" t="s">
        <v>7912</v>
      </c>
      <c r="J12167" t="s">
        <v>59</v>
      </c>
      <c r="K12167" t="str">
        <f t="shared" si="491"/>
        <v>6F3</v>
      </c>
      <c r="L12167" t="s">
        <v>15</v>
      </c>
    </row>
    <row r="12168" spans="1:12" x14ac:dyDescent="0.25">
      <c r="A12168" t="str">
        <f>"8859185808"</f>
        <v>8859185808</v>
      </c>
      <c r="B12168" t="str">
        <f t="shared" si="488"/>
        <v>89301000</v>
      </c>
      <c r="C12168" s="1">
        <v>44259</v>
      </c>
      <c r="D12168" s="1">
        <v>44266</v>
      </c>
      <c r="E12168">
        <v>1</v>
      </c>
      <c r="F12168" t="s">
        <v>7455</v>
      </c>
      <c r="G12168" t="str">
        <f>"14-I01-01"</f>
        <v>14-I01-01</v>
      </c>
      <c r="H12168">
        <v>1.5294000000000001</v>
      </c>
      <c r="I12168" t="s">
        <v>7913</v>
      </c>
      <c r="J12168" t="s">
        <v>59</v>
      </c>
      <c r="K12168" t="str">
        <f t="shared" si="491"/>
        <v>6F3</v>
      </c>
      <c r="L12168" t="s">
        <v>15</v>
      </c>
    </row>
    <row r="12169" spans="1:12" x14ac:dyDescent="0.25">
      <c r="A12169" t="str">
        <f>"8859226024"</f>
        <v>8859226024</v>
      </c>
      <c r="B12169" t="str">
        <f t="shared" si="488"/>
        <v>89301000</v>
      </c>
      <c r="C12169" s="1">
        <v>44326</v>
      </c>
      <c r="D12169" s="1">
        <v>44364</v>
      </c>
      <c r="E12169">
        <v>1</v>
      </c>
      <c r="F12169" t="s">
        <v>152</v>
      </c>
      <c r="G12169" t="str">
        <f>"19-K07-02"</f>
        <v>19-K07-02</v>
      </c>
      <c r="H12169">
        <v>2.8759999999999999</v>
      </c>
      <c r="I12169" t="s">
        <v>7914</v>
      </c>
      <c r="J12169" t="s">
        <v>27</v>
      </c>
      <c r="K12169" t="str">
        <f>"3F5"</f>
        <v>3F5</v>
      </c>
      <c r="L12169" t="s">
        <v>15</v>
      </c>
    </row>
    <row r="12170" spans="1:12" x14ac:dyDescent="0.25">
      <c r="A12170" t="str">
        <f>"8859244911"</f>
        <v>8859244911</v>
      </c>
      <c r="B12170" t="str">
        <f t="shared" si="488"/>
        <v>89301000</v>
      </c>
      <c r="C12170" s="1">
        <v>44502</v>
      </c>
      <c r="D12170" s="1">
        <v>44505</v>
      </c>
      <c r="E12170">
        <v>1</v>
      </c>
      <c r="F12170" t="s">
        <v>75</v>
      </c>
      <c r="G12170" t="str">
        <f>"14-M01-02"</f>
        <v>14-M01-02</v>
      </c>
      <c r="H12170">
        <v>0.75539999999999996</v>
      </c>
      <c r="I12170" t="s">
        <v>7915</v>
      </c>
      <c r="J12170" t="s">
        <v>59</v>
      </c>
      <c r="K12170" t="str">
        <f>"6F3"</f>
        <v>6F3</v>
      </c>
      <c r="L12170" t="s">
        <v>15</v>
      </c>
    </row>
    <row r="12171" spans="1:12" x14ac:dyDescent="0.25">
      <c r="A12171" t="str">
        <f>"8859284225"</f>
        <v>8859284225</v>
      </c>
      <c r="B12171" t="str">
        <f t="shared" si="488"/>
        <v>89301000</v>
      </c>
      <c r="C12171" s="1">
        <v>44451</v>
      </c>
      <c r="D12171" s="1">
        <v>44454</v>
      </c>
      <c r="E12171">
        <v>1</v>
      </c>
      <c r="F12171" t="s">
        <v>75</v>
      </c>
      <c r="G12171" t="str">
        <f>"14-M01-05"</f>
        <v>14-M01-05</v>
      </c>
      <c r="H12171">
        <v>0.54239999999999999</v>
      </c>
      <c r="I12171" t="s">
        <v>118</v>
      </c>
      <c r="J12171" t="s">
        <v>59</v>
      </c>
      <c r="K12171" t="str">
        <f>"6F3"</f>
        <v>6F3</v>
      </c>
      <c r="L12171" t="s">
        <v>15</v>
      </c>
    </row>
    <row r="12172" spans="1:12" x14ac:dyDescent="0.25">
      <c r="A12172" t="str">
        <f>"8860135867"</f>
        <v>8860135867</v>
      </c>
      <c r="B12172" t="str">
        <f t="shared" si="488"/>
        <v>89301000</v>
      </c>
      <c r="C12172" s="1">
        <v>44285</v>
      </c>
      <c r="D12172" s="1">
        <v>44288</v>
      </c>
      <c r="E12172">
        <v>1</v>
      </c>
      <c r="F12172" t="s">
        <v>75</v>
      </c>
      <c r="G12172" t="str">
        <f>"14-M01-05"</f>
        <v>14-M01-05</v>
      </c>
      <c r="H12172">
        <v>0.54239999999999999</v>
      </c>
      <c r="I12172" t="s">
        <v>76</v>
      </c>
      <c r="J12172" t="s">
        <v>59</v>
      </c>
      <c r="K12172" t="str">
        <f>"6F3"</f>
        <v>6F3</v>
      </c>
      <c r="L12172" t="s">
        <v>15</v>
      </c>
    </row>
    <row r="12173" spans="1:12" x14ac:dyDescent="0.25">
      <c r="A12173" t="str">
        <f>"8860145789"</f>
        <v>8860145789</v>
      </c>
      <c r="B12173" t="str">
        <f t="shared" si="488"/>
        <v>89301000</v>
      </c>
      <c r="C12173" s="1">
        <v>44456</v>
      </c>
      <c r="D12173" s="1">
        <v>44459</v>
      </c>
      <c r="E12173">
        <v>1</v>
      </c>
      <c r="F12173" t="s">
        <v>82</v>
      </c>
      <c r="G12173" t="str">
        <f>"14-I01-05"</f>
        <v>14-I01-05</v>
      </c>
      <c r="H12173">
        <v>0.80030000000000001</v>
      </c>
      <c r="I12173" t="s">
        <v>7572</v>
      </c>
      <c r="J12173" t="s">
        <v>59</v>
      </c>
      <c r="K12173" t="str">
        <f>"6F3"</f>
        <v>6F3</v>
      </c>
      <c r="L12173" t="s">
        <v>15</v>
      </c>
    </row>
    <row r="12174" spans="1:12" x14ac:dyDescent="0.25">
      <c r="A12174" t="str">
        <f>"8860150783"</f>
        <v>8860150783</v>
      </c>
      <c r="B12174" t="str">
        <f t="shared" si="488"/>
        <v>89301000</v>
      </c>
      <c r="C12174" s="1">
        <v>44397</v>
      </c>
      <c r="D12174" s="1">
        <v>44398</v>
      </c>
      <c r="E12174">
        <v>1</v>
      </c>
      <c r="F12174" t="s">
        <v>49</v>
      </c>
      <c r="G12174" t="str">
        <f>"01-K18-04"</f>
        <v>01-K18-04</v>
      </c>
      <c r="H12174">
        <v>0.49890000000000001</v>
      </c>
      <c r="J12174" t="s">
        <v>14</v>
      </c>
      <c r="K12174" t="str">
        <f>"2F9"</f>
        <v>2F9</v>
      </c>
      <c r="L12174" t="s">
        <v>15</v>
      </c>
    </row>
    <row r="12175" spans="1:12" x14ac:dyDescent="0.25">
      <c r="A12175" t="str">
        <f>"8860156206"</f>
        <v>8860156206</v>
      </c>
      <c r="B12175" t="str">
        <f t="shared" si="488"/>
        <v>89301000</v>
      </c>
      <c r="C12175" s="1">
        <v>44314</v>
      </c>
      <c r="D12175" s="1">
        <v>44318</v>
      </c>
      <c r="E12175">
        <v>1</v>
      </c>
      <c r="F12175" t="s">
        <v>75</v>
      </c>
      <c r="G12175" t="str">
        <f>"14-M01-05"</f>
        <v>14-M01-05</v>
      </c>
      <c r="H12175">
        <v>0.54239999999999999</v>
      </c>
      <c r="I12175" t="s">
        <v>7706</v>
      </c>
      <c r="J12175" t="s">
        <v>59</v>
      </c>
      <c r="K12175" t="str">
        <f t="shared" ref="K12175:K12181" si="492">"6F3"</f>
        <v>6F3</v>
      </c>
      <c r="L12175" t="s">
        <v>15</v>
      </c>
    </row>
    <row r="12176" spans="1:12" x14ac:dyDescent="0.25">
      <c r="A12176" t="str">
        <f>"8860205772"</f>
        <v>8860205772</v>
      </c>
      <c r="B12176" t="str">
        <f t="shared" si="488"/>
        <v>89301000</v>
      </c>
      <c r="C12176" s="1">
        <v>44331</v>
      </c>
      <c r="D12176" s="1">
        <v>44335</v>
      </c>
      <c r="E12176">
        <v>1</v>
      </c>
      <c r="F12176" t="s">
        <v>82</v>
      </c>
      <c r="G12176" t="str">
        <f>"14-I01-05"</f>
        <v>14-I01-05</v>
      </c>
      <c r="H12176">
        <v>0.80030000000000001</v>
      </c>
      <c r="I12176" t="s">
        <v>7916</v>
      </c>
      <c r="J12176" t="s">
        <v>59</v>
      </c>
      <c r="K12176" t="str">
        <f t="shared" si="492"/>
        <v>6F3</v>
      </c>
      <c r="L12176" t="s">
        <v>15</v>
      </c>
    </row>
    <row r="12177" spans="1:12" x14ac:dyDescent="0.25">
      <c r="A12177" t="str">
        <f>"8860243832"</f>
        <v>8860243832</v>
      </c>
      <c r="B12177" t="str">
        <f t="shared" si="488"/>
        <v>89301000</v>
      </c>
      <c r="C12177" s="1">
        <v>44335</v>
      </c>
      <c r="D12177" s="1">
        <v>44337</v>
      </c>
      <c r="E12177">
        <v>1</v>
      </c>
      <c r="F12177" t="s">
        <v>75</v>
      </c>
      <c r="G12177" t="str">
        <f>"14-M01-05"</f>
        <v>14-M01-05</v>
      </c>
      <c r="H12177">
        <v>0.54239999999999999</v>
      </c>
      <c r="I12177" t="s">
        <v>7713</v>
      </c>
      <c r="J12177" t="s">
        <v>59</v>
      </c>
      <c r="K12177" t="str">
        <f t="shared" si="492"/>
        <v>6F3</v>
      </c>
      <c r="L12177" t="s">
        <v>15</v>
      </c>
    </row>
    <row r="12178" spans="1:12" x14ac:dyDescent="0.25">
      <c r="A12178" t="str">
        <f>"8861025778"</f>
        <v>8861025778</v>
      </c>
      <c r="B12178" t="str">
        <f t="shared" si="488"/>
        <v>89301000</v>
      </c>
      <c r="C12178" s="1">
        <v>44332</v>
      </c>
      <c r="D12178" s="1">
        <v>44339</v>
      </c>
      <c r="E12178">
        <v>1</v>
      </c>
      <c r="F12178" t="s">
        <v>60</v>
      </c>
      <c r="G12178" t="str">
        <f>"14-K03-01"</f>
        <v>14-K03-01</v>
      </c>
      <c r="H12178">
        <v>0.5706</v>
      </c>
      <c r="I12178" t="s">
        <v>7518</v>
      </c>
      <c r="J12178" t="s">
        <v>14</v>
      </c>
      <c r="K12178" t="str">
        <f t="shared" si="492"/>
        <v>6F3</v>
      </c>
      <c r="L12178" t="s">
        <v>15</v>
      </c>
    </row>
    <row r="12179" spans="1:12" x14ac:dyDescent="0.25">
      <c r="A12179" t="str">
        <f>"8861025778"</f>
        <v>8861025778</v>
      </c>
      <c r="B12179" t="str">
        <f t="shared" si="488"/>
        <v>89301000</v>
      </c>
      <c r="C12179" s="1">
        <v>44406</v>
      </c>
      <c r="D12179" s="1">
        <v>44411</v>
      </c>
      <c r="E12179">
        <v>1</v>
      </c>
      <c r="F12179" t="s">
        <v>61</v>
      </c>
      <c r="G12179" t="str">
        <f>"14-I01-01"</f>
        <v>14-I01-01</v>
      </c>
      <c r="H12179">
        <v>1.5294000000000001</v>
      </c>
      <c r="I12179" t="s">
        <v>7917</v>
      </c>
      <c r="J12179" t="s">
        <v>59</v>
      </c>
      <c r="K12179" t="str">
        <f t="shared" si="492"/>
        <v>6F3</v>
      </c>
      <c r="L12179" t="s">
        <v>15</v>
      </c>
    </row>
    <row r="12180" spans="1:12" x14ac:dyDescent="0.25">
      <c r="A12180" t="str">
        <f>"8861095793"</f>
        <v>8861095793</v>
      </c>
      <c r="B12180" t="str">
        <f t="shared" si="488"/>
        <v>89301000</v>
      </c>
      <c r="C12180" s="1">
        <v>44322</v>
      </c>
      <c r="D12180" s="1">
        <v>44325</v>
      </c>
      <c r="E12180">
        <v>1</v>
      </c>
      <c r="F12180" t="s">
        <v>112</v>
      </c>
      <c r="G12180" t="str">
        <f>"14-M01-05"</f>
        <v>14-M01-05</v>
      </c>
      <c r="H12180">
        <v>0.54239999999999999</v>
      </c>
      <c r="I12180" t="s">
        <v>7918</v>
      </c>
      <c r="J12180" t="s">
        <v>59</v>
      </c>
      <c r="K12180" t="str">
        <f t="shared" si="492"/>
        <v>6F3</v>
      </c>
      <c r="L12180" t="s">
        <v>15</v>
      </c>
    </row>
    <row r="12181" spans="1:12" x14ac:dyDescent="0.25">
      <c r="A12181" t="str">
        <f>"8861105781"</f>
        <v>8861105781</v>
      </c>
      <c r="B12181" t="str">
        <f t="shared" si="488"/>
        <v>89301000</v>
      </c>
      <c r="C12181" s="1">
        <v>44397</v>
      </c>
      <c r="D12181" s="1">
        <v>44401</v>
      </c>
      <c r="E12181">
        <v>1</v>
      </c>
      <c r="F12181" t="s">
        <v>61</v>
      </c>
      <c r="G12181" t="str">
        <f>"14-I01-05"</f>
        <v>14-I01-05</v>
      </c>
      <c r="H12181">
        <v>0.80030000000000001</v>
      </c>
      <c r="I12181" t="s">
        <v>7919</v>
      </c>
      <c r="J12181" t="s">
        <v>59</v>
      </c>
      <c r="K12181" t="str">
        <f t="shared" si="492"/>
        <v>6F3</v>
      </c>
      <c r="L12181" t="s">
        <v>15</v>
      </c>
    </row>
    <row r="12182" spans="1:12" x14ac:dyDescent="0.25">
      <c r="A12182" t="str">
        <f>"8861155490"</f>
        <v>8861155490</v>
      </c>
      <c r="B12182" t="str">
        <f t="shared" si="488"/>
        <v>89301000</v>
      </c>
      <c r="C12182" s="1">
        <v>44368</v>
      </c>
      <c r="D12182" s="1">
        <v>44372</v>
      </c>
      <c r="E12182">
        <v>1</v>
      </c>
      <c r="F12182" t="s">
        <v>2574</v>
      </c>
      <c r="G12182" t="str">
        <f>"01-I03-01"</f>
        <v>01-I03-01</v>
      </c>
      <c r="H12182">
        <v>8.6672999999999991</v>
      </c>
      <c r="I12182" t="s">
        <v>7920</v>
      </c>
      <c r="J12182" t="s">
        <v>24</v>
      </c>
      <c r="K12182" t="str">
        <f>"5F6"</f>
        <v>5F6</v>
      </c>
      <c r="L12182" t="s">
        <v>15</v>
      </c>
    </row>
    <row r="12183" spans="1:12" x14ac:dyDescent="0.25">
      <c r="A12183" t="str">
        <f>"8861155809"</f>
        <v>8861155809</v>
      </c>
      <c r="B12183" t="str">
        <f t="shared" si="488"/>
        <v>89301000</v>
      </c>
      <c r="C12183" s="1">
        <v>44227</v>
      </c>
      <c r="D12183" s="1">
        <v>44230</v>
      </c>
      <c r="E12183">
        <v>1</v>
      </c>
      <c r="F12183" t="s">
        <v>75</v>
      </c>
      <c r="G12183" t="str">
        <f>"14-M01-05"</f>
        <v>14-M01-05</v>
      </c>
      <c r="H12183">
        <v>0.54239999999999999</v>
      </c>
      <c r="I12183" t="s">
        <v>7590</v>
      </c>
      <c r="J12183" t="s">
        <v>59</v>
      </c>
      <c r="K12183" t="str">
        <f>"6F3"</f>
        <v>6F3</v>
      </c>
      <c r="L12183" t="s">
        <v>15</v>
      </c>
    </row>
    <row r="12184" spans="1:12" x14ac:dyDescent="0.25">
      <c r="A12184" t="str">
        <f>"8861165797"</f>
        <v>8861165797</v>
      </c>
      <c r="B12184" t="str">
        <f t="shared" si="488"/>
        <v>89301000</v>
      </c>
      <c r="C12184" s="1">
        <v>44368</v>
      </c>
      <c r="D12184" s="1">
        <v>44377</v>
      </c>
      <c r="E12184">
        <v>1</v>
      </c>
      <c r="F12184" t="s">
        <v>7048</v>
      </c>
      <c r="G12184" t="str">
        <f>"13-I14-03"</f>
        <v>13-I14-03</v>
      </c>
      <c r="H12184">
        <v>1.2215</v>
      </c>
      <c r="I12184" t="s">
        <v>7921</v>
      </c>
      <c r="J12184" t="s">
        <v>24</v>
      </c>
      <c r="K12184" t="str">
        <f>"6F3"</f>
        <v>6F3</v>
      </c>
      <c r="L12184" t="s">
        <v>15</v>
      </c>
    </row>
    <row r="12185" spans="1:12" x14ac:dyDescent="0.25">
      <c r="A12185" t="str">
        <f>"8861166006"</f>
        <v>8861166006</v>
      </c>
      <c r="B12185" t="str">
        <f t="shared" si="488"/>
        <v>89301000</v>
      </c>
      <c r="C12185" s="1">
        <v>44327</v>
      </c>
      <c r="D12185" s="1">
        <v>44364</v>
      </c>
      <c r="E12185">
        <v>1</v>
      </c>
      <c r="F12185" t="s">
        <v>152</v>
      </c>
      <c r="G12185" t="str">
        <f>"19-K07-02"</f>
        <v>19-K07-02</v>
      </c>
      <c r="H12185">
        <v>2.8759999999999999</v>
      </c>
      <c r="I12185" t="s">
        <v>7922</v>
      </c>
      <c r="J12185" t="s">
        <v>27</v>
      </c>
      <c r="K12185" t="str">
        <f>"3F5"</f>
        <v>3F5</v>
      </c>
      <c r="L12185" t="s">
        <v>15</v>
      </c>
    </row>
    <row r="12186" spans="1:12" x14ac:dyDescent="0.25">
      <c r="A12186" t="str">
        <f>"8862146260"</f>
        <v>8862146260</v>
      </c>
      <c r="B12186" t="str">
        <f t="shared" ref="B12186:B12249" si="493">"89301000"</f>
        <v>89301000</v>
      </c>
      <c r="C12186" s="1">
        <v>44483</v>
      </c>
      <c r="D12186" s="1">
        <v>44487</v>
      </c>
      <c r="E12186">
        <v>1</v>
      </c>
      <c r="F12186" t="s">
        <v>7455</v>
      </c>
      <c r="G12186" t="str">
        <f>"14-I01-02"</f>
        <v>14-I01-02</v>
      </c>
      <c r="H12186">
        <v>1.1289</v>
      </c>
      <c r="I12186" t="s">
        <v>7923</v>
      </c>
      <c r="J12186" t="s">
        <v>59</v>
      </c>
      <c r="K12186" t="str">
        <f>"6F3"</f>
        <v>6F3</v>
      </c>
      <c r="L12186" t="s">
        <v>15</v>
      </c>
    </row>
    <row r="12187" spans="1:12" x14ac:dyDescent="0.25">
      <c r="A12187" t="str">
        <f>"8862186300"</f>
        <v>8862186300</v>
      </c>
      <c r="B12187" t="str">
        <f t="shared" si="493"/>
        <v>89301000</v>
      </c>
      <c r="C12187" s="1">
        <v>44370</v>
      </c>
      <c r="D12187" s="1">
        <v>44374</v>
      </c>
      <c r="E12187">
        <v>1</v>
      </c>
      <c r="F12187" t="s">
        <v>114</v>
      </c>
      <c r="G12187" t="str">
        <f>"03-I17-00"</f>
        <v>03-I17-00</v>
      </c>
      <c r="H12187">
        <v>0.84960000000000002</v>
      </c>
      <c r="I12187" t="s">
        <v>7924</v>
      </c>
      <c r="J12187" t="s">
        <v>24</v>
      </c>
      <c r="K12187" t="str">
        <f>"7F1"</f>
        <v>7F1</v>
      </c>
      <c r="L12187" t="s">
        <v>15</v>
      </c>
    </row>
    <row r="12188" spans="1:12" x14ac:dyDescent="0.25">
      <c r="A12188" t="str">
        <f>"8862186300"</f>
        <v>8862186300</v>
      </c>
      <c r="B12188" t="str">
        <f t="shared" si="493"/>
        <v>89301000</v>
      </c>
      <c r="C12188" s="1">
        <v>44528</v>
      </c>
      <c r="D12188" s="1">
        <v>44530</v>
      </c>
      <c r="E12188">
        <v>1</v>
      </c>
      <c r="F12188" t="s">
        <v>311</v>
      </c>
      <c r="G12188" t="str">
        <f>"03-I14-02"</f>
        <v>03-I14-02</v>
      </c>
      <c r="H12188">
        <v>1.1086</v>
      </c>
      <c r="I12188" t="s">
        <v>7925</v>
      </c>
      <c r="J12188" t="s">
        <v>14</v>
      </c>
      <c r="K12188" t="str">
        <f>"7F1"</f>
        <v>7F1</v>
      </c>
      <c r="L12188" t="s">
        <v>15</v>
      </c>
    </row>
    <row r="12189" spans="1:12" x14ac:dyDescent="0.25">
      <c r="A12189" t="str">
        <f>"8862205836"</f>
        <v>8862205836</v>
      </c>
      <c r="B12189" t="str">
        <f t="shared" si="493"/>
        <v>89301000</v>
      </c>
      <c r="C12189" s="1">
        <v>44216</v>
      </c>
      <c r="D12189" s="1">
        <v>44220</v>
      </c>
      <c r="E12189">
        <v>1</v>
      </c>
      <c r="F12189" t="s">
        <v>75</v>
      </c>
      <c r="G12189" t="str">
        <f>"14-M01-05"</f>
        <v>14-M01-05</v>
      </c>
      <c r="H12189">
        <v>0.54239999999999999</v>
      </c>
      <c r="I12189" t="s">
        <v>117</v>
      </c>
      <c r="J12189" t="s">
        <v>59</v>
      </c>
      <c r="K12189" t="str">
        <f>"6F3"</f>
        <v>6F3</v>
      </c>
      <c r="L12189" t="s">
        <v>15</v>
      </c>
    </row>
    <row r="12190" spans="1:12" x14ac:dyDescent="0.25">
      <c r="A12190" t="str">
        <f>"8862235789"</f>
        <v>8862235789</v>
      </c>
      <c r="B12190" t="str">
        <f t="shared" si="493"/>
        <v>89301000</v>
      </c>
      <c r="C12190" s="1">
        <v>44201</v>
      </c>
      <c r="D12190" s="1">
        <v>44209</v>
      </c>
      <c r="E12190">
        <v>1</v>
      </c>
      <c r="F12190" t="s">
        <v>79</v>
      </c>
      <c r="G12190" t="str">
        <f>"10-R02-01"</f>
        <v>10-R02-01</v>
      </c>
      <c r="H12190">
        <v>0.9698</v>
      </c>
      <c r="I12190" t="s">
        <v>80</v>
      </c>
      <c r="J12190" t="s">
        <v>24</v>
      </c>
      <c r="K12190" t="str">
        <f>"4F7"</f>
        <v>4F7</v>
      </c>
      <c r="L12190" t="s">
        <v>15</v>
      </c>
    </row>
    <row r="12191" spans="1:12" x14ac:dyDescent="0.25">
      <c r="A12191" t="str">
        <f>"8862235789"</f>
        <v>8862235789</v>
      </c>
      <c r="B12191" t="str">
        <f t="shared" si="493"/>
        <v>89301000</v>
      </c>
      <c r="C12191" s="1">
        <v>44454</v>
      </c>
      <c r="D12191" s="1">
        <v>44459</v>
      </c>
      <c r="E12191">
        <v>1</v>
      </c>
      <c r="F12191" t="s">
        <v>2637</v>
      </c>
      <c r="G12191" t="str">
        <f>"23-K05-01"</f>
        <v>23-K05-01</v>
      </c>
      <c r="H12191">
        <v>0.57099999999999995</v>
      </c>
      <c r="I12191" t="s">
        <v>2638</v>
      </c>
      <c r="J12191" t="s">
        <v>14</v>
      </c>
      <c r="K12191" t="str">
        <f>"4F7"</f>
        <v>4F7</v>
      </c>
      <c r="L12191" t="s">
        <v>15</v>
      </c>
    </row>
    <row r="12192" spans="1:12" x14ac:dyDescent="0.25">
      <c r="A12192" t="str">
        <f>"8862315154"</f>
        <v>8862315154</v>
      </c>
      <c r="B12192" t="str">
        <f t="shared" si="493"/>
        <v>89301000</v>
      </c>
      <c r="C12192" s="1">
        <v>44333</v>
      </c>
      <c r="D12192" s="1">
        <v>44336</v>
      </c>
      <c r="E12192">
        <v>1</v>
      </c>
      <c r="F12192" t="s">
        <v>75</v>
      </c>
      <c r="G12192" t="str">
        <f>"14-M01-05"</f>
        <v>14-M01-05</v>
      </c>
      <c r="H12192">
        <v>0.54239999999999999</v>
      </c>
      <c r="I12192" t="s">
        <v>7926</v>
      </c>
      <c r="J12192" t="s">
        <v>59</v>
      </c>
      <c r="K12192" t="str">
        <f>"6F3"</f>
        <v>6F3</v>
      </c>
      <c r="L12192" t="s">
        <v>15</v>
      </c>
    </row>
    <row r="12193" spans="1:12" x14ac:dyDescent="0.25">
      <c r="A12193" t="str">
        <f>"8901096149"</f>
        <v>8901096149</v>
      </c>
      <c r="B12193" t="str">
        <f t="shared" si="493"/>
        <v>89301000</v>
      </c>
      <c r="C12193" s="1">
        <v>44399</v>
      </c>
      <c r="D12193" s="1">
        <v>44400</v>
      </c>
      <c r="E12193">
        <v>1</v>
      </c>
      <c r="F12193" t="s">
        <v>7927</v>
      </c>
      <c r="G12193" t="str">
        <f>"08-I19-03"</f>
        <v>08-I19-03</v>
      </c>
      <c r="H12193">
        <v>0.61250000000000004</v>
      </c>
      <c r="I12193" t="s">
        <v>163</v>
      </c>
      <c r="J12193" t="s">
        <v>17</v>
      </c>
      <c r="K12193" t="str">
        <f>"6F1"</f>
        <v>6F1</v>
      </c>
      <c r="L12193" t="s">
        <v>15</v>
      </c>
    </row>
    <row r="12194" spans="1:12" x14ac:dyDescent="0.25">
      <c r="A12194" t="str">
        <f>"8901206149"</f>
        <v>8901206149</v>
      </c>
      <c r="B12194" t="str">
        <f t="shared" si="493"/>
        <v>89301000</v>
      </c>
      <c r="C12194" s="1">
        <v>44208</v>
      </c>
      <c r="D12194" s="1">
        <v>44214</v>
      </c>
      <c r="E12194">
        <v>1</v>
      </c>
      <c r="F12194" t="s">
        <v>6373</v>
      </c>
      <c r="G12194" t="str">
        <f>"08-I22-01"</f>
        <v>08-I22-01</v>
      </c>
      <c r="H12194">
        <v>2.1343000000000001</v>
      </c>
      <c r="I12194" t="s">
        <v>7928</v>
      </c>
      <c r="J12194" t="s">
        <v>17</v>
      </c>
      <c r="K12194" t="str">
        <f>"5F3"</f>
        <v>5F3</v>
      </c>
      <c r="L12194" t="s">
        <v>15</v>
      </c>
    </row>
    <row r="12195" spans="1:12" x14ac:dyDescent="0.25">
      <c r="A12195" t="str">
        <f>"8901206149"</f>
        <v>8901206149</v>
      </c>
      <c r="B12195" t="str">
        <f t="shared" si="493"/>
        <v>89301000</v>
      </c>
      <c r="C12195" s="1">
        <v>44431</v>
      </c>
      <c r="D12195" s="1">
        <v>44433</v>
      </c>
      <c r="E12195">
        <v>1</v>
      </c>
      <c r="F12195" t="s">
        <v>4820</v>
      </c>
      <c r="G12195" t="str">
        <f>"08-I32-02"</f>
        <v>08-I32-02</v>
      </c>
      <c r="H12195">
        <v>0.4143</v>
      </c>
      <c r="J12195" t="s">
        <v>14</v>
      </c>
      <c r="K12195" t="str">
        <f>"5F3"</f>
        <v>5F3</v>
      </c>
      <c r="L12195" t="s">
        <v>15</v>
      </c>
    </row>
    <row r="12196" spans="1:12" x14ac:dyDescent="0.25">
      <c r="A12196" t="str">
        <f>"8901206149"</f>
        <v>8901206149</v>
      </c>
      <c r="B12196" t="str">
        <f t="shared" si="493"/>
        <v>89301000</v>
      </c>
      <c r="C12196" s="1">
        <v>44452</v>
      </c>
      <c r="D12196" s="1">
        <v>44454</v>
      </c>
      <c r="E12196">
        <v>1</v>
      </c>
      <c r="F12196" t="s">
        <v>6972</v>
      </c>
      <c r="G12196" t="str">
        <f>"08-I23-01"</f>
        <v>08-I23-01</v>
      </c>
      <c r="H12196">
        <v>1.7242999999999999</v>
      </c>
      <c r="I12196" t="s">
        <v>6374</v>
      </c>
      <c r="J12196" t="s">
        <v>17</v>
      </c>
      <c r="K12196" t="str">
        <f>"5F3"</f>
        <v>5F3</v>
      </c>
      <c r="L12196" t="s">
        <v>15</v>
      </c>
    </row>
    <row r="12197" spans="1:12" x14ac:dyDescent="0.25">
      <c r="A12197" t="str">
        <f>"8902026177"</f>
        <v>8902026177</v>
      </c>
      <c r="B12197" t="str">
        <f t="shared" si="493"/>
        <v>89301000</v>
      </c>
      <c r="C12197" s="1">
        <v>44495</v>
      </c>
      <c r="D12197" s="1">
        <v>44497</v>
      </c>
      <c r="E12197">
        <v>1</v>
      </c>
      <c r="F12197" t="s">
        <v>2111</v>
      </c>
      <c r="G12197" t="str">
        <f>"10-K15-02"</f>
        <v>10-K15-02</v>
      </c>
      <c r="H12197">
        <v>0.77639999999999998</v>
      </c>
      <c r="I12197" t="s">
        <v>7929</v>
      </c>
      <c r="J12197" t="s">
        <v>14</v>
      </c>
      <c r="K12197" t="str">
        <f>"2F5"</f>
        <v>2F5</v>
      </c>
      <c r="L12197" t="s">
        <v>15</v>
      </c>
    </row>
    <row r="12198" spans="1:12" x14ac:dyDescent="0.25">
      <c r="A12198" t="str">
        <f>"8902096148"</f>
        <v>8902096148</v>
      </c>
      <c r="B12198" t="str">
        <f t="shared" si="493"/>
        <v>89301000</v>
      </c>
      <c r="C12198" s="1">
        <v>44503</v>
      </c>
      <c r="D12198" s="1">
        <v>44509</v>
      </c>
      <c r="E12198">
        <v>1</v>
      </c>
      <c r="F12198" t="s">
        <v>566</v>
      </c>
      <c r="G12198" t="str">
        <f>"06-I13-02"</f>
        <v>06-I13-02</v>
      </c>
      <c r="H12198">
        <v>2.0766</v>
      </c>
      <c r="I12198" t="s">
        <v>7930</v>
      </c>
      <c r="J12198" t="s">
        <v>14</v>
      </c>
      <c r="K12198" t="str">
        <f>"5F1"</f>
        <v>5F1</v>
      </c>
      <c r="L12198" t="s">
        <v>15</v>
      </c>
    </row>
    <row r="12199" spans="1:12" x14ac:dyDescent="0.25">
      <c r="A12199" t="str">
        <f>"8902096148"</f>
        <v>8902096148</v>
      </c>
      <c r="B12199" t="str">
        <f t="shared" si="493"/>
        <v>89301000</v>
      </c>
      <c r="C12199" s="1">
        <v>44531</v>
      </c>
      <c r="D12199" s="1">
        <v>44539</v>
      </c>
      <c r="E12199">
        <v>1</v>
      </c>
      <c r="F12199" t="s">
        <v>500</v>
      </c>
      <c r="G12199" t="str">
        <f>"06-K06-01"</f>
        <v>06-K06-01</v>
      </c>
      <c r="H12199">
        <v>1.3448</v>
      </c>
      <c r="I12199" t="s">
        <v>7931</v>
      </c>
      <c r="J12199" t="s">
        <v>14</v>
      </c>
      <c r="K12199" t="str">
        <f>"1F5"</f>
        <v>1F5</v>
      </c>
      <c r="L12199" t="s">
        <v>15</v>
      </c>
    </row>
    <row r="12200" spans="1:12" x14ac:dyDescent="0.25">
      <c r="A12200" t="str">
        <f>"8903216168"</f>
        <v>8903216168</v>
      </c>
      <c r="B12200" t="str">
        <f t="shared" si="493"/>
        <v>89301000</v>
      </c>
      <c r="C12200" s="1">
        <v>44262</v>
      </c>
      <c r="D12200" s="1">
        <v>44264</v>
      </c>
      <c r="E12200">
        <v>1</v>
      </c>
      <c r="F12200" t="s">
        <v>496</v>
      </c>
      <c r="G12200" t="str">
        <f>"08-M03-05"</f>
        <v>08-M03-05</v>
      </c>
      <c r="H12200">
        <v>0.51759999999999995</v>
      </c>
      <c r="I12200" t="s">
        <v>167</v>
      </c>
      <c r="J12200" t="s">
        <v>14</v>
      </c>
      <c r="K12200" t="str">
        <f>"6F6"</f>
        <v>6F6</v>
      </c>
      <c r="L12200" t="s">
        <v>15</v>
      </c>
    </row>
    <row r="12201" spans="1:12" x14ac:dyDescent="0.25">
      <c r="A12201" t="str">
        <f>"8903245725"</f>
        <v>8903245725</v>
      </c>
      <c r="B12201" t="str">
        <f t="shared" si="493"/>
        <v>89301000</v>
      </c>
      <c r="C12201" s="1">
        <v>44301</v>
      </c>
      <c r="D12201" s="1">
        <v>44302</v>
      </c>
      <c r="E12201">
        <v>1</v>
      </c>
      <c r="F12201" t="s">
        <v>41</v>
      </c>
      <c r="G12201" t="str">
        <f>"01-D01-03"</f>
        <v>01-D01-03</v>
      </c>
      <c r="H12201">
        <v>0.158</v>
      </c>
      <c r="I12201" t="s">
        <v>988</v>
      </c>
      <c r="J12201" t="s">
        <v>14</v>
      </c>
      <c r="K12201" t="str">
        <f>"2F5"</f>
        <v>2F5</v>
      </c>
      <c r="L12201" t="s">
        <v>15</v>
      </c>
    </row>
    <row r="12202" spans="1:12" x14ac:dyDescent="0.25">
      <c r="A12202" t="str">
        <f>"8904085850"</f>
        <v>8904085850</v>
      </c>
      <c r="B12202" t="str">
        <f t="shared" si="493"/>
        <v>89301000</v>
      </c>
      <c r="C12202" s="1">
        <v>44327</v>
      </c>
      <c r="D12202" s="1">
        <v>44329</v>
      </c>
      <c r="E12202">
        <v>1</v>
      </c>
      <c r="F12202" t="s">
        <v>387</v>
      </c>
      <c r="G12202" t="str">
        <f>"08-M03-05"</f>
        <v>08-M03-05</v>
      </c>
      <c r="H12202">
        <v>0.51759999999999995</v>
      </c>
      <c r="I12202" t="s">
        <v>7932</v>
      </c>
      <c r="J12202" t="s">
        <v>14</v>
      </c>
      <c r="K12202" t="str">
        <f>"5F3"</f>
        <v>5F3</v>
      </c>
      <c r="L12202" t="s">
        <v>15</v>
      </c>
    </row>
    <row r="12203" spans="1:12" x14ac:dyDescent="0.25">
      <c r="A12203" t="str">
        <f>"8904105705"</f>
        <v>8904105705</v>
      </c>
      <c r="B12203" t="str">
        <f t="shared" si="493"/>
        <v>89301000</v>
      </c>
      <c r="C12203" s="1">
        <v>44235</v>
      </c>
      <c r="D12203" s="1">
        <v>44237</v>
      </c>
      <c r="E12203">
        <v>1</v>
      </c>
      <c r="F12203" t="s">
        <v>4908</v>
      </c>
      <c r="G12203" t="str">
        <f>"12-I05-00"</f>
        <v>12-I05-00</v>
      </c>
      <c r="H12203">
        <v>1.7736000000000001</v>
      </c>
      <c r="J12203" t="s">
        <v>17</v>
      </c>
      <c r="K12203" t="str">
        <f>"7F6"</f>
        <v>7F6</v>
      </c>
      <c r="L12203" t="s">
        <v>15</v>
      </c>
    </row>
    <row r="12204" spans="1:12" x14ac:dyDescent="0.25">
      <c r="A12204" t="str">
        <f>"8904136208"</f>
        <v>8904136208</v>
      </c>
      <c r="B12204" t="str">
        <f t="shared" si="493"/>
        <v>89301000</v>
      </c>
      <c r="C12204" s="1">
        <v>44348</v>
      </c>
      <c r="D12204" s="1">
        <v>44357</v>
      </c>
      <c r="E12204">
        <v>1</v>
      </c>
      <c r="F12204" t="s">
        <v>78</v>
      </c>
      <c r="G12204" t="str">
        <f>"19-K03-03"</f>
        <v>19-K03-03</v>
      </c>
      <c r="H12204">
        <v>0.93169999999999997</v>
      </c>
      <c r="I12204" t="s">
        <v>7933</v>
      </c>
      <c r="J12204" t="s">
        <v>27</v>
      </c>
      <c r="K12204" t="str">
        <f>"3F5"</f>
        <v>3F5</v>
      </c>
      <c r="L12204" t="s">
        <v>15</v>
      </c>
    </row>
    <row r="12205" spans="1:12" x14ac:dyDescent="0.25">
      <c r="A12205" t="str">
        <f>"8904136208"</f>
        <v>8904136208</v>
      </c>
      <c r="B12205" t="str">
        <f t="shared" si="493"/>
        <v>89301000</v>
      </c>
      <c r="C12205" s="1">
        <v>44393</v>
      </c>
      <c r="D12205" s="1">
        <v>44398</v>
      </c>
      <c r="E12205">
        <v>1</v>
      </c>
      <c r="F12205" t="s">
        <v>78</v>
      </c>
      <c r="G12205" t="str">
        <f>"19-K03-03"</f>
        <v>19-K03-03</v>
      </c>
      <c r="H12205">
        <v>0.93169999999999997</v>
      </c>
      <c r="I12205" t="s">
        <v>7934</v>
      </c>
      <c r="J12205" t="s">
        <v>27</v>
      </c>
      <c r="K12205" t="str">
        <f>"3F5"</f>
        <v>3F5</v>
      </c>
      <c r="L12205" t="s">
        <v>15</v>
      </c>
    </row>
    <row r="12206" spans="1:12" x14ac:dyDescent="0.25">
      <c r="A12206" t="str">
        <f>"8904136208"</f>
        <v>8904136208</v>
      </c>
      <c r="B12206" t="str">
        <f t="shared" si="493"/>
        <v>89301000</v>
      </c>
      <c r="C12206" s="1">
        <v>44405</v>
      </c>
      <c r="D12206" s="1">
        <v>44413</v>
      </c>
      <c r="E12206">
        <v>4</v>
      </c>
      <c r="F12206" t="s">
        <v>7935</v>
      </c>
      <c r="G12206" t="str">
        <f>"19-K03-03"</f>
        <v>19-K03-03</v>
      </c>
      <c r="H12206">
        <v>0.93169999999999997</v>
      </c>
      <c r="I12206" t="s">
        <v>2178</v>
      </c>
      <c r="J12206" t="s">
        <v>27</v>
      </c>
      <c r="K12206" t="str">
        <f>"3F5"</f>
        <v>3F5</v>
      </c>
      <c r="L12206" t="s">
        <v>15</v>
      </c>
    </row>
    <row r="12207" spans="1:12" x14ac:dyDescent="0.25">
      <c r="A12207" t="str">
        <f>"8904165721"</f>
        <v>8904165721</v>
      </c>
      <c r="B12207" t="str">
        <f t="shared" si="493"/>
        <v>89301000</v>
      </c>
      <c r="C12207" s="1">
        <v>44427</v>
      </c>
      <c r="D12207" s="1">
        <v>44428</v>
      </c>
      <c r="E12207">
        <v>1</v>
      </c>
      <c r="F12207" t="s">
        <v>6634</v>
      </c>
      <c r="G12207" t="str">
        <f>"08-I16-04"</f>
        <v>08-I16-04</v>
      </c>
      <c r="H12207">
        <v>0.92159999999999997</v>
      </c>
      <c r="I12207" t="s">
        <v>410</v>
      </c>
      <c r="J12207" t="s">
        <v>17</v>
      </c>
      <c r="K12207" t="str">
        <f>"5F3"</f>
        <v>5F3</v>
      </c>
      <c r="L12207" t="s">
        <v>15</v>
      </c>
    </row>
    <row r="12208" spans="1:12" x14ac:dyDescent="0.25">
      <c r="A12208" t="str">
        <f>"8904205728"</f>
        <v>8904205728</v>
      </c>
      <c r="B12208" t="str">
        <f t="shared" si="493"/>
        <v>89301000</v>
      </c>
      <c r="C12208" s="1">
        <v>44483</v>
      </c>
      <c r="D12208" s="1">
        <v>44489</v>
      </c>
      <c r="E12208">
        <v>1</v>
      </c>
      <c r="F12208" t="s">
        <v>2698</v>
      </c>
      <c r="G12208" t="str">
        <f>"01-I06-05"</f>
        <v>01-I06-05</v>
      </c>
      <c r="H12208">
        <v>2.6736</v>
      </c>
      <c r="J12208" t="s">
        <v>17</v>
      </c>
      <c r="K12208" t="str">
        <f>"5F6"</f>
        <v>5F6</v>
      </c>
      <c r="L12208" t="s">
        <v>15</v>
      </c>
    </row>
    <row r="12209" spans="1:12" x14ac:dyDescent="0.25">
      <c r="A12209" t="str">
        <f>"8904205728"</f>
        <v>8904205728</v>
      </c>
      <c r="B12209" t="str">
        <f t="shared" si="493"/>
        <v>89301000</v>
      </c>
      <c r="C12209" s="1">
        <v>44351</v>
      </c>
      <c r="D12209" s="1">
        <v>44355</v>
      </c>
      <c r="E12209">
        <v>1</v>
      </c>
      <c r="F12209" t="s">
        <v>194</v>
      </c>
      <c r="G12209" t="str">
        <f>"01-K07-02"</f>
        <v>01-K07-02</v>
      </c>
      <c r="H12209">
        <v>0.59279999999999999</v>
      </c>
      <c r="I12209" t="s">
        <v>2698</v>
      </c>
      <c r="J12209" t="s">
        <v>14</v>
      </c>
      <c r="K12209" t="str">
        <f>"2F9"</f>
        <v>2F9</v>
      </c>
      <c r="L12209" t="s">
        <v>15</v>
      </c>
    </row>
    <row r="12210" spans="1:12" x14ac:dyDescent="0.25">
      <c r="A12210" t="str">
        <f>"8904205728"</f>
        <v>8904205728</v>
      </c>
      <c r="B12210" t="str">
        <f t="shared" si="493"/>
        <v>89301000</v>
      </c>
      <c r="C12210" s="1">
        <v>44378</v>
      </c>
      <c r="D12210" s="1">
        <v>44380</v>
      </c>
      <c r="E12210">
        <v>1</v>
      </c>
      <c r="F12210" t="s">
        <v>2698</v>
      </c>
      <c r="G12210" t="str">
        <f>"01-K15-00"</f>
        <v>01-K15-00</v>
      </c>
      <c r="H12210">
        <v>0.66039999999999999</v>
      </c>
      <c r="J12210" t="s">
        <v>14</v>
      </c>
      <c r="K12210" t="str">
        <f>"5F6"</f>
        <v>5F6</v>
      </c>
      <c r="L12210" t="s">
        <v>15</v>
      </c>
    </row>
    <row r="12211" spans="1:12" x14ac:dyDescent="0.25">
      <c r="A12211" t="str">
        <f>"8904205728"</f>
        <v>8904205728</v>
      </c>
      <c r="B12211" t="str">
        <f t="shared" si="493"/>
        <v>89301000</v>
      </c>
      <c r="C12211" s="1">
        <v>44438</v>
      </c>
      <c r="D12211" s="1">
        <v>44441</v>
      </c>
      <c r="E12211">
        <v>1</v>
      </c>
      <c r="F12211" t="s">
        <v>2698</v>
      </c>
      <c r="G12211" t="str">
        <f>"01-M01-03"</f>
        <v>01-M01-03</v>
      </c>
      <c r="H12211">
        <v>3.9502000000000002</v>
      </c>
      <c r="J12211" t="s">
        <v>17</v>
      </c>
      <c r="K12211" t="str">
        <f>"5F6"</f>
        <v>5F6</v>
      </c>
      <c r="L12211" t="s">
        <v>15</v>
      </c>
    </row>
    <row r="12212" spans="1:12" x14ac:dyDescent="0.25">
      <c r="A12212" t="str">
        <f>"8904285709"</f>
        <v>8904285709</v>
      </c>
      <c r="B12212" t="str">
        <f t="shared" si="493"/>
        <v>89301000</v>
      </c>
      <c r="C12212" s="1">
        <v>44470</v>
      </c>
      <c r="D12212" s="1">
        <v>44472</v>
      </c>
      <c r="E12212">
        <v>1</v>
      </c>
      <c r="F12212" t="s">
        <v>472</v>
      </c>
      <c r="G12212" t="str">
        <f>"12-I08-03"</f>
        <v>12-I08-03</v>
      </c>
      <c r="H12212">
        <v>0.7036</v>
      </c>
      <c r="J12212" t="s">
        <v>14</v>
      </c>
      <c r="K12212" t="str">
        <f>"7F6"</f>
        <v>7F6</v>
      </c>
      <c r="L12212" t="s">
        <v>15</v>
      </c>
    </row>
    <row r="12213" spans="1:12" x14ac:dyDescent="0.25">
      <c r="A12213" t="str">
        <f>"8904285709"</f>
        <v>8904285709</v>
      </c>
      <c r="B12213" t="str">
        <f t="shared" si="493"/>
        <v>89301000</v>
      </c>
      <c r="C12213" s="1">
        <v>44502</v>
      </c>
      <c r="D12213" s="1">
        <v>44508</v>
      </c>
      <c r="E12213">
        <v>1</v>
      </c>
      <c r="F12213" t="s">
        <v>1870</v>
      </c>
      <c r="G12213" t="str">
        <f>"06-K07-01"</f>
        <v>06-K07-01</v>
      </c>
      <c r="H12213">
        <v>0.88500000000000001</v>
      </c>
      <c r="J12213" t="s">
        <v>14</v>
      </c>
      <c r="K12213" t="str">
        <f>"5F1"</f>
        <v>5F1</v>
      </c>
      <c r="L12213" t="s">
        <v>15</v>
      </c>
    </row>
    <row r="12214" spans="1:12" x14ac:dyDescent="0.25">
      <c r="A12214" t="str">
        <f>"8905245745"</f>
        <v>8905245745</v>
      </c>
      <c r="B12214" t="str">
        <f t="shared" si="493"/>
        <v>89301000</v>
      </c>
      <c r="C12214" s="1">
        <v>44298</v>
      </c>
      <c r="D12214" s="1">
        <v>44300</v>
      </c>
      <c r="E12214">
        <v>1</v>
      </c>
      <c r="F12214" t="s">
        <v>603</v>
      </c>
      <c r="G12214" t="str">
        <f>"04-K15-03"</f>
        <v>04-K15-03</v>
      </c>
      <c r="H12214">
        <v>0.49009999999999998</v>
      </c>
      <c r="I12214" t="s">
        <v>7936</v>
      </c>
      <c r="J12214" t="s">
        <v>14</v>
      </c>
      <c r="K12214" t="str">
        <f>"2F5"</f>
        <v>2F5</v>
      </c>
      <c r="L12214" t="s">
        <v>15</v>
      </c>
    </row>
    <row r="12215" spans="1:12" x14ac:dyDescent="0.25">
      <c r="A12215" t="str">
        <f>"8905255711"</f>
        <v>8905255711</v>
      </c>
      <c r="B12215" t="str">
        <f t="shared" si="493"/>
        <v>89301000</v>
      </c>
      <c r="C12215" s="1">
        <v>44537</v>
      </c>
      <c r="D12215" s="1">
        <v>44540</v>
      </c>
      <c r="E12215">
        <v>1</v>
      </c>
      <c r="F12215" t="s">
        <v>1764</v>
      </c>
      <c r="G12215" t="str">
        <f>"01-K08-02"</f>
        <v>01-K08-02</v>
      </c>
      <c r="H12215">
        <v>0.60519999999999996</v>
      </c>
      <c r="J12215" t="s">
        <v>14</v>
      </c>
      <c r="K12215" t="str">
        <f>"2F9"</f>
        <v>2F9</v>
      </c>
      <c r="L12215" t="s">
        <v>15</v>
      </c>
    </row>
    <row r="12216" spans="1:12" x14ac:dyDescent="0.25">
      <c r="A12216" t="str">
        <f>"8906045093"</f>
        <v>8906045093</v>
      </c>
      <c r="B12216" t="str">
        <f t="shared" si="493"/>
        <v>89301000</v>
      </c>
      <c r="C12216" s="1">
        <v>44293</v>
      </c>
      <c r="D12216" s="1">
        <v>44299</v>
      </c>
      <c r="E12216">
        <v>1</v>
      </c>
      <c r="F12216" t="s">
        <v>7937</v>
      </c>
      <c r="G12216" t="str">
        <f>"25-K01-02"</f>
        <v>25-K01-02</v>
      </c>
      <c r="H12216">
        <v>2.6412</v>
      </c>
      <c r="I12216" t="s">
        <v>7938</v>
      </c>
      <c r="J12216" t="s">
        <v>17</v>
      </c>
      <c r="K12216" t="str">
        <f>"5F3"</f>
        <v>5F3</v>
      </c>
      <c r="L12216" t="s">
        <v>15</v>
      </c>
    </row>
    <row r="12217" spans="1:12" x14ac:dyDescent="0.25">
      <c r="A12217" t="str">
        <f>"8906275752"</f>
        <v>8906275752</v>
      </c>
      <c r="B12217" t="str">
        <f t="shared" si="493"/>
        <v>89301000</v>
      </c>
      <c r="C12217" s="1">
        <v>44404</v>
      </c>
      <c r="D12217" s="1">
        <v>44406</v>
      </c>
      <c r="E12217">
        <v>1</v>
      </c>
      <c r="F12217" t="s">
        <v>20</v>
      </c>
      <c r="G12217" t="str">
        <f>"08-I18-02"</f>
        <v>08-I18-02</v>
      </c>
      <c r="H12217">
        <v>0.65769999999999995</v>
      </c>
      <c r="I12217" t="s">
        <v>233</v>
      </c>
      <c r="J12217" t="s">
        <v>17</v>
      </c>
      <c r="K12217" t="str">
        <f>"5F3"</f>
        <v>5F3</v>
      </c>
      <c r="L12217" t="s">
        <v>15</v>
      </c>
    </row>
    <row r="12218" spans="1:12" x14ac:dyDescent="0.25">
      <c r="A12218" t="str">
        <f>"8907134786"</f>
        <v>8907134786</v>
      </c>
      <c r="B12218" t="str">
        <f t="shared" si="493"/>
        <v>89301000</v>
      </c>
      <c r="C12218" s="1">
        <v>44490</v>
      </c>
      <c r="D12218" s="1">
        <v>44494</v>
      </c>
      <c r="E12218">
        <v>1</v>
      </c>
      <c r="F12218" t="s">
        <v>43</v>
      </c>
      <c r="G12218" t="str">
        <f>"06-I18-05"</f>
        <v>06-I18-05</v>
      </c>
      <c r="H12218">
        <v>0.85550000000000004</v>
      </c>
      <c r="J12218" t="s">
        <v>24</v>
      </c>
      <c r="K12218" t="str">
        <f>"5F1"</f>
        <v>5F1</v>
      </c>
      <c r="L12218" t="s">
        <v>15</v>
      </c>
    </row>
    <row r="12219" spans="1:12" x14ac:dyDescent="0.25">
      <c r="A12219" t="str">
        <f>"8908045740"</f>
        <v>8908045740</v>
      </c>
      <c r="B12219" t="str">
        <f t="shared" si="493"/>
        <v>89301000</v>
      </c>
      <c r="C12219" s="1">
        <v>44517</v>
      </c>
      <c r="D12219" s="1">
        <v>44518</v>
      </c>
      <c r="E12219">
        <v>1</v>
      </c>
      <c r="F12219" t="s">
        <v>7245</v>
      </c>
      <c r="G12219" t="str">
        <f>"08-K13-02"</f>
        <v>08-K13-02</v>
      </c>
      <c r="H12219">
        <v>0.47210000000000002</v>
      </c>
      <c r="I12219" t="s">
        <v>572</v>
      </c>
      <c r="J12219" t="s">
        <v>14</v>
      </c>
      <c r="K12219" t="str">
        <f>"5F3"</f>
        <v>5F3</v>
      </c>
      <c r="L12219" t="s">
        <v>15</v>
      </c>
    </row>
    <row r="12220" spans="1:12" x14ac:dyDescent="0.25">
      <c r="A12220" t="str">
        <f>"8909055705"</f>
        <v>8909055705</v>
      </c>
      <c r="B12220" t="str">
        <f t="shared" si="493"/>
        <v>89301000</v>
      </c>
      <c r="C12220" s="1">
        <v>44368</v>
      </c>
      <c r="D12220" s="1">
        <v>44369</v>
      </c>
      <c r="E12220">
        <v>1</v>
      </c>
      <c r="F12220" t="s">
        <v>174</v>
      </c>
      <c r="G12220" t="str">
        <f>"12-I14-00"</f>
        <v>12-I14-00</v>
      </c>
      <c r="H12220">
        <v>0.44350000000000001</v>
      </c>
      <c r="J12220" t="s">
        <v>14</v>
      </c>
      <c r="K12220" t="str">
        <f>"7F6"</f>
        <v>7F6</v>
      </c>
      <c r="L12220" t="s">
        <v>15</v>
      </c>
    </row>
    <row r="12221" spans="1:12" x14ac:dyDescent="0.25">
      <c r="A12221" t="str">
        <f>"8909055716"</f>
        <v>8909055716</v>
      </c>
      <c r="B12221" t="str">
        <f t="shared" si="493"/>
        <v>89301000</v>
      </c>
      <c r="C12221" s="1">
        <v>44200</v>
      </c>
      <c r="D12221" s="1">
        <v>44204</v>
      </c>
      <c r="E12221">
        <v>1</v>
      </c>
      <c r="F12221" t="s">
        <v>575</v>
      </c>
      <c r="G12221" t="str">
        <f>"18-K02-03"</f>
        <v>18-K02-03</v>
      </c>
      <c r="H12221">
        <v>0.87570000000000003</v>
      </c>
      <c r="I12221" t="s">
        <v>196</v>
      </c>
      <c r="J12221" t="s">
        <v>14</v>
      </c>
      <c r="K12221" t="str">
        <f>"5F3"</f>
        <v>5F3</v>
      </c>
      <c r="L12221" t="s">
        <v>15</v>
      </c>
    </row>
    <row r="12222" spans="1:12" x14ac:dyDescent="0.25">
      <c r="A12222" t="str">
        <f>"8909109385"</f>
        <v>8909109385</v>
      </c>
      <c r="B12222" t="str">
        <f t="shared" si="493"/>
        <v>89301000</v>
      </c>
      <c r="C12222" s="1">
        <v>44330</v>
      </c>
      <c r="D12222" s="1">
        <v>44335</v>
      </c>
      <c r="E12222">
        <v>1</v>
      </c>
      <c r="F12222" t="s">
        <v>134</v>
      </c>
      <c r="G12222" t="str">
        <f>"16-I04-01"</f>
        <v>16-I04-01</v>
      </c>
      <c r="H12222">
        <v>1.0085999999999999</v>
      </c>
      <c r="J12222" t="s">
        <v>17</v>
      </c>
      <c r="K12222" t="str">
        <f>"7F1"</f>
        <v>7F1</v>
      </c>
      <c r="L12222" t="s">
        <v>15</v>
      </c>
    </row>
    <row r="12223" spans="1:12" x14ac:dyDescent="0.25">
      <c r="A12223" t="str">
        <f>"8909254310"</f>
        <v>8909254310</v>
      </c>
      <c r="B12223" t="str">
        <f t="shared" si="493"/>
        <v>89301000</v>
      </c>
      <c r="C12223" s="1">
        <v>44504</v>
      </c>
      <c r="D12223" s="1">
        <v>44505</v>
      </c>
      <c r="E12223">
        <v>1</v>
      </c>
      <c r="F12223" t="s">
        <v>186</v>
      </c>
      <c r="G12223" t="str">
        <f>"05-D01-03"</f>
        <v>05-D01-03</v>
      </c>
      <c r="H12223">
        <v>1.0068999999999999</v>
      </c>
      <c r="J12223" t="s">
        <v>14</v>
      </c>
      <c r="K12223" t="str">
        <f>"1F1"</f>
        <v>1F1</v>
      </c>
      <c r="L12223" t="s">
        <v>15</v>
      </c>
    </row>
    <row r="12224" spans="1:12" x14ac:dyDescent="0.25">
      <c r="A12224" t="str">
        <f>"8910255827"</f>
        <v>8910255827</v>
      </c>
      <c r="B12224" t="str">
        <f t="shared" si="493"/>
        <v>89301000</v>
      </c>
      <c r="C12224" s="1">
        <v>44312</v>
      </c>
      <c r="D12224" s="1">
        <v>44316</v>
      </c>
      <c r="E12224">
        <v>7</v>
      </c>
      <c r="F12224" t="s">
        <v>1623</v>
      </c>
      <c r="G12224" t="str">
        <f>"05-I03-04"</f>
        <v>05-I03-04</v>
      </c>
      <c r="H12224">
        <v>10.565</v>
      </c>
      <c r="I12224" t="s">
        <v>7939</v>
      </c>
      <c r="J12224" t="s">
        <v>14</v>
      </c>
      <c r="K12224" t="str">
        <f>"5T5"</f>
        <v>5T5</v>
      </c>
      <c r="L12224" t="s">
        <v>15</v>
      </c>
    </row>
    <row r="12225" spans="1:12" x14ac:dyDescent="0.25">
      <c r="A12225" t="str">
        <f>"8911066142"</f>
        <v>8911066142</v>
      </c>
      <c r="B12225" t="str">
        <f t="shared" si="493"/>
        <v>89301000</v>
      </c>
      <c r="C12225" s="1">
        <v>44293</v>
      </c>
      <c r="D12225" s="1">
        <v>44309</v>
      </c>
      <c r="E12225">
        <v>1</v>
      </c>
      <c r="F12225" t="s">
        <v>78</v>
      </c>
      <c r="G12225" t="str">
        <f>"19-K05-02"</f>
        <v>19-K05-02</v>
      </c>
      <c r="H12225">
        <v>1.8835999999999999</v>
      </c>
      <c r="I12225" t="s">
        <v>7940</v>
      </c>
      <c r="J12225" t="s">
        <v>27</v>
      </c>
      <c r="K12225" t="str">
        <f>"3F5"</f>
        <v>3F5</v>
      </c>
      <c r="L12225" t="s">
        <v>15</v>
      </c>
    </row>
    <row r="12226" spans="1:12" x14ac:dyDescent="0.25">
      <c r="A12226" t="str">
        <f>"8911235740"</f>
        <v>8911235740</v>
      </c>
      <c r="B12226" t="str">
        <f t="shared" si="493"/>
        <v>89301000</v>
      </c>
      <c r="C12226" s="1">
        <v>44232</v>
      </c>
      <c r="D12226" s="1">
        <v>44233</v>
      </c>
      <c r="E12226">
        <v>1</v>
      </c>
      <c r="F12226" t="s">
        <v>4908</v>
      </c>
      <c r="G12226" t="str">
        <f>"12-I08-03"</f>
        <v>12-I08-03</v>
      </c>
      <c r="H12226">
        <v>0.7036</v>
      </c>
      <c r="I12226" t="s">
        <v>168</v>
      </c>
      <c r="J12226" t="s">
        <v>14</v>
      </c>
      <c r="K12226" t="str">
        <f>"7F6"</f>
        <v>7F6</v>
      </c>
      <c r="L12226" t="s">
        <v>15</v>
      </c>
    </row>
    <row r="12227" spans="1:12" x14ac:dyDescent="0.25">
      <c r="A12227" t="str">
        <f>"8912025298"</f>
        <v>8912025298</v>
      </c>
      <c r="B12227" t="str">
        <f t="shared" si="493"/>
        <v>89301000</v>
      </c>
      <c r="C12227" s="1">
        <v>44251</v>
      </c>
      <c r="D12227" s="1">
        <v>44254</v>
      </c>
      <c r="E12227">
        <v>1</v>
      </c>
      <c r="F12227" t="s">
        <v>167</v>
      </c>
      <c r="G12227" t="str">
        <f>"08-M03-04"</f>
        <v>08-M03-04</v>
      </c>
      <c r="H12227">
        <v>0.8609</v>
      </c>
      <c r="I12227" t="s">
        <v>7941</v>
      </c>
      <c r="J12227" t="s">
        <v>14</v>
      </c>
      <c r="K12227" t="str">
        <f>"6F6"</f>
        <v>6F6</v>
      </c>
      <c r="L12227" t="s">
        <v>15</v>
      </c>
    </row>
    <row r="12228" spans="1:12" x14ac:dyDescent="0.25">
      <c r="A12228" t="str">
        <f>"8912095731"</f>
        <v>8912095731</v>
      </c>
      <c r="B12228" t="str">
        <f t="shared" si="493"/>
        <v>89301000</v>
      </c>
      <c r="C12228" s="1">
        <v>44354</v>
      </c>
      <c r="D12228" s="1">
        <v>44362</v>
      </c>
      <c r="E12228">
        <v>1</v>
      </c>
      <c r="F12228" t="s">
        <v>157</v>
      </c>
      <c r="G12228" t="str">
        <f>"03-I11-03"</f>
        <v>03-I11-03</v>
      </c>
      <c r="H12228">
        <v>1.0253000000000001</v>
      </c>
      <c r="I12228" t="s">
        <v>7942</v>
      </c>
      <c r="J12228" t="s">
        <v>17</v>
      </c>
      <c r="K12228" t="str">
        <f>"6F5"</f>
        <v>6F5</v>
      </c>
      <c r="L12228" t="s">
        <v>15</v>
      </c>
    </row>
    <row r="12229" spans="1:12" x14ac:dyDescent="0.25">
      <c r="A12229" t="str">
        <f>"8912145726"</f>
        <v>8912145726</v>
      </c>
      <c r="B12229" t="str">
        <f t="shared" si="493"/>
        <v>89301000</v>
      </c>
      <c r="C12229" s="1">
        <v>44488</v>
      </c>
      <c r="D12229" s="1">
        <v>44495</v>
      </c>
      <c r="E12229">
        <v>1</v>
      </c>
      <c r="F12229" t="s">
        <v>2648</v>
      </c>
      <c r="G12229" t="str">
        <f>"06-I13-03"</f>
        <v>06-I13-03</v>
      </c>
      <c r="H12229">
        <v>1.6753</v>
      </c>
      <c r="I12229" t="s">
        <v>500</v>
      </c>
      <c r="J12229" t="s">
        <v>14</v>
      </c>
      <c r="K12229" t="str">
        <f>"5F1"</f>
        <v>5F1</v>
      </c>
      <c r="L12229" t="s">
        <v>15</v>
      </c>
    </row>
    <row r="12230" spans="1:12" x14ac:dyDescent="0.25">
      <c r="A12230" t="str">
        <f>"8912145726"</f>
        <v>8912145726</v>
      </c>
      <c r="B12230" t="str">
        <f t="shared" si="493"/>
        <v>89301000</v>
      </c>
      <c r="C12230" s="1">
        <v>44200</v>
      </c>
      <c r="D12230" s="1">
        <v>44209</v>
      </c>
      <c r="E12230">
        <v>1</v>
      </c>
      <c r="F12230" t="s">
        <v>500</v>
      </c>
      <c r="G12230" t="str">
        <f>"06-I13-02"</f>
        <v>06-I13-02</v>
      </c>
      <c r="H12230">
        <v>2.0766</v>
      </c>
      <c r="J12230" t="s">
        <v>14</v>
      </c>
      <c r="K12230" t="str">
        <f>"5F1"</f>
        <v>5F1</v>
      </c>
      <c r="L12230" t="s">
        <v>15</v>
      </c>
    </row>
    <row r="12231" spans="1:12" x14ac:dyDescent="0.25">
      <c r="A12231" t="str">
        <f>"8912145726"</f>
        <v>8912145726</v>
      </c>
      <c r="B12231" t="str">
        <f t="shared" si="493"/>
        <v>89301000</v>
      </c>
      <c r="C12231" s="1">
        <v>44369</v>
      </c>
      <c r="D12231" s="1">
        <v>44375</v>
      </c>
      <c r="E12231">
        <v>1</v>
      </c>
      <c r="F12231" t="s">
        <v>566</v>
      </c>
      <c r="G12231" t="str">
        <f>"06-I07-05"</f>
        <v>06-I07-05</v>
      </c>
      <c r="H12231">
        <v>2.8466999999999998</v>
      </c>
      <c r="J12231" t="s">
        <v>17</v>
      </c>
      <c r="K12231" t="str">
        <f>"5F1"</f>
        <v>5F1</v>
      </c>
      <c r="L12231" t="s">
        <v>15</v>
      </c>
    </row>
    <row r="12232" spans="1:12" x14ac:dyDescent="0.25">
      <c r="A12232" t="str">
        <f>"8912285712"</f>
        <v>8912285712</v>
      </c>
      <c r="B12232" t="str">
        <f t="shared" si="493"/>
        <v>89301000</v>
      </c>
      <c r="C12232" s="1">
        <v>44444</v>
      </c>
      <c r="D12232" s="1">
        <v>44446</v>
      </c>
      <c r="E12232">
        <v>1</v>
      </c>
      <c r="F12232" t="s">
        <v>609</v>
      </c>
      <c r="G12232" t="str">
        <f>"08-I16-03"</f>
        <v>08-I16-03</v>
      </c>
      <c r="H12232">
        <v>1.3984000000000001</v>
      </c>
      <c r="I12232" t="s">
        <v>590</v>
      </c>
      <c r="J12232" t="s">
        <v>17</v>
      </c>
      <c r="K12232" t="str">
        <f>"5F3"</f>
        <v>5F3</v>
      </c>
      <c r="L12232" t="s">
        <v>15</v>
      </c>
    </row>
    <row r="12233" spans="1:12" x14ac:dyDescent="0.25">
      <c r="A12233" t="str">
        <f>"8951025094"</f>
        <v>8951025094</v>
      </c>
      <c r="B12233" t="str">
        <f t="shared" si="493"/>
        <v>89301000</v>
      </c>
      <c r="C12233" s="1">
        <v>44479</v>
      </c>
      <c r="D12233" s="1">
        <v>44487</v>
      </c>
      <c r="E12233">
        <v>1</v>
      </c>
      <c r="F12233" t="s">
        <v>2648</v>
      </c>
      <c r="G12233" t="str">
        <f>"06-I12-03"</f>
        <v>06-I12-03</v>
      </c>
      <c r="H12233">
        <v>1.8894</v>
      </c>
      <c r="I12233" t="s">
        <v>282</v>
      </c>
      <c r="J12233" t="s">
        <v>14</v>
      </c>
      <c r="K12233" t="str">
        <f>"5F1"</f>
        <v>5F1</v>
      </c>
      <c r="L12233" t="s">
        <v>15</v>
      </c>
    </row>
    <row r="12234" spans="1:12" x14ac:dyDescent="0.25">
      <c r="A12234" t="str">
        <f>"8951025743"</f>
        <v>8951025743</v>
      </c>
      <c r="B12234" t="str">
        <f t="shared" si="493"/>
        <v>89301000</v>
      </c>
      <c r="C12234" s="1">
        <v>44317</v>
      </c>
      <c r="D12234" s="1">
        <v>44319</v>
      </c>
      <c r="E12234">
        <v>1</v>
      </c>
      <c r="F12234" t="s">
        <v>2766</v>
      </c>
      <c r="G12234" t="str">
        <f>"08-I15-03"</f>
        <v>08-I15-03</v>
      </c>
      <c r="H12234">
        <v>1.2103999999999999</v>
      </c>
      <c r="I12234" t="s">
        <v>455</v>
      </c>
      <c r="J12234" t="s">
        <v>17</v>
      </c>
      <c r="K12234" t="str">
        <f>"5F3"</f>
        <v>5F3</v>
      </c>
      <c r="L12234" t="s">
        <v>15</v>
      </c>
    </row>
    <row r="12235" spans="1:12" x14ac:dyDescent="0.25">
      <c r="A12235" t="str">
        <f>"8951135776"</f>
        <v>8951135776</v>
      </c>
      <c r="B12235" t="str">
        <f t="shared" si="493"/>
        <v>89301000</v>
      </c>
      <c r="C12235" s="1">
        <v>44469</v>
      </c>
      <c r="D12235" s="1">
        <v>44471</v>
      </c>
      <c r="E12235">
        <v>1</v>
      </c>
      <c r="F12235" t="s">
        <v>75</v>
      </c>
      <c r="G12235" t="str">
        <f>"14-M01-05"</f>
        <v>14-M01-05</v>
      </c>
      <c r="H12235">
        <v>0.54239999999999999</v>
      </c>
      <c r="J12235" t="s">
        <v>59</v>
      </c>
      <c r="K12235" t="str">
        <f>"6F3"</f>
        <v>6F3</v>
      </c>
      <c r="L12235" t="s">
        <v>15</v>
      </c>
    </row>
    <row r="12236" spans="1:12" x14ac:dyDescent="0.25">
      <c r="A12236" t="str">
        <f>"8951136139"</f>
        <v>8951136139</v>
      </c>
      <c r="B12236" t="str">
        <f t="shared" si="493"/>
        <v>89301000</v>
      </c>
      <c r="C12236" s="1">
        <v>44202</v>
      </c>
      <c r="D12236" s="1">
        <v>44206</v>
      </c>
      <c r="E12236">
        <v>1</v>
      </c>
      <c r="F12236" t="s">
        <v>75</v>
      </c>
      <c r="G12236" t="str">
        <f>"14-M01-01"</f>
        <v>14-M01-01</v>
      </c>
      <c r="H12236">
        <v>0.89049999999999996</v>
      </c>
      <c r="I12236" t="s">
        <v>7943</v>
      </c>
      <c r="J12236" t="s">
        <v>59</v>
      </c>
      <c r="K12236" t="str">
        <f>"6F3"</f>
        <v>6F3</v>
      </c>
      <c r="L12236" t="s">
        <v>15</v>
      </c>
    </row>
    <row r="12237" spans="1:12" x14ac:dyDescent="0.25">
      <c r="A12237" t="str">
        <f>"8951165850"</f>
        <v>8951165850</v>
      </c>
      <c r="B12237" t="str">
        <f t="shared" si="493"/>
        <v>89301000</v>
      </c>
      <c r="C12237" s="1">
        <v>44417</v>
      </c>
      <c r="D12237" s="1">
        <v>44421</v>
      </c>
      <c r="E12237">
        <v>1</v>
      </c>
      <c r="F12237" t="s">
        <v>75</v>
      </c>
      <c r="G12237" t="str">
        <f>"14-M01-05"</f>
        <v>14-M01-05</v>
      </c>
      <c r="H12237">
        <v>0.54239999999999999</v>
      </c>
      <c r="I12237" t="s">
        <v>76</v>
      </c>
      <c r="J12237" t="s">
        <v>59</v>
      </c>
      <c r="K12237" t="str">
        <f>"6F3"</f>
        <v>6F3</v>
      </c>
      <c r="L12237" t="s">
        <v>15</v>
      </c>
    </row>
    <row r="12238" spans="1:12" x14ac:dyDescent="0.25">
      <c r="A12238" t="str">
        <f>"8951196144"</f>
        <v>8951196144</v>
      </c>
      <c r="B12238" t="str">
        <f t="shared" si="493"/>
        <v>89301000</v>
      </c>
      <c r="C12238" s="1">
        <v>44551</v>
      </c>
      <c r="D12238" s="1">
        <v>44552</v>
      </c>
      <c r="E12238">
        <v>1</v>
      </c>
      <c r="F12238" t="s">
        <v>246</v>
      </c>
      <c r="G12238" t="str">
        <f>"01-I13-00"</f>
        <v>01-I13-00</v>
      </c>
      <c r="H12238">
        <v>0.42880000000000001</v>
      </c>
      <c r="J12238" t="s">
        <v>14</v>
      </c>
      <c r="K12238" t="str">
        <f>"5F6"</f>
        <v>5F6</v>
      </c>
      <c r="L12238" t="s">
        <v>15</v>
      </c>
    </row>
    <row r="12239" spans="1:12" x14ac:dyDescent="0.25">
      <c r="A12239" t="str">
        <f>"8951205725"</f>
        <v>8951205725</v>
      </c>
      <c r="B12239" t="str">
        <f t="shared" si="493"/>
        <v>89301000</v>
      </c>
      <c r="C12239" s="1">
        <v>44418</v>
      </c>
      <c r="D12239" s="1">
        <v>44421</v>
      </c>
      <c r="E12239">
        <v>1</v>
      </c>
      <c r="F12239" t="s">
        <v>82</v>
      </c>
      <c r="G12239" t="str">
        <f>"14-I01-05"</f>
        <v>14-I01-05</v>
      </c>
      <c r="H12239">
        <v>0.80030000000000001</v>
      </c>
      <c r="I12239" t="s">
        <v>269</v>
      </c>
      <c r="J12239" t="s">
        <v>59</v>
      </c>
      <c r="K12239" t="str">
        <f t="shared" ref="K12239:K12245" si="494">"6F3"</f>
        <v>6F3</v>
      </c>
      <c r="L12239" t="s">
        <v>15</v>
      </c>
    </row>
    <row r="12240" spans="1:12" x14ac:dyDescent="0.25">
      <c r="A12240" t="str">
        <f>"8951225756"</f>
        <v>8951225756</v>
      </c>
      <c r="B12240" t="str">
        <f t="shared" si="493"/>
        <v>89301000</v>
      </c>
      <c r="C12240" s="1">
        <v>44482</v>
      </c>
      <c r="D12240" s="1">
        <v>44485</v>
      </c>
      <c r="E12240">
        <v>1</v>
      </c>
      <c r="F12240" t="s">
        <v>75</v>
      </c>
      <c r="G12240" t="str">
        <f>"14-M01-05"</f>
        <v>14-M01-05</v>
      </c>
      <c r="H12240">
        <v>0.54239999999999999</v>
      </c>
      <c r="J12240" t="s">
        <v>59</v>
      </c>
      <c r="K12240" t="str">
        <f t="shared" si="494"/>
        <v>6F3</v>
      </c>
      <c r="L12240" t="s">
        <v>15</v>
      </c>
    </row>
    <row r="12241" spans="1:12" x14ac:dyDescent="0.25">
      <c r="A12241" t="str">
        <f>"8951279007"</f>
        <v>8951279007</v>
      </c>
      <c r="B12241" t="str">
        <f t="shared" si="493"/>
        <v>89301000</v>
      </c>
      <c r="C12241" s="1">
        <v>44263</v>
      </c>
      <c r="D12241" s="1">
        <v>44266</v>
      </c>
      <c r="E12241">
        <v>1</v>
      </c>
      <c r="F12241" t="s">
        <v>75</v>
      </c>
      <c r="G12241" t="str">
        <f>"14-M01-05"</f>
        <v>14-M01-05</v>
      </c>
      <c r="H12241">
        <v>0.54239999999999999</v>
      </c>
      <c r="I12241" t="s">
        <v>180</v>
      </c>
      <c r="J12241" t="s">
        <v>59</v>
      </c>
      <c r="K12241" t="str">
        <f t="shared" si="494"/>
        <v>6F3</v>
      </c>
      <c r="L12241" t="s">
        <v>15</v>
      </c>
    </row>
    <row r="12242" spans="1:12" x14ac:dyDescent="0.25">
      <c r="A12242" t="str">
        <f>"8951285717"</f>
        <v>8951285717</v>
      </c>
      <c r="B12242" t="str">
        <f t="shared" si="493"/>
        <v>89301000</v>
      </c>
      <c r="C12242" s="1">
        <v>44220</v>
      </c>
      <c r="D12242" s="1">
        <v>44223</v>
      </c>
      <c r="E12242">
        <v>1</v>
      </c>
      <c r="F12242" t="s">
        <v>75</v>
      </c>
      <c r="G12242" t="str">
        <f>"14-M01-05"</f>
        <v>14-M01-05</v>
      </c>
      <c r="H12242">
        <v>0.54239999999999999</v>
      </c>
      <c r="I12242" t="s">
        <v>256</v>
      </c>
      <c r="J12242" t="s">
        <v>59</v>
      </c>
      <c r="K12242" t="str">
        <f t="shared" si="494"/>
        <v>6F3</v>
      </c>
      <c r="L12242" t="s">
        <v>15</v>
      </c>
    </row>
    <row r="12243" spans="1:12" x14ac:dyDescent="0.25">
      <c r="A12243" t="str">
        <f>"8952015710"</f>
        <v>8952015710</v>
      </c>
      <c r="B12243" t="str">
        <f t="shared" si="493"/>
        <v>89301000</v>
      </c>
      <c r="C12243" s="1">
        <v>44392</v>
      </c>
      <c r="D12243" s="1">
        <v>44395</v>
      </c>
      <c r="E12243">
        <v>1</v>
      </c>
      <c r="F12243" t="s">
        <v>116</v>
      </c>
      <c r="G12243" t="str">
        <f>"14-M01-05"</f>
        <v>14-M01-05</v>
      </c>
      <c r="H12243">
        <v>0.54239999999999999</v>
      </c>
      <c r="I12243" t="s">
        <v>180</v>
      </c>
      <c r="J12243" t="s">
        <v>59</v>
      </c>
      <c r="K12243" t="str">
        <f t="shared" si="494"/>
        <v>6F3</v>
      </c>
      <c r="L12243" t="s">
        <v>15</v>
      </c>
    </row>
    <row r="12244" spans="1:12" x14ac:dyDescent="0.25">
      <c r="A12244" t="str">
        <f>"8952105756"</f>
        <v>8952105756</v>
      </c>
      <c r="B12244" t="str">
        <f t="shared" si="493"/>
        <v>89301000</v>
      </c>
      <c r="C12244" s="1">
        <v>44442</v>
      </c>
      <c r="D12244" s="1">
        <v>44446</v>
      </c>
      <c r="E12244">
        <v>1</v>
      </c>
      <c r="F12244" t="s">
        <v>61</v>
      </c>
      <c r="G12244" t="str">
        <f>"14-I01-05"</f>
        <v>14-I01-05</v>
      </c>
      <c r="H12244">
        <v>0.80030000000000001</v>
      </c>
      <c r="I12244" t="s">
        <v>62</v>
      </c>
      <c r="J12244" t="s">
        <v>59</v>
      </c>
      <c r="K12244" t="str">
        <f t="shared" si="494"/>
        <v>6F3</v>
      </c>
      <c r="L12244" t="s">
        <v>15</v>
      </c>
    </row>
    <row r="12245" spans="1:12" x14ac:dyDescent="0.25">
      <c r="A12245" t="str">
        <f>"8952108154"</f>
        <v>8952108154</v>
      </c>
      <c r="B12245" t="str">
        <f t="shared" si="493"/>
        <v>89301000</v>
      </c>
      <c r="C12245" s="1">
        <v>44494</v>
      </c>
      <c r="D12245" s="1">
        <v>44497</v>
      </c>
      <c r="E12245">
        <v>1</v>
      </c>
      <c r="F12245" t="s">
        <v>75</v>
      </c>
      <c r="G12245" t="str">
        <f>"14-M01-05"</f>
        <v>14-M01-05</v>
      </c>
      <c r="H12245">
        <v>0.54239999999999999</v>
      </c>
      <c r="J12245" t="s">
        <v>59</v>
      </c>
      <c r="K12245" t="str">
        <f t="shared" si="494"/>
        <v>6F3</v>
      </c>
      <c r="L12245" t="s">
        <v>15</v>
      </c>
    </row>
    <row r="12246" spans="1:12" x14ac:dyDescent="0.25">
      <c r="A12246" t="str">
        <f>"8952145741"</f>
        <v>8952145741</v>
      </c>
      <c r="B12246" t="str">
        <f t="shared" si="493"/>
        <v>89301000</v>
      </c>
      <c r="C12246" s="1">
        <v>44507</v>
      </c>
      <c r="D12246" s="1">
        <v>44511</v>
      </c>
      <c r="E12246">
        <v>1</v>
      </c>
      <c r="F12246" t="s">
        <v>81</v>
      </c>
      <c r="G12246" t="str">
        <f>"10-I13-02"</f>
        <v>10-I13-02</v>
      </c>
      <c r="H12246">
        <v>1.1468</v>
      </c>
      <c r="J12246" t="s">
        <v>24</v>
      </c>
      <c r="K12246" t="str">
        <f>"5F1"</f>
        <v>5F1</v>
      </c>
      <c r="L12246" t="s">
        <v>15</v>
      </c>
    </row>
    <row r="12247" spans="1:12" x14ac:dyDescent="0.25">
      <c r="A12247" t="str">
        <f>"8952155784"</f>
        <v>8952155784</v>
      </c>
      <c r="B12247" t="str">
        <f t="shared" si="493"/>
        <v>89301000</v>
      </c>
      <c r="C12247" s="1">
        <v>44424</v>
      </c>
      <c r="D12247" s="1">
        <v>44427</v>
      </c>
      <c r="E12247">
        <v>1</v>
      </c>
      <c r="F12247" t="s">
        <v>75</v>
      </c>
      <c r="G12247" t="str">
        <f>"14-M01-05"</f>
        <v>14-M01-05</v>
      </c>
      <c r="H12247">
        <v>0.54239999999999999</v>
      </c>
      <c r="I12247" t="s">
        <v>426</v>
      </c>
      <c r="J12247" t="s">
        <v>59</v>
      </c>
      <c r="K12247" t="str">
        <f>"6F3"</f>
        <v>6F3</v>
      </c>
      <c r="L12247" t="s">
        <v>15</v>
      </c>
    </row>
    <row r="12248" spans="1:12" x14ac:dyDescent="0.25">
      <c r="A12248" t="str">
        <f>"8952155916"</f>
        <v>8952155916</v>
      </c>
      <c r="B12248" t="str">
        <f t="shared" si="493"/>
        <v>89301000</v>
      </c>
      <c r="C12248" s="1">
        <v>44417</v>
      </c>
      <c r="D12248" s="1">
        <v>44418</v>
      </c>
      <c r="E12248">
        <v>1</v>
      </c>
      <c r="F12248" t="s">
        <v>7944</v>
      </c>
      <c r="G12248" t="str">
        <f>"14-I08-03"</f>
        <v>14-I08-03</v>
      </c>
      <c r="H12248">
        <v>0.21099999999999999</v>
      </c>
      <c r="J12248" t="s">
        <v>14</v>
      </c>
      <c r="K12248" t="str">
        <f>"6F3"</f>
        <v>6F3</v>
      </c>
      <c r="L12248" t="s">
        <v>15</v>
      </c>
    </row>
    <row r="12249" spans="1:12" x14ac:dyDescent="0.25">
      <c r="A12249" t="str">
        <f>"8953015742"</f>
        <v>8953015742</v>
      </c>
      <c r="B12249" t="str">
        <f t="shared" si="493"/>
        <v>89301000</v>
      </c>
      <c r="C12249" s="1">
        <v>44270</v>
      </c>
      <c r="D12249" s="1">
        <v>44272</v>
      </c>
      <c r="E12249">
        <v>1</v>
      </c>
      <c r="F12249" t="s">
        <v>1033</v>
      </c>
      <c r="G12249" t="str">
        <f>"11-K03-02"</f>
        <v>11-K03-02</v>
      </c>
      <c r="H12249">
        <v>0.6008</v>
      </c>
      <c r="I12249" t="s">
        <v>7945</v>
      </c>
      <c r="J12249" t="s">
        <v>14</v>
      </c>
      <c r="K12249" t="str">
        <f>"1F1"</f>
        <v>1F1</v>
      </c>
      <c r="L12249" t="s">
        <v>15</v>
      </c>
    </row>
    <row r="12250" spans="1:12" x14ac:dyDescent="0.25">
      <c r="A12250" t="str">
        <f>"8953015753"</f>
        <v>8953015753</v>
      </c>
      <c r="B12250" t="str">
        <f t="shared" ref="B12250:B12313" si="495">"89301000"</f>
        <v>89301000</v>
      </c>
      <c r="C12250" s="1">
        <v>44319</v>
      </c>
      <c r="D12250" s="1">
        <v>44323</v>
      </c>
      <c r="E12250">
        <v>1</v>
      </c>
      <c r="F12250" t="s">
        <v>61</v>
      </c>
      <c r="G12250" t="str">
        <f>"14-I01-05"</f>
        <v>14-I01-05</v>
      </c>
      <c r="H12250">
        <v>0.80030000000000001</v>
      </c>
      <c r="I12250" t="s">
        <v>62</v>
      </c>
      <c r="J12250" t="s">
        <v>59</v>
      </c>
      <c r="K12250" t="str">
        <f>"6F3"</f>
        <v>6F3</v>
      </c>
      <c r="L12250" t="s">
        <v>15</v>
      </c>
    </row>
    <row r="12251" spans="1:12" x14ac:dyDescent="0.25">
      <c r="A12251" t="str">
        <f>"8953053285"</f>
        <v>8953053285</v>
      </c>
      <c r="B12251" t="str">
        <f t="shared" si="495"/>
        <v>89301000</v>
      </c>
      <c r="C12251" s="1">
        <v>44230</v>
      </c>
      <c r="D12251" s="1">
        <v>44231</v>
      </c>
      <c r="E12251">
        <v>1</v>
      </c>
      <c r="F12251" t="s">
        <v>75</v>
      </c>
      <c r="G12251" t="str">
        <f>"14-M01-05"</f>
        <v>14-M01-05</v>
      </c>
      <c r="H12251">
        <v>0.54239999999999999</v>
      </c>
      <c r="I12251" t="s">
        <v>7836</v>
      </c>
      <c r="J12251" t="s">
        <v>59</v>
      </c>
      <c r="K12251" t="str">
        <f>"6F3"</f>
        <v>6F3</v>
      </c>
      <c r="L12251" t="s">
        <v>15</v>
      </c>
    </row>
    <row r="12252" spans="1:12" x14ac:dyDescent="0.25">
      <c r="A12252" t="str">
        <f>"8953066166"</f>
        <v>8953066166</v>
      </c>
      <c r="B12252" t="str">
        <f t="shared" si="495"/>
        <v>89301000</v>
      </c>
      <c r="C12252" s="1">
        <v>44221</v>
      </c>
      <c r="D12252" s="1">
        <v>44226</v>
      </c>
      <c r="E12252">
        <v>1</v>
      </c>
      <c r="F12252" t="s">
        <v>61</v>
      </c>
      <c r="G12252" t="str">
        <f>"14-I01-01"</f>
        <v>14-I01-01</v>
      </c>
      <c r="H12252">
        <v>1.5294000000000001</v>
      </c>
      <c r="I12252" t="s">
        <v>7946</v>
      </c>
      <c r="J12252" t="s">
        <v>59</v>
      </c>
      <c r="K12252" t="str">
        <f>"6F3"</f>
        <v>6F3</v>
      </c>
      <c r="L12252" t="s">
        <v>15</v>
      </c>
    </row>
    <row r="12253" spans="1:12" x14ac:dyDescent="0.25">
      <c r="A12253" t="str">
        <f>"8953073679"</f>
        <v>8953073679</v>
      </c>
      <c r="B12253" t="str">
        <f t="shared" si="495"/>
        <v>89301000</v>
      </c>
      <c r="C12253" s="1">
        <v>44449</v>
      </c>
      <c r="D12253" s="1">
        <v>44450</v>
      </c>
      <c r="E12253">
        <v>1</v>
      </c>
      <c r="F12253" t="s">
        <v>75</v>
      </c>
      <c r="G12253" t="str">
        <f>"14-M01-05"</f>
        <v>14-M01-05</v>
      </c>
      <c r="H12253">
        <v>0.54239999999999999</v>
      </c>
      <c r="I12253" t="s">
        <v>7503</v>
      </c>
      <c r="J12253" t="s">
        <v>59</v>
      </c>
      <c r="K12253" t="str">
        <f>"6F3"</f>
        <v>6F3</v>
      </c>
      <c r="L12253" t="s">
        <v>15</v>
      </c>
    </row>
    <row r="12254" spans="1:12" x14ac:dyDescent="0.25">
      <c r="A12254" t="str">
        <f>"8953115083"</f>
        <v>8953115083</v>
      </c>
      <c r="B12254" t="str">
        <f t="shared" si="495"/>
        <v>89301000</v>
      </c>
      <c r="C12254" s="1">
        <v>44284</v>
      </c>
      <c r="D12254" s="1">
        <v>44319</v>
      </c>
      <c r="E12254">
        <v>1</v>
      </c>
      <c r="F12254" t="s">
        <v>618</v>
      </c>
      <c r="G12254" t="str">
        <f>"19-K07-02"</f>
        <v>19-K07-02</v>
      </c>
      <c r="H12254">
        <v>2.8759999999999999</v>
      </c>
      <c r="I12254" t="s">
        <v>7947</v>
      </c>
      <c r="J12254" t="s">
        <v>27</v>
      </c>
      <c r="K12254" t="str">
        <f>"3F5"</f>
        <v>3F5</v>
      </c>
      <c r="L12254" t="s">
        <v>15</v>
      </c>
    </row>
    <row r="12255" spans="1:12" x14ac:dyDescent="0.25">
      <c r="A12255" t="str">
        <f>"8953143815"</f>
        <v>8953143815</v>
      </c>
      <c r="B12255" t="str">
        <f t="shared" si="495"/>
        <v>89301000</v>
      </c>
      <c r="C12255" s="1">
        <v>44539</v>
      </c>
      <c r="D12255" s="1">
        <v>44545</v>
      </c>
      <c r="E12255">
        <v>1</v>
      </c>
      <c r="F12255" t="s">
        <v>75</v>
      </c>
      <c r="G12255" t="str">
        <f>"14-M01-05"</f>
        <v>14-M01-05</v>
      </c>
      <c r="H12255">
        <v>0.54239999999999999</v>
      </c>
      <c r="I12255" t="s">
        <v>256</v>
      </c>
      <c r="J12255" t="s">
        <v>59</v>
      </c>
      <c r="K12255" t="str">
        <f>"6F3"</f>
        <v>6F3</v>
      </c>
      <c r="L12255" t="s">
        <v>15</v>
      </c>
    </row>
    <row r="12256" spans="1:12" x14ac:dyDescent="0.25">
      <c r="A12256" t="str">
        <f>"8953155728"</f>
        <v>8953155728</v>
      </c>
      <c r="B12256" t="str">
        <f t="shared" si="495"/>
        <v>89301000</v>
      </c>
      <c r="C12256" s="1">
        <v>44355</v>
      </c>
      <c r="D12256" s="1">
        <v>44357</v>
      </c>
      <c r="E12256">
        <v>1</v>
      </c>
      <c r="F12256" t="s">
        <v>100</v>
      </c>
      <c r="G12256" t="str">
        <f>"14-I04-00"</f>
        <v>14-I04-00</v>
      </c>
      <c r="H12256">
        <v>0.78749999999999998</v>
      </c>
      <c r="I12256" t="s">
        <v>101</v>
      </c>
      <c r="J12256" t="s">
        <v>24</v>
      </c>
      <c r="K12256" t="str">
        <f>"6F3"</f>
        <v>6F3</v>
      </c>
      <c r="L12256" t="s">
        <v>15</v>
      </c>
    </row>
    <row r="12257" spans="1:12" x14ac:dyDescent="0.25">
      <c r="A12257" t="str">
        <f>"8953165782"</f>
        <v>8953165782</v>
      </c>
      <c r="B12257" t="str">
        <f t="shared" si="495"/>
        <v>89301000</v>
      </c>
      <c r="C12257" s="1">
        <v>44305</v>
      </c>
      <c r="D12257" s="1">
        <v>44310</v>
      </c>
      <c r="E12257">
        <v>1</v>
      </c>
      <c r="F12257" t="s">
        <v>112</v>
      </c>
      <c r="G12257" t="str">
        <f>"14-M01-05"</f>
        <v>14-M01-05</v>
      </c>
      <c r="H12257">
        <v>0.54239999999999999</v>
      </c>
      <c r="I12257" t="s">
        <v>7896</v>
      </c>
      <c r="J12257" t="s">
        <v>59</v>
      </c>
      <c r="K12257" t="str">
        <f>"6F3"</f>
        <v>6F3</v>
      </c>
      <c r="L12257" t="s">
        <v>15</v>
      </c>
    </row>
    <row r="12258" spans="1:12" x14ac:dyDescent="0.25">
      <c r="A12258" t="str">
        <f>"8953195757"</f>
        <v>8953195757</v>
      </c>
      <c r="B12258" t="str">
        <f t="shared" si="495"/>
        <v>89301000</v>
      </c>
      <c r="C12258" s="1">
        <v>44378</v>
      </c>
      <c r="D12258" s="1">
        <v>44391</v>
      </c>
      <c r="E12258">
        <v>1</v>
      </c>
      <c r="F12258" t="s">
        <v>7948</v>
      </c>
      <c r="G12258" t="str">
        <f>"19-K04-02"</f>
        <v>19-K04-02</v>
      </c>
      <c r="H12258">
        <v>1.4597</v>
      </c>
      <c r="I12258" t="s">
        <v>7949</v>
      </c>
      <c r="J12258" t="s">
        <v>27</v>
      </c>
      <c r="K12258" t="str">
        <f>"3F5"</f>
        <v>3F5</v>
      </c>
      <c r="L12258" t="s">
        <v>15</v>
      </c>
    </row>
    <row r="12259" spans="1:12" x14ac:dyDescent="0.25">
      <c r="A12259" t="str">
        <f>"8953255729"</f>
        <v>8953255729</v>
      </c>
      <c r="B12259" t="str">
        <f t="shared" si="495"/>
        <v>89301000</v>
      </c>
      <c r="C12259" s="1">
        <v>44421</v>
      </c>
      <c r="D12259" s="1">
        <v>44424</v>
      </c>
      <c r="E12259">
        <v>1</v>
      </c>
      <c r="F12259" t="s">
        <v>116</v>
      </c>
      <c r="G12259" t="str">
        <f>"14-M01-05"</f>
        <v>14-M01-05</v>
      </c>
      <c r="H12259">
        <v>0.54239999999999999</v>
      </c>
      <c r="I12259" t="s">
        <v>7863</v>
      </c>
      <c r="J12259" t="s">
        <v>59</v>
      </c>
      <c r="K12259" t="str">
        <f>"6F3"</f>
        <v>6F3</v>
      </c>
      <c r="L12259" t="s">
        <v>15</v>
      </c>
    </row>
    <row r="12260" spans="1:12" x14ac:dyDescent="0.25">
      <c r="A12260" t="str">
        <f>"8954026081"</f>
        <v>8954026081</v>
      </c>
      <c r="B12260" t="str">
        <f t="shared" si="495"/>
        <v>89301000</v>
      </c>
      <c r="C12260" s="1">
        <v>44545</v>
      </c>
      <c r="D12260" s="1">
        <v>44547</v>
      </c>
      <c r="E12260">
        <v>1</v>
      </c>
      <c r="F12260" t="s">
        <v>75</v>
      </c>
      <c r="G12260" t="str">
        <f>"14-M01-05"</f>
        <v>14-M01-05</v>
      </c>
      <c r="H12260">
        <v>0.54239999999999999</v>
      </c>
      <c r="I12260" t="s">
        <v>274</v>
      </c>
      <c r="J12260" t="s">
        <v>59</v>
      </c>
      <c r="K12260" t="str">
        <f>"6F3"</f>
        <v>6F3</v>
      </c>
      <c r="L12260" t="s">
        <v>15</v>
      </c>
    </row>
    <row r="12261" spans="1:12" x14ac:dyDescent="0.25">
      <c r="A12261" t="str">
        <f>"8954046068"</f>
        <v>8954046068</v>
      </c>
      <c r="B12261" t="str">
        <f t="shared" si="495"/>
        <v>89301000</v>
      </c>
      <c r="C12261" s="1">
        <v>44324</v>
      </c>
      <c r="D12261" s="1">
        <v>44328</v>
      </c>
      <c r="E12261">
        <v>1</v>
      </c>
      <c r="F12261" t="s">
        <v>75</v>
      </c>
      <c r="G12261" t="str">
        <f>"14-M01-05"</f>
        <v>14-M01-05</v>
      </c>
      <c r="H12261">
        <v>0.54239999999999999</v>
      </c>
      <c r="J12261" t="s">
        <v>59</v>
      </c>
      <c r="K12261" t="str">
        <f>"6F3"</f>
        <v>6F3</v>
      </c>
      <c r="L12261" t="s">
        <v>15</v>
      </c>
    </row>
    <row r="12262" spans="1:12" x14ac:dyDescent="0.25">
      <c r="A12262" t="str">
        <f>"8954046112"</f>
        <v>8954046112</v>
      </c>
      <c r="B12262" t="str">
        <f t="shared" si="495"/>
        <v>89301000</v>
      </c>
      <c r="C12262" s="1">
        <v>44424</v>
      </c>
      <c r="D12262" s="1">
        <v>44427</v>
      </c>
      <c r="E12262">
        <v>1</v>
      </c>
      <c r="F12262" t="s">
        <v>75</v>
      </c>
      <c r="G12262" t="str">
        <f>"14-M01-05"</f>
        <v>14-M01-05</v>
      </c>
      <c r="H12262">
        <v>0.54239999999999999</v>
      </c>
      <c r="I12262" t="s">
        <v>180</v>
      </c>
      <c r="J12262" t="s">
        <v>59</v>
      </c>
      <c r="K12262" t="str">
        <f>"6F3"</f>
        <v>6F3</v>
      </c>
      <c r="L12262" t="s">
        <v>15</v>
      </c>
    </row>
    <row r="12263" spans="1:12" x14ac:dyDescent="0.25">
      <c r="A12263" t="str">
        <f>"8954065736"</f>
        <v>8954065736</v>
      </c>
      <c r="B12263" t="str">
        <f t="shared" si="495"/>
        <v>89301000</v>
      </c>
      <c r="C12263" s="1">
        <v>44449</v>
      </c>
      <c r="D12263" s="1">
        <v>44451</v>
      </c>
      <c r="E12263">
        <v>1</v>
      </c>
      <c r="F12263" t="s">
        <v>43</v>
      </c>
      <c r="G12263" t="str">
        <f>"06-I18-05"</f>
        <v>06-I18-05</v>
      </c>
      <c r="H12263">
        <v>0.85550000000000004</v>
      </c>
      <c r="I12263" t="s">
        <v>348</v>
      </c>
      <c r="J12263" t="s">
        <v>24</v>
      </c>
      <c r="K12263" t="str">
        <f>"5F1"</f>
        <v>5F1</v>
      </c>
      <c r="L12263" t="s">
        <v>15</v>
      </c>
    </row>
    <row r="12264" spans="1:12" x14ac:dyDescent="0.25">
      <c r="A12264" t="str">
        <f>"8954116149"</f>
        <v>8954116149</v>
      </c>
      <c r="B12264" t="str">
        <f t="shared" si="495"/>
        <v>89301000</v>
      </c>
      <c r="C12264" s="1">
        <v>44483</v>
      </c>
      <c r="D12264" s="1">
        <v>44487</v>
      </c>
      <c r="E12264">
        <v>1</v>
      </c>
      <c r="F12264" t="s">
        <v>82</v>
      </c>
      <c r="G12264" t="str">
        <f>"14-I01-05"</f>
        <v>14-I01-05</v>
      </c>
      <c r="H12264">
        <v>0.80030000000000001</v>
      </c>
      <c r="I12264" t="s">
        <v>7950</v>
      </c>
      <c r="J12264" t="s">
        <v>59</v>
      </c>
      <c r="K12264" t="str">
        <f t="shared" ref="K12264:K12279" si="496">"6F3"</f>
        <v>6F3</v>
      </c>
      <c r="L12264" t="s">
        <v>15</v>
      </c>
    </row>
    <row r="12265" spans="1:12" x14ac:dyDescent="0.25">
      <c r="A12265" t="str">
        <f>"8954205788"</f>
        <v>8954205788</v>
      </c>
      <c r="B12265" t="str">
        <f t="shared" si="495"/>
        <v>89301000</v>
      </c>
      <c r="C12265" s="1">
        <v>44465</v>
      </c>
      <c r="D12265" s="1">
        <v>44468</v>
      </c>
      <c r="E12265">
        <v>1</v>
      </c>
      <c r="F12265" t="s">
        <v>112</v>
      </c>
      <c r="G12265" t="str">
        <f>"14-M01-05"</f>
        <v>14-M01-05</v>
      </c>
      <c r="H12265">
        <v>0.54239999999999999</v>
      </c>
      <c r="I12265" t="s">
        <v>7951</v>
      </c>
      <c r="J12265" t="s">
        <v>59</v>
      </c>
      <c r="K12265" t="str">
        <f t="shared" si="496"/>
        <v>6F3</v>
      </c>
      <c r="L12265" t="s">
        <v>15</v>
      </c>
    </row>
    <row r="12266" spans="1:12" x14ac:dyDescent="0.25">
      <c r="A12266" t="str">
        <f>"8954255640"</f>
        <v>8954255640</v>
      </c>
      <c r="B12266" t="str">
        <f t="shared" si="495"/>
        <v>89301000</v>
      </c>
      <c r="C12266" s="1">
        <v>44428</v>
      </c>
      <c r="D12266" s="1">
        <v>44431</v>
      </c>
      <c r="E12266">
        <v>1</v>
      </c>
      <c r="F12266" t="s">
        <v>75</v>
      </c>
      <c r="G12266" t="str">
        <f>"14-M01-05"</f>
        <v>14-M01-05</v>
      </c>
      <c r="H12266">
        <v>0.54239999999999999</v>
      </c>
      <c r="I12266" t="s">
        <v>426</v>
      </c>
      <c r="J12266" t="s">
        <v>59</v>
      </c>
      <c r="K12266" t="str">
        <f t="shared" si="496"/>
        <v>6F3</v>
      </c>
      <c r="L12266" t="s">
        <v>15</v>
      </c>
    </row>
    <row r="12267" spans="1:12" x14ac:dyDescent="0.25">
      <c r="A12267" t="str">
        <f>"8954265716"</f>
        <v>8954265716</v>
      </c>
      <c r="B12267" t="str">
        <f t="shared" si="495"/>
        <v>89301000</v>
      </c>
      <c r="C12267" s="1">
        <v>44523</v>
      </c>
      <c r="D12267" s="1">
        <v>44527</v>
      </c>
      <c r="E12267">
        <v>1</v>
      </c>
      <c r="F12267" t="s">
        <v>82</v>
      </c>
      <c r="G12267" t="str">
        <f>"14-I01-02"</f>
        <v>14-I01-02</v>
      </c>
      <c r="H12267">
        <v>1.1289</v>
      </c>
      <c r="I12267" t="s">
        <v>7952</v>
      </c>
      <c r="J12267" t="s">
        <v>59</v>
      </c>
      <c r="K12267" t="str">
        <f t="shared" si="496"/>
        <v>6F3</v>
      </c>
      <c r="L12267" t="s">
        <v>15</v>
      </c>
    </row>
    <row r="12268" spans="1:12" x14ac:dyDescent="0.25">
      <c r="A12268" t="str">
        <f>"8954275770"</f>
        <v>8954275770</v>
      </c>
      <c r="B12268" t="str">
        <f t="shared" si="495"/>
        <v>89301000</v>
      </c>
      <c r="C12268" s="1">
        <v>44301</v>
      </c>
      <c r="D12268" s="1">
        <v>44308</v>
      </c>
      <c r="E12268">
        <v>1</v>
      </c>
      <c r="F12268" t="s">
        <v>60</v>
      </c>
      <c r="G12268" t="str">
        <f>"14-K03-02"</f>
        <v>14-K03-02</v>
      </c>
      <c r="H12268">
        <v>0.2646</v>
      </c>
      <c r="J12268" t="s">
        <v>14</v>
      </c>
      <c r="K12268" t="str">
        <f t="shared" si="496"/>
        <v>6F3</v>
      </c>
      <c r="L12268" t="s">
        <v>15</v>
      </c>
    </row>
    <row r="12269" spans="1:12" x14ac:dyDescent="0.25">
      <c r="A12269" t="str">
        <f>"8954275770"</f>
        <v>8954275770</v>
      </c>
      <c r="B12269" t="str">
        <f t="shared" si="495"/>
        <v>89301000</v>
      </c>
      <c r="C12269" s="1">
        <v>44378</v>
      </c>
      <c r="D12269" s="1">
        <v>44381</v>
      </c>
      <c r="E12269">
        <v>1</v>
      </c>
      <c r="F12269" t="s">
        <v>75</v>
      </c>
      <c r="G12269" t="str">
        <f>"14-M01-05"</f>
        <v>14-M01-05</v>
      </c>
      <c r="H12269">
        <v>0.54239999999999999</v>
      </c>
      <c r="I12269" t="s">
        <v>76</v>
      </c>
      <c r="J12269" t="s">
        <v>59</v>
      </c>
      <c r="K12269" t="str">
        <f t="shared" si="496"/>
        <v>6F3</v>
      </c>
      <c r="L12269" t="s">
        <v>15</v>
      </c>
    </row>
    <row r="12270" spans="1:12" x14ac:dyDescent="0.25">
      <c r="A12270" t="str">
        <f>"8954285725"</f>
        <v>8954285725</v>
      </c>
      <c r="B12270" t="str">
        <f t="shared" si="495"/>
        <v>89301000</v>
      </c>
      <c r="C12270" s="1">
        <v>44286</v>
      </c>
      <c r="D12270" s="1">
        <v>44291</v>
      </c>
      <c r="E12270">
        <v>1</v>
      </c>
      <c r="F12270" t="s">
        <v>61</v>
      </c>
      <c r="G12270" t="str">
        <f>"14-I01-01"</f>
        <v>14-I01-01</v>
      </c>
      <c r="H12270">
        <v>1.5294000000000001</v>
      </c>
      <c r="I12270" t="s">
        <v>7953</v>
      </c>
      <c r="J12270" t="s">
        <v>59</v>
      </c>
      <c r="K12270" t="str">
        <f t="shared" si="496"/>
        <v>6F3</v>
      </c>
      <c r="L12270" t="s">
        <v>15</v>
      </c>
    </row>
    <row r="12271" spans="1:12" x14ac:dyDescent="0.25">
      <c r="A12271" t="str">
        <f>"8955046089"</f>
        <v>8955046089</v>
      </c>
      <c r="B12271" t="str">
        <f t="shared" si="495"/>
        <v>89301000</v>
      </c>
      <c r="C12271" s="1">
        <v>44432</v>
      </c>
      <c r="D12271" s="1">
        <v>44440</v>
      </c>
      <c r="E12271">
        <v>1</v>
      </c>
      <c r="F12271" t="s">
        <v>82</v>
      </c>
      <c r="G12271" t="str">
        <f>"14-I01-02"</f>
        <v>14-I01-02</v>
      </c>
      <c r="H12271">
        <v>1.1289</v>
      </c>
      <c r="I12271" t="s">
        <v>7954</v>
      </c>
      <c r="J12271" t="s">
        <v>59</v>
      </c>
      <c r="K12271" t="str">
        <f t="shared" si="496"/>
        <v>6F3</v>
      </c>
      <c r="L12271" t="s">
        <v>15</v>
      </c>
    </row>
    <row r="12272" spans="1:12" x14ac:dyDescent="0.25">
      <c r="A12272" t="str">
        <f>"8955049752"</f>
        <v>8955049752</v>
      </c>
      <c r="B12272" t="str">
        <f t="shared" si="495"/>
        <v>89301000</v>
      </c>
      <c r="C12272" s="1">
        <v>44318</v>
      </c>
      <c r="D12272" s="1">
        <v>44320</v>
      </c>
      <c r="E12272">
        <v>1</v>
      </c>
      <c r="F12272" t="s">
        <v>75</v>
      </c>
      <c r="G12272" t="str">
        <f>"14-M01-05"</f>
        <v>14-M01-05</v>
      </c>
      <c r="H12272">
        <v>0.54239999999999999</v>
      </c>
      <c r="J12272" t="s">
        <v>59</v>
      </c>
      <c r="K12272" t="str">
        <f t="shared" si="496"/>
        <v>6F3</v>
      </c>
      <c r="L12272" t="s">
        <v>15</v>
      </c>
    </row>
    <row r="12273" spans="1:12" x14ac:dyDescent="0.25">
      <c r="A12273" t="str">
        <f>"8955155297"</f>
        <v>8955155297</v>
      </c>
      <c r="B12273" t="str">
        <f t="shared" si="495"/>
        <v>89301000</v>
      </c>
      <c r="C12273" s="1">
        <v>44258</v>
      </c>
      <c r="D12273" s="1">
        <v>44260</v>
      </c>
      <c r="E12273">
        <v>1</v>
      </c>
      <c r="F12273" t="s">
        <v>7048</v>
      </c>
      <c r="G12273" t="str">
        <f>"13-I14-01"</f>
        <v>13-I14-01</v>
      </c>
      <c r="H12273">
        <v>2.1783999999999999</v>
      </c>
      <c r="I12273" t="s">
        <v>7955</v>
      </c>
      <c r="J12273" t="s">
        <v>24</v>
      </c>
      <c r="K12273" t="str">
        <f t="shared" si="496"/>
        <v>6F3</v>
      </c>
      <c r="L12273" t="s">
        <v>15</v>
      </c>
    </row>
    <row r="12274" spans="1:12" x14ac:dyDescent="0.25">
      <c r="A12274" t="str">
        <f>"8955176076"</f>
        <v>8955176076</v>
      </c>
      <c r="B12274" t="str">
        <f t="shared" si="495"/>
        <v>89301000</v>
      </c>
      <c r="C12274" s="1">
        <v>44362</v>
      </c>
      <c r="D12274" s="1">
        <v>44365</v>
      </c>
      <c r="E12274">
        <v>1</v>
      </c>
      <c r="F12274" t="s">
        <v>75</v>
      </c>
      <c r="G12274" t="str">
        <f>"14-M01-05"</f>
        <v>14-M01-05</v>
      </c>
      <c r="H12274">
        <v>0.54239999999999999</v>
      </c>
      <c r="I12274" t="s">
        <v>7956</v>
      </c>
      <c r="J12274" t="s">
        <v>59</v>
      </c>
      <c r="K12274" t="str">
        <f t="shared" si="496"/>
        <v>6F3</v>
      </c>
      <c r="L12274" t="s">
        <v>15</v>
      </c>
    </row>
    <row r="12275" spans="1:12" x14ac:dyDescent="0.25">
      <c r="A12275" t="str">
        <f>"8955185745"</f>
        <v>8955185745</v>
      </c>
      <c r="B12275" t="str">
        <f t="shared" si="495"/>
        <v>89301000</v>
      </c>
      <c r="C12275" s="1">
        <v>44470</v>
      </c>
      <c r="D12275" s="1">
        <v>44479</v>
      </c>
      <c r="E12275">
        <v>1</v>
      </c>
      <c r="F12275" t="s">
        <v>75</v>
      </c>
      <c r="G12275" t="str">
        <f>"14-M01-05"</f>
        <v>14-M01-05</v>
      </c>
      <c r="H12275">
        <v>0.73650000000000004</v>
      </c>
      <c r="I12275" t="s">
        <v>7957</v>
      </c>
      <c r="J12275" t="s">
        <v>59</v>
      </c>
      <c r="K12275" t="str">
        <f t="shared" si="496"/>
        <v>6F3</v>
      </c>
      <c r="L12275" t="s">
        <v>15</v>
      </c>
    </row>
    <row r="12276" spans="1:12" x14ac:dyDescent="0.25">
      <c r="A12276" t="str">
        <f>"8955185756"</f>
        <v>8955185756</v>
      </c>
      <c r="B12276" t="str">
        <f t="shared" si="495"/>
        <v>89301000</v>
      </c>
      <c r="C12276" s="1">
        <v>44532</v>
      </c>
      <c r="D12276" s="1">
        <v>44535</v>
      </c>
      <c r="E12276">
        <v>1</v>
      </c>
      <c r="F12276" t="s">
        <v>61</v>
      </c>
      <c r="G12276" t="str">
        <f>"14-I01-05"</f>
        <v>14-I01-05</v>
      </c>
      <c r="H12276">
        <v>0.80030000000000001</v>
      </c>
      <c r="I12276" t="s">
        <v>62</v>
      </c>
      <c r="J12276" t="s">
        <v>59</v>
      </c>
      <c r="K12276" t="str">
        <f t="shared" si="496"/>
        <v>6F3</v>
      </c>
      <c r="L12276" t="s">
        <v>15</v>
      </c>
    </row>
    <row r="12277" spans="1:12" x14ac:dyDescent="0.25">
      <c r="A12277" t="str">
        <f>"8955196140"</f>
        <v>8955196140</v>
      </c>
      <c r="B12277" t="str">
        <f t="shared" si="495"/>
        <v>89301000</v>
      </c>
      <c r="C12277" s="1">
        <v>44452</v>
      </c>
      <c r="D12277" s="1">
        <v>44455</v>
      </c>
      <c r="E12277">
        <v>1</v>
      </c>
      <c r="F12277" t="s">
        <v>75</v>
      </c>
      <c r="G12277" t="str">
        <f>"14-M01-05"</f>
        <v>14-M01-05</v>
      </c>
      <c r="H12277">
        <v>0.54239999999999999</v>
      </c>
      <c r="I12277" t="s">
        <v>7692</v>
      </c>
      <c r="J12277" t="s">
        <v>59</v>
      </c>
      <c r="K12277" t="str">
        <f t="shared" si="496"/>
        <v>6F3</v>
      </c>
      <c r="L12277" t="s">
        <v>15</v>
      </c>
    </row>
    <row r="12278" spans="1:12" x14ac:dyDescent="0.25">
      <c r="A12278" t="str">
        <f>"8955215775"</f>
        <v>8955215775</v>
      </c>
      <c r="B12278" t="str">
        <f t="shared" si="495"/>
        <v>89301000</v>
      </c>
      <c r="C12278" s="1">
        <v>44525</v>
      </c>
      <c r="D12278" s="1">
        <v>44528</v>
      </c>
      <c r="E12278">
        <v>1</v>
      </c>
      <c r="F12278" t="s">
        <v>75</v>
      </c>
      <c r="G12278" t="str">
        <f>"14-M01-05"</f>
        <v>14-M01-05</v>
      </c>
      <c r="H12278">
        <v>0.54239999999999999</v>
      </c>
      <c r="I12278" t="s">
        <v>7532</v>
      </c>
      <c r="J12278" t="s">
        <v>59</v>
      </c>
      <c r="K12278" t="str">
        <f t="shared" si="496"/>
        <v>6F3</v>
      </c>
      <c r="L12278" t="s">
        <v>15</v>
      </c>
    </row>
    <row r="12279" spans="1:12" x14ac:dyDescent="0.25">
      <c r="A12279" t="str">
        <f>"8955245717"</f>
        <v>8955245717</v>
      </c>
      <c r="B12279" t="str">
        <f t="shared" si="495"/>
        <v>89301000</v>
      </c>
      <c r="C12279" s="1">
        <v>44270</v>
      </c>
      <c r="D12279" s="1">
        <v>44272</v>
      </c>
      <c r="E12279">
        <v>1</v>
      </c>
      <c r="F12279" t="s">
        <v>75</v>
      </c>
      <c r="G12279" t="str">
        <f>"14-M01-05"</f>
        <v>14-M01-05</v>
      </c>
      <c r="H12279">
        <v>0.54239999999999999</v>
      </c>
      <c r="J12279" t="s">
        <v>59</v>
      </c>
      <c r="K12279" t="str">
        <f t="shared" si="496"/>
        <v>6F3</v>
      </c>
      <c r="L12279" t="s">
        <v>15</v>
      </c>
    </row>
    <row r="12280" spans="1:12" x14ac:dyDescent="0.25">
      <c r="A12280" t="str">
        <f>"8955255331"</f>
        <v>8955255331</v>
      </c>
      <c r="B12280" t="str">
        <f t="shared" si="495"/>
        <v>89301000</v>
      </c>
      <c r="C12280" s="1">
        <v>44518</v>
      </c>
      <c r="D12280" s="1">
        <v>44522</v>
      </c>
      <c r="E12280">
        <v>1</v>
      </c>
      <c r="F12280" t="s">
        <v>134</v>
      </c>
      <c r="G12280" t="str">
        <f>"16-I04-01"</f>
        <v>16-I04-01</v>
      </c>
      <c r="H12280">
        <v>1.0085999999999999</v>
      </c>
      <c r="J12280" t="s">
        <v>17</v>
      </c>
      <c r="K12280" t="str">
        <f>"7F1"</f>
        <v>7F1</v>
      </c>
      <c r="L12280" t="s">
        <v>15</v>
      </c>
    </row>
    <row r="12281" spans="1:12" x14ac:dyDescent="0.25">
      <c r="A12281" t="str">
        <f>"8956075733"</f>
        <v>8956075733</v>
      </c>
      <c r="B12281" t="str">
        <f t="shared" si="495"/>
        <v>89301000</v>
      </c>
      <c r="C12281" s="1">
        <v>44342</v>
      </c>
      <c r="D12281" s="1">
        <v>44346</v>
      </c>
      <c r="E12281">
        <v>1</v>
      </c>
      <c r="F12281" t="s">
        <v>51</v>
      </c>
      <c r="G12281" t="str">
        <f>"13-I17-00"</f>
        <v>13-I17-00</v>
      </c>
      <c r="H12281">
        <v>0.74590000000000001</v>
      </c>
      <c r="J12281" t="s">
        <v>24</v>
      </c>
      <c r="K12281" t="str">
        <f>"6F3"</f>
        <v>6F3</v>
      </c>
      <c r="L12281" t="s">
        <v>15</v>
      </c>
    </row>
    <row r="12282" spans="1:12" x14ac:dyDescent="0.25">
      <c r="A12282" t="str">
        <f>"8956076195"</f>
        <v>8956076195</v>
      </c>
      <c r="B12282" t="str">
        <f t="shared" si="495"/>
        <v>89301000</v>
      </c>
      <c r="C12282" s="1">
        <v>44326</v>
      </c>
      <c r="D12282" s="1">
        <v>44329</v>
      </c>
      <c r="E12282">
        <v>1</v>
      </c>
      <c r="F12282" t="s">
        <v>75</v>
      </c>
      <c r="G12282" t="str">
        <f>"14-M01-05"</f>
        <v>14-M01-05</v>
      </c>
      <c r="H12282">
        <v>0.54239999999999999</v>
      </c>
      <c r="I12282" t="s">
        <v>76</v>
      </c>
      <c r="J12282" t="s">
        <v>59</v>
      </c>
      <c r="K12282" t="str">
        <f>"6F3"</f>
        <v>6F3</v>
      </c>
      <c r="L12282" t="s">
        <v>15</v>
      </c>
    </row>
    <row r="12283" spans="1:12" x14ac:dyDescent="0.25">
      <c r="A12283" t="str">
        <f>"8956095731"</f>
        <v>8956095731</v>
      </c>
      <c r="B12283" t="str">
        <f t="shared" si="495"/>
        <v>89301000</v>
      </c>
      <c r="C12283" s="1">
        <v>44240</v>
      </c>
      <c r="D12283" s="1">
        <v>44242</v>
      </c>
      <c r="E12283">
        <v>1</v>
      </c>
      <c r="F12283" t="s">
        <v>75</v>
      </c>
      <c r="G12283" t="str">
        <f>"14-M01-05"</f>
        <v>14-M01-05</v>
      </c>
      <c r="H12283">
        <v>0.54239999999999999</v>
      </c>
      <c r="I12283" t="s">
        <v>76</v>
      </c>
      <c r="J12283" t="s">
        <v>59</v>
      </c>
      <c r="K12283" t="str">
        <f>"6F3"</f>
        <v>6F3</v>
      </c>
      <c r="L12283" t="s">
        <v>15</v>
      </c>
    </row>
    <row r="12284" spans="1:12" x14ac:dyDescent="0.25">
      <c r="A12284" t="str">
        <f>"8956115707"</f>
        <v>8956115707</v>
      </c>
      <c r="B12284" t="str">
        <f t="shared" si="495"/>
        <v>89301000</v>
      </c>
      <c r="C12284" s="1">
        <v>44391</v>
      </c>
      <c r="D12284" s="1">
        <v>44406</v>
      </c>
      <c r="E12284">
        <v>1</v>
      </c>
      <c r="F12284" t="s">
        <v>116</v>
      </c>
      <c r="G12284" t="str">
        <f>"14-M01-05"</f>
        <v>14-M01-05</v>
      </c>
      <c r="H12284">
        <v>1.1246</v>
      </c>
      <c r="I12284" t="s">
        <v>7108</v>
      </c>
      <c r="J12284" t="s">
        <v>59</v>
      </c>
      <c r="K12284" t="str">
        <f>"6F3"</f>
        <v>6F3</v>
      </c>
      <c r="L12284" t="s">
        <v>15</v>
      </c>
    </row>
    <row r="12285" spans="1:12" x14ac:dyDescent="0.25">
      <c r="A12285" t="str">
        <f>"8956206149"</f>
        <v>8956206149</v>
      </c>
      <c r="B12285" t="str">
        <f t="shared" si="495"/>
        <v>89301000</v>
      </c>
      <c r="C12285" s="1">
        <v>44358</v>
      </c>
      <c r="D12285" s="1">
        <v>44361</v>
      </c>
      <c r="E12285">
        <v>1</v>
      </c>
      <c r="F12285" t="s">
        <v>75</v>
      </c>
      <c r="G12285" t="str">
        <f>"14-M01-05"</f>
        <v>14-M01-05</v>
      </c>
      <c r="H12285">
        <v>0.54239999999999999</v>
      </c>
      <c r="J12285" t="s">
        <v>59</v>
      </c>
      <c r="K12285" t="str">
        <f>"6F3"</f>
        <v>6F3</v>
      </c>
      <c r="L12285" t="s">
        <v>15</v>
      </c>
    </row>
    <row r="12286" spans="1:12" x14ac:dyDescent="0.25">
      <c r="A12286" t="str">
        <f>"8956224486"</f>
        <v>8956224486</v>
      </c>
      <c r="B12286" t="str">
        <f t="shared" si="495"/>
        <v>89301000</v>
      </c>
      <c r="C12286" s="1">
        <v>44476</v>
      </c>
      <c r="D12286" s="1">
        <v>44478</v>
      </c>
      <c r="E12286">
        <v>1</v>
      </c>
      <c r="F12286" t="s">
        <v>71</v>
      </c>
      <c r="G12286" t="str">
        <f>"08-M03-04"</f>
        <v>08-M03-04</v>
      </c>
      <c r="H12286">
        <v>0.8609</v>
      </c>
      <c r="I12286" t="s">
        <v>615</v>
      </c>
      <c r="J12286" t="s">
        <v>14</v>
      </c>
      <c r="K12286" t="str">
        <f>"6F6"</f>
        <v>6F6</v>
      </c>
      <c r="L12286" t="s">
        <v>15</v>
      </c>
    </row>
    <row r="12287" spans="1:12" x14ac:dyDescent="0.25">
      <c r="A12287" t="str">
        <f>"8956225388"</f>
        <v>8956225388</v>
      </c>
      <c r="B12287" t="str">
        <f t="shared" si="495"/>
        <v>89301000</v>
      </c>
      <c r="C12287" s="1">
        <v>44441</v>
      </c>
      <c r="D12287" s="1">
        <v>44443</v>
      </c>
      <c r="E12287">
        <v>1</v>
      </c>
      <c r="F12287" t="s">
        <v>173</v>
      </c>
      <c r="G12287" t="str">
        <f>"08-I32-02"</f>
        <v>08-I32-02</v>
      </c>
      <c r="H12287">
        <v>0.4143</v>
      </c>
      <c r="J12287" t="s">
        <v>14</v>
      </c>
      <c r="K12287" t="str">
        <f>"5F3"</f>
        <v>5F3</v>
      </c>
      <c r="L12287" t="s">
        <v>15</v>
      </c>
    </row>
    <row r="12288" spans="1:12" x14ac:dyDescent="0.25">
      <c r="A12288" t="str">
        <f>"8956225762"</f>
        <v>8956225762</v>
      </c>
      <c r="B12288" t="str">
        <f t="shared" si="495"/>
        <v>89301000</v>
      </c>
      <c r="C12288" s="1">
        <v>44251</v>
      </c>
      <c r="D12288" s="1">
        <v>44252</v>
      </c>
      <c r="E12288">
        <v>1</v>
      </c>
      <c r="F12288" t="s">
        <v>60</v>
      </c>
      <c r="G12288" t="str">
        <f>"14-K03-02"</f>
        <v>14-K03-02</v>
      </c>
      <c r="H12288">
        <v>0.2646</v>
      </c>
      <c r="J12288" t="s">
        <v>14</v>
      </c>
      <c r="K12288" t="str">
        <f t="shared" ref="K12288:K12297" si="497">"6F3"</f>
        <v>6F3</v>
      </c>
      <c r="L12288" t="s">
        <v>15</v>
      </c>
    </row>
    <row r="12289" spans="1:12" x14ac:dyDescent="0.25">
      <c r="A12289" t="str">
        <f>"8956225762"</f>
        <v>8956225762</v>
      </c>
      <c r="B12289" t="str">
        <f t="shared" si="495"/>
        <v>89301000</v>
      </c>
      <c r="C12289" s="1">
        <v>44259</v>
      </c>
      <c r="D12289" s="1">
        <v>44262</v>
      </c>
      <c r="E12289">
        <v>1</v>
      </c>
      <c r="F12289" t="s">
        <v>61</v>
      </c>
      <c r="G12289" t="str">
        <f>"14-I01-05"</f>
        <v>14-I01-05</v>
      </c>
      <c r="H12289">
        <v>0.80030000000000001</v>
      </c>
      <c r="I12289" t="s">
        <v>7958</v>
      </c>
      <c r="J12289" t="s">
        <v>59</v>
      </c>
      <c r="K12289" t="str">
        <f t="shared" si="497"/>
        <v>6F3</v>
      </c>
      <c r="L12289" t="s">
        <v>15</v>
      </c>
    </row>
    <row r="12290" spans="1:12" x14ac:dyDescent="0.25">
      <c r="A12290" t="str">
        <f>"8956252514"</f>
        <v>8956252514</v>
      </c>
      <c r="B12290" t="str">
        <f t="shared" si="495"/>
        <v>89301000</v>
      </c>
      <c r="C12290" s="1">
        <v>44241</v>
      </c>
      <c r="D12290" s="1">
        <v>44246</v>
      </c>
      <c r="E12290">
        <v>1</v>
      </c>
      <c r="F12290" t="s">
        <v>75</v>
      </c>
      <c r="G12290" t="str">
        <f>"14-M01-05"</f>
        <v>14-M01-05</v>
      </c>
      <c r="H12290">
        <v>0.54239999999999999</v>
      </c>
      <c r="I12290" t="s">
        <v>7959</v>
      </c>
      <c r="J12290" t="s">
        <v>59</v>
      </c>
      <c r="K12290" t="str">
        <f t="shared" si="497"/>
        <v>6F3</v>
      </c>
      <c r="L12290" t="s">
        <v>15</v>
      </c>
    </row>
    <row r="12291" spans="1:12" x14ac:dyDescent="0.25">
      <c r="A12291" t="str">
        <f>"8956286064"</f>
        <v>8956286064</v>
      </c>
      <c r="B12291" t="str">
        <f t="shared" si="495"/>
        <v>89301000</v>
      </c>
      <c r="C12291" s="1">
        <v>44250</v>
      </c>
      <c r="D12291" s="1">
        <v>44253</v>
      </c>
      <c r="E12291">
        <v>1</v>
      </c>
      <c r="F12291" t="s">
        <v>75</v>
      </c>
      <c r="G12291" t="str">
        <f>"14-M01-05"</f>
        <v>14-M01-05</v>
      </c>
      <c r="H12291">
        <v>0.54239999999999999</v>
      </c>
      <c r="I12291" t="s">
        <v>426</v>
      </c>
      <c r="J12291" t="s">
        <v>59</v>
      </c>
      <c r="K12291" t="str">
        <f t="shared" si="497"/>
        <v>6F3</v>
      </c>
      <c r="L12291" t="s">
        <v>15</v>
      </c>
    </row>
    <row r="12292" spans="1:12" x14ac:dyDescent="0.25">
      <c r="A12292" t="str">
        <f>"8957115046"</f>
        <v>8957115046</v>
      </c>
      <c r="B12292" t="str">
        <f t="shared" si="495"/>
        <v>89301000</v>
      </c>
      <c r="C12292" s="1">
        <v>44278</v>
      </c>
      <c r="D12292" s="1">
        <v>44279</v>
      </c>
      <c r="E12292">
        <v>1</v>
      </c>
      <c r="F12292" t="s">
        <v>75</v>
      </c>
      <c r="G12292" t="str">
        <f>"14-M01-05"</f>
        <v>14-M01-05</v>
      </c>
      <c r="H12292">
        <v>0.54239999999999999</v>
      </c>
      <c r="I12292" t="s">
        <v>118</v>
      </c>
      <c r="J12292" t="s">
        <v>59</v>
      </c>
      <c r="K12292" t="str">
        <f t="shared" si="497"/>
        <v>6F3</v>
      </c>
      <c r="L12292" t="s">
        <v>15</v>
      </c>
    </row>
    <row r="12293" spans="1:12" x14ac:dyDescent="0.25">
      <c r="A12293" t="str">
        <f>"8957135726"</f>
        <v>8957135726</v>
      </c>
      <c r="B12293" t="str">
        <f t="shared" si="495"/>
        <v>89301000</v>
      </c>
      <c r="C12293" s="1">
        <v>44464</v>
      </c>
      <c r="D12293" s="1">
        <v>44468</v>
      </c>
      <c r="E12293">
        <v>1</v>
      </c>
      <c r="F12293" t="s">
        <v>75</v>
      </c>
      <c r="G12293" t="str">
        <f>"14-M01-05"</f>
        <v>14-M01-05</v>
      </c>
      <c r="H12293">
        <v>0.54239999999999999</v>
      </c>
      <c r="I12293" t="s">
        <v>7420</v>
      </c>
      <c r="J12293" t="s">
        <v>59</v>
      </c>
      <c r="K12293" t="str">
        <f t="shared" si="497"/>
        <v>6F3</v>
      </c>
      <c r="L12293" t="s">
        <v>15</v>
      </c>
    </row>
    <row r="12294" spans="1:12" x14ac:dyDescent="0.25">
      <c r="A12294" t="str">
        <f>"8957205719"</f>
        <v>8957205719</v>
      </c>
      <c r="B12294" t="str">
        <f t="shared" si="495"/>
        <v>89301000</v>
      </c>
      <c r="C12294" s="1">
        <v>44328</v>
      </c>
      <c r="D12294" s="1">
        <v>44330</v>
      </c>
      <c r="E12294">
        <v>6</v>
      </c>
      <c r="F12294" t="s">
        <v>82</v>
      </c>
      <c r="G12294" t="str">
        <f>"14-I01-05"</f>
        <v>14-I01-05</v>
      </c>
      <c r="H12294">
        <v>0.80030000000000001</v>
      </c>
      <c r="I12294" t="s">
        <v>116</v>
      </c>
      <c r="J12294" t="s">
        <v>59</v>
      </c>
      <c r="K12294" t="str">
        <f t="shared" si="497"/>
        <v>6F3</v>
      </c>
      <c r="L12294" t="s">
        <v>15</v>
      </c>
    </row>
    <row r="12295" spans="1:12" x14ac:dyDescent="0.25">
      <c r="A12295" t="str">
        <f>"8957205741"</f>
        <v>8957205741</v>
      </c>
      <c r="B12295" t="str">
        <f t="shared" si="495"/>
        <v>89301000</v>
      </c>
      <c r="C12295" s="1">
        <v>44264</v>
      </c>
      <c r="D12295" s="1">
        <v>44267</v>
      </c>
      <c r="E12295">
        <v>1</v>
      </c>
      <c r="F12295" t="s">
        <v>75</v>
      </c>
      <c r="G12295" t="str">
        <f>"14-M01-05"</f>
        <v>14-M01-05</v>
      </c>
      <c r="H12295">
        <v>0.54239999999999999</v>
      </c>
      <c r="I12295" t="s">
        <v>7960</v>
      </c>
      <c r="J12295" t="s">
        <v>59</v>
      </c>
      <c r="K12295" t="str">
        <f t="shared" si="497"/>
        <v>6F3</v>
      </c>
      <c r="L12295" t="s">
        <v>15</v>
      </c>
    </row>
    <row r="12296" spans="1:12" x14ac:dyDescent="0.25">
      <c r="A12296" t="str">
        <f>"8957205895"</f>
        <v>8957205895</v>
      </c>
      <c r="B12296" t="str">
        <f t="shared" si="495"/>
        <v>89301000</v>
      </c>
      <c r="C12296" s="1">
        <v>44492</v>
      </c>
      <c r="D12296" s="1">
        <v>44494</v>
      </c>
      <c r="E12296">
        <v>1</v>
      </c>
      <c r="F12296" t="s">
        <v>116</v>
      </c>
      <c r="G12296" t="str">
        <f>"14-M01-05"</f>
        <v>14-M01-05</v>
      </c>
      <c r="H12296">
        <v>0.54239999999999999</v>
      </c>
      <c r="I12296" t="s">
        <v>7504</v>
      </c>
      <c r="J12296" t="s">
        <v>59</v>
      </c>
      <c r="K12296" t="str">
        <f t="shared" si="497"/>
        <v>6F3</v>
      </c>
      <c r="L12296" t="s">
        <v>15</v>
      </c>
    </row>
    <row r="12297" spans="1:12" x14ac:dyDescent="0.25">
      <c r="A12297" t="str">
        <f>"8957225332"</f>
        <v>8957225332</v>
      </c>
      <c r="B12297" t="str">
        <f t="shared" si="495"/>
        <v>89301000</v>
      </c>
      <c r="C12297" s="1">
        <v>44380</v>
      </c>
      <c r="D12297" s="1">
        <v>44383</v>
      </c>
      <c r="E12297">
        <v>1</v>
      </c>
      <c r="F12297" t="s">
        <v>75</v>
      </c>
      <c r="G12297" t="str">
        <f>"14-M01-05"</f>
        <v>14-M01-05</v>
      </c>
      <c r="H12297">
        <v>0.54239999999999999</v>
      </c>
      <c r="I12297" t="s">
        <v>7718</v>
      </c>
      <c r="J12297" t="s">
        <v>59</v>
      </c>
      <c r="K12297" t="str">
        <f t="shared" si="497"/>
        <v>6F3</v>
      </c>
      <c r="L12297" t="s">
        <v>15</v>
      </c>
    </row>
    <row r="12298" spans="1:12" x14ac:dyDescent="0.25">
      <c r="A12298" t="str">
        <f>"8957265713"</f>
        <v>8957265713</v>
      </c>
      <c r="B12298" t="str">
        <f t="shared" si="495"/>
        <v>89301000</v>
      </c>
      <c r="C12298" s="1">
        <v>44347</v>
      </c>
      <c r="D12298" s="1">
        <v>44349</v>
      </c>
      <c r="E12298">
        <v>1</v>
      </c>
      <c r="F12298" t="s">
        <v>64</v>
      </c>
      <c r="G12298" t="str">
        <f>"08-I31-04"</f>
        <v>08-I31-04</v>
      </c>
      <c r="H12298">
        <v>0.50949999999999995</v>
      </c>
      <c r="J12298" t="s">
        <v>14</v>
      </c>
      <c r="K12298" t="str">
        <f>"6F6"</f>
        <v>6F6</v>
      </c>
      <c r="L12298" t="s">
        <v>15</v>
      </c>
    </row>
    <row r="12299" spans="1:12" x14ac:dyDescent="0.25">
      <c r="A12299" t="str">
        <f>"8958035746"</f>
        <v>8958035746</v>
      </c>
      <c r="B12299" t="str">
        <f t="shared" si="495"/>
        <v>89301000</v>
      </c>
      <c r="C12299" s="1">
        <v>44420</v>
      </c>
      <c r="D12299" s="1">
        <v>44423</v>
      </c>
      <c r="E12299">
        <v>1</v>
      </c>
      <c r="F12299" t="s">
        <v>75</v>
      </c>
      <c r="G12299" t="str">
        <f>"14-M01-05"</f>
        <v>14-M01-05</v>
      </c>
      <c r="H12299">
        <v>0.54239999999999999</v>
      </c>
      <c r="I12299" t="s">
        <v>7587</v>
      </c>
      <c r="J12299" t="s">
        <v>59</v>
      </c>
      <c r="K12299" t="str">
        <f t="shared" ref="K12299:K12306" si="498">"6F3"</f>
        <v>6F3</v>
      </c>
      <c r="L12299" t="s">
        <v>15</v>
      </c>
    </row>
    <row r="12300" spans="1:12" x14ac:dyDescent="0.25">
      <c r="A12300" t="str">
        <f>"8958045701"</f>
        <v>8958045701</v>
      </c>
      <c r="B12300" t="str">
        <f t="shared" si="495"/>
        <v>89301000</v>
      </c>
      <c r="C12300" s="1">
        <v>44549</v>
      </c>
      <c r="D12300" s="1">
        <v>44552</v>
      </c>
      <c r="E12300">
        <v>1</v>
      </c>
      <c r="F12300" t="s">
        <v>75</v>
      </c>
      <c r="G12300" t="str">
        <f>"14-M01-05"</f>
        <v>14-M01-05</v>
      </c>
      <c r="H12300">
        <v>0.54239999999999999</v>
      </c>
      <c r="I12300" t="s">
        <v>7706</v>
      </c>
      <c r="J12300" t="s">
        <v>59</v>
      </c>
      <c r="K12300" t="str">
        <f t="shared" si="498"/>
        <v>6F3</v>
      </c>
      <c r="L12300" t="s">
        <v>15</v>
      </c>
    </row>
    <row r="12301" spans="1:12" x14ac:dyDescent="0.25">
      <c r="A12301" t="str">
        <f>"8958045745"</f>
        <v>8958045745</v>
      </c>
      <c r="B12301" t="str">
        <f t="shared" si="495"/>
        <v>89301000</v>
      </c>
      <c r="C12301" s="1">
        <v>44511</v>
      </c>
      <c r="D12301" s="1">
        <v>44512</v>
      </c>
      <c r="E12301">
        <v>1</v>
      </c>
      <c r="F12301" t="s">
        <v>7897</v>
      </c>
      <c r="G12301" t="str">
        <f>"14-I08-03"</f>
        <v>14-I08-03</v>
      </c>
      <c r="H12301">
        <v>0.2697</v>
      </c>
      <c r="J12301" t="s">
        <v>14</v>
      </c>
      <c r="K12301" t="str">
        <f t="shared" si="498"/>
        <v>6F3</v>
      </c>
      <c r="L12301" t="s">
        <v>15</v>
      </c>
    </row>
    <row r="12302" spans="1:12" x14ac:dyDescent="0.25">
      <c r="A12302" t="str">
        <f>"8958075423"</f>
        <v>8958075423</v>
      </c>
      <c r="B12302" t="str">
        <f t="shared" si="495"/>
        <v>89301000</v>
      </c>
      <c r="C12302" s="1">
        <v>44376</v>
      </c>
      <c r="D12302" s="1">
        <v>44379</v>
      </c>
      <c r="E12302">
        <v>1</v>
      </c>
      <c r="F12302" t="s">
        <v>75</v>
      </c>
      <c r="G12302" t="str">
        <f>"14-M01-05"</f>
        <v>14-M01-05</v>
      </c>
      <c r="H12302">
        <v>0.54239999999999999</v>
      </c>
      <c r="I12302" t="s">
        <v>256</v>
      </c>
      <c r="J12302" t="s">
        <v>59</v>
      </c>
      <c r="K12302" t="str">
        <f t="shared" si="498"/>
        <v>6F3</v>
      </c>
      <c r="L12302" t="s">
        <v>15</v>
      </c>
    </row>
    <row r="12303" spans="1:12" x14ac:dyDescent="0.25">
      <c r="A12303" t="str">
        <f>"8958136154"</f>
        <v>8958136154</v>
      </c>
      <c r="B12303" t="str">
        <f t="shared" si="495"/>
        <v>89301000</v>
      </c>
      <c r="C12303" s="1">
        <v>44249</v>
      </c>
      <c r="D12303" s="1">
        <v>44252</v>
      </c>
      <c r="E12303">
        <v>1</v>
      </c>
      <c r="F12303" t="s">
        <v>75</v>
      </c>
      <c r="G12303" t="str">
        <f>"14-M01-05"</f>
        <v>14-M01-05</v>
      </c>
      <c r="H12303">
        <v>0.54239999999999999</v>
      </c>
      <c r="I12303" t="s">
        <v>76</v>
      </c>
      <c r="J12303" t="s">
        <v>59</v>
      </c>
      <c r="K12303" t="str">
        <f t="shared" si="498"/>
        <v>6F3</v>
      </c>
      <c r="L12303" t="s">
        <v>15</v>
      </c>
    </row>
    <row r="12304" spans="1:12" x14ac:dyDescent="0.25">
      <c r="A12304" t="str">
        <f>"8958155734"</f>
        <v>8958155734</v>
      </c>
      <c r="B12304" t="str">
        <f t="shared" si="495"/>
        <v>89301000</v>
      </c>
      <c r="C12304" s="1">
        <v>44519</v>
      </c>
      <c r="D12304" s="1">
        <v>44519</v>
      </c>
      <c r="E12304">
        <v>6</v>
      </c>
      <c r="F12304" t="s">
        <v>116</v>
      </c>
      <c r="G12304" t="str">
        <f>"14-M01-05"</f>
        <v>14-M01-05</v>
      </c>
      <c r="H12304">
        <v>0.27289999999999998</v>
      </c>
      <c r="I12304" t="s">
        <v>7961</v>
      </c>
      <c r="J12304" t="s">
        <v>59</v>
      </c>
      <c r="K12304" t="str">
        <f t="shared" si="498"/>
        <v>6F3</v>
      </c>
      <c r="L12304" t="s">
        <v>15</v>
      </c>
    </row>
    <row r="12305" spans="1:12" x14ac:dyDescent="0.25">
      <c r="A12305" t="str">
        <f>"8958165700"</f>
        <v>8958165700</v>
      </c>
      <c r="B12305" t="str">
        <f t="shared" si="495"/>
        <v>89301000</v>
      </c>
      <c r="C12305" s="1">
        <v>44537</v>
      </c>
      <c r="D12305" s="1">
        <v>44545</v>
      </c>
      <c r="E12305">
        <v>1</v>
      </c>
      <c r="F12305" t="s">
        <v>61</v>
      </c>
      <c r="G12305" t="str">
        <f>"14-I01-05"</f>
        <v>14-I01-05</v>
      </c>
      <c r="H12305">
        <v>0.80030000000000001</v>
      </c>
      <c r="I12305" t="s">
        <v>91</v>
      </c>
      <c r="J12305" t="s">
        <v>59</v>
      </c>
      <c r="K12305" t="str">
        <f t="shared" si="498"/>
        <v>6F3</v>
      </c>
      <c r="L12305" t="s">
        <v>15</v>
      </c>
    </row>
    <row r="12306" spans="1:12" x14ac:dyDescent="0.25">
      <c r="A12306" t="str">
        <f>"8958195708"</f>
        <v>8958195708</v>
      </c>
      <c r="B12306" t="str">
        <f t="shared" si="495"/>
        <v>89301000</v>
      </c>
      <c r="C12306" s="1">
        <v>44465</v>
      </c>
      <c r="D12306" s="1">
        <v>44466</v>
      </c>
      <c r="E12306">
        <v>1</v>
      </c>
      <c r="F12306" t="s">
        <v>336</v>
      </c>
      <c r="G12306" t="str">
        <f>"14-I08-03"</f>
        <v>14-I08-03</v>
      </c>
      <c r="H12306">
        <v>0.21099999999999999</v>
      </c>
      <c r="J12306" t="s">
        <v>14</v>
      </c>
      <c r="K12306" t="str">
        <f t="shared" si="498"/>
        <v>6F3</v>
      </c>
      <c r="L12306" t="s">
        <v>15</v>
      </c>
    </row>
    <row r="12307" spans="1:12" x14ac:dyDescent="0.25">
      <c r="A12307" t="str">
        <f>"8958215706"</f>
        <v>8958215706</v>
      </c>
      <c r="B12307" t="str">
        <f t="shared" si="495"/>
        <v>89301000</v>
      </c>
      <c r="C12307" s="1">
        <v>44277</v>
      </c>
      <c r="D12307" s="1">
        <v>44283</v>
      </c>
      <c r="E12307">
        <v>1</v>
      </c>
      <c r="F12307" t="s">
        <v>5947</v>
      </c>
      <c r="G12307" t="str">
        <f>"01-K07-02"</f>
        <v>01-K07-02</v>
      </c>
      <c r="H12307">
        <v>0.59279999999999999</v>
      </c>
      <c r="I12307" t="s">
        <v>7962</v>
      </c>
      <c r="J12307" t="s">
        <v>14</v>
      </c>
      <c r="K12307" t="str">
        <f>"2F9"</f>
        <v>2F9</v>
      </c>
      <c r="L12307" t="s">
        <v>15</v>
      </c>
    </row>
    <row r="12308" spans="1:12" x14ac:dyDescent="0.25">
      <c r="A12308" t="str">
        <f>"8958215706"</f>
        <v>8958215706</v>
      </c>
      <c r="B12308" t="str">
        <f t="shared" si="495"/>
        <v>89301000</v>
      </c>
      <c r="C12308" s="1">
        <v>44214</v>
      </c>
      <c r="D12308" s="1">
        <v>44216</v>
      </c>
      <c r="E12308">
        <v>1</v>
      </c>
      <c r="F12308" t="s">
        <v>5947</v>
      </c>
      <c r="G12308" t="str">
        <f>"01-K07-02"</f>
        <v>01-K07-02</v>
      </c>
      <c r="H12308">
        <v>0.59279999999999999</v>
      </c>
      <c r="I12308" t="s">
        <v>7963</v>
      </c>
      <c r="J12308" t="s">
        <v>14</v>
      </c>
      <c r="K12308" t="str">
        <f>"2F9"</f>
        <v>2F9</v>
      </c>
      <c r="L12308" t="s">
        <v>15</v>
      </c>
    </row>
    <row r="12309" spans="1:12" x14ac:dyDescent="0.25">
      <c r="A12309" t="str">
        <f>"8958276063"</f>
        <v>8958276063</v>
      </c>
      <c r="B12309" t="str">
        <f t="shared" si="495"/>
        <v>89301000</v>
      </c>
      <c r="C12309" s="1">
        <v>44440</v>
      </c>
      <c r="D12309" s="1">
        <v>44445</v>
      </c>
      <c r="E12309">
        <v>1</v>
      </c>
      <c r="F12309" t="s">
        <v>6425</v>
      </c>
      <c r="G12309" t="str">
        <f>"13-I04-01"</f>
        <v>13-I04-01</v>
      </c>
      <c r="H12309">
        <v>2.6413000000000002</v>
      </c>
      <c r="J12309" t="s">
        <v>14</v>
      </c>
      <c r="K12309" t="str">
        <f t="shared" ref="K12309:K12317" si="499">"6F3"</f>
        <v>6F3</v>
      </c>
      <c r="L12309" t="s">
        <v>15</v>
      </c>
    </row>
    <row r="12310" spans="1:12" x14ac:dyDescent="0.25">
      <c r="A12310" t="str">
        <f>"8958285094"</f>
        <v>8958285094</v>
      </c>
      <c r="B12310" t="str">
        <f t="shared" si="495"/>
        <v>89301000</v>
      </c>
      <c r="C12310" s="1">
        <v>44402</v>
      </c>
      <c r="D12310" s="1">
        <v>44406</v>
      </c>
      <c r="E12310">
        <v>1</v>
      </c>
      <c r="F12310" t="s">
        <v>61</v>
      </c>
      <c r="G12310" t="str">
        <f>"14-I01-05"</f>
        <v>14-I01-05</v>
      </c>
      <c r="H12310">
        <v>0.80030000000000001</v>
      </c>
      <c r="I12310" t="s">
        <v>7572</v>
      </c>
      <c r="J12310" t="s">
        <v>59</v>
      </c>
      <c r="K12310" t="str">
        <f t="shared" si="499"/>
        <v>6F3</v>
      </c>
      <c r="L12310" t="s">
        <v>15</v>
      </c>
    </row>
    <row r="12311" spans="1:12" x14ac:dyDescent="0.25">
      <c r="A12311" t="str">
        <f>"8959015736"</f>
        <v>8959015736</v>
      </c>
      <c r="B12311" t="str">
        <f t="shared" si="495"/>
        <v>89301000</v>
      </c>
      <c r="C12311" s="1">
        <v>44531</v>
      </c>
      <c r="D12311" s="1">
        <v>44535</v>
      </c>
      <c r="E12311">
        <v>1</v>
      </c>
      <c r="F12311" t="s">
        <v>75</v>
      </c>
      <c r="G12311" t="str">
        <f>"14-M01-05"</f>
        <v>14-M01-05</v>
      </c>
      <c r="H12311">
        <v>0.54239999999999999</v>
      </c>
      <c r="I12311" t="s">
        <v>7964</v>
      </c>
      <c r="J12311" t="s">
        <v>59</v>
      </c>
      <c r="K12311" t="str">
        <f t="shared" si="499"/>
        <v>6F3</v>
      </c>
      <c r="L12311" t="s">
        <v>15</v>
      </c>
    </row>
    <row r="12312" spans="1:12" x14ac:dyDescent="0.25">
      <c r="A12312" t="str">
        <f>"8959035734"</f>
        <v>8959035734</v>
      </c>
      <c r="B12312" t="str">
        <f t="shared" si="495"/>
        <v>89301000</v>
      </c>
      <c r="C12312" s="1">
        <v>44210</v>
      </c>
      <c r="D12312" s="1">
        <v>44213</v>
      </c>
      <c r="E12312">
        <v>1</v>
      </c>
      <c r="F12312" t="s">
        <v>112</v>
      </c>
      <c r="G12312" t="str">
        <f>"14-M01-05"</f>
        <v>14-M01-05</v>
      </c>
      <c r="H12312">
        <v>0.54239999999999999</v>
      </c>
      <c r="I12312" t="s">
        <v>7704</v>
      </c>
      <c r="J12312" t="s">
        <v>59</v>
      </c>
      <c r="K12312" t="str">
        <f t="shared" si="499"/>
        <v>6F3</v>
      </c>
      <c r="L12312" t="s">
        <v>15</v>
      </c>
    </row>
    <row r="12313" spans="1:12" x14ac:dyDescent="0.25">
      <c r="A12313" t="str">
        <f>"8959065742"</f>
        <v>8959065742</v>
      </c>
      <c r="B12313" t="str">
        <f t="shared" si="495"/>
        <v>89301000</v>
      </c>
      <c r="C12313" s="1">
        <v>44442</v>
      </c>
      <c r="D12313" s="1">
        <v>44446</v>
      </c>
      <c r="E12313">
        <v>1</v>
      </c>
      <c r="F12313" t="s">
        <v>91</v>
      </c>
      <c r="G12313" t="str">
        <f>"14-K03-02"</f>
        <v>14-K03-02</v>
      </c>
      <c r="H12313">
        <v>0.2646</v>
      </c>
      <c r="J12313" t="s">
        <v>14</v>
      </c>
      <c r="K12313" t="str">
        <f t="shared" si="499"/>
        <v>6F3</v>
      </c>
      <c r="L12313" t="s">
        <v>15</v>
      </c>
    </row>
    <row r="12314" spans="1:12" x14ac:dyDescent="0.25">
      <c r="A12314" t="str">
        <f>"8959135779"</f>
        <v>8959135779</v>
      </c>
      <c r="B12314" t="str">
        <f t="shared" ref="B12314:B12377" si="500">"89301000"</f>
        <v>89301000</v>
      </c>
      <c r="C12314" s="1">
        <v>44550</v>
      </c>
      <c r="D12314" s="1">
        <v>44553</v>
      </c>
      <c r="E12314">
        <v>1</v>
      </c>
      <c r="F12314" t="s">
        <v>116</v>
      </c>
      <c r="G12314" t="str">
        <f>"14-M01-05"</f>
        <v>14-M01-05</v>
      </c>
      <c r="H12314">
        <v>0.54239999999999999</v>
      </c>
      <c r="I12314" t="s">
        <v>7420</v>
      </c>
      <c r="J12314" t="s">
        <v>59</v>
      </c>
      <c r="K12314" t="str">
        <f t="shared" si="499"/>
        <v>6F3</v>
      </c>
      <c r="L12314" t="s">
        <v>15</v>
      </c>
    </row>
    <row r="12315" spans="1:12" x14ac:dyDescent="0.25">
      <c r="A12315" t="str">
        <f>"8959135779"</f>
        <v>8959135779</v>
      </c>
      <c r="B12315" t="str">
        <f t="shared" si="500"/>
        <v>89301000</v>
      </c>
      <c r="C12315" s="1">
        <v>44466</v>
      </c>
      <c r="D12315" s="1">
        <v>44480</v>
      </c>
      <c r="E12315">
        <v>1</v>
      </c>
      <c r="F12315" t="s">
        <v>60</v>
      </c>
      <c r="G12315" t="str">
        <f>"14-K03-02"</f>
        <v>14-K03-02</v>
      </c>
      <c r="H12315">
        <v>0.54169999999999996</v>
      </c>
      <c r="J12315" t="s">
        <v>14</v>
      </c>
      <c r="K12315" t="str">
        <f t="shared" si="499"/>
        <v>6F3</v>
      </c>
      <c r="L12315" t="s">
        <v>15</v>
      </c>
    </row>
    <row r="12316" spans="1:12" x14ac:dyDescent="0.25">
      <c r="A12316" t="str">
        <f>"8959216156"</f>
        <v>8959216156</v>
      </c>
      <c r="B12316" t="str">
        <f t="shared" si="500"/>
        <v>89301000</v>
      </c>
      <c r="C12316" s="1">
        <v>44330</v>
      </c>
      <c r="D12316" s="1">
        <v>44332</v>
      </c>
      <c r="E12316">
        <v>1</v>
      </c>
      <c r="F12316" t="s">
        <v>75</v>
      </c>
      <c r="G12316" t="str">
        <f>"14-M01-05"</f>
        <v>14-M01-05</v>
      </c>
      <c r="H12316">
        <v>0.54239999999999999</v>
      </c>
      <c r="I12316" t="s">
        <v>76</v>
      </c>
      <c r="J12316" t="s">
        <v>59</v>
      </c>
      <c r="K12316" t="str">
        <f t="shared" si="499"/>
        <v>6F3</v>
      </c>
      <c r="L12316" t="s">
        <v>15</v>
      </c>
    </row>
    <row r="12317" spans="1:12" x14ac:dyDescent="0.25">
      <c r="A12317" t="str">
        <f>"8959255723"</f>
        <v>8959255723</v>
      </c>
      <c r="B12317" t="str">
        <f t="shared" si="500"/>
        <v>89301000</v>
      </c>
      <c r="C12317" s="1">
        <v>44204</v>
      </c>
      <c r="D12317" s="1">
        <v>44207</v>
      </c>
      <c r="E12317">
        <v>1</v>
      </c>
      <c r="F12317" t="s">
        <v>75</v>
      </c>
      <c r="G12317" t="str">
        <f>"14-M01-05"</f>
        <v>14-M01-05</v>
      </c>
      <c r="H12317">
        <v>0.54239999999999999</v>
      </c>
      <c r="I12317" t="s">
        <v>76</v>
      </c>
      <c r="J12317" t="s">
        <v>59</v>
      </c>
      <c r="K12317" t="str">
        <f t="shared" si="499"/>
        <v>6F3</v>
      </c>
      <c r="L12317" t="s">
        <v>15</v>
      </c>
    </row>
    <row r="12318" spans="1:12" x14ac:dyDescent="0.25">
      <c r="A12318" t="str">
        <f>"8959275699"</f>
        <v>8959275699</v>
      </c>
      <c r="B12318" t="str">
        <f t="shared" si="500"/>
        <v>89301000</v>
      </c>
      <c r="C12318" s="1">
        <v>44481</v>
      </c>
      <c r="D12318" s="1">
        <v>44482</v>
      </c>
      <c r="E12318">
        <v>1</v>
      </c>
      <c r="F12318" t="s">
        <v>413</v>
      </c>
      <c r="G12318" t="str">
        <f>"09-I08-02"</f>
        <v>09-I08-02</v>
      </c>
      <c r="H12318">
        <v>1.129</v>
      </c>
      <c r="I12318" t="s">
        <v>6761</v>
      </c>
      <c r="J12318" t="s">
        <v>24</v>
      </c>
      <c r="K12318" t="str">
        <f>"6F1"</f>
        <v>6F1</v>
      </c>
      <c r="L12318" t="s">
        <v>15</v>
      </c>
    </row>
    <row r="12319" spans="1:12" x14ac:dyDescent="0.25">
      <c r="A12319" t="str">
        <f>"8959276150"</f>
        <v>8959276150</v>
      </c>
      <c r="B12319" t="str">
        <f t="shared" si="500"/>
        <v>89301000</v>
      </c>
      <c r="C12319" s="1">
        <v>44392</v>
      </c>
      <c r="D12319" s="1">
        <v>44396</v>
      </c>
      <c r="E12319">
        <v>1</v>
      </c>
      <c r="F12319" t="s">
        <v>82</v>
      </c>
      <c r="G12319" t="str">
        <f>"14-I01-05"</f>
        <v>14-I01-05</v>
      </c>
      <c r="H12319">
        <v>0.80030000000000001</v>
      </c>
      <c r="I12319" t="s">
        <v>7965</v>
      </c>
      <c r="J12319" t="s">
        <v>59</v>
      </c>
      <c r="K12319" t="str">
        <f>"6F3"</f>
        <v>6F3</v>
      </c>
      <c r="L12319" t="s">
        <v>15</v>
      </c>
    </row>
    <row r="12320" spans="1:12" x14ac:dyDescent="0.25">
      <c r="A12320" t="str">
        <f>"8959304783"</f>
        <v>8959304783</v>
      </c>
      <c r="B12320" t="str">
        <f t="shared" si="500"/>
        <v>89301000</v>
      </c>
      <c r="C12320" s="1">
        <v>44417</v>
      </c>
      <c r="D12320" s="1">
        <v>44419</v>
      </c>
      <c r="E12320">
        <v>1</v>
      </c>
      <c r="F12320" t="s">
        <v>4237</v>
      </c>
      <c r="G12320" t="str">
        <f>"03-I19-03"</f>
        <v>03-I19-03</v>
      </c>
      <c r="H12320">
        <v>0.60699999999999998</v>
      </c>
      <c r="I12320" t="s">
        <v>652</v>
      </c>
      <c r="J12320" t="s">
        <v>14</v>
      </c>
      <c r="K12320" t="str">
        <f>"6F5"</f>
        <v>6F5</v>
      </c>
      <c r="L12320" t="s">
        <v>15</v>
      </c>
    </row>
    <row r="12321" spans="1:12" x14ac:dyDescent="0.25">
      <c r="A12321" t="str">
        <f>"8960035722"</f>
        <v>8960035722</v>
      </c>
      <c r="B12321" t="str">
        <f t="shared" si="500"/>
        <v>89301000</v>
      </c>
      <c r="C12321" s="1">
        <v>44544</v>
      </c>
      <c r="D12321" s="1">
        <v>44545</v>
      </c>
      <c r="E12321">
        <v>1</v>
      </c>
      <c r="F12321" t="s">
        <v>7966</v>
      </c>
      <c r="G12321" t="str">
        <f>"14-I08-03"</f>
        <v>14-I08-03</v>
      </c>
      <c r="H12321">
        <v>0.21099999999999999</v>
      </c>
      <c r="J12321" t="s">
        <v>14</v>
      </c>
      <c r="K12321" t="str">
        <f>"6F3"</f>
        <v>6F3</v>
      </c>
      <c r="L12321" t="s">
        <v>15</v>
      </c>
    </row>
    <row r="12322" spans="1:12" x14ac:dyDescent="0.25">
      <c r="A12322" t="str">
        <f>"8960055742"</f>
        <v>8960055742</v>
      </c>
      <c r="B12322" t="str">
        <f t="shared" si="500"/>
        <v>89301000</v>
      </c>
      <c r="C12322" s="1">
        <v>44288</v>
      </c>
      <c r="D12322" s="1">
        <v>44290</v>
      </c>
      <c r="E12322">
        <v>1</v>
      </c>
      <c r="F12322" t="s">
        <v>75</v>
      </c>
      <c r="G12322" t="str">
        <f>"14-M01-05"</f>
        <v>14-M01-05</v>
      </c>
      <c r="H12322">
        <v>0.54239999999999999</v>
      </c>
      <c r="I12322" t="s">
        <v>180</v>
      </c>
      <c r="J12322" t="s">
        <v>59</v>
      </c>
      <c r="K12322" t="str">
        <f>"6F3"</f>
        <v>6F3</v>
      </c>
      <c r="L12322" t="s">
        <v>15</v>
      </c>
    </row>
    <row r="12323" spans="1:12" x14ac:dyDescent="0.25">
      <c r="A12323" t="str">
        <f>"8960075707"</f>
        <v>8960075707</v>
      </c>
      <c r="B12323" t="str">
        <f t="shared" si="500"/>
        <v>89301000</v>
      </c>
      <c r="C12323" s="1">
        <v>44230</v>
      </c>
      <c r="D12323" s="1">
        <v>44236</v>
      </c>
      <c r="E12323">
        <v>1</v>
      </c>
      <c r="F12323" t="s">
        <v>313</v>
      </c>
      <c r="G12323" t="str">
        <f>"03-I16-02"</f>
        <v>03-I16-02</v>
      </c>
      <c r="H12323">
        <v>0.89539999999999997</v>
      </c>
      <c r="I12323" t="s">
        <v>7967</v>
      </c>
      <c r="J12323" t="s">
        <v>24</v>
      </c>
      <c r="K12323" t="str">
        <f>"7F1"</f>
        <v>7F1</v>
      </c>
      <c r="L12323" t="s">
        <v>15</v>
      </c>
    </row>
    <row r="12324" spans="1:12" x14ac:dyDescent="0.25">
      <c r="A12324" t="str">
        <f>"8960126142"</f>
        <v>8960126142</v>
      </c>
      <c r="B12324" t="str">
        <f t="shared" si="500"/>
        <v>89301000</v>
      </c>
      <c r="C12324" s="1">
        <v>44474</v>
      </c>
      <c r="D12324" s="1">
        <v>44478</v>
      </c>
      <c r="E12324">
        <v>1</v>
      </c>
      <c r="F12324" t="s">
        <v>75</v>
      </c>
      <c r="G12324" t="str">
        <f>"14-M01-05"</f>
        <v>14-M01-05</v>
      </c>
      <c r="H12324">
        <v>0.54239999999999999</v>
      </c>
      <c r="I12324" t="s">
        <v>7554</v>
      </c>
      <c r="J12324" t="s">
        <v>59</v>
      </c>
      <c r="K12324" t="str">
        <f>"6F3"</f>
        <v>6F3</v>
      </c>
      <c r="L12324" t="s">
        <v>15</v>
      </c>
    </row>
    <row r="12325" spans="1:12" x14ac:dyDescent="0.25">
      <c r="A12325" t="str">
        <f>"8960126153"</f>
        <v>8960126153</v>
      </c>
      <c r="B12325" t="str">
        <f t="shared" si="500"/>
        <v>89301000</v>
      </c>
      <c r="C12325" s="1">
        <v>44208</v>
      </c>
      <c r="D12325" s="1">
        <v>44211</v>
      </c>
      <c r="E12325">
        <v>1</v>
      </c>
      <c r="F12325" t="s">
        <v>75</v>
      </c>
      <c r="G12325" t="str">
        <f>"14-M01-05"</f>
        <v>14-M01-05</v>
      </c>
      <c r="H12325">
        <v>0.54239999999999999</v>
      </c>
      <c r="J12325" t="s">
        <v>59</v>
      </c>
      <c r="K12325" t="str">
        <f>"6F3"</f>
        <v>6F3</v>
      </c>
      <c r="L12325" t="s">
        <v>15</v>
      </c>
    </row>
    <row r="12326" spans="1:12" x14ac:dyDescent="0.25">
      <c r="A12326" t="str">
        <f>"8960235702"</f>
        <v>8960235702</v>
      </c>
      <c r="B12326" t="str">
        <f t="shared" si="500"/>
        <v>89301000</v>
      </c>
      <c r="C12326" s="1">
        <v>44426</v>
      </c>
      <c r="D12326" s="1">
        <v>44430</v>
      </c>
      <c r="E12326">
        <v>1</v>
      </c>
      <c r="F12326" t="s">
        <v>61</v>
      </c>
      <c r="G12326" t="str">
        <f>"14-I01-05"</f>
        <v>14-I01-05</v>
      </c>
      <c r="H12326">
        <v>0.80030000000000001</v>
      </c>
      <c r="I12326" t="s">
        <v>72</v>
      </c>
      <c r="J12326" t="s">
        <v>59</v>
      </c>
      <c r="K12326" t="str">
        <f>"6F3"</f>
        <v>6F3</v>
      </c>
      <c r="L12326" t="s">
        <v>15</v>
      </c>
    </row>
    <row r="12327" spans="1:12" x14ac:dyDescent="0.25">
      <c r="A12327" t="str">
        <f>"8960235702"</f>
        <v>8960235702</v>
      </c>
      <c r="B12327" t="str">
        <f t="shared" si="500"/>
        <v>89301000</v>
      </c>
      <c r="C12327" s="1">
        <v>44337</v>
      </c>
      <c r="D12327" s="1">
        <v>44358</v>
      </c>
      <c r="E12327">
        <v>1</v>
      </c>
      <c r="F12327" t="s">
        <v>78</v>
      </c>
      <c r="G12327" t="str">
        <f>"19-K05-02"</f>
        <v>19-K05-02</v>
      </c>
      <c r="H12327">
        <v>1.8835999999999999</v>
      </c>
      <c r="I12327" t="s">
        <v>7968</v>
      </c>
      <c r="J12327" t="s">
        <v>27</v>
      </c>
      <c r="K12327" t="str">
        <f>"3F5"</f>
        <v>3F5</v>
      </c>
      <c r="L12327" t="s">
        <v>15</v>
      </c>
    </row>
    <row r="12328" spans="1:12" x14ac:dyDescent="0.25">
      <c r="A12328" t="str">
        <f>"8960255722"</f>
        <v>8960255722</v>
      </c>
      <c r="B12328" t="str">
        <f t="shared" si="500"/>
        <v>89301000</v>
      </c>
      <c r="C12328" s="1">
        <v>44230</v>
      </c>
      <c r="D12328" s="1">
        <v>44231</v>
      </c>
      <c r="E12328">
        <v>1</v>
      </c>
      <c r="F12328" t="s">
        <v>278</v>
      </c>
      <c r="G12328" t="str">
        <f>"21-K05-03"</f>
        <v>21-K05-03</v>
      </c>
      <c r="H12328">
        <v>0.46750000000000003</v>
      </c>
      <c r="I12328" t="s">
        <v>7969</v>
      </c>
      <c r="J12328" t="s">
        <v>14</v>
      </c>
      <c r="K12328" t="str">
        <f>"1F1"</f>
        <v>1F1</v>
      </c>
      <c r="L12328" t="s">
        <v>15</v>
      </c>
    </row>
    <row r="12329" spans="1:12" x14ac:dyDescent="0.25">
      <c r="A12329" t="str">
        <f>"8960256140"</f>
        <v>8960256140</v>
      </c>
      <c r="B12329" t="str">
        <f t="shared" si="500"/>
        <v>89301000</v>
      </c>
      <c r="C12329" s="1">
        <v>44223</v>
      </c>
      <c r="D12329" s="1">
        <v>44227</v>
      </c>
      <c r="E12329">
        <v>1</v>
      </c>
      <c r="F12329" t="s">
        <v>114</v>
      </c>
      <c r="G12329" t="str">
        <f>"03-I17-00"</f>
        <v>03-I17-00</v>
      </c>
      <c r="H12329">
        <v>0.84960000000000002</v>
      </c>
      <c r="I12329" t="s">
        <v>197</v>
      </c>
      <c r="J12329" t="s">
        <v>24</v>
      </c>
      <c r="K12329" t="str">
        <f>"7F1"</f>
        <v>7F1</v>
      </c>
      <c r="L12329" t="s">
        <v>15</v>
      </c>
    </row>
    <row r="12330" spans="1:12" x14ac:dyDescent="0.25">
      <c r="A12330" t="str">
        <f>"8960256140"</f>
        <v>8960256140</v>
      </c>
      <c r="B12330" t="str">
        <f t="shared" si="500"/>
        <v>89301000</v>
      </c>
      <c r="C12330" s="1">
        <v>44487</v>
      </c>
      <c r="D12330" s="1">
        <v>44491</v>
      </c>
      <c r="E12330">
        <v>1</v>
      </c>
      <c r="F12330" t="s">
        <v>419</v>
      </c>
      <c r="G12330" t="str">
        <f>"09-K14-02"</f>
        <v>09-K14-02</v>
      </c>
      <c r="H12330">
        <v>0.50549999999999995</v>
      </c>
      <c r="J12330" t="s">
        <v>14</v>
      </c>
      <c r="K12330" t="str">
        <f>"4F4"</f>
        <v>4F4</v>
      </c>
      <c r="L12330" t="s">
        <v>15</v>
      </c>
    </row>
    <row r="12331" spans="1:12" x14ac:dyDescent="0.25">
      <c r="A12331" t="str">
        <f>"8960305706"</f>
        <v>8960305706</v>
      </c>
      <c r="B12331" t="str">
        <f t="shared" si="500"/>
        <v>89301000</v>
      </c>
      <c r="C12331" s="1">
        <v>44315</v>
      </c>
      <c r="D12331" s="1">
        <v>44320</v>
      </c>
      <c r="E12331">
        <v>1</v>
      </c>
      <c r="F12331" t="s">
        <v>116</v>
      </c>
      <c r="G12331" t="str">
        <f>"14-M01-05"</f>
        <v>14-M01-05</v>
      </c>
      <c r="H12331">
        <v>0.54239999999999999</v>
      </c>
      <c r="I12331" t="s">
        <v>7429</v>
      </c>
      <c r="J12331" t="s">
        <v>59</v>
      </c>
      <c r="K12331" t="str">
        <f>"6F3"</f>
        <v>6F3</v>
      </c>
      <c r="L12331" t="s">
        <v>15</v>
      </c>
    </row>
    <row r="12332" spans="1:12" x14ac:dyDescent="0.25">
      <c r="A12332" t="str">
        <f>"8960306091"</f>
        <v>8960306091</v>
      </c>
      <c r="B12332" t="str">
        <f t="shared" si="500"/>
        <v>89301000</v>
      </c>
      <c r="C12332" s="1">
        <v>44489</v>
      </c>
      <c r="D12332" s="1">
        <v>44511</v>
      </c>
      <c r="E12332">
        <v>1</v>
      </c>
      <c r="F12332" t="s">
        <v>77</v>
      </c>
      <c r="G12332" t="str">
        <f>"19-K05-02"</f>
        <v>19-K05-02</v>
      </c>
      <c r="H12332">
        <v>1.8835999999999999</v>
      </c>
      <c r="I12332" t="s">
        <v>3415</v>
      </c>
      <c r="J12332" t="s">
        <v>27</v>
      </c>
      <c r="K12332" t="str">
        <f>"3F5"</f>
        <v>3F5</v>
      </c>
      <c r="L12332" t="s">
        <v>15</v>
      </c>
    </row>
    <row r="12333" spans="1:12" x14ac:dyDescent="0.25">
      <c r="A12333" t="str">
        <f>"8960306091"</f>
        <v>8960306091</v>
      </c>
      <c r="B12333" t="str">
        <f t="shared" si="500"/>
        <v>89301000</v>
      </c>
      <c r="C12333" s="1">
        <v>44473</v>
      </c>
      <c r="D12333" s="1">
        <v>44481</v>
      </c>
      <c r="E12333">
        <v>1</v>
      </c>
      <c r="F12333" t="s">
        <v>77</v>
      </c>
      <c r="G12333" t="str">
        <f>"19-K03-03"</f>
        <v>19-K03-03</v>
      </c>
      <c r="H12333">
        <v>0.93169999999999997</v>
      </c>
      <c r="I12333" t="s">
        <v>7970</v>
      </c>
      <c r="J12333" t="s">
        <v>27</v>
      </c>
      <c r="K12333" t="str">
        <f>"3F5"</f>
        <v>3F5</v>
      </c>
      <c r="L12333" t="s">
        <v>15</v>
      </c>
    </row>
    <row r="12334" spans="1:12" x14ac:dyDescent="0.25">
      <c r="A12334" t="str">
        <f>"8960306102"</f>
        <v>8960306102</v>
      </c>
      <c r="B12334" t="str">
        <f t="shared" si="500"/>
        <v>89301000</v>
      </c>
      <c r="C12334" s="1">
        <v>44432</v>
      </c>
      <c r="D12334" s="1">
        <v>44440</v>
      </c>
      <c r="E12334">
        <v>1</v>
      </c>
      <c r="F12334" t="s">
        <v>5467</v>
      </c>
      <c r="G12334" t="str">
        <f>"19-K03-03"</f>
        <v>19-K03-03</v>
      </c>
      <c r="H12334">
        <v>0.93169999999999997</v>
      </c>
      <c r="I12334" t="s">
        <v>7971</v>
      </c>
      <c r="J12334" t="s">
        <v>27</v>
      </c>
      <c r="K12334" t="str">
        <f>"3F5"</f>
        <v>3F5</v>
      </c>
      <c r="L12334" t="s">
        <v>15</v>
      </c>
    </row>
    <row r="12335" spans="1:12" x14ac:dyDescent="0.25">
      <c r="A12335" t="str">
        <f>"8960315716"</f>
        <v>8960315716</v>
      </c>
      <c r="B12335" t="str">
        <f t="shared" si="500"/>
        <v>89301000</v>
      </c>
      <c r="C12335" s="1">
        <v>44340</v>
      </c>
      <c r="D12335" s="1">
        <v>44341</v>
      </c>
      <c r="E12335">
        <v>1</v>
      </c>
      <c r="F12335" t="s">
        <v>7100</v>
      </c>
      <c r="G12335" t="str">
        <f>"13-K06-00"</f>
        <v>13-K06-00</v>
      </c>
      <c r="H12335">
        <v>0.37859999999999999</v>
      </c>
      <c r="J12335" t="s">
        <v>14</v>
      </c>
      <c r="K12335" t="str">
        <f>"6F3"</f>
        <v>6F3</v>
      </c>
      <c r="L12335" t="s">
        <v>15</v>
      </c>
    </row>
    <row r="12336" spans="1:12" x14ac:dyDescent="0.25">
      <c r="A12336" t="str">
        <f>"8960315727"</f>
        <v>8960315727</v>
      </c>
      <c r="B12336" t="str">
        <f t="shared" si="500"/>
        <v>89301000</v>
      </c>
      <c r="C12336" s="1">
        <v>44292</v>
      </c>
      <c r="D12336" s="1">
        <v>44300</v>
      </c>
      <c r="E12336">
        <v>1</v>
      </c>
      <c r="F12336" t="s">
        <v>1894</v>
      </c>
      <c r="G12336" t="str">
        <f>"01-K11-03"</f>
        <v>01-K11-03</v>
      </c>
      <c r="H12336">
        <v>1.5643</v>
      </c>
      <c r="I12336" t="s">
        <v>7296</v>
      </c>
      <c r="J12336" t="s">
        <v>14</v>
      </c>
      <c r="K12336" t="str">
        <f>"2F9"</f>
        <v>2F9</v>
      </c>
      <c r="L12336" t="s">
        <v>15</v>
      </c>
    </row>
    <row r="12337" spans="1:12" x14ac:dyDescent="0.25">
      <c r="A12337" t="str">
        <f>"8961015723"</f>
        <v>8961015723</v>
      </c>
      <c r="B12337" t="str">
        <f t="shared" si="500"/>
        <v>89301000</v>
      </c>
      <c r="C12337" s="1">
        <v>44203</v>
      </c>
      <c r="D12337" s="1">
        <v>44207</v>
      </c>
      <c r="E12337">
        <v>1</v>
      </c>
      <c r="F12337" t="s">
        <v>75</v>
      </c>
      <c r="G12337" t="str">
        <f>"14-M01-05"</f>
        <v>14-M01-05</v>
      </c>
      <c r="H12337">
        <v>0.54239999999999999</v>
      </c>
      <c r="I12337" t="s">
        <v>7972</v>
      </c>
      <c r="J12337" t="s">
        <v>59</v>
      </c>
      <c r="K12337" t="str">
        <f>"6F3"</f>
        <v>6F3</v>
      </c>
      <c r="L12337" t="s">
        <v>15</v>
      </c>
    </row>
    <row r="12338" spans="1:12" x14ac:dyDescent="0.25">
      <c r="A12338" t="str">
        <f>"8961045973"</f>
        <v>8961045973</v>
      </c>
      <c r="B12338" t="str">
        <f t="shared" si="500"/>
        <v>89301000</v>
      </c>
      <c r="C12338" s="1">
        <v>44452</v>
      </c>
      <c r="D12338" s="1">
        <v>44453</v>
      </c>
      <c r="E12338">
        <v>1</v>
      </c>
      <c r="F12338" t="s">
        <v>162</v>
      </c>
      <c r="G12338" t="str">
        <f>"08-I19-03"</f>
        <v>08-I19-03</v>
      </c>
      <c r="H12338">
        <v>0.61250000000000004</v>
      </c>
      <c r="I12338" t="s">
        <v>512</v>
      </c>
      <c r="J12338" t="s">
        <v>17</v>
      </c>
      <c r="K12338" t="str">
        <f>"5F3"</f>
        <v>5F3</v>
      </c>
      <c r="L12338" t="s">
        <v>15</v>
      </c>
    </row>
    <row r="12339" spans="1:12" x14ac:dyDescent="0.25">
      <c r="A12339" t="str">
        <f>"8961065729"</f>
        <v>8961065729</v>
      </c>
      <c r="B12339" t="str">
        <f t="shared" si="500"/>
        <v>89301000</v>
      </c>
      <c r="C12339" s="1">
        <v>44241</v>
      </c>
      <c r="D12339" s="1">
        <v>44244</v>
      </c>
      <c r="E12339">
        <v>1</v>
      </c>
      <c r="F12339" t="s">
        <v>81</v>
      </c>
      <c r="G12339" t="str">
        <f>"10-I13-02"</f>
        <v>10-I13-02</v>
      </c>
      <c r="H12339">
        <v>1.1468</v>
      </c>
      <c r="I12339" t="s">
        <v>7571</v>
      </c>
      <c r="J12339" t="s">
        <v>24</v>
      </c>
      <c r="K12339" t="str">
        <f>"5F1"</f>
        <v>5F1</v>
      </c>
      <c r="L12339" t="s">
        <v>15</v>
      </c>
    </row>
    <row r="12340" spans="1:12" x14ac:dyDescent="0.25">
      <c r="A12340" t="str">
        <f>"8961095737"</f>
        <v>8961095737</v>
      </c>
      <c r="B12340" t="str">
        <f t="shared" si="500"/>
        <v>89301000</v>
      </c>
      <c r="C12340" s="1">
        <v>44533</v>
      </c>
      <c r="D12340" s="1">
        <v>44536</v>
      </c>
      <c r="E12340">
        <v>1</v>
      </c>
      <c r="F12340" t="s">
        <v>75</v>
      </c>
      <c r="G12340" t="str">
        <f>"14-M01-05"</f>
        <v>14-M01-05</v>
      </c>
      <c r="H12340">
        <v>0.54239999999999999</v>
      </c>
      <c r="I12340" t="s">
        <v>7587</v>
      </c>
      <c r="J12340" t="s">
        <v>59</v>
      </c>
      <c r="K12340" t="str">
        <f>"6F3"</f>
        <v>6F3</v>
      </c>
      <c r="L12340" t="s">
        <v>15</v>
      </c>
    </row>
    <row r="12341" spans="1:12" x14ac:dyDescent="0.25">
      <c r="A12341" t="str">
        <f>"8961115735"</f>
        <v>8961115735</v>
      </c>
      <c r="B12341" t="str">
        <f t="shared" si="500"/>
        <v>89301000</v>
      </c>
      <c r="C12341" s="1">
        <v>44519</v>
      </c>
      <c r="D12341" s="1">
        <v>44530</v>
      </c>
      <c r="E12341">
        <v>1</v>
      </c>
      <c r="F12341" t="s">
        <v>25</v>
      </c>
      <c r="G12341" t="str">
        <f>"19-K04-02"</f>
        <v>19-K04-02</v>
      </c>
      <c r="H12341">
        <v>1.4597</v>
      </c>
      <c r="J12341" t="s">
        <v>27</v>
      </c>
      <c r="K12341" t="str">
        <f>"3F5"</f>
        <v>3F5</v>
      </c>
      <c r="L12341" t="s">
        <v>15</v>
      </c>
    </row>
    <row r="12342" spans="1:12" x14ac:dyDescent="0.25">
      <c r="A12342" t="str">
        <f>"8961126141"</f>
        <v>8961126141</v>
      </c>
      <c r="B12342" t="str">
        <f t="shared" si="500"/>
        <v>89301000</v>
      </c>
      <c r="C12342" s="1">
        <v>44419</v>
      </c>
      <c r="D12342" s="1">
        <v>44428</v>
      </c>
      <c r="E12342">
        <v>1</v>
      </c>
      <c r="F12342" t="s">
        <v>4557</v>
      </c>
      <c r="G12342" t="str">
        <f>"20-K03-03"</f>
        <v>20-K03-03</v>
      </c>
      <c r="H12342">
        <v>1.0109999999999999</v>
      </c>
      <c r="I12342" t="s">
        <v>7973</v>
      </c>
      <c r="J12342" t="s">
        <v>14</v>
      </c>
      <c r="K12342" t="str">
        <f>"3F5"</f>
        <v>3F5</v>
      </c>
      <c r="L12342" t="s">
        <v>15</v>
      </c>
    </row>
    <row r="12343" spans="1:12" x14ac:dyDescent="0.25">
      <c r="A12343" t="str">
        <f>"8961165565"</f>
        <v>8961165565</v>
      </c>
      <c r="B12343" t="str">
        <f t="shared" si="500"/>
        <v>89301000</v>
      </c>
      <c r="C12343" s="1">
        <v>44211</v>
      </c>
      <c r="D12343" s="1">
        <v>44212</v>
      </c>
      <c r="E12343">
        <v>1</v>
      </c>
      <c r="F12343" t="s">
        <v>75</v>
      </c>
      <c r="G12343" t="str">
        <f>"14-M01-05"</f>
        <v>14-M01-05</v>
      </c>
      <c r="H12343">
        <v>0.54239999999999999</v>
      </c>
      <c r="J12343" t="s">
        <v>59</v>
      </c>
      <c r="K12343" t="str">
        <f>"6F3"</f>
        <v>6F3</v>
      </c>
      <c r="L12343" t="s">
        <v>15</v>
      </c>
    </row>
    <row r="12344" spans="1:12" x14ac:dyDescent="0.25">
      <c r="A12344" t="str">
        <f>"8961255952"</f>
        <v>8961255952</v>
      </c>
      <c r="B12344" t="str">
        <f t="shared" si="500"/>
        <v>89301000</v>
      </c>
      <c r="C12344" s="1">
        <v>44501</v>
      </c>
      <c r="D12344" s="1">
        <v>44503</v>
      </c>
      <c r="E12344">
        <v>1</v>
      </c>
      <c r="F12344" t="s">
        <v>4382</v>
      </c>
      <c r="G12344" t="str">
        <f>"05-I30-02"</f>
        <v>05-I30-02</v>
      </c>
      <c r="H12344">
        <v>0.46729999999999999</v>
      </c>
      <c r="J12344" t="s">
        <v>14</v>
      </c>
      <c r="K12344" t="str">
        <f>"5F1"</f>
        <v>5F1</v>
      </c>
      <c r="L12344" t="s">
        <v>15</v>
      </c>
    </row>
    <row r="12345" spans="1:12" x14ac:dyDescent="0.25">
      <c r="A12345" t="str">
        <f>"8962095703"</f>
        <v>8962095703</v>
      </c>
      <c r="B12345" t="str">
        <f t="shared" si="500"/>
        <v>89301000</v>
      </c>
      <c r="C12345" s="1">
        <v>44479</v>
      </c>
      <c r="D12345" s="1">
        <v>44484</v>
      </c>
      <c r="E12345">
        <v>1</v>
      </c>
      <c r="F12345" t="s">
        <v>75</v>
      </c>
      <c r="G12345" t="str">
        <f>"14-M01-05"</f>
        <v>14-M01-05</v>
      </c>
      <c r="H12345">
        <v>0.54239999999999999</v>
      </c>
      <c r="I12345" t="s">
        <v>7974</v>
      </c>
      <c r="J12345" t="s">
        <v>59</v>
      </c>
      <c r="K12345" t="str">
        <f t="shared" ref="K12345:K12350" si="501">"6F3"</f>
        <v>6F3</v>
      </c>
      <c r="L12345" t="s">
        <v>15</v>
      </c>
    </row>
    <row r="12346" spans="1:12" x14ac:dyDescent="0.25">
      <c r="A12346" t="str">
        <f>"8962115734"</f>
        <v>8962115734</v>
      </c>
      <c r="B12346" t="str">
        <f t="shared" si="500"/>
        <v>89301000</v>
      </c>
      <c r="C12346" s="1">
        <v>44325</v>
      </c>
      <c r="D12346" s="1">
        <v>44328</v>
      </c>
      <c r="E12346">
        <v>1</v>
      </c>
      <c r="F12346" t="s">
        <v>75</v>
      </c>
      <c r="G12346" t="str">
        <f>"14-M01-05"</f>
        <v>14-M01-05</v>
      </c>
      <c r="H12346">
        <v>0.54239999999999999</v>
      </c>
      <c r="J12346" t="s">
        <v>59</v>
      </c>
      <c r="K12346" t="str">
        <f t="shared" si="501"/>
        <v>6F3</v>
      </c>
      <c r="L12346" t="s">
        <v>15</v>
      </c>
    </row>
    <row r="12347" spans="1:12" x14ac:dyDescent="0.25">
      <c r="A12347" t="str">
        <f>"8962125711"</f>
        <v>8962125711</v>
      </c>
      <c r="B12347" t="str">
        <f t="shared" si="500"/>
        <v>89301000</v>
      </c>
      <c r="C12347" s="1">
        <v>44483</v>
      </c>
      <c r="D12347" s="1">
        <v>44487</v>
      </c>
      <c r="E12347">
        <v>1</v>
      </c>
      <c r="F12347" t="s">
        <v>75</v>
      </c>
      <c r="G12347" t="str">
        <f>"14-M01-05"</f>
        <v>14-M01-05</v>
      </c>
      <c r="H12347">
        <v>0.54239999999999999</v>
      </c>
      <c r="I12347" t="s">
        <v>7975</v>
      </c>
      <c r="J12347" t="s">
        <v>59</v>
      </c>
      <c r="K12347" t="str">
        <f t="shared" si="501"/>
        <v>6F3</v>
      </c>
      <c r="L12347" t="s">
        <v>15</v>
      </c>
    </row>
    <row r="12348" spans="1:12" x14ac:dyDescent="0.25">
      <c r="A12348" t="str">
        <f>"8962135710"</f>
        <v>8962135710</v>
      </c>
      <c r="B12348" t="str">
        <f t="shared" si="500"/>
        <v>89301000</v>
      </c>
      <c r="C12348" s="1">
        <v>44372</v>
      </c>
      <c r="D12348" s="1">
        <v>44375</v>
      </c>
      <c r="E12348">
        <v>1</v>
      </c>
      <c r="F12348" t="s">
        <v>61</v>
      </c>
      <c r="G12348" t="str">
        <f>"14-I01-05"</f>
        <v>14-I01-05</v>
      </c>
      <c r="H12348">
        <v>0.80030000000000001</v>
      </c>
      <c r="I12348" t="s">
        <v>62</v>
      </c>
      <c r="J12348" t="s">
        <v>59</v>
      </c>
      <c r="K12348" t="str">
        <f t="shared" si="501"/>
        <v>6F3</v>
      </c>
      <c r="L12348" t="s">
        <v>15</v>
      </c>
    </row>
    <row r="12349" spans="1:12" x14ac:dyDescent="0.25">
      <c r="A12349" t="str">
        <f>"8962145720"</f>
        <v>8962145720</v>
      </c>
      <c r="B12349" t="str">
        <f t="shared" si="500"/>
        <v>89301000</v>
      </c>
      <c r="C12349" s="1">
        <v>44462</v>
      </c>
      <c r="D12349" s="1">
        <v>44465</v>
      </c>
      <c r="E12349">
        <v>1</v>
      </c>
      <c r="F12349" t="s">
        <v>75</v>
      </c>
      <c r="G12349" t="str">
        <f>"14-M01-05"</f>
        <v>14-M01-05</v>
      </c>
      <c r="H12349">
        <v>0.54239999999999999</v>
      </c>
      <c r="I12349" t="s">
        <v>256</v>
      </c>
      <c r="J12349" t="s">
        <v>59</v>
      </c>
      <c r="K12349" t="str">
        <f t="shared" si="501"/>
        <v>6F3</v>
      </c>
      <c r="L12349" t="s">
        <v>15</v>
      </c>
    </row>
    <row r="12350" spans="1:12" x14ac:dyDescent="0.25">
      <c r="A12350" t="str">
        <f>"8962185705"</f>
        <v>8962185705</v>
      </c>
      <c r="B12350" t="str">
        <f t="shared" si="500"/>
        <v>89301000</v>
      </c>
      <c r="C12350" s="1">
        <v>44212</v>
      </c>
      <c r="D12350" s="1">
        <v>44214</v>
      </c>
      <c r="E12350">
        <v>1</v>
      </c>
      <c r="F12350" t="s">
        <v>75</v>
      </c>
      <c r="G12350" t="str">
        <f>"14-M01-05"</f>
        <v>14-M01-05</v>
      </c>
      <c r="H12350">
        <v>0.54239999999999999</v>
      </c>
      <c r="I12350" t="s">
        <v>7587</v>
      </c>
      <c r="J12350" t="s">
        <v>59</v>
      </c>
      <c r="K12350" t="str">
        <f t="shared" si="501"/>
        <v>6F3</v>
      </c>
      <c r="L12350" t="s">
        <v>15</v>
      </c>
    </row>
    <row r="12351" spans="1:12" x14ac:dyDescent="0.25">
      <c r="A12351" t="str">
        <f>"8962301403"</f>
        <v>8962301403</v>
      </c>
      <c r="B12351" t="str">
        <f t="shared" si="500"/>
        <v>89301000</v>
      </c>
      <c r="C12351" s="1">
        <v>44339</v>
      </c>
      <c r="D12351" s="1">
        <v>44339</v>
      </c>
      <c r="E12351">
        <v>1</v>
      </c>
      <c r="F12351" t="s">
        <v>287</v>
      </c>
      <c r="G12351" t="str">
        <f>"01-K16-06"</f>
        <v>01-K16-06</v>
      </c>
      <c r="H12351">
        <v>0.13289999999999999</v>
      </c>
      <c r="I12351" t="s">
        <v>7976</v>
      </c>
      <c r="J12351" t="s">
        <v>14</v>
      </c>
      <c r="K12351" t="str">
        <f>"5F3"</f>
        <v>5F3</v>
      </c>
      <c r="L12351" t="s">
        <v>15</v>
      </c>
    </row>
    <row r="12352" spans="1:12" x14ac:dyDescent="0.25">
      <c r="A12352" t="str">
        <f>"8962305517"</f>
        <v>8962305517</v>
      </c>
      <c r="B12352" t="str">
        <f t="shared" si="500"/>
        <v>89301000</v>
      </c>
      <c r="C12352" s="1">
        <v>44203</v>
      </c>
      <c r="D12352" s="1">
        <v>44207</v>
      </c>
      <c r="E12352">
        <v>1</v>
      </c>
      <c r="F12352" t="s">
        <v>61</v>
      </c>
      <c r="G12352" t="str">
        <f>"14-I01-05"</f>
        <v>14-I01-05</v>
      </c>
      <c r="H12352">
        <v>0.80030000000000001</v>
      </c>
      <c r="I12352" t="s">
        <v>7977</v>
      </c>
      <c r="J12352" t="s">
        <v>59</v>
      </c>
      <c r="K12352" t="str">
        <f>"6F3"</f>
        <v>6F3</v>
      </c>
      <c r="L12352" t="s">
        <v>15</v>
      </c>
    </row>
    <row r="12353" spans="1:12" x14ac:dyDescent="0.25">
      <c r="A12353" t="str">
        <f>"9001015749"</f>
        <v>9001015749</v>
      </c>
      <c r="B12353" t="str">
        <f t="shared" si="500"/>
        <v>89301000</v>
      </c>
      <c r="C12353" s="1">
        <v>44412</v>
      </c>
      <c r="D12353" s="1">
        <v>44416</v>
      </c>
      <c r="E12353">
        <v>1</v>
      </c>
      <c r="F12353" t="s">
        <v>197</v>
      </c>
      <c r="G12353" t="str">
        <f>"03-I18-02"</f>
        <v>03-I18-02</v>
      </c>
      <c r="H12353">
        <v>0.84370000000000001</v>
      </c>
      <c r="I12353" t="s">
        <v>241</v>
      </c>
      <c r="J12353" t="s">
        <v>24</v>
      </c>
      <c r="K12353" t="str">
        <f>"7F1"</f>
        <v>7F1</v>
      </c>
      <c r="L12353" t="s">
        <v>15</v>
      </c>
    </row>
    <row r="12354" spans="1:12" x14ac:dyDescent="0.25">
      <c r="A12354" t="str">
        <f>"9001055723"</f>
        <v>9001055723</v>
      </c>
      <c r="B12354" t="str">
        <f t="shared" si="500"/>
        <v>89301000</v>
      </c>
      <c r="C12354" s="1">
        <v>44502</v>
      </c>
      <c r="D12354" s="1">
        <v>44508</v>
      </c>
      <c r="E12354">
        <v>1</v>
      </c>
      <c r="F12354" t="s">
        <v>109</v>
      </c>
      <c r="G12354" t="str">
        <f>"24-M05-02"</f>
        <v>24-M05-02</v>
      </c>
      <c r="H12354">
        <v>0.58960000000000001</v>
      </c>
      <c r="I12354" t="s">
        <v>7978</v>
      </c>
      <c r="J12354" t="s">
        <v>14</v>
      </c>
      <c r="K12354" t="str">
        <f>"2F1"</f>
        <v>2F1</v>
      </c>
      <c r="L12354" t="s">
        <v>15</v>
      </c>
    </row>
    <row r="12355" spans="1:12" x14ac:dyDescent="0.25">
      <c r="A12355" t="str">
        <f>"9001165723"</f>
        <v>9001165723</v>
      </c>
      <c r="B12355" t="str">
        <f t="shared" si="500"/>
        <v>89301000</v>
      </c>
      <c r="C12355" s="1">
        <v>44360</v>
      </c>
      <c r="D12355" s="1">
        <v>44362</v>
      </c>
      <c r="E12355">
        <v>1</v>
      </c>
      <c r="F12355" t="s">
        <v>7979</v>
      </c>
      <c r="G12355" t="str">
        <f>"03-K12-01"</f>
        <v>03-K12-01</v>
      </c>
      <c r="H12355">
        <v>0.376</v>
      </c>
      <c r="I12355" t="s">
        <v>7980</v>
      </c>
      <c r="J12355" t="s">
        <v>14</v>
      </c>
      <c r="K12355" t="str">
        <f>"7F1"</f>
        <v>7F1</v>
      </c>
      <c r="L12355" t="s">
        <v>15</v>
      </c>
    </row>
    <row r="12356" spans="1:12" x14ac:dyDescent="0.25">
      <c r="A12356" t="str">
        <f>"9001286085"</f>
        <v>9001286085</v>
      </c>
      <c r="B12356" t="str">
        <f t="shared" si="500"/>
        <v>89301000</v>
      </c>
      <c r="C12356" s="1">
        <v>44477</v>
      </c>
      <c r="D12356" s="1">
        <v>44478</v>
      </c>
      <c r="E12356">
        <v>1</v>
      </c>
      <c r="F12356" t="s">
        <v>287</v>
      </c>
      <c r="G12356" t="str">
        <f>"01-K16-06"</f>
        <v>01-K16-06</v>
      </c>
      <c r="H12356">
        <v>0.26469999999999999</v>
      </c>
      <c r="I12356" t="s">
        <v>7981</v>
      </c>
      <c r="J12356" t="s">
        <v>14</v>
      </c>
      <c r="K12356" t="str">
        <f>"5F3"</f>
        <v>5F3</v>
      </c>
      <c r="L12356" t="s">
        <v>15</v>
      </c>
    </row>
    <row r="12357" spans="1:12" x14ac:dyDescent="0.25">
      <c r="A12357" t="str">
        <f>"9002085730"</f>
        <v>9002085730</v>
      </c>
      <c r="B12357" t="str">
        <f t="shared" si="500"/>
        <v>89301000</v>
      </c>
      <c r="C12357" s="1">
        <v>44369</v>
      </c>
      <c r="D12357" s="1">
        <v>44370</v>
      </c>
      <c r="E12357">
        <v>1</v>
      </c>
      <c r="F12357" t="s">
        <v>2679</v>
      </c>
      <c r="G12357" t="str">
        <f>"08-K08-00"</f>
        <v>08-K08-00</v>
      </c>
      <c r="H12357">
        <v>0.51670000000000005</v>
      </c>
      <c r="I12357" t="s">
        <v>194</v>
      </c>
      <c r="J12357" t="s">
        <v>14</v>
      </c>
      <c r="K12357" t="str">
        <f>"2F9"</f>
        <v>2F9</v>
      </c>
      <c r="L12357" t="s">
        <v>15</v>
      </c>
    </row>
    <row r="12358" spans="1:12" x14ac:dyDescent="0.25">
      <c r="A12358" t="str">
        <f>"9002085752"</f>
        <v>9002085752</v>
      </c>
      <c r="B12358" t="str">
        <f t="shared" si="500"/>
        <v>89301000</v>
      </c>
      <c r="C12358" s="1">
        <v>44236</v>
      </c>
      <c r="D12358" s="1">
        <v>44243</v>
      </c>
      <c r="E12358">
        <v>1</v>
      </c>
      <c r="F12358" t="s">
        <v>87</v>
      </c>
      <c r="G12358" t="str">
        <f>"09-K04-02"</f>
        <v>09-K04-02</v>
      </c>
      <c r="H12358">
        <v>0.68279999999999996</v>
      </c>
      <c r="I12358" t="s">
        <v>7982</v>
      </c>
      <c r="J12358" t="s">
        <v>14</v>
      </c>
      <c r="K12358" t="str">
        <f>"4F4"</f>
        <v>4F4</v>
      </c>
      <c r="L12358" t="s">
        <v>15</v>
      </c>
    </row>
    <row r="12359" spans="1:12" x14ac:dyDescent="0.25">
      <c r="A12359" t="str">
        <f>"9002175710"</f>
        <v>9002175710</v>
      </c>
      <c r="B12359" t="str">
        <f t="shared" si="500"/>
        <v>89301000</v>
      </c>
      <c r="C12359" s="1">
        <v>44526</v>
      </c>
      <c r="D12359" s="1">
        <v>44526</v>
      </c>
      <c r="E12359">
        <v>1</v>
      </c>
      <c r="F12359" t="s">
        <v>1925</v>
      </c>
      <c r="G12359" t="str">
        <f>"05-M06-08"</f>
        <v>05-M06-08</v>
      </c>
      <c r="H12359">
        <v>1.1200000000000001</v>
      </c>
      <c r="I12359" t="s">
        <v>1557</v>
      </c>
      <c r="J12359" t="s">
        <v>17</v>
      </c>
      <c r="K12359" t="str">
        <f>"1F1"</f>
        <v>1F1</v>
      </c>
      <c r="L12359" t="s">
        <v>15</v>
      </c>
    </row>
    <row r="12360" spans="1:12" x14ac:dyDescent="0.25">
      <c r="A12360" t="str">
        <f>"9002245747"</f>
        <v>9002245747</v>
      </c>
      <c r="B12360" t="str">
        <f t="shared" si="500"/>
        <v>89301000</v>
      </c>
      <c r="C12360" s="1">
        <v>44445</v>
      </c>
      <c r="D12360" s="1">
        <v>44446</v>
      </c>
      <c r="E12360">
        <v>1</v>
      </c>
      <c r="F12360" t="s">
        <v>1716</v>
      </c>
      <c r="G12360" t="str">
        <f>"11-M05-02"</f>
        <v>11-M05-02</v>
      </c>
      <c r="H12360">
        <v>0.65690000000000004</v>
      </c>
      <c r="J12360" t="s">
        <v>17</v>
      </c>
      <c r="K12360" t="str">
        <f>"7F6"</f>
        <v>7F6</v>
      </c>
      <c r="L12360" t="s">
        <v>15</v>
      </c>
    </row>
    <row r="12361" spans="1:12" x14ac:dyDescent="0.25">
      <c r="A12361" t="str">
        <f>"9003135724"</f>
        <v>9003135724</v>
      </c>
      <c r="B12361" t="str">
        <f t="shared" si="500"/>
        <v>89301000</v>
      </c>
      <c r="C12361" s="1">
        <v>44427</v>
      </c>
      <c r="D12361" s="1">
        <v>44433</v>
      </c>
      <c r="E12361">
        <v>1</v>
      </c>
      <c r="F12361" t="s">
        <v>43</v>
      </c>
      <c r="G12361" t="str">
        <f>"06-I18-05"</f>
        <v>06-I18-05</v>
      </c>
      <c r="H12361">
        <v>0.85550000000000004</v>
      </c>
      <c r="J12361" t="s">
        <v>24</v>
      </c>
      <c r="K12361" t="str">
        <f>"5F1"</f>
        <v>5F1</v>
      </c>
      <c r="L12361" t="s">
        <v>15</v>
      </c>
    </row>
    <row r="12362" spans="1:12" x14ac:dyDescent="0.25">
      <c r="A12362" t="str">
        <f>"9003165798"</f>
        <v>9003165798</v>
      </c>
      <c r="B12362" t="str">
        <f t="shared" si="500"/>
        <v>89301000</v>
      </c>
      <c r="C12362" s="1">
        <v>44377</v>
      </c>
      <c r="D12362" s="1">
        <v>44379</v>
      </c>
      <c r="E12362">
        <v>1</v>
      </c>
      <c r="F12362" t="s">
        <v>3744</v>
      </c>
      <c r="G12362" t="str">
        <f>"08-I25-02"</f>
        <v>08-I25-02</v>
      </c>
      <c r="H12362">
        <v>0.5746</v>
      </c>
      <c r="J12362" t="s">
        <v>14</v>
      </c>
      <c r="K12362" t="str">
        <f>"6F6"</f>
        <v>6F6</v>
      </c>
      <c r="L12362" t="s">
        <v>15</v>
      </c>
    </row>
    <row r="12363" spans="1:12" x14ac:dyDescent="0.25">
      <c r="A12363" t="str">
        <f>"9003234163"</f>
        <v>9003234163</v>
      </c>
      <c r="B12363" t="str">
        <f t="shared" si="500"/>
        <v>89301000</v>
      </c>
      <c r="C12363" s="1">
        <v>44364</v>
      </c>
      <c r="D12363" s="1">
        <v>44365</v>
      </c>
      <c r="E12363">
        <v>1</v>
      </c>
      <c r="F12363" t="s">
        <v>139</v>
      </c>
      <c r="G12363" t="str">
        <f>"07-K11-03"</f>
        <v>07-K11-03</v>
      </c>
      <c r="H12363">
        <v>0.41060000000000002</v>
      </c>
      <c r="I12363" t="s">
        <v>7983</v>
      </c>
      <c r="J12363" t="s">
        <v>14</v>
      </c>
      <c r="K12363" t="str">
        <f>"1F5"</f>
        <v>1F5</v>
      </c>
      <c r="L12363" t="s">
        <v>15</v>
      </c>
    </row>
    <row r="12364" spans="1:12" x14ac:dyDescent="0.25">
      <c r="A12364" t="str">
        <f>"9004095705"</f>
        <v>9004095705</v>
      </c>
      <c r="B12364" t="str">
        <f t="shared" si="500"/>
        <v>89301000</v>
      </c>
      <c r="C12364" s="1">
        <v>44454</v>
      </c>
      <c r="D12364" s="1">
        <v>44456</v>
      </c>
      <c r="E12364">
        <v>1</v>
      </c>
      <c r="F12364" t="s">
        <v>651</v>
      </c>
      <c r="G12364" t="str">
        <f>"10-K04-04"</f>
        <v>10-K04-04</v>
      </c>
      <c r="H12364">
        <v>0.56330000000000002</v>
      </c>
      <c r="I12364" t="s">
        <v>7984</v>
      </c>
      <c r="J12364" t="s">
        <v>14</v>
      </c>
      <c r="K12364" t="str">
        <f>"2F9"</f>
        <v>2F9</v>
      </c>
      <c r="L12364" t="s">
        <v>15</v>
      </c>
    </row>
    <row r="12365" spans="1:12" x14ac:dyDescent="0.25">
      <c r="A12365" t="str">
        <f>"9004254875"</f>
        <v>9004254875</v>
      </c>
      <c r="B12365" t="str">
        <f t="shared" si="500"/>
        <v>89301000</v>
      </c>
      <c r="C12365" s="1">
        <v>44297</v>
      </c>
      <c r="D12365" s="1">
        <v>44308</v>
      </c>
      <c r="E12365">
        <v>4</v>
      </c>
      <c r="F12365" t="s">
        <v>4557</v>
      </c>
      <c r="G12365" t="str">
        <f>"20-K03-03"</f>
        <v>20-K03-03</v>
      </c>
      <c r="H12365">
        <v>1.0109999999999999</v>
      </c>
      <c r="I12365" t="s">
        <v>7985</v>
      </c>
      <c r="J12365" t="s">
        <v>14</v>
      </c>
      <c r="K12365" t="str">
        <f>"3F5"</f>
        <v>3F5</v>
      </c>
      <c r="L12365" t="s">
        <v>15</v>
      </c>
    </row>
    <row r="12366" spans="1:12" x14ac:dyDescent="0.25">
      <c r="A12366" t="str">
        <f>"9005124150"</f>
        <v>9005124150</v>
      </c>
      <c r="B12366" t="str">
        <f t="shared" si="500"/>
        <v>89301000</v>
      </c>
      <c r="C12366" s="1">
        <v>44334</v>
      </c>
      <c r="D12366" s="1">
        <v>44335</v>
      </c>
      <c r="E12366">
        <v>1</v>
      </c>
      <c r="F12366" t="s">
        <v>41</v>
      </c>
      <c r="G12366" t="str">
        <f>"01-I11-01"</f>
        <v>01-I11-01</v>
      </c>
      <c r="H12366">
        <v>0.99990000000000001</v>
      </c>
      <c r="J12366" t="s">
        <v>17</v>
      </c>
      <c r="K12366" t="str">
        <f>"7F1"</f>
        <v>7F1</v>
      </c>
      <c r="L12366" t="s">
        <v>15</v>
      </c>
    </row>
    <row r="12367" spans="1:12" x14ac:dyDescent="0.25">
      <c r="A12367" t="str">
        <f>"9005206144"</f>
        <v>9005206144</v>
      </c>
      <c r="B12367" t="str">
        <f t="shared" si="500"/>
        <v>89301000</v>
      </c>
      <c r="C12367" s="1">
        <v>44371</v>
      </c>
      <c r="D12367" s="1">
        <v>44375</v>
      </c>
      <c r="E12367">
        <v>1</v>
      </c>
      <c r="F12367" t="s">
        <v>7986</v>
      </c>
      <c r="G12367" t="str">
        <f>"19-K02-03"</f>
        <v>19-K02-03</v>
      </c>
      <c r="H12367">
        <v>0.67269999999999996</v>
      </c>
      <c r="I12367" t="s">
        <v>436</v>
      </c>
      <c r="J12367" t="s">
        <v>27</v>
      </c>
      <c r="K12367" t="str">
        <f>"3F5"</f>
        <v>3F5</v>
      </c>
      <c r="L12367" t="s">
        <v>15</v>
      </c>
    </row>
    <row r="12368" spans="1:12" x14ac:dyDescent="0.25">
      <c r="A12368" t="str">
        <f>"9005285707"</f>
        <v>9005285707</v>
      </c>
      <c r="B12368" t="str">
        <f t="shared" si="500"/>
        <v>89301000</v>
      </c>
      <c r="C12368" s="1">
        <v>44241</v>
      </c>
      <c r="D12368" s="1">
        <v>44245</v>
      </c>
      <c r="E12368">
        <v>1</v>
      </c>
      <c r="F12368" t="s">
        <v>197</v>
      </c>
      <c r="G12368" t="str">
        <f>"03-I17-00"</f>
        <v>03-I17-00</v>
      </c>
      <c r="H12368">
        <v>0.84960000000000002</v>
      </c>
      <c r="I12368" t="s">
        <v>7987</v>
      </c>
      <c r="J12368" t="s">
        <v>24</v>
      </c>
      <c r="K12368" t="str">
        <f>"7F1"</f>
        <v>7F1</v>
      </c>
      <c r="L12368" t="s">
        <v>15</v>
      </c>
    </row>
    <row r="12369" spans="1:12" x14ac:dyDescent="0.25">
      <c r="A12369" t="str">
        <f>"9006036171"</f>
        <v>9006036171</v>
      </c>
      <c r="B12369" t="str">
        <f t="shared" si="500"/>
        <v>89301000</v>
      </c>
      <c r="C12369" s="1">
        <v>44253</v>
      </c>
      <c r="D12369" s="1">
        <v>44256</v>
      </c>
      <c r="E12369">
        <v>1</v>
      </c>
      <c r="F12369" t="s">
        <v>41</v>
      </c>
      <c r="G12369" t="str">
        <f>"01-D01-03"</f>
        <v>01-D01-03</v>
      </c>
      <c r="H12369">
        <v>0.2054</v>
      </c>
      <c r="I12369" t="s">
        <v>7988</v>
      </c>
      <c r="J12369" t="s">
        <v>14</v>
      </c>
      <c r="K12369" t="str">
        <f>"2F5"</f>
        <v>2F5</v>
      </c>
      <c r="L12369" t="s">
        <v>15</v>
      </c>
    </row>
    <row r="12370" spans="1:12" x14ac:dyDescent="0.25">
      <c r="A12370" t="str">
        <f>"9008145718"</f>
        <v>9008145718</v>
      </c>
      <c r="B12370" t="str">
        <f t="shared" si="500"/>
        <v>89301000</v>
      </c>
      <c r="C12370" s="1">
        <v>44532</v>
      </c>
      <c r="D12370" s="1">
        <v>44533</v>
      </c>
      <c r="E12370">
        <v>1</v>
      </c>
      <c r="F12370" t="s">
        <v>2111</v>
      </c>
      <c r="G12370" t="str">
        <f>"10-K15-02"</f>
        <v>10-K15-02</v>
      </c>
      <c r="H12370">
        <v>0.51819999999999999</v>
      </c>
      <c r="I12370" t="s">
        <v>7989</v>
      </c>
      <c r="J12370" t="s">
        <v>14</v>
      </c>
      <c r="K12370" t="str">
        <f>"2F5"</f>
        <v>2F5</v>
      </c>
      <c r="L12370" t="s">
        <v>15</v>
      </c>
    </row>
    <row r="12371" spans="1:12" x14ac:dyDescent="0.25">
      <c r="A12371" t="str">
        <f>"9008231474"</f>
        <v>9008231474</v>
      </c>
      <c r="B12371" t="str">
        <f t="shared" si="500"/>
        <v>89301000</v>
      </c>
      <c r="C12371" s="1">
        <v>44422</v>
      </c>
      <c r="D12371" s="1">
        <v>44424</v>
      </c>
      <c r="E12371">
        <v>1</v>
      </c>
      <c r="F12371" t="s">
        <v>7990</v>
      </c>
      <c r="G12371" t="str">
        <f>"20-K02-03"</f>
        <v>20-K02-03</v>
      </c>
      <c r="H12371">
        <v>0.57279999999999998</v>
      </c>
      <c r="I12371" t="s">
        <v>421</v>
      </c>
      <c r="J12371" t="s">
        <v>14</v>
      </c>
      <c r="K12371" t="str">
        <f>"3F5"</f>
        <v>3F5</v>
      </c>
      <c r="L12371" t="s">
        <v>15</v>
      </c>
    </row>
    <row r="12372" spans="1:12" x14ac:dyDescent="0.25">
      <c r="A12372" t="str">
        <f>"9008235709"</f>
        <v>9008235709</v>
      </c>
      <c r="B12372" t="str">
        <f t="shared" si="500"/>
        <v>89301000</v>
      </c>
      <c r="C12372" s="1">
        <v>44501</v>
      </c>
      <c r="D12372" s="1">
        <v>44504</v>
      </c>
      <c r="E12372">
        <v>1</v>
      </c>
      <c r="F12372" t="s">
        <v>496</v>
      </c>
      <c r="G12372" t="str">
        <f>"08-M03-04"</f>
        <v>08-M03-04</v>
      </c>
      <c r="H12372">
        <v>0.8609</v>
      </c>
      <c r="J12372" t="s">
        <v>14</v>
      </c>
      <c r="K12372" t="str">
        <f>"6F6"</f>
        <v>6F6</v>
      </c>
      <c r="L12372" t="s">
        <v>15</v>
      </c>
    </row>
    <row r="12373" spans="1:12" x14ac:dyDescent="0.25">
      <c r="A12373" t="str">
        <f>"9008285297"</f>
        <v>9008285297</v>
      </c>
      <c r="B12373" t="str">
        <f t="shared" si="500"/>
        <v>89301000</v>
      </c>
      <c r="C12373" s="1">
        <v>44201</v>
      </c>
      <c r="D12373" s="1">
        <v>44238</v>
      </c>
      <c r="E12373">
        <v>1</v>
      </c>
      <c r="F12373" t="s">
        <v>181</v>
      </c>
      <c r="G12373" t="str">
        <f>"19-K07-02"</f>
        <v>19-K07-02</v>
      </c>
      <c r="H12373">
        <v>2.8759999999999999</v>
      </c>
      <c r="I12373" t="s">
        <v>7991</v>
      </c>
      <c r="J12373" t="s">
        <v>27</v>
      </c>
      <c r="K12373" t="str">
        <f>"3F5"</f>
        <v>3F5</v>
      </c>
      <c r="L12373" t="s">
        <v>15</v>
      </c>
    </row>
    <row r="12374" spans="1:12" x14ac:dyDescent="0.25">
      <c r="A12374" t="str">
        <f>"9008315701"</f>
        <v>9008315701</v>
      </c>
      <c r="B12374" t="str">
        <f t="shared" si="500"/>
        <v>89301000</v>
      </c>
      <c r="C12374" s="1">
        <v>44388</v>
      </c>
      <c r="D12374" s="1">
        <v>44390</v>
      </c>
      <c r="E12374">
        <v>1</v>
      </c>
      <c r="F12374" t="s">
        <v>97</v>
      </c>
      <c r="G12374" t="str">
        <f>"01-K03-08"</f>
        <v>01-K03-08</v>
      </c>
      <c r="H12374">
        <v>0.34789999999999999</v>
      </c>
      <c r="J12374" t="s">
        <v>14</v>
      </c>
      <c r="K12374" t="str">
        <f>"2F9"</f>
        <v>2F9</v>
      </c>
      <c r="L12374" t="s">
        <v>15</v>
      </c>
    </row>
    <row r="12375" spans="1:12" x14ac:dyDescent="0.25">
      <c r="A12375" t="str">
        <f>"9009126159"</f>
        <v>9009126159</v>
      </c>
      <c r="B12375" t="str">
        <f t="shared" si="500"/>
        <v>89301000</v>
      </c>
      <c r="C12375" s="1">
        <v>44433</v>
      </c>
      <c r="D12375" s="1">
        <v>44438</v>
      </c>
      <c r="E12375">
        <v>1</v>
      </c>
      <c r="F12375" t="s">
        <v>1275</v>
      </c>
      <c r="G12375" t="str">
        <f>"06-I21-03"</f>
        <v>06-I21-03</v>
      </c>
      <c r="H12375">
        <v>0.47820000000000001</v>
      </c>
      <c r="I12375" t="s">
        <v>282</v>
      </c>
      <c r="J12375" t="s">
        <v>17</v>
      </c>
      <c r="K12375" t="str">
        <f>"5F1"</f>
        <v>5F1</v>
      </c>
      <c r="L12375" t="s">
        <v>15</v>
      </c>
    </row>
    <row r="12376" spans="1:12" x14ac:dyDescent="0.25">
      <c r="A12376" t="str">
        <f>"9009134849"</f>
        <v>9009134849</v>
      </c>
      <c r="B12376" t="str">
        <f t="shared" si="500"/>
        <v>89301000</v>
      </c>
      <c r="C12376" s="1">
        <v>44303</v>
      </c>
      <c r="D12376" s="1">
        <v>44310</v>
      </c>
      <c r="E12376">
        <v>1</v>
      </c>
      <c r="F12376" t="s">
        <v>132</v>
      </c>
      <c r="G12376" t="str">
        <f>"03-I19-02"</f>
        <v>03-I19-02</v>
      </c>
      <c r="H12376">
        <v>0.88829999999999998</v>
      </c>
      <c r="I12376" t="s">
        <v>5394</v>
      </c>
      <c r="J12376" t="s">
        <v>14</v>
      </c>
      <c r="K12376" t="str">
        <f>"6F5"</f>
        <v>6F5</v>
      </c>
      <c r="L12376" t="s">
        <v>15</v>
      </c>
    </row>
    <row r="12377" spans="1:12" x14ac:dyDescent="0.25">
      <c r="A12377" t="str">
        <f>"9009255706"</f>
        <v>9009255706</v>
      </c>
      <c r="B12377" t="str">
        <f t="shared" si="500"/>
        <v>89301000</v>
      </c>
      <c r="C12377" s="1">
        <v>44328</v>
      </c>
      <c r="D12377" s="1">
        <v>44329</v>
      </c>
      <c r="E12377">
        <v>1</v>
      </c>
      <c r="F12377" t="s">
        <v>41</v>
      </c>
      <c r="G12377" t="str">
        <f>"01-D01-03"</f>
        <v>01-D01-03</v>
      </c>
      <c r="H12377">
        <v>0.158</v>
      </c>
      <c r="I12377" t="s">
        <v>1983</v>
      </c>
      <c r="J12377" t="s">
        <v>14</v>
      </c>
      <c r="K12377" t="str">
        <f>"2F5"</f>
        <v>2F5</v>
      </c>
      <c r="L12377" t="s">
        <v>15</v>
      </c>
    </row>
    <row r="12378" spans="1:12" x14ac:dyDescent="0.25">
      <c r="A12378" t="str">
        <f>"9010105742"</f>
        <v>9010105742</v>
      </c>
      <c r="B12378" t="str">
        <f t="shared" ref="B12378:B12441" si="502">"89301000"</f>
        <v>89301000</v>
      </c>
      <c r="C12378" s="1">
        <v>44487</v>
      </c>
      <c r="D12378" s="1">
        <v>44490</v>
      </c>
      <c r="E12378">
        <v>1</v>
      </c>
      <c r="F12378" t="s">
        <v>167</v>
      </c>
      <c r="G12378" t="str">
        <f>"08-M03-04"</f>
        <v>08-M03-04</v>
      </c>
      <c r="H12378">
        <v>0.8609</v>
      </c>
      <c r="I12378" t="s">
        <v>4297</v>
      </c>
      <c r="J12378" t="s">
        <v>14</v>
      </c>
      <c r="K12378" t="str">
        <f>"6F6"</f>
        <v>6F6</v>
      </c>
      <c r="L12378" t="s">
        <v>15</v>
      </c>
    </row>
    <row r="12379" spans="1:12" x14ac:dyDescent="0.25">
      <c r="A12379" t="str">
        <f>"9010155748"</f>
        <v>9010155748</v>
      </c>
      <c r="B12379" t="str">
        <f t="shared" si="502"/>
        <v>89301000</v>
      </c>
      <c r="C12379" s="1">
        <v>44551</v>
      </c>
      <c r="D12379" s="1">
        <v>44553</v>
      </c>
      <c r="E12379">
        <v>1</v>
      </c>
      <c r="F12379" t="s">
        <v>40</v>
      </c>
      <c r="G12379" t="str">
        <f>"06-K03-03"</f>
        <v>06-K03-03</v>
      </c>
      <c r="H12379">
        <v>0.44019999999999998</v>
      </c>
      <c r="I12379" t="s">
        <v>3659</v>
      </c>
      <c r="J12379" t="s">
        <v>14</v>
      </c>
      <c r="K12379" t="str">
        <f>"1F5"</f>
        <v>1F5</v>
      </c>
      <c r="L12379" t="s">
        <v>15</v>
      </c>
    </row>
    <row r="12380" spans="1:12" x14ac:dyDescent="0.25">
      <c r="A12380" t="str">
        <f>"9010275736"</f>
        <v>9010275736</v>
      </c>
      <c r="B12380" t="str">
        <f t="shared" si="502"/>
        <v>89301000</v>
      </c>
      <c r="C12380" s="1">
        <v>44436</v>
      </c>
      <c r="D12380" s="1">
        <v>44437</v>
      </c>
      <c r="E12380">
        <v>1</v>
      </c>
      <c r="F12380" t="s">
        <v>210</v>
      </c>
      <c r="G12380" t="str">
        <f>"08-I15-03"</f>
        <v>08-I15-03</v>
      </c>
      <c r="H12380">
        <v>1.1838</v>
      </c>
      <c r="I12380" t="s">
        <v>381</v>
      </c>
      <c r="J12380" t="s">
        <v>17</v>
      </c>
      <c r="K12380" t="str">
        <f>"5F3"</f>
        <v>5F3</v>
      </c>
      <c r="L12380" t="s">
        <v>15</v>
      </c>
    </row>
    <row r="12381" spans="1:12" x14ac:dyDescent="0.25">
      <c r="A12381" t="str">
        <f>"9011055735"</f>
        <v>9011055735</v>
      </c>
      <c r="B12381" t="str">
        <f t="shared" si="502"/>
        <v>89301000</v>
      </c>
      <c r="C12381" s="1">
        <v>44246</v>
      </c>
      <c r="D12381" s="1">
        <v>44249</v>
      </c>
      <c r="E12381">
        <v>1</v>
      </c>
      <c r="F12381" t="s">
        <v>500</v>
      </c>
      <c r="G12381" t="str">
        <f>"06-K06-01"</f>
        <v>06-K06-01</v>
      </c>
      <c r="H12381">
        <v>1.3448</v>
      </c>
      <c r="I12381" t="s">
        <v>7992</v>
      </c>
      <c r="J12381" t="s">
        <v>14</v>
      </c>
      <c r="K12381" t="str">
        <f>"1F5"</f>
        <v>1F5</v>
      </c>
      <c r="L12381" t="s">
        <v>15</v>
      </c>
    </row>
    <row r="12382" spans="1:12" x14ac:dyDescent="0.25">
      <c r="A12382" t="str">
        <f>"9011075722"</f>
        <v>9011075722</v>
      </c>
      <c r="B12382" t="str">
        <f t="shared" si="502"/>
        <v>89301000</v>
      </c>
      <c r="C12382" s="1">
        <v>44448</v>
      </c>
      <c r="D12382" s="1">
        <v>44449</v>
      </c>
      <c r="E12382">
        <v>1</v>
      </c>
      <c r="F12382" t="s">
        <v>287</v>
      </c>
      <c r="G12382" t="str">
        <f>"01-K16-06"</f>
        <v>01-K16-06</v>
      </c>
      <c r="H12382">
        <v>0.26469999999999999</v>
      </c>
      <c r="I12382" t="s">
        <v>7993</v>
      </c>
      <c r="J12382" t="s">
        <v>14</v>
      </c>
      <c r="K12382" t="str">
        <f>"5F3"</f>
        <v>5F3</v>
      </c>
      <c r="L12382" t="s">
        <v>15</v>
      </c>
    </row>
    <row r="12383" spans="1:12" x14ac:dyDescent="0.25">
      <c r="A12383" t="str">
        <f>"9011146177"</f>
        <v>9011146177</v>
      </c>
      <c r="B12383" t="str">
        <f t="shared" si="502"/>
        <v>89301000</v>
      </c>
      <c r="C12383" s="1">
        <v>44514</v>
      </c>
      <c r="D12383" s="1">
        <v>44516</v>
      </c>
      <c r="E12383">
        <v>1</v>
      </c>
      <c r="F12383" t="s">
        <v>132</v>
      </c>
      <c r="G12383" t="str">
        <f>"03-I19-02"</f>
        <v>03-I19-02</v>
      </c>
      <c r="H12383">
        <v>0.88829999999999998</v>
      </c>
      <c r="I12383" t="s">
        <v>7994</v>
      </c>
      <c r="J12383" t="s">
        <v>14</v>
      </c>
      <c r="K12383" t="str">
        <f>"6F5"</f>
        <v>6F5</v>
      </c>
      <c r="L12383" t="s">
        <v>15</v>
      </c>
    </row>
    <row r="12384" spans="1:12" x14ac:dyDescent="0.25">
      <c r="A12384" t="str">
        <f>"9011305743"</f>
        <v>9011305743</v>
      </c>
      <c r="B12384" t="str">
        <f t="shared" si="502"/>
        <v>89301000</v>
      </c>
      <c r="C12384" s="1">
        <v>44255</v>
      </c>
      <c r="D12384" s="1">
        <v>44258</v>
      </c>
      <c r="E12384">
        <v>1</v>
      </c>
      <c r="F12384" t="s">
        <v>496</v>
      </c>
      <c r="G12384" t="str">
        <f>"08-M03-05"</f>
        <v>08-M03-05</v>
      </c>
      <c r="H12384">
        <v>0.51759999999999995</v>
      </c>
      <c r="J12384" t="s">
        <v>14</v>
      </c>
      <c r="K12384" t="str">
        <f>"6F6"</f>
        <v>6F6</v>
      </c>
      <c r="L12384" t="s">
        <v>15</v>
      </c>
    </row>
    <row r="12385" spans="1:12" x14ac:dyDescent="0.25">
      <c r="A12385" t="str">
        <f>"9051076067"</f>
        <v>9051076067</v>
      </c>
      <c r="B12385" t="str">
        <f t="shared" si="502"/>
        <v>89301000</v>
      </c>
      <c r="C12385" s="1">
        <v>44542</v>
      </c>
      <c r="D12385" s="1">
        <v>44547</v>
      </c>
      <c r="E12385">
        <v>1</v>
      </c>
      <c r="F12385" t="s">
        <v>7048</v>
      </c>
      <c r="G12385" t="str">
        <f>"13-I14-03"</f>
        <v>13-I14-03</v>
      </c>
      <c r="H12385">
        <v>0.83199999999999996</v>
      </c>
      <c r="I12385" t="s">
        <v>7284</v>
      </c>
      <c r="J12385" t="s">
        <v>24</v>
      </c>
      <c r="K12385" t="str">
        <f t="shared" ref="K12385:K12393" si="503">"6F3"</f>
        <v>6F3</v>
      </c>
      <c r="L12385" t="s">
        <v>15</v>
      </c>
    </row>
    <row r="12386" spans="1:12" x14ac:dyDescent="0.25">
      <c r="A12386" t="str">
        <f>"9051092094"</f>
        <v>9051092094</v>
      </c>
      <c r="B12386" t="str">
        <f t="shared" si="502"/>
        <v>89301000</v>
      </c>
      <c r="C12386" s="1">
        <v>44312</v>
      </c>
      <c r="D12386" s="1">
        <v>44314</v>
      </c>
      <c r="E12386">
        <v>1</v>
      </c>
      <c r="F12386" t="s">
        <v>75</v>
      </c>
      <c r="G12386" t="str">
        <f>"14-M01-05"</f>
        <v>14-M01-05</v>
      </c>
      <c r="H12386">
        <v>0.54239999999999999</v>
      </c>
      <c r="J12386" t="s">
        <v>59</v>
      </c>
      <c r="K12386" t="str">
        <f t="shared" si="503"/>
        <v>6F3</v>
      </c>
      <c r="L12386" t="s">
        <v>15</v>
      </c>
    </row>
    <row r="12387" spans="1:12" x14ac:dyDescent="0.25">
      <c r="A12387" t="str">
        <f>"9051096153"</f>
        <v>9051096153</v>
      </c>
      <c r="B12387" t="str">
        <f t="shared" si="502"/>
        <v>89301000</v>
      </c>
      <c r="C12387" s="1">
        <v>44307</v>
      </c>
      <c r="D12387" s="1">
        <v>44308</v>
      </c>
      <c r="E12387">
        <v>1</v>
      </c>
      <c r="F12387" t="s">
        <v>75</v>
      </c>
      <c r="G12387" t="str">
        <f>"14-M01-05"</f>
        <v>14-M01-05</v>
      </c>
      <c r="H12387">
        <v>0.54239999999999999</v>
      </c>
      <c r="I12387" t="s">
        <v>180</v>
      </c>
      <c r="J12387" t="s">
        <v>59</v>
      </c>
      <c r="K12387" t="str">
        <f t="shared" si="503"/>
        <v>6F3</v>
      </c>
      <c r="L12387" t="s">
        <v>15</v>
      </c>
    </row>
    <row r="12388" spans="1:12" x14ac:dyDescent="0.25">
      <c r="A12388" t="str">
        <f>"9051125699"</f>
        <v>9051125699</v>
      </c>
      <c r="B12388" t="str">
        <f t="shared" si="502"/>
        <v>89301000</v>
      </c>
      <c r="C12388" s="1">
        <v>44267</v>
      </c>
      <c r="D12388" s="1">
        <v>44272</v>
      </c>
      <c r="E12388">
        <v>1</v>
      </c>
      <c r="F12388" t="s">
        <v>61</v>
      </c>
      <c r="G12388" t="str">
        <f>"14-I01-05"</f>
        <v>14-I01-05</v>
      </c>
      <c r="H12388">
        <v>0.80030000000000001</v>
      </c>
      <c r="I12388" t="s">
        <v>7572</v>
      </c>
      <c r="J12388" t="s">
        <v>59</v>
      </c>
      <c r="K12388" t="str">
        <f t="shared" si="503"/>
        <v>6F3</v>
      </c>
      <c r="L12388" t="s">
        <v>15</v>
      </c>
    </row>
    <row r="12389" spans="1:12" x14ac:dyDescent="0.25">
      <c r="A12389" t="str">
        <f>"9051125732"</f>
        <v>9051125732</v>
      </c>
      <c r="B12389" t="str">
        <f t="shared" si="502"/>
        <v>89301000</v>
      </c>
      <c r="C12389" s="1">
        <v>44338</v>
      </c>
      <c r="D12389" s="1">
        <v>44341</v>
      </c>
      <c r="E12389">
        <v>1</v>
      </c>
      <c r="F12389" t="s">
        <v>75</v>
      </c>
      <c r="G12389" t="str">
        <f>"14-M01-05"</f>
        <v>14-M01-05</v>
      </c>
      <c r="H12389">
        <v>0.54239999999999999</v>
      </c>
      <c r="I12389" t="s">
        <v>76</v>
      </c>
      <c r="J12389" t="s">
        <v>59</v>
      </c>
      <c r="K12389" t="str">
        <f t="shared" si="503"/>
        <v>6F3</v>
      </c>
      <c r="L12389" t="s">
        <v>15</v>
      </c>
    </row>
    <row r="12390" spans="1:12" x14ac:dyDescent="0.25">
      <c r="A12390" t="str">
        <f>"9051151956"</f>
        <v>9051151956</v>
      </c>
      <c r="B12390" t="str">
        <f t="shared" si="502"/>
        <v>89301000</v>
      </c>
      <c r="C12390" s="1">
        <v>44231</v>
      </c>
      <c r="D12390" s="1">
        <v>44234</v>
      </c>
      <c r="E12390">
        <v>1</v>
      </c>
      <c r="F12390" t="s">
        <v>7639</v>
      </c>
      <c r="G12390" t="str">
        <f>"14-K03-02"</f>
        <v>14-K03-02</v>
      </c>
      <c r="H12390">
        <v>0.2646</v>
      </c>
      <c r="J12390" t="s">
        <v>14</v>
      </c>
      <c r="K12390" t="str">
        <f t="shared" si="503"/>
        <v>6F3</v>
      </c>
      <c r="L12390" t="s">
        <v>15</v>
      </c>
    </row>
    <row r="12391" spans="1:12" x14ac:dyDescent="0.25">
      <c r="A12391" t="str">
        <f>"9051151956"</f>
        <v>9051151956</v>
      </c>
      <c r="B12391" t="str">
        <f t="shared" si="502"/>
        <v>89301000</v>
      </c>
      <c r="C12391" s="1">
        <v>44257</v>
      </c>
      <c r="D12391" s="1">
        <v>44261</v>
      </c>
      <c r="E12391">
        <v>1</v>
      </c>
      <c r="F12391" t="s">
        <v>336</v>
      </c>
      <c r="G12391" t="str">
        <f>"14-I08-03"</f>
        <v>14-I08-03</v>
      </c>
      <c r="H12391">
        <v>0.33639999999999998</v>
      </c>
      <c r="J12391" t="s">
        <v>14</v>
      </c>
      <c r="K12391" t="str">
        <f t="shared" si="503"/>
        <v>6F3</v>
      </c>
      <c r="L12391" t="s">
        <v>15</v>
      </c>
    </row>
    <row r="12392" spans="1:12" x14ac:dyDescent="0.25">
      <c r="A12392" t="str">
        <f>"9051186067"</f>
        <v>9051186067</v>
      </c>
      <c r="B12392" t="str">
        <f t="shared" si="502"/>
        <v>89301000</v>
      </c>
      <c r="C12392" s="1">
        <v>44230</v>
      </c>
      <c r="D12392" s="1">
        <v>44232</v>
      </c>
      <c r="E12392">
        <v>1</v>
      </c>
      <c r="F12392" t="s">
        <v>7100</v>
      </c>
      <c r="G12392" t="str">
        <f>"13-K06-00"</f>
        <v>13-K06-00</v>
      </c>
      <c r="H12392">
        <v>0.37859999999999999</v>
      </c>
      <c r="J12392" t="s">
        <v>14</v>
      </c>
      <c r="K12392" t="str">
        <f t="shared" si="503"/>
        <v>6F3</v>
      </c>
      <c r="L12392" t="s">
        <v>15</v>
      </c>
    </row>
    <row r="12393" spans="1:12" x14ac:dyDescent="0.25">
      <c r="A12393" t="str">
        <f>"9051186144"</f>
        <v>9051186144</v>
      </c>
      <c r="B12393" t="str">
        <f t="shared" si="502"/>
        <v>89301000</v>
      </c>
      <c r="C12393" s="1">
        <v>44242</v>
      </c>
      <c r="D12393" s="1">
        <v>44246</v>
      </c>
      <c r="E12393">
        <v>1</v>
      </c>
      <c r="F12393" t="s">
        <v>75</v>
      </c>
      <c r="G12393" t="str">
        <f>"14-M01-05"</f>
        <v>14-M01-05</v>
      </c>
      <c r="H12393">
        <v>0.54239999999999999</v>
      </c>
      <c r="I12393" t="s">
        <v>180</v>
      </c>
      <c r="J12393" t="s">
        <v>59</v>
      </c>
      <c r="K12393" t="str">
        <f t="shared" si="503"/>
        <v>6F3</v>
      </c>
      <c r="L12393" t="s">
        <v>15</v>
      </c>
    </row>
    <row r="12394" spans="1:12" x14ac:dyDescent="0.25">
      <c r="A12394" t="str">
        <f>"9051295704"</f>
        <v>9051295704</v>
      </c>
      <c r="B12394" t="str">
        <f t="shared" si="502"/>
        <v>89301000</v>
      </c>
      <c r="C12394" s="1">
        <v>44362</v>
      </c>
      <c r="D12394" s="1">
        <v>44363</v>
      </c>
      <c r="E12394">
        <v>1</v>
      </c>
      <c r="F12394" t="s">
        <v>511</v>
      </c>
      <c r="G12394" t="str">
        <f>"08-I17-02"</f>
        <v>08-I17-02</v>
      </c>
      <c r="H12394">
        <v>0.98309999999999997</v>
      </c>
      <c r="I12394" t="s">
        <v>381</v>
      </c>
      <c r="J12394" t="s">
        <v>14</v>
      </c>
      <c r="K12394" t="str">
        <f>"5F3"</f>
        <v>5F3</v>
      </c>
      <c r="L12394" t="s">
        <v>15</v>
      </c>
    </row>
    <row r="12395" spans="1:12" x14ac:dyDescent="0.25">
      <c r="A12395" t="str">
        <f>"9052041394"</f>
        <v>9052041394</v>
      </c>
      <c r="B12395" t="str">
        <f t="shared" si="502"/>
        <v>89301000</v>
      </c>
      <c r="C12395" s="1">
        <v>44558</v>
      </c>
      <c r="D12395" s="1">
        <v>44561</v>
      </c>
      <c r="E12395">
        <v>1</v>
      </c>
      <c r="F12395" t="s">
        <v>61</v>
      </c>
      <c r="G12395" t="str">
        <f>"14-I01-05"</f>
        <v>14-I01-05</v>
      </c>
      <c r="H12395">
        <v>0.80030000000000001</v>
      </c>
      <c r="I12395" t="s">
        <v>62</v>
      </c>
      <c r="J12395" t="s">
        <v>59</v>
      </c>
      <c r="K12395" t="str">
        <f>"6F3"</f>
        <v>6F3</v>
      </c>
      <c r="L12395" t="s">
        <v>15</v>
      </c>
    </row>
    <row r="12396" spans="1:12" x14ac:dyDescent="0.25">
      <c r="A12396" t="str">
        <f>"9052086142"</f>
        <v>9052086142</v>
      </c>
      <c r="B12396" t="str">
        <f t="shared" si="502"/>
        <v>89301000</v>
      </c>
      <c r="C12396" s="1">
        <v>44352</v>
      </c>
      <c r="D12396" s="1">
        <v>44357</v>
      </c>
      <c r="E12396">
        <v>1</v>
      </c>
      <c r="F12396" t="s">
        <v>7455</v>
      </c>
      <c r="G12396" t="str">
        <f>"14-I01-02"</f>
        <v>14-I01-02</v>
      </c>
      <c r="H12396">
        <v>1.1289</v>
      </c>
      <c r="I12396" t="s">
        <v>7995</v>
      </c>
      <c r="J12396" t="s">
        <v>59</v>
      </c>
      <c r="K12396" t="str">
        <f>"6F3"</f>
        <v>6F3</v>
      </c>
      <c r="L12396" t="s">
        <v>15</v>
      </c>
    </row>
    <row r="12397" spans="1:12" x14ac:dyDescent="0.25">
      <c r="A12397" t="str">
        <f>"9052174857"</f>
        <v>9052174857</v>
      </c>
      <c r="B12397" t="str">
        <f t="shared" si="502"/>
        <v>89301000</v>
      </c>
      <c r="C12397" s="1">
        <v>44491</v>
      </c>
      <c r="D12397" s="1">
        <v>44494</v>
      </c>
      <c r="E12397">
        <v>1</v>
      </c>
      <c r="F12397" t="s">
        <v>75</v>
      </c>
      <c r="G12397" t="str">
        <f>"14-M01-05"</f>
        <v>14-M01-05</v>
      </c>
      <c r="H12397">
        <v>0.54239999999999999</v>
      </c>
      <c r="I12397" t="s">
        <v>7900</v>
      </c>
      <c r="J12397" t="s">
        <v>59</v>
      </c>
      <c r="K12397" t="str">
        <f>"6F3"</f>
        <v>6F3</v>
      </c>
      <c r="L12397" t="s">
        <v>15</v>
      </c>
    </row>
    <row r="12398" spans="1:12" x14ac:dyDescent="0.25">
      <c r="A12398" t="str">
        <f>"9052236171"</f>
        <v>9052236171</v>
      </c>
      <c r="B12398" t="str">
        <f t="shared" si="502"/>
        <v>89301000</v>
      </c>
      <c r="C12398" s="1">
        <v>44288</v>
      </c>
      <c r="D12398" s="1">
        <v>44295</v>
      </c>
      <c r="E12398">
        <v>1</v>
      </c>
      <c r="F12398" t="s">
        <v>116</v>
      </c>
      <c r="G12398" t="str">
        <f>"14-M01-02"</f>
        <v>14-M01-02</v>
      </c>
      <c r="H12398">
        <v>0.74450000000000005</v>
      </c>
      <c r="I12398" t="s">
        <v>7996</v>
      </c>
      <c r="J12398" t="s">
        <v>59</v>
      </c>
      <c r="K12398" t="str">
        <f>"6F3"</f>
        <v>6F3</v>
      </c>
      <c r="L12398" t="s">
        <v>15</v>
      </c>
    </row>
    <row r="12399" spans="1:12" x14ac:dyDescent="0.25">
      <c r="A12399" t="str">
        <f>"9052285715"</f>
        <v>9052285715</v>
      </c>
      <c r="B12399" t="str">
        <f t="shared" si="502"/>
        <v>89301000</v>
      </c>
      <c r="C12399" s="1">
        <v>44201</v>
      </c>
      <c r="D12399" s="1">
        <v>44205</v>
      </c>
      <c r="E12399">
        <v>1</v>
      </c>
      <c r="F12399" t="s">
        <v>61</v>
      </c>
      <c r="G12399" t="str">
        <f>"14-I01-05"</f>
        <v>14-I01-05</v>
      </c>
      <c r="H12399">
        <v>0.80030000000000001</v>
      </c>
      <c r="I12399" t="s">
        <v>7277</v>
      </c>
      <c r="J12399" t="s">
        <v>59</v>
      </c>
      <c r="K12399" t="str">
        <f>"6F3"</f>
        <v>6F3</v>
      </c>
      <c r="L12399" t="s">
        <v>15</v>
      </c>
    </row>
    <row r="12400" spans="1:12" x14ac:dyDescent="0.25">
      <c r="A12400" t="str">
        <f>"9053035706"</f>
        <v>9053035706</v>
      </c>
      <c r="B12400" t="str">
        <f t="shared" si="502"/>
        <v>89301000</v>
      </c>
      <c r="C12400" s="1">
        <v>44480</v>
      </c>
      <c r="D12400" s="1">
        <v>44482</v>
      </c>
      <c r="E12400">
        <v>1</v>
      </c>
      <c r="F12400" t="s">
        <v>486</v>
      </c>
      <c r="G12400" t="str">
        <f>"05-M08-00"</f>
        <v>05-M08-00</v>
      </c>
      <c r="H12400">
        <v>1.0623</v>
      </c>
      <c r="I12400" t="s">
        <v>7997</v>
      </c>
      <c r="J12400" t="s">
        <v>17</v>
      </c>
      <c r="K12400" t="str">
        <f>"5F1"</f>
        <v>5F1</v>
      </c>
      <c r="L12400" t="s">
        <v>15</v>
      </c>
    </row>
    <row r="12401" spans="1:12" x14ac:dyDescent="0.25">
      <c r="A12401" t="str">
        <f>"9053085712"</f>
        <v>9053085712</v>
      </c>
      <c r="B12401" t="str">
        <f t="shared" si="502"/>
        <v>89301000</v>
      </c>
      <c r="C12401" s="1">
        <v>44363</v>
      </c>
      <c r="D12401" s="1">
        <v>44367</v>
      </c>
      <c r="E12401">
        <v>1</v>
      </c>
      <c r="F12401" t="s">
        <v>82</v>
      </c>
      <c r="G12401" t="str">
        <f>"14-I01-02"</f>
        <v>14-I01-02</v>
      </c>
      <c r="H12401">
        <v>1.1289</v>
      </c>
      <c r="I12401" t="s">
        <v>269</v>
      </c>
      <c r="J12401" t="s">
        <v>59</v>
      </c>
      <c r="K12401" t="str">
        <f>"6F3"</f>
        <v>6F3</v>
      </c>
      <c r="L12401" t="s">
        <v>15</v>
      </c>
    </row>
    <row r="12402" spans="1:12" x14ac:dyDescent="0.25">
      <c r="A12402" t="str">
        <f>"9053155738"</f>
        <v>9053155738</v>
      </c>
      <c r="B12402" t="str">
        <f t="shared" si="502"/>
        <v>89301000</v>
      </c>
      <c r="C12402" s="1">
        <v>44266</v>
      </c>
      <c r="D12402" s="1">
        <v>44271</v>
      </c>
      <c r="E12402">
        <v>1</v>
      </c>
      <c r="F12402" t="s">
        <v>2162</v>
      </c>
      <c r="G12402" t="str">
        <f>"01-K01-01"</f>
        <v>01-K01-01</v>
      </c>
      <c r="H12402">
        <v>0.84930000000000005</v>
      </c>
      <c r="I12402" t="s">
        <v>192</v>
      </c>
      <c r="J12402" t="s">
        <v>14</v>
      </c>
      <c r="K12402" t="str">
        <f>"2F9"</f>
        <v>2F9</v>
      </c>
      <c r="L12402" t="s">
        <v>15</v>
      </c>
    </row>
    <row r="12403" spans="1:12" x14ac:dyDescent="0.25">
      <c r="A12403" t="str">
        <f>"9053165737"</f>
        <v>9053165737</v>
      </c>
      <c r="B12403" t="str">
        <f t="shared" si="502"/>
        <v>89301000</v>
      </c>
      <c r="C12403" s="1">
        <v>44545</v>
      </c>
      <c r="D12403" s="1">
        <v>44548</v>
      </c>
      <c r="E12403">
        <v>1</v>
      </c>
      <c r="F12403" t="s">
        <v>75</v>
      </c>
      <c r="G12403" t="str">
        <f>"14-M01-05"</f>
        <v>14-M01-05</v>
      </c>
      <c r="H12403">
        <v>0.54239999999999999</v>
      </c>
      <c r="J12403" t="s">
        <v>59</v>
      </c>
      <c r="K12403" t="str">
        <f>"6F3"</f>
        <v>6F3</v>
      </c>
      <c r="L12403" t="s">
        <v>15</v>
      </c>
    </row>
    <row r="12404" spans="1:12" x14ac:dyDescent="0.25">
      <c r="A12404" t="str">
        <f>"9053285703"</f>
        <v>9053285703</v>
      </c>
      <c r="B12404" t="str">
        <f t="shared" si="502"/>
        <v>89301000</v>
      </c>
      <c r="C12404" s="1">
        <v>44432</v>
      </c>
      <c r="D12404" s="1">
        <v>44435</v>
      </c>
      <c r="E12404">
        <v>1</v>
      </c>
      <c r="F12404" t="s">
        <v>7998</v>
      </c>
      <c r="G12404" t="str">
        <f>"13-I14-03"</f>
        <v>13-I14-03</v>
      </c>
      <c r="H12404">
        <v>0.83199999999999996</v>
      </c>
      <c r="J12404" t="s">
        <v>24</v>
      </c>
      <c r="K12404" t="str">
        <f>"6F3"</f>
        <v>6F3</v>
      </c>
      <c r="L12404" t="s">
        <v>15</v>
      </c>
    </row>
    <row r="12405" spans="1:12" x14ac:dyDescent="0.25">
      <c r="A12405" t="str">
        <f>"9053285703"</f>
        <v>9053285703</v>
      </c>
      <c r="B12405" t="str">
        <f t="shared" si="502"/>
        <v>89301000</v>
      </c>
      <c r="C12405" s="1">
        <v>44227</v>
      </c>
      <c r="D12405" s="1">
        <v>44230</v>
      </c>
      <c r="E12405">
        <v>1</v>
      </c>
      <c r="F12405" t="s">
        <v>7048</v>
      </c>
      <c r="G12405" t="str">
        <f>"13-I14-03"</f>
        <v>13-I14-03</v>
      </c>
      <c r="H12405">
        <v>0.83199999999999996</v>
      </c>
      <c r="I12405" t="s">
        <v>51</v>
      </c>
      <c r="J12405" t="s">
        <v>24</v>
      </c>
      <c r="K12405" t="str">
        <f>"6F3"</f>
        <v>6F3</v>
      </c>
      <c r="L12405" t="s">
        <v>15</v>
      </c>
    </row>
    <row r="12406" spans="1:12" x14ac:dyDescent="0.25">
      <c r="A12406" t="str">
        <f>"9053295790"</f>
        <v>9053295790</v>
      </c>
      <c r="B12406" t="str">
        <f t="shared" si="502"/>
        <v>89301000</v>
      </c>
      <c r="C12406" s="1">
        <v>44412</v>
      </c>
      <c r="D12406" s="1">
        <v>44417</v>
      </c>
      <c r="E12406">
        <v>1</v>
      </c>
      <c r="F12406" t="s">
        <v>7910</v>
      </c>
      <c r="G12406" t="str">
        <f>"13-K02-00"</f>
        <v>13-K02-00</v>
      </c>
      <c r="H12406">
        <v>0.24079999999999999</v>
      </c>
      <c r="J12406" t="s">
        <v>14</v>
      </c>
      <c r="K12406" t="str">
        <f>"6F3"</f>
        <v>6F3</v>
      </c>
      <c r="L12406" t="s">
        <v>15</v>
      </c>
    </row>
    <row r="12407" spans="1:12" x14ac:dyDescent="0.25">
      <c r="A12407" t="str">
        <f>"9053305701"</f>
        <v>9053305701</v>
      </c>
      <c r="B12407" t="str">
        <f t="shared" si="502"/>
        <v>89301000</v>
      </c>
      <c r="C12407" s="1">
        <v>44283</v>
      </c>
      <c r="D12407" s="1">
        <v>44287</v>
      </c>
      <c r="E12407">
        <v>1</v>
      </c>
      <c r="F12407" t="s">
        <v>51</v>
      </c>
      <c r="G12407" t="str">
        <f>"13-I17-00"</f>
        <v>13-I17-00</v>
      </c>
      <c r="H12407">
        <v>0.74590000000000001</v>
      </c>
      <c r="J12407" t="s">
        <v>24</v>
      </c>
      <c r="K12407" t="str">
        <f>"6F3"</f>
        <v>6F3</v>
      </c>
      <c r="L12407" t="s">
        <v>15</v>
      </c>
    </row>
    <row r="12408" spans="1:12" x14ac:dyDescent="0.25">
      <c r="A12408" t="str">
        <f>"9053315711"</f>
        <v>9053315711</v>
      </c>
      <c r="B12408" t="str">
        <f t="shared" si="502"/>
        <v>89301000</v>
      </c>
      <c r="C12408" s="1">
        <v>44549</v>
      </c>
      <c r="D12408" s="1">
        <v>44551</v>
      </c>
      <c r="E12408">
        <v>1</v>
      </c>
      <c r="F12408" t="s">
        <v>518</v>
      </c>
      <c r="G12408" t="str">
        <f>"09-K13-02"</f>
        <v>09-K13-02</v>
      </c>
      <c r="H12408">
        <v>0.3014</v>
      </c>
      <c r="I12408" t="s">
        <v>381</v>
      </c>
      <c r="J12408" t="s">
        <v>14</v>
      </c>
      <c r="K12408" t="str">
        <f>"5F3"</f>
        <v>5F3</v>
      </c>
      <c r="L12408" t="s">
        <v>15</v>
      </c>
    </row>
    <row r="12409" spans="1:12" x14ac:dyDescent="0.25">
      <c r="A12409" t="str">
        <f>"9053315733"</f>
        <v>9053315733</v>
      </c>
      <c r="B12409" t="str">
        <f t="shared" si="502"/>
        <v>89301000</v>
      </c>
      <c r="C12409" s="1">
        <v>44448</v>
      </c>
      <c r="D12409" s="1">
        <v>44451</v>
      </c>
      <c r="E12409">
        <v>1</v>
      </c>
      <c r="F12409" t="s">
        <v>75</v>
      </c>
      <c r="G12409" t="str">
        <f>"14-M01-05"</f>
        <v>14-M01-05</v>
      </c>
      <c r="H12409">
        <v>0.54239999999999999</v>
      </c>
      <c r="I12409" t="s">
        <v>7999</v>
      </c>
      <c r="J12409" t="s">
        <v>59</v>
      </c>
      <c r="K12409" t="str">
        <f>"6F3"</f>
        <v>6F3</v>
      </c>
      <c r="L12409" t="s">
        <v>15</v>
      </c>
    </row>
    <row r="12410" spans="1:12" x14ac:dyDescent="0.25">
      <c r="A12410" t="str">
        <f>"9054025772"</f>
        <v>9054025772</v>
      </c>
      <c r="B12410" t="str">
        <f t="shared" si="502"/>
        <v>89301000</v>
      </c>
      <c r="C12410" s="1">
        <v>44319</v>
      </c>
      <c r="D12410" s="1">
        <v>44324</v>
      </c>
      <c r="E12410">
        <v>1</v>
      </c>
      <c r="F12410" t="s">
        <v>8000</v>
      </c>
      <c r="G12410" t="str">
        <f>"02-K01-02"</f>
        <v>02-K01-02</v>
      </c>
      <c r="H12410">
        <v>0.77749999999999997</v>
      </c>
      <c r="I12410" t="s">
        <v>8001</v>
      </c>
      <c r="J12410" t="s">
        <v>14</v>
      </c>
      <c r="K12410" t="str">
        <f>"7F5"</f>
        <v>7F5</v>
      </c>
      <c r="L12410" t="s">
        <v>15</v>
      </c>
    </row>
    <row r="12411" spans="1:12" x14ac:dyDescent="0.25">
      <c r="A12411" t="str">
        <f>"9054025772"</f>
        <v>9054025772</v>
      </c>
      <c r="B12411" t="str">
        <f t="shared" si="502"/>
        <v>89301000</v>
      </c>
      <c r="C12411" s="1">
        <v>44509</v>
      </c>
      <c r="D12411" s="1">
        <v>44512</v>
      </c>
      <c r="E12411">
        <v>1</v>
      </c>
      <c r="F12411" t="s">
        <v>6693</v>
      </c>
      <c r="G12411" t="str">
        <f>"02-K01-02"</f>
        <v>02-K01-02</v>
      </c>
      <c r="H12411">
        <v>0.77749999999999997</v>
      </c>
      <c r="I12411" t="s">
        <v>8002</v>
      </c>
      <c r="J12411" t="s">
        <v>14</v>
      </c>
      <c r="K12411" t="str">
        <f>"1F9"</f>
        <v>1F9</v>
      </c>
      <c r="L12411" t="s">
        <v>15</v>
      </c>
    </row>
    <row r="12412" spans="1:12" x14ac:dyDescent="0.25">
      <c r="A12412" t="str">
        <f>"9054025772"</f>
        <v>9054025772</v>
      </c>
      <c r="B12412" t="str">
        <f t="shared" si="502"/>
        <v>89301000</v>
      </c>
      <c r="C12412" s="1">
        <v>44422</v>
      </c>
      <c r="D12412" s="1">
        <v>44425</v>
      </c>
      <c r="E12412">
        <v>1</v>
      </c>
      <c r="F12412" t="s">
        <v>8003</v>
      </c>
      <c r="G12412" t="str">
        <f>"02-K05-02"</f>
        <v>02-K05-02</v>
      </c>
      <c r="H12412">
        <v>0.4531</v>
      </c>
      <c r="I12412" t="s">
        <v>8004</v>
      </c>
      <c r="J12412" t="s">
        <v>14</v>
      </c>
      <c r="K12412" t="str">
        <f>"7F5"</f>
        <v>7F5</v>
      </c>
      <c r="L12412" t="s">
        <v>15</v>
      </c>
    </row>
    <row r="12413" spans="1:12" x14ac:dyDescent="0.25">
      <c r="A12413" t="str">
        <f>"9054025772"</f>
        <v>9054025772</v>
      </c>
      <c r="B12413" t="str">
        <f t="shared" si="502"/>
        <v>89301000</v>
      </c>
      <c r="C12413" s="1">
        <v>44295</v>
      </c>
      <c r="D12413" s="1">
        <v>44298</v>
      </c>
      <c r="E12413">
        <v>1</v>
      </c>
      <c r="F12413" t="s">
        <v>8000</v>
      </c>
      <c r="G12413" t="str">
        <f>"02-K01-02"</f>
        <v>02-K01-02</v>
      </c>
      <c r="H12413">
        <v>0.77749999999999997</v>
      </c>
      <c r="I12413" t="s">
        <v>8001</v>
      </c>
      <c r="J12413" t="s">
        <v>14</v>
      </c>
      <c r="K12413" t="str">
        <f>"7F5"</f>
        <v>7F5</v>
      </c>
      <c r="L12413" t="s">
        <v>15</v>
      </c>
    </row>
    <row r="12414" spans="1:12" x14ac:dyDescent="0.25">
      <c r="A12414" t="str">
        <f>"9054065702"</f>
        <v>9054065702</v>
      </c>
      <c r="B12414" t="str">
        <f t="shared" si="502"/>
        <v>89301000</v>
      </c>
      <c r="C12414" s="1">
        <v>44242</v>
      </c>
      <c r="D12414" s="1">
        <v>44247</v>
      </c>
      <c r="E12414">
        <v>1</v>
      </c>
      <c r="F12414" t="s">
        <v>75</v>
      </c>
      <c r="G12414" t="str">
        <f>"14-M01-05"</f>
        <v>14-M01-05</v>
      </c>
      <c r="H12414">
        <v>0.54239999999999999</v>
      </c>
      <c r="I12414" t="s">
        <v>8005</v>
      </c>
      <c r="J12414" t="s">
        <v>59</v>
      </c>
      <c r="K12414" t="str">
        <f t="shared" ref="K12414:K12419" si="504">"6F3"</f>
        <v>6F3</v>
      </c>
      <c r="L12414" t="s">
        <v>15</v>
      </c>
    </row>
    <row r="12415" spans="1:12" x14ac:dyDescent="0.25">
      <c r="A12415" t="str">
        <f>"9054154846"</f>
        <v>9054154846</v>
      </c>
      <c r="B12415" t="str">
        <f t="shared" si="502"/>
        <v>89301000</v>
      </c>
      <c r="C12415" s="1">
        <v>44311</v>
      </c>
      <c r="D12415" s="1">
        <v>44317</v>
      </c>
      <c r="E12415">
        <v>1</v>
      </c>
      <c r="F12415" t="s">
        <v>112</v>
      </c>
      <c r="G12415" t="str">
        <f>"14-M01-05"</f>
        <v>14-M01-05</v>
      </c>
      <c r="H12415">
        <v>0.54239999999999999</v>
      </c>
      <c r="I12415" t="s">
        <v>8006</v>
      </c>
      <c r="J12415" t="s">
        <v>59</v>
      </c>
      <c r="K12415" t="str">
        <f t="shared" si="504"/>
        <v>6F3</v>
      </c>
      <c r="L12415" t="s">
        <v>15</v>
      </c>
    </row>
    <row r="12416" spans="1:12" x14ac:dyDescent="0.25">
      <c r="A12416" t="str">
        <f>"9054164845"</f>
        <v>9054164845</v>
      </c>
      <c r="B12416" t="str">
        <f t="shared" si="502"/>
        <v>89301000</v>
      </c>
      <c r="C12416" s="1">
        <v>44288</v>
      </c>
      <c r="D12416" s="1">
        <v>44295</v>
      </c>
      <c r="E12416">
        <v>1</v>
      </c>
      <c r="F12416" t="s">
        <v>75</v>
      </c>
      <c r="G12416" t="str">
        <f>"14-M01-05"</f>
        <v>14-M01-05</v>
      </c>
      <c r="H12416">
        <v>0.60709999999999997</v>
      </c>
      <c r="I12416" t="s">
        <v>256</v>
      </c>
      <c r="J12416" t="s">
        <v>59</v>
      </c>
      <c r="K12416" t="str">
        <f t="shared" si="504"/>
        <v>6F3</v>
      </c>
      <c r="L12416" t="s">
        <v>15</v>
      </c>
    </row>
    <row r="12417" spans="1:12" x14ac:dyDescent="0.25">
      <c r="A12417" t="str">
        <f>"9054175713"</f>
        <v>9054175713</v>
      </c>
      <c r="B12417" t="str">
        <f t="shared" si="502"/>
        <v>89301000</v>
      </c>
      <c r="C12417" s="1">
        <v>44247</v>
      </c>
      <c r="D12417" s="1">
        <v>44248</v>
      </c>
      <c r="E12417">
        <v>1</v>
      </c>
      <c r="F12417" t="s">
        <v>74</v>
      </c>
      <c r="G12417" t="str">
        <f>"14-K03-02"</f>
        <v>14-K03-02</v>
      </c>
      <c r="H12417">
        <v>0.2646</v>
      </c>
      <c r="J12417" t="s">
        <v>14</v>
      </c>
      <c r="K12417" t="str">
        <f t="shared" si="504"/>
        <v>6F3</v>
      </c>
      <c r="L12417" t="s">
        <v>15</v>
      </c>
    </row>
    <row r="12418" spans="1:12" x14ac:dyDescent="0.25">
      <c r="A12418" t="str">
        <f>"9054175713"</f>
        <v>9054175713</v>
      </c>
      <c r="B12418" t="str">
        <f t="shared" si="502"/>
        <v>89301000</v>
      </c>
      <c r="C12418" s="1">
        <v>44469</v>
      </c>
      <c r="D12418" s="1">
        <v>44472</v>
      </c>
      <c r="E12418">
        <v>1</v>
      </c>
      <c r="F12418" t="s">
        <v>61</v>
      </c>
      <c r="G12418" t="str">
        <f>"14-I01-05"</f>
        <v>14-I01-05</v>
      </c>
      <c r="H12418">
        <v>0.80030000000000001</v>
      </c>
      <c r="I12418" t="s">
        <v>62</v>
      </c>
      <c r="J12418" t="s">
        <v>59</v>
      </c>
      <c r="K12418" t="str">
        <f t="shared" si="504"/>
        <v>6F3</v>
      </c>
      <c r="L12418" t="s">
        <v>15</v>
      </c>
    </row>
    <row r="12419" spans="1:12" x14ac:dyDescent="0.25">
      <c r="A12419" t="str">
        <f>"9054295701"</f>
        <v>9054295701</v>
      </c>
      <c r="B12419" t="str">
        <f t="shared" si="502"/>
        <v>89301000</v>
      </c>
      <c r="C12419" s="1">
        <v>44393</v>
      </c>
      <c r="D12419" s="1">
        <v>44402</v>
      </c>
      <c r="E12419">
        <v>1</v>
      </c>
      <c r="F12419" t="s">
        <v>75</v>
      </c>
      <c r="G12419" t="str">
        <f>"14-M01-05"</f>
        <v>14-M01-05</v>
      </c>
      <c r="H12419">
        <v>0.73650000000000004</v>
      </c>
      <c r="I12419" t="s">
        <v>8007</v>
      </c>
      <c r="J12419" t="s">
        <v>59</v>
      </c>
      <c r="K12419" t="str">
        <f t="shared" si="504"/>
        <v>6F3</v>
      </c>
      <c r="L12419" t="s">
        <v>15</v>
      </c>
    </row>
    <row r="12420" spans="1:12" x14ac:dyDescent="0.25">
      <c r="A12420" t="str">
        <f>"9055025716"</f>
        <v>9055025716</v>
      </c>
      <c r="B12420" t="str">
        <f t="shared" si="502"/>
        <v>89301000</v>
      </c>
      <c r="C12420" s="1">
        <v>44516</v>
      </c>
      <c r="D12420" s="1">
        <v>44517</v>
      </c>
      <c r="E12420">
        <v>1</v>
      </c>
      <c r="F12420" t="s">
        <v>173</v>
      </c>
      <c r="G12420" t="str">
        <f>"08-I32-02"</f>
        <v>08-I32-02</v>
      </c>
      <c r="H12420">
        <v>0.4143</v>
      </c>
      <c r="J12420" t="s">
        <v>14</v>
      </c>
      <c r="K12420" t="str">
        <f>"5F3"</f>
        <v>5F3</v>
      </c>
      <c r="L12420" t="s">
        <v>15</v>
      </c>
    </row>
    <row r="12421" spans="1:12" x14ac:dyDescent="0.25">
      <c r="A12421" t="str">
        <f>"9055035726"</f>
        <v>9055035726</v>
      </c>
      <c r="B12421" t="str">
        <f t="shared" si="502"/>
        <v>89301000</v>
      </c>
      <c r="C12421" s="1">
        <v>44358</v>
      </c>
      <c r="D12421" s="1">
        <v>44361</v>
      </c>
      <c r="E12421">
        <v>1</v>
      </c>
      <c r="F12421" t="s">
        <v>75</v>
      </c>
      <c r="G12421" t="str">
        <f>"14-M01-05"</f>
        <v>14-M01-05</v>
      </c>
      <c r="H12421">
        <v>0.54239999999999999</v>
      </c>
      <c r="I12421" t="s">
        <v>76</v>
      </c>
      <c r="J12421" t="s">
        <v>59</v>
      </c>
      <c r="K12421" t="str">
        <f t="shared" ref="K12421:K12428" si="505">"6F3"</f>
        <v>6F3</v>
      </c>
      <c r="L12421" t="s">
        <v>15</v>
      </c>
    </row>
    <row r="12422" spans="1:12" x14ac:dyDescent="0.25">
      <c r="A12422" t="str">
        <f>"9055035737"</f>
        <v>9055035737</v>
      </c>
      <c r="B12422" t="str">
        <f t="shared" si="502"/>
        <v>89301000</v>
      </c>
      <c r="C12422" s="1">
        <v>44209</v>
      </c>
      <c r="D12422" s="1">
        <v>44211</v>
      </c>
      <c r="E12422">
        <v>1</v>
      </c>
      <c r="F12422" t="s">
        <v>75</v>
      </c>
      <c r="G12422" t="str">
        <f>"14-M01-05"</f>
        <v>14-M01-05</v>
      </c>
      <c r="H12422">
        <v>0.54239999999999999</v>
      </c>
      <c r="I12422" t="s">
        <v>7706</v>
      </c>
      <c r="J12422" t="s">
        <v>59</v>
      </c>
      <c r="K12422" t="str">
        <f t="shared" si="505"/>
        <v>6F3</v>
      </c>
      <c r="L12422" t="s">
        <v>15</v>
      </c>
    </row>
    <row r="12423" spans="1:12" x14ac:dyDescent="0.25">
      <c r="A12423" t="str">
        <f>"9055055702"</f>
        <v>9055055702</v>
      </c>
      <c r="B12423" t="str">
        <f t="shared" si="502"/>
        <v>89301000</v>
      </c>
      <c r="C12423" s="1">
        <v>44449</v>
      </c>
      <c r="D12423" s="1">
        <v>44454</v>
      </c>
      <c r="E12423">
        <v>1</v>
      </c>
      <c r="F12423" t="s">
        <v>75</v>
      </c>
      <c r="G12423" t="str">
        <f>"14-M01-05"</f>
        <v>14-M01-05</v>
      </c>
      <c r="H12423">
        <v>0.54239999999999999</v>
      </c>
      <c r="I12423" t="s">
        <v>7724</v>
      </c>
      <c r="J12423" t="s">
        <v>59</v>
      </c>
      <c r="K12423" t="str">
        <f t="shared" si="505"/>
        <v>6F3</v>
      </c>
      <c r="L12423" t="s">
        <v>15</v>
      </c>
    </row>
    <row r="12424" spans="1:12" x14ac:dyDescent="0.25">
      <c r="A12424" t="str">
        <f>"9055065712"</f>
        <v>9055065712</v>
      </c>
      <c r="B12424" t="str">
        <f t="shared" si="502"/>
        <v>89301000</v>
      </c>
      <c r="C12424" s="1">
        <v>44495</v>
      </c>
      <c r="D12424" s="1">
        <v>44500</v>
      </c>
      <c r="E12424">
        <v>1</v>
      </c>
      <c r="F12424" t="s">
        <v>112</v>
      </c>
      <c r="G12424" t="str">
        <f>"14-M01-05"</f>
        <v>14-M01-05</v>
      </c>
      <c r="H12424">
        <v>0.54239999999999999</v>
      </c>
      <c r="I12424" t="s">
        <v>7704</v>
      </c>
      <c r="J12424" t="s">
        <v>59</v>
      </c>
      <c r="K12424" t="str">
        <f t="shared" si="505"/>
        <v>6F3</v>
      </c>
      <c r="L12424" t="s">
        <v>15</v>
      </c>
    </row>
    <row r="12425" spans="1:12" x14ac:dyDescent="0.25">
      <c r="A12425" t="str">
        <f>"9055085721"</f>
        <v>9055085721</v>
      </c>
      <c r="B12425" t="str">
        <f t="shared" si="502"/>
        <v>89301000</v>
      </c>
      <c r="C12425" s="1">
        <v>44435</v>
      </c>
      <c r="D12425" s="1">
        <v>44439</v>
      </c>
      <c r="E12425">
        <v>1</v>
      </c>
      <c r="F12425" t="s">
        <v>82</v>
      </c>
      <c r="G12425" t="str">
        <f>"14-I01-02"</f>
        <v>14-I01-02</v>
      </c>
      <c r="H12425">
        <v>1.1289</v>
      </c>
      <c r="I12425" t="s">
        <v>8008</v>
      </c>
      <c r="J12425" t="s">
        <v>59</v>
      </c>
      <c r="K12425" t="str">
        <f t="shared" si="505"/>
        <v>6F3</v>
      </c>
      <c r="L12425" t="s">
        <v>15</v>
      </c>
    </row>
    <row r="12426" spans="1:12" x14ac:dyDescent="0.25">
      <c r="A12426" t="str">
        <f>"9055125761"</f>
        <v>9055125761</v>
      </c>
      <c r="B12426" t="str">
        <f t="shared" si="502"/>
        <v>89301000</v>
      </c>
      <c r="C12426" s="1">
        <v>44254</v>
      </c>
      <c r="D12426" s="1">
        <v>44256</v>
      </c>
      <c r="E12426">
        <v>1</v>
      </c>
      <c r="F12426" t="s">
        <v>75</v>
      </c>
      <c r="G12426" t="str">
        <f>"14-M01-05"</f>
        <v>14-M01-05</v>
      </c>
      <c r="H12426">
        <v>0.54239999999999999</v>
      </c>
      <c r="J12426" t="s">
        <v>59</v>
      </c>
      <c r="K12426" t="str">
        <f t="shared" si="505"/>
        <v>6F3</v>
      </c>
      <c r="L12426" t="s">
        <v>15</v>
      </c>
    </row>
    <row r="12427" spans="1:12" x14ac:dyDescent="0.25">
      <c r="A12427" t="str">
        <f>"9055125772"</f>
        <v>9055125772</v>
      </c>
      <c r="B12427" t="str">
        <f t="shared" si="502"/>
        <v>89301000</v>
      </c>
      <c r="C12427" s="1">
        <v>44276</v>
      </c>
      <c r="D12427" s="1">
        <v>44280</v>
      </c>
      <c r="E12427">
        <v>1</v>
      </c>
      <c r="F12427" t="s">
        <v>75</v>
      </c>
      <c r="G12427" t="str">
        <f>"14-M01-05"</f>
        <v>14-M01-05</v>
      </c>
      <c r="H12427">
        <v>0.54239999999999999</v>
      </c>
      <c r="I12427" t="s">
        <v>180</v>
      </c>
      <c r="J12427" t="s">
        <v>59</v>
      </c>
      <c r="K12427" t="str">
        <f t="shared" si="505"/>
        <v>6F3</v>
      </c>
      <c r="L12427" t="s">
        <v>15</v>
      </c>
    </row>
    <row r="12428" spans="1:12" x14ac:dyDescent="0.25">
      <c r="A12428" t="str">
        <f>"9055125772"</f>
        <v>9055125772</v>
      </c>
      <c r="B12428" t="str">
        <f t="shared" si="502"/>
        <v>89301000</v>
      </c>
      <c r="C12428" s="1">
        <v>44265</v>
      </c>
      <c r="D12428" s="1">
        <v>44266</v>
      </c>
      <c r="E12428">
        <v>1</v>
      </c>
      <c r="F12428" t="s">
        <v>7305</v>
      </c>
      <c r="G12428" t="str">
        <f>"14-K03-02"</f>
        <v>14-K03-02</v>
      </c>
      <c r="H12428">
        <v>0.2646</v>
      </c>
      <c r="J12428" t="s">
        <v>14</v>
      </c>
      <c r="K12428" t="str">
        <f t="shared" si="505"/>
        <v>6F3</v>
      </c>
      <c r="L12428" t="s">
        <v>15</v>
      </c>
    </row>
    <row r="12429" spans="1:12" x14ac:dyDescent="0.25">
      <c r="A12429" t="str">
        <f>"9055203773"</f>
        <v>9055203773</v>
      </c>
      <c r="B12429" t="str">
        <f t="shared" si="502"/>
        <v>89301000</v>
      </c>
      <c r="C12429" s="1">
        <v>44347</v>
      </c>
      <c r="D12429" s="1">
        <v>44349</v>
      </c>
      <c r="E12429">
        <v>1</v>
      </c>
      <c r="F12429" t="s">
        <v>609</v>
      </c>
      <c r="G12429" t="str">
        <f>"08-K13-02"</f>
        <v>08-K13-02</v>
      </c>
      <c r="H12429">
        <v>0.47210000000000002</v>
      </c>
      <c r="I12429" t="s">
        <v>8009</v>
      </c>
      <c r="J12429" t="s">
        <v>14</v>
      </c>
      <c r="K12429" t="str">
        <f>"5F3"</f>
        <v>5F3</v>
      </c>
      <c r="L12429" t="s">
        <v>15</v>
      </c>
    </row>
    <row r="12430" spans="1:12" x14ac:dyDescent="0.25">
      <c r="A12430" t="str">
        <f>"9055254846"</f>
        <v>9055254846</v>
      </c>
      <c r="B12430" t="str">
        <f t="shared" si="502"/>
        <v>89301000</v>
      </c>
      <c r="C12430" s="1">
        <v>44430</v>
      </c>
      <c r="D12430" s="1">
        <v>44433</v>
      </c>
      <c r="E12430">
        <v>1</v>
      </c>
      <c r="F12430" t="s">
        <v>75</v>
      </c>
      <c r="G12430" t="str">
        <f>"14-M01-05"</f>
        <v>14-M01-05</v>
      </c>
      <c r="H12430">
        <v>0.54239999999999999</v>
      </c>
      <c r="I12430" t="s">
        <v>256</v>
      </c>
      <c r="J12430" t="s">
        <v>59</v>
      </c>
      <c r="K12430" t="str">
        <f>"6F3"</f>
        <v>6F3</v>
      </c>
      <c r="L12430" t="s">
        <v>15</v>
      </c>
    </row>
    <row r="12431" spans="1:12" x14ac:dyDescent="0.25">
      <c r="A12431" t="str">
        <f>"9055254857"</f>
        <v>9055254857</v>
      </c>
      <c r="B12431" t="str">
        <f t="shared" si="502"/>
        <v>89301000</v>
      </c>
      <c r="C12431" s="1">
        <v>44218</v>
      </c>
      <c r="D12431" s="1">
        <v>44221</v>
      </c>
      <c r="E12431">
        <v>1</v>
      </c>
      <c r="F12431" t="s">
        <v>8010</v>
      </c>
      <c r="G12431" t="str">
        <f>"03-I19-02"</f>
        <v>03-I19-02</v>
      </c>
      <c r="H12431">
        <v>0.88829999999999998</v>
      </c>
      <c r="I12431" t="s">
        <v>937</v>
      </c>
      <c r="J12431" t="s">
        <v>14</v>
      </c>
      <c r="K12431" t="str">
        <f>"6F5"</f>
        <v>6F5</v>
      </c>
      <c r="L12431" t="s">
        <v>15</v>
      </c>
    </row>
    <row r="12432" spans="1:12" x14ac:dyDescent="0.25">
      <c r="A12432" t="str">
        <f>"9055275702"</f>
        <v>9055275702</v>
      </c>
      <c r="B12432" t="str">
        <f t="shared" si="502"/>
        <v>89301000</v>
      </c>
      <c r="C12432" s="1">
        <v>44227</v>
      </c>
      <c r="D12432" s="1">
        <v>44231</v>
      </c>
      <c r="E12432">
        <v>1</v>
      </c>
      <c r="F12432" t="s">
        <v>23</v>
      </c>
      <c r="G12432" t="str">
        <f>"06-I18-05"</f>
        <v>06-I18-05</v>
      </c>
      <c r="H12432">
        <v>0.85550000000000004</v>
      </c>
      <c r="J12432" t="s">
        <v>24</v>
      </c>
      <c r="K12432" t="str">
        <f>"5F1"</f>
        <v>5F1</v>
      </c>
      <c r="L12432" t="s">
        <v>15</v>
      </c>
    </row>
    <row r="12433" spans="1:12" x14ac:dyDescent="0.25">
      <c r="A12433" t="str">
        <f>"9055305743"</f>
        <v>9055305743</v>
      </c>
      <c r="B12433" t="str">
        <f t="shared" si="502"/>
        <v>89301000</v>
      </c>
      <c r="C12433" s="1">
        <v>44490</v>
      </c>
      <c r="D12433" s="1">
        <v>44494</v>
      </c>
      <c r="E12433">
        <v>1</v>
      </c>
      <c r="F12433" t="s">
        <v>112</v>
      </c>
      <c r="G12433" t="str">
        <f>"14-M01-05"</f>
        <v>14-M01-05</v>
      </c>
      <c r="H12433">
        <v>0.54239999999999999</v>
      </c>
      <c r="I12433" t="s">
        <v>8011</v>
      </c>
      <c r="J12433" t="s">
        <v>59</v>
      </c>
      <c r="K12433" t="str">
        <f>"6F3"</f>
        <v>6F3</v>
      </c>
      <c r="L12433" t="s">
        <v>15</v>
      </c>
    </row>
    <row r="12434" spans="1:12" x14ac:dyDescent="0.25">
      <c r="A12434" t="str">
        <f>"9055315753"</f>
        <v>9055315753</v>
      </c>
      <c r="B12434" t="str">
        <f t="shared" si="502"/>
        <v>89301000</v>
      </c>
      <c r="C12434" s="1">
        <v>44484</v>
      </c>
      <c r="D12434" s="1">
        <v>44486</v>
      </c>
      <c r="E12434">
        <v>1</v>
      </c>
      <c r="F12434" t="s">
        <v>2311</v>
      </c>
      <c r="G12434" t="str">
        <f>"08-I03-08"</f>
        <v>08-I03-08</v>
      </c>
      <c r="H12434">
        <v>2.0605000000000002</v>
      </c>
      <c r="I12434" t="s">
        <v>6097</v>
      </c>
      <c r="J12434" t="s">
        <v>17</v>
      </c>
      <c r="K12434" t="str">
        <f>"5F6"</f>
        <v>5F6</v>
      </c>
      <c r="L12434" t="s">
        <v>15</v>
      </c>
    </row>
    <row r="12435" spans="1:12" x14ac:dyDescent="0.25">
      <c r="A12435" t="str">
        <f>"9056015738"</f>
        <v>9056015738</v>
      </c>
      <c r="B12435" t="str">
        <f t="shared" si="502"/>
        <v>89301000</v>
      </c>
      <c r="C12435" s="1">
        <v>44520</v>
      </c>
      <c r="D12435" s="1">
        <v>44523</v>
      </c>
      <c r="E12435">
        <v>1</v>
      </c>
      <c r="F12435" t="s">
        <v>75</v>
      </c>
      <c r="G12435" t="str">
        <f>"14-M01-05"</f>
        <v>14-M01-05</v>
      </c>
      <c r="H12435">
        <v>0.54239999999999999</v>
      </c>
      <c r="I12435" t="s">
        <v>7346</v>
      </c>
      <c r="J12435" t="s">
        <v>59</v>
      </c>
      <c r="K12435" t="str">
        <f t="shared" ref="K12435:K12442" si="506">"6F3"</f>
        <v>6F3</v>
      </c>
      <c r="L12435" t="s">
        <v>15</v>
      </c>
    </row>
    <row r="12436" spans="1:12" x14ac:dyDescent="0.25">
      <c r="A12436" t="str">
        <f>"9056083498"</f>
        <v>9056083498</v>
      </c>
      <c r="B12436" t="str">
        <f t="shared" si="502"/>
        <v>89301000</v>
      </c>
      <c r="C12436" s="1">
        <v>44352</v>
      </c>
      <c r="D12436" s="1">
        <v>44352</v>
      </c>
      <c r="E12436">
        <v>6</v>
      </c>
      <c r="F12436" t="s">
        <v>75</v>
      </c>
      <c r="G12436" t="str">
        <f>"14-M01-05"</f>
        <v>14-M01-05</v>
      </c>
      <c r="H12436">
        <v>0.27289999999999998</v>
      </c>
      <c r="I12436" t="s">
        <v>76</v>
      </c>
      <c r="J12436" t="s">
        <v>59</v>
      </c>
      <c r="K12436" t="str">
        <f t="shared" si="506"/>
        <v>6F3</v>
      </c>
      <c r="L12436" t="s">
        <v>15</v>
      </c>
    </row>
    <row r="12437" spans="1:12" x14ac:dyDescent="0.25">
      <c r="A12437" t="str">
        <f>"9056105707"</f>
        <v>9056105707</v>
      </c>
      <c r="B12437" t="str">
        <f t="shared" si="502"/>
        <v>89301000</v>
      </c>
      <c r="C12437" s="1">
        <v>44482</v>
      </c>
      <c r="D12437" s="1">
        <v>44486</v>
      </c>
      <c r="E12437">
        <v>1</v>
      </c>
      <c r="F12437" t="s">
        <v>61</v>
      </c>
      <c r="G12437" t="str">
        <f>"14-I01-05"</f>
        <v>14-I01-05</v>
      </c>
      <c r="H12437">
        <v>0.80030000000000001</v>
      </c>
      <c r="I12437" t="s">
        <v>7572</v>
      </c>
      <c r="J12437" t="s">
        <v>59</v>
      </c>
      <c r="K12437" t="str">
        <f t="shared" si="506"/>
        <v>6F3</v>
      </c>
      <c r="L12437" t="s">
        <v>15</v>
      </c>
    </row>
    <row r="12438" spans="1:12" x14ac:dyDescent="0.25">
      <c r="A12438" t="str">
        <f>"9056145703"</f>
        <v>9056145703</v>
      </c>
      <c r="B12438" t="str">
        <f t="shared" si="502"/>
        <v>89301000</v>
      </c>
      <c r="C12438" s="1">
        <v>44400</v>
      </c>
      <c r="D12438" s="1">
        <v>44401</v>
      </c>
      <c r="E12438">
        <v>1</v>
      </c>
      <c r="F12438" t="s">
        <v>187</v>
      </c>
      <c r="G12438" t="str">
        <f>"14-I08-03"</f>
        <v>14-I08-03</v>
      </c>
      <c r="H12438">
        <v>0.21099999999999999</v>
      </c>
      <c r="J12438" t="s">
        <v>14</v>
      </c>
      <c r="K12438" t="str">
        <f t="shared" si="506"/>
        <v>6F3</v>
      </c>
      <c r="L12438" t="s">
        <v>15</v>
      </c>
    </row>
    <row r="12439" spans="1:12" x14ac:dyDescent="0.25">
      <c r="A12439" t="str">
        <f>"9056155724"</f>
        <v>9056155724</v>
      </c>
      <c r="B12439" t="str">
        <f t="shared" si="502"/>
        <v>89301000</v>
      </c>
      <c r="C12439" s="1">
        <v>44216</v>
      </c>
      <c r="D12439" s="1">
        <v>44220</v>
      </c>
      <c r="E12439">
        <v>1</v>
      </c>
      <c r="F12439" t="s">
        <v>61</v>
      </c>
      <c r="G12439" t="str">
        <f>"14-I01-05"</f>
        <v>14-I01-05</v>
      </c>
      <c r="H12439">
        <v>0.80030000000000001</v>
      </c>
      <c r="I12439" t="s">
        <v>62</v>
      </c>
      <c r="J12439" t="s">
        <v>59</v>
      </c>
      <c r="K12439" t="str">
        <f t="shared" si="506"/>
        <v>6F3</v>
      </c>
      <c r="L12439" t="s">
        <v>15</v>
      </c>
    </row>
    <row r="12440" spans="1:12" x14ac:dyDescent="0.25">
      <c r="A12440" t="str">
        <f>"9056166163"</f>
        <v>9056166163</v>
      </c>
      <c r="B12440" t="str">
        <f t="shared" si="502"/>
        <v>89301000</v>
      </c>
      <c r="C12440" s="1">
        <v>44311</v>
      </c>
      <c r="D12440" s="1">
        <v>44312</v>
      </c>
      <c r="E12440">
        <v>1</v>
      </c>
      <c r="F12440" t="s">
        <v>75</v>
      </c>
      <c r="G12440" t="str">
        <f>"14-M01-05"</f>
        <v>14-M01-05</v>
      </c>
      <c r="H12440">
        <v>0.54239999999999999</v>
      </c>
      <c r="I12440" t="s">
        <v>180</v>
      </c>
      <c r="J12440" t="s">
        <v>59</v>
      </c>
      <c r="K12440" t="str">
        <f t="shared" si="506"/>
        <v>6F3</v>
      </c>
      <c r="L12440" t="s">
        <v>15</v>
      </c>
    </row>
    <row r="12441" spans="1:12" x14ac:dyDescent="0.25">
      <c r="A12441" t="str">
        <f>"9056205752"</f>
        <v>9056205752</v>
      </c>
      <c r="B12441" t="str">
        <f t="shared" si="502"/>
        <v>89301000</v>
      </c>
      <c r="C12441" s="1">
        <v>44496</v>
      </c>
      <c r="D12441" s="1">
        <v>44500</v>
      </c>
      <c r="E12441">
        <v>1</v>
      </c>
      <c r="F12441" t="s">
        <v>75</v>
      </c>
      <c r="G12441" t="str">
        <f>"14-M01-05"</f>
        <v>14-M01-05</v>
      </c>
      <c r="H12441">
        <v>0.54239999999999999</v>
      </c>
      <c r="I12441" t="s">
        <v>7637</v>
      </c>
      <c r="J12441" t="s">
        <v>59</v>
      </c>
      <c r="K12441" t="str">
        <f t="shared" si="506"/>
        <v>6F3</v>
      </c>
      <c r="L12441" t="s">
        <v>15</v>
      </c>
    </row>
    <row r="12442" spans="1:12" x14ac:dyDescent="0.25">
      <c r="A12442" t="str">
        <f>"9056295721"</f>
        <v>9056295721</v>
      </c>
      <c r="B12442" t="str">
        <f t="shared" ref="B12442:B12505" si="507">"89301000"</f>
        <v>89301000</v>
      </c>
      <c r="C12442" s="1">
        <v>44217</v>
      </c>
      <c r="D12442" s="1">
        <v>44220</v>
      </c>
      <c r="E12442">
        <v>1</v>
      </c>
      <c r="F12442" t="s">
        <v>75</v>
      </c>
      <c r="G12442" t="str">
        <f>"14-M01-05"</f>
        <v>14-M01-05</v>
      </c>
      <c r="H12442">
        <v>0.54239999999999999</v>
      </c>
      <c r="I12442" t="s">
        <v>7304</v>
      </c>
      <c r="J12442" t="s">
        <v>59</v>
      </c>
      <c r="K12442" t="str">
        <f t="shared" si="506"/>
        <v>6F3</v>
      </c>
      <c r="L12442" t="s">
        <v>15</v>
      </c>
    </row>
    <row r="12443" spans="1:12" x14ac:dyDescent="0.25">
      <c r="A12443" t="str">
        <f>"9056305709"</f>
        <v>9056305709</v>
      </c>
      <c r="B12443" t="str">
        <f t="shared" si="507"/>
        <v>89301000</v>
      </c>
      <c r="C12443" s="1">
        <v>44202</v>
      </c>
      <c r="D12443" s="1">
        <v>44203</v>
      </c>
      <c r="E12443">
        <v>1</v>
      </c>
      <c r="F12443" t="s">
        <v>41</v>
      </c>
      <c r="G12443" t="str">
        <f>"01-D01-03"</f>
        <v>01-D01-03</v>
      </c>
      <c r="H12443">
        <v>0.158</v>
      </c>
      <c r="I12443" t="s">
        <v>2111</v>
      </c>
      <c r="J12443" t="s">
        <v>14</v>
      </c>
      <c r="K12443" t="str">
        <f>"2F5"</f>
        <v>2F5</v>
      </c>
      <c r="L12443" t="s">
        <v>15</v>
      </c>
    </row>
    <row r="12444" spans="1:12" x14ac:dyDescent="0.25">
      <c r="A12444" t="str">
        <f>"9057045723"</f>
        <v>9057045723</v>
      </c>
      <c r="B12444" t="str">
        <f t="shared" si="507"/>
        <v>89301000</v>
      </c>
      <c r="C12444" s="1">
        <v>44415</v>
      </c>
      <c r="D12444" s="1">
        <v>44418</v>
      </c>
      <c r="E12444">
        <v>1</v>
      </c>
      <c r="F12444" t="s">
        <v>75</v>
      </c>
      <c r="G12444" t="str">
        <f>"14-M01-05"</f>
        <v>14-M01-05</v>
      </c>
      <c r="H12444">
        <v>0.54239999999999999</v>
      </c>
      <c r="I12444" t="s">
        <v>8012</v>
      </c>
      <c r="J12444" t="s">
        <v>59</v>
      </c>
      <c r="K12444" t="str">
        <f>"6F3"</f>
        <v>6F3</v>
      </c>
      <c r="L12444" t="s">
        <v>15</v>
      </c>
    </row>
    <row r="12445" spans="1:12" x14ac:dyDescent="0.25">
      <c r="A12445" t="str">
        <f>"9057094530"</f>
        <v>9057094530</v>
      </c>
      <c r="B12445" t="str">
        <f t="shared" si="507"/>
        <v>89301000</v>
      </c>
      <c r="C12445" s="1">
        <v>44420</v>
      </c>
      <c r="D12445" s="1">
        <v>44425</v>
      </c>
      <c r="E12445">
        <v>1</v>
      </c>
      <c r="F12445" t="s">
        <v>82</v>
      </c>
      <c r="G12445" t="str">
        <f>"14-I01-02"</f>
        <v>14-I01-02</v>
      </c>
      <c r="H12445">
        <v>1.1289</v>
      </c>
      <c r="I12445" t="s">
        <v>8013</v>
      </c>
      <c r="J12445" t="s">
        <v>59</v>
      </c>
      <c r="K12445" t="str">
        <f>"6F3"</f>
        <v>6F3</v>
      </c>
      <c r="L12445" t="s">
        <v>15</v>
      </c>
    </row>
    <row r="12446" spans="1:12" x14ac:dyDescent="0.25">
      <c r="A12446" t="str">
        <f>"9057095795"</f>
        <v>9057095795</v>
      </c>
      <c r="B12446" t="str">
        <f t="shared" si="507"/>
        <v>89301000</v>
      </c>
      <c r="C12446" s="1">
        <v>44498</v>
      </c>
      <c r="D12446" s="1">
        <v>44501</v>
      </c>
      <c r="E12446">
        <v>1</v>
      </c>
      <c r="F12446" t="s">
        <v>75</v>
      </c>
      <c r="G12446" t="str">
        <f>"14-M01-05"</f>
        <v>14-M01-05</v>
      </c>
      <c r="H12446">
        <v>0.54239999999999999</v>
      </c>
      <c r="I12446" t="s">
        <v>7108</v>
      </c>
      <c r="J12446" t="s">
        <v>59</v>
      </c>
      <c r="K12446" t="str">
        <f>"6F3"</f>
        <v>6F3</v>
      </c>
      <c r="L12446" t="s">
        <v>15</v>
      </c>
    </row>
    <row r="12447" spans="1:12" x14ac:dyDescent="0.25">
      <c r="A12447" t="str">
        <f>"9057106190"</f>
        <v>9057106190</v>
      </c>
      <c r="B12447" t="str">
        <f t="shared" si="507"/>
        <v>89301000</v>
      </c>
      <c r="C12447" s="1">
        <v>44384</v>
      </c>
      <c r="D12447" s="1">
        <v>44387</v>
      </c>
      <c r="E12447">
        <v>1</v>
      </c>
      <c r="F12447" t="s">
        <v>112</v>
      </c>
      <c r="G12447" t="str">
        <f>"14-M01-05"</f>
        <v>14-M01-05</v>
      </c>
      <c r="H12447">
        <v>0.54239999999999999</v>
      </c>
      <c r="I12447" t="s">
        <v>8014</v>
      </c>
      <c r="J12447" t="s">
        <v>59</v>
      </c>
      <c r="K12447" t="str">
        <f>"6F3"</f>
        <v>6F3</v>
      </c>
      <c r="L12447" t="s">
        <v>15</v>
      </c>
    </row>
    <row r="12448" spans="1:12" x14ac:dyDescent="0.25">
      <c r="A12448" t="str">
        <f>"9057115738"</f>
        <v>9057115738</v>
      </c>
      <c r="B12448" t="str">
        <f t="shared" si="507"/>
        <v>89301000</v>
      </c>
      <c r="C12448" s="1">
        <v>44427</v>
      </c>
      <c r="D12448" s="1">
        <v>44429</v>
      </c>
      <c r="E12448">
        <v>1</v>
      </c>
      <c r="F12448" t="s">
        <v>75</v>
      </c>
      <c r="G12448" t="str">
        <f>"14-M01-05"</f>
        <v>14-M01-05</v>
      </c>
      <c r="H12448">
        <v>0.54239999999999999</v>
      </c>
      <c r="I12448" t="s">
        <v>7429</v>
      </c>
      <c r="J12448" t="s">
        <v>59</v>
      </c>
      <c r="K12448" t="str">
        <f>"6F3"</f>
        <v>6F3</v>
      </c>
      <c r="L12448" t="s">
        <v>15</v>
      </c>
    </row>
    <row r="12449" spans="1:12" x14ac:dyDescent="0.25">
      <c r="A12449" t="str">
        <f>"9057233900"</f>
        <v>9057233900</v>
      </c>
      <c r="B12449" t="str">
        <f t="shared" si="507"/>
        <v>89301000</v>
      </c>
      <c r="C12449" s="1">
        <v>44350</v>
      </c>
      <c r="D12449" s="1">
        <v>44365</v>
      </c>
      <c r="E12449">
        <v>1</v>
      </c>
      <c r="F12449" t="s">
        <v>109</v>
      </c>
      <c r="G12449" t="str">
        <f>"24-M07-02"</f>
        <v>24-M07-02</v>
      </c>
      <c r="H12449">
        <v>1.5094000000000001</v>
      </c>
      <c r="I12449" t="s">
        <v>4138</v>
      </c>
      <c r="J12449" t="s">
        <v>14</v>
      </c>
      <c r="K12449" t="str">
        <f>"2F1"</f>
        <v>2F1</v>
      </c>
      <c r="L12449" t="s">
        <v>15</v>
      </c>
    </row>
    <row r="12450" spans="1:12" x14ac:dyDescent="0.25">
      <c r="A12450" t="str">
        <f>"9057246088"</f>
        <v>9057246088</v>
      </c>
      <c r="B12450" t="str">
        <f t="shared" si="507"/>
        <v>89301000</v>
      </c>
      <c r="C12450" s="1">
        <v>44525</v>
      </c>
      <c r="D12450" s="1">
        <v>44529</v>
      </c>
      <c r="E12450">
        <v>1</v>
      </c>
      <c r="F12450" t="s">
        <v>1551</v>
      </c>
      <c r="G12450" t="str">
        <f>"09-I06-04"</f>
        <v>09-I06-04</v>
      </c>
      <c r="H12450">
        <v>0.98829999999999996</v>
      </c>
      <c r="J12450" t="s">
        <v>17</v>
      </c>
      <c r="K12450" t="str">
        <f>"5F1"</f>
        <v>5F1</v>
      </c>
      <c r="L12450" t="s">
        <v>15</v>
      </c>
    </row>
    <row r="12451" spans="1:12" x14ac:dyDescent="0.25">
      <c r="A12451" t="str">
        <f>"9057255746"</f>
        <v>9057255746</v>
      </c>
      <c r="B12451" t="str">
        <f t="shared" si="507"/>
        <v>89301000</v>
      </c>
      <c r="C12451" s="1">
        <v>44320</v>
      </c>
      <c r="D12451" s="1">
        <v>44335</v>
      </c>
      <c r="E12451">
        <v>1</v>
      </c>
      <c r="F12451" t="s">
        <v>980</v>
      </c>
      <c r="G12451" t="str">
        <f>"00-M01-04"</f>
        <v>00-M01-04</v>
      </c>
      <c r="H12451">
        <v>6.85</v>
      </c>
      <c r="I12451" t="s">
        <v>8015</v>
      </c>
      <c r="J12451" t="s">
        <v>14</v>
      </c>
      <c r="K12451" t="str">
        <f t="shared" ref="K12451:K12467" si="508">"6F3"</f>
        <v>6F3</v>
      </c>
      <c r="L12451" t="s">
        <v>15</v>
      </c>
    </row>
    <row r="12452" spans="1:12" x14ac:dyDescent="0.25">
      <c r="A12452" t="str">
        <f>"9057255746"</f>
        <v>9057255746</v>
      </c>
      <c r="B12452" t="str">
        <f t="shared" si="507"/>
        <v>89301000</v>
      </c>
      <c r="C12452" s="1">
        <v>44369</v>
      </c>
      <c r="D12452" s="1">
        <v>44372</v>
      </c>
      <c r="E12452">
        <v>1</v>
      </c>
      <c r="F12452" t="s">
        <v>75</v>
      </c>
      <c r="G12452" t="str">
        <f>"14-M01-05"</f>
        <v>14-M01-05</v>
      </c>
      <c r="H12452">
        <v>0.54239999999999999</v>
      </c>
      <c r="I12452" t="s">
        <v>7770</v>
      </c>
      <c r="J12452" t="s">
        <v>59</v>
      </c>
      <c r="K12452" t="str">
        <f t="shared" si="508"/>
        <v>6F3</v>
      </c>
      <c r="L12452" t="s">
        <v>15</v>
      </c>
    </row>
    <row r="12453" spans="1:12" x14ac:dyDescent="0.25">
      <c r="A12453" t="str">
        <f>"9057264480"</f>
        <v>9057264480</v>
      </c>
      <c r="B12453" t="str">
        <f t="shared" si="507"/>
        <v>89301000</v>
      </c>
      <c r="C12453" s="1">
        <v>44324</v>
      </c>
      <c r="D12453" s="1">
        <v>44328</v>
      </c>
      <c r="E12453">
        <v>1</v>
      </c>
      <c r="F12453" t="s">
        <v>7455</v>
      </c>
      <c r="G12453" t="str">
        <f>"14-I01-02"</f>
        <v>14-I01-02</v>
      </c>
      <c r="H12453">
        <v>1.1289</v>
      </c>
      <c r="I12453" t="s">
        <v>8016</v>
      </c>
      <c r="J12453" t="s">
        <v>59</v>
      </c>
      <c r="K12453" t="str">
        <f t="shared" si="508"/>
        <v>6F3</v>
      </c>
      <c r="L12453" t="s">
        <v>15</v>
      </c>
    </row>
    <row r="12454" spans="1:12" x14ac:dyDescent="0.25">
      <c r="A12454" t="str">
        <f>"9057306181"</f>
        <v>9057306181</v>
      </c>
      <c r="B12454" t="str">
        <f t="shared" si="507"/>
        <v>89301000</v>
      </c>
      <c r="C12454" s="1">
        <v>44236</v>
      </c>
      <c r="D12454" s="1">
        <v>44240</v>
      </c>
      <c r="E12454">
        <v>1</v>
      </c>
      <c r="F12454" t="s">
        <v>116</v>
      </c>
      <c r="G12454" t="str">
        <f>"14-M01-05"</f>
        <v>14-M01-05</v>
      </c>
      <c r="H12454">
        <v>0.54239999999999999</v>
      </c>
      <c r="I12454" t="s">
        <v>7863</v>
      </c>
      <c r="J12454" t="s">
        <v>59</v>
      </c>
      <c r="K12454" t="str">
        <f t="shared" si="508"/>
        <v>6F3</v>
      </c>
      <c r="L12454" t="s">
        <v>15</v>
      </c>
    </row>
    <row r="12455" spans="1:12" x14ac:dyDescent="0.25">
      <c r="A12455" t="str">
        <f>"9058014075"</f>
        <v>9058014075</v>
      </c>
      <c r="B12455" t="str">
        <f t="shared" si="507"/>
        <v>89301000</v>
      </c>
      <c r="C12455" s="1">
        <v>44450</v>
      </c>
      <c r="D12455" s="1">
        <v>44453</v>
      </c>
      <c r="E12455">
        <v>1</v>
      </c>
      <c r="F12455" t="s">
        <v>75</v>
      </c>
      <c r="G12455" t="str">
        <f>"14-M01-05"</f>
        <v>14-M01-05</v>
      </c>
      <c r="H12455">
        <v>0.54239999999999999</v>
      </c>
      <c r="I12455" t="s">
        <v>8017</v>
      </c>
      <c r="J12455" t="s">
        <v>59</v>
      </c>
      <c r="K12455" t="str">
        <f t="shared" si="508"/>
        <v>6F3</v>
      </c>
      <c r="L12455" t="s">
        <v>15</v>
      </c>
    </row>
    <row r="12456" spans="1:12" x14ac:dyDescent="0.25">
      <c r="A12456" t="str">
        <f>"9058015725"</f>
        <v>9058015725</v>
      </c>
      <c r="B12456" t="str">
        <f t="shared" si="507"/>
        <v>89301000</v>
      </c>
      <c r="C12456" s="1">
        <v>44228</v>
      </c>
      <c r="D12456" s="1">
        <v>44231</v>
      </c>
      <c r="E12456">
        <v>1</v>
      </c>
      <c r="F12456" t="s">
        <v>75</v>
      </c>
      <c r="G12456" t="str">
        <f>"14-M01-05"</f>
        <v>14-M01-05</v>
      </c>
      <c r="H12456">
        <v>0.54239999999999999</v>
      </c>
      <c r="I12456" t="s">
        <v>7857</v>
      </c>
      <c r="J12456" t="s">
        <v>59</v>
      </c>
      <c r="K12456" t="str">
        <f t="shared" si="508"/>
        <v>6F3</v>
      </c>
      <c r="L12456" t="s">
        <v>15</v>
      </c>
    </row>
    <row r="12457" spans="1:12" x14ac:dyDescent="0.25">
      <c r="A12457" t="str">
        <f>"9058055710"</f>
        <v>9058055710</v>
      </c>
      <c r="B12457" t="str">
        <f t="shared" si="507"/>
        <v>89301000</v>
      </c>
      <c r="C12457" s="1">
        <v>44336</v>
      </c>
      <c r="D12457" s="1">
        <v>44344</v>
      </c>
      <c r="E12457">
        <v>1</v>
      </c>
      <c r="F12457" t="s">
        <v>112</v>
      </c>
      <c r="G12457" t="str">
        <f>"14-M01-02"</f>
        <v>14-M01-02</v>
      </c>
      <c r="H12457">
        <v>0.91720000000000002</v>
      </c>
      <c r="I12457" t="s">
        <v>8018</v>
      </c>
      <c r="J12457" t="s">
        <v>59</v>
      </c>
      <c r="K12457" t="str">
        <f t="shared" si="508"/>
        <v>6F3</v>
      </c>
      <c r="L12457" t="s">
        <v>15</v>
      </c>
    </row>
    <row r="12458" spans="1:12" x14ac:dyDescent="0.25">
      <c r="A12458" t="str">
        <f>"9058174862"</f>
        <v>9058174862</v>
      </c>
      <c r="B12458" t="str">
        <f t="shared" si="507"/>
        <v>89301000</v>
      </c>
      <c r="C12458" s="1">
        <v>44302</v>
      </c>
      <c r="D12458" s="1">
        <v>44304</v>
      </c>
      <c r="E12458">
        <v>1</v>
      </c>
      <c r="F12458" t="s">
        <v>75</v>
      </c>
      <c r="G12458" t="str">
        <f>"14-M01-05"</f>
        <v>14-M01-05</v>
      </c>
      <c r="H12458">
        <v>0.54239999999999999</v>
      </c>
      <c r="J12458" t="s">
        <v>59</v>
      </c>
      <c r="K12458" t="str">
        <f t="shared" si="508"/>
        <v>6F3</v>
      </c>
      <c r="L12458" t="s">
        <v>15</v>
      </c>
    </row>
    <row r="12459" spans="1:12" x14ac:dyDescent="0.25">
      <c r="A12459" t="str">
        <f>"9058226067"</f>
        <v>9058226067</v>
      </c>
      <c r="B12459" t="str">
        <f t="shared" si="507"/>
        <v>89301000</v>
      </c>
      <c r="C12459" s="1">
        <v>44484</v>
      </c>
      <c r="D12459" s="1">
        <v>44487</v>
      </c>
      <c r="E12459">
        <v>1</v>
      </c>
      <c r="F12459" t="s">
        <v>75</v>
      </c>
      <c r="G12459" t="str">
        <f>"14-M01-05"</f>
        <v>14-M01-05</v>
      </c>
      <c r="H12459">
        <v>0.54239999999999999</v>
      </c>
      <c r="J12459" t="s">
        <v>59</v>
      </c>
      <c r="K12459" t="str">
        <f t="shared" si="508"/>
        <v>6F3</v>
      </c>
      <c r="L12459" t="s">
        <v>15</v>
      </c>
    </row>
    <row r="12460" spans="1:12" x14ac:dyDescent="0.25">
      <c r="A12460" t="str">
        <f>"9058234856"</f>
        <v>9058234856</v>
      </c>
      <c r="B12460" t="str">
        <f t="shared" si="507"/>
        <v>89301000</v>
      </c>
      <c r="C12460" s="1">
        <v>44467</v>
      </c>
      <c r="D12460" s="1">
        <v>44471</v>
      </c>
      <c r="E12460">
        <v>1</v>
      </c>
      <c r="F12460" t="s">
        <v>75</v>
      </c>
      <c r="G12460" t="str">
        <f>"14-M01-05"</f>
        <v>14-M01-05</v>
      </c>
      <c r="H12460">
        <v>0.54239999999999999</v>
      </c>
      <c r="I12460" t="s">
        <v>76</v>
      </c>
      <c r="J12460" t="s">
        <v>59</v>
      </c>
      <c r="K12460" t="str">
        <f t="shared" si="508"/>
        <v>6F3</v>
      </c>
      <c r="L12460" t="s">
        <v>15</v>
      </c>
    </row>
    <row r="12461" spans="1:12" x14ac:dyDescent="0.25">
      <c r="A12461" t="str">
        <f>"9058255723"</f>
        <v>9058255723</v>
      </c>
      <c r="B12461" t="str">
        <f t="shared" si="507"/>
        <v>89301000</v>
      </c>
      <c r="C12461" s="1">
        <v>44440</v>
      </c>
      <c r="D12461" s="1">
        <v>44443</v>
      </c>
      <c r="E12461">
        <v>1</v>
      </c>
      <c r="F12461" t="s">
        <v>75</v>
      </c>
      <c r="G12461" t="str">
        <f>"14-M01-05"</f>
        <v>14-M01-05</v>
      </c>
      <c r="H12461">
        <v>0.54239999999999999</v>
      </c>
      <c r="I12461" t="s">
        <v>117</v>
      </c>
      <c r="J12461" t="s">
        <v>59</v>
      </c>
      <c r="K12461" t="str">
        <f t="shared" si="508"/>
        <v>6F3</v>
      </c>
      <c r="L12461" t="s">
        <v>15</v>
      </c>
    </row>
    <row r="12462" spans="1:12" x14ac:dyDescent="0.25">
      <c r="A12462" t="str">
        <f>"9058276139"</f>
        <v>9058276139</v>
      </c>
      <c r="B12462" t="str">
        <f t="shared" si="507"/>
        <v>89301000</v>
      </c>
      <c r="C12462" s="1">
        <v>44279</v>
      </c>
      <c r="D12462" s="1">
        <v>44281</v>
      </c>
      <c r="E12462">
        <v>1</v>
      </c>
      <c r="F12462" t="s">
        <v>7367</v>
      </c>
      <c r="G12462" t="str">
        <f>"14-K03-02"</f>
        <v>14-K03-02</v>
      </c>
      <c r="H12462">
        <v>0.2646</v>
      </c>
      <c r="J12462" t="s">
        <v>14</v>
      </c>
      <c r="K12462" t="str">
        <f t="shared" si="508"/>
        <v>6F3</v>
      </c>
      <c r="L12462" t="s">
        <v>15</v>
      </c>
    </row>
    <row r="12463" spans="1:12" x14ac:dyDescent="0.25">
      <c r="A12463" t="str">
        <f>"9058276139"</f>
        <v>9058276139</v>
      </c>
      <c r="B12463" t="str">
        <f t="shared" si="507"/>
        <v>89301000</v>
      </c>
      <c r="C12463" s="1">
        <v>44301</v>
      </c>
      <c r="D12463" s="1">
        <v>44303</v>
      </c>
      <c r="E12463">
        <v>1</v>
      </c>
      <c r="F12463" t="s">
        <v>75</v>
      </c>
      <c r="G12463" t="str">
        <f>"14-M01-05"</f>
        <v>14-M01-05</v>
      </c>
      <c r="H12463">
        <v>0.54239999999999999</v>
      </c>
      <c r="I12463" t="s">
        <v>8019</v>
      </c>
      <c r="J12463" t="s">
        <v>59</v>
      </c>
      <c r="K12463" t="str">
        <f t="shared" si="508"/>
        <v>6F3</v>
      </c>
      <c r="L12463" t="s">
        <v>15</v>
      </c>
    </row>
    <row r="12464" spans="1:12" x14ac:dyDescent="0.25">
      <c r="A12464" t="str">
        <f>"9058285709"</f>
        <v>9058285709</v>
      </c>
      <c r="B12464" t="str">
        <f t="shared" si="507"/>
        <v>89301000</v>
      </c>
      <c r="C12464" s="1">
        <v>44475</v>
      </c>
      <c r="D12464" s="1">
        <v>44479</v>
      </c>
      <c r="E12464">
        <v>1</v>
      </c>
      <c r="F12464" t="s">
        <v>61</v>
      </c>
      <c r="G12464" t="str">
        <f>"14-I01-05"</f>
        <v>14-I01-05</v>
      </c>
      <c r="H12464">
        <v>0.80030000000000001</v>
      </c>
      <c r="I12464" t="s">
        <v>62</v>
      </c>
      <c r="J12464" t="s">
        <v>59</v>
      </c>
      <c r="K12464" t="str">
        <f t="shared" si="508"/>
        <v>6F3</v>
      </c>
      <c r="L12464" t="s">
        <v>15</v>
      </c>
    </row>
    <row r="12465" spans="1:12" x14ac:dyDescent="0.25">
      <c r="A12465" t="str">
        <f>"9058285731"</f>
        <v>9058285731</v>
      </c>
      <c r="B12465" t="str">
        <f t="shared" si="507"/>
        <v>89301000</v>
      </c>
      <c r="C12465" s="1">
        <v>44363</v>
      </c>
      <c r="D12465" s="1">
        <v>44367</v>
      </c>
      <c r="E12465">
        <v>1</v>
      </c>
      <c r="F12465" t="s">
        <v>75</v>
      </c>
      <c r="G12465" t="str">
        <f>"14-M01-05"</f>
        <v>14-M01-05</v>
      </c>
      <c r="H12465">
        <v>0.54239999999999999</v>
      </c>
      <c r="I12465" t="s">
        <v>8020</v>
      </c>
      <c r="J12465" t="s">
        <v>59</v>
      </c>
      <c r="K12465" t="str">
        <f t="shared" si="508"/>
        <v>6F3</v>
      </c>
      <c r="L12465" t="s">
        <v>15</v>
      </c>
    </row>
    <row r="12466" spans="1:12" x14ac:dyDescent="0.25">
      <c r="A12466" t="str">
        <f>"9058286171"</f>
        <v>9058286171</v>
      </c>
      <c r="B12466" t="str">
        <f t="shared" si="507"/>
        <v>89301000</v>
      </c>
      <c r="C12466" s="1">
        <v>44374</v>
      </c>
      <c r="D12466" s="1">
        <v>44390</v>
      </c>
      <c r="E12466">
        <v>1</v>
      </c>
      <c r="F12466" t="s">
        <v>116</v>
      </c>
      <c r="G12466" t="str">
        <f>"14-M01-05"</f>
        <v>14-M01-05</v>
      </c>
      <c r="H12466">
        <v>1.1893</v>
      </c>
      <c r="I12466" t="s">
        <v>8021</v>
      </c>
      <c r="J12466" t="s">
        <v>59</v>
      </c>
      <c r="K12466" t="str">
        <f t="shared" si="508"/>
        <v>6F3</v>
      </c>
      <c r="L12466" t="s">
        <v>15</v>
      </c>
    </row>
    <row r="12467" spans="1:12" x14ac:dyDescent="0.25">
      <c r="A12467" t="str">
        <f>"9058305707"</f>
        <v>9058305707</v>
      </c>
      <c r="B12467" t="str">
        <f t="shared" si="507"/>
        <v>89301000</v>
      </c>
      <c r="C12467" s="1">
        <v>44332</v>
      </c>
      <c r="D12467" s="1">
        <v>44335</v>
      </c>
      <c r="E12467">
        <v>1</v>
      </c>
      <c r="F12467" t="s">
        <v>75</v>
      </c>
      <c r="G12467" t="str">
        <f>"14-M01-05"</f>
        <v>14-M01-05</v>
      </c>
      <c r="H12467">
        <v>0.54239999999999999</v>
      </c>
      <c r="I12467" t="s">
        <v>8022</v>
      </c>
      <c r="J12467" t="s">
        <v>59</v>
      </c>
      <c r="K12467" t="str">
        <f t="shared" si="508"/>
        <v>6F3</v>
      </c>
      <c r="L12467" t="s">
        <v>15</v>
      </c>
    </row>
    <row r="12468" spans="1:12" x14ac:dyDescent="0.25">
      <c r="A12468" t="str">
        <f>"9058305707"</f>
        <v>9058305707</v>
      </c>
      <c r="B12468" t="str">
        <f t="shared" si="507"/>
        <v>89301000</v>
      </c>
      <c r="C12468" s="1">
        <v>44368</v>
      </c>
      <c r="D12468" s="1">
        <v>44372</v>
      </c>
      <c r="E12468">
        <v>1</v>
      </c>
      <c r="F12468" t="s">
        <v>8023</v>
      </c>
      <c r="G12468" t="str">
        <f>"07-K01-02"</f>
        <v>07-K01-02</v>
      </c>
      <c r="H12468">
        <v>0.93010000000000004</v>
      </c>
      <c r="I12468" t="s">
        <v>8024</v>
      </c>
      <c r="J12468" t="s">
        <v>14</v>
      </c>
      <c r="K12468" t="str">
        <f>"1F5"</f>
        <v>1F5</v>
      </c>
      <c r="L12468" t="s">
        <v>15</v>
      </c>
    </row>
    <row r="12469" spans="1:12" x14ac:dyDescent="0.25">
      <c r="A12469" t="str">
        <f>"9059077258"</f>
        <v>9059077258</v>
      </c>
      <c r="B12469" t="str">
        <f t="shared" si="507"/>
        <v>89301000</v>
      </c>
      <c r="C12469" s="1">
        <v>44222</v>
      </c>
      <c r="D12469" s="1">
        <v>44225</v>
      </c>
      <c r="E12469">
        <v>1</v>
      </c>
      <c r="F12469" t="s">
        <v>740</v>
      </c>
      <c r="G12469" t="str">
        <f>"08-K01-02"</f>
        <v>08-K01-02</v>
      </c>
      <c r="H12469">
        <v>1.1327</v>
      </c>
      <c r="I12469" t="s">
        <v>8025</v>
      </c>
      <c r="J12469" t="s">
        <v>14</v>
      </c>
      <c r="K12469" t="str">
        <f>"1F9"</f>
        <v>1F9</v>
      </c>
      <c r="L12469" t="s">
        <v>15</v>
      </c>
    </row>
    <row r="12470" spans="1:12" x14ac:dyDescent="0.25">
      <c r="A12470" t="str">
        <f>"9059246086"</f>
        <v>9059246086</v>
      </c>
      <c r="B12470" t="str">
        <f t="shared" si="507"/>
        <v>89301000</v>
      </c>
      <c r="C12470" s="1">
        <v>44456</v>
      </c>
      <c r="D12470" s="1">
        <v>44461</v>
      </c>
      <c r="E12470">
        <v>1</v>
      </c>
      <c r="F12470" t="s">
        <v>7895</v>
      </c>
      <c r="G12470" t="str">
        <f>"14-M01-05"</f>
        <v>14-M01-05</v>
      </c>
      <c r="H12470">
        <v>0.54239999999999999</v>
      </c>
      <c r="I12470" t="s">
        <v>426</v>
      </c>
      <c r="J12470" t="s">
        <v>59</v>
      </c>
      <c r="K12470" t="str">
        <f>"6F3"</f>
        <v>6F3</v>
      </c>
      <c r="L12470" t="s">
        <v>15</v>
      </c>
    </row>
    <row r="12471" spans="1:12" x14ac:dyDescent="0.25">
      <c r="A12471" t="str">
        <f>"9059253874"</f>
        <v>9059253874</v>
      </c>
      <c r="B12471" t="str">
        <f t="shared" si="507"/>
        <v>89301000</v>
      </c>
      <c r="C12471" s="1">
        <v>44418</v>
      </c>
      <c r="D12471" s="1">
        <v>44421</v>
      </c>
      <c r="E12471">
        <v>1</v>
      </c>
      <c r="F12471" t="s">
        <v>2311</v>
      </c>
      <c r="G12471" t="str">
        <f>"08-I03-08"</f>
        <v>08-I03-08</v>
      </c>
      <c r="H12471">
        <v>2.0605000000000002</v>
      </c>
      <c r="I12471" t="s">
        <v>860</v>
      </c>
      <c r="J12471" t="s">
        <v>17</v>
      </c>
      <c r="K12471" t="str">
        <f>"5F6"</f>
        <v>5F6</v>
      </c>
      <c r="L12471" t="s">
        <v>15</v>
      </c>
    </row>
    <row r="12472" spans="1:12" x14ac:dyDescent="0.25">
      <c r="A12472" t="str">
        <f>"9059285763"</f>
        <v>9059285763</v>
      </c>
      <c r="B12472" t="str">
        <f t="shared" si="507"/>
        <v>89301000</v>
      </c>
      <c r="C12472" s="1">
        <v>44350</v>
      </c>
      <c r="D12472" s="1">
        <v>44354</v>
      </c>
      <c r="E12472">
        <v>1</v>
      </c>
      <c r="F12472" t="s">
        <v>61</v>
      </c>
      <c r="G12472" t="str">
        <f>"14-I01-05"</f>
        <v>14-I01-05</v>
      </c>
      <c r="H12472">
        <v>0.80030000000000001</v>
      </c>
      <c r="I12472" t="s">
        <v>7584</v>
      </c>
      <c r="J12472" t="s">
        <v>59</v>
      </c>
      <c r="K12472" t="str">
        <f>"6F3"</f>
        <v>6F3</v>
      </c>
      <c r="L12472" t="s">
        <v>15</v>
      </c>
    </row>
    <row r="12473" spans="1:12" x14ac:dyDescent="0.25">
      <c r="A12473" t="str">
        <f>"9059286071"</f>
        <v>9059286071</v>
      </c>
      <c r="B12473" t="str">
        <f t="shared" si="507"/>
        <v>89301000</v>
      </c>
      <c r="C12473" s="1">
        <v>44276</v>
      </c>
      <c r="D12473" s="1">
        <v>44281</v>
      </c>
      <c r="E12473">
        <v>1</v>
      </c>
      <c r="F12473" t="s">
        <v>61</v>
      </c>
      <c r="G12473" t="str">
        <f>"14-I01-05"</f>
        <v>14-I01-05</v>
      </c>
      <c r="H12473">
        <v>0.80030000000000001</v>
      </c>
      <c r="I12473" t="s">
        <v>62</v>
      </c>
      <c r="J12473" t="s">
        <v>59</v>
      </c>
      <c r="K12473" t="str">
        <f>"6F3"</f>
        <v>6F3</v>
      </c>
      <c r="L12473" t="s">
        <v>15</v>
      </c>
    </row>
    <row r="12474" spans="1:12" x14ac:dyDescent="0.25">
      <c r="A12474" t="str">
        <f>"9060016163"</f>
        <v>9060016163</v>
      </c>
      <c r="B12474" t="str">
        <f t="shared" si="507"/>
        <v>89301000</v>
      </c>
      <c r="C12474" s="1">
        <v>44493</v>
      </c>
      <c r="D12474" s="1">
        <v>44503</v>
      </c>
      <c r="E12474">
        <v>1</v>
      </c>
      <c r="F12474" t="s">
        <v>2863</v>
      </c>
      <c r="G12474" t="str">
        <f>"13-K08-02"</f>
        <v>13-K08-02</v>
      </c>
      <c r="H12474">
        <v>0.55030000000000001</v>
      </c>
      <c r="I12474" t="s">
        <v>489</v>
      </c>
      <c r="J12474" t="s">
        <v>14</v>
      </c>
      <c r="K12474" t="str">
        <f>"5F1"</f>
        <v>5F1</v>
      </c>
      <c r="L12474" t="s">
        <v>15</v>
      </c>
    </row>
    <row r="12475" spans="1:12" x14ac:dyDescent="0.25">
      <c r="A12475" t="str">
        <f>"9060016163"</f>
        <v>9060016163</v>
      </c>
      <c r="B12475" t="str">
        <f t="shared" si="507"/>
        <v>89301000</v>
      </c>
      <c r="C12475" s="1">
        <v>44454</v>
      </c>
      <c r="D12475" s="1">
        <v>44462</v>
      </c>
      <c r="E12475">
        <v>1</v>
      </c>
      <c r="F12475" t="s">
        <v>7582</v>
      </c>
      <c r="G12475" t="str">
        <f>"13-K08-02"</f>
        <v>13-K08-02</v>
      </c>
      <c r="H12475">
        <v>0.49430000000000002</v>
      </c>
      <c r="I12475" t="s">
        <v>8026</v>
      </c>
      <c r="J12475" t="s">
        <v>14</v>
      </c>
      <c r="K12475" t="str">
        <f>"4F2"</f>
        <v>4F2</v>
      </c>
      <c r="L12475" t="s">
        <v>15</v>
      </c>
    </row>
    <row r="12476" spans="1:12" x14ac:dyDescent="0.25">
      <c r="A12476" t="str">
        <f>"9060016163"</f>
        <v>9060016163</v>
      </c>
      <c r="B12476" t="str">
        <f t="shared" si="507"/>
        <v>89301000</v>
      </c>
      <c r="C12476" s="1">
        <v>44405</v>
      </c>
      <c r="D12476" s="1">
        <v>44411</v>
      </c>
      <c r="E12476">
        <v>1</v>
      </c>
      <c r="F12476" t="s">
        <v>7582</v>
      </c>
      <c r="G12476" t="str">
        <f>"13-R01-07"</f>
        <v>13-R01-07</v>
      </c>
      <c r="H12476">
        <v>1.8876999999999999</v>
      </c>
      <c r="I12476" t="s">
        <v>8027</v>
      </c>
      <c r="J12476" t="s">
        <v>14</v>
      </c>
      <c r="K12476" t="str">
        <f>"4F2"</f>
        <v>4F2</v>
      </c>
      <c r="L12476" t="s">
        <v>15</v>
      </c>
    </row>
    <row r="12477" spans="1:12" x14ac:dyDescent="0.25">
      <c r="A12477" t="str">
        <f>"9060025722"</f>
        <v>9060025722</v>
      </c>
      <c r="B12477" t="str">
        <f t="shared" si="507"/>
        <v>89301000</v>
      </c>
      <c r="C12477" s="1">
        <v>44340</v>
      </c>
      <c r="D12477" s="1">
        <v>44344</v>
      </c>
      <c r="E12477">
        <v>1</v>
      </c>
      <c r="F12477" t="s">
        <v>8028</v>
      </c>
      <c r="G12477" t="str">
        <f>"13-I14-02"</f>
        <v>13-I14-02</v>
      </c>
      <c r="H12477">
        <v>1.3962000000000001</v>
      </c>
      <c r="J12477" t="s">
        <v>24</v>
      </c>
      <c r="K12477" t="str">
        <f>"6F3"</f>
        <v>6F3</v>
      </c>
      <c r="L12477" t="s">
        <v>15</v>
      </c>
    </row>
    <row r="12478" spans="1:12" x14ac:dyDescent="0.25">
      <c r="A12478" t="str">
        <f>"9060055763"</f>
        <v>9060055763</v>
      </c>
      <c r="B12478" t="str">
        <f t="shared" si="507"/>
        <v>89301000</v>
      </c>
      <c r="C12478" s="1">
        <v>44222</v>
      </c>
      <c r="D12478" s="1">
        <v>44224</v>
      </c>
      <c r="E12478">
        <v>1</v>
      </c>
      <c r="F12478" t="s">
        <v>75</v>
      </c>
      <c r="G12478" t="str">
        <f>"14-M01-05"</f>
        <v>14-M01-05</v>
      </c>
      <c r="H12478">
        <v>0.54239999999999999</v>
      </c>
      <c r="J12478" t="s">
        <v>59</v>
      </c>
      <c r="K12478" t="str">
        <f>"6F3"</f>
        <v>6F3</v>
      </c>
      <c r="L12478" t="s">
        <v>15</v>
      </c>
    </row>
    <row r="12479" spans="1:12" x14ac:dyDescent="0.25">
      <c r="A12479" t="str">
        <f>"9060064849"</f>
        <v>9060064849</v>
      </c>
      <c r="B12479" t="str">
        <f t="shared" si="507"/>
        <v>89301000</v>
      </c>
      <c r="C12479" s="1">
        <v>44255</v>
      </c>
      <c r="D12479" s="1">
        <v>44264</v>
      </c>
      <c r="E12479">
        <v>1</v>
      </c>
      <c r="F12479" t="s">
        <v>116</v>
      </c>
      <c r="G12479" t="str">
        <f>"14-M01-01"</f>
        <v>14-M01-01</v>
      </c>
      <c r="H12479">
        <v>0.88870000000000005</v>
      </c>
      <c r="I12479" t="s">
        <v>8029</v>
      </c>
      <c r="J12479" t="s">
        <v>59</v>
      </c>
      <c r="K12479" t="str">
        <f>"6F3"</f>
        <v>6F3</v>
      </c>
      <c r="L12479" t="s">
        <v>15</v>
      </c>
    </row>
    <row r="12480" spans="1:12" x14ac:dyDescent="0.25">
      <c r="A12480" t="str">
        <f>"9060075816"</f>
        <v>9060075816</v>
      </c>
      <c r="B12480" t="str">
        <f t="shared" si="507"/>
        <v>89301000</v>
      </c>
      <c r="C12480" s="1">
        <v>44250</v>
      </c>
      <c r="D12480" s="1">
        <v>44252</v>
      </c>
      <c r="E12480">
        <v>1</v>
      </c>
      <c r="F12480" t="s">
        <v>387</v>
      </c>
      <c r="G12480" t="str">
        <f>"08-M03-05"</f>
        <v>08-M03-05</v>
      </c>
      <c r="H12480">
        <v>0.51759999999999995</v>
      </c>
      <c r="I12480" t="s">
        <v>211</v>
      </c>
      <c r="J12480" t="s">
        <v>14</v>
      </c>
      <c r="K12480" t="str">
        <f>"5F3"</f>
        <v>5F3</v>
      </c>
      <c r="L12480" t="s">
        <v>15</v>
      </c>
    </row>
    <row r="12481" spans="1:12" x14ac:dyDescent="0.25">
      <c r="A12481" t="str">
        <f>"9060096155"</f>
        <v>9060096155</v>
      </c>
      <c r="B12481" t="str">
        <f t="shared" si="507"/>
        <v>89301000</v>
      </c>
      <c r="C12481" s="1">
        <v>44313</v>
      </c>
      <c r="D12481" s="1">
        <v>44317</v>
      </c>
      <c r="E12481">
        <v>1</v>
      </c>
      <c r="F12481" t="s">
        <v>75</v>
      </c>
      <c r="G12481" t="str">
        <f>"14-M01-05"</f>
        <v>14-M01-05</v>
      </c>
      <c r="H12481">
        <v>0.54239999999999999</v>
      </c>
      <c r="I12481" t="s">
        <v>7863</v>
      </c>
      <c r="J12481" t="s">
        <v>59</v>
      </c>
      <c r="K12481" t="str">
        <f t="shared" ref="K12481:K12487" si="509">"6F3"</f>
        <v>6F3</v>
      </c>
      <c r="L12481" t="s">
        <v>15</v>
      </c>
    </row>
    <row r="12482" spans="1:12" x14ac:dyDescent="0.25">
      <c r="A12482" t="str">
        <f>"9060155753"</f>
        <v>9060155753</v>
      </c>
      <c r="B12482" t="str">
        <f t="shared" si="507"/>
        <v>89301000</v>
      </c>
      <c r="C12482" s="1">
        <v>44262</v>
      </c>
      <c r="D12482" s="1">
        <v>44265</v>
      </c>
      <c r="E12482">
        <v>1</v>
      </c>
      <c r="F12482" t="s">
        <v>75</v>
      </c>
      <c r="G12482" t="str">
        <f>"14-M01-05"</f>
        <v>14-M01-05</v>
      </c>
      <c r="H12482">
        <v>0.54239999999999999</v>
      </c>
      <c r="J12482" t="s">
        <v>59</v>
      </c>
      <c r="K12482" t="str">
        <f t="shared" si="509"/>
        <v>6F3</v>
      </c>
      <c r="L12482" t="s">
        <v>15</v>
      </c>
    </row>
    <row r="12483" spans="1:12" x14ac:dyDescent="0.25">
      <c r="A12483" t="str">
        <f>"9060236163"</f>
        <v>9060236163</v>
      </c>
      <c r="B12483" t="str">
        <f t="shared" si="507"/>
        <v>89301000</v>
      </c>
      <c r="C12483" s="1">
        <v>44536</v>
      </c>
      <c r="D12483" s="1">
        <v>44539</v>
      </c>
      <c r="E12483">
        <v>1</v>
      </c>
      <c r="F12483" t="s">
        <v>75</v>
      </c>
      <c r="G12483" t="str">
        <f>"14-M01-05"</f>
        <v>14-M01-05</v>
      </c>
      <c r="H12483">
        <v>0.54239999999999999</v>
      </c>
      <c r="I12483" t="s">
        <v>7108</v>
      </c>
      <c r="J12483" t="s">
        <v>59</v>
      </c>
      <c r="K12483" t="str">
        <f t="shared" si="509"/>
        <v>6F3</v>
      </c>
      <c r="L12483" t="s">
        <v>15</v>
      </c>
    </row>
    <row r="12484" spans="1:12" x14ac:dyDescent="0.25">
      <c r="A12484" t="str">
        <f>"9060255710"</f>
        <v>9060255710</v>
      </c>
      <c r="B12484" t="str">
        <f t="shared" si="507"/>
        <v>89301000</v>
      </c>
      <c r="C12484" s="1">
        <v>44494</v>
      </c>
      <c r="D12484" s="1">
        <v>44498</v>
      </c>
      <c r="E12484">
        <v>1</v>
      </c>
      <c r="F12484" t="s">
        <v>82</v>
      </c>
      <c r="G12484" t="str">
        <f>"14-I01-02"</f>
        <v>14-I01-02</v>
      </c>
      <c r="H12484">
        <v>1.1289</v>
      </c>
      <c r="I12484" t="s">
        <v>8030</v>
      </c>
      <c r="J12484" t="s">
        <v>59</v>
      </c>
      <c r="K12484" t="str">
        <f t="shared" si="509"/>
        <v>6F3</v>
      </c>
      <c r="L12484" t="s">
        <v>15</v>
      </c>
    </row>
    <row r="12485" spans="1:12" x14ac:dyDescent="0.25">
      <c r="A12485" t="str">
        <f>"9060255721"</f>
        <v>9060255721</v>
      </c>
      <c r="B12485" t="str">
        <f t="shared" si="507"/>
        <v>89301000</v>
      </c>
      <c r="C12485" s="1">
        <v>44369</v>
      </c>
      <c r="D12485" s="1">
        <v>44372</v>
      </c>
      <c r="E12485">
        <v>1</v>
      </c>
      <c r="F12485" t="s">
        <v>75</v>
      </c>
      <c r="G12485" t="str">
        <f>"14-M01-05"</f>
        <v>14-M01-05</v>
      </c>
      <c r="H12485">
        <v>0.54239999999999999</v>
      </c>
      <c r="I12485" t="s">
        <v>7448</v>
      </c>
      <c r="J12485" t="s">
        <v>59</v>
      </c>
      <c r="K12485" t="str">
        <f t="shared" si="509"/>
        <v>6F3</v>
      </c>
      <c r="L12485" t="s">
        <v>15</v>
      </c>
    </row>
    <row r="12486" spans="1:12" x14ac:dyDescent="0.25">
      <c r="A12486" t="str">
        <f>"9060276192"</f>
        <v>9060276192</v>
      </c>
      <c r="B12486" t="str">
        <f t="shared" si="507"/>
        <v>89301000</v>
      </c>
      <c r="C12486" s="1">
        <v>44513</v>
      </c>
      <c r="D12486" s="1">
        <v>44515</v>
      </c>
      <c r="E12486">
        <v>1</v>
      </c>
      <c r="F12486" t="s">
        <v>75</v>
      </c>
      <c r="G12486" t="str">
        <f>"14-M01-05"</f>
        <v>14-M01-05</v>
      </c>
      <c r="H12486">
        <v>0.54239999999999999</v>
      </c>
      <c r="I12486" t="s">
        <v>7724</v>
      </c>
      <c r="J12486" t="s">
        <v>59</v>
      </c>
      <c r="K12486" t="str">
        <f t="shared" si="509"/>
        <v>6F3</v>
      </c>
      <c r="L12486" t="s">
        <v>15</v>
      </c>
    </row>
    <row r="12487" spans="1:12" x14ac:dyDescent="0.25">
      <c r="A12487" t="str">
        <f>"9061065706"</f>
        <v>9061065706</v>
      </c>
      <c r="B12487" t="str">
        <f t="shared" si="507"/>
        <v>89301000</v>
      </c>
      <c r="C12487" s="1">
        <v>44547</v>
      </c>
      <c r="D12487" s="1">
        <v>44551</v>
      </c>
      <c r="E12487">
        <v>1</v>
      </c>
      <c r="F12487" t="s">
        <v>8031</v>
      </c>
      <c r="G12487" t="str">
        <f>"14-M01-05"</f>
        <v>14-M01-05</v>
      </c>
      <c r="H12487">
        <v>0.54239999999999999</v>
      </c>
      <c r="I12487" t="s">
        <v>7896</v>
      </c>
      <c r="J12487" t="s">
        <v>59</v>
      </c>
      <c r="K12487" t="str">
        <f t="shared" si="509"/>
        <v>6F3</v>
      </c>
      <c r="L12487" t="s">
        <v>15</v>
      </c>
    </row>
    <row r="12488" spans="1:12" x14ac:dyDescent="0.25">
      <c r="A12488" t="str">
        <f>"9061085726"</f>
        <v>9061085726</v>
      </c>
      <c r="B12488" t="str">
        <f t="shared" si="507"/>
        <v>89301000</v>
      </c>
      <c r="C12488" s="1">
        <v>44280</v>
      </c>
      <c r="D12488" s="1">
        <v>44285</v>
      </c>
      <c r="E12488">
        <v>1</v>
      </c>
      <c r="F12488" t="s">
        <v>3145</v>
      </c>
      <c r="G12488" t="str">
        <f>"10-I13-02"</f>
        <v>10-I13-02</v>
      </c>
      <c r="H12488">
        <v>1.1468</v>
      </c>
      <c r="I12488" t="s">
        <v>2361</v>
      </c>
      <c r="J12488" t="s">
        <v>24</v>
      </c>
      <c r="K12488" t="str">
        <f>"7F1"</f>
        <v>7F1</v>
      </c>
      <c r="L12488" t="s">
        <v>15</v>
      </c>
    </row>
    <row r="12489" spans="1:12" x14ac:dyDescent="0.25">
      <c r="A12489" t="str">
        <f>"9061085726"</f>
        <v>9061085726</v>
      </c>
      <c r="B12489" t="str">
        <f t="shared" si="507"/>
        <v>89301000</v>
      </c>
      <c r="C12489" s="1">
        <v>44368</v>
      </c>
      <c r="D12489" s="1">
        <v>44377</v>
      </c>
      <c r="E12489">
        <v>1</v>
      </c>
      <c r="F12489" t="s">
        <v>79</v>
      </c>
      <c r="G12489" t="str">
        <f>"10-R02-01"</f>
        <v>10-R02-01</v>
      </c>
      <c r="H12489">
        <v>0.9698</v>
      </c>
      <c r="I12489" t="s">
        <v>80</v>
      </c>
      <c r="J12489" t="s">
        <v>24</v>
      </c>
      <c r="K12489" t="str">
        <f>"4F7"</f>
        <v>4F7</v>
      </c>
      <c r="L12489" t="s">
        <v>15</v>
      </c>
    </row>
    <row r="12490" spans="1:12" x14ac:dyDescent="0.25">
      <c r="A12490" t="str">
        <f>"9061085726"</f>
        <v>9061085726</v>
      </c>
      <c r="B12490" t="str">
        <f t="shared" si="507"/>
        <v>89301000</v>
      </c>
      <c r="C12490" s="1">
        <v>44263</v>
      </c>
      <c r="D12490" s="1">
        <v>44264</v>
      </c>
      <c r="E12490">
        <v>1</v>
      </c>
      <c r="F12490" t="s">
        <v>3145</v>
      </c>
      <c r="G12490" t="str">
        <f>"23-K01-00"</f>
        <v>23-K01-00</v>
      </c>
      <c r="H12490">
        <v>0.13139999999999999</v>
      </c>
      <c r="I12490" t="s">
        <v>8032</v>
      </c>
      <c r="J12490" t="s">
        <v>14</v>
      </c>
      <c r="K12490" t="str">
        <f>"7F1"</f>
        <v>7F1</v>
      </c>
      <c r="L12490" t="s">
        <v>15</v>
      </c>
    </row>
    <row r="12491" spans="1:12" x14ac:dyDescent="0.25">
      <c r="A12491" t="str">
        <f>"9061104173"</f>
        <v>9061104173</v>
      </c>
      <c r="B12491" t="str">
        <f t="shared" si="507"/>
        <v>89301000</v>
      </c>
      <c r="C12491" s="1">
        <v>44209</v>
      </c>
      <c r="D12491" s="1">
        <v>44212</v>
      </c>
      <c r="E12491">
        <v>1</v>
      </c>
      <c r="F12491" t="s">
        <v>75</v>
      </c>
      <c r="G12491" t="str">
        <f>"14-M01-05"</f>
        <v>14-M01-05</v>
      </c>
      <c r="H12491">
        <v>0.54239999999999999</v>
      </c>
      <c r="I12491" t="s">
        <v>256</v>
      </c>
      <c r="J12491" t="s">
        <v>59</v>
      </c>
      <c r="K12491" t="str">
        <f>"6F3"</f>
        <v>6F3</v>
      </c>
      <c r="L12491" t="s">
        <v>15</v>
      </c>
    </row>
    <row r="12492" spans="1:12" x14ac:dyDescent="0.25">
      <c r="A12492" t="str">
        <f>"9061125722"</f>
        <v>9061125722</v>
      </c>
      <c r="B12492" t="str">
        <f t="shared" si="507"/>
        <v>89301000</v>
      </c>
      <c r="C12492" s="1">
        <v>44258</v>
      </c>
      <c r="D12492" s="1">
        <v>44263</v>
      </c>
      <c r="E12492">
        <v>1</v>
      </c>
      <c r="F12492" t="s">
        <v>82</v>
      </c>
      <c r="G12492" t="str">
        <f>"14-I01-02"</f>
        <v>14-I01-02</v>
      </c>
      <c r="H12492">
        <v>1.1289</v>
      </c>
      <c r="I12492" t="s">
        <v>8033</v>
      </c>
      <c r="J12492" t="s">
        <v>59</v>
      </c>
      <c r="K12492" t="str">
        <f>"6F3"</f>
        <v>6F3</v>
      </c>
      <c r="L12492" t="s">
        <v>15</v>
      </c>
    </row>
    <row r="12493" spans="1:12" x14ac:dyDescent="0.25">
      <c r="A12493" t="str">
        <f>"9061135699"</f>
        <v>9061135699</v>
      </c>
      <c r="B12493" t="str">
        <f t="shared" si="507"/>
        <v>89301000</v>
      </c>
      <c r="C12493" s="1">
        <v>44529</v>
      </c>
      <c r="D12493" s="1">
        <v>44541</v>
      </c>
      <c r="E12493">
        <v>1</v>
      </c>
      <c r="F12493" t="s">
        <v>217</v>
      </c>
      <c r="G12493" t="str">
        <f>"04-K02-02"</f>
        <v>04-K02-02</v>
      </c>
      <c r="H12493">
        <v>2.5186000000000002</v>
      </c>
      <c r="I12493" t="s">
        <v>8034</v>
      </c>
      <c r="J12493" t="s">
        <v>14</v>
      </c>
      <c r="K12493" t="str">
        <f>"6F3"</f>
        <v>6F3</v>
      </c>
      <c r="L12493" t="s">
        <v>15</v>
      </c>
    </row>
    <row r="12494" spans="1:12" x14ac:dyDescent="0.25">
      <c r="A12494" t="str">
        <f>"9061135699"</f>
        <v>9061135699</v>
      </c>
      <c r="B12494" t="str">
        <f t="shared" si="507"/>
        <v>89301000</v>
      </c>
      <c r="C12494" s="1">
        <v>44399</v>
      </c>
      <c r="D12494" s="1">
        <v>44407</v>
      </c>
      <c r="E12494">
        <v>1</v>
      </c>
      <c r="F12494" t="s">
        <v>4202</v>
      </c>
      <c r="G12494" t="str">
        <f>"18-K02-03"</f>
        <v>18-K02-03</v>
      </c>
      <c r="H12494">
        <v>0.87570000000000003</v>
      </c>
      <c r="I12494" t="s">
        <v>8035</v>
      </c>
      <c r="J12494" t="s">
        <v>14</v>
      </c>
      <c r="K12494" t="str">
        <f>"3F1"</f>
        <v>3F1</v>
      </c>
      <c r="L12494" t="s">
        <v>15</v>
      </c>
    </row>
    <row r="12495" spans="1:12" x14ac:dyDescent="0.25">
      <c r="A12495" t="str">
        <f>"9061185914"</f>
        <v>9061185914</v>
      </c>
      <c r="B12495" t="str">
        <f t="shared" si="507"/>
        <v>89301000</v>
      </c>
      <c r="C12495" s="1">
        <v>44363</v>
      </c>
      <c r="D12495" s="1">
        <v>44365</v>
      </c>
      <c r="E12495">
        <v>1</v>
      </c>
      <c r="F12495" t="s">
        <v>2366</v>
      </c>
      <c r="G12495" t="str">
        <f>"02-I09-03"</f>
        <v>02-I09-03</v>
      </c>
      <c r="H12495">
        <v>0.92979999999999996</v>
      </c>
      <c r="I12495" t="s">
        <v>241</v>
      </c>
      <c r="J12495" t="s">
        <v>14</v>
      </c>
      <c r="K12495" t="str">
        <f>"7F5"</f>
        <v>7F5</v>
      </c>
      <c r="L12495" t="s">
        <v>15</v>
      </c>
    </row>
    <row r="12496" spans="1:12" x14ac:dyDescent="0.25">
      <c r="A12496" t="str">
        <f>"9061194021"</f>
        <v>9061194021</v>
      </c>
      <c r="B12496" t="str">
        <f t="shared" si="507"/>
        <v>89301000</v>
      </c>
      <c r="C12496" s="1">
        <v>44330</v>
      </c>
      <c r="D12496" s="1">
        <v>44331</v>
      </c>
      <c r="E12496">
        <v>1</v>
      </c>
      <c r="F12496" t="s">
        <v>336</v>
      </c>
      <c r="G12496" t="str">
        <f>"14-I08-03"</f>
        <v>14-I08-03</v>
      </c>
      <c r="H12496">
        <v>0.21099999999999999</v>
      </c>
      <c r="J12496" t="s">
        <v>14</v>
      </c>
      <c r="K12496" t="str">
        <f>"6F3"</f>
        <v>6F3</v>
      </c>
      <c r="L12496" t="s">
        <v>15</v>
      </c>
    </row>
    <row r="12497" spans="1:12" x14ac:dyDescent="0.25">
      <c r="A12497" t="str">
        <f>"9061195143"</f>
        <v>9061195143</v>
      </c>
      <c r="B12497" t="str">
        <f t="shared" si="507"/>
        <v>89301000</v>
      </c>
      <c r="C12497" s="1">
        <v>44338</v>
      </c>
      <c r="D12497" s="1">
        <v>44341</v>
      </c>
      <c r="E12497">
        <v>1</v>
      </c>
      <c r="F12497" t="s">
        <v>75</v>
      </c>
      <c r="G12497" t="str">
        <f>"14-M01-05"</f>
        <v>14-M01-05</v>
      </c>
      <c r="H12497">
        <v>0.54239999999999999</v>
      </c>
      <c r="I12497" t="s">
        <v>426</v>
      </c>
      <c r="J12497" t="s">
        <v>59</v>
      </c>
      <c r="K12497" t="str">
        <f>"6F3"</f>
        <v>6F3</v>
      </c>
      <c r="L12497" t="s">
        <v>15</v>
      </c>
    </row>
    <row r="12498" spans="1:12" x14ac:dyDescent="0.25">
      <c r="A12498" t="str">
        <f>"9061245699"</f>
        <v>9061245699</v>
      </c>
      <c r="B12498" t="str">
        <f t="shared" si="507"/>
        <v>89301000</v>
      </c>
      <c r="C12498" s="1">
        <v>44344</v>
      </c>
      <c r="D12498" s="1">
        <v>44348</v>
      </c>
      <c r="E12498">
        <v>1</v>
      </c>
      <c r="F12498" t="s">
        <v>61</v>
      </c>
      <c r="G12498" t="str">
        <f>"14-I01-05"</f>
        <v>14-I01-05</v>
      </c>
      <c r="H12498">
        <v>0.80030000000000001</v>
      </c>
      <c r="I12498" t="s">
        <v>62</v>
      </c>
      <c r="J12498" t="s">
        <v>59</v>
      </c>
      <c r="K12498" t="str">
        <f>"6F3"</f>
        <v>6F3</v>
      </c>
      <c r="L12498" t="s">
        <v>15</v>
      </c>
    </row>
    <row r="12499" spans="1:12" x14ac:dyDescent="0.25">
      <c r="A12499" t="str">
        <f>"9061256094"</f>
        <v>9061256094</v>
      </c>
      <c r="B12499" t="str">
        <f t="shared" si="507"/>
        <v>89301000</v>
      </c>
      <c r="C12499" s="1">
        <v>44505</v>
      </c>
      <c r="D12499" s="1">
        <v>44506</v>
      </c>
      <c r="E12499">
        <v>1</v>
      </c>
      <c r="F12499" t="s">
        <v>234</v>
      </c>
      <c r="G12499" t="str">
        <f>"03-I21-00"</f>
        <v>03-I21-00</v>
      </c>
      <c r="H12499">
        <v>0.38500000000000001</v>
      </c>
      <c r="I12499" t="s">
        <v>8036</v>
      </c>
      <c r="J12499" t="s">
        <v>14</v>
      </c>
      <c r="K12499" t="str">
        <f>"7F1"</f>
        <v>7F1</v>
      </c>
      <c r="L12499" t="s">
        <v>15</v>
      </c>
    </row>
    <row r="12500" spans="1:12" x14ac:dyDescent="0.25">
      <c r="A12500" t="str">
        <f>"9061276169"</f>
        <v>9061276169</v>
      </c>
      <c r="B12500" t="str">
        <f t="shared" si="507"/>
        <v>89301000</v>
      </c>
      <c r="C12500" s="1">
        <v>44294</v>
      </c>
      <c r="D12500" s="1">
        <v>44301</v>
      </c>
      <c r="E12500">
        <v>1</v>
      </c>
      <c r="F12500" t="s">
        <v>60</v>
      </c>
      <c r="G12500" t="str">
        <f>"14-K03-02"</f>
        <v>14-K03-02</v>
      </c>
      <c r="H12500">
        <v>0.2646</v>
      </c>
      <c r="I12500" t="s">
        <v>8037</v>
      </c>
      <c r="J12500" t="s">
        <v>14</v>
      </c>
      <c r="K12500" t="str">
        <f>"6F3"</f>
        <v>6F3</v>
      </c>
      <c r="L12500" t="s">
        <v>15</v>
      </c>
    </row>
    <row r="12501" spans="1:12" x14ac:dyDescent="0.25">
      <c r="A12501" t="str">
        <f>"9061276169"</f>
        <v>9061276169</v>
      </c>
      <c r="B12501" t="str">
        <f t="shared" si="507"/>
        <v>89301000</v>
      </c>
      <c r="C12501" s="1">
        <v>44343</v>
      </c>
      <c r="D12501" s="1">
        <v>44350</v>
      </c>
      <c r="E12501">
        <v>1</v>
      </c>
      <c r="F12501" t="s">
        <v>82</v>
      </c>
      <c r="G12501" t="str">
        <f>"14-I01-05"</f>
        <v>14-I01-05</v>
      </c>
      <c r="H12501">
        <v>0.80030000000000001</v>
      </c>
      <c r="I12501" t="s">
        <v>8038</v>
      </c>
      <c r="J12501" t="s">
        <v>59</v>
      </c>
      <c r="K12501" t="str">
        <f>"6F3"</f>
        <v>6F3</v>
      </c>
      <c r="L12501" t="s">
        <v>15</v>
      </c>
    </row>
    <row r="12502" spans="1:12" x14ac:dyDescent="0.25">
      <c r="A12502" t="str">
        <f>"9061294858"</f>
        <v>9061294858</v>
      </c>
      <c r="B12502" t="str">
        <f t="shared" si="507"/>
        <v>89301000</v>
      </c>
      <c r="C12502" s="1">
        <v>44263</v>
      </c>
      <c r="D12502" s="1">
        <v>44266</v>
      </c>
      <c r="E12502">
        <v>1</v>
      </c>
      <c r="F12502" t="s">
        <v>7048</v>
      </c>
      <c r="G12502" t="str">
        <f>"13-I14-03"</f>
        <v>13-I14-03</v>
      </c>
      <c r="H12502">
        <v>0.83199999999999996</v>
      </c>
      <c r="I12502" t="s">
        <v>51</v>
      </c>
      <c r="J12502" t="s">
        <v>24</v>
      </c>
      <c r="K12502" t="str">
        <f>"6F3"</f>
        <v>6F3</v>
      </c>
      <c r="L12502" t="s">
        <v>15</v>
      </c>
    </row>
    <row r="12503" spans="1:12" x14ac:dyDescent="0.25">
      <c r="A12503" t="str">
        <f>"9061305704"</f>
        <v>9061305704</v>
      </c>
      <c r="B12503" t="str">
        <f t="shared" si="507"/>
        <v>89301000</v>
      </c>
      <c r="C12503" s="1">
        <v>44468</v>
      </c>
      <c r="D12503" s="1">
        <v>44470</v>
      </c>
      <c r="E12503">
        <v>1</v>
      </c>
      <c r="F12503" t="s">
        <v>197</v>
      </c>
      <c r="G12503" t="str">
        <f>"03-I18-02"</f>
        <v>03-I18-02</v>
      </c>
      <c r="H12503">
        <v>0.84370000000000001</v>
      </c>
      <c r="I12503" t="s">
        <v>8039</v>
      </c>
      <c r="J12503" t="s">
        <v>24</v>
      </c>
      <c r="K12503" t="str">
        <f>"7F1"</f>
        <v>7F1</v>
      </c>
      <c r="L12503" t="s">
        <v>15</v>
      </c>
    </row>
    <row r="12504" spans="1:12" x14ac:dyDescent="0.25">
      <c r="A12504" t="str">
        <f>"9062084856"</f>
        <v>9062084856</v>
      </c>
      <c r="B12504" t="str">
        <f t="shared" si="507"/>
        <v>89301000</v>
      </c>
      <c r="C12504" s="1">
        <v>44507</v>
      </c>
      <c r="D12504" s="1">
        <v>44511</v>
      </c>
      <c r="E12504">
        <v>1</v>
      </c>
      <c r="F12504" t="s">
        <v>49</v>
      </c>
      <c r="G12504" t="str">
        <f>"01-K18-04"</f>
        <v>01-K18-04</v>
      </c>
      <c r="H12504">
        <v>0.49890000000000001</v>
      </c>
      <c r="I12504" t="s">
        <v>1132</v>
      </c>
      <c r="J12504" t="s">
        <v>14</v>
      </c>
      <c r="K12504" t="str">
        <f>"2F9"</f>
        <v>2F9</v>
      </c>
      <c r="L12504" t="s">
        <v>15</v>
      </c>
    </row>
    <row r="12505" spans="1:12" x14ac:dyDescent="0.25">
      <c r="A12505" t="str">
        <f>"9062085703"</f>
        <v>9062085703</v>
      </c>
      <c r="B12505" t="str">
        <f t="shared" si="507"/>
        <v>89301000</v>
      </c>
      <c r="C12505" s="1">
        <v>44541</v>
      </c>
      <c r="D12505" s="1">
        <v>44544</v>
      </c>
      <c r="E12505">
        <v>1</v>
      </c>
      <c r="F12505" t="s">
        <v>75</v>
      </c>
      <c r="G12505" t="str">
        <f>"14-M01-05"</f>
        <v>14-M01-05</v>
      </c>
      <c r="H12505">
        <v>0.54239999999999999</v>
      </c>
      <c r="I12505" t="s">
        <v>76</v>
      </c>
      <c r="J12505" t="s">
        <v>59</v>
      </c>
      <c r="K12505" t="str">
        <f>"6F3"</f>
        <v>6F3</v>
      </c>
      <c r="L12505" t="s">
        <v>15</v>
      </c>
    </row>
    <row r="12506" spans="1:12" x14ac:dyDescent="0.25">
      <c r="A12506" t="str">
        <f>"9062085703"</f>
        <v>9062085703</v>
      </c>
      <c r="B12506" t="str">
        <f t="shared" ref="B12506:B12569" si="510">"89301000"</f>
        <v>89301000</v>
      </c>
      <c r="C12506" s="1">
        <v>44557</v>
      </c>
      <c r="D12506" s="1">
        <v>44558</v>
      </c>
      <c r="E12506">
        <v>1</v>
      </c>
      <c r="F12506" t="s">
        <v>593</v>
      </c>
      <c r="G12506" t="str">
        <f>"07-I10-06"</f>
        <v>07-I10-06</v>
      </c>
      <c r="H12506">
        <v>0.9728</v>
      </c>
      <c r="J12506" t="s">
        <v>17</v>
      </c>
      <c r="K12506" t="str">
        <f>"5F1"</f>
        <v>5F1</v>
      </c>
      <c r="L12506" t="s">
        <v>15</v>
      </c>
    </row>
    <row r="12507" spans="1:12" x14ac:dyDescent="0.25">
      <c r="A12507" t="str">
        <f>"9062085703"</f>
        <v>9062085703</v>
      </c>
      <c r="B12507" t="str">
        <f t="shared" si="510"/>
        <v>89301000</v>
      </c>
      <c r="C12507" s="1">
        <v>44474</v>
      </c>
      <c r="D12507" s="1">
        <v>44483</v>
      </c>
      <c r="E12507">
        <v>1</v>
      </c>
      <c r="F12507" t="s">
        <v>7279</v>
      </c>
      <c r="G12507" t="str">
        <f>"14-K03-02"</f>
        <v>14-K03-02</v>
      </c>
      <c r="H12507">
        <v>0.34379999999999999</v>
      </c>
      <c r="J12507" t="s">
        <v>14</v>
      </c>
      <c r="K12507" t="str">
        <f t="shared" ref="K12507:K12513" si="511">"6F3"</f>
        <v>6F3</v>
      </c>
      <c r="L12507" t="s">
        <v>15</v>
      </c>
    </row>
    <row r="12508" spans="1:12" x14ac:dyDescent="0.25">
      <c r="A12508" t="str">
        <f>"9062166168"</f>
        <v>9062166168</v>
      </c>
      <c r="B12508" t="str">
        <f t="shared" si="510"/>
        <v>89301000</v>
      </c>
      <c r="C12508" s="1">
        <v>44270</v>
      </c>
      <c r="D12508" s="1">
        <v>44277</v>
      </c>
      <c r="E12508">
        <v>1</v>
      </c>
      <c r="F12508" t="s">
        <v>75</v>
      </c>
      <c r="G12508" t="str">
        <f>"14-M01-05"</f>
        <v>14-M01-05</v>
      </c>
      <c r="H12508">
        <v>0.73550000000000004</v>
      </c>
      <c r="I12508" t="s">
        <v>8040</v>
      </c>
      <c r="J12508" t="s">
        <v>59</v>
      </c>
      <c r="K12508" t="str">
        <f t="shared" si="511"/>
        <v>6F3</v>
      </c>
      <c r="L12508" t="s">
        <v>15</v>
      </c>
    </row>
    <row r="12509" spans="1:12" x14ac:dyDescent="0.25">
      <c r="A12509" t="str">
        <f>"9062185715"</f>
        <v>9062185715</v>
      </c>
      <c r="B12509" t="str">
        <f t="shared" si="510"/>
        <v>89301000</v>
      </c>
      <c r="C12509" s="1">
        <v>44480</v>
      </c>
      <c r="D12509" s="1">
        <v>44484</v>
      </c>
      <c r="E12509">
        <v>1</v>
      </c>
      <c r="F12509" t="s">
        <v>61</v>
      </c>
      <c r="G12509" t="str">
        <f>"14-I01-05"</f>
        <v>14-I01-05</v>
      </c>
      <c r="H12509">
        <v>0.80030000000000001</v>
      </c>
      <c r="I12509" t="s">
        <v>8041</v>
      </c>
      <c r="J12509" t="s">
        <v>59</v>
      </c>
      <c r="K12509" t="str">
        <f t="shared" si="511"/>
        <v>6F3</v>
      </c>
      <c r="L12509" t="s">
        <v>15</v>
      </c>
    </row>
    <row r="12510" spans="1:12" x14ac:dyDescent="0.25">
      <c r="A12510" t="str">
        <f>"9062185748"</f>
        <v>9062185748</v>
      </c>
      <c r="B12510" t="str">
        <f t="shared" si="510"/>
        <v>89301000</v>
      </c>
      <c r="C12510" s="1">
        <v>44387</v>
      </c>
      <c r="D12510" s="1">
        <v>44391</v>
      </c>
      <c r="E12510">
        <v>1</v>
      </c>
      <c r="F12510" t="s">
        <v>75</v>
      </c>
      <c r="G12510" t="str">
        <f>"14-M01-05"</f>
        <v>14-M01-05</v>
      </c>
      <c r="H12510">
        <v>0.54239999999999999</v>
      </c>
      <c r="I12510" t="s">
        <v>8042</v>
      </c>
      <c r="J12510" t="s">
        <v>59</v>
      </c>
      <c r="K12510" t="str">
        <f t="shared" si="511"/>
        <v>6F3</v>
      </c>
      <c r="L12510" t="s">
        <v>15</v>
      </c>
    </row>
    <row r="12511" spans="1:12" x14ac:dyDescent="0.25">
      <c r="A12511" t="str">
        <f>"9062190401"</f>
        <v>9062190401</v>
      </c>
      <c r="B12511" t="str">
        <f t="shared" si="510"/>
        <v>89301000</v>
      </c>
      <c r="C12511" s="1">
        <v>44378</v>
      </c>
      <c r="D12511" s="1">
        <v>44382</v>
      </c>
      <c r="E12511">
        <v>1</v>
      </c>
      <c r="F12511" t="s">
        <v>75</v>
      </c>
      <c r="G12511" t="str">
        <f>"14-M01-05"</f>
        <v>14-M01-05</v>
      </c>
      <c r="H12511">
        <v>0.54239999999999999</v>
      </c>
      <c r="I12511" t="s">
        <v>8043</v>
      </c>
      <c r="J12511" t="s">
        <v>59</v>
      </c>
      <c r="K12511" t="str">
        <f t="shared" si="511"/>
        <v>6F3</v>
      </c>
      <c r="L12511" t="s">
        <v>15</v>
      </c>
    </row>
    <row r="12512" spans="1:12" x14ac:dyDescent="0.25">
      <c r="A12512" t="str">
        <f>"9062235710"</f>
        <v>9062235710</v>
      </c>
      <c r="B12512" t="str">
        <f t="shared" si="510"/>
        <v>89301000</v>
      </c>
      <c r="C12512" s="1">
        <v>44551</v>
      </c>
      <c r="D12512" s="1">
        <v>44555</v>
      </c>
      <c r="E12512">
        <v>1</v>
      </c>
      <c r="F12512" t="s">
        <v>61</v>
      </c>
      <c r="G12512" t="str">
        <f>"14-I01-05"</f>
        <v>14-I01-05</v>
      </c>
      <c r="H12512">
        <v>0.80030000000000001</v>
      </c>
      <c r="I12512" t="s">
        <v>7572</v>
      </c>
      <c r="J12512" t="s">
        <v>59</v>
      </c>
      <c r="K12512" t="str">
        <f t="shared" si="511"/>
        <v>6F3</v>
      </c>
      <c r="L12512" t="s">
        <v>15</v>
      </c>
    </row>
    <row r="12513" spans="1:12" x14ac:dyDescent="0.25">
      <c r="A12513" t="str">
        <f>"9062255708"</f>
        <v>9062255708</v>
      </c>
      <c r="B12513" t="str">
        <f t="shared" si="510"/>
        <v>89301000</v>
      </c>
      <c r="C12513" s="1">
        <v>44399</v>
      </c>
      <c r="D12513" s="1">
        <v>44401</v>
      </c>
      <c r="E12513">
        <v>1</v>
      </c>
      <c r="F12513" t="s">
        <v>100</v>
      </c>
      <c r="G12513" t="str">
        <f>"14-I04-00"</f>
        <v>14-I04-00</v>
      </c>
      <c r="H12513">
        <v>0.78749999999999998</v>
      </c>
      <c r="I12513" t="s">
        <v>101</v>
      </c>
      <c r="J12513" t="s">
        <v>24</v>
      </c>
      <c r="K12513" t="str">
        <f t="shared" si="511"/>
        <v>6F3</v>
      </c>
      <c r="L12513" t="s">
        <v>15</v>
      </c>
    </row>
    <row r="12514" spans="1:12" x14ac:dyDescent="0.25">
      <c r="A12514" t="str">
        <f>"9101055711"</f>
        <v>9101055711</v>
      </c>
      <c r="B12514" t="str">
        <f t="shared" si="510"/>
        <v>89301000</v>
      </c>
      <c r="C12514" s="1">
        <v>44223</v>
      </c>
      <c r="D12514" s="1">
        <v>44231</v>
      </c>
      <c r="E12514">
        <v>1</v>
      </c>
      <c r="F12514" t="s">
        <v>831</v>
      </c>
      <c r="G12514" t="str">
        <f>"02-I06-03"</f>
        <v>02-I06-03</v>
      </c>
      <c r="H12514">
        <v>0.91339999999999999</v>
      </c>
      <c r="I12514" t="s">
        <v>8044</v>
      </c>
      <c r="J12514" t="s">
        <v>17</v>
      </c>
      <c r="K12514" t="str">
        <f>"7F5"</f>
        <v>7F5</v>
      </c>
      <c r="L12514" t="s">
        <v>15</v>
      </c>
    </row>
    <row r="12515" spans="1:12" x14ac:dyDescent="0.25">
      <c r="A12515" t="str">
        <f>"9101185709"</f>
        <v>9101185709</v>
      </c>
      <c r="B12515" t="str">
        <f t="shared" si="510"/>
        <v>89301000</v>
      </c>
      <c r="C12515" s="1">
        <v>44228</v>
      </c>
      <c r="D12515" s="1">
        <v>44237</v>
      </c>
      <c r="E12515">
        <v>1</v>
      </c>
      <c r="F12515" t="s">
        <v>2519</v>
      </c>
      <c r="G12515" t="str">
        <f>"09-K01-04"</f>
        <v>09-K01-04</v>
      </c>
      <c r="H12515">
        <v>0.57820000000000005</v>
      </c>
      <c r="I12515" t="s">
        <v>5110</v>
      </c>
      <c r="J12515" t="s">
        <v>14</v>
      </c>
      <c r="K12515" t="str">
        <f>"4F4"</f>
        <v>4F4</v>
      </c>
      <c r="L12515" t="s">
        <v>15</v>
      </c>
    </row>
    <row r="12516" spans="1:12" x14ac:dyDescent="0.25">
      <c r="A12516" t="str">
        <f>"9101185709"</f>
        <v>9101185709</v>
      </c>
      <c r="B12516" t="str">
        <f t="shared" si="510"/>
        <v>89301000</v>
      </c>
      <c r="C12516" s="1">
        <v>44438</v>
      </c>
      <c r="D12516" s="1">
        <v>44444</v>
      </c>
      <c r="E12516">
        <v>1</v>
      </c>
      <c r="F12516" t="s">
        <v>3083</v>
      </c>
      <c r="G12516" t="str">
        <f>"04-I03-04"</f>
        <v>04-I03-04</v>
      </c>
      <c r="H12516">
        <v>2.0316000000000001</v>
      </c>
      <c r="I12516" t="s">
        <v>8045</v>
      </c>
      <c r="J12516" t="s">
        <v>106</v>
      </c>
      <c r="K12516" t="str">
        <f>"5F1"</f>
        <v>5F1</v>
      </c>
      <c r="L12516" t="s">
        <v>15</v>
      </c>
    </row>
    <row r="12517" spans="1:12" x14ac:dyDescent="0.25">
      <c r="A12517" t="str">
        <f>"9101225298"</f>
        <v>9101225298</v>
      </c>
      <c r="B12517" t="str">
        <f t="shared" si="510"/>
        <v>89301000</v>
      </c>
      <c r="C12517" s="1">
        <v>44518</v>
      </c>
      <c r="D12517" s="1">
        <v>44520</v>
      </c>
      <c r="E12517">
        <v>1</v>
      </c>
      <c r="F12517" t="s">
        <v>652</v>
      </c>
      <c r="G12517" t="str">
        <f>"03-I19-03"</f>
        <v>03-I19-03</v>
      </c>
      <c r="H12517">
        <v>0.60699999999999998</v>
      </c>
      <c r="I12517" t="s">
        <v>8046</v>
      </c>
      <c r="J12517" t="s">
        <v>14</v>
      </c>
      <c r="K12517" t="str">
        <f>"6F5"</f>
        <v>6F5</v>
      </c>
      <c r="L12517" t="s">
        <v>15</v>
      </c>
    </row>
    <row r="12518" spans="1:12" x14ac:dyDescent="0.25">
      <c r="A12518" t="str">
        <f>"9101265712"</f>
        <v>9101265712</v>
      </c>
      <c r="B12518" t="str">
        <f t="shared" si="510"/>
        <v>89301000</v>
      </c>
      <c r="C12518" s="1">
        <v>44501</v>
      </c>
      <c r="D12518" s="1">
        <v>44505</v>
      </c>
      <c r="E12518">
        <v>1</v>
      </c>
      <c r="F12518" t="s">
        <v>217</v>
      </c>
      <c r="G12518" t="str">
        <f>"04-K02-02"</f>
        <v>04-K02-02</v>
      </c>
      <c r="H12518">
        <v>2.5186000000000002</v>
      </c>
      <c r="I12518" t="s">
        <v>8047</v>
      </c>
      <c r="J12518" t="s">
        <v>14</v>
      </c>
      <c r="K12518" t="str">
        <f>"1F1"</f>
        <v>1F1</v>
      </c>
      <c r="L12518" t="s">
        <v>15</v>
      </c>
    </row>
    <row r="12519" spans="1:12" x14ac:dyDescent="0.25">
      <c r="A12519" t="str">
        <f>"9102215705"</f>
        <v>9102215705</v>
      </c>
      <c r="B12519" t="str">
        <f t="shared" si="510"/>
        <v>89301000</v>
      </c>
      <c r="C12519" s="1">
        <v>44206</v>
      </c>
      <c r="D12519" s="1">
        <v>44208</v>
      </c>
      <c r="E12519">
        <v>1</v>
      </c>
      <c r="F12519" t="s">
        <v>8048</v>
      </c>
      <c r="G12519" t="str">
        <f>"08-M03-05"</f>
        <v>08-M03-05</v>
      </c>
      <c r="H12519">
        <v>0.51759999999999995</v>
      </c>
      <c r="J12519" t="s">
        <v>14</v>
      </c>
      <c r="K12519" t="str">
        <f>"6F6"</f>
        <v>6F6</v>
      </c>
      <c r="L12519" t="s">
        <v>15</v>
      </c>
    </row>
    <row r="12520" spans="1:12" x14ac:dyDescent="0.25">
      <c r="A12520" t="str">
        <f>"9102286248"</f>
        <v>9102286248</v>
      </c>
      <c r="B12520" t="str">
        <f t="shared" si="510"/>
        <v>89301000</v>
      </c>
      <c r="C12520" s="1">
        <v>44473</v>
      </c>
      <c r="D12520" s="1">
        <v>44475</v>
      </c>
      <c r="E12520">
        <v>1</v>
      </c>
      <c r="F12520" t="s">
        <v>500</v>
      </c>
      <c r="G12520" t="str">
        <f>"06-K06-01"</f>
        <v>06-K06-01</v>
      </c>
      <c r="H12520">
        <v>1.0859000000000001</v>
      </c>
      <c r="I12520" t="s">
        <v>8049</v>
      </c>
      <c r="J12520" t="s">
        <v>14</v>
      </c>
      <c r="K12520" t="str">
        <f>"1F5"</f>
        <v>1F5</v>
      </c>
      <c r="L12520" t="s">
        <v>15</v>
      </c>
    </row>
    <row r="12521" spans="1:12" x14ac:dyDescent="0.25">
      <c r="A12521" t="str">
        <f>"9103154588"</f>
        <v>9103154588</v>
      </c>
      <c r="B12521" t="str">
        <f t="shared" si="510"/>
        <v>89301000</v>
      </c>
      <c r="C12521" s="1">
        <v>44222</v>
      </c>
      <c r="D12521" s="1">
        <v>44223</v>
      </c>
      <c r="E12521">
        <v>1</v>
      </c>
      <c r="F12521" t="s">
        <v>4491</v>
      </c>
      <c r="G12521" t="str">
        <f>"01-K01-02"</f>
        <v>01-K01-02</v>
      </c>
      <c r="H12521">
        <v>0.50700000000000001</v>
      </c>
      <c r="J12521" t="s">
        <v>14</v>
      </c>
      <c r="K12521" t="str">
        <f>"2F9"</f>
        <v>2F9</v>
      </c>
      <c r="L12521" t="s">
        <v>15</v>
      </c>
    </row>
    <row r="12522" spans="1:12" x14ac:dyDescent="0.25">
      <c r="A12522" t="str">
        <f>"9103166182"</f>
        <v>9103166182</v>
      </c>
      <c r="B12522" t="str">
        <f t="shared" si="510"/>
        <v>89301000</v>
      </c>
      <c r="C12522" s="1">
        <v>44376</v>
      </c>
      <c r="D12522" s="1">
        <v>44379</v>
      </c>
      <c r="E12522">
        <v>1</v>
      </c>
      <c r="F12522" t="s">
        <v>2914</v>
      </c>
      <c r="G12522" t="str">
        <f>"08-I14-02"</f>
        <v>08-I14-02</v>
      </c>
      <c r="H12522">
        <v>1.7324999999999999</v>
      </c>
      <c r="I12522" t="s">
        <v>561</v>
      </c>
      <c r="J12522" t="s">
        <v>17</v>
      </c>
      <c r="K12522" t="str">
        <f>"5F3"</f>
        <v>5F3</v>
      </c>
      <c r="L12522" t="s">
        <v>15</v>
      </c>
    </row>
    <row r="12523" spans="1:12" x14ac:dyDescent="0.25">
      <c r="A12523" t="str">
        <f>"9103193220"</f>
        <v>9103193220</v>
      </c>
      <c r="B12523" t="str">
        <f t="shared" si="510"/>
        <v>89301000</v>
      </c>
      <c r="C12523" s="1">
        <v>44424</v>
      </c>
      <c r="D12523" s="1">
        <v>44425</v>
      </c>
      <c r="E12523">
        <v>1</v>
      </c>
      <c r="F12523" t="s">
        <v>41</v>
      </c>
      <c r="G12523" t="str">
        <f>"01-D01-03"</f>
        <v>01-D01-03</v>
      </c>
      <c r="H12523">
        <v>0.158</v>
      </c>
      <c r="I12523" t="s">
        <v>8050</v>
      </c>
      <c r="J12523" t="s">
        <v>14</v>
      </c>
      <c r="K12523" t="str">
        <f>"2F5"</f>
        <v>2F5</v>
      </c>
      <c r="L12523" t="s">
        <v>15</v>
      </c>
    </row>
    <row r="12524" spans="1:12" x14ac:dyDescent="0.25">
      <c r="A12524" t="str">
        <f>"9103193220"</f>
        <v>9103193220</v>
      </c>
      <c r="B12524" t="str">
        <f t="shared" si="510"/>
        <v>89301000</v>
      </c>
      <c r="C12524" s="1">
        <v>44411</v>
      </c>
      <c r="D12524" s="1">
        <v>44412</v>
      </c>
      <c r="E12524">
        <v>1</v>
      </c>
      <c r="F12524" t="s">
        <v>41</v>
      </c>
      <c r="G12524" t="str">
        <f>"01-D01-03"</f>
        <v>01-D01-03</v>
      </c>
      <c r="H12524">
        <v>0.158</v>
      </c>
      <c r="I12524" t="s">
        <v>7630</v>
      </c>
      <c r="J12524" t="s">
        <v>14</v>
      </c>
      <c r="K12524" t="str">
        <f>"2F5"</f>
        <v>2F5</v>
      </c>
      <c r="L12524" t="s">
        <v>15</v>
      </c>
    </row>
    <row r="12525" spans="1:12" x14ac:dyDescent="0.25">
      <c r="A12525" t="str">
        <f>"9103225703"</f>
        <v>9103225703</v>
      </c>
      <c r="B12525" t="str">
        <f t="shared" si="510"/>
        <v>89301000</v>
      </c>
      <c r="C12525" s="1">
        <v>44348</v>
      </c>
      <c r="D12525" s="1">
        <v>44350</v>
      </c>
      <c r="E12525">
        <v>1</v>
      </c>
      <c r="F12525" t="s">
        <v>34</v>
      </c>
      <c r="G12525" t="str">
        <f>"08-I19-03"</f>
        <v>08-I19-03</v>
      </c>
      <c r="H12525">
        <v>0.61250000000000004</v>
      </c>
      <c r="I12525" t="s">
        <v>233</v>
      </c>
      <c r="J12525" t="s">
        <v>17</v>
      </c>
      <c r="K12525" t="str">
        <f>"5F3"</f>
        <v>5F3</v>
      </c>
      <c r="L12525" t="s">
        <v>15</v>
      </c>
    </row>
    <row r="12526" spans="1:12" x14ac:dyDescent="0.25">
      <c r="A12526" t="str">
        <f>"9104085705"</f>
        <v>9104085705</v>
      </c>
      <c r="B12526" t="str">
        <f t="shared" si="510"/>
        <v>89301000</v>
      </c>
      <c r="C12526" s="1">
        <v>44551</v>
      </c>
      <c r="D12526" s="1">
        <v>44553</v>
      </c>
      <c r="E12526">
        <v>1</v>
      </c>
      <c r="F12526" t="s">
        <v>309</v>
      </c>
      <c r="G12526" t="str">
        <f>"08-M03-05"</f>
        <v>08-M03-05</v>
      </c>
      <c r="H12526">
        <v>0.51759999999999995</v>
      </c>
      <c r="I12526" t="s">
        <v>8051</v>
      </c>
      <c r="J12526" t="s">
        <v>14</v>
      </c>
      <c r="K12526" t="str">
        <f>"6F6"</f>
        <v>6F6</v>
      </c>
      <c r="L12526" t="s">
        <v>15</v>
      </c>
    </row>
    <row r="12527" spans="1:12" x14ac:dyDescent="0.25">
      <c r="A12527" t="str">
        <f>"9104116164"</f>
        <v>9104116164</v>
      </c>
      <c r="B12527" t="str">
        <f t="shared" si="510"/>
        <v>89301000</v>
      </c>
      <c r="C12527" s="1">
        <v>44202</v>
      </c>
      <c r="D12527" s="1">
        <v>44204</v>
      </c>
      <c r="E12527">
        <v>1</v>
      </c>
      <c r="F12527" t="s">
        <v>8052</v>
      </c>
      <c r="G12527" t="str">
        <f>"10-K12-03"</f>
        <v>10-K12-03</v>
      </c>
      <c r="H12527">
        <v>0.50629999999999997</v>
      </c>
      <c r="I12527" t="s">
        <v>1340</v>
      </c>
      <c r="J12527" t="s">
        <v>14</v>
      </c>
      <c r="K12527" t="str">
        <f>"2F9"</f>
        <v>2F9</v>
      </c>
      <c r="L12527" t="s">
        <v>15</v>
      </c>
    </row>
    <row r="12528" spans="1:12" x14ac:dyDescent="0.25">
      <c r="A12528" t="str">
        <f>"9104116164"</f>
        <v>9104116164</v>
      </c>
      <c r="B12528" t="str">
        <f t="shared" si="510"/>
        <v>89301000</v>
      </c>
      <c r="C12528" s="1">
        <v>44217</v>
      </c>
      <c r="D12528" s="1">
        <v>44235</v>
      </c>
      <c r="E12528">
        <v>1</v>
      </c>
      <c r="F12528" t="s">
        <v>8052</v>
      </c>
      <c r="G12528" t="str">
        <f>"10-K12-03"</f>
        <v>10-K12-03</v>
      </c>
      <c r="H12528">
        <v>1.044</v>
      </c>
      <c r="I12528" t="s">
        <v>323</v>
      </c>
      <c r="J12528" t="s">
        <v>14</v>
      </c>
      <c r="K12528" t="str">
        <f>"1F1"</f>
        <v>1F1</v>
      </c>
      <c r="L12528" t="s">
        <v>15</v>
      </c>
    </row>
    <row r="12529" spans="1:12" x14ac:dyDescent="0.25">
      <c r="A12529" t="str">
        <f>"9104194880"</f>
        <v>9104194880</v>
      </c>
      <c r="B12529" t="str">
        <f t="shared" si="510"/>
        <v>89301000</v>
      </c>
      <c r="C12529" s="1">
        <v>44372</v>
      </c>
      <c r="D12529" s="1">
        <v>44376</v>
      </c>
      <c r="E12529">
        <v>1</v>
      </c>
      <c r="F12529" t="s">
        <v>4287</v>
      </c>
      <c r="G12529" t="str">
        <f>"17-C05-08"</f>
        <v>17-C05-08</v>
      </c>
      <c r="H12529">
        <v>0.83779999999999999</v>
      </c>
      <c r="I12529" t="s">
        <v>8053</v>
      </c>
      <c r="J12529" t="s">
        <v>14</v>
      </c>
      <c r="K12529" t="str">
        <f>"2F2"</f>
        <v>2F2</v>
      </c>
      <c r="L12529" t="s">
        <v>15</v>
      </c>
    </row>
    <row r="12530" spans="1:12" x14ac:dyDescent="0.25">
      <c r="A12530" t="str">
        <f>"9104194880"</f>
        <v>9104194880</v>
      </c>
      <c r="B12530" t="str">
        <f t="shared" si="510"/>
        <v>89301000</v>
      </c>
      <c r="C12530" s="1">
        <v>44285</v>
      </c>
      <c r="D12530" s="1">
        <v>44287</v>
      </c>
      <c r="E12530">
        <v>1</v>
      </c>
      <c r="F12530" t="s">
        <v>134</v>
      </c>
      <c r="G12530" t="str">
        <f>"16-I04-01"</f>
        <v>16-I04-01</v>
      </c>
      <c r="H12530">
        <v>1.0085999999999999</v>
      </c>
      <c r="I12530" t="s">
        <v>168</v>
      </c>
      <c r="J12530" t="s">
        <v>17</v>
      </c>
      <c r="K12530" t="str">
        <f>"7F1"</f>
        <v>7F1</v>
      </c>
      <c r="L12530" t="s">
        <v>15</v>
      </c>
    </row>
    <row r="12531" spans="1:12" x14ac:dyDescent="0.25">
      <c r="A12531" t="str">
        <f>"9104285707"</f>
        <v>9104285707</v>
      </c>
      <c r="B12531" t="str">
        <f t="shared" si="510"/>
        <v>89301000</v>
      </c>
      <c r="C12531" s="1">
        <v>44430</v>
      </c>
      <c r="D12531" s="1">
        <v>44434</v>
      </c>
      <c r="E12531">
        <v>1</v>
      </c>
      <c r="F12531" t="s">
        <v>715</v>
      </c>
      <c r="G12531" t="str">
        <f>"03-I11-03"</f>
        <v>03-I11-03</v>
      </c>
      <c r="H12531">
        <v>1.0253000000000001</v>
      </c>
      <c r="I12531" t="s">
        <v>8054</v>
      </c>
      <c r="J12531" t="s">
        <v>17</v>
      </c>
      <c r="K12531" t="str">
        <f>"6F5"</f>
        <v>6F5</v>
      </c>
      <c r="L12531" t="s">
        <v>15</v>
      </c>
    </row>
    <row r="12532" spans="1:12" x14ac:dyDescent="0.25">
      <c r="A12532" t="str">
        <f>"9104294221"</f>
        <v>9104294221</v>
      </c>
      <c r="B12532" t="str">
        <f t="shared" si="510"/>
        <v>89301000</v>
      </c>
      <c r="C12532" s="1">
        <v>44508</v>
      </c>
      <c r="D12532" s="1">
        <v>44510</v>
      </c>
      <c r="E12532">
        <v>1</v>
      </c>
      <c r="F12532" t="s">
        <v>174</v>
      </c>
      <c r="G12532" t="str">
        <f>"12-I14-00"</f>
        <v>12-I14-00</v>
      </c>
      <c r="H12532">
        <v>0.44350000000000001</v>
      </c>
      <c r="J12532" t="s">
        <v>14</v>
      </c>
      <c r="K12532" t="str">
        <f>"7F6"</f>
        <v>7F6</v>
      </c>
      <c r="L12532" t="s">
        <v>15</v>
      </c>
    </row>
    <row r="12533" spans="1:12" x14ac:dyDescent="0.25">
      <c r="A12533" t="str">
        <f>"9105066267"</f>
        <v>9105066267</v>
      </c>
      <c r="B12533" t="str">
        <f t="shared" si="510"/>
        <v>89301000</v>
      </c>
      <c r="C12533" s="1">
        <v>44402</v>
      </c>
      <c r="D12533" s="1">
        <v>44403</v>
      </c>
      <c r="E12533">
        <v>7</v>
      </c>
      <c r="F12533" t="s">
        <v>290</v>
      </c>
      <c r="G12533" t="str">
        <f>"05-K06-01"</f>
        <v>05-K06-01</v>
      </c>
      <c r="H12533">
        <v>2.5053000000000001</v>
      </c>
      <c r="I12533" t="s">
        <v>8055</v>
      </c>
      <c r="J12533" t="s">
        <v>14</v>
      </c>
      <c r="K12533" t="str">
        <f>"7T8"</f>
        <v>7T8</v>
      </c>
      <c r="L12533" t="s">
        <v>15</v>
      </c>
    </row>
    <row r="12534" spans="1:12" x14ac:dyDescent="0.25">
      <c r="A12534" t="str">
        <f>"9105135765"</f>
        <v>9105135765</v>
      </c>
      <c r="B12534" t="str">
        <f t="shared" si="510"/>
        <v>89301000</v>
      </c>
      <c r="C12534" s="1">
        <v>44508</v>
      </c>
      <c r="D12534" s="1">
        <v>44510</v>
      </c>
      <c r="E12534">
        <v>1</v>
      </c>
      <c r="F12534" t="s">
        <v>64</v>
      </c>
      <c r="G12534" t="str">
        <f>"08-I31-04"</f>
        <v>08-I31-04</v>
      </c>
      <c r="H12534">
        <v>0.50949999999999995</v>
      </c>
      <c r="J12534" t="s">
        <v>14</v>
      </c>
      <c r="K12534" t="str">
        <f>"6F6"</f>
        <v>6F6</v>
      </c>
      <c r="L12534" t="s">
        <v>15</v>
      </c>
    </row>
    <row r="12535" spans="1:12" x14ac:dyDescent="0.25">
      <c r="A12535" t="str">
        <f>"9105145709"</f>
        <v>9105145709</v>
      </c>
      <c r="B12535" t="str">
        <f t="shared" si="510"/>
        <v>89301000</v>
      </c>
      <c r="C12535" s="1">
        <v>44364</v>
      </c>
      <c r="D12535" s="1">
        <v>44366</v>
      </c>
      <c r="E12535">
        <v>1</v>
      </c>
      <c r="F12535" t="s">
        <v>173</v>
      </c>
      <c r="G12535" t="str">
        <f>"08-I32-02"</f>
        <v>08-I32-02</v>
      </c>
      <c r="H12535">
        <v>0.4143</v>
      </c>
      <c r="J12535" t="s">
        <v>14</v>
      </c>
      <c r="K12535" t="str">
        <f>"5F3"</f>
        <v>5F3</v>
      </c>
      <c r="L12535" t="s">
        <v>15</v>
      </c>
    </row>
    <row r="12536" spans="1:12" x14ac:dyDescent="0.25">
      <c r="A12536" t="str">
        <f>"9105175772"</f>
        <v>9105175772</v>
      </c>
      <c r="B12536" t="str">
        <f t="shared" si="510"/>
        <v>89301000</v>
      </c>
      <c r="C12536" s="1">
        <v>44218</v>
      </c>
      <c r="D12536" s="1">
        <v>44221</v>
      </c>
      <c r="E12536">
        <v>1</v>
      </c>
      <c r="F12536" t="s">
        <v>715</v>
      </c>
      <c r="G12536" t="str">
        <f>"03-K12-01"</f>
        <v>03-K12-01</v>
      </c>
      <c r="H12536">
        <v>0.376</v>
      </c>
      <c r="I12536" t="s">
        <v>8056</v>
      </c>
      <c r="J12536" t="s">
        <v>14</v>
      </c>
      <c r="K12536" t="str">
        <f>"6F5"</f>
        <v>6F5</v>
      </c>
      <c r="L12536" t="s">
        <v>15</v>
      </c>
    </row>
    <row r="12537" spans="1:12" x14ac:dyDescent="0.25">
      <c r="A12537" t="str">
        <f>"9105216120"</f>
        <v>9105216120</v>
      </c>
      <c r="B12537" t="str">
        <f t="shared" si="510"/>
        <v>89301000</v>
      </c>
      <c r="C12537" s="1">
        <v>44358</v>
      </c>
      <c r="D12537" s="1">
        <v>44361</v>
      </c>
      <c r="E12537">
        <v>1</v>
      </c>
      <c r="F12537" t="s">
        <v>41</v>
      </c>
      <c r="G12537" t="str">
        <f>"01-D01-03"</f>
        <v>01-D01-03</v>
      </c>
      <c r="H12537">
        <v>0.2054</v>
      </c>
      <c r="J12537" t="s">
        <v>14</v>
      </c>
      <c r="K12537" t="str">
        <f>"2F5"</f>
        <v>2F5</v>
      </c>
      <c r="L12537" t="s">
        <v>15</v>
      </c>
    </row>
    <row r="12538" spans="1:12" x14ac:dyDescent="0.25">
      <c r="A12538" t="str">
        <f>"9106226162"</f>
        <v>9106226162</v>
      </c>
      <c r="B12538" t="str">
        <f t="shared" si="510"/>
        <v>89301000</v>
      </c>
      <c r="C12538" s="1">
        <v>44508</v>
      </c>
      <c r="D12538" s="1">
        <v>44510</v>
      </c>
      <c r="E12538">
        <v>1</v>
      </c>
      <c r="F12538" t="s">
        <v>8057</v>
      </c>
      <c r="G12538" t="str">
        <f>"08-I17-02"</f>
        <v>08-I17-02</v>
      </c>
      <c r="H12538">
        <v>0.98309999999999997</v>
      </c>
      <c r="I12538" t="s">
        <v>244</v>
      </c>
      <c r="J12538" t="s">
        <v>14</v>
      </c>
      <c r="K12538" t="str">
        <f>"5F3"</f>
        <v>5F3</v>
      </c>
      <c r="L12538" t="s">
        <v>15</v>
      </c>
    </row>
    <row r="12539" spans="1:12" x14ac:dyDescent="0.25">
      <c r="A12539" t="str">
        <f>"9107045717"</f>
        <v>9107045717</v>
      </c>
      <c r="B12539" t="str">
        <f t="shared" si="510"/>
        <v>89301000</v>
      </c>
      <c r="C12539" s="1">
        <v>44459</v>
      </c>
      <c r="D12539" s="1">
        <v>44460</v>
      </c>
      <c r="E12539">
        <v>1</v>
      </c>
      <c r="F12539" t="s">
        <v>41</v>
      </c>
      <c r="G12539" t="str">
        <f>"01-I11-01"</f>
        <v>01-I11-01</v>
      </c>
      <c r="H12539">
        <v>0.99990000000000001</v>
      </c>
      <c r="I12539" t="s">
        <v>8058</v>
      </c>
      <c r="J12539" t="s">
        <v>17</v>
      </c>
      <c r="K12539" t="str">
        <f>"7F1"</f>
        <v>7F1</v>
      </c>
      <c r="L12539" t="s">
        <v>15</v>
      </c>
    </row>
    <row r="12540" spans="1:12" x14ac:dyDescent="0.25">
      <c r="A12540" t="str">
        <f>"9107245730"</f>
        <v>9107245730</v>
      </c>
      <c r="B12540" t="str">
        <f t="shared" si="510"/>
        <v>89301000</v>
      </c>
      <c r="C12540" s="1">
        <v>44458</v>
      </c>
      <c r="D12540" s="1">
        <v>44476</v>
      </c>
      <c r="E12540">
        <v>4</v>
      </c>
      <c r="F12540" t="s">
        <v>78</v>
      </c>
      <c r="G12540" t="str">
        <f>"19-K05-02"</f>
        <v>19-K05-02</v>
      </c>
      <c r="H12540">
        <v>1.8835999999999999</v>
      </c>
      <c r="I12540" t="s">
        <v>8059</v>
      </c>
      <c r="J12540" t="s">
        <v>27</v>
      </c>
      <c r="K12540" t="str">
        <f>"3F5"</f>
        <v>3F5</v>
      </c>
      <c r="L12540" t="s">
        <v>15</v>
      </c>
    </row>
    <row r="12541" spans="1:12" x14ac:dyDescent="0.25">
      <c r="A12541" t="str">
        <f>"9108024871"</f>
        <v>9108024871</v>
      </c>
      <c r="B12541" t="str">
        <f t="shared" si="510"/>
        <v>89301000</v>
      </c>
      <c r="C12541" s="1">
        <v>44314</v>
      </c>
      <c r="D12541" s="1">
        <v>44322</v>
      </c>
      <c r="E12541">
        <v>4</v>
      </c>
      <c r="F12541" t="s">
        <v>7615</v>
      </c>
      <c r="G12541" t="str">
        <f>"20-K03-03"</f>
        <v>20-K03-03</v>
      </c>
      <c r="H12541">
        <v>1.0109999999999999</v>
      </c>
      <c r="I12541" t="s">
        <v>8060</v>
      </c>
      <c r="J12541" t="s">
        <v>14</v>
      </c>
      <c r="K12541" t="str">
        <f>"3F5"</f>
        <v>3F5</v>
      </c>
      <c r="L12541" t="s">
        <v>15</v>
      </c>
    </row>
    <row r="12542" spans="1:12" x14ac:dyDescent="0.25">
      <c r="A12542" t="str">
        <f>"9108265716"</f>
        <v>9108265716</v>
      </c>
      <c r="B12542" t="str">
        <f t="shared" si="510"/>
        <v>89301000</v>
      </c>
      <c r="C12542" s="1">
        <v>44259</v>
      </c>
      <c r="D12542" s="1">
        <v>44262</v>
      </c>
      <c r="E12542">
        <v>1</v>
      </c>
      <c r="F12542" t="s">
        <v>3568</v>
      </c>
      <c r="G12542" t="str">
        <f>"08-I03-08"</f>
        <v>08-I03-08</v>
      </c>
      <c r="H12542">
        <v>2.0605000000000002</v>
      </c>
      <c r="I12542" t="s">
        <v>6388</v>
      </c>
      <c r="J12542" t="s">
        <v>17</v>
      </c>
      <c r="K12542" t="str">
        <f>"5F6"</f>
        <v>5F6</v>
      </c>
      <c r="L12542" t="s">
        <v>15</v>
      </c>
    </row>
    <row r="12543" spans="1:12" x14ac:dyDescent="0.25">
      <c r="A12543" t="str">
        <f>"9108285725"</f>
        <v>9108285725</v>
      </c>
      <c r="B12543" t="str">
        <f t="shared" si="510"/>
        <v>89301000</v>
      </c>
      <c r="C12543" s="1">
        <v>44441</v>
      </c>
      <c r="D12543" s="1">
        <v>44445</v>
      </c>
      <c r="E12543">
        <v>1</v>
      </c>
      <c r="F12543" t="s">
        <v>41</v>
      </c>
      <c r="G12543" t="str">
        <f>"01-D01-03"</f>
        <v>01-D01-03</v>
      </c>
      <c r="H12543">
        <v>0.25280000000000002</v>
      </c>
      <c r="J12543" t="s">
        <v>14</v>
      </c>
      <c r="K12543" t="str">
        <f>"2F5"</f>
        <v>2F5</v>
      </c>
      <c r="L12543" t="s">
        <v>15</v>
      </c>
    </row>
    <row r="12544" spans="1:12" x14ac:dyDescent="0.25">
      <c r="A12544" t="str">
        <f>"9108315700"</f>
        <v>9108315700</v>
      </c>
      <c r="B12544" t="str">
        <f t="shared" si="510"/>
        <v>89301000</v>
      </c>
      <c r="C12544" s="1">
        <v>44445</v>
      </c>
      <c r="D12544" s="1">
        <v>44447</v>
      </c>
      <c r="E12544">
        <v>1</v>
      </c>
      <c r="F12544" t="s">
        <v>102</v>
      </c>
      <c r="G12544" t="str">
        <f>"03-K06-01"</f>
        <v>03-K06-01</v>
      </c>
      <c r="H12544">
        <v>0.4718</v>
      </c>
      <c r="I12544" t="s">
        <v>261</v>
      </c>
      <c r="J12544" t="s">
        <v>14</v>
      </c>
      <c r="K12544" t="str">
        <f>"7F1"</f>
        <v>7F1</v>
      </c>
      <c r="L12544" t="s">
        <v>15</v>
      </c>
    </row>
    <row r="12545" spans="1:12" x14ac:dyDescent="0.25">
      <c r="A12545" t="str">
        <f>"9109016147"</f>
        <v>9109016147</v>
      </c>
      <c r="B12545" t="str">
        <f t="shared" si="510"/>
        <v>89301000</v>
      </c>
      <c r="C12545" s="1">
        <v>44461</v>
      </c>
      <c r="D12545" s="1">
        <v>44469</v>
      </c>
      <c r="E12545">
        <v>1</v>
      </c>
      <c r="F12545" t="s">
        <v>1039</v>
      </c>
      <c r="G12545" t="str">
        <f>"16-K03-03"</f>
        <v>16-K03-03</v>
      </c>
      <c r="H12545">
        <v>0.67269999999999996</v>
      </c>
      <c r="I12545" t="s">
        <v>168</v>
      </c>
      <c r="J12545" t="s">
        <v>14</v>
      </c>
      <c r="K12545" t="str">
        <f>"2F2"</f>
        <v>2F2</v>
      </c>
      <c r="L12545" t="s">
        <v>15</v>
      </c>
    </row>
    <row r="12546" spans="1:12" x14ac:dyDescent="0.25">
      <c r="A12546" t="str">
        <f>"9109284459"</f>
        <v>9109284459</v>
      </c>
      <c r="B12546" t="str">
        <f t="shared" si="510"/>
        <v>89301000</v>
      </c>
      <c r="C12546" s="1">
        <v>44532</v>
      </c>
      <c r="D12546" s="1">
        <v>44534</v>
      </c>
      <c r="E12546">
        <v>1</v>
      </c>
      <c r="F12546" t="s">
        <v>7875</v>
      </c>
      <c r="G12546" t="str">
        <f>"12-K11-00"</f>
        <v>12-K11-00</v>
      </c>
      <c r="H12546">
        <v>0.42370000000000002</v>
      </c>
      <c r="J12546" t="s">
        <v>14</v>
      </c>
      <c r="K12546" t="str">
        <f>"7F6"</f>
        <v>7F6</v>
      </c>
      <c r="L12546" t="s">
        <v>15</v>
      </c>
    </row>
    <row r="12547" spans="1:12" x14ac:dyDescent="0.25">
      <c r="A12547" t="str">
        <f>"9110065712"</f>
        <v>9110065712</v>
      </c>
      <c r="B12547" t="str">
        <f t="shared" si="510"/>
        <v>89301000</v>
      </c>
      <c r="C12547" s="1">
        <v>44369</v>
      </c>
      <c r="D12547" s="1">
        <v>44372</v>
      </c>
      <c r="E12547">
        <v>1</v>
      </c>
      <c r="F12547" t="s">
        <v>738</v>
      </c>
      <c r="G12547" t="str">
        <f>"08-I09-03"</f>
        <v>08-I09-03</v>
      </c>
      <c r="H12547">
        <v>1.9427000000000001</v>
      </c>
      <c r="I12547" t="s">
        <v>8061</v>
      </c>
      <c r="J12547" t="s">
        <v>24</v>
      </c>
      <c r="K12547" t="str">
        <f>"5F3"</f>
        <v>5F3</v>
      </c>
      <c r="L12547" t="s">
        <v>15</v>
      </c>
    </row>
    <row r="12548" spans="1:12" x14ac:dyDescent="0.25">
      <c r="A12548" t="str">
        <f>"9110085754"</f>
        <v>9110085754</v>
      </c>
      <c r="B12548" t="str">
        <f t="shared" si="510"/>
        <v>89301000</v>
      </c>
      <c r="C12548" s="1">
        <v>44267</v>
      </c>
      <c r="D12548" s="1">
        <v>44268</v>
      </c>
      <c r="E12548">
        <v>1</v>
      </c>
      <c r="F12548" t="s">
        <v>132</v>
      </c>
      <c r="G12548" t="str">
        <f>"03-K03-02"</f>
        <v>03-K03-02</v>
      </c>
      <c r="H12548">
        <v>0.49249999999999999</v>
      </c>
      <c r="J12548" t="s">
        <v>14</v>
      </c>
      <c r="K12548" t="str">
        <f>"6F5"</f>
        <v>6F5</v>
      </c>
      <c r="L12548" t="s">
        <v>15</v>
      </c>
    </row>
    <row r="12549" spans="1:12" x14ac:dyDescent="0.25">
      <c r="A12549" t="str">
        <f>"9110105708"</f>
        <v>9110105708</v>
      </c>
      <c r="B12549" t="str">
        <f t="shared" si="510"/>
        <v>89301000</v>
      </c>
      <c r="C12549" s="1">
        <v>44212</v>
      </c>
      <c r="D12549" s="1">
        <v>44228</v>
      </c>
      <c r="E12549">
        <v>4</v>
      </c>
      <c r="F12549" t="s">
        <v>78</v>
      </c>
      <c r="G12549" t="str">
        <f>"19-K04-02"</f>
        <v>19-K04-02</v>
      </c>
      <c r="H12549">
        <v>1.4597</v>
      </c>
      <c r="I12549" t="s">
        <v>8062</v>
      </c>
      <c r="J12549" t="s">
        <v>27</v>
      </c>
      <c r="K12549" t="str">
        <f>"3F5"</f>
        <v>3F5</v>
      </c>
      <c r="L12549" t="s">
        <v>15</v>
      </c>
    </row>
    <row r="12550" spans="1:12" x14ac:dyDescent="0.25">
      <c r="A12550" t="str">
        <f>"9110185832"</f>
        <v>9110185832</v>
      </c>
      <c r="B12550" t="str">
        <f t="shared" si="510"/>
        <v>89301000</v>
      </c>
      <c r="C12550" s="1">
        <v>44358</v>
      </c>
      <c r="D12550" s="1">
        <v>44370</v>
      </c>
      <c r="E12550">
        <v>1</v>
      </c>
      <c r="F12550" t="s">
        <v>148</v>
      </c>
      <c r="G12550" t="str">
        <f>"04-K11-01"</f>
        <v>04-K11-01</v>
      </c>
      <c r="H12550">
        <v>1.8947000000000001</v>
      </c>
      <c r="I12550" t="s">
        <v>8063</v>
      </c>
      <c r="J12550" t="s">
        <v>14</v>
      </c>
      <c r="K12550" t="str">
        <f>"2F5"</f>
        <v>2F5</v>
      </c>
      <c r="L12550" t="s">
        <v>15</v>
      </c>
    </row>
    <row r="12551" spans="1:12" x14ac:dyDescent="0.25">
      <c r="A12551" t="str">
        <f>"9111184500"</f>
        <v>9111184500</v>
      </c>
      <c r="B12551" t="str">
        <f t="shared" si="510"/>
        <v>89301000</v>
      </c>
      <c r="C12551" s="1">
        <v>44292</v>
      </c>
      <c r="D12551" s="1">
        <v>44296</v>
      </c>
      <c r="E12551">
        <v>1</v>
      </c>
      <c r="F12551" t="s">
        <v>197</v>
      </c>
      <c r="G12551" t="str">
        <f>"03-I17-00"</f>
        <v>03-I17-00</v>
      </c>
      <c r="H12551">
        <v>0.84960000000000002</v>
      </c>
      <c r="I12551" t="s">
        <v>8064</v>
      </c>
      <c r="J12551" t="s">
        <v>24</v>
      </c>
      <c r="K12551" t="str">
        <f>"7F1"</f>
        <v>7F1</v>
      </c>
      <c r="L12551" t="s">
        <v>15</v>
      </c>
    </row>
    <row r="12552" spans="1:12" x14ac:dyDescent="0.25">
      <c r="A12552" t="str">
        <f>"9112065941"</f>
        <v>9112065941</v>
      </c>
      <c r="B12552" t="str">
        <f t="shared" si="510"/>
        <v>89301000</v>
      </c>
      <c r="C12552" s="1">
        <v>44499</v>
      </c>
      <c r="D12552" s="1">
        <v>44523</v>
      </c>
      <c r="E12552">
        <v>1</v>
      </c>
      <c r="F12552" t="s">
        <v>2281</v>
      </c>
      <c r="G12552" t="str">
        <f>"19-K06-02"</f>
        <v>19-K06-02</v>
      </c>
      <c r="H12552">
        <v>2.4085000000000001</v>
      </c>
      <c r="I12552" t="s">
        <v>5555</v>
      </c>
      <c r="J12552" t="s">
        <v>27</v>
      </c>
      <c r="K12552" t="str">
        <f>"3F5"</f>
        <v>3F5</v>
      </c>
      <c r="L12552" t="s">
        <v>15</v>
      </c>
    </row>
    <row r="12553" spans="1:12" x14ac:dyDescent="0.25">
      <c r="A12553" t="str">
        <f>"9112275535"</f>
        <v>9112275535</v>
      </c>
      <c r="B12553" t="str">
        <f t="shared" si="510"/>
        <v>89301000</v>
      </c>
      <c r="C12553" s="1">
        <v>44275</v>
      </c>
      <c r="D12553" s="1">
        <v>44286</v>
      </c>
      <c r="E12553">
        <v>1</v>
      </c>
      <c r="F12553" t="s">
        <v>134</v>
      </c>
      <c r="G12553" t="str">
        <f>"16-I04-01"</f>
        <v>16-I04-01</v>
      </c>
      <c r="H12553">
        <v>1.1088</v>
      </c>
      <c r="I12553" t="s">
        <v>8065</v>
      </c>
      <c r="J12553" t="s">
        <v>17</v>
      </c>
      <c r="K12553" t="str">
        <f>"6F5"</f>
        <v>6F5</v>
      </c>
      <c r="L12553" t="s">
        <v>15</v>
      </c>
    </row>
    <row r="12554" spans="1:12" x14ac:dyDescent="0.25">
      <c r="A12554" t="str">
        <f>"9112275722"</f>
        <v>9112275722</v>
      </c>
      <c r="B12554" t="str">
        <f t="shared" si="510"/>
        <v>89301000</v>
      </c>
      <c r="C12554" s="1">
        <v>44550</v>
      </c>
      <c r="D12554" s="1">
        <v>44557</v>
      </c>
      <c r="E12554">
        <v>1</v>
      </c>
      <c r="F12554" t="s">
        <v>3292</v>
      </c>
      <c r="G12554" t="str">
        <f>"08-I15-01"</f>
        <v>08-I15-01</v>
      </c>
      <c r="H12554">
        <v>2.1657999999999999</v>
      </c>
      <c r="I12554" t="s">
        <v>4140</v>
      </c>
      <c r="J12554" t="s">
        <v>17</v>
      </c>
      <c r="K12554" t="str">
        <f>"5F3"</f>
        <v>5F3</v>
      </c>
      <c r="L12554" t="s">
        <v>15</v>
      </c>
    </row>
    <row r="12555" spans="1:12" x14ac:dyDescent="0.25">
      <c r="A12555" t="str">
        <f>"9151035707"</f>
        <v>9151035707</v>
      </c>
      <c r="B12555" t="str">
        <f t="shared" si="510"/>
        <v>89301000</v>
      </c>
      <c r="C12555" s="1">
        <v>44439</v>
      </c>
      <c r="D12555" s="1">
        <v>44442</v>
      </c>
      <c r="E12555">
        <v>1</v>
      </c>
      <c r="F12555" t="s">
        <v>75</v>
      </c>
      <c r="G12555" t="str">
        <f>"14-M01-05"</f>
        <v>14-M01-05</v>
      </c>
      <c r="H12555">
        <v>0.54239999999999999</v>
      </c>
      <c r="I12555" t="s">
        <v>8066</v>
      </c>
      <c r="J12555" t="s">
        <v>59</v>
      </c>
      <c r="K12555" t="str">
        <f>"6F3"</f>
        <v>6F3</v>
      </c>
      <c r="L12555" t="s">
        <v>15</v>
      </c>
    </row>
    <row r="12556" spans="1:12" x14ac:dyDescent="0.25">
      <c r="A12556" t="str">
        <f>"9151056068"</f>
        <v>9151056068</v>
      </c>
      <c r="B12556" t="str">
        <f t="shared" si="510"/>
        <v>89301000</v>
      </c>
      <c r="C12556" s="1">
        <v>44320</v>
      </c>
      <c r="D12556" s="1">
        <v>44321</v>
      </c>
      <c r="E12556">
        <v>1</v>
      </c>
      <c r="F12556" t="s">
        <v>7666</v>
      </c>
      <c r="G12556" t="str">
        <f>"05-M05-02"</f>
        <v>05-M05-02</v>
      </c>
      <c r="H12556">
        <v>3.516</v>
      </c>
      <c r="J12556" t="s">
        <v>24</v>
      </c>
      <c r="K12556" t="str">
        <f>"1F1"</f>
        <v>1F1</v>
      </c>
      <c r="L12556" t="s">
        <v>15</v>
      </c>
    </row>
    <row r="12557" spans="1:12" x14ac:dyDescent="0.25">
      <c r="A12557" t="str">
        <f>"9151215733"</f>
        <v>9151215733</v>
      </c>
      <c r="B12557" t="str">
        <f t="shared" si="510"/>
        <v>89301000</v>
      </c>
      <c r="C12557" s="1">
        <v>44493</v>
      </c>
      <c r="D12557" s="1">
        <v>44495</v>
      </c>
      <c r="E12557">
        <v>1</v>
      </c>
      <c r="F12557" t="s">
        <v>75</v>
      </c>
      <c r="G12557" t="str">
        <f>"14-M01-05"</f>
        <v>14-M01-05</v>
      </c>
      <c r="H12557">
        <v>0.54239999999999999</v>
      </c>
      <c r="I12557" t="s">
        <v>76</v>
      </c>
      <c r="J12557" t="s">
        <v>59</v>
      </c>
      <c r="K12557" t="str">
        <f t="shared" ref="K12557:K12571" si="512">"6F3"</f>
        <v>6F3</v>
      </c>
      <c r="L12557" t="s">
        <v>15</v>
      </c>
    </row>
    <row r="12558" spans="1:12" x14ac:dyDescent="0.25">
      <c r="A12558" t="str">
        <f>"9151245708"</f>
        <v>9151245708</v>
      </c>
      <c r="B12558" t="str">
        <f t="shared" si="510"/>
        <v>89301000</v>
      </c>
      <c r="C12558" s="1">
        <v>44543</v>
      </c>
      <c r="D12558" s="1">
        <v>44546</v>
      </c>
      <c r="E12558">
        <v>1</v>
      </c>
      <c r="F12558" t="s">
        <v>61</v>
      </c>
      <c r="G12558" t="str">
        <f>"14-I01-05"</f>
        <v>14-I01-05</v>
      </c>
      <c r="H12558">
        <v>0.80030000000000001</v>
      </c>
      <c r="I12558" t="s">
        <v>91</v>
      </c>
      <c r="J12558" t="s">
        <v>59</v>
      </c>
      <c r="K12558" t="str">
        <f t="shared" si="512"/>
        <v>6F3</v>
      </c>
      <c r="L12558" t="s">
        <v>15</v>
      </c>
    </row>
    <row r="12559" spans="1:12" x14ac:dyDescent="0.25">
      <c r="A12559" t="str">
        <f>"9152156167"</f>
        <v>9152156167</v>
      </c>
      <c r="B12559" t="str">
        <f t="shared" si="510"/>
        <v>89301000</v>
      </c>
      <c r="C12559" s="1">
        <v>44510</v>
      </c>
      <c r="D12559" s="1">
        <v>44511</v>
      </c>
      <c r="E12559">
        <v>1</v>
      </c>
      <c r="F12559" t="s">
        <v>7041</v>
      </c>
      <c r="G12559" t="str">
        <f>"13-I19-00"</f>
        <v>13-I19-00</v>
      </c>
      <c r="H12559">
        <v>0.24679999999999999</v>
      </c>
      <c r="J12559" t="s">
        <v>14</v>
      </c>
      <c r="K12559" t="str">
        <f t="shared" si="512"/>
        <v>6F3</v>
      </c>
      <c r="L12559" t="s">
        <v>15</v>
      </c>
    </row>
    <row r="12560" spans="1:12" x14ac:dyDescent="0.25">
      <c r="A12560" t="str">
        <f>"9152205722"</f>
        <v>9152205722</v>
      </c>
      <c r="B12560" t="str">
        <f t="shared" si="510"/>
        <v>89301000</v>
      </c>
      <c r="C12560" s="1">
        <v>44534</v>
      </c>
      <c r="D12560" s="1">
        <v>44537</v>
      </c>
      <c r="E12560">
        <v>1</v>
      </c>
      <c r="F12560" t="s">
        <v>75</v>
      </c>
      <c r="G12560" t="str">
        <f t="shared" ref="G12560:G12565" si="513">"14-M01-05"</f>
        <v>14-M01-05</v>
      </c>
      <c r="H12560">
        <v>0.54239999999999999</v>
      </c>
      <c r="I12560" t="s">
        <v>76</v>
      </c>
      <c r="J12560" t="s">
        <v>59</v>
      </c>
      <c r="K12560" t="str">
        <f t="shared" si="512"/>
        <v>6F3</v>
      </c>
      <c r="L12560" t="s">
        <v>15</v>
      </c>
    </row>
    <row r="12561" spans="1:12" x14ac:dyDescent="0.25">
      <c r="A12561" t="str">
        <f>"9152215732"</f>
        <v>9152215732</v>
      </c>
      <c r="B12561" t="str">
        <f t="shared" si="510"/>
        <v>89301000</v>
      </c>
      <c r="C12561" s="1">
        <v>44461</v>
      </c>
      <c r="D12561" s="1">
        <v>44465</v>
      </c>
      <c r="E12561">
        <v>1</v>
      </c>
      <c r="F12561" t="s">
        <v>75</v>
      </c>
      <c r="G12561" t="str">
        <f t="shared" si="513"/>
        <v>14-M01-05</v>
      </c>
      <c r="H12561">
        <v>0.54239999999999999</v>
      </c>
      <c r="J12561" t="s">
        <v>59</v>
      </c>
      <c r="K12561" t="str">
        <f t="shared" si="512"/>
        <v>6F3</v>
      </c>
      <c r="L12561" t="s">
        <v>15</v>
      </c>
    </row>
    <row r="12562" spans="1:12" x14ac:dyDescent="0.25">
      <c r="A12562" t="str">
        <f>"9152225643"</f>
        <v>9152225643</v>
      </c>
      <c r="B12562" t="str">
        <f t="shared" si="510"/>
        <v>89301000</v>
      </c>
      <c r="C12562" s="1">
        <v>44297</v>
      </c>
      <c r="D12562" s="1">
        <v>44300</v>
      </c>
      <c r="E12562">
        <v>1</v>
      </c>
      <c r="F12562" t="s">
        <v>75</v>
      </c>
      <c r="G12562" t="str">
        <f t="shared" si="513"/>
        <v>14-M01-05</v>
      </c>
      <c r="H12562">
        <v>0.54239999999999999</v>
      </c>
      <c r="J12562" t="s">
        <v>59</v>
      </c>
      <c r="K12562" t="str">
        <f t="shared" si="512"/>
        <v>6F3</v>
      </c>
      <c r="L12562" t="s">
        <v>15</v>
      </c>
    </row>
    <row r="12563" spans="1:12" x14ac:dyDescent="0.25">
      <c r="A12563" t="str">
        <f>"9152255750"</f>
        <v>9152255750</v>
      </c>
      <c r="B12563" t="str">
        <f t="shared" si="510"/>
        <v>89301000</v>
      </c>
      <c r="C12563" s="1">
        <v>44302</v>
      </c>
      <c r="D12563" s="1">
        <v>44305</v>
      </c>
      <c r="E12563">
        <v>1</v>
      </c>
      <c r="F12563" t="s">
        <v>75</v>
      </c>
      <c r="G12563" t="str">
        <f t="shared" si="513"/>
        <v>14-M01-05</v>
      </c>
      <c r="H12563">
        <v>0.54239999999999999</v>
      </c>
      <c r="I12563" t="s">
        <v>180</v>
      </c>
      <c r="J12563" t="s">
        <v>59</v>
      </c>
      <c r="K12563" t="str">
        <f t="shared" si="512"/>
        <v>6F3</v>
      </c>
      <c r="L12563" t="s">
        <v>15</v>
      </c>
    </row>
    <row r="12564" spans="1:12" x14ac:dyDescent="0.25">
      <c r="A12564" t="str">
        <f>"9152266156"</f>
        <v>9152266156</v>
      </c>
      <c r="B12564" t="str">
        <f t="shared" si="510"/>
        <v>89301000</v>
      </c>
      <c r="C12564" s="1">
        <v>44309</v>
      </c>
      <c r="D12564" s="1">
        <v>44311</v>
      </c>
      <c r="E12564">
        <v>1</v>
      </c>
      <c r="F12564" t="s">
        <v>75</v>
      </c>
      <c r="G12564" t="str">
        <f t="shared" si="513"/>
        <v>14-M01-05</v>
      </c>
      <c r="H12564">
        <v>0.54239999999999999</v>
      </c>
      <c r="I12564" t="s">
        <v>7724</v>
      </c>
      <c r="J12564" t="s">
        <v>59</v>
      </c>
      <c r="K12564" t="str">
        <f t="shared" si="512"/>
        <v>6F3</v>
      </c>
      <c r="L12564" t="s">
        <v>15</v>
      </c>
    </row>
    <row r="12565" spans="1:12" x14ac:dyDescent="0.25">
      <c r="A12565" t="str">
        <f>"9153024859"</f>
        <v>9153024859</v>
      </c>
      <c r="B12565" t="str">
        <f t="shared" si="510"/>
        <v>89301000</v>
      </c>
      <c r="C12565" s="1">
        <v>44443</v>
      </c>
      <c r="D12565" s="1">
        <v>44447</v>
      </c>
      <c r="E12565">
        <v>1</v>
      </c>
      <c r="F12565" t="s">
        <v>112</v>
      </c>
      <c r="G12565" t="str">
        <f t="shared" si="513"/>
        <v>14-M01-05</v>
      </c>
      <c r="H12565">
        <v>0.54239999999999999</v>
      </c>
      <c r="I12565" t="s">
        <v>7896</v>
      </c>
      <c r="J12565" t="s">
        <v>59</v>
      </c>
      <c r="K12565" t="str">
        <f t="shared" si="512"/>
        <v>6F3</v>
      </c>
      <c r="L12565" t="s">
        <v>15</v>
      </c>
    </row>
    <row r="12566" spans="1:12" x14ac:dyDescent="0.25">
      <c r="A12566" t="str">
        <f>"9153065724"</f>
        <v>9153065724</v>
      </c>
      <c r="B12566" t="str">
        <f t="shared" si="510"/>
        <v>89301000</v>
      </c>
      <c r="C12566" s="1">
        <v>44413</v>
      </c>
      <c r="D12566" s="1">
        <v>44414</v>
      </c>
      <c r="E12566">
        <v>1</v>
      </c>
      <c r="F12566" t="s">
        <v>7789</v>
      </c>
      <c r="G12566" t="str">
        <f>"14-K02-00"</f>
        <v>14-K02-00</v>
      </c>
      <c r="H12566">
        <v>0.1754</v>
      </c>
      <c r="J12566" t="s">
        <v>14</v>
      </c>
      <c r="K12566" t="str">
        <f t="shared" si="512"/>
        <v>6F3</v>
      </c>
      <c r="L12566" t="s">
        <v>15</v>
      </c>
    </row>
    <row r="12567" spans="1:12" x14ac:dyDescent="0.25">
      <c r="A12567" t="str">
        <f>"9153125729"</f>
        <v>9153125729</v>
      </c>
      <c r="B12567" t="str">
        <f t="shared" si="510"/>
        <v>89301000</v>
      </c>
      <c r="C12567" s="1">
        <v>44265</v>
      </c>
      <c r="D12567" s="1">
        <v>44271</v>
      </c>
      <c r="E12567">
        <v>1</v>
      </c>
      <c r="F12567" t="s">
        <v>8031</v>
      </c>
      <c r="G12567" t="str">
        <f>"14-M01-01"</f>
        <v>14-M01-01</v>
      </c>
      <c r="H12567">
        <v>0.88780000000000003</v>
      </c>
      <c r="I12567" t="s">
        <v>8067</v>
      </c>
      <c r="J12567" t="s">
        <v>59</v>
      </c>
      <c r="K12567" t="str">
        <f t="shared" si="512"/>
        <v>6F3</v>
      </c>
      <c r="L12567" t="s">
        <v>15</v>
      </c>
    </row>
    <row r="12568" spans="1:12" x14ac:dyDescent="0.25">
      <c r="A12568" t="str">
        <f>"9153165967"</f>
        <v>9153165967</v>
      </c>
      <c r="B12568" t="str">
        <f t="shared" si="510"/>
        <v>89301000</v>
      </c>
      <c r="C12568" s="1">
        <v>44436</v>
      </c>
      <c r="D12568" s="1">
        <v>44439</v>
      </c>
      <c r="E12568">
        <v>1</v>
      </c>
      <c r="F12568" t="s">
        <v>75</v>
      </c>
      <c r="G12568" t="str">
        <f>"14-M01-05"</f>
        <v>14-M01-05</v>
      </c>
      <c r="H12568">
        <v>0.54239999999999999</v>
      </c>
      <c r="I12568" t="s">
        <v>7705</v>
      </c>
      <c r="J12568" t="s">
        <v>59</v>
      </c>
      <c r="K12568" t="str">
        <f t="shared" si="512"/>
        <v>6F3</v>
      </c>
      <c r="L12568" t="s">
        <v>15</v>
      </c>
    </row>
    <row r="12569" spans="1:12" x14ac:dyDescent="0.25">
      <c r="A12569" t="str">
        <f>"9153175702"</f>
        <v>9153175702</v>
      </c>
      <c r="B12569" t="str">
        <f t="shared" si="510"/>
        <v>89301000</v>
      </c>
      <c r="C12569" s="1">
        <v>44484</v>
      </c>
      <c r="D12569" s="1">
        <v>44487</v>
      </c>
      <c r="E12569">
        <v>1</v>
      </c>
      <c r="F12569" t="s">
        <v>75</v>
      </c>
      <c r="G12569" t="str">
        <f>"14-M01-05"</f>
        <v>14-M01-05</v>
      </c>
      <c r="H12569">
        <v>0.54239999999999999</v>
      </c>
      <c r="I12569" t="s">
        <v>7590</v>
      </c>
      <c r="J12569" t="s">
        <v>59</v>
      </c>
      <c r="K12569" t="str">
        <f t="shared" si="512"/>
        <v>6F3</v>
      </c>
      <c r="L12569" t="s">
        <v>15</v>
      </c>
    </row>
    <row r="12570" spans="1:12" x14ac:dyDescent="0.25">
      <c r="A12570" t="str">
        <f>"9153205743"</f>
        <v>9153205743</v>
      </c>
      <c r="B12570" t="str">
        <f t="shared" ref="B12570:B12633" si="514">"89301000"</f>
        <v>89301000</v>
      </c>
      <c r="C12570" s="1">
        <v>44297</v>
      </c>
      <c r="D12570" s="1">
        <v>44299</v>
      </c>
      <c r="E12570">
        <v>1</v>
      </c>
      <c r="F12570" t="s">
        <v>75</v>
      </c>
      <c r="G12570" t="str">
        <f>"14-M01-05"</f>
        <v>14-M01-05</v>
      </c>
      <c r="H12570">
        <v>0.54239999999999999</v>
      </c>
      <c r="J12570" t="s">
        <v>59</v>
      </c>
      <c r="K12570" t="str">
        <f t="shared" si="512"/>
        <v>6F3</v>
      </c>
      <c r="L12570" t="s">
        <v>15</v>
      </c>
    </row>
    <row r="12571" spans="1:12" x14ac:dyDescent="0.25">
      <c r="A12571" t="str">
        <f>"9153206161"</f>
        <v>9153206161</v>
      </c>
      <c r="B12571" t="str">
        <f t="shared" si="514"/>
        <v>89301000</v>
      </c>
      <c r="C12571" s="1">
        <v>44313</v>
      </c>
      <c r="D12571" s="1">
        <v>44318</v>
      </c>
      <c r="E12571">
        <v>1</v>
      </c>
      <c r="F12571" t="s">
        <v>61</v>
      </c>
      <c r="G12571" t="str">
        <f>"14-I01-05"</f>
        <v>14-I01-05</v>
      </c>
      <c r="H12571">
        <v>0.80030000000000001</v>
      </c>
      <c r="I12571" t="s">
        <v>7572</v>
      </c>
      <c r="J12571" t="s">
        <v>59</v>
      </c>
      <c r="K12571" t="str">
        <f t="shared" si="512"/>
        <v>6F3</v>
      </c>
      <c r="L12571" t="s">
        <v>15</v>
      </c>
    </row>
    <row r="12572" spans="1:12" x14ac:dyDescent="0.25">
      <c r="A12572" t="str">
        <f>"9153265770"</f>
        <v>9153265770</v>
      </c>
      <c r="B12572" t="str">
        <f t="shared" si="514"/>
        <v>89301000</v>
      </c>
      <c r="C12572" s="1">
        <v>44346</v>
      </c>
      <c r="D12572" s="1">
        <v>44350</v>
      </c>
      <c r="E12572">
        <v>1</v>
      </c>
      <c r="F12572" t="s">
        <v>98</v>
      </c>
      <c r="G12572" t="str">
        <f>"19-K02-03"</f>
        <v>19-K02-03</v>
      </c>
      <c r="H12572">
        <v>0.67269999999999996</v>
      </c>
      <c r="I12572" t="s">
        <v>8068</v>
      </c>
      <c r="J12572" t="s">
        <v>27</v>
      </c>
      <c r="K12572" t="str">
        <f>"3F5"</f>
        <v>3F5</v>
      </c>
      <c r="L12572" t="s">
        <v>15</v>
      </c>
    </row>
    <row r="12573" spans="1:12" x14ac:dyDescent="0.25">
      <c r="A12573" t="str">
        <f>"9153266232"</f>
        <v>9153266232</v>
      </c>
      <c r="B12573" t="str">
        <f t="shared" si="514"/>
        <v>89301000</v>
      </c>
      <c r="C12573" s="1">
        <v>44228</v>
      </c>
      <c r="D12573" s="1">
        <v>44232</v>
      </c>
      <c r="E12573">
        <v>1</v>
      </c>
      <c r="F12573" t="s">
        <v>61</v>
      </c>
      <c r="G12573" t="str">
        <f>"14-I01-05"</f>
        <v>14-I01-05</v>
      </c>
      <c r="H12573">
        <v>0.80030000000000001</v>
      </c>
      <c r="I12573" t="s">
        <v>8069</v>
      </c>
      <c r="J12573" t="s">
        <v>59</v>
      </c>
      <c r="K12573" t="str">
        <f t="shared" ref="K12573:K12583" si="515">"6F3"</f>
        <v>6F3</v>
      </c>
      <c r="L12573" t="s">
        <v>15</v>
      </c>
    </row>
    <row r="12574" spans="1:12" x14ac:dyDescent="0.25">
      <c r="A12574" t="str">
        <f>"9154095731"</f>
        <v>9154095731</v>
      </c>
      <c r="B12574" t="str">
        <f t="shared" si="514"/>
        <v>89301000</v>
      </c>
      <c r="C12574" s="1">
        <v>44470</v>
      </c>
      <c r="D12574" s="1">
        <v>44473</v>
      </c>
      <c r="E12574">
        <v>1</v>
      </c>
      <c r="F12574" t="s">
        <v>75</v>
      </c>
      <c r="G12574" t="str">
        <f>"14-M01-05"</f>
        <v>14-M01-05</v>
      </c>
      <c r="H12574">
        <v>0.54239999999999999</v>
      </c>
      <c r="I12574" t="s">
        <v>76</v>
      </c>
      <c r="J12574" t="s">
        <v>59</v>
      </c>
      <c r="K12574" t="str">
        <f t="shared" si="515"/>
        <v>6F3</v>
      </c>
      <c r="L12574" t="s">
        <v>15</v>
      </c>
    </row>
    <row r="12575" spans="1:12" x14ac:dyDescent="0.25">
      <c r="A12575" t="str">
        <f>"9154096072"</f>
        <v>9154096072</v>
      </c>
      <c r="B12575" t="str">
        <f t="shared" si="514"/>
        <v>89301000</v>
      </c>
      <c r="C12575" s="1">
        <v>44480</v>
      </c>
      <c r="D12575" s="1">
        <v>44483</v>
      </c>
      <c r="E12575">
        <v>1</v>
      </c>
      <c r="F12575" t="s">
        <v>7789</v>
      </c>
      <c r="G12575" t="str">
        <f>"14-K02-00"</f>
        <v>14-K02-00</v>
      </c>
      <c r="H12575">
        <v>0.1754</v>
      </c>
      <c r="J12575" t="s">
        <v>14</v>
      </c>
      <c r="K12575" t="str">
        <f t="shared" si="515"/>
        <v>6F3</v>
      </c>
      <c r="L12575" t="s">
        <v>15</v>
      </c>
    </row>
    <row r="12576" spans="1:12" x14ac:dyDescent="0.25">
      <c r="A12576" t="str">
        <f>"9154104850"</f>
        <v>9154104850</v>
      </c>
      <c r="B12576" t="str">
        <f t="shared" si="514"/>
        <v>89301000</v>
      </c>
      <c r="C12576" s="1">
        <v>44328</v>
      </c>
      <c r="D12576" s="1">
        <v>44332</v>
      </c>
      <c r="E12576">
        <v>1</v>
      </c>
      <c r="F12576" t="s">
        <v>75</v>
      </c>
      <c r="G12576" t="str">
        <f>"14-M01-01"</f>
        <v>14-M01-01</v>
      </c>
      <c r="H12576">
        <v>0.88219999999999998</v>
      </c>
      <c r="I12576" t="s">
        <v>8070</v>
      </c>
      <c r="J12576" t="s">
        <v>59</v>
      </c>
      <c r="K12576" t="str">
        <f t="shared" si="515"/>
        <v>6F3</v>
      </c>
      <c r="L12576" t="s">
        <v>15</v>
      </c>
    </row>
    <row r="12577" spans="1:12" x14ac:dyDescent="0.25">
      <c r="A12577" t="str">
        <f>"9154115729"</f>
        <v>9154115729</v>
      </c>
      <c r="B12577" t="str">
        <f t="shared" si="514"/>
        <v>89301000</v>
      </c>
      <c r="C12577" s="1">
        <v>44305</v>
      </c>
      <c r="D12577" s="1">
        <v>44309</v>
      </c>
      <c r="E12577">
        <v>1</v>
      </c>
      <c r="F12577" t="s">
        <v>75</v>
      </c>
      <c r="G12577" t="str">
        <f>"14-M01-01"</f>
        <v>14-M01-01</v>
      </c>
      <c r="H12577">
        <v>0.88729999999999998</v>
      </c>
      <c r="I12577" t="s">
        <v>8071</v>
      </c>
      <c r="J12577" t="s">
        <v>59</v>
      </c>
      <c r="K12577" t="str">
        <f t="shared" si="515"/>
        <v>6F3</v>
      </c>
      <c r="L12577" t="s">
        <v>15</v>
      </c>
    </row>
    <row r="12578" spans="1:12" x14ac:dyDescent="0.25">
      <c r="A12578" t="str">
        <f>"9154205720"</f>
        <v>9154205720</v>
      </c>
      <c r="B12578" t="str">
        <f t="shared" si="514"/>
        <v>89301000</v>
      </c>
      <c r="C12578" s="1">
        <v>44273</v>
      </c>
      <c r="D12578" s="1">
        <v>44278</v>
      </c>
      <c r="E12578">
        <v>1</v>
      </c>
      <c r="F12578" t="s">
        <v>7910</v>
      </c>
      <c r="G12578" t="str">
        <f>"13-K02-00"</f>
        <v>13-K02-00</v>
      </c>
      <c r="H12578">
        <v>0.24079999999999999</v>
      </c>
      <c r="J12578" t="s">
        <v>14</v>
      </c>
      <c r="K12578" t="str">
        <f t="shared" si="515"/>
        <v>6F3</v>
      </c>
      <c r="L12578" t="s">
        <v>15</v>
      </c>
    </row>
    <row r="12579" spans="1:12" x14ac:dyDescent="0.25">
      <c r="A12579" t="str">
        <f>"9154215719"</f>
        <v>9154215719</v>
      </c>
      <c r="B12579" t="str">
        <f t="shared" si="514"/>
        <v>89301000</v>
      </c>
      <c r="C12579" s="1">
        <v>44355</v>
      </c>
      <c r="D12579" s="1">
        <v>44360</v>
      </c>
      <c r="E12579">
        <v>1</v>
      </c>
      <c r="F12579" t="s">
        <v>7895</v>
      </c>
      <c r="G12579" t="str">
        <f>"14-M01-05"</f>
        <v>14-M01-05</v>
      </c>
      <c r="H12579">
        <v>0.54239999999999999</v>
      </c>
      <c r="I12579" t="s">
        <v>8072</v>
      </c>
      <c r="J12579" t="s">
        <v>59</v>
      </c>
      <c r="K12579" t="str">
        <f t="shared" si="515"/>
        <v>6F3</v>
      </c>
      <c r="L12579" t="s">
        <v>15</v>
      </c>
    </row>
    <row r="12580" spans="1:12" x14ac:dyDescent="0.25">
      <c r="A12580" t="str">
        <f>"9154215741"</f>
        <v>9154215741</v>
      </c>
      <c r="B12580" t="str">
        <f t="shared" si="514"/>
        <v>89301000</v>
      </c>
      <c r="C12580" s="1">
        <v>44323</v>
      </c>
      <c r="D12580" s="1">
        <v>44325</v>
      </c>
      <c r="E12580">
        <v>1</v>
      </c>
      <c r="F12580" t="s">
        <v>75</v>
      </c>
      <c r="G12580" t="str">
        <f>"14-M01-05"</f>
        <v>14-M01-05</v>
      </c>
      <c r="H12580">
        <v>0.54239999999999999</v>
      </c>
      <c r="I12580" t="s">
        <v>7569</v>
      </c>
      <c r="J12580" t="s">
        <v>59</v>
      </c>
      <c r="K12580" t="str">
        <f t="shared" si="515"/>
        <v>6F3</v>
      </c>
      <c r="L12580" t="s">
        <v>15</v>
      </c>
    </row>
    <row r="12581" spans="1:12" x14ac:dyDescent="0.25">
      <c r="A12581" t="str">
        <f>"9154235739"</f>
        <v>9154235739</v>
      </c>
      <c r="B12581" t="str">
        <f t="shared" si="514"/>
        <v>89301000</v>
      </c>
      <c r="C12581" s="1">
        <v>44229</v>
      </c>
      <c r="D12581" s="1">
        <v>44233</v>
      </c>
      <c r="E12581">
        <v>1</v>
      </c>
      <c r="F12581" t="s">
        <v>75</v>
      </c>
      <c r="G12581" t="str">
        <f>"14-M01-05"</f>
        <v>14-M01-05</v>
      </c>
      <c r="H12581">
        <v>0.54239999999999999</v>
      </c>
      <c r="I12581" t="s">
        <v>7637</v>
      </c>
      <c r="J12581" t="s">
        <v>59</v>
      </c>
      <c r="K12581" t="str">
        <f t="shared" si="515"/>
        <v>6F3</v>
      </c>
      <c r="L12581" t="s">
        <v>15</v>
      </c>
    </row>
    <row r="12582" spans="1:12" x14ac:dyDescent="0.25">
      <c r="A12582" t="str">
        <f>"9154236190"</f>
        <v>9154236190</v>
      </c>
      <c r="B12582" t="str">
        <f t="shared" si="514"/>
        <v>89301000</v>
      </c>
      <c r="C12582" s="1">
        <v>44377</v>
      </c>
      <c r="D12582" s="1">
        <v>44380</v>
      </c>
      <c r="E12582">
        <v>1</v>
      </c>
      <c r="F12582" t="s">
        <v>75</v>
      </c>
      <c r="G12582" t="str">
        <f>"14-M01-05"</f>
        <v>14-M01-05</v>
      </c>
      <c r="H12582">
        <v>0.54239999999999999</v>
      </c>
      <c r="I12582" t="s">
        <v>256</v>
      </c>
      <c r="J12582" t="s">
        <v>59</v>
      </c>
      <c r="K12582" t="str">
        <f t="shared" si="515"/>
        <v>6F3</v>
      </c>
      <c r="L12582" t="s">
        <v>15</v>
      </c>
    </row>
    <row r="12583" spans="1:12" x14ac:dyDescent="0.25">
      <c r="A12583" t="str">
        <f>"9154285723"</f>
        <v>9154285723</v>
      </c>
      <c r="B12583" t="str">
        <f t="shared" si="514"/>
        <v>89301000</v>
      </c>
      <c r="C12583" s="1">
        <v>44317</v>
      </c>
      <c r="D12583" s="1">
        <v>44323</v>
      </c>
      <c r="E12583">
        <v>1</v>
      </c>
      <c r="F12583" t="s">
        <v>82</v>
      </c>
      <c r="G12583" t="str">
        <f>"14-I01-02"</f>
        <v>14-I01-02</v>
      </c>
      <c r="H12583">
        <v>1.1289</v>
      </c>
      <c r="I12583" t="s">
        <v>7784</v>
      </c>
      <c r="J12583" t="s">
        <v>59</v>
      </c>
      <c r="K12583" t="str">
        <f t="shared" si="515"/>
        <v>6F3</v>
      </c>
      <c r="L12583" t="s">
        <v>15</v>
      </c>
    </row>
    <row r="12584" spans="1:12" x14ac:dyDescent="0.25">
      <c r="A12584" t="str">
        <f>"9155076194"</f>
        <v>9155076194</v>
      </c>
      <c r="B12584" t="str">
        <f t="shared" si="514"/>
        <v>89301000</v>
      </c>
      <c r="C12584" s="1">
        <v>44514</v>
      </c>
      <c r="D12584" s="1">
        <v>44517</v>
      </c>
      <c r="E12584">
        <v>1</v>
      </c>
      <c r="F12584" t="s">
        <v>12</v>
      </c>
      <c r="G12584" t="str">
        <f>"03-I14-02"</f>
        <v>03-I14-02</v>
      </c>
      <c r="H12584">
        <v>1.1086</v>
      </c>
      <c r="I12584" t="s">
        <v>547</v>
      </c>
      <c r="J12584" t="s">
        <v>14</v>
      </c>
      <c r="K12584" t="str">
        <f>"7F1"</f>
        <v>7F1</v>
      </c>
      <c r="L12584" t="s">
        <v>15</v>
      </c>
    </row>
    <row r="12585" spans="1:12" x14ac:dyDescent="0.25">
      <c r="A12585" t="str">
        <f>"9155085709"</f>
        <v>9155085709</v>
      </c>
      <c r="B12585" t="str">
        <f t="shared" si="514"/>
        <v>89301000</v>
      </c>
      <c r="C12585" s="1">
        <v>44356</v>
      </c>
      <c r="D12585" s="1">
        <v>44372</v>
      </c>
      <c r="E12585">
        <v>1</v>
      </c>
      <c r="F12585" t="s">
        <v>1039</v>
      </c>
      <c r="G12585" t="str">
        <f>"16-C02-00"</f>
        <v>16-C02-00</v>
      </c>
      <c r="H12585">
        <v>4.7362000000000002</v>
      </c>
      <c r="I12585" t="s">
        <v>8073</v>
      </c>
      <c r="J12585" t="s">
        <v>14</v>
      </c>
      <c r="K12585" t="str">
        <f>"2F2"</f>
        <v>2F2</v>
      </c>
      <c r="L12585" t="s">
        <v>15</v>
      </c>
    </row>
    <row r="12586" spans="1:12" x14ac:dyDescent="0.25">
      <c r="A12586" t="str">
        <f>"9155094432"</f>
        <v>9155094432</v>
      </c>
      <c r="B12586" t="str">
        <f t="shared" si="514"/>
        <v>89301000</v>
      </c>
      <c r="C12586" s="1">
        <v>44244</v>
      </c>
      <c r="D12586" s="1">
        <v>44257</v>
      </c>
      <c r="E12586">
        <v>1</v>
      </c>
      <c r="F12586" t="s">
        <v>79</v>
      </c>
      <c r="G12586" t="str">
        <f>"10-R02-01"</f>
        <v>10-R02-01</v>
      </c>
      <c r="H12586">
        <v>1.1281000000000001</v>
      </c>
      <c r="I12586" t="s">
        <v>80</v>
      </c>
      <c r="J12586" t="s">
        <v>24</v>
      </c>
      <c r="K12586" t="str">
        <f>"4F7"</f>
        <v>4F7</v>
      </c>
      <c r="L12586" t="s">
        <v>15</v>
      </c>
    </row>
    <row r="12587" spans="1:12" x14ac:dyDescent="0.25">
      <c r="A12587" t="str">
        <f>"9155096082"</f>
        <v>9155096082</v>
      </c>
      <c r="B12587" t="str">
        <f t="shared" si="514"/>
        <v>89301000</v>
      </c>
      <c r="C12587" s="1">
        <v>44255</v>
      </c>
      <c r="D12587" s="1">
        <v>44260</v>
      </c>
      <c r="E12587">
        <v>1</v>
      </c>
      <c r="F12587" t="s">
        <v>112</v>
      </c>
      <c r="G12587" t="str">
        <f>"14-M01-05"</f>
        <v>14-M01-05</v>
      </c>
      <c r="H12587">
        <v>0.54239999999999999</v>
      </c>
      <c r="I12587" t="s">
        <v>8074</v>
      </c>
      <c r="J12587" t="s">
        <v>59</v>
      </c>
      <c r="K12587" t="str">
        <f>"6F3"</f>
        <v>6F3</v>
      </c>
      <c r="L12587" t="s">
        <v>15</v>
      </c>
    </row>
    <row r="12588" spans="1:12" x14ac:dyDescent="0.25">
      <c r="A12588" t="str">
        <f>"9155185380"</f>
        <v>9155185380</v>
      </c>
      <c r="B12588" t="str">
        <f t="shared" si="514"/>
        <v>89301000</v>
      </c>
      <c r="C12588" s="1">
        <v>44283</v>
      </c>
      <c r="D12588" s="1">
        <v>44286</v>
      </c>
      <c r="E12588">
        <v>1</v>
      </c>
      <c r="F12588" t="s">
        <v>75</v>
      </c>
      <c r="G12588" t="str">
        <f>"14-M01-05"</f>
        <v>14-M01-05</v>
      </c>
      <c r="H12588">
        <v>0.54239999999999999</v>
      </c>
      <c r="I12588" t="s">
        <v>7706</v>
      </c>
      <c r="J12588" t="s">
        <v>59</v>
      </c>
      <c r="K12588" t="str">
        <f>"6F3"</f>
        <v>6F3</v>
      </c>
      <c r="L12588" t="s">
        <v>15</v>
      </c>
    </row>
    <row r="12589" spans="1:12" x14ac:dyDescent="0.25">
      <c r="A12589" t="str">
        <f>"9155254768"</f>
        <v>9155254768</v>
      </c>
      <c r="B12589" t="str">
        <f t="shared" si="514"/>
        <v>89301000</v>
      </c>
      <c r="C12589" s="1">
        <v>44389</v>
      </c>
      <c r="D12589" s="1">
        <v>44391</v>
      </c>
      <c r="E12589">
        <v>1</v>
      </c>
      <c r="F12589" t="s">
        <v>7381</v>
      </c>
      <c r="G12589" t="str">
        <f>"08-I26-03"</f>
        <v>08-I26-03</v>
      </c>
      <c r="H12589">
        <v>0.45679999999999998</v>
      </c>
      <c r="J12589" t="s">
        <v>14</v>
      </c>
      <c r="K12589" t="str">
        <f>"6F6"</f>
        <v>6F6</v>
      </c>
      <c r="L12589" t="s">
        <v>15</v>
      </c>
    </row>
    <row r="12590" spans="1:12" x14ac:dyDescent="0.25">
      <c r="A12590" t="str">
        <f>"9155305731"</f>
        <v>9155305731</v>
      </c>
      <c r="B12590" t="str">
        <f t="shared" si="514"/>
        <v>89301000</v>
      </c>
      <c r="C12590" s="1">
        <v>44498</v>
      </c>
      <c r="D12590" s="1">
        <v>44502</v>
      </c>
      <c r="E12590">
        <v>1</v>
      </c>
      <c r="F12590" t="s">
        <v>112</v>
      </c>
      <c r="G12590" t="str">
        <f>"14-M01-05"</f>
        <v>14-M01-05</v>
      </c>
      <c r="H12590">
        <v>0.54239999999999999</v>
      </c>
      <c r="I12590" t="s">
        <v>8075</v>
      </c>
      <c r="J12590" t="s">
        <v>59</v>
      </c>
      <c r="K12590" t="str">
        <f>"6F3"</f>
        <v>6F3</v>
      </c>
      <c r="L12590" t="s">
        <v>15</v>
      </c>
    </row>
    <row r="12591" spans="1:12" x14ac:dyDescent="0.25">
      <c r="A12591" t="str">
        <f>"9155305775"</f>
        <v>9155305775</v>
      </c>
      <c r="B12591" t="str">
        <f t="shared" si="514"/>
        <v>89301000</v>
      </c>
      <c r="C12591" s="1">
        <v>44294</v>
      </c>
      <c r="D12591" s="1">
        <v>44300</v>
      </c>
      <c r="E12591">
        <v>1</v>
      </c>
      <c r="F12591" t="s">
        <v>130</v>
      </c>
      <c r="G12591" t="str">
        <f>"19-K02-03"</f>
        <v>19-K02-03</v>
      </c>
      <c r="H12591">
        <v>0.67269999999999996</v>
      </c>
      <c r="I12591" t="s">
        <v>8076</v>
      </c>
      <c r="J12591" t="s">
        <v>27</v>
      </c>
      <c r="K12591" t="str">
        <f>"3F5"</f>
        <v>3F5</v>
      </c>
      <c r="L12591" t="s">
        <v>15</v>
      </c>
    </row>
    <row r="12592" spans="1:12" x14ac:dyDescent="0.25">
      <c r="A12592" t="str">
        <f>"9156084850"</f>
        <v>9156084850</v>
      </c>
      <c r="B12592" t="str">
        <f t="shared" si="514"/>
        <v>89301000</v>
      </c>
      <c r="C12592" s="1">
        <v>44347</v>
      </c>
      <c r="D12592" s="1">
        <v>44351</v>
      </c>
      <c r="E12592">
        <v>1</v>
      </c>
      <c r="F12592" t="s">
        <v>116</v>
      </c>
      <c r="G12592" t="str">
        <f>"14-M01-05"</f>
        <v>14-M01-05</v>
      </c>
      <c r="H12592">
        <v>0.54239999999999999</v>
      </c>
      <c r="I12592" t="s">
        <v>7108</v>
      </c>
      <c r="J12592" t="s">
        <v>59</v>
      </c>
      <c r="K12592" t="str">
        <f>"6F3"</f>
        <v>6F3</v>
      </c>
      <c r="L12592" t="s">
        <v>15</v>
      </c>
    </row>
    <row r="12593" spans="1:12" x14ac:dyDescent="0.25">
      <c r="A12593" t="str">
        <f>"9156084850"</f>
        <v>9156084850</v>
      </c>
      <c r="B12593" t="str">
        <f t="shared" si="514"/>
        <v>89301000</v>
      </c>
      <c r="C12593" s="1">
        <v>44311</v>
      </c>
      <c r="D12593" s="1">
        <v>44314</v>
      </c>
      <c r="E12593">
        <v>1</v>
      </c>
      <c r="F12593" t="s">
        <v>60</v>
      </c>
      <c r="G12593" t="str">
        <f>"14-K03-02"</f>
        <v>14-K03-02</v>
      </c>
      <c r="H12593">
        <v>0.2646</v>
      </c>
      <c r="I12593" t="s">
        <v>7587</v>
      </c>
      <c r="J12593" t="s">
        <v>14</v>
      </c>
      <c r="K12593" t="str">
        <f>"6F3"</f>
        <v>6F3</v>
      </c>
      <c r="L12593" t="s">
        <v>15</v>
      </c>
    </row>
    <row r="12594" spans="1:12" x14ac:dyDescent="0.25">
      <c r="A12594" t="str">
        <f>"9156086148"</f>
        <v>9156086148</v>
      </c>
      <c r="B12594" t="str">
        <f t="shared" si="514"/>
        <v>89301000</v>
      </c>
      <c r="C12594" s="1">
        <v>44332</v>
      </c>
      <c r="D12594" s="1">
        <v>44334</v>
      </c>
      <c r="E12594">
        <v>1</v>
      </c>
      <c r="F12594" t="s">
        <v>75</v>
      </c>
      <c r="G12594" t="str">
        <f>"14-M01-05"</f>
        <v>14-M01-05</v>
      </c>
      <c r="H12594">
        <v>0.54239999999999999</v>
      </c>
      <c r="I12594" t="s">
        <v>117</v>
      </c>
      <c r="J12594" t="s">
        <v>59</v>
      </c>
      <c r="K12594" t="str">
        <f>"6F3"</f>
        <v>6F3</v>
      </c>
      <c r="L12594" t="s">
        <v>15</v>
      </c>
    </row>
    <row r="12595" spans="1:12" x14ac:dyDescent="0.25">
      <c r="A12595" t="str">
        <f>"9156095718"</f>
        <v>9156095718</v>
      </c>
      <c r="B12595" t="str">
        <f t="shared" si="514"/>
        <v>89301000</v>
      </c>
      <c r="C12595" s="1">
        <v>44457</v>
      </c>
      <c r="D12595" s="1">
        <v>44460</v>
      </c>
      <c r="E12595">
        <v>1</v>
      </c>
      <c r="F12595" t="s">
        <v>75</v>
      </c>
      <c r="G12595" t="str">
        <f>"14-M01-05"</f>
        <v>14-M01-05</v>
      </c>
      <c r="H12595">
        <v>0.54239999999999999</v>
      </c>
      <c r="I12595" t="s">
        <v>7691</v>
      </c>
      <c r="J12595" t="s">
        <v>59</v>
      </c>
      <c r="K12595" t="str">
        <f>"6F3"</f>
        <v>6F3</v>
      </c>
      <c r="L12595" t="s">
        <v>15</v>
      </c>
    </row>
    <row r="12596" spans="1:12" x14ac:dyDescent="0.25">
      <c r="A12596" t="str">
        <f>"9156135791"</f>
        <v>9156135791</v>
      </c>
      <c r="B12596" t="str">
        <f t="shared" si="514"/>
        <v>89301000</v>
      </c>
      <c r="C12596" s="1">
        <v>44214</v>
      </c>
      <c r="D12596" s="1">
        <v>44215</v>
      </c>
      <c r="E12596">
        <v>6</v>
      </c>
      <c r="F12596" t="s">
        <v>75</v>
      </c>
      <c r="G12596" t="str">
        <f>"14-M01-05"</f>
        <v>14-M01-05</v>
      </c>
      <c r="H12596">
        <v>0.54239999999999999</v>
      </c>
      <c r="J12596" t="s">
        <v>59</v>
      </c>
      <c r="K12596" t="str">
        <f>"6F3"</f>
        <v>6F3</v>
      </c>
      <c r="L12596" t="s">
        <v>15</v>
      </c>
    </row>
    <row r="12597" spans="1:12" x14ac:dyDescent="0.25">
      <c r="A12597" t="str">
        <f>"9156144283"</f>
        <v>9156144283</v>
      </c>
      <c r="B12597" t="str">
        <f t="shared" si="514"/>
        <v>89301000</v>
      </c>
      <c r="C12597" s="1">
        <v>44321</v>
      </c>
      <c r="D12597" s="1">
        <v>44323</v>
      </c>
      <c r="E12597">
        <v>1</v>
      </c>
      <c r="F12597" t="s">
        <v>8077</v>
      </c>
      <c r="G12597" t="str">
        <f>"04-K07-03"</f>
        <v>04-K07-03</v>
      </c>
      <c r="H12597">
        <v>0.66259999999999997</v>
      </c>
      <c r="J12597" t="s">
        <v>14</v>
      </c>
      <c r="K12597" t="str">
        <f>"2F5"</f>
        <v>2F5</v>
      </c>
      <c r="L12597" t="s">
        <v>15</v>
      </c>
    </row>
    <row r="12598" spans="1:12" x14ac:dyDescent="0.25">
      <c r="A12598" t="str">
        <f>"9156244856"</f>
        <v>9156244856</v>
      </c>
      <c r="B12598" t="str">
        <f t="shared" si="514"/>
        <v>89301000</v>
      </c>
      <c r="C12598" s="1">
        <v>44482</v>
      </c>
      <c r="D12598" s="1">
        <v>44483</v>
      </c>
      <c r="E12598">
        <v>1</v>
      </c>
      <c r="F12598" t="s">
        <v>767</v>
      </c>
      <c r="G12598" t="str">
        <f>"03-I22-03"</f>
        <v>03-I22-03</v>
      </c>
      <c r="H12598">
        <v>0.49049999999999999</v>
      </c>
      <c r="J12598" t="s">
        <v>14</v>
      </c>
      <c r="K12598" t="str">
        <f>"7F1"</f>
        <v>7F1</v>
      </c>
      <c r="L12598" t="s">
        <v>15</v>
      </c>
    </row>
    <row r="12599" spans="1:12" x14ac:dyDescent="0.25">
      <c r="A12599" t="str">
        <f>"9156265712"</f>
        <v>9156265712</v>
      </c>
      <c r="B12599" t="str">
        <f t="shared" si="514"/>
        <v>89301000</v>
      </c>
      <c r="C12599" s="1">
        <v>44504</v>
      </c>
      <c r="D12599" s="1">
        <v>44505</v>
      </c>
      <c r="E12599">
        <v>1</v>
      </c>
      <c r="F12599" t="s">
        <v>75</v>
      </c>
      <c r="G12599" t="str">
        <f>"14-M01-05"</f>
        <v>14-M01-05</v>
      </c>
      <c r="H12599">
        <v>0.54239999999999999</v>
      </c>
      <c r="I12599" t="s">
        <v>7866</v>
      </c>
      <c r="J12599" t="s">
        <v>59</v>
      </c>
      <c r="K12599" t="str">
        <f>"6F3"</f>
        <v>6F3</v>
      </c>
      <c r="L12599" t="s">
        <v>15</v>
      </c>
    </row>
    <row r="12600" spans="1:12" x14ac:dyDescent="0.25">
      <c r="A12600" t="str">
        <f>"9156265723"</f>
        <v>9156265723</v>
      </c>
      <c r="B12600" t="str">
        <f t="shared" si="514"/>
        <v>89301000</v>
      </c>
      <c r="C12600" s="1">
        <v>44351</v>
      </c>
      <c r="D12600" s="1">
        <v>44355</v>
      </c>
      <c r="E12600">
        <v>1</v>
      </c>
      <c r="F12600" t="s">
        <v>7771</v>
      </c>
      <c r="G12600" t="str">
        <f>"14-K03-02"</f>
        <v>14-K03-02</v>
      </c>
      <c r="H12600">
        <v>0.2646</v>
      </c>
      <c r="J12600" t="s">
        <v>14</v>
      </c>
      <c r="K12600" t="str">
        <f>"6F3"</f>
        <v>6F3</v>
      </c>
      <c r="L12600" t="s">
        <v>15</v>
      </c>
    </row>
    <row r="12601" spans="1:12" x14ac:dyDescent="0.25">
      <c r="A12601" t="str">
        <f>"9157015736"</f>
        <v>9157015736</v>
      </c>
      <c r="B12601" t="str">
        <f t="shared" si="514"/>
        <v>89301000</v>
      </c>
      <c r="C12601" s="1">
        <v>44444</v>
      </c>
      <c r="D12601" s="1">
        <v>44448</v>
      </c>
      <c r="E12601">
        <v>1</v>
      </c>
      <c r="F12601" t="s">
        <v>335</v>
      </c>
      <c r="G12601" t="str">
        <f>"07-I10-06"</f>
        <v>07-I10-06</v>
      </c>
      <c r="H12601">
        <v>0.9728</v>
      </c>
      <c r="J12601" t="s">
        <v>17</v>
      </c>
      <c r="K12601" t="str">
        <f>"5F1"</f>
        <v>5F1</v>
      </c>
      <c r="L12601" t="s">
        <v>15</v>
      </c>
    </row>
    <row r="12602" spans="1:12" x14ac:dyDescent="0.25">
      <c r="A12602" t="str">
        <f>"9157040035"</f>
        <v>9157040035</v>
      </c>
      <c r="B12602" t="str">
        <f t="shared" si="514"/>
        <v>89301000</v>
      </c>
      <c r="C12602" s="1">
        <v>44207</v>
      </c>
      <c r="D12602" s="1">
        <v>44211</v>
      </c>
      <c r="E12602">
        <v>1</v>
      </c>
      <c r="F12602" t="s">
        <v>51</v>
      </c>
      <c r="G12602" t="str">
        <f>"13-I17-00"</f>
        <v>13-I17-00</v>
      </c>
      <c r="H12602">
        <v>0.74590000000000001</v>
      </c>
      <c r="I12602" t="s">
        <v>8078</v>
      </c>
      <c r="J12602" t="s">
        <v>24</v>
      </c>
      <c r="K12602" t="str">
        <f t="shared" ref="K12602:K12614" si="516">"6F3"</f>
        <v>6F3</v>
      </c>
      <c r="L12602" t="s">
        <v>15</v>
      </c>
    </row>
    <row r="12603" spans="1:12" x14ac:dyDescent="0.25">
      <c r="A12603" t="str">
        <f>"9157065709"</f>
        <v>9157065709</v>
      </c>
      <c r="B12603" t="str">
        <f t="shared" si="514"/>
        <v>89301000</v>
      </c>
      <c r="C12603" s="1">
        <v>44249</v>
      </c>
      <c r="D12603" s="1">
        <v>44251</v>
      </c>
      <c r="E12603">
        <v>1</v>
      </c>
      <c r="F12603" t="s">
        <v>266</v>
      </c>
      <c r="G12603" t="str">
        <f>"13-K02-00"</f>
        <v>13-K02-00</v>
      </c>
      <c r="H12603">
        <v>0.24079999999999999</v>
      </c>
      <c r="J12603" t="s">
        <v>14</v>
      </c>
      <c r="K12603" t="str">
        <f t="shared" si="516"/>
        <v>6F3</v>
      </c>
      <c r="L12603" t="s">
        <v>15</v>
      </c>
    </row>
    <row r="12604" spans="1:12" x14ac:dyDescent="0.25">
      <c r="A12604" t="str">
        <f>"9157106189"</f>
        <v>9157106189</v>
      </c>
      <c r="B12604" t="str">
        <f t="shared" si="514"/>
        <v>89301000</v>
      </c>
      <c r="C12604" s="1">
        <v>44313</v>
      </c>
      <c r="D12604" s="1">
        <v>44315</v>
      </c>
      <c r="E12604">
        <v>1</v>
      </c>
      <c r="F12604" t="s">
        <v>75</v>
      </c>
      <c r="G12604" t="str">
        <f t="shared" ref="G12604:G12609" si="517">"14-M01-05"</f>
        <v>14-M01-05</v>
      </c>
      <c r="H12604">
        <v>0.54239999999999999</v>
      </c>
      <c r="I12604" t="s">
        <v>7637</v>
      </c>
      <c r="J12604" t="s">
        <v>59</v>
      </c>
      <c r="K12604" t="str">
        <f t="shared" si="516"/>
        <v>6F3</v>
      </c>
      <c r="L12604" t="s">
        <v>15</v>
      </c>
    </row>
    <row r="12605" spans="1:12" x14ac:dyDescent="0.25">
      <c r="A12605" t="str">
        <f>"9157106211"</f>
        <v>9157106211</v>
      </c>
      <c r="B12605" t="str">
        <f t="shared" si="514"/>
        <v>89301000</v>
      </c>
      <c r="C12605" s="1">
        <v>44235</v>
      </c>
      <c r="D12605" s="1">
        <v>44237</v>
      </c>
      <c r="E12605">
        <v>1</v>
      </c>
      <c r="F12605" t="s">
        <v>75</v>
      </c>
      <c r="G12605" t="str">
        <f t="shared" si="517"/>
        <v>14-M01-05</v>
      </c>
      <c r="H12605">
        <v>0.54239999999999999</v>
      </c>
      <c r="I12605" t="s">
        <v>117</v>
      </c>
      <c r="J12605" t="s">
        <v>59</v>
      </c>
      <c r="K12605" t="str">
        <f t="shared" si="516"/>
        <v>6F3</v>
      </c>
      <c r="L12605" t="s">
        <v>15</v>
      </c>
    </row>
    <row r="12606" spans="1:12" x14ac:dyDescent="0.25">
      <c r="A12606" t="str">
        <f>"9157195729"</f>
        <v>9157195729</v>
      </c>
      <c r="B12606" t="str">
        <f t="shared" si="514"/>
        <v>89301000</v>
      </c>
      <c r="C12606" s="1">
        <v>44294</v>
      </c>
      <c r="D12606" s="1">
        <v>44299</v>
      </c>
      <c r="E12606">
        <v>1</v>
      </c>
      <c r="F12606" t="s">
        <v>75</v>
      </c>
      <c r="G12606" t="str">
        <f t="shared" si="517"/>
        <v>14-M01-05</v>
      </c>
      <c r="H12606">
        <v>0.54239999999999999</v>
      </c>
      <c r="I12606" t="s">
        <v>180</v>
      </c>
      <c r="J12606" t="s">
        <v>59</v>
      </c>
      <c r="K12606" t="str">
        <f t="shared" si="516"/>
        <v>6F3</v>
      </c>
      <c r="L12606" t="s">
        <v>15</v>
      </c>
    </row>
    <row r="12607" spans="1:12" x14ac:dyDescent="0.25">
      <c r="A12607" t="str">
        <f>"9157195740"</f>
        <v>9157195740</v>
      </c>
      <c r="B12607" t="str">
        <f t="shared" si="514"/>
        <v>89301000</v>
      </c>
      <c r="C12607" s="1">
        <v>44397</v>
      </c>
      <c r="D12607" s="1">
        <v>44400</v>
      </c>
      <c r="E12607">
        <v>1</v>
      </c>
      <c r="F12607" t="s">
        <v>75</v>
      </c>
      <c r="G12607" t="str">
        <f t="shared" si="517"/>
        <v>14-M01-05</v>
      </c>
      <c r="H12607">
        <v>0.54239999999999999</v>
      </c>
      <c r="J12607" t="s">
        <v>59</v>
      </c>
      <c r="K12607" t="str">
        <f t="shared" si="516"/>
        <v>6F3</v>
      </c>
      <c r="L12607" t="s">
        <v>15</v>
      </c>
    </row>
    <row r="12608" spans="1:12" x14ac:dyDescent="0.25">
      <c r="A12608" t="str">
        <f>"9157195839"</f>
        <v>9157195839</v>
      </c>
      <c r="B12608" t="str">
        <f t="shared" si="514"/>
        <v>89301000</v>
      </c>
      <c r="C12608" s="1">
        <v>44343</v>
      </c>
      <c r="D12608" s="1">
        <v>44346</v>
      </c>
      <c r="E12608">
        <v>1</v>
      </c>
      <c r="F12608" t="s">
        <v>75</v>
      </c>
      <c r="G12608" t="str">
        <f t="shared" si="517"/>
        <v>14-M01-05</v>
      </c>
      <c r="H12608">
        <v>0.54239999999999999</v>
      </c>
      <c r="I12608" t="s">
        <v>256</v>
      </c>
      <c r="J12608" t="s">
        <v>59</v>
      </c>
      <c r="K12608" t="str">
        <f t="shared" si="516"/>
        <v>6F3</v>
      </c>
      <c r="L12608" t="s">
        <v>15</v>
      </c>
    </row>
    <row r="12609" spans="1:12" x14ac:dyDescent="0.25">
      <c r="A12609" t="str">
        <f>"9157255756"</f>
        <v>9157255756</v>
      </c>
      <c r="B12609" t="str">
        <f t="shared" si="514"/>
        <v>89301000</v>
      </c>
      <c r="C12609" s="1">
        <v>44229</v>
      </c>
      <c r="D12609" s="1">
        <v>44231</v>
      </c>
      <c r="E12609">
        <v>1</v>
      </c>
      <c r="F12609" t="s">
        <v>75</v>
      </c>
      <c r="G12609" t="str">
        <f t="shared" si="517"/>
        <v>14-M01-05</v>
      </c>
      <c r="H12609">
        <v>0.54239999999999999</v>
      </c>
      <c r="I12609" t="s">
        <v>7844</v>
      </c>
      <c r="J12609" t="s">
        <v>59</v>
      </c>
      <c r="K12609" t="str">
        <f t="shared" si="516"/>
        <v>6F3</v>
      </c>
      <c r="L12609" t="s">
        <v>15</v>
      </c>
    </row>
    <row r="12610" spans="1:12" x14ac:dyDescent="0.25">
      <c r="A12610" t="str">
        <f>"9157255822"</f>
        <v>9157255822</v>
      </c>
      <c r="B12610" t="str">
        <f t="shared" si="514"/>
        <v>89301000</v>
      </c>
      <c r="C12610" s="1">
        <v>44240</v>
      </c>
      <c r="D12610" s="1">
        <v>44247</v>
      </c>
      <c r="E12610">
        <v>1</v>
      </c>
      <c r="F12610" t="s">
        <v>82</v>
      </c>
      <c r="G12610" t="str">
        <f>"14-I01-02"</f>
        <v>14-I01-02</v>
      </c>
      <c r="H12610">
        <v>1.1289</v>
      </c>
      <c r="I12610" t="s">
        <v>8079</v>
      </c>
      <c r="J12610" t="s">
        <v>59</v>
      </c>
      <c r="K12610" t="str">
        <f t="shared" si="516"/>
        <v>6F3</v>
      </c>
      <c r="L12610" t="s">
        <v>15</v>
      </c>
    </row>
    <row r="12611" spans="1:12" x14ac:dyDescent="0.25">
      <c r="A12611" t="str">
        <f>"9157266151"</f>
        <v>9157266151</v>
      </c>
      <c r="B12611" t="str">
        <f t="shared" si="514"/>
        <v>89301000</v>
      </c>
      <c r="C12611" s="1">
        <v>44245</v>
      </c>
      <c r="D12611" s="1">
        <v>44246</v>
      </c>
      <c r="E12611">
        <v>1</v>
      </c>
      <c r="F12611" t="s">
        <v>91</v>
      </c>
      <c r="G12611" t="str">
        <f>"14-K03-02"</f>
        <v>14-K03-02</v>
      </c>
      <c r="H12611">
        <v>0.2646</v>
      </c>
      <c r="J12611" t="s">
        <v>14</v>
      </c>
      <c r="K12611" t="str">
        <f t="shared" si="516"/>
        <v>6F3</v>
      </c>
      <c r="L12611" t="s">
        <v>15</v>
      </c>
    </row>
    <row r="12612" spans="1:12" x14ac:dyDescent="0.25">
      <c r="A12612" t="str">
        <f>"9157266151"</f>
        <v>9157266151</v>
      </c>
      <c r="B12612" t="str">
        <f t="shared" si="514"/>
        <v>89301000</v>
      </c>
      <c r="C12612" s="1">
        <v>44308</v>
      </c>
      <c r="D12612" s="1">
        <v>44312</v>
      </c>
      <c r="E12612">
        <v>1</v>
      </c>
      <c r="F12612" t="s">
        <v>82</v>
      </c>
      <c r="G12612" t="str">
        <f>"14-I01-01"</f>
        <v>14-I01-01</v>
      </c>
      <c r="H12612">
        <v>1.5294000000000001</v>
      </c>
      <c r="I12612" t="s">
        <v>8080</v>
      </c>
      <c r="J12612" t="s">
        <v>59</v>
      </c>
      <c r="K12612" t="str">
        <f t="shared" si="516"/>
        <v>6F3</v>
      </c>
      <c r="L12612" t="s">
        <v>15</v>
      </c>
    </row>
    <row r="12613" spans="1:12" x14ac:dyDescent="0.25">
      <c r="A12613" t="str">
        <f>"9158024843"</f>
        <v>9158024843</v>
      </c>
      <c r="B12613" t="str">
        <f t="shared" si="514"/>
        <v>89301000</v>
      </c>
      <c r="C12613" s="1">
        <v>44545</v>
      </c>
      <c r="D12613" s="1">
        <v>44551</v>
      </c>
      <c r="E12613">
        <v>1</v>
      </c>
      <c r="F12613" t="s">
        <v>61</v>
      </c>
      <c r="G12613" t="str">
        <f>"14-I01-05"</f>
        <v>14-I01-05</v>
      </c>
      <c r="H12613">
        <v>0.80030000000000001</v>
      </c>
      <c r="I12613" t="s">
        <v>8081</v>
      </c>
      <c r="J12613" t="s">
        <v>59</v>
      </c>
      <c r="K12613" t="str">
        <f t="shared" si="516"/>
        <v>6F3</v>
      </c>
      <c r="L12613" t="s">
        <v>15</v>
      </c>
    </row>
    <row r="12614" spans="1:12" x14ac:dyDescent="0.25">
      <c r="A12614" t="str">
        <f>"9158045710"</f>
        <v>9158045710</v>
      </c>
      <c r="B12614" t="str">
        <f t="shared" si="514"/>
        <v>89301000</v>
      </c>
      <c r="C12614" s="1">
        <v>44325</v>
      </c>
      <c r="D12614" s="1">
        <v>44328</v>
      </c>
      <c r="E12614">
        <v>1</v>
      </c>
      <c r="F12614" t="s">
        <v>75</v>
      </c>
      <c r="G12614" t="str">
        <f>"14-M01-05"</f>
        <v>14-M01-05</v>
      </c>
      <c r="H12614">
        <v>0.54239999999999999</v>
      </c>
      <c r="I12614" t="s">
        <v>76</v>
      </c>
      <c r="J12614" t="s">
        <v>59</v>
      </c>
      <c r="K12614" t="str">
        <f t="shared" si="516"/>
        <v>6F3</v>
      </c>
      <c r="L12614" t="s">
        <v>15</v>
      </c>
    </row>
    <row r="12615" spans="1:12" x14ac:dyDescent="0.25">
      <c r="A12615" t="str">
        <f>"9158055720"</f>
        <v>9158055720</v>
      </c>
      <c r="B12615" t="str">
        <f t="shared" si="514"/>
        <v>89301000</v>
      </c>
      <c r="C12615" s="1">
        <v>44504</v>
      </c>
      <c r="D12615" s="1">
        <v>44506</v>
      </c>
      <c r="E12615">
        <v>1</v>
      </c>
      <c r="F12615" t="s">
        <v>71</v>
      </c>
      <c r="G12615" t="str">
        <f>"08-M03-05"</f>
        <v>08-M03-05</v>
      </c>
      <c r="H12615">
        <v>0.51759999999999995</v>
      </c>
      <c r="I12615" t="s">
        <v>381</v>
      </c>
      <c r="J12615" t="s">
        <v>14</v>
      </c>
      <c r="K12615" t="str">
        <f>"5F3"</f>
        <v>5F3</v>
      </c>
      <c r="L12615" t="s">
        <v>15</v>
      </c>
    </row>
    <row r="12616" spans="1:12" x14ac:dyDescent="0.25">
      <c r="A12616" t="str">
        <f>"9158085750"</f>
        <v>9158085750</v>
      </c>
      <c r="B12616" t="str">
        <f t="shared" si="514"/>
        <v>89301000</v>
      </c>
      <c r="C12616" s="1">
        <v>44434</v>
      </c>
      <c r="D12616" s="1">
        <v>44437</v>
      </c>
      <c r="E12616">
        <v>1</v>
      </c>
      <c r="F12616" t="s">
        <v>75</v>
      </c>
      <c r="G12616" t="str">
        <f>"14-M01-02"</f>
        <v>14-M01-02</v>
      </c>
      <c r="H12616">
        <v>0.74450000000000005</v>
      </c>
      <c r="I12616" t="s">
        <v>8082</v>
      </c>
      <c r="J12616" t="s">
        <v>59</v>
      </c>
      <c r="K12616" t="str">
        <f t="shared" ref="K12616:K12627" si="518">"6F3"</f>
        <v>6F3</v>
      </c>
      <c r="L12616" t="s">
        <v>15</v>
      </c>
    </row>
    <row r="12617" spans="1:12" x14ac:dyDescent="0.25">
      <c r="A12617" t="str">
        <f>"9158136152"</f>
        <v>9158136152</v>
      </c>
      <c r="B12617" t="str">
        <f t="shared" si="514"/>
        <v>89301000</v>
      </c>
      <c r="C12617" s="1">
        <v>44221</v>
      </c>
      <c r="D12617" s="1">
        <v>44224</v>
      </c>
      <c r="E12617">
        <v>1</v>
      </c>
      <c r="F12617" t="s">
        <v>3467</v>
      </c>
      <c r="G12617" t="str">
        <f>"13-I14-03"</f>
        <v>13-I14-03</v>
      </c>
      <c r="H12617">
        <v>0.83199999999999996</v>
      </c>
      <c r="J12617" t="s">
        <v>24</v>
      </c>
      <c r="K12617" t="str">
        <f t="shared" si="518"/>
        <v>6F3</v>
      </c>
      <c r="L12617" t="s">
        <v>15</v>
      </c>
    </row>
    <row r="12618" spans="1:12" x14ac:dyDescent="0.25">
      <c r="A12618" t="str">
        <f>"9158141531"</f>
        <v>9158141531</v>
      </c>
      <c r="B12618" t="str">
        <f t="shared" si="514"/>
        <v>89301000</v>
      </c>
      <c r="C12618" s="1">
        <v>44490</v>
      </c>
      <c r="D12618" s="1">
        <v>44494</v>
      </c>
      <c r="E12618">
        <v>1</v>
      </c>
      <c r="F12618" t="s">
        <v>61</v>
      </c>
      <c r="G12618" t="str">
        <f>"14-I01-05"</f>
        <v>14-I01-05</v>
      </c>
      <c r="H12618">
        <v>0.80030000000000001</v>
      </c>
      <c r="I12618" t="s">
        <v>7572</v>
      </c>
      <c r="J12618" t="s">
        <v>59</v>
      </c>
      <c r="K12618" t="str">
        <f t="shared" si="518"/>
        <v>6F3</v>
      </c>
      <c r="L12618" t="s">
        <v>15</v>
      </c>
    </row>
    <row r="12619" spans="1:12" x14ac:dyDescent="0.25">
      <c r="A12619" t="str">
        <f>"9158154093"</f>
        <v>9158154093</v>
      </c>
      <c r="B12619" t="str">
        <f t="shared" si="514"/>
        <v>89301000</v>
      </c>
      <c r="C12619" s="1">
        <v>44243</v>
      </c>
      <c r="D12619" s="1">
        <v>44246</v>
      </c>
      <c r="E12619">
        <v>1</v>
      </c>
      <c r="F12619" t="s">
        <v>75</v>
      </c>
      <c r="G12619" t="str">
        <f>"14-M01-05"</f>
        <v>14-M01-05</v>
      </c>
      <c r="H12619">
        <v>0.54239999999999999</v>
      </c>
      <c r="I12619" t="s">
        <v>7420</v>
      </c>
      <c r="J12619" t="s">
        <v>59</v>
      </c>
      <c r="K12619" t="str">
        <f t="shared" si="518"/>
        <v>6F3</v>
      </c>
      <c r="L12619" t="s">
        <v>15</v>
      </c>
    </row>
    <row r="12620" spans="1:12" x14ac:dyDescent="0.25">
      <c r="A12620" t="str">
        <f>"9158155292"</f>
        <v>9158155292</v>
      </c>
      <c r="B12620" t="str">
        <f t="shared" si="514"/>
        <v>89301000</v>
      </c>
      <c r="C12620" s="1">
        <v>44236</v>
      </c>
      <c r="D12620" s="1">
        <v>44236</v>
      </c>
      <c r="E12620">
        <v>6</v>
      </c>
      <c r="F12620" t="s">
        <v>187</v>
      </c>
      <c r="G12620" t="str">
        <f>"14-I08-03"</f>
        <v>14-I08-03</v>
      </c>
      <c r="H12620">
        <v>0.1065</v>
      </c>
      <c r="J12620" t="s">
        <v>14</v>
      </c>
      <c r="K12620" t="str">
        <f t="shared" si="518"/>
        <v>6F3</v>
      </c>
      <c r="L12620" t="s">
        <v>15</v>
      </c>
    </row>
    <row r="12621" spans="1:12" x14ac:dyDescent="0.25">
      <c r="A12621" t="str">
        <f>"9158284861"</f>
        <v>9158284861</v>
      </c>
      <c r="B12621" t="str">
        <f t="shared" si="514"/>
        <v>89301000</v>
      </c>
      <c r="C12621" s="1">
        <v>44329</v>
      </c>
      <c r="D12621" s="1">
        <v>44339</v>
      </c>
      <c r="E12621">
        <v>1</v>
      </c>
      <c r="F12621" t="s">
        <v>7455</v>
      </c>
      <c r="G12621" t="str">
        <f>"14-I01-02"</f>
        <v>14-I01-02</v>
      </c>
      <c r="H12621">
        <v>1.2408999999999999</v>
      </c>
      <c r="I12621" t="s">
        <v>8083</v>
      </c>
      <c r="J12621" t="s">
        <v>59</v>
      </c>
      <c r="K12621" t="str">
        <f t="shared" si="518"/>
        <v>6F3</v>
      </c>
      <c r="L12621" t="s">
        <v>15</v>
      </c>
    </row>
    <row r="12622" spans="1:12" x14ac:dyDescent="0.25">
      <c r="A12622" t="str">
        <f>"9158306146"</f>
        <v>9158306146</v>
      </c>
      <c r="B12622" t="str">
        <f t="shared" si="514"/>
        <v>89301000</v>
      </c>
      <c r="C12622" s="1">
        <v>44420</v>
      </c>
      <c r="D12622" s="1">
        <v>44424</v>
      </c>
      <c r="E12622">
        <v>1</v>
      </c>
      <c r="F12622" t="s">
        <v>60</v>
      </c>
      <c r="G12622" t="str">
        <f>"14-K03-02"</f>
        <v>14-K03-02</v>
      </c>
      <c r="H12622">
        <v>0.2646</v>
      </c>
      <c r="J12622" t="s">
        <v>14</v>
      </c>
      <c r="K12622" t="str">
        <f t="shared" si="518"/>
        <v>6F3</v>
      </c>
      <c r="L12622" t="s">
        <v>15</v>
      </c>
    </row>
    <row r="12623" spans="1:12" x14ac:dyDescent="0.25">
      <c r="A12623" t="str">
        <f>"9159095737"</f>
        <v>9159095737</v>
      </c>
      <c r="B12623" t="str">
        <f t="shared" si="514"/>
        <v>89301000</v>
      </c>
      <c r="C12623" s="1">
        <v>44310</v>
      </c>
      <c r="D12623" s="1">
        <v>44313</v>
      </c>
      <c r="E12623">
        <v>1</v>
      </c>
      <c r="F12623" t="s">
        <v>75</v>
      </c>
      <c r="G12623" t="str">
        <f>"14-M01-05"</f>
        <v>14-M01-05</v>
      </c>
      <c r="H12623">
        <v>0.54239999999999999</v>
      </c>
      <c r="I12623" t="s">
        <v>7354</v>
      </c>
      <c r="J12623" t="s">
        <v>59</v>
      </c>
      <c r="K12623" t="str">
        <f t="shared" si="518"/>
        <v>6F3</v>
      </c>
      <c r="L12623" t="s">
        <v>15</v>
      </c>
    </row>
    <row r="12624" spans="1:12" x14ac:dyDescent="0.25">
      <c r="A12624" t="str">
        <f>"9159105747"</f>
        <v>9159105747</v>
      </c>
      <c r="B12624" t="str">
        <f t="shared" si="514"/>
        <v>89301000</v>
      </c>
      <c r="C12624" s="1">
        <v>44527</v>
      </c>
      <c r="D12624" s="1">
        <v>44531</v>
      </c>
      <c r="E12624">
        <v>1</v>
      </c>
      <c r="F12624" t="s">
        <v>75</v>
      </c>
      <c r="G12624" t="str">
        <f>"14-M01-05"</f>
        <v>14-M01-05</v>
      </c>
      <c r="H12624">
        <v>0.54239999999999999</v>
      </c>
      <c r="I12624" t="s">
        <v>8084</v>
      </c>
      <c r="J12624" t="s">
        <v>59</v>
      </c>
      <c r="K12624" t="str">
        <f t="shared" si="518"/>
        <v>6F3</v>
      </c>
      <c r="L12624" t="s">
        <v>15</v>
      </c>
    </row>
    <row r="12625" spans="1:12" x14ac:dyDescent="0.25">
      <c r="A12625" t="str">
        <f>"9159195705"</f>
        <v>9159195705</v>
      </c>
      <c r="B12625" t="str">
        <f t="shared" si="514"/>
        <v>89301000</v>
      </c>
      <c r="C12625" s="1">
        <v>44539</v>
      </c>
      <c r="D12625" s="1">
        <v>44542</v>
      </c>
      <c r="E12625">
        <v>1</v>
      </c>
      <c r="F12625" t="s">
        <v>75</v>
      </c>
      <c r="G12625" t="str">
        <f>"14-M01-05"</f>
        <v>14-M01-05</v>
      </c>
      <c r="H12625">
        <v>0.54239999999999999</v>
      </c>
      <c r="I12625" t="s">
        <v>76</v>
      </c>
      <c r="J12625" t="s">
        <v>59</v>
      </c>
      <c r="K12625" t="str">
        <f t="shared" si="518"/>
        <v>6F3</v>
      </c>
      <c r="L12625" t="s">
        <v>15</v>
      </c>
    </row>
    <row r="12626" spans="1:12" x14ac:dyDescent="0.25">
      <c r="A12626" t="str">
        <f>"9159204846"</f>
        <v>9159204846</v>
      </c>
      <c r="B12626" t="str">
        <f t="shared" si="514"/>
        <v>89301000</v>
      </c>
      <c r="C12626" s="1">
        <v>44252</v>
      </c>
      <c r="D12626" s="1">
        <v>44256</v>
      </c>
      <c r="E12626">
        <v>1</v>
      </c>
      <c r="F12626" t="s">
        <v>112</v>
      </c>
      <c r="G12626" t="str">
        <f>"14-M01-05"</f>
        <v>14-M01-05</v>
      </c>
      <c r="H12626">
        <v>0.54239999999999999</v>
      </c>
      <c r="I12626" t="s">
        <v>8085</v>
      </c>
      <c r="J12626" t="s">
        <v>59</v>
      </c>
      <c r="K12626" t="str">
        <f t="shared" si="518"/>
        <v>6F3</v>
      </c>
      <c r="L12626" t="s">
        <v>15</v>
      </c>
    </row>
    <row r="12627" spans="1:12" x14ac:dyDescent="0.25">
      <c r="A12627" t="str">
        <f>"9159235701"</f>
        <v>9159235701</v>
      </c>
      <c r="B12627" t="str">
        <f t="shared" si="514"/>
        <v>89301000</v>
      </c>
      <c r="C12627" s="1">
        <v>44523</v>
      </c>
      <c r="D12627" s="1">
        <v>44528</v>
      </c>
      <c r="E12627">
        <v>1</v>
      </c>
      <c r="F12627" t="s">
        <v>61</v>
      </c>
      <c r="G12627" t="str">
        <f>"14-I01-05"</f>
        <v>14-I01-05</v>
      </c>
      <c r="H12627">
        <v>0.80030000000000001</v>
      </c>
      <c r="I12627" t="s">
        <v>7853</v>
      </c>
      <c r="J12627" t="s">
        <v>59</v>
      </c>
      <c r="K12627" t="str">
        <f t="shared" si="518"/>
        <v>6F3</v>
      </c>
      <c r="L12627" t="s">
        <v>15</v>
      </c>
    </row>
    <row r="12628" spans="1:12" x14ac:dyDescent="0.25">
      <c r="A12628" t="str">
        <f>"9159295717"</f>
        <v>9159295717</v>
      </c>
      <c r="B12628" t="str">
        <f t="shared" si="514"/>
        <v>89301000</v>
      </c>
      <c r="C12628" s="1">
        <v>44440</v>
      </c>
      <c r="D12628" s="1">
        <v>44443</v>
      </c>
      <c r="E12628">
        <v>1</v>
      </c>
      <c r="F12628" t="s">
        <v>5155</v>
      </c>
      <c r="G12628" t="str">
        <f>"07-I10-06"</f>
        <v>07-I10-06</v>
      </c>
      <c r="H12628">
        <v>0.9728</v>
      </c>
      <c r="J12628" t="s">
        <v>17</v>
      </c>
      <c r="K12628" t="str">
        <f>"5F1"</f>
        <v>5F1</v>
      </c>
      <c r="L12628" t="s">
        <v>15</v>
      </c>
    </row>
    <row r="12629" spans="1:12" x14ac:dyDescent="0.25">
      <c r="A12629" t="str">
        <f>"9160144477"</f>
        <v>9160144477</v>
      </c>
      <c r="B12629" t="str">
        <f t="shared" si="514"/>
        <v>89301000</v>
      </c>
      <c r="C12629" s="1">
        <v>44284</v>
      </c>
      <c r="D12629" s="1">
        <v>44319</v>
      </c>
      <c r="E12629">
        <v>1</v>
      </c>
      <c r="F12629" t="s">
        <v>942</v>
      </c>
      <c r="G12629" t="str">
        <f>"19-K07-02"</f>
        <v>19-K07-02</v>
      </c>
      <c r="H12629">
        <v>2.8759999999999999</v>
      </c>
      <c r="I12629" t="s">
        <v>8086</v>
      </c>
      <c r="J12629" t="s">
        <v>27</v>
      </c>
      <c r="K12629" t="str">
        <f>"3F5"</f>
        <v>3F5</v>
      </c>
      <c r="L12629" t="s">
        <v>15</v>
      </c>
    </row>
    <row r="12630" spans="1:12" x14ac:dyDescent="0.25">
      <c r="A12630" t="str">
        <f>"9160165729"</f>
        <v>9160165729</v>
      </c>
      <c r="B12630" t="str">
        <f t="shared" si="514"/>
        <v>89301000</v>
      </c>
      <c r="C12630" s="1">
        <v>44260</v>
      </c>
      <c r="D12630" s="1">
        <v>44264</v>
      </c>
      <c r="E12630">
        <v>1</v>
      </c>
      <c r="F12630" t="s">
        <v>75</v>
      </c>
      <c r="G12630" t="str">
        <f>"14-M01-02"</f>
        <v>14-M01-02</v>
      </c>
      <c r="H12630">
        <v>0.74450000000000005</v>
      </c>
      <c r="I12630" t="s">
        <v>8087</v>
      </c>
      <c r="J12630" t="s">
        <v>59</v>
      </c>
      <c r="K12630" t="str">
        <f t="shared" ref="K12630:K12637" si="519">"6F3"</f>
        <v>6F3</v>
      </c>
      <c r="L12630" t="s">
        <v>15</v>
      </c>
    </row>
    <row r="12631" spans="1:12" x14ac:dyDescent="0.25">
      <c r="A12631" t="str">
        <f>"9160166180"</f>
        <v>9160166180</v>
      </c>
      <c r="B12631" t="str">
        <f t="shared" si="514"/>
        <v>89301000</v>
      </c>
      <c r="C12631" s="1">
        <v>44503</v>
      </c>
      <c r="D12631" s="1">
        <v>44506</v>
      </c>
      <c r="E12631">
        <v>1</v>
      </c>
      <c r="F12631" t="s">
        <v>75</v>
      </c>
      <c r="G12631" t="str">
        <f>"14-M01-05"</f>
        <v>14-M01-05</v>
      </c>
      <c r="H12631">
        <v>0.54239999999999999</v>
      </c>
      <c r="I12631" t="s">
        <v>256</v>
      </c>
      <c r="J12631" t="s">
        <v>59</v>
      </c>
      <c r="K12631" t="str">
        <f t="shared" si="519"/>
        <v>6F3</v>
      </c>
      <c r="L12631" t="s">
        <v>15</v>
      </c>
    </row>
    <row r="12632" spans="1:12" x14ac:dyDescent="0.25">
      <c r="A12632" t="str">
        <f>"9160166180"</f>
        <v>9160166180</v>
      </c>
      <c r="B12632" t="str">
        <f t="shared" si="514"/>
        <v>89301000</v>
      </c>
      <c r="C12632" s="1">
        <v>44509</v>
      </c>
      <c r="D12632" s="1">
        <v>44510</v>
      </c>
      <c r="E12632">
        <v>1</v>
      </c>
      <c r="F12632" t="s">
        <v>7627</v>
      </c>
      <c r="G12632" t="str">
        <f>"14-I08-03"</f>
        <v>14-I08-03</v>
      </c>
      <c r="H12632">
        <v>0.21099999999999999</v>
      </c>
      <c r="J12632" t="s">
        <v>14</v>
      </c>
      <c r="K12632" t="str">
        <f t="shared" si="519"/>
        <v>6F3</v>
      </c>
      <c r="L12632" t="s">
        <v>15</v>
      </c>
    </row>
    <row r="12633" spans="1:12" x14ac:dyDescent="0.25">
      <c r="A12633" t="str">
        <f>"9160184858"</f>
        <v>9160184858</v>
      </c>
      <c r="B12633" t="str">
        <f t="shared" si="514"/>
        <v>89301000</v>
      </c>
      <c r="C12633" s="1">
        <v>44541</v>
      </c>
      <c r="D12633" s="1">
        <v>44545</v>
      </c>
      <c r="E12633">
        <v>1</v>
      </c>
      <c r="F12633" t="s">
        <v>75</v>
      </c>
      <c r="G12633" t="str">
        <f>"14-M01-05"</f>
        <v>14-M01-05</v>
      </c>
      <c r="H12633">
        <v>0.54239999999999999</v>
      </c>
      <c r="I12633" t="s">
        <v>256</v>
      </c>
      <c r="J12633" t="s">
        <v>59</v>
      </c>
      <c r="K12633" t="str">
        <f t="shared" si="519"/>
        <v>6F3</v>
      </c>
      <c r="L12633" t="s">
        <v>15</v>
      </c>
    </row>
    <row r="12634" spans="1:12" x14ac:dyDescent="0.25">
      <c r="A12634" t="str">
        <f>"9160185716"</f>
        <v>9160185716</v>
      </c>
      <c r="B12634" t="str">
        <f t="shared" ref="B12634:B12696" si="520">"89301000"</f>
        <v>89301000</v>
      </c>
      <c r="C12634" s="1">
        <v>44400</v>
      </c>
      <c r="D12634" s="1">
        <v>44404</v>
      </c>
      <c r="E12634">
        <v>1</v>
      </c>
      <c r="F12634" t="s">
        <v>75</v>
      </c>
      <c r="G12634" t="str">
        <f>"14-M01-05"</f>
        <v>14-M01-05</v>
      </c>
      <c r="H12634">
        <v>0.54239999999999999</v>
      </c>
      <c r="I12634" t="s">
        <v>8088</v>
      </c>
      <c r="J12634" t="s">
        <v>59</v>
      </c>
      <c r="K12634" t="str">
        <f t="shared" si="519"/>
        <v>6F3</v>
      </c>
      <c r="L12634" t="s">
        <v>15</v>
      </c>
    </row>
    <row r="12635" spans="1:12" x14ac:dyDescent="0.25">
      <c r="A12635" t="str">
        <f>"9160204933"</f>
        <v>9160204933</v>
      </c>
      <c r="B12635" t="str">
        <f t="shared" si="520"/>
        <v>89301000</v>
      </c>
      <c r="C12635" s="1">
        <v>44414</v>
      </c>
      <c r="D12635" s="1">
        <v>44417</v>
      </c>
      <c r="E12635">
        <v>1</v>
      </c>
      <c r="F12635" t="s">
        <v>75</v>
      </c>
      <c r="G12635" t="str">
        <f>"14-M01-05"</f>
        <v>14-M01-05</v>
      </c>
      <c r="H12635">
        <v>0.54239999999999999</v>
      </c>
      <c r="I12635" t="s">
        <v>8089</v>
      </c>
      <c r="J12635" t="s">
        <v>59</v>
      </c>
      <c r="K12635" t="str">
        <f t="shared" si="519"/>
        <v>6F3</v>
      </c>
      <c r="L12635" t="s">
        <v>15</v>
      </c>
    </row>
    <row r="12636" spans="1:12" x14ac:dyDescent="0.25">
      <c r="A12636" t="str">
        <f>"9160245391"</f>
        <v>9160245391</v>
      </c>
      <c r="B12636" t="str">
        <f t="shared" si="520"/>
        <v>89301000</v>
      </c>
      <c r="C12636" s="1">
        <v>44552</v>
      </c>
      <c r="D12636" s="1">
        <v>44554</v>
      </c>
      <c r="E12636">
        <v>1</v>
      </c>
      <c r="F12636" t="s">
        <v>75</v>
      </c>
      <c r="G12636" t="str">
        <f>"14-M01-05"</f>
        <v>14-M01-05</v>
      </c>
      <c r="H12636">
        <v>0.54239999999999999</v>
      </c>
      <c r="I12636" t="s">
        <v>7782</v>
      </c>
      <c r="J12636" t="s">
        <v>59</v>
      </c>
      <c r="K12636" t="str">
        <f t="shared" si="519"/>
        <v>6F3</v>
      </c>
      <c r="L12636" t="s">
        <v>15</v>
      </c>
    </row>
    <row r="12637" spans="1:12" x14ac:dyDescent="0.25">
      <c r="A12637" t="str">
        <f>"9160255720"</f>
        <v>9160255720</v>
      </c>
      <c r="B12637" t="str">
        <f t="shared" si="520"/>
        <v>89301000</v>
      </c>
      <c r="C12637" s="1">
        <v>44512</v>
      </c>
      <c r="D12637" s="1">
        <v>44517</v>
      </c>
      <c r="E12637">
        <v>1</v>
      </c>
      <c r="F12637" t="s">
        <v>112</v>
      </c>
      <c r="G12637" t="str">
        <f>"14-M01-05"</f>
        <v>14-M01-05</v>
      </c>
      <c r="H12637">
        <v>0.54239999999999999</v>
      </c>
      <c r="I12637" t="s">
        <v>8090</v>
      </c>
      <c r="J12637" t="s">
        <v>59</v>
      </c>
      <c r="K12637" t="str">
        <f t="shared" si="519"/>
        <v>6F3</v>
      </c>
      <c r="L12637" t="s">
        <v>15</v>
      </c>
    </row>
    <row r="12638" spans="1:12" x14ac:dyDescent="0.25">
      <c r="A12638" t="str">
        <f>"9160304846"</f>
        <v>9160304846</v>
      </c>
      <c r="B12638" t="str">
        <f t="shared" si="520"/>
        <v>89301000</v>
      </c>
      <c r="C12638" s="1">
        <v>44279</v>
      </c>
      <c r="D12638" s="1">
        <v>44300</v>
      </c>
      <c r="E12638">
        <v>1</v>
      </c>
      <c r="F12638" t="s">
        <v>130</v>
      </c>
      <c r="G12638" t="str">
        <f>"19-K04-02"</f>
        <v>19-K04-02</v>
      </c>
      <c r="H12638">
        <v>1.4597</v>
      </c>
      <c r="I12638" t="s">
        <v>8091</v>
      </c>
      <c r="J12638" t="s">
        <v>27</v>
      </c>
      <c r="K12638" t="str">
        <f>"3F5"</f>
        <v>3F5</v>
      </c>
      <c r="L12638" t="s">
        <v>15</v>
      </c>
    </row>
    <row r="12639" spans="1:12" x14ac:dyDescent="0.25">
      <c r="A12639" t="str">
        <f>"9160304846"</f>
        <v>9160304846</v>
      </c>
      <c r="B12639" t="str">
        <f t="shared" si="520"/>
        <v>89301000</v>
      </c>
      <c r="C12639" s="1">
        <v>44326</v>
      </c>
      <c r="D12639" s="1">
        <v>44364</v>
      </c>
      <c r="E12639">
        <v>1</v>
      </c>
      <c r="F12639" t="s">
        <v>942</v>
      </c>
      <c r="G12639" t="str">
        <f>"19-K07-02"</f>
        <v>19-K07-02</v>
      </c>
      <c r="H12639">
        <v>2.8759999999999999</v>
      </c>
      <c r="I12639" t="s">
        <v>8092</v>
      </c>
      <c r="J12639" t="s">
        <v>27</v>
      </c>
      <c r="K12639" t="str">
        <f>"3F5"</f>
        <v>3F5</v>
      </c>
      <c r="L12639" t="s">
        <v>15</v>
      </c>
    </row>
    <row r="12640" spans="1:12" x14ac:dyDescent="0.25">
      <c r="A12640" t="str">
        <f>"9160315703"</f>
        <v>9160315703</v>
      </c>
      <c r="B12640" t="str">
        <f t="shared" si="520"/>
        <v>89301000</v>
      </c>
      <c r="C12640" s="1">
        <v>44314</v>
      </c>
      <c r="D12640" s="1">
        <v>44315</v>
      </c>
      <c r="E12640">
        <v>1</v>
      </c>
      <c r="F12640" t="s">
        <v>91</v>
      </c>
      <c r="G12640" t="str">
        <f>"14-K03-02"</f>
        <v>14-K03-02</v>
      </c>
      <c r="H12640">
        <v>0.2646</v>
      </c>
      <c r="I12640" t="s">
        <v>606</v>
      </c>
      <c r="J12640" t="s">
        <v>14</v>
      </c>
      <c r="K12640" t="str">
        <f t="shared" ref="K12640:K12651" si="521">"6F3"</f>
        <v>6F3</v>
      </c>
      <c r="L12640" t="s">
        <v>15</v>
      </c>
    </row>
    <row r="12641" spans="1:12" x14ac:dyDescent="0.25">
      <c r="A12641" t="str">
        <f>"9160315703"</f>
        <v>9160315703</v>
      </c>
      <c r="B12641" t="str">
        <f t="shared" si="520"/>
        <v>89301000</v>
      </c>
      <c r="C12641" s="1">
        <v>44433</v>
      </c>
      <c r="D12641" s="1">
        <v>44440</v>
      </c>
      <c r="E12641">
        <v>1</v>
      </c>
      <c r="F12641" t="s">
        <v>82</v>
      </c>
      <c r="G12641" t="str">
        <f>"14-I01-02"</f>
        <v>14-I01-02</v>
      </c>
      <c r="H12641">
        <v>1.1289</v>
      </c>
      <c r="I12641" t="s">
        <v>8093</v>
      </c>
      <c r="J12641" t="s">
        <v>59</v>
      </c>
      <c r="K12641" t="str">
        <f t="shared" si="521"/>
        <v>6F3</v>
      </c>
      <c r="L12641" t="s">
        <v>15</v>
      </c>
    </row>
    <row r="12642" spans="1:12" x14ac:dyDescent="0.25">
      <c r="A12642" t="str">
        <f>"9161036071"</f>
        <v>9161036071</v>
      </c>
      <c r="B12642" t="str">
        <f t="shared" si="520"/>
        <v>89301000</v>
      </c>
      <c r="C12642" s="1">
        <v>44231</v>
      </c>
      <c r="D12642" s="1">
        <v>44236</v>
      </c>
      <c r="E12642">
        <v>1</v>
      </c>
      <c r="F12642" t="s">
        <v>60</v>
      </c>
      <c r="G12642" t="str">
        <f>"14-K03-01"</f>
        <v>14-K03-01</v>
      </c>
      <c r="H12642">
        <v>0.5706</v>
      </c>
      <c r="I12642" t="s">
        <v>7518</v>
      </c>
      <c r="J12642" t="s">
        <v>14</v>
      </c>
      <c r="K12642" t="str">
        <f t="shared" si="521"/>
        <v>6F3</v>
      </c>
      <c r="L12642" t="s">
        <v>15</v>
      </c>
    </row>
    <row r="12643" spans="1:12" x14ac:dyDescent="0.25">
      <c r="A12643" t="str">
        <f>"9161036071"</f>
        <v>9161036071</v>
      </c>
      <c r="B12643" t="str">
        <f t="shared" si="520"/>
        <v>89301000</v>
      </c>
      <c r="C12643" s="1">
        <v>44242</v>
      </c>
      <c r="D12643" s="1">
        <v>44252</v>
      </c>
      <c r="E12643">
        <v>1</v>
      </c>
      <c r="F12643" t="s">
        <v>7518</v>
      </c>
      <c r="G12643" t="str">
        <f>"14-K03-01"</f>
        <v>14-K03-01</v>
      </c>
      <c r="H12643">
        <v>0.5706</v>
      </c>
      <c r="J12643" t="s">
        <v>14</v>
      </c>
      <c r="K12643" t="str">
        <f t="shared" si="521"/>
        <v>6F3</v>
      </c>
      <c r="L12643" t="s">
        <v>15</v>
      </c>
    </row>
    <row r="12644" spans="1:12" x14ac:dyDescent="0.25">
      <c r="A12644" t="str">
        <f>"9161036071"</f>
        <v>9161036071</v>
      </c>
      <c r="B12644" t="str">
        <f t="shared" si="520"/>
        <v>89301000</v>
      </c>
      <c r="C12644" s="1">
        <v>44297</v>
      </c>
      <c r="D12644" s="1">
        <v>44302</v>
      </c>
      <c r="E12644">
        <v>1</v>
      </c>
      <c r="F12644" t="s">
        <v>61</v>
      </c>
      <c r="G12644" t="str">
        <f>"14-I01-01"</f>
        <v>14-I01-01</v>
      </c>
      <c r="H12644">
        <v>1.5294000000000001</v>
      </c>
      <c r="I12644" t="s">
        <v>7917</v>
      </c>
      <c r="J12644" t="s">
        <v>59</v>
      </c>
      <c r="K12644" t="str">
        <f t="shared" si="521"/>
        <v>6F3</v>
      </c>
      <c r="L12644" t="s">
        <v>15</v>
      </c>
    </row>
    <row r="12645" spans="1:12" x14ac:dyDescent="0.25">
      <c r="A12645" t="str">
        <f>"9161036071"</f>
        <v>9161036071</v>
      </c>
      <c r="B12645" t="str">
        <f t="shared" si="520"/>
        <v>89301000</v>
      </c>
      <c r="C12645" s="1">
        <v>44220</v>
      </c>
      <c r="D12645" s="1">
        <v>44225</v>
      </c>
      <c r="E12645">
        <v>1</v>
      </c>
      <c r="F12645" t="s">
        <v>7917</v>
      </c>
      <c r="G12645" t="str">
        <f>"14-K03-01"</f>
        <v>14-K03-01</v>
      </c>
      <c r="H12645">
        <v>0.5706</v>
      </c>
      <c r="J12645" t="s">
        <v>14</v>
      </c>
      <c r="K12645" t="str">
        <f t="shared" si="521"/>
        <v>6F3</v>
      </c>
      <c r="L12645" t="s">
        <v>15</v>
      </c>
    </row>
    <row r="12646" spans="1:12" x14ac:dyDescent="0.25">
      <c r="A12646" t="str">
        <f>"9161044893"</f>
        <v>9161044893</v>
      </c>
      <c r="B12646" t="str">
        <f t="shared" si="520"/>
        <v>89301000</v>
      </c>
      <c r="C12646" s="1">
        <v>44251</v>
      </c>
      <c r="D12646" s="1">
        <v>44254</v>
      </c>
      <c r="E12646">
        <v>1</v>
      </c>
      <c r="F12646" t="s">
        <v>75</v>
      </c>
      <c r="G12646" t="str">
        <f>"14-M01-05"</f>
        <v>14-M01-05</v>
      </c>
      <c r="H12646">
        <v>0.54239999999999999</v>
      </c>
      <c r="I12646" t="s">
        <v>7692</v>
      </c>
      <c r="J12646" t="s">
        <v>59</v>
      </c>
      <c r="K12646" t="str">
        <f t="shared" si="521"/>
        <v>6F3</v>
      </c>
      <c r="L12646" t="s">
        <v>15</v>
      </c>
    </row>
    <row r="12647" spans="1:12" x14ac:dyDescent="0.25">
      <c r="A12647" t="str">
        <f>"9161134477"</f>
        <v>9161134477</v>
      </c>
      <c r="B12647" t="str">
        <f t="shared" si="520"/>
        <v>89301000</v>
      </c>
      <c r="C12647" s="1">
        <v>44514</v>
      </c>
      <c r="D12647" s="1">
        <v>44517</v>
      </c>
      <c r="E12647">
        <v>1</v>
      </c>
      <c r="F12647" t="s">
        <v>75</v>
      </c>
      <c r="G12647" t="str">
        <f>"14-M01-05"</f>
        <v>14-M01-05</v>
      </c>
      <c r="H12647">
        <v>0.54239999999999999</v>
      </c>
      <c r="J12647" t="s">
        <v>59</v>
      </c>
      <c r="K12647" t="str">
        <f t="shared" si="521"/>
        <v>6F3</v>
      </c>
      <c r="L12647" t="s">
        <v>15</v>
      </c>
    </row>
    <row r="12648" spans="1:12" x14ac:dyDescent="0.25">
      <c r="A12648" t="str">
        <f>"9161135709"</f>
        <v>9161135709</v>
      </c>
      <c r="B12648" t="str">
        <f t="shared" si="520"/>
        <v>89301000</v>
      </c>
      <c r="C12648" s="1">
        <v>44499</v>
      </c>
      <c r="D12648" s="1">
        <v>44502</v>
      </c>
      <c r="E12648">
        <v>1</v>
      </c>
      <c r="F12648" t="s">
        <v>75</v>
      </c>
      <c r="G12648" t="str">
        <f>"14-M01-05"</f>
        <v>14-M01-05</v>
      </c>
      <c r="H12648">
        <v>0.54239999999999999</v>
      </c>
      <c r="J12648" t="s">
        <v>59</v>
      </c>
      <c r="K12648" t="str">
        <f t="shared" si="521"/>
        <v>6F3</v>
      </c>
      <c r="L12648" t="s">
        <v>15</v>
      </c>
    </row>
    <row r="12649" spans="1:12" x14ac:dyDescent="0.25">
      <c r="A12649" t="str">
        <f>"9161135742"</f>
        <v>9161135742</v>
      </c>
      <c r="B12649" t="str">
        <f t="shared" si="520"/>
        <v>89301000</v>
      </c>
      <c r="C12649" s="1">
        <v>44413</v>
      </c>
      <c r="D12649" s="1">
        <v>44416</v>
      </c>
      <c r="E12649">
        <v>1</v>
      </c>
      <c r="F12649" t="s">
        <v>75</v>
      </c>
      <c r="G12649" t="str">
        <f>"14-M01-01"</f>
        <v>14-M01-01</v>
      </c>
      <c r="H12649">
        <v>0.88219999999999998</v>
      </c>
      <c r="I12649" t="s">
        <v>8094</v>
      </c>
      <c r="J12649" t="s">
        <v>59</v>
      </c>
      <c r="K12649" t="str">
        <f t="shared" si="521"/>
        <v>6F3</v>
      </c>
      <c r="L12649" t="s">
        <v>15</v>
      </c>
    </row>
    <row r="12650" spans="1:12" x14ac:dyDescent="0.25">
      <c r="A12650" t="str">
        <f>"9162125302"</f>
        <v>9162125302</v>
      </c>
      <c r="B12650" t="str">
        <f t="shared" si="520"/>
        <v>89301000</v>
      </c>
      <c r="C12650" s="1">
        <v>44337</v>
      </c>
      <c r="D12650" s="1">
        <v>44348</v>
      </c>
      <c r="E12650">
        <v>1</v>
      </c>
      <c r="F12650" t="s">
        <v>116</v>
      </c>
      <c r="G12650" t="str">
        <f>"14-M01-05"</f>
        <v>14-M01-05</v>
      </c>
      <c r="H12650">
        <v>0.8659</v>
      </c>
      <c r="I12650" t="s">
        <v>8095</v>
      </c>
      <c r="J12650" t="s">
        <v>59</v>
      </c>
      <c r="K12650" t="str">
        <f t="shared" si="521"/>
        <v>6F3</v>
      </c>
      <c r="L12650" t="s">
        <v>15</v>
      </c>
    </row>
    <row r="12651" spans="1:12" x14ac:dyDescent="0.25">
      <c r="A12651" t="str">
        <f>"9162193282"</f>
        <v>9162193282</v>
      </c>
      <c r="B12651" t="str">
        <f t="shared" si="520"/>
        <v>89301000</v>
      </c>
      <c r="C12651" s="1">
        <v>44336</v>
      </c>
      <c r="D12651" s="1">
        <v>44360</v>
      </c>
      <c r="E12651">
        <v>1</v>
      </c>
      <c r="F12651" t="s">
        <v>116</v>
      </c>
      <c r="G12651" t="str">
        <f>"14-M01-02"</f>
        <v>14-M01-02</v>
      </c>
      <c r="H12651">
        <v>2.2303999999999999</v>
      </c>
      <c r="I12651" t="s">
        <v>8096</v>
      </c>
      <c r="J12651" t="s">
        <v>59</v>
      </c>
      <c r="K12651" t="str">
        <f t="shared" si="521"/>
        <v>6F3</v>
      </c>
      <c r="L12651" t="s">
        <v>15</v>
      </c>
    </row>
    <row r="12652" spans="1:12" x14ac:dyDescent="0.25">
      <c r="A12652" t="str">
        <f>"9162195383"</f>
        <v>9162195383</v>
      </c>
      <c r="B12652" t="str">
        <f t="shared" si="520"/>
        <v>89301000</v>
      </c>
      <c r="C12652" s="1">
        <v>44235</v>
      </c>
      <c r="D12652" s="1">
        <v>44239</v>
      </c>
      <c r="E12652">
        <v>1</v>
      </c>
      <c r="F12652" t="s">
        <v>8097</v>
      </c>
      <c r="G12652" t="str">
        <f>"08-K01-03"</f>
        <v>08-K01-03</v>
      </c>
      <c r="H12652">
        <v>0.65310000000000001</v>
      </c>
      <c r="I12652" t="s">
        <v>8098</v>
      </c>
      <c r="J12652" t="s">
        <v>14</v>
      </c>
      <c r="K12652" t="str">
        <f>"1F9"</f>
        <v>1F9</v>
      </c>
      <c r="L12652" t="s">
        <v>15</v>
      </c>
    </row>
    <row r="12653" spans="1:12" x14ac:dyDescent="0.25">
      <c r="A12653" t="str">
        <f>"9162204843"</f>
        <v>9162204843</v>
      </c>
      <c r="B12653" t="str">
        <f t="shared" si="520"/>
        <v>89301000</v>
      </c>
      <c r="C12653" s="1">
        <v>44371</v>
      </c>
      <c r="D12653" s="1">
        <v>44384</v>
      </c>
      <c r="E12653">
        <v>1</v>
      </c>
      <c r="F12653" t="s">
        <v>25</v>
      </c>
      <c r="G12653" t="str">
        <f>"19-K04-02"</f>
        <v>19-K04-02</v>
      </c>
      <c r="H12653">
        <v>1.4597</v>
      </c>
      <c r="I12653" t="s">
        <v>8099</v>
      </c>
      <c r="J12653" t="s">
        <v>27</v>
      </c>
      <c r="K12653" t="str">
        <f>"3F5"</f>
        <v>3F5</v>
      </c>
      <c r="L12653" t="s">
        <v>15</v>
      </c>
    </row>
    <row r="12654" spans="1:12" x14ac:dyDescent="0.25">
      <c r="A12654" t="str">
        <f>"9162205734"</f>
        <v>9162205734</v>
      </c>
      <c r="B12654" t="str">
        <f t="shared" si="520"/>
        <v>89301000</v>
      </c>
      <c r="C12654" s="1">
        <v>44248</v>
      </c>
      <c r="D12654" s="1">
        <v>44251</v>
      </c>
      <c r="E12654">
        <v>1</v>
      </c>
      <c r="F12654" t="s">
        <v>51</v>
      </c>
      <c r="G12654" t="str">
        <f>"13-I17-00"</f>
        <v>13-I17-00</v>
      </c>
      <c r="H12654">
        <v>0.74590000000000001</v>
      </c>
      <c r="J12654" t="s">
        <v>24</v>
      </c>
      <c r="K12654" t="str">
        <f>"6F3"</f>
        <v>6F3</v>
      </c>
      <c r="L12654" t="s">
        <v>15</v>
      </c>
    </row>
    <row r="12655" spans="1:12" x14ac:dyDescent="0.25">
      <c r="A12655" t="str">
        <f>"9162215722"</f>
        <v>9162215722</v>
      </c>
      <c r="B12655" t="str">
        <f t="shared" si="520"/>
        <v>89301000</v>
      </c>
      <c r="C12655" s="1">
        <v>44352</v>
      </c>
      <c r="D12655" s="1">
        <v>44354</v>
      </c>
      <c r="E12655">
        <v>1</v>
      </c>
      <c r="F12655" t="s">
        <v>75</v>
      </c>
      <c r="G12655" t="str">
        <f>"14-M01-05"</f>
        <v>14-M01-05</v>
      </c>
      <c r="H12655">
        <v>0.54239999999999999</v>
      </c>
      <c r="J12655" t="s">
        <v>59</v>
      </c>
      <c r="K12655" t="str">
        <f>"6F3"</f>
        <v>6F3</v>
      </c>
      <c r="L12655" t="s">
        <v>15</v>
      </c>
    </row>
    <row r="12656" spans="1:12" x14ac:dyDescent="0.25">
      <c r="A12656" t="str">
        <f>"9162216173"</f>
        <v>9162216173</v>
      </c>
      <c r="B12656" t="str">
        <f t="shared" si="520"/>
        <v>89301000</v>
      </c>
      <c r="C12656" s="1">
        <v>44251</v>
      </c>
      <c r="D12656" s="1">
        <v>44253</v>
      </c>
      <c r="E12656">
        <v>1</v>
      </c>
      <c r="F12656" t="s">
        <v>75</v>
      </c>
      <c r="G12656" t="str">
        <f>"14-M01-05"</f>
        <v>14-M01-05</v>
      </c>
      <c r="H12656">
        <v>0.54239999999999999</v>
      </c>
      <c r="I12656" t="s">
        <v>7420</v>
      </c>
      <c r="J12656" t="s">
        <v>59</v>
      </c>
      <c r="K12656" t="str">
        <f>"6F3"</f>
        <v>6F3</v>
      </c>
      <c r="L12656" t="s">
        <v>15</v>
      </c>
    </row>
    <row r="12657" spans="1:12" x14ac:dyDescent="0.25">
      <c r="A12657" t="str">
        <f>"9162245719"</f>
        <v>9162245719</v>
      </c>
      <c r="B12657" t="str">
        <f t="shared" si="520"/>
        <v>89301000</v>
      </c>
      <c r="C12657" s="1">
        <v>44453</v>
      </c>
      <c r="D12657" s="1">
        <v>44457</v>
      </c>
      <c r="E12657">
        <v>1</v>
      </c>
      <c r="F12657" t="s">
        <v>61</v>
      </c>
      <c r="G12657" t="str">
        <f>"14-I01-05"</f>
        <v>14-I01-05</v>
      </c>
      <c r="H12657">
        <v>0.80030000000000001</v>
      </c>
      <c r="I12657" t="s">
        <v>8100</v>
      </c>
      <c r="J12657" t="s">
        <v>59</v>
      </c>
      <c r="K12657" t="str">
        <f>"6F3"</f>
        <v>6F3</v>
      </c>
      <c r="L12657" t="s">
        <v>15</v>
      </c>
    </row>
    <row r="12658" spans="1:12" x14ac:dyDescent="0.25">
      <c r="A12658" t="str">
        <f>"9162255707"</f>
        <v>9162255707</v>
      </c>
      <c r="B12658" t="str">
        <f t="shared" si="520"/>
        <v>89301000</v>
      </c>
      <c r="C12658" s="1">
        <v>44204</v>
      </c>
      <c r="D12658" s="1">
        <v>44208</v>
      </c>
      <c r="E12658">
        <v>1</v>
      </c>
      <c r="F12658" t="s">
        <v>217</v>
      </c>
      <c r="G12658" t="str">
        <f>"04-K02-04"</f>
        <v>04-K02-04</v>
      </c>
      <c r="H12658">
        <v>0.82469999999999999</v>
      </c>
      <c r="I12658" t="s">
        <v>274</v>
      </c>
      <c r="J12658" t="s">
        <v>14</v>
      </c>
      <c r="K12658" t="str">
        <f>"1F1"</f>
        <v>1F1</v>
      </c>
      <c r="L12658" t="s">
        <v>15</v>
      </c>
    </row>
    <row r="12659" spans="1:12" x14ac:dyDescent="0.25">
      <c r="A12659" t="str">
        <f>"9162285715"</f>
        <v>9162285715</v>
      </c>
      <c r="B12659" t="str">
        <f t="shared" si="520"/>
        <v>89301000</v>
      </c>
      <c r="C12659" s="1">
        <v>44304</v>
      </c>
      <c r="D12659" s="1">
        <v>44306</v>
      </c>
      <c r="E12659">
        <v>1</v>
      </c>
      <c r="F12659" t="s">
        <v>100</v>
      </c>
      <c r="G12659" t="str">
        <f>"14-I04-00"</f>
        <v>14-I04-00</v>
      </c>
      <c r="H12659">
        <v>0.78749999999999998</v>
      </c>
      <c r="I12659" t="s">
        <v>101</v>
      </c>
      <c r="J12659" t="s">
        <v>24</v>
      </c>
      <c r="K12659" t="str">
        <f>"6F3"</f>
        <v>6F3</v>
      </c>
      <c r="L12659" t="s">
        <v>15</v>
      </c>
    </row>
    <row r="12660" spans="1:12" x14ac:dyDescent="0.25">
      <c r="A12660" t="str">
        <f>"9162304844"</f>
        <v>9162304844</v>
      </c>
      <c r="B12660" t="str">
        <f t="shared" si="520"/>
        <v>89301000</v>
      </c>
      <c r="C12660" s="1">
        <v>44443</v>
      </c>
      <c r="D12660" s="1">
        <v>44443</v>
      </c>
      <c r="E12660">
        <v>5</v>
      </c>
      <c r="F12660" t="s">
        <v>91</v>
      </c>
      <c r="G12660" t="str">
        <f>"14-K03-02"</f>
        <v>14-K03-02</v>
      </c>
      <c r="H12660">
        <v>0.13270000000000001</v>
      </c>
      <c r="J12660" t="s">
        <v>14</v>
      </c>
      <c r="K12660" t="str">
        <f>"6F3"</f>
        <v>6F3</v>
      </c>
      <c r="L12660" t="s">
        <v>15</v>
      </c>
    </row>
    <row r="12661" spans="1:12" x14ac:dyDescent="0.25">
      <c r="A12661" t="str">
        <f>"9162315723"</f>
        <v>9162315723</v>
      </c>
      <c r="B12661" t="str">
        <f t="shared" si="520"/>
        <v>89301000</v>
      </c>
      <c r="C12661" s="1">
        <v>44309</v>
      </c>
      <c r="D12661" s="1">
        <v>44316</v>
      </c>
      <c r="E12661">
        <v>1</v>
      </c>
      <c r="F12661" t="s">
        <v>112</v>
      </c>
      <c r="G12661" t="str">
        <f>"14-M01-05"</f>
        <v>14-M01-05</v>
      </c>
      <c r="H12661">
        <v>0.60709999999999997</v>
      </c>
      <c r="I12661" t="s">
        <v>8101</v>
      </c>
      <c r="J12661" t="s">
        <v>59</v>
      </c>
      <c r="K12661" t="str">
        <f>"6F3"</f>
        <v>6F3</v>
      </c>
      <c r="L12661" t="s">
        <v>15</v>
      </c>
    </row>
    <row r="12662" spans="1:12" x14ac:dyDescent="0.25">
      <c r="A12662" t="str">
        <f>"9201206102"</f>
        <v>9201206102</v>
      </c>
      <c r="B12662" t="str">
        <f t="shared" si="520"/>
        <v>89301000</v>
      </c>
      <c r="C12662" s="1">
        <v>44544</v>
      </c>
      <c r="D12662" s="1">
        <v>44545</v>
      </c>
      <c r="E12662">
        <v>1</v>
      </c>
      <c r="F12662" t="s">
        <v>41</v>
      </c>
      <c r="G12662" t="str">
        <f>"01-D01-03"</f>
        <v>01-D01-03</v>
      </c>
      <c r="H12662">
        <v>0.158</v>
      </c>
      <c r="J12662" t="s">
        <v>14</v>
      </c>
      <c r="K12662" t="str">
        <f>"2F5"</f>
        <v>2F5</v>
      </c>
      <c r="L12662" t="s">
        <v>15</v>
      </c>
    </row>
    <row r="12663" spans="1:12" x14ac:dyDescent="0.25">
      <c r="A12663" t="str">
        <f>"9201235703"</f>
        <v>9201235703</v>
      </c>
      <c r="B12663" t="str">
        <f t="shared" si="520"/>
        <v>89301000</v>
      </c>
      <c r="C12663" s="1">
        <v>44333</v>
      </c>
      <c r="D12663" s="1">
        <v>44336</v>
      </c>
      <c r="E12663">
        <v>1</v>
      </c>
      <c r="F12663" t="s">
        <v>8057</v>
      </c>
      <c r="G12663" t="str">
        <f>"08-I19-03"</f>
        <v>08-I19-03</v>
      </c>
      <c r="H12663">
        <v>0.63029999999999997</v>
      </c>
      <c r="I12663" t="s">
        <v>30</v>
      </c>
      <c r="J12663" t="s">
        <v>17</v>
      </c>
      <c r="K12663" t="str">
        <f>"6F6"</f>
        <v>6F6</v>
      </c>
      <c r="L12663" t="s">
        <v>15</v>
      </c>
    </row>
    <row r="12664" spans="1:12" x14ac:dyDescent="0.25">
      <c r="A12664" t="str">
        <f>"9202025734"</f>
        <v>9202025734</v>
      </c>
      <c r="B12664" t="str">
        <f t="shared" si="520"/>
        <v>89301000</v>
      </c>
      <c r="C12664" s="1">
        <v>44333</v>
      </c>
      <c r="D12664" s="1">
        <v>44336</v>
      </c>
      <c r="E12664">
        <v>1</v>
      </c>
      <c r="F12664" t="s">
        <v>366</v>
      </c>
      <c r="G12664" t="str">
        <f>"08-I24-01"</f>
        <v>08-I24-01</v>
      </c>
      <c r="H12664">
        <v>1.0648</v>
      </c>
      <c r="J12664" t="s">
        <v>14</v>
      </c>
      <c r="K12664" t="str">
        <f>"6F6"</f>
        <v>6F6</v>
      </c>
      <c r="L12664" t="s">
        <v>15</v>
      </c>
    </row>
    <row r="12665" spans="1:12" x14ac:dyDescent="0.25">
      <c r="A12665" t="str">
        <f>"9202034853"</f>
        <v>9202034853</v>
      </c>
      <c r="B12665" t="str">
        <f t="shared" si="520"/>
        <v>89301000</v>
      </c>
      <c r="C12665" s="1">
        <v>44434</v>
      </c>
      <c r="D12665" s="1">
        <v>44435</v>
      </c>
      <c r="E12665">
        <v>1</v>
      </c>
      <c r="F12665" t="s">
        <v>210</v>
      </c>
      <c r="G12665" t="str">
        <f>"08-I15-03"</f>
        <v>08-I15-03</v>
      </c>
      <c r="H12665">
        <v>1.1838</v>
      </c>
      <c r="I12665" t="s">
        <v>298</v>
      </c>
      <c r="J12665" t="s">
        <v>17</v>
      </c>
      <c r="K12665" t="str">
        <f>"5F3"</f>
        <v>5F3</v>
      </c>
      <c r="L12665" t="s">
        <v>15</v>
      </c>
    </row>
    <row r="12666" spans="1:12" x14ac:dyDescent="0.25">
      <c r="A12666" t="str">
        <f>"9202204869"</f>
        <v>9202204869</v>
      </c>
      <c r="B12666" t="str">
        <f t="shared" si="520"/>
        <v>89301000</v>
      </c>
      <c r="C12666" s="1">
        <v>44447</v>
      </c>
      <c r="D12666" s="1">
        <v>44459</v>
      </c>
      <c r="E12666">
        <v>1</v>
      </c>
      <c r="F12666" t="s">
        <v>600</v>
      </c>
      <c r="G12666" t="str">
        <f>"01-I06-04"</f>
        <v>01-I06-04</v>
      </c>
      <c r="H12666">
        <v>3.6231</v>
      </c>
      <c r="I12666" t="s">
        <v>994</v>
      </c>
      <c r="J12666" t="s">
        <v>17</v>
      </c>
      <c r="K12666" t="str">
        <f>"5F6"</f>
        <v>5F6</v>
      </c>
      <c r="L12666" t="s">
        <v>15</v>
      </c>
    </row>
    <row r="12667" spans="1:12" x14ac:dyDescent="0.25">
      <c r="A12667" t="str">
        <f>"9202204869"</f>
        <v>9202204869</v>
      </c>
      <c r="B12667" t="str">
        <f t="shared" si="520"/>
        <v>89301000</v>
      </c>
      <c r="C12667" s="1">
        <v>44488</v>
      </c>
      <c r="D12667" s="1">
        <v>44495</v>
      </c>
      <c r="E12667">
        <v>1</v>
      </c>
      <c r="F12667" t="s">
        <v>1481</v>
      </c>
      <c r="G12667" t="str">
        <f>"01-I06-04"</f>
        <v>01-I06-04</v>
      </c>
      <c r="H12667">
        <v>3.6231</v>
      </c>
      <c r="I12667" t="s">
        <v>994</v>
      </c>
      <c r="J12667" t="s">
        <v>17</v>
      </c>
      <c r="K12667" t="str">
        <f>"5F6"</f>
        <v>5F6</v>
      </c>
      <c r="L12667" t="s">
        <v>15</v>
      </c>
    </row>
    <row r="12668" spans="1:12" x14ac:dyDescent="0.25">
      <c r="A12668" t="str">
        <f>"9202204869"</f>
        <v>9202204869</v>
      </c>
      <c r="B12668" t="str">
        <f t="shared" si="520"/>
        <v>89301000</v>
      </c>
      <c r="C12668" s="1">
        <v>44383</v>
      </c>
      <c r="D12668" s="1">
        <v>44385</v>
      </c>
      <c r="E12668">
        <v>5</v>
      </c>
      <c r="F12668" t="s">
        <v>8102</v>
      </c>
      <c r="G12668" t="str">
        <f>"01-I07-02"</f>
        <v>01-I07-02</v>
      </c>
      <c r="H12668">
        <v>2.6398999999999999</v>
      </c>
      <c r="I12668" t="s">
        <v>994</v>
      </c>
      <c r="J12668" t="s">
        <v>17</v>
      </c>
      <c r="K12668" t="str">
        <f>"5T6"</f>
        <v>5T6</v>
      </c>
      <c r="L12668" t="s">
        <v>15</v>
      </c>
    </row>
    <row r="12669" spans="1:12" x14ac:dyDescent="0.25">
      <c r="A12669" t="str">
        <f>"9202215726"</f>
        <v>9202215726</v>
      </c>
      <c r="B12669" t="str">
        <f t="shared" si="520"/>
        <v>89301000</v>
      </c>
      <c r="C12669" s="1">
        <v>44473</v>
      </c>
      <c r="D12669" s="1">
        <v>44474</v>
      </c>
      <c r="E12669">
        <v>1</v>
      </c>
      <c r="F12669" t="s">
        <v>767</v>
      </c>
      <c r="G12669" t="str">
        <f>"03-I22-03"</f>
        <v>03-I22-03</v>
      </c>
      <c r="H12669">
        <v>0.49049999999999999</v>
      </c>
      <c r="I12669" t="s">
        <v>41</v>
      </c>
      <c r="J12669" t="s">
        <v>14</v>
      </c>
      <c r="K12669" t="str">
        <f>"7F1"</f>
        <v>7F1</v>
      </c>
      <c r="L12669" t="s">
        <v>15</v>
      </c>
    </row>
    <row r="12670" spans="1:12" x14ac:dyDescent="0.25">
      <c r="A12670" t="str">
        <f>"9202246152"</f>
        <v>9202246152</v>
      </c>
      <c r="B12670" t="str">
        <f t="shared" si="520"/>
        <v>89301000</v>
      </c>
      <c r="C12670" s="1">
        <v>44344</v>
      </c>
      <c r="D12670" s="1">
        <v>44351</v>
      </c>
      <c r="E12670">
        <v>1</v>
      </c>
      <c r="F12670" t="s">
        <v>6834</v>
      </c>
      <c r="G12670" t="str">
        <f>"16-C01-02"</f>
        <v>16-C01-02</v>
      </c>
      <c r="H12670">
        <v>2.3643000000000001</v>
      </c>
      <c r="I12670" t="s">
        <v>8103</v>
      </c>
      <c r="J12670" t="s">
        <v>14</v>
      </c>
      <c r="K12670" t="str">
        <f>"2F2"</f>
        <v>2F2</v>
      </c>
      <c r="L12670" t="s">
        <v>15</v>
      </c>
    </row>
    <row r="12671" spans="1:12" x14ac:dyDescent="0.25">
      <c r="A12671" t="str">
        <f>"9203065751"</f>
        <v>9203065751</v>
      </c>
      <c r="B12671" t="str">
        <f t="shared" si="520"/>
        <v>89301000</v>
      </c>
      <c r="C12671" s="1">
        <v>44384</v>
      </c>
      <c r="D12671" s="1">
        <v>44387</v>
      </c>
      <c r="E12671">
        <v>1</v>
      </c>
      <c r="F12671" t="s">
        <v>300</v>
      </c>
      <c r="G12671" t="str">
        <f>"11-M03-02"</f>
        <v>11-M03-02</v>
      </c>
      <c r="H12671">
        <v>1.2824</v>
      </c>
      <c r="I12671" t="s">
        <v>402</v>
      </c>
      <c r="J12671" t="s">
        <v>17</v>
      </c>
      <c r="K12671" t="str">
        <f>"7F6"</f>
        <v>7F6</v>
      </c>
      <c r="L12671" t="s">
        <v>15</v>
      </c>
    </row>
    <row r="12672" spans="1:12" x14ac:dyDescent="0.25">
      <c r="A12672" t="str">
        <f>"9203085705"</f>
        <v>9203085705</v>
      </c>
      <c r="B12672" t="str">
        <f t="shared" si="520"/>
        <v>89301000</v>
      </c>
      <c r="C12672" s="1">
        <v>44410</v>
      </c>
      <c r="D12672" s="1">
        <v>44411</v>
      </c>
      <c r="E12672">
        <v>1</v>
      </c>
      <c r="F12672" t="s">
        <v>1599</v>
      </c>
      <c r="G12672" t="str">
        <f>"05-D01-06"</f>
        <v>05-D01-06</v>
      </c>
      <c r="H12672">
        <v>0.7611</v>
      </c>
      <c r="I12672" t="s">
        <v>8104</v>
      </c>
      <c r="J12672" t="s">
        <v>14</v>
      </c>
      <c r="K12672" t="str">
        <f>"1F1"</f>
        <v>1F1</v>
      </c>
      <c r="L12672" t="s">
        <v>15</v>
      </c>
    </row>
    <row r="12673" spans="1:12" x14ac:dyDescent="0.25">
      <c r="A12673" t="str">
        <f>"9203225504"</f>
        <v>9203225504</v>
      </c>
      <c r="B12673" t="str">
        <f t="shared" si="520"/>
        <v>89301000</v>
      </c>
      <c r="C12673" s="1">
        <v>44510</v>
      </c>
      <c r="D12673" s="1">
        <v>44524</v>
      </c>
      <c r="E12673">
        <v>1</v>
      </c>
      <c r="F12673" t="s">
        <v>109</v>
      </c>
      <c r="G12673" t="str">
        <f>"24-M07-02"</f>
        <v>24-M07-02</v>
      </c>
      <c r="H12673">
        <v>1.5094000000000001</v>
      </c>
      <c r="I12673" t="s">
        <v>8105</v>
      </c>
      <c r="J12673" t="s">
        <v>14</v>
      </c>
      <c r="K12673" t="str">
        <f>"2F1"</f>
        <v>2F1</v>
      </c>
      <c r="L12673" t="s">
        <v>15</v>
      </c>
    </row>
    <row r="12674" spans="1:12" x14ac:dyDescent="0.25">
      <c r="A12674" t="str">
        <f>"9204024841"</f>
        <v>9204024841</v>
      </c>
      <c r="B12674" t="str">
        <f t="shared" si="520"/>
        <v>89301000</v>
      </c>
      <c r="C12674" s="1">
        <v>44384</v>
      </c>
      <c r="D12674" s="1">
        <v>44388</v>
      </c>
      <c r="E12674">
        <v>1</v>
      </c>
      <c r="F12674" t="s">
        <v>114</v>
      </c>
      <c r="G12674" t="str">
        <f>"03-I17-00"</f>
        <v>03-I17-00</v>
      </c>
      <c r="H12674">
        <v>0.84960000000000002</v>
      </c>
      <c r="I12674" t="s">
        <v>234</v>
      </c>
      <c r="J12674" t="s">
        <v>24</v>
      </c>
      <c r="K12674" t="str">
        <f>"7F1"</f>
        <v>7F1</v>
      </c>
      <c r="L12674" t="s">
        <v>15</v>
      </c>
    </row>
    <row r="12675" spans="1:12" x14ac:dyDescent="0.25">
      <c r="A12675" t="str">
        <f>"9204195704"</f>
        <v>9204195704</v>
      </c>
      <c r="B12675" t="str">
        <f t="shared" si="520"/>
        <v>89301000</v>
      </c>
      <c r="C12675" s="1">
        <v>44230</v>
      </c>
      <c r="D12675" s="1">
        <v>44235</v>
      </c>
      <c r="E12675">
        <v>1</v>
      </c>
      <c r="F12675" t="s">
        <v>77</v>
      </c>
      <c r="G12675" t="str">
        <f>"19-K02-03"</f>
        <v>19-K02-03</v>
      </c>
      <c r="H12675">
        <v>0.67269999999999996</v>
      </c>
      <c r="I12675" t="s">
        <v>8106</v>
      </c>
      <c r="J12675" t="s">
        <v>27</v>
      </c>
      <c r="K12675" t="str">
        <f>"3F5"</f>
        <v>3F5</v>
      </c>
      <c r="L12675" t="s">
        <v>15</v>
      </c>
    </row>
    <row r="12676" spans="1:12" x14ac:dyDescent="0.25">
      <c r="A12676" t="str">
        <f>"9204225712"</f>
        <v>9204225712</v>
      </c>
      <c r="B12676" t="str">
        <f t="shared" si="520"/>
        <v>89301000</v>
      </c>
      <c r="C12676" s="1">
        <v>44244</v>
      </c>
      <c r="D12676" s="1">
        <v>44247</v>
      </c>
      <c r="E12676">
        <v>1</v>
      </c>
      <c r="F12676" t="s">
        <v>8107</v>
      </c>
      <c r="G12676" t="str">
        <f>"03-I14-02"</f>
        <v>03-I14-02</v>
      </c>
      <c r="H12676">
        <v>1.1086</v>
      </c>
      <c r="I12676" t="s">
        <v>8108</v>
      </c>
      <c r="J12676" t="s">
        <v>14</v>
      </c>
      <c r="K12676" t="str">
        <f>"7F1"</f>
        <v>7F1</v>
      </c>
      <c r="L12676" t="s">
        <v>15</v>
      </c>
    </row>
    <row r="12677" spans="1:12" x14ac:dyDescent="0.25">
      <c r="A12677" t="str">
        <f>"9205215778"</f>
        <v>9205215778</v>
      </c>
      <c r="B12677" t="str">
        <f t="shared" si="520"/>
        <v>89301000</v>
      </c>
      <c r="C12677" s="1">
        <v>44447</v>
      </c>
      <c r="D12677" s="1">
        <v>44453</v>
      </c>
      <c r="E12677">
        <v>1</v>
      </c>
      <c r="F12677" t="s">
        <v>8109</v>
      </c>
      <c r="G12677" t="str">
        <f>"01-K02-04"</f>
        <v>01-K02-04</v>
      </c>
      <c r="H12677">
        <v>1.2841</v>
      </c>
      <c r="I12677" t="s">
        <v>8110</v>
      </c>
      <c r="J12677" t="s">
        <v>14</v>
      </c>
      <c r="K12677" t="str">
        <f>"2F9"</f>
        <v>2F9</v>
      </c>
      <c r="L12677" t="s">
        <v>15</v>
      </c>
    </row>
    <row r="12678" spans="1:12" x14ac:dyDescent="0.25">
      <c r="A12678" t="str">
        <f>"9205224853"</f>
        <v>9205224853</v>
      </c>
      <c r="B12678" t="str">
        <f t="shared" si="520"/>
        <v>89301000</v>
      </c>
      <c r="C12678" s="1">
        <v>44419</v>
      </c>
      <c r="D12678" s="1">
        <v>44421</v>
      </c>
      <c r="E12678">
        <v>1</v>
      </c>
      <c r="F12678" t="s">
        <v>1561</v>
      </c>
      <c r="G12678" t="str">
        <f>"07-M02-04"</f>
        <v>07-M02-04</v>
      </c>
      <c r="H12678">
        <v>0.92410000000000003</v>
      </c>
      <c r="I12678" t="s">
        <v>8111</v>
      </c>
      <c r="J12678" t="s">
        <v>17</v>
      </c>
      <c r="K12678" t="str">
        <f>"1F5"</f>
        <v>1F5</v>
      </c>
      <c r="L12678" t="s">
        <v>15</v>
      </c>
    </row>
    <row r="12679" spans="1:12" x14ac:dyDescent="0.25">
      <c r="A12679" t="str">
        <f>"9205275772"</f>
        <v>9205275772</v>
      </c>
      <c r="B12679" t="str">
        <f t="shared" si="520"/>
        <v>89301000</v>
      </c>
      <c r="C12679" s="1">
        <v>44322</v>
      </c>
      <c r="D12679" s="1">
        <v>44328</v>
      </c>
      <c r="E12679">
        <v>1</v>
      </c>
      <c r="F12679" t="s">
        <v>3749</v>
      </c>
      <c r="G12679" t="str">
        <f>"01-K02-04"</f>
        <v>01-K02-04</v>
      </c>
      <c r="H12679">
        <v>1.1076999999999999</v>
      </c>
      <c r="J12679" t="s">
        <v>14</v>
      </c>
      <c r="K12679" t="str">
        <f>"2F9"</f>
        <v>2F9</v>
      </c>
      <c r="L12679" t="s">
        <v>15</v>
      </c>
    </row>
    <row r="12680" spans="1:12" x14ac:dyDescent="0.25">
      <c r="A12680" t="str">
        <f>"9205285716"</f>
        <v>9205285716</v>
      </c>
      <c r="B12680" t="str">
        <f t="shared" si="520"/>
        <v>89301000</v>
      </c>
      <c r="C12680" s="1">
        <v>44530</v>
      </c>
      <c r="D12680" s="1">
        <v>44537</v>
      </c>
      <c r="E12680">
        <v>1</v>
      </c>
      <c r="F12680" t="s">
        <v>575</v>
      </c>
      <c r="G12680" t="str">
        <f>"18-K02-03"</f>
        <v>18-K02-03</v>
      </c>
      <c r="H12680">
        <v>0.87570000000000003</v>
      </c>
      <c r="I12680" t="s">
        <v>6372</v>
      </c>
      <c r="J12680" t="s">
        <v>14</v>
      </c>
      <c r="K12680" t="str">
        <f>"5F3"</f>
        <v>5F3</v>
      </c>
      <c r="L12680" t="s">
        <v>15</v>
      </c>
    </row>
    <row r="12681" spans="1:12" x14ac:dyDescent="0.25">
      <c r="A12681" t="str">
        <f>"9205285716"</f>
        <v>9205285716</v>
      </c>
      <c r="B12681" t="str">
        <f t="shared" si="520"/>
        <v>89301000</v>
      </c>
      <c r="C12681" s="1">
        <v>44407</v>
      </c>
      <c r="D12681" s="1">
        <v>44421</v>
      </c>
      <c r="E12681">
        <v>4</v>
      </c>
      <c r="F12681" t="s">
        <v>199</v>
      </c>
      <c r="G12681" t="str">
        <f>"00-M01-01"</f>
        <v>00-M01-01</v>
      </c>
      <c r="H12681">
        <v>16.479500000000002</v>
      </c>
      <c r="I12681" t="s">
        <v>8112</v>
      </c>
      <c r="J12681" t="s">
        <v>14</v>
      </c>
      <c r="K12681" t="str">
        <f>"5F3"</f>
        <v>5F3</v>
      </c>
      <c r="L12681" t="s">
        <v>15</v>
      </c>
    </row>
    <row r="12682" spans="1:12" x14ac:dyDescent="0.25">
      <c r="A12682" t="str">
        <f>"9205304845"</f>
        <v>9205304845</v>
      </c>
      <c r="B12682" t="str">
        <f t="shared" si="520"/>
        <v>89301000</v>
      </c>
      <c r="C12682" s="1">
        <v>44496</v>
      </c>
      <c r="D12682" s="1">
        <v>44499</v>
      </c>
      <c r="E12682">
        <v>1</v>
      </c>
      <c r="F12682" t="s">
        <v>173</v>
      </c>
      <c r="G12682" t="str">
        <f>"08-I32-02"</f>
        <v>08-I32-02</v>
      </c>
      <c r="H12682">
        <v>0.4143</v>
      </c>
      <c r="J12682" t="s">
        <v>14</v>
      </c>
      <c r="K12682" t="str">
        <f>"5F3"</f>
        <v>5F3</v>
      </c>
      <c r="L12682" t="s">
        <v>15</v>
      </c>
    </row>
    <row r="12683" spans="1:12" x14ac:dyDescent="0.25">
      <c r="A12683" t="str">
        <f>"9206033804"</f>
        <v>9206033804</v>
      </c>
      <c r="B12683" t="str">
        <f t="shared" si="520"/>
        <v>89301000</v>
      </c>
      <c r="C12683" s="1">
        <v>44499</v>
      </c>
      <c r="D12683" s="1">
        <v>44501</v>
      </c>
      <c r="E12683">
        <v>1</v>
      </c>
      <c r="F12683" t="s">
        <v>96</v>
      </c>
      <c r="G12683" t="str">
        <f>"11-I17-03"</f>
        <v>11-I17-03</v>
      </c>
      <c r="H12683">
        <v>0.50609999999999999</v>
      </c>
      <c r="J12683" t="s">
        <v>14</v>
      </c>
      <c r="K12683" t="str">
        <f>"7F6"</f>
        <v>7F6</v>
      </c>
      <c r="L12683" t="s">
        <v>15</v>
      </c>
    </row>
    <row r="12684" spans="1:12" x14ac:dyDescent="0.25">
      <c r="A12684" t="str">
        <f>"9206144849"</f>
        <v>9206144849</v>
      </c>
      <c r="B12684" t="str">
        <f t="shared" si="520"/>
        <v>89301000</v>
      </c>
      <c r="C12684" s="1">
        <v>44257</v>
      </c>
      <c r="D12684" s="1">
        <v>44265</v>
      </c>
      <c r="E12684">
        <v>1</v>
      </c>
      <c r="F12684" t="s">
        <v>544</v>
      </c>
      <c r="G12684" t="str">
        <f>"09-K02-00"</f>
        <v>09-K02-00</v>
      </c>
      <c r="H12684">
        <v>1.1361000000000001</v>
      </c>
      <c r="I12684" t="s">
        <v>8113</v>
      </c>
      <c r="J12684" t="s">
        <v>14</v>
      </c>
      <c r="K12684" t="str">
        <f>"4F4"</f>
        <v>4F4</v>
      </c>
      <c r="L12684" t="s">
        <v>15</v>
      </c>
    </row>
    <row r="12685" spans="1:12" x14ac:dyDescent="0.25">
      <c r="A12685" t="str">
        <f>"9207275704"</f>
        <v>9207275704</v>
      </c>
      <c r="B12685" t="str">
        <f t="shared" si="520"/>
        <v>89301000</v>
      </c>
      <c r="C12685" s="1">
        <v>44327</v>
      </c>
      <c r="D12685" s="1">
        <v>44331</v>
      </c>
      <c r="E12685">
        <v>1</v>
      </c>
      <c r="F12685" t="s">
        <v>167</v>
      </c>
      <c r="G12685" t="str">
        <f>"08-M03-04"</f>
        <v>08-M03-04</v>
      </c>
      <c r="H12685">
        <v>0.8609</v>
      </c>
      <c r="I12685" t="s">
        <v>4297</v>
      </c>
      <c r="J12685" t="s">
        <v>14</v>
      </c>
      <c r="K12685" t="str">
        <f>"6F6"</f>
        <v>6F6</v>
      </c>
      <c r="L12685" t="s">
        <v>15</v>
      </c>
    </row>
    <row r="12686" spans="1:12" x14ac:dyDescent="0.25">
      <c r="A12686" t="str">
        <f>"9209035770"</f>
        <v>9209035770</v>
      </c>
      <c r="B12686" t="str">
        <f t="shared" si="520"/>
        <v>89301000</v>
      </c>
      <c r="C12686" s="1">
        <v>44370</v>
      </c>
      <c r="D12686" s="1">
        <v>44378</v>
      </c>
      <c r="E12686">
        <v>1</v>
      </c>
      <c r="F12686" t="s">
        <v>8114</v>
      </c>
      <c r="G12686" t="str">
        <f>"19-K03-03"</f>
        <v>19-K03-03</v>
      </c>
      <c r="H12686">
        <v>0.93169999999999997</v>
      </c>
      <c r="I12686" t="s">
        <v>168</v>
      </c>
      <c r="J12686" t="s">
        <v>27</v>
      </c>
      <c r="K12686" t="str">
        <f>"3F5"</f>
        <v>3F5</v>
      </c>
      <c r="L12686" t="s">
        <v>15</v>
      </c>
    </row>
    <row r="12687" spans="1:12" x14ac:dyDescent="0.25">
      <c r="A12687" t="str">
        <f>"9209204851"</f>
        <v>9209204851</v>
      </c>
      <c r="B12687" t="str">
        <f t="shared" si="520"/>
        <v>89301000</v>
      </c>
      <c r="C12687" s="1">
        <v>44551</v>
      </c>
      <c r="D12687" s="1">
        <v>44557</v>
      </c>
      <c r="E12687">
        <v>4</v>
      </c>
      <c r="F12687" t="s">
        <v>4557</v>
      </c>
      <c r="G12687" t="str">
        <f>"20-K03-03"</f>
        <v>20-K03-03</v>
      </c>
      <c r="H12687">
        <v>1.0109999999999999</v>
      </c>
      <c r="I12687" t="s">
        <v>8115</v>
      </c>
      <c r="J12687" t="s">
        <v>14</v>
      </c>
      <c r="K12687" t="str">
        <f>"3F5"</f>
        <v>3F5</v>
      </c>
      <c r="L12687" t="s">
        <v>15</v>
      </c>
    </row>
    <row r="12688" spans="1:12" x14ac:dyDescent="0.25">
      <c r="A12688" t="str">
        <f>"9210264844"</f>
        <v>9210264844</v>
      </c>
      <c r="B12688" t="str">
        <f t="shared" si="520"/>
        <v>89301000</v>
      </c>
      <c r="C12688" s="1">
        <v>44351</v>
      </c>
      <c r="D12688" s="1">
        <v>44354</v>
      </c>
      <c r="E12688">
        <v>1</v>
      </c>
      <c r="F12688" t="s">
        <v>5534</v>
      </c>
      <c r="G12688" t="str">
        <f>"20-K02-03"</f>
        <v>20-K02-03</v>
      </c>
      <c r="H12688">
        <v>0.57279999999999998</v>
      </c>
      <c r="I12688" t="s">
        <v>8116</v>
      </c>
      <c r="J12688" t="s">
        <v>14</v>
      </c>
      <c r="K12688" t="str">
        <f>"3F5"</f>
        <v>3F5</v>
      </c>
      <c r="L12688" t="s">
        <v>15</v>
      </c>
    </row>
    <row r="12689" spans="1:12" x14ac:dyDescent="0.25">
      <c r="A12689" t="str">
        <f>"9210264844"</f>
        <v>9210264844</v>
      </c>
      <c r="B12689" t="str">
        <f t="shared" si="520"/>
        <v>89301000</v>
      </c>
      <c r="C12689" s="1">
        <v>44424</v>
      </c>
      <c r="D12689" s="1">
        <v>44434</v>
      </c>
      <c r="E12689">
        <v>1</v>
      </c>
      <c r="F12689" t="s">
        <v>5534</v>
      </c>
      <c r="G12689" t="str">
        <f>"20-K04-02"</f>
        <v>20-K04-02</v>
      </c>
      <c r="H12689">
        <v>1.4984</v>
      </c>
      <c r="I12689" t="s">
        <v>8117</v>
      </c>
      <c r="J12689" t="s">
        <v>14</v>
      </c>
      <c r="K12689" t="str">
        <f>"3F5"</f>
        <v>3F5</v>
      </c>
      <c r="L12689" t="s">
        <v>15</v>
      </c>
    </row>
    <row r="12690" spans="1:12" x14ac:dyDescent="0.25">
      <c r="A12690" t="str">
        <f>"9210285700"</f>
        <v>9210285700</v>
      </c>
      <c r="B12690" t="str">
        <f t="shared" si="520"/>
        <v>89301000</v>
      </c>
      <c r="C12690" s="1">
        <v>44273</v>
      </c>
      <c r="D12690" s="1">
        <v>44278</v>
      </c>
      <c r="E12690">
        <v>1</v>
      </c>
      <c r="F12690" t="s">
        <v>5250</v>
      </c>
      <c r="G12690" t="str">
        <f>"07-M02-03"</f>
        <v>07-M02-03</v>
      </c>
      <c r="H12690">
        <v>1.4930000000000001</v>
      </c>
      <c r="I12690" t="s">
        <v>8118</v>
      </c>
      <c r="J12690" t="s">
        <v>17</v>
      </c>
      <c r="K12690" t="str">
        <f>"1F1"</f>
        <v>1F1</v>
      </c>
      <c r="L12690" t="s">
        <v>15</v>
      </c>
    </row>
    <row r="12691" spans="1:12" x14ac:dyDescent="0.25">
      <c r="A12691" t="str">
        <f>"9210285700"</f>
        <v>9210285700</v>
      </c>
      <c r="B12691" t="str">
        <f t="shared" si="520"/>
        <v>89301000</v>
      </c>
      <c r="C12691" s="1">
        <v>44294</v>
      </c>
      <c r="D12691" s="1">
        <v>44298</v>
      </c>
      <c r="E12691">
        <v>1</v>
      </c>
      <c r="F12691" t="s">
        <v>589</v>
      </c>
      <c r="G12691" t="str">
        <f>"07-M02-04"</f>
        <v>07-M02-04</v>
      </c>
      <c r="H12691">
        <v>0.73929999999999996</v>
      </c>
      <c r="I12691" t="s">
        <v>8119</v>
      </c>
      <c r="J12691" t="s">
        <v>17</v>
      </c>
      <c r="K12691" t="str">
        <f>"1F1"</f>
        <v>1F1</v>
      </c>
      <c r="L12691" t="s">
        <v>15</v>
      </c>
    </row>
    <row r="12692" spans="1:12" x14ac:dyDescent="0.25">
      <c r="A12692" t="str">
        <f>"9210285700"</f>
        <v>9210285700</v>
      </c>
      <c r="B12692" t="str">
        <f t="shared" si="520"/>
        <v>89301000</v>
      </c>
      <c r="C12692" s="1">
        <v>44207</v>
      </c>
      <c r="D12692" s="1">
        <v>44252</v>
      </c>
      <c r="E12692">
        <v>1</v>
      </c>
      <c r="F12692" t="s">
        <v>5250</v>
      </c>
      <c r="G12692" t="str">
        <f>"07-M02-03"</f>
        <v>07-M02-03</v>
      </c>
      <c r="H12692">
        <v>3.6596000000000002</v>
      </c>
      <c r="I12692" t="s">
        <v>8120</v>
      </c>
      <c r="J12692" t="s">
        <v>17</v>
      </c>
      <c r="K12692" t="str">
        <f>"1F1"</f>
        <v>1F1</v>
      </c>
      <c r="L12692" t="s">
        <v>15</v>
      </c>
    </row>
    <row r="12693" spans="1:12" x14ac:dyDescent="0.25">
      <c r="A12693" t="str">
        <f>"9211085741"</f>
        <v>9211085741</v>
      </c>
      <c r="B12693" t="str">
        <f t="shared" si="520"/>
        <v>89301000</v>
      </c>
      <c r="C12693" s="1">
        <v>44227</v>
      </c>
      <c r="D12693" s="1">
        <v>44232</v>
      </c>
      <c r="E12693">
        <v>4</v>
      </c>
      <c r="F12693" t="s">
        <v>78</v>
      </c>
      <c r="G12693" t="str">
        <f>"19-K03-03"</f>
        <v>19-K03-03</v>
      </c>
      <c r="H12693">
        <v>0.93169999999999997</v>
      </c>
      <c r="I12693" t="s">
        <v>8121</v>
      </c>
      <c r="J12693" t="s">
        <v>27</v>
      </c>
      <c r="K12693" t="str">
        <f>"3F5"</f>
        <v>3F5</v>
      </c>
      <c r="L12693" t="s">
        <v>15</v>
      </c>
    </row>
    <row r="12694" spans="1:12" x14ac:dyDescent="0.25">
      <c r="A12694" t="str">
        <f>"9211144855"</f>
        <v>9211144855</v>
      </c>
      <c r="B12694" t="str">
        <f t="shared" si="520"/>
        <v>89301000</v>
      </c>
      <c r="C12694" s="1">
        <v>44389</v>
      </c>
      <c r="D12694" s="1">
        <v>44414</v>
      </c>
      <c r="E12694">
        <v>1</v>
      </c>
      <c r="F12694" t="s">
        <v>109</v>
      </c>
      <c r="G12694" t="str">
        <f>"24-M08-02"</f>
        <v>24-M08-02</v>
      </c>
      <c r="H12694">
        <v>2.3557000000000001</v>
      </c>
      <c r="I12694" t="s">
        <v>8122</v>
      </c>
      <c r="J12694" t="s">
        <v>14</v>
      </c>
      <c r="K12694" t="str">
        <f>"2F1"</f>
        <v>2F1</v>
      </c>
      <c r="L12694" t="s">
        <v>15</v>
      </c>
    </row>
    <row r="12695" spans="1:12" x14ac:dyDescent="0.25">
      <c r="A12695" t="str">
        <f>"9211144855"</f>
        <v>9211144855</v>
      </c>
      <c r="B12695" t="str">
        <f t="shared" si="520"/>
        <v>89301000</v>
      </c>
      <c r="C12695" s="1">
        <v>44270</v>
      </c>
      <c r="D12695" s="1">
        <v>44272</v>
      </c>
      <c r="E12695">
        <v>1</v>
      </c>
      <c r="F12695" t="s">
        <v>3642</v>
      </c>
      <c r="G12695" t="str">
        <f>"08-I32-02"</f>
        <v>08-I32-02</v>
      </c>
      <c r="H12695">
        <v>0.4143</v>
      </c>
      <c r="I12695" t="s">
        <v>8123</v>
      </c>
      <c r="J12695" t="s">
        <v>14</v>
      </c>
      <c r="K12695" t="str">
        <f>"5F3"</f>
        <v>5F3</v>
      </c>
      <c r="L12695" t="s">
        <v>15</v>
      </c>
    </row>
    <row r="12696" spans="1:12" x14ac:dyDescent="0.25">
      <c r="A12696" t="str">
        <f>"9211145746"</f>
        <v>9211145746</v>
      </c>
      <c r="B12696" t="str">
        <f t="shared" si="520"/>
        <v>89301000</v>
      </c>
      <c r="C12696" s="1">
        <v>44521</v>
      </c>
      <c r="D12696" s="1">
        <v>44523</v>
      </c>
      <c r="E12696">
        <v>1</v>
      </c>
      <c r="F12696" t="s">
        <v>863</v>
      </c>
      <c r="G12696" t="str">
        <f>"09-K12-00"</f>
        <v>09-K12-00</v>
      </c>
      <c r="H12696">
        <v>0.24349999999999999</v>
      </c>
      <c r="I12696" t="s">
        <v>8124</v>
      </c>
      <c r="J12696" t="s">
        <v>14</v>
      </c>
      <c r="K12696" t="str">
        <f>"6F5"</f>
        <v>6F5</v>
      </c>
      <c r="L12696" t="s">
        <v>15</v>
      </c>
    </row>
    <row r="12697" spans="1:12" x14ac:dyDescent="0.25">
      <c r="A12697" t="str">
        <f>"9212024855"</f>
        <v>9212024855</v>
      </c>
      <c r="B12697" t="str">
        <f t="shared" ref="B12697:B12760" si="522">"89301000"</f>
        <v>89301000</v>
      </c>
      <c r="C12697" s="1">
        <v>44486</v>
      </c>
      <c r="D12697" s="1">
        <v>44500</v>
      </c>
      <c r="E12697">
        <v>1</v>
      </c>
      <c r="F12697" t="s">
        <v>8125</v>
      </c>
      <c r="G12697" t="str">
        <f>"01-M01-02"</f>
        <v>01-M01-02</v>
      </c>
      <c r="H12697">
        <v>7.7656999999999998</v>
      </c>
      <c r="I12697" t="s">
        <v>1989</v>
      </c>
      <c r="J12697" t="s">
        <v>17</v>
      </c>
      <c r="K12697" t="str">
        <f>"5F6"</f>
        <v>5F6</v>
      </c>
      <c r="L12697" t="s">
        <v>15</v>
      </c>
    </row>
    <row r="12698" spans="1:12" x14ac:dyDescent="0.25">
      <c r="A12698" t="str">
        <f>"9212045700"</f>
        <v>9212045700</v>
      </c>
      <c r="B12698" t="str">
        <f t="shared" si="522"/>
        <v>89301000</v>
      </c>
      <c r="C12698" s="1">
        <v>44363</v>
      </c>
      <c r="D12698" s="1">
        <v>44365</v>
      </c>
      <c r="E12698">
        <v>1</v>
      </c>
      <c r="F12698" t="s">
        <v>173</v>
      </c>
      <c r="G12698" t="str">
        <f>"08-I32-02"</f>
        <v>08-I32-02</v>
      </c>
      <c r="H12698">
        <v>0.4143</v>
      </c>
      <c r="J12698" t="s">
        <v>14</v>
      </c>
      <c r="K12698" t="str">
        <f>"5F3"</f>
        <v>5F3</v>
      </c>
      <c r="L12698" t="s">
        <v>15</v>
      </c>
    </row>
    <row r="12699" spans="1:12" x14ac:dyDescent="0.25">
      <c r="A12699" t="str">
        <f>"9212065709"</f>
        <v>9212065709</v>
      </c>
      <c r="B12699" t="str">
        <f t="shared" si="522"/>
        <v>89301000</v>
      </c>
      <c r="C12699" s="1">
        <v>44543</v>
      </c>
      <c r="D12699" s="1">
        <v>44559</v>
      </c>
      <c r="E12699">
        <v>1</v>
      </c>
      <c r="F12699" t="s">
        <v>2977</v>
      </c>
      <c r="G12699" t="str">
        <f>"19-K05-02"</f>
        <v>19-K05-02</v>
      </c>
      <c r="H12699">
        <v>1.8835999999999999</v>
      </c>
      <c r="I12699" t="s">
        <v>8126</v>
      </c>
      <c r="J12699" t="s">
        <v>27</v>
      </c>
      <c r="K12699" t="str">
        <f>"3F5"</f>
        <v>3F5</v>
      </c>
      <c r="L12699" t="s">
        <v>15</v>
      </c>
    </row>
    <row r="12700" spans="1:12" x14ac:dyDescent="0.25">
      <c r="A12700" t="str">
        <f>"9251026158"</f>
        <v>9251026158</v>
      </c>
      <c r="B12700" t="str">
        <f t="shared" si="522"/>
        <v>89301000</v>
      </c>
      <c r="C12700" s="1">
        <v>44263</v>
      </c>
      <c r="D12700" s="1">
        <v>44266</v>
      </c>
      <c r="E12700">
        <v>1</v>
      </c>
      <c r="F12700" t="s">
        <v>61</v>
      </c>
      <c r="G12700" t="str">
        <f>"14-I01-05"</f>
        <v>14-I01-05</v>
      </c>
      <c r="H12700">
        <v>0.80030000000000001</v>
      </c>
      <c r="I12700" t="s">
        <v>62</v>
      </c>
      <c r="J12700" t="s">
        <v>59</v>
      </c>
      <c r="K12700" t="str">
        <f t="shared" ref="K12700:K12710" si="523">"6F3"</f>
        <v>6F3</v>
      </c>
      <c r="L12700" t="s">
        <v>15</v>
      </c>
    </row>
    <row r="12701" spans="1:12" x14ac:dyDescent="0.25">
      <c r="A12701" t="str">
        <f>"9251035717"</f>
        <v>9251035717</v>
      </c>
      <c r="B12701" t="str">
        <f t="shared" si="522"/>
        <v>89301000</v>
      </c>
      <c r="C12701" s="1">
        <v>44342</v>
      </c>
      <c r="D12701" s="1">
        <v>44344</v>
      </c>
      <c r="E12701">
        <v>1</v>
      </c>
      <c r="F12701" t="s">
        <v>100</v>
      </c>
      <c r="G12701" t="str">
        <f>"14-I04-00"</f>
        <v>14-I04-00</v>
      </c>
      <c r="H12701">
        <v>0.78749999999999998</v>
      </c>
      <c r="I12701" t="s">
        <v>101</v>
      </c>
      <c r="J12701" t="s">
        <v>24</v>
      </c>
      <c r="K12701" t="str">
        <f t="shared" si="523"/>
        <v>6F3</v>
      </c>
      <c r="L12701" t="s">
        <v>15</v>
      </c>
    </row>
    <row r="12702" spans="1:12" x14ac:dyDescent="0.25">
      <c r="A12702" t="str">
        <f>"9251094864"</f>
        <v>9251094864</v>
      </c>
      <c r="B12702" t="str">
        <f t="shared" si="522"/>
        <v>89301000</v>
      </c>
      <c r="C12702" s="1">
        <v>44323</v>
      </c>
      <c r="D12702" s="1">
        <v>44326</v>
      </c>
      <c r="E12702">
        <v>1</v>
      </c>
      <c r="F12702" t="s">
        <v>75</v>
      </c>
      <c r="G12702" t="str">
        <f>"14-M01-05"</f>
        <v>14-M01-05</v>
      </c>
      <c r="H12702">
        <v>0.54239999999999999</v>
      </c>
      <c r="I12702" t="s">
        <v>7770</v>
      </c>
      <c r="J12702" t="s">
        <v>59</v>
      </c>
      <c r="K12702" t="str">
        <f t="shared" si="523"/>
        <v>6F3</v>
      </c>
      <c r="L12702" t="s">
        <v>15</v>
      </c>
    </row>
    <row r="12703" spans="1:12" x14ac:dyDescent="0.25">
      <c r="A12703" t="str">
        <f>"9251095722"</f>
        <v>9251095722</v>
      </c>
      <c r="B12703" t="str">
        <f t="shared" si="522"/>
        <v>89301000</v>
      </c>
      <c r="C12703" s="1">
        <v>44530</v>
      </c>
      <c r="D12703" s="1">
        <v>44532</v>
      </c>
      <c r="E12703">
        <v>1</v>
      </c>
      <c r="F12703" t="s">
        <v>75</v>
      </c>
      <c r="G12703" t="str">
        <f>"14-M01-05"</f>
        <v>14-M01-05</v>
      </c>
      <c r="H12703">
        <v>0.54239999999999999</v>
      </c>
      <c r="I12703" t="s">
        <v>7420</v>
      </c>
      <c r="J12703" t="s">
        <v>59</v>
      </c>
      <c r="K12703" t="str">
        <f t="shared" si="523"/>
        <v>6F3</v>
      </c>
      <c r="L12703" t="s">
        <v>15</v>
      </c>
    </row>
    <row r="12704" spans="1:12" x14ac:dyDescent="0.25">
      <c r="A12704" t="str">
        <f>"9251105710"</f>
        <v>9251105710</v>
      </c>
      <c r="B12704" t="str">
        <f t="shared" si="522"/>
        <v>89301000</v>
      </c>
      <c r="C12704" s="1">
        <v>44366</v>
      </c>
      <c r="D12704" s="1">
        <v>44370</v>
      </c>
      <c r="E12704">
        <v>1</v>
      </c>
      <c r="F12704" t="s">
        <v>61</v>
      </c>
      <c r="G12704" t="str">
        <f>"14-I01-05"</f>
        <v>14-I01-05</v>
      </c>
      <c r="H12704">
        <v>0.80030000000000001</v>
      </c>
      <c r="I12704" t="s">
        <v>7572</v>
      </c>
      <c r="J12704" t="s">
        <v>59</v>
      </c>
      <c r="K12704" t="str">
        <f t="shared" si="523"/>
        <v>6F3</v>
      </c>
      <c r="L12704" t="s">
        <v>15</v>
      </c>
    </row>
    <row r="12705" spans="1:12" x14ac:dyDescent="0.25">
      <c r="A12705" t="str">
        <f>"9251165737"</f>
        <v>9251165737</v>
      </c>
      <c r="B12705" t="str">
        <f t="shared" si="522"/>
        <v>89301000</v>
      </c>
      <c r="C12705" s="1">
        <v>44432</v>
      </c>
      <c r="D12705" s="1">
        <v>44432</v>
      </c>
      <c r="E12705">
        <v>6</v>
      </c>
      <c r="F12705" t="s">
        <v>75</v>
      </c>
      <c r="G12705" t="str">
        <f>"14-M01-05"</f>
        <v>14-M01-05</v>
      </c>
      <c r="H12705">
        <v>0.27289999999999998</v>
      </c>
      <c r="I12705" t="s">
        <v>7429</v>
      </c>
      <c r="J12705" t="s">
        <v>59</v>
      </c>
      <c r="K12705" t="str">
        <f t="shared" si="523"/>
        <v>6F3</v>
      </c>
      <c r="L12705" t="s">
        <v>15</v>
      </c>
    </row>
    <row r="12706" spans="1:12" x14ac:dyDescent="0.25">
      <c r="A12706" t="str">
        <f>"9251165748"</f>
        <v>9251165748</v>
      </c>
      <c r="B12706" t="str">
        <f t="shared" si="522"/>
        <v>89301000</v>
      </c>
      <c r="C12706" s="1">
        <v>44219</v>
      </c>
      <c r="D12706" s="1">
        <v>44221</v>
      </c>
      <c r="E12706">
        <v>1</v>
      </c>
      <c r="F12706" t="s">
        <v>116</v>
      </c>
      <c r="G12706" t="str">
        <f>"14-M01-05"</f>
        <v>14-M01-05</v>
      </c>
      <c r="H12706">
        <v>0.54239999999999999</v>
      </c>
      <c r="I12706" t="s">
        <v>7520</v>
      </c>
      <c r="J12706" t="s">
        <v>59</v>
      </c>
      <c r="K12706" t="str">
        <f t="shared" si="523"/>
        <v>6F3</v>
      </c>
      <c r="L12706" t="s">
        <v>15</v>
      </c>
    </row>
    <row r="12707" spans="1:12" x14ac:dyDescent="0.25">
      <c r="A12707" t="str">
        <f>"9251214841"</f>
        <v>9251214841</v>
      </c>
      <c r="B12707" t="str">
        <f t="shared" si="522"/>
        <v>89301000</v>
      </c>
      <c r="C12707" s="1">
        <v>44555</v>
      </c>
      <c r="D12707" s="1">
        <v>44557</v>
      </c>
      <c r="E12707">
        <v>1</v>
      </c>
      <c r="F12707" t="s">
        <v>75</v>
      </c>
      <c r="G12707" t="str">
        <f>"14-M01-05"</f>
        <v>14-M01-05</v>
      </c>
      <c r="H12707">
        <v>0.54239999999999999</v>
      </c>
      <c r="I12707" t="s">
        <v>76</v>
      </c>
      <c r="J12707" t="s">
        <v>59</v>
      </c>
      <c r="K12707" t="str">
        <f t="shared" si="523"/>
        <v>6F3</v>
      </c>
      <c r="L12707" t="s">
        <v>15</v>
      </c>
    </row>
    <row r="12708" spans="1:12" x14ac:dyDescent="0.25">
      <c r="A12708" t="str">
        <f>"9252045638"</f>
        <v>9252045638</v>
      </c>
      <c r="B12708" t="str">
        <f t="shared" si="522"/>
        <v>89301000</v>
      </c>
      <c r="C12708" s="1">
        <v>44378</v>
      </c>
      <c r="D12708" s="1">
        <v>44380</v>
      </c>
      <c r="E12708">
        <v>1</v>
      </c>
      <c r="F12708" t="s">
        <v>61</v>
      </c>
      <c r="G12708" t="str">
        <f>"99-K02-00"</f>
        <v>99-K02-00</v>
      </c>
      <c r="H12708">
        <v>0.11459999999999999</v>
      </c>
      <c r="I12708" t="s">
        <v>8127</v>
      </c>
      <c r="J12708" t="s">
        <v>14</v>
      </c>
      <c r="K12708" t="str">
        <f t="shared" si="523"/>
        <v>6F3</v>
      </c>
      <c r="L12708" t="s">
        <v>15</v>
      </c>
    </row>
    <row r="12709" spans="1:12" x14ac:dyDescent="0.25">
      <c r="A12709" t="str">
        <f>"9252054856"</f>
        <v>9252054856</v>
      </c>
      <c r="B12709" t="str">
        <f t="shared" si="522"/>
        <v>89301000</v>
      </c>
      <c r="C12709" s="1">
        <v>44331</v>
      </c>
      <c r="D12709" s="1">
        <v>44335</v>
      </c>
      <c r="E12709">
        <v>1</v>
      </c>
      <c r="F12709" t="s">
        <v>75</v>
      </c>
      <c r="G12709" t="str">
        <f>"14-M01-05"</f>
        <v>14-M01-05</v>
      </c>
      <c r="H12709">
        <v>0.54239999999999999</v>
      </c>
      <c r="J12709" t="s">
        <v>59</v>
      </c>
      <c r="K12709" t="str">
        <f t="shared" si="523"/>
        <v>6F3</v>
      </c>
      <c r="L12709" t="s">
        <v>15</v>
      </c>
    </row>
    <row r="12710" spans="1:12" x14ac:dyDescent="0.25">
      <c r="A12710" t="str">
        <f>"9252075723"</f>
        <v>9252075723</v>
      </c>
      <c r="B12710" t="str">
        <f t="shared" si="522"/>
        <v>89301000</v>
      </c>
      <c r="C12710" s="1">
        <v>44457</v>
      </c>
      <c r="D12710" s="1">
        <v>44463</v>
      </c>
      <c r="E12710">
        <v>1</v>
      </c>
      <c r="F12710" t="s">
        <v>116</v>
      </c>
      <c r="G12710" t="str">
        <f>"14-M01-05"</f>
        <v>14-M01-05</v>
      </c>
      <c r="H12710">
        <v>0.54239999999999999</v>
      </c>
      <c r="I12710" t="s">
        <v>7705</v>
      </c>
      <c r="J12710" t="s">
        <v>59</v>
      </c>
      <c r="K12710" t="str">
        <f t="shared" si="523"/>
        <v>6F3</v>
      </c>
      <c r="L12710" t="s">
        <v>15</v>
      </c>
    </row>
    <row r="12711" spans="1:12" x14ac:dyDescent="0.25">
      <c r="A12711" t="str">
        <f>"9252096150"</f>
        <v>9252096150</v>
      </c>
      <c r="B12711" t="str">
        <f t="shared" si="522"/>
        <v>89301000</v>
      </c>
      <c r="C12711" s="1">
        <v>44460</v>
      </c>
      <c r="D12711" s="1">
        <v>44461</v>
      </c>
      <c r="E12711">
        <v>1</v>
      </c>
      <c r="F12711" t="s">
        <v>191</v>
      </c>
      <c r="G12711" t="str">
        <f>"02-K02-01"</f>
        <v>02-K02-01</v>
      </c>
      <c r="H12711">
        <v>0.8901</v>
      </c>
      <c r="I12711" t="s">
        <v>8128</v>
      </c>
      <c r="J12711" t="s">
        <v>14</v>
      </c>
      <c r="K12711" t="str">
        <f>"2F9"</f>
        <v>2F9</v>
      </c>
      <c r="L12711" t="s">
        <v>15</v>
      </c>
    </row>
    <row r="12712" spans="1:12" x14ac:dyDescent="0.25">
      <c r="A12712" t="str">
        <f>"9252185162"</f>
        <v>9252185162</v>
      </c>
      <c r="B12712" t="str">
        <f t="shared" si="522"/>
        <v>89301000</v>
      </c>
      <c r="C12712" s="1">
        <v>44361</v>
      </c>
      <c r="D12712" s="1">
        <v>44361</v>
      </c>
      <c r="E12712">
        <v>6</v>
      </c>
      <c r="F12712" t="s">
        <v>3852</v>
      </c>
      <c r="G12712" t="str">
        <f>"13-I19-00"</f>
        <v>13-I19-00</v>
      </c>
      <c r="H12712">
        <v>0.1235</v>
      </c>
      <c r="J12712" t="s">
        <v>14</v>
      </c>
      <c r="K12712" t="str">
        <f>"6F3"</f>
        <v>6F3</v>
      </c>
      <c r="L12712" t="s">
        <v>15</v>
      </c>
    </row>
    <row r="12713" spans="1:12" x14ac:dyDescent="0.25">
      <c r="A12713" t="str">
        <f>"9252205699"</f>
        <v>9252205699</v>
      </c>
      <c r="B12713" t="str">
        <f t="shared" si="522"/>
        <v>89301000</v>
      </c>
      <c r="C12713" s="1">
        <v>44404</v>
      </c>
      <c r="D12713" s="1">
        <v>44408</v>
      </c>
      <c r="E12713">
        <v>1</v>
      </c>
      <c r="F12713" t="s">
        <v>75</v>
      </c>
      <c r="G12713" t="str">
        <f>"14-M01-02"</f>
        <v>14-M01-02</v>
      </c>
      <c r="H12713">
        <v>0.74450000000000005</v>
      </c>
      <c r="I12713" t="s">
        <v>8129</v>
      </c>
      <c r="J12713" t="s">
        <v>59</v>
      </c>
      <c r="K12713" t="str">
        <f>"6F3"</f>
        <v>6F3</v>
      </c>
      <c r="L12713" t="s">
        <v>15</v>
      </c>
    </row>
    <row r="12714" spans="1:12" x14ac:dyDescent="0.25">
      <c r="A12714" t="str">
        <f>"9252205908"</f>
        <v>9252205908</v>
      </c>
      <c r="B12714" t="str">
        <f t="shared" si="522"/>
        <v>89301000</v>
      </c>
      <c r="C12714" s="1">
        <v>44374</v>
      </c>
      <c r="D12714" s="1">
        <v>44379</v>
      </c>
      <c r="E12714">
        <v>1</v>
      </c>
      <c r="F12714" t="s">
        <v>18</v>
      </c>
      <c r="G12714" t="str">
        <f>"11-I10-01"</f>
        <v>11-I10-01</v>
      </c>
      <c r="H12714">
        <v>2.8389000000000002</v>
      </c>
      <c r="I12714" t="s">
        <v>8130</v>
      </c>
      <c r="J12714" t="s">
        <v>14</v>
      </c>
      <c r="K12714" t="str">
        <f>"7F6"</f>
        <v>7F6</v>
      </c>
      <c r="L12714" t="s">
        <v>15</v>
      </c>
    </row>
    <row r="12715" spans="1:12" x14ac:dyDescent="0.25">
      <c r="A12715" t="str">
        <f>"9252285570"</f>
        <v>9252285570</v>
      </c>
      <c r="B12715" t="str">
        <f t="shared" si="522"/>
        <v>89301000</v>
      </c>
      <c r="C12715" s="1">
        <v>44279</v>
      </c>
      <c r="D12715" s="1">
        <v>44286</v>
      </c>
      <c r="E12715">
        <v>1</v>
      </c>
      <c r="F12715" t="s">
        <v>8131</v>
      </c>
      <c r="G12715" t="str">
        <f>"01-K18-04"</f>
        <v>01-K18-04</v>
      </c>
      <c r="H12715">
        <v>0.49890000000000001</v>
      </c>
      <c r="I12715" t="s">
        <v>8132</v>
      </c>
      <c r="J12715" t="s">
        <v>14</v>
      </c>
      <c r="K12715" t="str">
        <f>"2F5"</f>
        <v>2F5</v>
      </c>
      <c r="L12715" t="s">
        <v>15</v>
      </c>
    </row>
    <row r="12716" spans="1:12" x14ac:dyDescent="0.25">
      <c r="A12716" t="str">
        <f>"9253034879"</f>
        <v>9253034879</v>
      </c>
      <c r="B12716" t="str">
        <f t="shared" si="522"/>
        <v>89301000</v>
      </c>
      <c r="C12716" s="1">
        <v>44255</v>
      </c>
      <c r="D12716" s="1">
        <v>44264</v>
      </c>
      <c r="E12716">
        <v>1</v>
      </c>
      <c r="F12716" t="s">
        <v>7284</v>
      </c>
      <c r="G12716" t="str">
        <f>"13-I03-01"</f>
        <v>13-I03-01</v>
      </c>
      <c r="H12716">
        <v>3.6812999999999998</v>
      </c>
      <c r="I12716" t="s">
        <v>2374</v>
      </c>
      <c r="J12716" t="s">
        <v>24</v>
      </c>
      <c r="K12716" t="str">
        <f t="shared" ref="K12716:K12722" si="524">"6F3"</f>
        <v>6F3</v>
      </c>
      <c r="L12716" t="s">
        <v>15</v>
      </c>
    </row>
    <row r="12717" spans="1:12" x14ac:dyDescent="0.25">
      <c r="A12717" t="str">
        <f>"9253034879"</f>
        <v>9253034879</v>
      </c>
      <c r="B12717" t="str">
        <f t="shared" si="522"/>
        <v>89301000</v>
      </c>
      <c r="C12717" s="1">
        <v>44252</v>
      </c>
      <c r="D12717" s="1">
        <v>44252</v>
      </c>
      <c r="E12717">
        <v>1</v>
      </c>
      <c r="F12717" t="s">
        <v>7284</v>
      </c>
      <c r="G12717" t="str">
        <f>"13-K06-00"</f>
        <v>13-K06-00</v>
      </c>
      <c r="H12717">
        <v>0.1908</v>
      </c>
      <c r="J12717" t="s">
        <v>14</v>
      </c>
      <c r="K12717" t="str">
        <f t="shared" si="524"/>
        <v>6F3</v>
      </c>
      <c r="L12717" t="s">
        <v>15</v>
      </c>
    </row>
    <row r="12718" spans="1:12" x14ac:dyDescent="0.25">
      <c r="A12718" t="str">
        <f>"9253036100"</f>
        <v>9253036100</v>
      </c>
      <c r="B12718" t="str">
        <f t="shared" si="522"/>
        <v>89301000</v>
      </c>
      <c r="C12718" s="1">
        <v>44495</v>
      </c>
      <c r="D12718" s="1">
        <v>44501</v>
      </c>
      <c r="E12718">
        <v>1</v>
      </c>
      <c r="F12718" t="s">
        <v>61</v>
      </c>
      <c r="G12718" t="str">
        <f>"14-I01-02"</f>
        <v>14-I01-02</v>
      </c>
      <c r="H12718">
        <v>1.1289</v>
      </c>
      <c r="I12718" t="s">
        <v>8133</v>
      </c>
      <c r="J12718" t="s">
        <v>59</v>
      </c>
      <c r="K12718" t="str">
        <f t="shared" si="524"/>
        <v>6F3</v>
      </c>
      <c r="L12718" t="s">
        <v>15</v>
      </c>
    </row>
    <row r="12719" spans="1:12" x14ac:dyDescent="0.25">
      <c r="A12719" t="str">
        <f>"9253036155"</f>
        <v>9253036155</v>
      </c>
      <c r="B12719" t="str">
        <f t="shared" si="522"/>
        <v>89301000</v>
      </c>
      <c r="C12719" s="1">
        <v>44379</v>
      </c>
      <c r="D12719" s="1">
        <v>44382</v>
      </c>
      <c r="E12719">
        <v>1</v>
      </c>
      <c r="F12719" t="s">
        <v>61</v>
      </c>
      <c r="G12719" t="str">
        <f>"14-I01-05"</f>
        <v>14-I01-05</v>
      </c>
      <c r="H12719">
        <v>0.80030000000000001</v>
      </c>
      <c r="I12719" t="s">
        <v>7572</v>
      </c>
      <c r="J12719" t="s">
        <v>59</v>
      </c>
      <c r="K12719" t="str">
        <f t="shared" si="524"/>
        <v>6F3</v>
      </c>
      <c r="L12719" t="s">
        <v>15</v>
      </c>
    </row>
    <row r="12720" spans="1:12" x14ac:dyDescent="0.25">
      <c r="A12720" t="str">
        <f>"9253055405"</f>
        <v>9253055405</v>
      </c>
      <c r="B12720" t="str">
        <f t="shared" si="522"/>
        <v>89301000</v>
      </c>
      <c r="C12720" s="1">
        <v>44240</v>
      </c>
      <c r="D12720" s="1">
        <v>44242</v>
      </c>
      <c r="E12720">
        <v>1</v>
      </c>
      <c r="F12720" t="s">
        <v>112</v>
      </c>
      <c r="G12720" t="str">
        <f>"14-M01-05"</f>
        <v>14-M01-05</v>
      </c>
      <c r="H12720">
        <v>0.54239999999999999</v>
      </c>
      <c r="I12720" t="s">
        <v>8134</v>
      </c>
      <c r="J12720" t="s">
        <v>59</v>
      </c>
      <c r="K12720" t="str">
        <f t="shared" si="524"/>
        <v>6F3</v>
      </c>
      <c r="L12720" t="s">
        <v>15</v>
      </c>
    </row>
    <row r="12721" spans="1:12" x14ac:dyDescent="0.25">
      <c r="A12721" t="str">
        <f>"9253094851"</f>
        <v>9253094851</v>
      </c>
      <c r="B12721" t="str">
        <f t="shared" si="522"/>
        <v>89301000</v>
      </c>
      <c r="C12721" s="1">
        <v>44206</v>
      </c>
      <c r="D12721" s="1">
        <v>44210</v>
      </c>
      <c r="E12721">
        <v>1</v>
      </c>
      <c r="F12721" t="s">
        <v>61</v>
      </c>
      <c r="G12721" t="str">
        <f>"14-I01-05"</f>
        <v>14-I01-05</v>
      </c>
      <c r="H12721">
        <v>0.85709999999999997</v>
      </c>
      <c r="J12721" t="s">
        <v>59</v>
      </c>
      <c r="K12721" t="str">
        <f t="shared" si="524"/>
        <v>6F3</v>
      </c>
      <c r="L12721" t="s">
        <v>15</v>
      </c>
    </row>
    <row r="12722" spans="1:12" x14ac:dyDescent="0.25">
      <c r="A12722" t="str">
        <f>"9253105730"</f>
        <v>9253105730</v>
      </c>
      <c r="B12722" t="str">
        <f t="shared" si="522"/>
        <v>89301000</v>
      </c>
      <c r="C12722" s="1">
        <v>44429</v>
      </c>
      <c r="D12722" s="1">
        <v>44431</v>
      </c>
      <c r="E12722">
        <v>6</v>
      </c>
      <c r="F12722" t="s">
        <v>959</v>
      </c>
      <c r="G12722" t="str">
        <f>"13-K15-02"</f>
        <v>13-K15-02</v>
      </c>
      <c r="H12722">
        <v>0.18360000000000001</v>
      </c>
      <c r="J12722" t="s">
        <v>14</v>
      </c>
      <c r="K12722" t="str">
        <f t="shared" si="524"/>
        <v>6F3</v>
      </c>
      <c r="L12722" t="s">
        <v>15</v>
      </c>
    </row>
    <row r="12723" spans="1:12" x14ac:dyDescent="0.25">
      <c r="A12723" t="str">
        <f>"9253125794"</f>
        <v>9253125794</v>
      </c>
      <c r="B12723" t="str">
        <f t="shared" si="522"/>
        <v>89301000</v>
      </c>
      <c r="C12723" s="1">
        <v>44196</v>
      </c>
      <c r="D12723" s="1">
        <v>44200</v>
      </c>
      <c r="E12723">
        <v>1</v>
      </c>
      <c r="F12723" t="s">
        <v>8135</v>
      </c>
      <c r="G12723" t="str">
        <f>"03-K04-01"</f>
        <v>03-K04-01</v>
      </c>
      <c r="H12723">
        <v>0.46660000000000001</v>
      </c>
      <c r="J12723" t="s">
        <v>14</v>
      </c>
      <c r="K12723" t="str">
        <f>"7F1"</f>
        <v>7F1</v>
      </c>
      <c r="L12723" t="s">
        <v>15</v>
      </c>
    </row>
    <row r="12724" spans="1:12" x14ac:dyDescent="0.25">
      <c r="A12724" t="str">
        <f>"9253205753"</f>
        <v>9253205753</v>
      </c>
      <c r="B12724" t="str">
        <f t="shared" si="522"/>
        <v>89301000</v>
      </c>
      <c r="C12724" s="1">
        <v>44512</v>
      </c>
      <c r="D12724" s="1">
        <v>44515</v>
      </c>
      <c r="E12724">
        <v>1</v>
      </c>
      <c r="F12724" t="s">
        <v>75</v>
      </c>
      <c r="G12724" t="str">
        <f>"14-M01-05"</f>
        <v>14-M01-05</v>
      </c>
      <c r="H12724">
        <v>0.54239999999999999</v>
      </c>
      <c r="I12724" t="s">
        <v>8136</v>
      </c>
      <c r="J12724" t="s">
        <v>59</v>
      </c>
      <c r="K12724" t="str">
        <f>"6F3"</f>
        <v>6F3</v>
      </c>
      <c r="L12724" t="s">
        <v>15</v>
      </c>
    </row>
    <row r="12725" spans="1:12" x14ac:dyDescent="0.25">
      <c r="A12725" t="str">
        <f>"9253216148"</f>
        <v>9253216148</v>
      </c>
      <c r="B12725" t="str">
        <f t="shared" si="522"/>
        <v>89301000</v>
      </c>
      <c r="C12725" s="1">
        <v>44401</v>
      </c>
      <c r="D12725" s="1">
        <v>44404</v>
      </c>
      <c r="E12725">
        <v>1</v>
      </c>
      <c r="F12725" t="s">
        <v>75</v>
      </c>
      <c r="G12725" t="str">
        <f>"14-M01-05"</f>
        <v>14-M01-05</v>
      </c>
      <c r="H12725">
        <v>0.54239999999999999</v>
      </c>
      <c r="I12725" t="s">
        <v>7705</v>
      </c>
      <c r="J12725" t="s">
        <v>59</v>
      </c>
      <c r="K12725" t="str">
        <f>"6F3"</f>
        <v>6F3</v>
      </c>
      <c r="L12725" t="s">
        <v>15</v>
      </c>
    </row>
    <row r="12726" spans="1:12" x14ac:dyDescent="0.25">
      <c r="A12726" t="str">
        <f>"9253254857"</f>
        <v>9253254857</v>
      </c>
      <c r="B12726" t="str">
        <f t="shared" si="522"/>
        <v>89301000</v>
      </c>
      <c r="C12726" s="1">
        <v>44541</v>
      </c>
      <c r="D12726" s="1">
        <v>44543</v>
      </c>
      <c r="E12726">
        <v>1</v>
      </c>
      <c r="F12726" t="s">
        <v>75</v>
      </c>
      <c r="G12726" t="str">
        <f>"14-M01-05"</f>
        <v>14-M01-05</v>
      </c>
      <c r="H12726">
        <v>0.54239999999999999</v>
      </c>
      <c r="I12726" t="s">
        <v>7346</v>
      </c>
      <c r="J12726" t="s">
        <v>59</v>
      </c>
      <c r="K12726" t="str">
        <f>"6F3"</f>
        <v>6F3</v>
      </c>
      <c r="L12726" t="s">
        <v>15</v>
      </c>
    </row>
    <row r="12727" spans="1:12" x14ac:dyDescent="0.25">
      <c r="A12727" t="str">
        <f>"9254015727"</f>
        <v>9254015727</v>
      </c>
      <c r="B12727" t="str">
        <f t="shared" si="522"/>
        <v>89301000</v>
      </c>
      <c r="C12727" s="1">
        <v>44325</v>
      </c>
      <c r="D12727" s="1">
        <v>44344</v>
      </c>
      <c r="E12727">
        <v>1</v>
      </c>
      <c r="F12727" t="s">
        <v>25</v>
      </c>
      <c r="G12727" t="str">
        <f>"19-M01-00"</f>
        <v>19-M01-00</v>
      </c>
      <c r="H12727">
        <v>2.39</v>
      </c>
      <c r="I12727" t="s">
        <v>8137</v>
      </c>
      <c r="J12727" t="s">
        <v>27</v>
      </c>
      <c r="K12727" t="str">
        <f>"3F5"</f>
        <v>3F5</v>
      </c>
      <c r="L12727" t="s">
        <v>15</v>
      </c>
    </row>
    <row r="12728" spans="1:12" x14ac:dyDescent="0.25">
      <c r="A12728" t="str">
        <f>"9254046142"</f>
        <v>9254046142</v>
      </c>
      <c r="B12728" t="str">
        <f t="shared" si="522"/>
        <v>89301000</v>
      </c>
      <c r="C12728" s="1">
        <v>44371</v>
      </c>
      <c r="D12728" s="1">
        <v>44375</v>
      </c>
      <c r="E12728">
        <v>1</v>
      </c>
      <c r="F12728" t="s">
        <v>61</v>
      </c>
      <c r="G12728" t="str">
        <f>"14-I01-05"</f>
        <v>14-I01-05</v>
      </c>
      <c r="H12728">
        <v>0.80030000000000001</v>
      </c>
      <c r="I12728" t="s">
        <v>8138</v>
      </c>
      <c r="J12728" t="s">
        <v>59</v>
      </c>
      <c r="K12728" t="str">
        <f>"6F3"</f>
        <v>6F3</v>
      </c>
      <c r="L12728" t="s">
        <v>15</v>
      </c>
    </row>
    <row r="12729" spans="1:12" x14ac:dyDescent="0.25">
      <c r="A12729" t="str">
        <f>"9254065733"</f>
        <v>9254065733</v>
      </c>
      <c r="B12729" t="str">
        <f t="shared" si="522"/>
        <v>89301000</v>
      </c>
      <c r="C12729" s="1">
        <v>44419</v>
      </c>
      <c r="D12729" s="1">
        <v>44421</v>
      </c>
      <c r="E12729">
        <v>1</v>
      </c>
      <c r="F12729" t="s">
        <v>138</v>
      </c>
      <c r="G12729" t="str">
        <f>"01-K18-04"</f>
        <v>01-K18-04</v>
      </c>
      <c r="H12729">
        <v>0.49890000000000001</v>
      </c>
      <c r="J12729" t="s">
        <v>14</v>
      </c>
      <c r="K12729" t="str">
        <f>"2F9"</f>
        <v>2F9</v>
      </c>
      <c r="L12729" t="s">
        <v>15</v>
      </c>
    </row>
    <row r="12730" spans="1:12" x14ac:dyDescent="0.25">
      <c r="A12730" t="str">
        <f>"9254065733"</f>
        <v>9254065733</v>
      </c>
      <c r="B12730" t="str">
        <f t="shared" si="522"/>
        <v>89301000</v>
      </c>
      <c r="C12730" s="1">
        <v>44229</v>
      </c>
      <c r="D12730" s="1">
        <v>44233</v>
      </c>
      <c r="E12730">
        <v>1</v>
      </c>
      <c r="F12730" t="s">
        <v>82</v>
      </c>
      <c r="G12730" t="str">
        <f>"14-I01-01"</f>
        <v>14-I01-01</v>
      </c>
      <c r="H12730">
        <v>1.5294000000000001</v>
      </c>
      <c r="I12730" t="s">
        <v>8139</v>
      </c>
      <c r="J12730" t="s">
        <v>59</v>
      </c>
      <c r="K12730" t="str">
        <f>"6F3"</f>
        <v>6F3</v>
      </c>
      <c r="L12730" t="s">
        <v>15</v>
      </c>
    </row>
    <row r="12731" spans="1:12" x14ac:dyDescent="0.25">
      <c r="A12731" t="str">
        <f>"9254094487"</f>
        <v>9254094487</v>
      </c>
      <c r="B12731" t="str">
        <f t="shared" si="522"/>
        <v>89301000</v>
      </c>
      <c r="C12731" s="1">
        <v>44207</v>
      </c>
      <c r="D12731" s="1">
        <v>44218</v>
      </c>
      <c r="E12731">
        <v>1</v>
      </c>
      <c r="F12731" t="s">
        <v>109</v>
      </c>
      <c r="G12731" t="str">
        <f>"24-M06-01"</f>
        <v>24-M06-01</v>
      </c>
      <c r="H12731">
        <v>1.1548</v>
      </c>
      <c r="I12731" t="s">
        <v>8140</v>
      </c>
      <c r="J12731" t="s">
        <v>14</v>
      </c>
      <c r="K12731" t="str">
        <f>"2F1"</f>
        <v>2F1</v>
      </c>
      <c r="L12731" t="s">
        <v>15</v>
      </c>
    </row>
    <row r="12732" spans="1:12" x14ac:dyDescent="0.25">
      <c r="A12732" t="str">
        <f>"9254105751"</f>
        <v>9254105751</v>
      </c>
      <c r="B12732" t="str">
        <f t="shared" si="522"/>
        <v>89301000</v>
      </c>
      <c r="C12732" s="1">
        <v>44302</v>
      </c>
      <c r="D12732" s="1">
        <v>44305</v>
      </c>
      <c r="E12732">
        <v>1</v>
      </c>
      <c r="F12732" t="s">
        <v>75</v>
      </c>
      <c r="G12732" t="str">
        <f>"14-M01-05"</f>
        <v>14-M01-05</v>
      </c>
      <c r="H12732">
        <v>0.54239999999999999</v>
      </c>
      <c r="I12732" t="s">
        <v>76</v>
      </c>
      <c r="J12732" t="s">
        <v>59</v>
      </c>
      <c r="K12732" t="str">
        <f>"6F3"</f>
        <v>6F3</v>
      </c>
      <c r="L12732" t="s">
        <v>15</v>
      </c>
    </row>
    <row r="12733" spans="1:12" x14ac:dyDescent="0.25">
      <c r="A12733" t="str">
        <f>"9254105751"</f>
        <v>9254105751</v>
      </c>
      <c r="B12733" t="str">
        <f t="shared" si="522"/>
        <v>89301000</v>
      </c>
      <c r="C12733" s="1">
        <v>44213</v>
      </c>
      <c r="D12733" s="1">
        <v>44215</v>
      </c>
      <c r="E12733">
        <v>1</v>
      </c>
      <c r="F12733" t="s">
        <v>287</v>
      </c>
      <c r="G12733" t="str">
        <f>"01-K16-06"</f>
        <v>01-K16-06</v>
      </c>
      <c r="H12733">
        <v>0.26469999999999999</v>
      </c>
      <c r="I12733" t="s">
        <v>8141</v>
      </c>
      <c r="J12733" t="s">
        <v>14</v>
      </c>
      <c r="K12733" t="str">
        <f>"5F3"</f>
        <v>5F3</v>
      </c>
      <c r="L12733" t="s">
        <v>15</v>
      </c>
    </row>
    <row r="12734" spans="1:12" x14ac:dyDescent="0.25">
      <c r="A12734" t="str">
        <f>"9254114848"</f>
        <v>9254114848</v>
      </c>
      <c r="B12734" t="str">
        <f t="shared" si="522"/>
        <v>89301000</v>
      </c>
      <c r="C12734" s="1">
        <v>44200</v>
      </c>
      <c r="D12734" s="1">
        <v>44204</v>
      </c>
      <c r="E12734">
        <v>1</v>
      </c>
      <c r="F12734" t="s">
        <v>75</v>
      </c>
      <c r="G12734" t="str">
        <f>"14-M01-05"</f>
        <v>14-M01-05</v>
      </c>
      <c r="H12734">
        <v>0.54239999999999999</v>
      </c>
      <c r="I12734" t="s">
        <v>76</v>
      </c>
      <c r="J12734" t="s">
        <v>59</v>
      </c>
      <c r="K12734" t="str">
        <f t="shared" ref="K12734:K12743" si="525">"6F3"</f>
        <v>6F3</v>
      </c>
      <c r="L12734" t="s">
        <v>15</v>
      </c>
    </row>
    <row r="12735" spans="1:12" x14ac:dyDescent="0.25">
      <c r="A12735" t="str">
        <f>"9254115750"</f>
        <v>9254115750</v>
      </c>
      <c r="B12735" t="str">
        <f t="shared" si="522"/>
        <v>89301000</v>
      </c>
      <c r="C12735" s="1">
        <v>44323</v>
      </c>
      <c r="D12735" s="1">
        <v>44327</v>
      </c>
      <c r="E12735">
        <v>1</v>
      </c>
      <c r="F12735" t="s">
        <v>61</v>
      </c>
      <c r="G12735" t="str">
        <f>"14-I01-05"</f>
        <v>14-I01-05</v>
      </c>
      <c r="H12735">
        <v>0.80030000000000001</v>
      </c>
      <c r="I12735" t="s">
        <v>7572</v>
      </c>
      <c r="J12735" t="s">
        <v>59</v>
      </c>
      <c r="K12735" t="str">
        <f t="shared" si="525"/>
        <v>6F3</v>
      </c>
      <c r="L12735" t="s">
        <v>15</v>
      </c>
    </row>
    <row r="12736" spans="1:12" x14ac:dyDescent="0.25">
      <c r="A12736" t="str">
        <f>"9254164854"</f>
        <v>9254164854</v>
      </c>
      <c r="B12736" t="str">
        <f t="shared" si="522"/>
        <v>89301000</v>
      </c>
      <c r="C12736" s="1">
        <v>44452</v>
      </c>
      <c r="D12736" s="1">
        <v>44455</v>
      </c>
      <c r="E12736">
        <v>1</v>
      </c>
      <c r="F12736" t="s">
        <v>75</v>
      </c>
      <c r="G12736" t="str">
        <f>"14-M01-05"</f>
        <v>14-M01-05</v>
      </c>
      <c r="H12736">
        <v>0.54239999999999999</v>
      </c>
      <c r="I12736" t="s">
        <v>180</v>
      </c>
      <c r="J12736" t="s">
        <v>59</v>
      </c>
      <c r="K12736" t="str">
        <f t="shared" si="525"/>
        <v>6F3</v>
      </c>
      <c r="L12736" t="s">
        <v>15</v>
      </c>
    </row>
    <row r="12737" spans="1:12" x14ac:dyDescent="0.25">
      <c r="A12737" t="str">
        <f>"9254184852"</f>
        <v>9254184852</v>
      </c>
      <c r="B12737" t="str">
        <f t="shared" si="522"/>
        <v>89301000</v>
      </c>
      <c r="C12737" s="1">
        <v>44428</v>
      </c>
      <c r="D12737" s="1">
        <v>44436</v>
      </c>
      <c r="E12737">
        <v>1</v>
      </c>
      <c r="F12737" t="s">
        <v>82</v>
      </c>
      <c r="G12737" t="str">
        <f>"14-I01-01"</f>
        <v>14-I01-01</v>
      </c>
      <c r="H12737">
        <v>1.5294000000000001</v>
      </c>
      <c r="I12737" t="s">
        <v>8142</v>
      </c>
      <c r="J12737" t="s">
        <v>59</v>
      </c>
      <c r="K12737" t="str">
        <f t="shared" si="525"/>
        <v>6F3</v>
      </c>
      <c r="L12737" t="s">
        <v>15</v>
      </c>
    </row>
    <row r="12738" spans="1:12" x14ac:dyDescent="0.25">
      <c r="A12738" t="str">
        <f>"9254274865"</f>
        <v>9254274865</v>
      </c>
      <c r="B12738" t="str">
        <f t="shared" si="522"/>
        <v>89301000</v>
      </c>
      <c r="C12738" s="1">
        <v>44419</v>
      </c>
      <c r="D12738" s="1">
        <v>44425</v>
      </c>
      <c r="E12738">
        <v>1</v>
      </c>
      <c r="F12738" t="s">
        <v>91</v>
      </c>
      <c r="G12738" t="str">
        <f>"14-I01-05"</f>
        <v>14-I01-05</v>
      </c>
      <c r="H12738">
        <v>0.80030000000000001</v>
      </c>
      <c r="J12738" t="s">
        <v>59</v>
      </c>
      <c r="K12738" t="str">
        <f t="shared" si="525"/>
        <v>6F3</v>
      </c>
      <c r="L12738" t="s">
        <v>15</v>
      </c>
    </row>
    <row r="12739" spans="1:12" x14ac:dyDescent="0.25">
      <c r="A12739" t="str">
        <f>"9255075709"</f>
        <v>9255075709</v>
      </c>
      <c r="B12739" t="str">
        <f t="shared" si="522"/>
        <v>89301000</v>
      </c>
      <c r="C12739" s="1">
        <v>44358</v>
      </c>
      <c r="D12739" s="1">
        <v>44361</v>
      </c>
      <c r="E12739">
        <v>1</v>
      </c>
      <c r="F12739" t="s">
        <v>82</v>
      </c>
      <c r="G12739" t="str">
        <f>"14-I01-05"</f>
        <v>14-I01-05</v>
      </c>
      <c r="H12739">
        <v>0.80030000000000001</v>
      </c>
      <c r="I12739" t="s">
        <v>7950</v>
      </c>
      <c r="J12739" t="s">
        <v>59</v>
      </c>
      <c r="K12739" t="str">
        <f t="shared" si="525"/>
        <v>6F3</v>
      </c>
      <c r="L12739" t="s">
        <v>15</v>
      </c>
    </row>
    <row r="12740" spans="1:12" x14ac:dyDescent="0.25">
      <c r="A12740" t="str">
        <f>"9255115716"</f>
        <v>9255115716</v>
      </c>
      <c r="B12740" t="str">
        <f t="shared" si="522"/>
        <v>89301000</v>
      </c>
      <c r="C12740" s="1">
        <v>44379</v>
      </c>
      <c r="D12740" s="1">
        <v>44382</v>
      </c>
      <c r="E12740">
        <v>1</v>
      </c>
      <c r="F12740" t="s">
        <v>75</v>
      </c>
      <c r="G12740" t="str">
        <f>"14-M01-05"</f>
        <v>14-M01-05</v>
      </c>
      <c r="H12740">
        <v>0.54239999999999999</v>
      </c>
      <c r="I12740" t="s">
        <v>7724</v>
      </c>
      <c r="J12740" t="s">
        <v>59</v>
      </c>
      <c r="K12740" t="str">
        <f t="shared" si="525"/>
        <v>6F3</v>
      </c>
      <c r="L12740" t="s">
        <v>15</v>
      </c>
    </row>
    <row r="12741" spans="1:12" x14ac:dyDescent="0.25">
      <c r="A12741" t="str">
        <f>"9255204497"</f>
        <v>9255204497</v>
      </c>
      <c r="B12741" t="str">
        <f t="shared" si="522"/>
        <v>89301000</v>
      </c>
      <c r="C12741" s="1">
        <v>44372</v>
      </c>
      <c r="D12741" s="1">
        <v>44375</v>
      </c>
      <c r="E12741">
        <v>1</v>
      </c>
      <c r="F12741" t="s">
        <v>75</v>
      </c>
      <c r="G12741" t="str">
        <f>"14-M01-05"</f>
        <v>14-M01-05</v>
      </c>
      <c r="H12741">
        <v>0.54239999999999999</v>
      </c>
      <c r="I12741" t="s">
        <v>7346</v>
      </c>
      <c r="J12741" t="s">
        <v>59</v>
      </c>
      <c r="K12741" t="str">
        <f t="shared" si="525"/>
        <v>6F3</v>
      </c>
      <c r="L12741" t="s">
        <v>15</v>
      </c>
    </row>
    <row r="12742" spans="1:12" x14ac:dyDescent="0.25">
      <c r="A12742" t="str">
        <f>"9255265778"</f>
        <v>9255265778</v>
      </c>
      <c r="B12742" t="str">
        <f t="shared" si="522"/>
        <v>89301000</v>
      </c>
      <c r="C12742" s="1">
        <v>44238</v>
      </c>
      <c r="D12742" s="1">
        <v>44240</v>
      </c>
      <c r="E12742">
        <v>1</v>
      </c>
      <c r="F12742" t="s">
        <v>75</v>
      </c>
      <c r="G12742" t="str">
        <f>"14-M01-05"</f>
        <v>14-M01-05</v>
      </c>
      <c r="H12742">
        <v>0.54239999999999999</v>
      </c>
      <c r="I12742" t="s">
        <v>256</v>
      </c>
      <c r="J12742" t="s">
        <v>59</v>
      </c>
      <c r="K12742" t="str">
        <f t="shared" si="525"/>
        <v>6F3</v>
      </c>
      <c r="L12742" t="s">
        <v>15</v>
      </c>
    </row>
    <row r="12743" spans="1:12" x14ac:dyDescent="0.25">
      <c r="A12743" t="str">
        <f>"9255274479"</f>
        <v>9255274479</v>
      </c>
      <c r="B12743" t="str">
        <f t="shared" si="522"/>
        <v>89301000</v>
      </c>
      <c r="C12743" s="1">
        <v>44329</v>
      </c>
      <c r="D12743" s="1">
        <v>44332</v>
      </c>
      <c r="E12743">
        <v>1</v>
      </c>
      <c r="F12743" t="s">
        <v>75</v>
      </c>
      <c r="G12743" t="str">
        <f>"14-M01-05"</f>
        <v>14-M01-05</v>
      </c>
      <c r="H12743">
        <v>0.54239999999999999</v>
      </c>
      <c r="I12743" t="s">
        <v>7420</v>
      </c>
      <c r="J12743" t="s">
        <v>59</v>
      </c>
      <c r="K12743" t="str">
        <f t="shared" si="525"/>
        <v>6F3</v>
      </c>
      <c r="L12743" t="s">
        <v>15</v>
      </c>
    </row>
    <row r="12744" spans="1:12" x14ac:dyDescent="0.25">
      <c r="A12744" t="str">
        <f>"9256016077"</f>
        <v>9256016077</v>
      </c>
      <c r="B12744" t="str">
        <f t="shared" si="522"/>
        <v>89301000</v>
      </c>
      <c r="C12744" s="1">
        <v>44508</v>
      </c>
      <c r="D12744" s="1">
        <v>44511</v>
      </c>
      <c r="E12744">
        <v>1</v>
      </c>
      <c r="F12744" t="s">
        <v>2173</v>
      </c>
      <c r="G12744" t="str">
        <f>"01-K18-04"</f>
        <v>01-K18-04</v>
      </c>
      <c r="H12744">
        <v>0.49890000000000001</v>
      </c>
      <c r="J12744" t="s">
        <v>14</v>
      </c>
      <c r="K12744" t="str">
        <f>"2F9"</f>
        <v>2F9</v>
      </c>
      <c r="L12744" t="s">
        <v>15</v>
      </c>
    </row>
    <row r="12745" spans="1:12" x14ac:dyDescent="0.25">
      <c r="A12745" t="str">
        <f>"9256066160"</f>
        <v>9256066160</v>
      </c>
      <c r="B12745" t="str">
        <f t="shared" si="522"/>
        <v>89301000</v>
      </c>
      <c r="C12745" s="1">
        <v>44217</v>
      </c>
      <c r="D12745" s="1">
        <v>44220</v>
      </c>
      <c r="E12745">
        <v>1</v>
      </c>
      <c r="F12745" t="s">
        <v>75</v>
      </c>
      <c r="G12745" t="str">
        <f>"14-M01-05"</f>
        <v>14-M01-05</v>
      </c>
      <c r="H12745">
        <v>0.54239999999999999</v>
      </c>
      <c r="I12745" t="s">
        <v>7420</v>
      </c>
      <c r="J12745" t="s">
        <v>59</v>
      </c>
      <c r="K12745" t="str">
        <f>"6F3"</f>
        <v>6F3</v>
      </c>
      <c r="L12745" t="s">
        <v>15</v>
      </c>
    </row>
    <row r="12746" spans="1:12" x14ac:dyDescent="0.25">
      <c r="A12746" t="str">
        <f>"9256085707"</f>
        <v>9256085707</v>
      </c>
      <c r="B12746" t="str">
        <f t="shared" si="522"/>
        <v>89301000</v>
      </c>
      <c r="C12746" s="1">
        <v>44299</v>
      </c>
      <c r="D12746" s="1">
        <v>44301</v>
      </c>
      <c r="E12746">
        <v>1</v>
      </c>
      <c r="F12746" t="s">
        <v>2162</v>
      </c>
      <c r="G12746" t="str">
        <f>"01-K01-02"</f>
        <v>01-K01-02</v>
      </c>
      <c r="H12746">
        <v>0.50700000000000001</v>
      </c>
      <c r="I12746" t="s">
        <v>4999</v>
      </c>
      <c r="J12746" t="s">
        <v>14</v>
      </c>
      <c r="K12746" t="str">
        <f>"2F9"</f>
        <v>2F9</v>
      </c>
      <c r="L12746" t="s">
        <v>15</v>
      </c>
    </row>
    <row r="12747" spans="1:12" x14ac:dyDescent="0.25">
      <c r="A12747" t="str">
        <f>"9256094606"</f>
        <v>9256094606</v>
      </c>
      <c r="B12747" t="str">
        <f t="shared" si="522"/>
        <v>89301000</v>
      </c>
      <c r="C12747" s="1">
        <v>44287</v>
      </c>
      <c r="D12747" s="1">
        <v>44290</v>
      </c>
      <c r="E12747">
        <v>1</v>
      </c>
      <c r="F12747" t="s">
        <v>75</v>
      </c>
      <c r="G12747" t="str">
        <f>"14-M01-05"</f>
        <v>14-M01-05</v>
      </c>
      <c r="H12747">
        <v>0.54239999999999999</v>
      </c>
      <c r="I12747" t="s">
        <v>7420</v>
      </c>
      <c r="J12747" t="s">
        <v>59</v>
      </c>
      <c r="K12747" t="str">
        <f t="shared" ref="K12747:K12753" si="526">"6F3"</f>
        <v>6F3</v>
      </c>
      <c r="L12747" t="s">
        <v>15</v>
      </c>
    </row>
    <row r="12748" spans="1:12" x14ac:dyDescent="0.25">
      <c r="A12748" t="str">
        <f>"9256105705"</f>
        <v>9256105705</v>
      </c>
      <c r="B12748" t="str">
        <f t="shared" si="522"/>
        <v>89301000</v>
      </c>
      <c r="C12748" s="1">
        <v>44483</v>
      </c>
      <c r="D12748" s="1">
        <v>44486</v>
      </c>
      <c r="E12748">
        <v>1</v>
      </c>
      <c r="F12748" t="s">
        <v>112</v>
      </c>
      <c r="G12748" t="str">
        <f>"14-M01-05"</f>
        <v>14-M01-05</v>
      </c>
      <c r="H12748">
        <v>0.54239999999999999</v>
      </c>
      <c r="I12748" t="s">
        <v>7445</v>
      </c>
      <c r="J12748" t="s">
        <v>59</v>
      </c>
      <c r="K12748" t="str">
        <f t="shared" si="526"/>
        <v>6F3</v>
      </c>
      <c r="L12748" t="s">
        <v>15</v>
      </c>
    </row>
    <row r="12749" spans="1:12" x14ac:dyDescent="0.25">
      <c r="A12749" t="str">
        <f>"9256144843"</f>
        <v>9256144843</v>
      </c>
      <c r="B12749" t="str">
        <f t="shared" si="522"/>
        <v>89301000</v>
      </c>
      <c r="C12749" s="1">
        <v>44239</v>
      </c>
      <c r="D12749" s="1">
        <v>44245</v>
      </c>
      <c r="E12749">
        <v>1</v>
      </c>
      <c r="F12749" t="s">
        <v>60</v>
      </c>
      <c r="G12749" t="str">
        <f>"14-K03-02"</f>
        <v>14-K03-02</v>
      </c>
      <c r="H12749">
        <v>0.2646</v>
      </c>
      <c r="J12749" t="s">
        <v>14</v>
      </c>
      <c r="K12749" t="str">
        <f t="shared" si="526"/>
        <v>6F3</v>
      </c>
      <c r="L12749" t="s">
        <v>15</v>
      </c>
    </row>
    <row r="12750" spans="1:12" x14ac:dyDescent="0.25">
      <c r="A12750" t="str">
        <f>"9256144843"</f>
        <v>9256144843</v>
      </c>
      <c r="B12750" t="str">
        <f t="shared" si="522"/>
        <v>89301000</v>
      </c>
      <c r="C12750" s="1">
        <v>44254</v>
      </c>
      <c r="D12750" s="1">
        <v>44265</v>
      </c>
      <c r="E12750">
        <v>1</v>
      </c>
      <c r="F12750" t="s">
        <v>116</v>
      </c>
      <c r="G12750" t="str">
        <f>"14-M01-05"</f>
        <v>14-M01-05</v>
      </c>
      <c r="H12750">
        <v>0.8659</v>
      </c>
      <c r="I12750" t="s">
        <v>426</v>
      </c>
      <c r="J12750" t="s">
        <v>59</v>
      </c>
      <c r="K12750" t="str">
        <f t="shared" si="526"/>
        <v>6F3</v>
      </c>
      <c r="L12750" t="s">
        <v>15</v>
      </c>
    </row>
    <row r="12751" spans="1:12" x14ac:dyDescent="0.25">
      <c r="A12751" t="str">
        <f>"9256204848"</f>
        <v>9256204848</v>
      </c>
      <c r="B12751" t="str">
        <f t="shared" si="522"/>
        <v>89301000</v>
      </c>
      <c r="C12751" s="1">
        <v>44314</v>
      </c>
      <c r="D12751" s="1">
        <v>44319</v>
      </c>
      <c r="E12751">
        <v>1</v>
      </c>
      <c r="F12751" t="s">
        <v>82</v>
      </c>
      <c r="G12751" t="str">
        <f>"14-I01-01"</f>
        <v>14-I01-01</v>
      </c>
      <c r="H12751">
        <v>1.5294000000000001</v>
      </c>
      <c r="I12751" t="s">
        <v>8143</v>
      </c>
      <c r="J12751" t="s">
        <v>59</v>
      </c>
      <c r="K12751" t="str">
        <f t="shared" si="526"/>
        <v>6F3</v>
      </c>
      <c r="L12751" t="s">
        <v>15</v>
      </c>
    </row>
    <row r="12752" spans="1:12" x14ac:dyDescent="0.25">
      <c r="A12752" t="str">
        <f>"9256206157"</f>
        <v>9256206157</v>
      </c>
      <c r="B12752" t="str">
        <f t="shared" si="522"/>
        <v>89301000</v>
      </c>
      <c r="C12752" s="1">
        <v>44284</v>
      </c>
      <c r="D12752" s="1">
        <v>44288</v>
      </c>
      <c r="E12752">
        <v>1</v>
      </c>
      <c r="F12752" t="s">
        <v>112</v>
      </c>
      <c r="G12752" t="str">
        <f>"14-M01-05"</f>
        <v>14-M01-05</v>
      </c>
      <c r="H12752">
        <v>0.54239999999999999</v>
      </c>
      <c r="I12752" t="s">
        <v>8144</v>
      </c>
      <c r="J12752" t="s">
        <v>59</v>
      </c>
      <c r="K12752" t="str">
        <f t="shared" si="526"/>
        <v>6F3</v>
      </c>
      <c r="L12752" t="s">
        <v>15</v>
      </c>
    </row>
    <row r="12753" spans="1:12" x14ac:dyDescent="0.25">
      <c r="A12753" t="str">
        <f>"9256220930"</f>
        <v>9256220930</v>
      </c>
      <c r="B12753" t="str">
        <f t="shared" si="522"/>
        <v>89301000</v>
      </c>
      <c r="C12753" s="1">
        <v>44368</v>
      </c>
      <c r="D12753" s="1">
        <v>44371</v>
      </c>
      <c r="E12753">
        <v>1</v>
      </c>
      <c r="F12753" t="s">
        <v>75</v>
      </c>
      <c r="G12753" t="str">
        <f>"14-M01-05"</f>
        <v>14-M01-05</v>
      </c>
      <c r="H12753">
        <v>0.54239999999999999</v>
      </c>
      <c r="I12753" t="s">
        <v>426</v>
      </c>
      <c r="J12753" t="s">
        <v>59</v>
      </c>
      <c r="K12753" t="str">
        <f t="shared" si="526"/>
        <v>6F3</v>
      </c>
      <c r="L12753" t="s">
        <v>15</v>
      </c>
    </row>
    <row r="12754" spans="1:12" x14ac:dyDescent="0.25">
      <c r="A12754" t="str">
        <f>"9256294861"</f>
        <v>9256294861</v>
      </c>
      <c r="B12754" t="str">
        <f t="shared" si="522"/>
        <v>89301000</v>
      </c>
      <c r="C12754" s="1">
        <v>44392</v>
      </c>
      <c r="D12754" s="1">
        <v>44396</v>
      </c>
      <c r="E12754">
        <v>1</v>
      </c>
      <c r="F12754" t="s">
        <v>114</v>
      </c>
      <c r="G12754" t="str">
        <f>"03-I17-00"</f>
        <v>03-I17-00</v>
      </c>
      <c r="H12754">
        <v>0.84960000000000002</v>
      </c>
      <c r="I12754" t="s">
        <v>8145</v>
      </c>
      <c r="J12754" t="s">
        <v>24</v>
      </c>
      <c r="K12754" t="str">
        <f>"7F1"</f>
        <v>7F1</v>
      </c>
      <c r="L12754" t="s">
        <v>15</v>
      </c>
    </row>
    <row r="12755" spans="1:12" x14ac:dyDescent="0.25">
      <c r="A12755" t="str">
        <f>"9257025701"</f>
        <v>9257025701</v>
      </c>
      <c r="B12755" t="str">
        <f t="shared" si="522"/>
        <v>89301000</v>
      </c>
      <c r="C12755" s="1">
        <v>44507</v>
      </c>
      <c r="D12755" s="1">
        <v>44509</v>
      </c>
      <c r="E12755">
        <v>1</v>
      </c>
      <c r="F12755" t="s">
        <v>173</v>
      </c>
      <c r="G12755" t="str">
        <f>"08-I32-02"</f>
        <v>08-I32-02</v>
      </c>
      <c r="H12755">
        <v>0.4143</v>
      </c>
      <c r="J12755" t="s">
        <v>14</v>
      </c>
      <c r="K12755" t="str">
        <f>"5F3"</f>
        <v>5F3</v>
      </c>
      <c r="L12755" t="s">
        <v>15</v>
      </c>
    </row>
    <row r="12756" spans="1:12" x14ac:dyDescent="0.25">
      <c r="A12756" t="str">
        <f>"9257065730"</f>
        <v>9257065730</v>
      </c>
      <c r="B12756" t="str">
        <f t="shared" si="522"/>
        <v>89301000</v>
      </c>
      <c r="C12756" s="1">
        <v>44258</v>
      </c>
      <c r="D12756" s="1">
        <v>44261</v>
      </c>
      <c r="E12756">
        <v>1</v>
      </c>
      <c r="F12756" t="s">
        <v>75</v>
      </c>
      <c r="G12756" t="str">
        <f>"14-M01-05"</f>
        <v>14-M01-05</v>
      </c>
      <c r="H12756">
        <v>0.54239999999999999</v>
      </c>
      <c r="I12756" t="s">
        <v>8146</v>
      </c>
      <c r="J12756" t="s">
        <v>59</v>
      </c>
      <c r="K12756" t="str">
        <f t="shared" ref="K12756:K12761" si="527">"6F3"</f>
        <v>6F3</v>
      </c>
      <c r="L12756" t="s">
        <v>15</v>
      </c>
    </row>
    <row r="12757" spans="1:12" x14ac:dyDescent="0.25">
      <c r="A12757" t="str">
        <f>"9257075751"</f>
        <v>9257075751</v>
      </c>
      <c r="B12757" t="str">
        <f t="shared" si="522"/>
        <v>89301000</v>
      </c>
      <c r="C12757" s="1">
        <v>44523</v>
      </c>
      <c r="D12757" s="1">
        <v>44527</v>
      </c>
      <c r="E12757">
        <v>1</v>
      </c>
      <c r="F12757" t="s">
        <v>75</v>
      </c>
      <c r="G12757" t="str">
        <f>"14-M01-05"</f>
        <v>14-M01-05</v>
      </c>
      <c r="H12757">
        <v>0.54239999999999999</v>
      </c>
      <c r="I12757" t="s">
        <v>118</v>
      </c>
      <c r="J12757" t="s">
        <v>59</v>
      </c>
      <c r="K12757" t="str">
        <f t="shared" si="527"/>
        <v>6F3</v>
      </c>
      <c r="L12757" t="s">
        <v>15</v>
      </c>
    </row>
    <row r="12758" spans="1:12" x14ac:dyDescent="0.25">
      <c r="A12758" t="str">
        <f>"9257145722"</f>
        <v>9257145722</v>
      </c>
      <c r="B12758" t="str">
        <f t="shared" si="522"/>
        <v>89301000</v>
      </c>
      <c r="C12758" s="1">
        <v>44340</v>
      </c>
      <c r="D12758" s="1">
        <v>44344</v>
      </c>
      <c r="E12758">
        <v>1</v>
      </c>
      <c r="F12758" t="s">
        <v>61</v>
      </c>
      <c r="G12758" t="str">
        <f>"14-I01-05"</f>
        <v>14-I01-05</v>
      </c>
      <c r="H12758">
        <v>0.80030000000000001</v>
      </c>
      <c r="I12758" t="s">
        <v>7572</v>
      </c>
      <c r="J12758" t="s">
        <v>59</v>
      </c>
      <c r="K12758" t="str">
        <f t="shared" si="527"/>
        <v>6F3</v>
      </c>
      <c r="L12758" t="s">
        <v>15</v>
      </c>
    </row>
    <row r="12759" spans="1:12" x14ac:dyDescent="0.25">
      <c r="A12759" t="str">
        <f>"9257146140"</f>
        <v>9257146140</v>
      </c>
      <c r="B12759" t="str">
        <f t="shared" si="522"/>
        <v>89301000</v>
      </c>
      <c r="C12759" s="1">
        <v>44434</v>
      </c>
      <c r="D12759" s="1">
        <v>44438</v>
      </c>
      <c r="E12759">
        <v>1</v>
      </c>
      <c r="F12759" t="s">
        <v>75</v>
      </c>
      <c r="G12759" t="str">
        <f>"14-M01-05"</f>
        <v>14-M01-05</v>
      </c>
      <c r="H12759">
        <v>0.54239999999999999</v>
      </c>
      <c r="J12759" t="s">
        <v>59</v>
      </c>
      <c r="K12759" t="str">
        <f t="shared" si="527"/>
        <v>6F3</v>
      </c>
      <c r="L12759" t="s">
        <v>15</v>
      </c>
    </row>
    <row r="12760" spans="1:12" x14ac:dyDescent="0.25">
      <c r="A12760" t="str">
        <f>"9257234844"</f>
        <v>9257234844</v>
      </c>
      <c r="B12760" t="str">
        <f t="shared" si="522"/>
        <v>89301000</v>
      </c>
      <c r="C12760" s="1">
        <v>44500</v>
      </c>
      <c r="D12760" s="1">
        <v>44503</v>
      </c>
      <c r="E12760">
        <v>1</v>
      </c>
      <c r="F12760" t="s">
        <v>82</v>
      </c>
      <c r="G12760" t="str">
        <f>"14-I01-05"</f>
        <v>14-I01-05</v>
      </c>
      <c r="H12760">
        <v>0.80030000000000001</v>
      </c>
      <c r="I12760" t="s">
        <v>7919</v>
      </c>
      <c r="J12760" t="s">
        <v>59</v>
      </c>
      <c r="K12760" t="str">
        <f t="shared" si="527"/>
        <v>6F3</v>
      </c>
      <c r="L12760" t="s">
        <v>15</v>
      </c>
    </row>
    <row r="12761" spans="1:12" x14ac:dyDescent="0.25">
      <c r="A12761" t="str">
        <f>"9257255700"</f>
        <v>9257255700</v>
      </c>
      <c r="B12761" t="str">
        <f t="shared" ref="B12761:B12824" si="528">"89301000"</f>
        <v>89301000</v>
      </c>
      <c r="C12761" s="1">
        <v>44399</v>
      </c>
      <c r="D12761" s="1">
        <v>44403</v>
      </c>
      <c r="E12761">
        <v>1</v>
      </c>
      <c r="F12761" t="s">
        <v>75</v>
      </c>
      <c r="G12761" t="str">
        <f>"14-M01-05"</f>
        <v>14-M01-05</v>
      </c>
      <c r="H12761">
        <v>0.54239999999999999</v>
      </c>
      <c r="I12761" t="s">
        <v>8147</v>
      </c>
      <c r="J12761" t="s">
        <v>59</v>
      </c>
      <c r="K12761" t="str">
        <f t="shared" si="527"/>
        <v>6F3</v>
      </c>
      <c r="L12761" t="s">
        <v>15</v>
      </c>
    </row>
    <row r="12762" spans="1:12" x14ac:dyDescent="0.25">
      <c r="A12762" t="str">
        <f>"9257275709"</f>
        <v>9257275709</v>
      </c>
      <c r="B12762" t="str">
        <f t="shared" si="528"/>
        <v>89301000</v>
      </c>
      <c r="C12762" s="1">
        <v>44502</v>
      </c>
      <c r="D12762" s="1">
        <v>44516</v>
      </c>
      <c r="E12762">
        <v>1</v>
      </c>
      <c r="F12762" t="s">
        <v>217</v>
      </c>
      <c r="G12762" t="str">
        <f>"00-M01-04"</f>
        <v>00-M01-04</v>
      </c>
      <c r="H12762">
        <v>6.85</v>
      </c>
      <c r="I12762" t="s">
        <v>8148</v>
      </c>
      <c r="J12762" t="s">
        <v>14</v>
      </c>
      <c r="K12762" t="str">
        <f>"1F6"</f>
        <v>1F6</v>
      </c>
      <c r="L12762" t="s">
        <v>15</v>
      </c>
    </row>
    <row r="12763" spans="1:12" x14ac:dyDescent="0.25">
      <c r="A12763" t="str">
        <f>"9257285719"</f>
        <v>9257285719</v>
      </c>
      <c r="B12763" t="str">
        <f t="shared" si="528"/>
        <v>89301000</v>
      </c>
      <c r="C12763" s="1">
        <v>44280</v>
      </c>
      <c r="D12763" s="1">
        <v>44283</v>
      </c>
      <c r="E12763">
        <v>1</v>
      </c>
      <c r="F12763" t="s">
        <v>75</v>
      </c>
      <c r="G12763" t="str">
        <f>"14-M01-05"</f>
        <v>14-M01-05</v>
      </c>
      <c r="H12763">
        <v>0.54239999999999999</v>
      </c>
      <c r="I12763" t="s">
        <v>117</v>
      </c>
      <c r="J12763" t="s">
        <v>59</v>
      </c>
      <c r="K12763" t="str">
        <f>"6F3"</f>
        <v>6F3</v>
      </c>
      <c r="L12763" t="s">
        <v>15</v>
      </c>
    </row>
    <row r="12764" spans="1:12" x14ac:dyDescent="0.25">
      <c r="A12764" t="str">
        <f>"9258014854"</f>
        <v>9258014854</v>
      </c>
      <c r="B12764" t="str">
        <f t="shared" si="528"/>
        <v>89301000</v>
      </c>
      <c r="C12764" s="1">
        <v>44246</v>
      </c>
      <c r="D12764" s="1">
        <v>44249</v>
      </c>
      <c r="E12764">
        <v>1</v>
      </c>
      <c r="F12764" t="s">
        <v>75</v>
      </c>
      <c r="G12764" t="str">
        <f>"14-M01-05"</f>
        <v>14-M01-05</v>
      </c>
      <c r="H12764">
        <v>0.54239999999999999</v>
      </c>
      <c r="I12764" t="s">
        <v>7354</v>
      </c>
      <c r="J12764" t="s">
        <v>59</v>
      </c>
      <c r="K12764" t="str">
        <f>"6F3"</f>
        <v>6F3</v>
      </c>
      <c r="L12764" t="s">
        <v>15</v>
      </c>
    </row>
    <row r="12765" spans="1:12" x14ac:dyDescent="0.25">
      <c r="A12765" t="str">
        <f>"9258015712"</f>
        <v>9258015712</v>
      </c>
      <c r="B12765" t="str">
        <f t="shared" si="528"/>
        <v>89301000</v>
      </c>
      <c r="C12765" s="1">
        <v>44542</v>
      </c>
      <c r="D12765" s="1">
        <v>44545</v>
      </c>
      <c r="E12765">
        <v>1</v>
      </c>
      <c r="F12765" t="s">
        <v>48</v>
      </c>
      <c r="G12765" t="str">
        <f>"07-I10-06"</f>
        <v>07-I10-06</v>
      </c>
      <c r="H12765">
        <v>0.9728</v>
      </c>
      <c r="J12765" t="s">
        <v>17</v>
      </c>
      <c r="K12765" t="str">
        <f>"5F1"</f>
        <v>5F1</v>
      </c>
      <c r="L12765" t="s">
        <v>15</v>
      </c>
    </row>
    <row r="12766" spans="1:12" x14ac:dyDescent="0.25">
      <c r="A12766" t="str">
        <f>"9258025744"</f>
        <v>9258025744</v>
      </c>
      <c r="B12766" t="str">
        <f t="shared" si="528"/>
        <v>89301000</v>
      </c>
      <c r="C12766" s="1">
        <v>44330</v>
      </c>
      <c r="D12766" s="1">
        <v>44334</v>
      </c>
      <c r="E12766">
        <v>1</v>
      </c>
      <c r="F12766" t="s">
        <v>215</v>
      </c>
      <c r="G12766" t="str">
        <f>"08-I15-03"</f>
        <v>08-I15-03</v>
      </c>
      <c r="H12766">
        <v>1.1838</v>
      </c>
      <c r="I12766" t="s">
        <v>1206</v>
      </c>
      <c r="J12766" t="s">
        <v>17</v>
      </c>
      <c r="K12766" t="str">
        <f>"5F3"</f>
        <v>5F3</v>
      </c>
      <c r="L12766" t="s">
        <v>15</v>
      </c>
    </row>
    <row r="12767" spans="1:12" x14ac:dyDescent="0.25">
      <c r="A12767" t="str">
        <f>"9258035743"</f>
        <v>9258035743</v>
      </c>
      <c r="B12767" t="str">
        <f t="shared" si="528"/>
        <v>89301000</v>
      </c>
      <c r="C12767" s="1">
        <v>44506</v>
      </c>
      <c r="D12767" s="1">
        <v>44510</v>
      </c>
      <c r="E12767">
        <v>1</v>
      </c>
      <c r="F12767" t="s">
        <v>82</v>
      </c>
      <c r="G12767" t="str">
        <f>"14-I01-02"</f>
        <v>14-I01-02</v>
      </c>
      <c r="H12767">
        <v>1.1289</v>
      </c>
      <c r="I12767" t="s">
        <v>269</v>
      </c>
      <c r="J12767" t="s">
        <v>59</v>
      </c>
      <c r="K12767" t="str">
        <f>"6F3"</f>
        <v>6F3</v>
      </c>
      <c r="L12767" t="s">
        <v>15</v>
      </c>
    </row>
    <row r="12768" spans="1:12" x14ac:dyDescent="0.25">
      <c r="A12768" t="str">
        <f>"9258065707"</f>
        <v>9258065707</v>
      </c>
      <c r="B12768" t="str">
        <f t="shared" si="528"/>
        <v>89301000</v>
      </c>
      <c r="C12768" s="1">
        <v>44367</v>
      </c>
      <c r="D12768" s="1">
        <v>44377</v>
      </c>
      <c r="E12768">
        <v>1</v>
      </c>
      <c r="F12768" t="s">
        <v>82</v>
      </c>
      <c r="G12768" t="str">
        <f>"14-I01-02"</f>
        <v>14-I01-02</v>
      </c>
      <c r="H12768">
        <v>1.2408999999999999</v>
      </c>
      <c r="I12768" t="s">
        <v>8149</v>
      </c>
      <c r="J12768" t="s">
        <v>59</v>
      </c>
      <c r="K12768" t="str">
        <f>"6F3"</f>
        <v>6F3</v>
      </c>
      <c r="L12768" t="s">
        <v>15</v>
      </c>
    </row>
    <row r="12769" spans="1:12" x14ac:dyDescent="0.25">
      <c r="A12769" t="str">
        <f>"9258124854"</f>
        <v>9258124854</v>
      </c>
      <c r="B12769" t="str">
        <f t="shared" si="528"/>
        <v>89301000</v>
      </c>
      <c r="C12769" s="1">
        <v>44506</v>
      </c>
      <c r="D12769" s="1">
        <v>44509</v>
      </c>
      <c r="E12769">
        <v>1</v>
      </c>
      <c r="F12769" t="s">
        <v>8031</v>
      </c>
      <c r="G12769" t="str">
        <f>"14-M01-05"</f>
        <v>14-M01-05</v>
      </c>
      <c r="H12769">
        <v>0.54239999999999999</v>
      </c>
      <c r="I12769" t="s">
        <v>8150</v>
      </c>
      <c r="J12769" t="s">
        <v>59</v>
      </c>
      <c r="K12769" t="str">
        <f>"6F3"</f>
        <v>6F3</v>
      </c>
      <c r="L12769" t="s">
        <v>15</v>
      </c>
    </row>
    <row r="12770" spans="1:12" x14ac:dyDescent="0.25">
      <c r="A12770" t="str">
        <f>"9258154862"</f>
        <v>9258154862</v>
      </c>
      <c r="B12770" t="str">
        <f t="shared" si="528"/>
        <v>89301000</v>
      </c>
      <c r="C12770" s="1">
        <v>44345</v>
      </c>
      <c r="D12770" s="1">
        <v>44347</v>
      </c>
      <c r="E12770">
        <v>1</v>
      </c>
      <c r="F12770" t="s">
        <v>804</v>
      </c>
      <c r="G12770" t="str">
        <f>"08-I17-02"</f>
        <v>08-I17-02</v>
      </c>
      <c r="H12770">
        <v>0.98309999999999997</v>
      </c>
      <c r="I12770" t="s">
        <v>8151</v>
      </c>
      <c r="J12770" t="s">
        <v>14</v>
      </c>
      <c r="K12770" t="str">
        <f>"5F3"</f>
        <v>5F3</v>
      </c>
      <c r="L12770" t="s">
        <v>15</v>
      </c>
    </row>
    <row r="12771" spans="1:12" x14ac:dyDescent="0.25">
      <c r="A12771" t="str">
        <f>"9258195738"</f>
        <v>9258195738</v>
      </c>
      <c r="B12771" t="str">
        <f t="shared" si="528"/>
        <v>89301000</v>
      </c>
      <c r="C12771" s="1">
        <v>44216</v>
      </c>
      <c r="D12771" s="1">
        <v>44221</v>
      </c>
      <c r="E12771">
        <v>1</v>
      </c>
      <c r="F12771" t="s">
        <v>82</v>
      </c>
      <c r="G12771" t="str">
        <f>"14-I01-02"</f>
        <v>14-I01-02</v>
      </c>
      <c r="H12771">
        <v>1.1289</v>
      </c>
      <c r="I12771" t="s">
        <v>269</v>
      </c>
      <c r="J12771" t="s">
        <v>59</v>
      </c>
      <c r="K12771" t="str">
        <f>"6F3"</f>
        <v>6F3</v>
      </c>
      <c r="L12771" t="s">
        <v>15</v>
      </c>
    </row>
    <row r="12772" spans="1:12" x14ac:dyDescent="0.25">
      <c r="A12772" t="str">
        <f>"9258196167"</f>
        <v>9258196167</v>
      </c>
      <c r="B12772" t="str">
        <f t="shared" si="528"/>
        <v>89301000</v>
      </c>
      <c r="C12772" s="1">
        <v>44222</v>
      </c>
      <c r="D12772" s="1">
        <v>44223</v>
      </c>
      <c r="E12772">
        <v>1</v>
      </c>
      <c r="F12772" t="s">
        <v>75</v>
      </c>
      <c r="G12772" t="str">
        <f>"14-M01-05"</f>
        <v>14-M01-05</v>
      </c>
      <c r="H12772">
        <v>0.54239999999999999</v>
      </c>
      <c r="I12772" t="s">
        <v>118</v>
      </c>
      <c r="J12772" t="s">
        <v>59</v>
      </c>
      <c r="K12772" t="str">
        <f>"6F3"</f>
        <v>6F3</v>
      </c>
      <c r="L12772" t="s">
        <v>15</v>
      </c>
    </row>
    <row r="12773" spans="1:12" x14ac:dyDescent="0.25">
      <c r="A12773" t="str">
        <f>"9258215736"</f>
        <v>9258215736</v>
      </c>
      <c r="B12773" t="str">
        <f t="shared" si="528"/>
        <v>89301000</v>
      </c>
      <c r="C12773" s="1">
        <v>44504</v>
      </c>
      <c r="D12773" s="1">
        <v>44508</v>
      </c>
      <c r="E12773">
        <v>1</v>
      </c>
      <c r="F12773" t="s">
        <v>7582</v>
      </c>
      <c r="G12773" t="str">
        <f>"13-K08-01"</f>
        <v>13-K08-01</v>
      </c>
      <c r="H12773">
        <v>1.2709999999999999</v>
      </c>
      <c r="I12773" t="s">
        <v>8152</v>
      </c>
      <c r="J12773" t="s">
        <v>14</v>
      </c>
      <c r="K12773" t="str">
        <f>"4F2"</f>
        <v>4F2</v>
      </c>
      <c r="L12773" t="s">
        <v>15</v>
      </c>
    </row>
    <row r="12774" spans="1:12" x14ac:dyDescent="0.25">
      <c r="A12774" t="str">
        <f>"9258215736"</f>
        <v>9258215736</v>
      </c>
      <c r="B12774" t="str">
        <f t="shared" si="528"/>
        <v>89301000</v>
      </c>
      <c r="C12774" s="1">
        <v>44266</v>
      </c>
      <c r="D12774" s="1">
        <v>44270</v>
      </c>
      <c r="E12774">
        <v>1</v>
      </c>
      <c r="F12774" t="s">
        <v>7582</v>
      </c>
      <c r="G12774" t="str">
        <f>"13-C01-01"</f>
        <v>13-C01-01</v>
      </c>
      <c r="H12774">
        <v>0.2616</v>
      </c>
      <c r="I12774" t="s">
        <v>8153</v>
      </c>
      <c r="J12774" t="s">
        <v>14</v>
      </c>
      <c r="K12774" t="str">
        <f>"4F2"</f>
        <v>4F2</v>
      </c>
      <c r="L12774" t="s">
        <v>15</v>
      </c>
    </row>
    <row r="12775" spans="1:12" x14ac:dyDescent="0.25">
      <c r="A12775" t="str">
        <f>"9258274619"</f>
        <v>9258274619</v>
      </c>
      <c r="B12775" t="str">
        <f t="shared" si="528"/>
        <v>89301000</v>
      </c>
      <c r="C12775" s="1">
        <v>44473</v>
      </c>
      <c r="D12775" s="1">
        <v>44476</v>
      </c>
      <c r="E12775">
        <v>1</v>
      </c>
      <c r="F12775" t="s">
        <v>266</v>
      </c>
      <c r="G12775" t="str">
        <f>"13-I14-03"</f>
        <v>13-I14-03</v>
      </c>
      <c r="H12775">
        <v>0.83199999999999996</v>
      </c>
      <c r="J12775" t="s">
        <v>24</v>
      </c>
      <c r="K12775" t="str">
        <f>"6F3"</f>
        <v>6F3</v>
      </c>
      <c r="L12775" t="s">
        <v>15</v>
      </c>
    </row>
    <row r="12776" spans="1:12" x14ac:dyDescent="0.25">
      <c r="A12776" t="str">
        <f>"9258285729"</f>
        <v>9258285729</v>
      </c>
      <c r="B12776" t="str">
        <f t="shared" si="528"/>
        <v>89301000</v>
      </c>
      <c r="C12776" s="1">
        <v>44546</v>
      </c>
      <c r="D12776" s="1">
        <v>44550</v>
      </c>
      <c r="E12776">
        <v>1</v>
      </c>
      <c r="F12776" t="s">
        <v>75</v>
      </c>
      <c r="G12776" t="str">
        <f>"14-M01-05"</f>
        <v>14-M01-05</v>
      </c>
      <c r="H12776">
        <v>0.54239999999999999</v>
      </c>
      <c r="I12776" t="s">
        <v>7706</v>
      </c>
      <c r="J12776" t="s">
        <v>59</v>
      </c>
      <c r="K12776" t="str">
        <f>"6F3"</f>
        <v>6F3</v>
      </c>
      <c r="L12776" t="s">
        <v>15</v>
      </c>
    </row>
    <row r="12777" spans="1:12" x14ac:dyDescent="0.25">
      <c r="A12777" t="str">
        <f>"9258293682"</f>
        <v>9258293682</v>
      </c>
      <c r="B12777" t="str">
        <f t="shared" si="528"/>
        <v>89301000</v>
      </c>
      <c r="C12777" s="1">
        <v>44270</v>
      </c>
      <c r="D12777" s="1">
        <v>44271</v>
      </c>
      <c r="E12777">
        <v>1</v>
      </c>
      <c r="F12777" t="s">
        <v>496</v>
      </c>
      <c r="G12777" t="str">
        <f>"08-M03-04"</f>
        <v>08-M03-04</v>
      </c>
      <c r="H12777">
        <v>0.8609</v>
      </c>
      <c r="J12777" t="s">
        <v>14</v>
      </c>
      <c r="K12777" t="str">
        <f>"6F6"</f>
        <v>6F6</v>
      </c>
      <c r="L12777" t="s">
        <v>15</v>
      </c>
    </row>
    <row r="12778" spans="1:12" x14ac:dyDescent="0.25">
      <c r="A12778" t="str">
        <f>"9258305716"</f>
        <v>9258305716</v>
      </c>
      <c r="B12778" t="str">
        <f t="shared" si="528"/>
        <v>89301000</v>
      </c>
      <c r="C12778" s="1">
        <v>44433</v>
      </c>
      <c r="D12778" s="1">
        <v>44436</v>
      </c>
      <c r="E12778">
        <v>1</v>
      </c>
      <c r="F12778" t="s">
        <v>7540</v>
      </c>
      <c r="G12778" t="str">
        <f>"13-I18-03"</f>
        <v>13-I18-03</v>
      </c>
      <c r="H12778">
        <v>0.63680000000000003</v>
      </c>
      <c r="J12778" t="s">
        <v>14</v>
      </c>
      <c r="K12778" t="str">
        <f>"6F3"</f>
        <v>6F3</v>
      </c>
      <c r="L12778" t="s">
        <v>15</v>
      </c>
    </row>
    <row r="12779" spans="1:12" x14ac:dyDescent="0.25">
      <c r="A12779" t="str">
        <f>"9259045708"</f>
        <v>9259045708</v>
      </c>
      <c r="B12779" t="str">
        <f t="shared" si="528"/>
        <v>89301000</v>
      </c>
      <c r="C12779" s="1">
        <v>44228</v>
      </c>
      <c r="D12779" s="1">
        <v>44232</v>
      </c>
      <c r="E12779">
        <v>1</v>
      </c>
      <c r="F12779" t="s">
        <v>116</v>
      </c>
      <c r="G12779" t="str">
        <f>"14-M01-05"</f>
        <v>14-M01-05</v>
      </c>
      <c r="H12779">
        <v>0.54239999999999999</v>
      </c>
      <c r="I12779" t="s">
        <v>118</v>
      </c>
      <c r="J12779" t="s">
        <v>59</v>
      </c>
      <c r="K12779" t="str">
        <f>"6F3"</f>
        <v>6F3</v>
      </c>
      <c r="L12779" t="s">
        <v>15</v>
      </c>
    </row>
    <row r="12780" spans="1:12" x14ac:dyDescent="0.25">
      <c r="A12780" t="str">
        <f>"9259135743"</f>
        <v>9259135743</v>
      </c>
      <c r="B12780" t="str">
        <f t="shared" si="528"/>
        <v>89301000</v>
      </c>
      <c r="C12780" s="1">
        <v>44395</v>
      </c>
      <c r="D12780" s="1">
        <v>44399</v>
      </c>
      <c r="E12780">
        <v>1</v>
      </c>
      <c r="F12780" t="s">
        <v>75</v>
      </c>
      <c r="G12780" t="str">
        <f>"14-M01-05"</f>
        <v>14-M01-05</v>
      </c>
      <c r="H12780">
        <v>0.54239999999999999</v>
      </c>
      <c r="I12780" t="s">
        <v>8089</v>
      </c>
      <c r="J12780" t="s">
        <v>59</v>
      </c>
      <c r="K12780" t="str">
        <f>"6F3"</f>
        <v>6F3</v>
      </c>
      <c r="L12780" t="s">
        <v>15</v>
      </c>
    </row>
    <row r="12781" spans="1:12" x14ac:dyDescent="0.25">
      <c r="A12781" t="str">
        <f>"9259195726"</f>
        <v>9259195726</v>
      </c>
      <c r="B12781" t="str">
        <f t="shared" si="528"/>
        <v>89301000</v>
      </c>
      <c r="C12781" s="1">
        <v>44539</v>
      </c>
      <c r="D12781" s="1">
        <v>44545</v>
      </c>
      <c r="E12781">
        <v>1</v>
      </c>
      <c r="F12781" t="s">
        <v>61</v>
      </c>
      <c r="G12781" t="str">
        <f>"14-I01-05"</f>
        <v>14-I01-05</v>
      </c>
      <c r="H12781">
        <v>0.80030000000000001</v>
      </c>
      <c r="I12781" t="s">
        <v>8154</v>
      </c>
      <c r="J12781" t="s">
        <v>59</v>
      </c>
      <c r="K12781" t="str">
        <f>"6F3"</f>
        <v>6F3</v>
      </c>
      <c r="L12781" t="s">
        <v>15</v>
      </c>
    </row>
    <row r="12782" spans="1:12" x14ac:dyDescent="0.25">
      <c r="A12782" t="str">
        <f>"9259224843"</f>
        <v>9259224843</v>
      </c>
      <c r="B12782" t="str">
        <f t="shared" si="528"/>
        <v>89301000</v>
      </c>
      <c r="C12782" s="1">
        <v>44294</v>
      </c>
      <c r="D12782" s="1">
        <v>44303</v>
      </c>
      <c r="E12782">
        <v>1</v>
      </c>
      <c r="F12782" t="s">
        <v>82</v>
      </c>
      <c r="G12782" t="str">
        <f>"14-I01-01"</f>
        <v>14-I01-01</v>
      </c>
      <c r="H12782">
        <v>1.5294000000000001</v>
      </c>
      <c r="I12782" t="s">
        <v>8155</v>
      </c>
      <c r="J12782" t="s">
        <v>59</v>
      </c>
      <c r="K12782" t="str">
        <f>"6F3"</f>
        <v>6F3</v>
      </c>
      <c r="L12782" t="s">
        <v>15</v>
      </c>
    </row>
    <row r="12783" spans="1:12" x14ac:dyDescent="0.25">
      <c r="A12783" t="str">
        <f>"9259245710"</f>
        <v>9259245710</v>
      </c>
      <c r="B12783" t="str">
        <f t="shared" si="528"/>
        <v>89301000</v>
      </c>
      <c r="C12783" s="1">
        <v>44321</v>
      </c>
      <c r="D12783" s="1">
        <v>44323</v>
      </c>
      <c r="E12783">
        <v>1</v>
      </c>
      <c r="F12783" t="s">
        <v>5527</v>
      </c>
      <c r="G12783" t="str">
        <f>"01-K18-04"</f>
        <v>01-K18-04</v>
      </c>
      <c r="H12783">
        <v>0.49890000000000001</v>
      </c>
      <c r="I12783" t="s">
        <v>3416</v>
      </c>
      <c r="J12783" t="s">
        <v>14</v>
      </c>
      <c r="K12783" t="str">
        <f>"2F9"</f>
        <v>2F9</v>
      </c>
      <c r="L12783" t="s">
        <v>15</v>
      </c>
    </row>
    <row r="12784" spans="1:12" x14ac:dyDescent="0.25">
      <c r="A12784" t="str">
        <f>"9260025731"</f>
        <v>9260025731</v>
      </c>
      <c r="B12784" t="str">
        <f t="shared" si="528"/>
        <v>89301000</v>
      </c>
      <c r="C12784" s="1">
        <v>44228</v>
      </c>
      <c r="D12784" s="1">
        <v>44231</v>
      </c>
      <c r="E12784">
        <v>1</v>
      </c>
      <c r="F12784" t="s">
        <v>75</v>
      </c>
      <c r="G12784" t="str">
        <f>"14-M01-05"</f>
        <v>14-M01-05</v>
      </c>
      <c r="H12784">
        <v>0.54239999999999999</v>
      </c>
      <c r="I12784" t="s">
        <v>76</v>
      </c>
      <c r="J12784" t="s">
        <v>59</v>
      </c>
      <c r="K12784" t="str">
        <f>"6F3"</f>
        <v>6F3</v>
      </c>
      <c r="L12784" t="s">
        <v>15</v>
      </c>
    </row>
    <row r="12785" spans="1:12" x14ac:dyDescent="0.25">
      <c r="A12785" t="str">
        <f>"9260125699"</f>
        <v>9260125699</v>
      </c>
      <c r="B12785" t="str">
        <f t="shared" si="528"/>
        <v>89301000</v>
      </c>
      <c r="C12785" s="1">
        <v>44557</v>
      </c>
      <c r="D12785" s="1">
        <v>44561</v>
      </c>
      <c r="E12785">
        <v>1</v>
      </c>
      <c r="F12785" t="s">
        <v>116</v>
      </c>
      <c r="G12785" t="str">
        <f>"14-M01-05"</f>
        <v>14-M01-05</v>
      </c>
      <c r="H12785">
        <v>0.54239999999999999</v>
      </c>
      <c r="I12785" t="s">
        <v>7844</v>
      </c>
      <c r="J12785" t="s">
        <v>59</v>
      </c>
      <c r="K12785" t="str">
        <f>"6F3"</f>
        <v>6F3</v>
      </c>
      <c r="L12785" t="s">
        <v>15</v>
      </c>
    </row>
    <row r="12786" spans="1:12" x14ac:dyDescent="0.25">
      <c r="A12786" t="str">
        <f>"9260164243"</f>
        <v>9260164243</v>
      </c>
      <c r="B12786" t="str">
        <f t="shared" si="528"/>
        <v>89301000</v>
      </c>
      <c r="C12786" s="1">
        <v>44424</v>
      </c>
      <c r="D12786" s="1">
        <v>44427</v>
      </c>
      <c r="E12786">
        <v>1</v>
      </c>
      <c r="F12786" t="s">
        <v>75</v>
      </c>
      <c r="G12786" t="str">
        <f>"14-M01-05"</f>
        <v>14-M01-05</v>
      </c>
      <c r="H12786">
        <v>0.54239999999999999</v>
      </c>
      <c r="I12786" t="s">
        <v>7108</v>
      </c>
      <c r="J12786" t="s">
        <v>59</v>
      </c>
      <c r="K12786" t="str">
        <f>"6F3"</f>
        <v>6F3</v>
      </c>
      <c r="L12786" t="s">
        <v>15</v>
      </c>
    </row>
    <row r="12787" spans="1:12" x14ac:dyDescent="0.25">
      <c r="A12787" t="str">
        <f>"9260223764"</f>
        <v>9260223764</v>
      </c>
      <c r="B12787" t="str">
        <f t="shared" si="528"/>
        <v>89301000</v>
      </c>
      <c r="C12787" s="1">
        <v>44266</v>
      </c>
      <c r="D12787" s="1">
        <v>44280</v>
      </c>
      <c r="E12787">
        <v>1</v>
      </c>
      <c r="F12787" t="s">
        <v>60</v>
      </c>
      <c r="G12787" t="str">
        <f>"14-K03-02"</f>
        <v>14-K03-02</v>
      </c>
      <c r="H12787">
        <v>0.54169999999999996</v>
      </c>
      <c r="J12787" t="s">
        <v>14</v>
      </c>
      <c r="K12787" t="str">
        <f>"6F3"</f>
        <v>6F3</v>
      </c>
      <c r="L12787" t="s">
        <v>15</v>
      </c>
    </row>
    <row r="12788" spans="1:12" x14ac:dyDescent="0.25">
      <c r="A12788" t="str">
        <f>"9260223764"</f>
        <v>9260223764</v>
      </c>
      <c r="B12788" t="str">
        <f t="shared" si="528"/>
        <v>89301000</v>
      </c>
      <c r="C12788" s="1">
        <v>44298</v>
      </c>
      <c r="D12788" s="1">
        <v>44305</v>
      </c>
      <c r="E12788">
        <v>1</v>
      </c>
      <c r="F12788" t="s">
        <v>7455</v>
      </c>
      <c r="G12788" t="str">
        <f>"14-I01-02"</f>
        <v>14-I01-02</v>
      </c>
      <c r="H12788">
        <v>1.1289</v>
      </c>
      <c r="I12788" t="s">
        <v>8156</v>
      </c>
      <c r="J12788" t="s">
        <v>59</v>
      </c>
      <c r="K12788" t="str">
        <f>"6F3"</f>
        <v>6F3</v>
      </c>
      <c r="L12788" t="s">
        <v>15</v>
      </c>
    </row>
    <row r="12789" spans="1:12" x14ac:dyDescent="0.25">
      <c r="A12789" t="str">
        <f>"9260225755"</f>
        <v>9260225755</v>
      </c>
      <c r="B12789" t="str">
        <f t="shared" si="528"/>
        <v>89301000</v>
      </c>
      <c r="C12789" s="1">
        <v>44501</v>
      </c>
      <c r="D12789" s="1">
        <v>44504</v>
      </c>
      <c r="E12789">
        <v>1</v>
      </c>
      <c r="F12789" t="s">
        <v>500</v>
      </c>
      <c r="G12789" t="str">
        <f>"06-K06-01"</f>
        <v>06-K06-01</v>
      </c>
      <c r="H12789">
        <v>1.3448</v>
      </c>
      <c r="I12789" t="s">
        <v>5642</v>
      </c>
      <c r="J12789" t="s">
        <v>14</v>
      </c>
      <c r="K12789" t="str">
        <f>"1F5"</f>
        <v>1F5</v>
      </c>
      <c r="L12789" t="s">
        <v>15</v>
      </c>
    </row>
    <row r="12790" spans="1:12" x14ac:dyDescent="0.25">
      <c r="A12790" t="str">
        <f>"9260234841"</f>
        <v>9260234841</v>
      </c>
      <c r="B12790" t="str">
        <f t="shared" si="528"/>
        <v>89301000</v>
      </c>
      <c r="C12790" s="1">
        <v>44347</v>
      </c>
      <c r="D12790" s="1">
        <v>44356</v>
      </c>
      <c r="E12790">
        <v>1</v>
      </c>
      <c r="F12790" t="s">
        <v>61</v>
      </c>
      <c r="G12790" t="str">
        <f>"14-I01-05"</f>
        <v>14-I01-05</v>
      </c>
      <c r="H12790">
        <v>0.87990000000000002</v>
      </c>
      <c r="I12790" t="s">
        <v>62</v>
      </c>
      <c r="J12790" t="s">
        <v>59</v>
      </c>
      <c r="K12790" t="str">
        <f>"6F3"</f>
        <v>6F3</v>
      </c>
      <c r="L12790" t="s">
        <v>15</v>
      </c>
    </row>
    <row r="12791" spans="1:12" x14ac:dyDescent="0.25">
      <c r="A12791" t="str">
        <f>"9260245709"</f>
        <v>9260245709</v>
      </c>
      <c r="B12791" t="str">
        <f t="shared" si="528"/>
        <v>89301000</v>
      </c>
      <c r="C12791" s="1">
        <v>44347</v>
      </c>
      <c r="D12791" s="1">
        <v>44349</v>
      </c>
      <c r="E12791">
        <v>1</v>
      </c>
      <c r="F12791" t="s">
        <v>653</v>
      </c>
      <c r="G12791" t="str">
        <f>"13-K02-00"</f>
        <v>13-K02-00</v>
      </c>
      <c r="H12791">
        <v>0.24079999999999999</v>
      </c>
      <c r="J12791" t="s">
        <v>14</v>
      </c>
      <c r="K12791" t="str">
        <f>"6F3"</f>
        <v>6F3</v>
      </c>
      <c r="L12791" t="s">
        <v>15</v>
      </c>
    </row>
    <row r="12792" spans="1:12" x14ac:dyDescent="0.25">
      <c r="A12792" t="str">
        <f>"9260245709"</f>
        <v>9260245709</v>
      </c>
      <c r="B12792" t="str">
        <f t="shared" si="528"/>
        <v>89301000</v>
      </c>
      <c r="C12792" s="1">
        <v>44231</v>
      </c>
      <c r="D12792" s="1">
        <v>44234</v>
      </c>
      <c r="E12792">
        <v>1</v>
      </c>
      <c r="F12792" t="s">
        <v>654</v>
      </c>
      <c r="G12792" t="str">
        <f>"13-I14-03"</f>
        <v>13-I14-03</v>
      </c>
      <c r="H12792">
        <v>0.83199999999999996</v>
      </c>
      <c r="I12792" t="s">
        <v>7882</v>
      </c>
      <c r="J12792" t="s">
        <v>24</v>
      </c>
      <c r="K12792" t="str">
        <f>"6F3"</f>
        <v>6F3</v>
      </c>
      <c r="L12792" t="s">
        <v>15</v>
      </c>
    </row>
    <row r="12793" spans="1:12" x14ac:dyDescent="0.25">
      <c r="A12793" t="str">
        <f>"9261054847"</f>
        <v>9261054847</v>
      </c>
      <c r="B12793" t="str">
        <f t="shared" si="528"/>
        <v>89301000</v>
      </c>
      <c r="C12793" s="1">
        <v>44521</v>
      </c>
      <c r="D12793" s="1">
        <v>44523</v>
      </c>
      <c r="E12793">
        <v>1</v>
      </c>
      <c r="F12793" t="s">
        <v>75</v>
      </c>
      <c r="G12793" t="str">
        <f>"14-M01-05"</f>
        <v>14-M01-05</v>
      </c>
      <c r="H12793">
        <v>0.54239999999999999</v>
      </c>
      <c r="I12793" t="s">
        <v>180</v>
      </c>
      <c r="J12793" t="s">
        <v>59</v>
      </c>
      <c r="K12793" t="str">
        <f>"6F3"</f>
        <v>6F3</v>
      </c>
      <c r="L12793" t="s">
        <v>15</v>
      </c>
    </row>
    <row r="12794" spans="1:12" x14ac:dyDescent="0.25">
      <c r="A12794" t="str">
        <f>"9261115732"</f>
        <v>9261115732</v>
      </c>
      <c r="B12794" t="str">
        <f t="shared" si="528"/>
        <v>89301000</v>
      </c>
      <c r="C12794" s="1">
        <v>44475</v>
      </c>
      <c r="D12794" s="1">
        <v>44478</v>
      </c>
      <c r="E12794">
        <v>1</v>
      </c>
      <c r="F12794" t="s">
        <v>43</v>
      </c>
      <c r="G12794" t="str">
        <f>"06-I18-05"</f>
        <v>06-I18-05</v>
      </c>
      <c r="H12794">
        <v>0.85550000000000004</v>
      </c>
      <c r="J12794" t="s">
        <v>24</v>
      </c>
      <c r="K12794" t="str">
        <f>"5F1"</f>
        <v>5F1</v>
      </c>
      <c r="L12794" t="s">
        <v>15</v>
      </c>
    </row>
    <row r="12795" spans="1:12" x14ac:dyDescent="0.25">
      <c r="A12795" t="str">
        <f>"9261125720"</f>
        <v>9261125720</v>
      </c>
      <c r="B12795" t="str">
        <f t="shared" si="528"/>
        <v>89301000</v>
      </c>
      <c r="C12795" s="1">
        <v>44459</v>
      </c>
      <c r="D12795" s="1">
        <v>44464</v>
      </c>
      <c r="E12795">
        <v>1</v>
      </c>
      <c r="F12795" t="s">
        <v>75</v>
      </c>
      <c r="G12795" t="str">
        <f t="shared" ref="G12795:G12803" si="529">"14-M01-05"</f>
        <v>14-M01-05</v>
      </c>
      <c r="H12795">
        <v>0.54239999999999999</v>
      </c>
      <c r="I12795" t="s">
        <v>8157</v>
      </c>
      <c r="J12795" t="s">
        <v>59</v>
      </c>
      <c r="K12795" t="str">
        <f t="shared" ref="K12795:K12806" si="530">"6F3"</f>
        <v>6F3</v>
      </c>
      <c r="L12795" t="s">
        <v>15</v>
      </c>
    </row>
    <row r="12796" spans="1:12" x14ac:dyDescent="0.25">
      <c r="A12796" t="str">
        <f>"9261165716"</f>
        <v>9261165716</v>
      </c>
      <c r="B12796" t="str">
        <f t="shared" si="528"/>
        <v>89301000</v>
      </c>
      <c r="C12796" s="1">
        <v>44371</v>
      </c>
      <c r="D12796" s="1">
        <v>44375</v>
      </c>
      <c r="E12796">
        <v>1</v>
      </c>
      <c r="F12796" t="s">
        <v>75</v>
      </c>
      <c r="G12796" t="str">
        <f t="shared" si="529"/>
        <v>14-M01-05</v>
      </c>
      <c r="H12796">
        <v>0.54239999999999999</v>
      </c>
      <c r="I12796" t="s">
        <v>7717</v>
      </c>
      <c r="J12796" t="s">
        <v>59</v>
      </c>
      <c r="K12796" t="str">
        <f t="shared" si="530"/>
        <v>6F3</v>
      </c>
      <c r="L12796" t="s">
        <v>15</v>
      </c>
    </row>
    <row r="12797" spans="1:12" x14ac:dyDescent="0.25">
      <c r="A12797" t="str">
        <f>"9261194844"</f>
        <v>9261194844</v>
      </c>
      <c r="B12797" t="str">
        <f t="shared" si="528"/>
        <v>89301000</v>
      </c>
      <c r="C12797" s="1">
        <v>44373</v>
      </c>
      <c r="D12797" s="1">
        <v>44376</v>
      </c>
      <c r="E12797">
        <v>1</v>
      </c>
      <c r="F12797" t="s">
        <v>75</v>
      </c>
      <c r="G12797" t="str">
        <f t="shared" si="529"/>
        <v>14-M01-05</v>
      </c>
      <c r="H12797">
        <v>0.54239999999999999</v>
      </c>
      <c r="I12797" t="s">
        <v>180</v>
      </c>
      <c r="J12797" t="s">
        <v>59</v>
      </c>
      <c r="K12797" t="str">
        <f t="shared" si="530"/>
        <v>6F3</v>
      </c>
      <c r="L12797" t="s">
        <v>15</v>
      </c>
    </row>
    <row r="12798" spans="1:12" x14ac:dyDescent="0.25">
      <c r="A12798" t="str">
        <f>"9261205723"</f>
        <v>9261205723</v>
      </c>
      <c r="B12798" t="str">
        <f t="shared" si="528"/>
        <v>89301000</v>
      </c>
      <c r="C12798" s="1">
        <v>44425</v>
      </c>
      <c r="D12798" s="1">
        <v>44428</v>
      </c>
      <c r="E12798">
        <v>1</v>
      </c>
      <c r="F12798" t="s">
        <v>75</v>
      </c>
      <c r="G12798" t="str">
        <f t="shared" si="529"/>
        <v>14-M01-05</v>
      </c>
      <c r="H12798">
        <v>0.54239999999999999</v>
      </c>
      <c r="I12798" t="s">
        <v>76</v>
      </c>
      <c r="J12798" t="s">
        <v>59</v>
      </c>
      <c r="K12798" t="str">
        <f t="shared" si="530"/>
        <v>6F3</v>
      </c>
      <c r="L12798" t="s">
        <v>15</v>
      </c>
    </row>
    <row r="12799" spans="1:12" x14ac:dyDescent="0.25">
      <c r="A12799" t="str">
        <f>"9261245730"</f>
        <v>9261245730</v>
      </c>
      <c r="B12799" t="str">
        <f t="shared" si="528"/>
        <v>89301000</v>
      </c>
      <c r="C12799" s="1">
        <v>44317</v>
      </c>
      <c r="D12799" s="1">
        <v>44320</v>
      </c>
      <c r="E12799">
        <v>1</v>
      </c>
      <c r="F12799" t="s">
        <v>75</v>
      </c>
      <c r="G12799" t="str">
        <f t="shared" si="529"/>
        <v>14-M01-05</v>
      </c>
      <c r="H12799">
        <v>0.54239999999999999</v>
      </c>
      <c r="J12799" t="s">
        <v>59</v>
      </c>
      <c r="K12799" t="str">
        <f t="shared" si="530"/>
        <v>6F3</v>
      </c>
      <c r="L12799" t="s">
        <v>15</v>
      </c>
    </row>
    <row r="12800" spans="1:12" x14ac:dyDescent="0.25">
      <c r="A12800" t="str">
        <f>"9261260668"</f>
        <v>9261260668</v>
      </c>
      <c r="B12800" t="str">
        <f t="shared" si="528"/>
        <v>89301000</v>
      </c>
      <c r="C12800" s="1">
        <v>44482</v>
      </c>
      <c r="D12800" s="1">
        <v>44487</v>
      </c>
      <c r="E12800">
        <v>1</v>
      </c>
      <c r="F12800" t="s">
        <v>112</v>
      </c>
      <c r="G12800" t="str">
        <f t="shared" si="529"/>
        <v>14-M01-05</v>
      </c>
      <c r="H12800">
        <v>0.54239999999999999</v>
      </c>
      <c r="I12800" t="s">
        <v>8158</v>
      </c>
      <c r="J12800" t="s">
        <v>59</v>
      </c>
      <c r="K12800" t="str">
        <f t="shared" si="530"/>
        <v>6F3</v>
      </c>
      <c r="L12800" t="s">
        <v>15</v>
      </c>
    </row>
    <row r="12801" spans="1:12" x14ac:dyDescent="0.25">
      <c r="A12801" t="str">
        <f>"9262046178"</f>
        <v>9262046178</v>
      </c>
      <c r="B12801" t="str">
        <f t="shared" si="528"/>
        <v>89301000</v>
      </c>
      <c r="C12801" s="1">
        <v>44306</v>
      </c>
      <c r="D12801" s="1">
        <v>44307</v>
      </c>
      <c r="E12801">
        <v>1</v>
      </c>
      <c r="F12801" t="s">
        <v>75</v>
      </c>
      <c r="G12801" t="str">
        <f t="shared" si="529"/>
        <v>14-M01-05</v>
      </c>
      <c r="H12801">
        <v>0.54239999999999999</v>
      </c>
      <c r="I12801" t="s">
        <v>7429</v>
      </c>
      <c r="J12801" t="s">
        <v>59</v>
      </c>
      <c r="K12801" t="str">
        <f t="shared" si="530"/>
        <v>6F3</v>
      </c>
      <c r="L12801" t="s">
        <v>15</v>
      </c>
    </row>
    <row r="12802" spans="1:12" x14ac:dyDescent="0.25">
      <c r="A12802" t="str">
        <f>"9262095722"</f>
        <v>9262095722</v>
      </c>
      <c r="B12802" t="str">
        <f t="shared" si="528"/>
        <v>89301000</v>
      </c>
      <c r="C12802" s="1">
        <v>44440</v>
      </c>
      <c r="D12802" s="1">
        <v>44443</v>
      </c>
      <c r="E12802">
        <v>1</v>
      </c>
      <c r="F12802" t="s">
        <v>112</v>
      </c>
      <c r="G12802" t="str">
        <f t="shared" si="529"/>
        <v>14-M01-05</v>
      </c>
      <c r="H12802">
        <v>0.54239999999999999</v>
      </c>
      <c r="I12802" t="s">
        <v>8159</v>
      </c>
      <c r="J12802" t="s">
        <v>59</v>
      </c>
      <c r="K12802" t="str">
        <f t="shared" si="530"/>
        <v>6F3</v>
      </c>
      <c r="L12802" t="s">
        <v>15</v>
      </c>
    </row>
    <row r="12803" spans="1:12" x14ac:dyDescent="0.25">
      <c r="A12803" t="str">
        <f>"9262215721"</f>
        <v>9262215721</v>
      </c>
      <c r="B12803" t="str">
        <f t="shared" si="528"/>
        <v>89301000</v>
      </c>
      <c r="C12803" s="1">
        <v>44365</v>
      </c>
      <c r="D12803" s="1">
        <v>44368</v>
      </c>
      <c r="E12803">
        <v>1</v>
      </c>
      <c r="F12803" t="s">
        <v>75</v>
      </c>
      <c r="G12803" t="str">
        <f t="shared" si="529"/>
        <v>14-M01-05</v>
      </c>
      <c r="H12803">
        <v>0.56330000000000002</v>
      </c>
      <c r="I12803" t="s">
        <v>7429</v>
      </c>
      <c r="J12803" t="s">
        <v>59</v>
      </c>
      <c r="K12803" t="str">
        <f t="shared" si="530"/>
        <v>6F3</v>
      </c>
      <c r="L12803" t="s">
        <v>15</v>
      </c>
    </row>
    <row r="12804" spans="1:12" x14ac:dyDescent="0.25">
      <c r="A12804" t="str">
        <f>"9262235829"</f>
        <v>9262235829</v>
      </c>
      <c r="B12804" t="str">
        <f t="shared" si="528"/>
        <v>89301000</v>
      </c>
      <c r="C12804" s="1">
        <v>44505</v>
      </c>
      <c r="D12804" s="1">
        <v>44506</v>
      </c>
      <c r="E12804">
        <v>1</v>
      </c>
      <c r="F12804" t="s">
        <v>3852</v>
      </c>
      <c r="G12804" t="str">
        <f>"13-I19-00"</f>
        <v>13-I19-00</v>
      </c>
      <c r="H12804">
        <v>0.24679999999999999</v>
      </c>
      <c r="J12804" t="s">
        <v>14</v>
      </c>
      <c r="K12804" t="str">
        <f t="shared" si="530"/>
        <v>6F3</v>
      </c>
      <c r="L12804" t="s">
        <v>15</v>
      </c>
    </row>
    <row r="12805" spans="1:12" x14ac:dyDescent="0.25">
      <c r="A12805" t="str">
        <f>"9262284845"</f>
        <v>9262284845</v>
      </c>
      <c r="B12805" t="str">
        <f t="shared" si="528"/>
        <v>89301000</v>
      </c>
      <c r="C12805" s="1">
        <v>44385</v>
      </c>
      <c r="D12805" s="1">
        <v>44385</v>
      </c>
      <c r="E12805">
        <v>6</v>
      </c>
      <c r="F12805" t="s">
        <v>7901</v>
      </c>
      <c r="G12805" t="str">
        <f>"14-K05-03"</f>
        <v>14-K05-03</v>
      </c>
      <c r="H12805">
        <v>0.1542</v>
      </c>
      <c r="J12805" t="s">
        <v>14</v>
      </c>
      <c r="K12805" t="str">
        <f t="shared" si="530"/>
        <v>6F3</v>
      </c>
      <c r="L12805" t="s">
        <v>15</v>
      </c>
    </row>
    <row r="12806" spans="1:12" x14ac:dyDescent="0.25">
      <c r="A12806" t="str">
        <f>"9262284845"</f>
        <v>9262284845</v>
      </c>
      <c r="B12806" t="str">
        <f t="shared" si="528"/>
        <v>89301000</v>
      </c>
      <c r="C12806" s="1">
        <v>44381</v>
      </c>
      <c r="D12806" s="1">
        <v>44382</v>
      </c>
      <c r="E12806">
        <v>1</v>
      </c>
      <c r="F12806" t="s">
        <v>60</v>
      </c>
      <c r="G12806" t="str">
        <f>"14-K03-02"</f>
        <v>14-K03-02</v>
      </c>
      <c r="H12806">
        <v>0.2646</v>
      </c>
      <c r="J12806" t="s">
        <v>14</v>
      </c>
      <c r="K12806" t="str">
        <f t="shared" si="530"/>
        <v>6F3</v>
      </c>
      <c r="L12806" t="s">
        <v>15</v>
      </c>
    </row>
    <row r="12807" spans="1:12" x14ac:dyDescent="0.25">
      <c r="A12807" t="str">
        <f>"9262304854"</f>
        <v>9262304854</v>
      </c>
      <c r="B12807" t="str">
        <f t="shared" si="528"/>
        <v>89301000</v>
      </c>
      <c r="C12807" s="1">
        <v>44282</v>
      </c>
      <c r="D12807" s="1">
        <v>44284</v>
      </c>
      <c r="E12807">
        <v>1</v>
      </c>
      <c r="F12807" t="s">
        <v>1565</v>
      </c>
      <c r="G12807" t="str">
        <f>"01-K13-02"</f>
        <v>01-K13-02</v>
      </c>
      <c r="H12807">
        <v>0.7954</v>
      </c>
      <c r="I12807" t="s">
        <v>1948</v>
      </c>
      <c r="J12807" t="s">
        <v>14</v>
      </c>
      <c r="K12807" t="str">
        <f>"2F9"</f>
        <v>2F9</v>
      </c>
      <c r="L12807" t="s">
        <v>15</v>
      </c>
    </row>
    <row r="12808" spans="1:12" x14ac:dyDescent="0.25">
      <c r="A12808" t="str">
        <f>"9262304854"</f>
        <v>9262304854</v>
      </c>
      <c r="B12808" t="str">
        <f t="shared" si="528"/>
        <v>89301000</v>
      </c>
      <c r="C12808" s="1">
        <v>44307</v>
      </c>
      <c r="D12808" s="1">
        <v>44313</v>
      </c>
      <c r="E12808">
        <v>1</v>
      </c>
      <c r="F12808" t="s">
        <v>1565</v>
      </c>
      <c r="G12808" t="str">
        <f>"01-I06-04"</f>
        <v>01-I06-04</v>
      </c>
      <c r="H12808">
        <v>3.6231</v>
      </c>
      <c r="I12808" t="s">
        <v>4222</v>
      </c>
      <c r="J12808" t="s">
        <v>17</v>
      </c>
      <c r="K12808" t="str">
        <f>"5F6"</f>
        <v>5F6</v>
      </c>
      <c r="L12808" t="s">
        <v>15</v>
      </c>
    </row>
    <row r="12809" spans="1:12" x14ac:dyDescent="0.25">
      <c r="A12809" t="str">
        <f>"9262305734"</f>
        <v>9262305734</v>
      </c>
      <c r="B12809" t="str">
        <f t="shared" si="528"/>
        <v>89301000</v>
      </c>
      <c r="C12809" s="1">
        <v>44411</v>
      </c>
      <c r="D12809" s="1">
        <v>44413</v>
      </c>
      <c r="E12809">
        <v>1</v>
      </c>
      <c r="F12809" t="s">
        <v>75</v>
      </c>
      <c r="G12809" t="str">
        <f>"14-M01-05"</f>
        <v>14-M01-05</v>
      </c>
      <c r="H12809">
        <v>0.54239999999999999</v>
      </c>
      <c r="I12809" t="s">
        <v>76</v>
      </c>
      <c r="J12809" t="s">
        <v>59</v>
      </c>
      <c r="K12809" t="str">
        <f>"6F3"</f>
        <v>6F3</v>
      </c>
      <c r="L12809" t="s">
        <v>15</v>
      </c>
    </row>
    <row r="12810" spans="1:12" x14ac:dyDescent="0.25">
      <c r="A12810" t="str">
        <f>"9262315722"</f>
        <v>9262315722</v>
      </c>
      <c r="B12810" t="str">
        <f t="shared" si="528"/>
        <v>89301000</v>
      </c>
      <c r="C12810" s="1">
        <v>44491</v>
      </c>
      <c r="D12810" s="1">
        <v>44494</v>
      </c>
      <c r="E12810">
        <v>1</v>
      </c>
      <c r="F12810" t="s">
        <v>114</v>
      </c>
      <c r="G12810" t="str">
        <f>"03-I17-00"</f>
        <v>03-I17-00</v>
      </c>
      <c r="H12810">
        <v>0.84960000000000002</v>
      </c>
      <c r="I12810" t="s">
        <v>234</v>
      </c>
      <c r="J12810" t="s">
        <v>24</v>
      </c>
      <c r="K12810" t="str">
        <f>"7F1"</f>
        <v>7F1</v>
      </c>
      <c r="L12810" t="s">
        <v>15</v>
      </c>
    </row>
    <row r="12811" spans="1:12" x14ac:dyDescent="0.25">
      <c r="A12811" t="str">
        <f>"9301155699"</f>
        <v>9301155699</v>
      </c>
      <c r="B12811" t="str">
        <f t="shared" si="528"/>
        <v>89301000</v>
      </c>
      <c r="C12811" s="1">
        <v>44333</v>
      </c>
      <c r="D12811" s="1">
        <v>44334</v>
      </c>
      <c r="E12811">
        <v>1</v>
      </c>
      <c r="F12811" t="s">
        <v>8160</v>
      </c>
      <c r="G12811" t="str">
        <f>"09-K13-02"</f>
        <v>09-K13-02</v>
      </c>
      <c r="H12811">
        <v>0.3014</v>
      </c>
      <c r="I12811" t="s">
        <v>8161</v>
      </c>
      <c r="J12811" t="s">
        <v>14</v>
      </c>
      <c r="K12811" t="str">
        <f>"5F3"</f>
        <v>5F3</v>
      </c>
      <c r="L12811" t="s">
        <v>15</v>
      </c>
    </row>
    <row r="12812" spans="1:12" x14ac:dyDescent="0.25">
      <c r="A12812" t="str">
        <f>"9301255700"</f>
        <v>9301255700</v>
      </c>
      <c r="B12812" t="str">
        <f t="shared" si="528"/>
        <v>89301000</v>
      </c>
      <c r="C12812" s="1">
        <v>44264</v>
      </c>
      <c r="D12812" s="1">
        <v>44273</v>
      </c>
      <c r="E12812">
        <v>1</v>
      </c>
      <c r="F12812" t="s">
        <v>2648</v>
      </c>
      <c r="G12812" t="str">
        <f>"06-I12-03"</f>
        <v>06-I12-03</v>
      </c>
      <c r="H12812">
        <v>1.8894</v>
      </c>
      <c r="I12812" t="s">
        <v>566</v>
      </c>
      <c r="J12812" t="s">
        <v>14</v>
      </c>
      <c r="K12812" t="str">
        <f>"5F1"</f>
        <v>5F1</v>
      </c>
      <c r="L12812" t="s">
        <v>15</v>
      </c>
    </row>
    <row r="12813" spans="1:12" x14ac:dyDescent="0.25">
      <c r="A12813" t="str">
        <f>"9302165785"</f>
        <v>9302165785</v>
      </c>
      <c r="B12813" t="str">
        <f t="shared" si="528"/>
        <v>89301000</v>
      </c>
      <c r="C12813" s="1">
        <v>44480</v>
      </c>
      <c r="D12813" s="1">
        <v>44485</v>
      </c>
      <c r="E12813">
        <v>1</v>
      </c>
      <c r="F12813" t="s">
        <v>114</v>
      </c>
      <c r="G12813" t="str">
        <f>"03-I17-00"</f>
        <v>03-I17-00</v>
      </c>
      <c r="H12813">
        <v>0.84960000000000002</v>
      </c>
      <c r="I12813" t="s">
        <v>767</v>
      </c>
      <c r="J12813" t="s">
        <v>24</v>
      </c>
      <c r="K12813" t="str">
        <f>"7F1"</f>
        <v>7F1</v>
      </c>
      <c r="L12813" t="s">
        <v>15</v>
      </c>
    </row>
    <row r="12814" spans="1:12" x14ac:dyDescent="0.25">
      <c r="A12814" t="str">
        <f>"9302184859"</f>
        <v>9302184859</v>
      </c>
      <c r="B12814" t="str">
        <f t="shared" si="528"/>
        <v>89301000</v>
      </c>
      <c r="C12814" s="1">
        <v>44440</v>
      </c>
      <c r="D12814" s="1">
        <v>44444</v>
      </c>
      <c r="E12814">
        <v>1</v>
      </c>
      <c r="F12814" t="s">
        <v>417</v>
      </c>
      <c r="G12814" t="str">
        <f>"03-I19-03"</f>
        <v>03-I19-03</v>
      </c>
      <c r="H12814">
        <v>0.60699999999999998</v>
      </c>
      <c r="J12814" t="s">
        <v>14</v>
      </c>
      <c r="K12814" t="str">
        <f>"6F5"</f>
        <v>6F5</v>
      </c>
      <c r="L12814" t="s">
        <v>15</v>
      </c>
    </row>
    <row r="12815" spans="1:12" x14ac:dyDescent="0.25">
      <c r="A12815" t="str">
        <f>"9302226153"</f>
        <v>9302226153</v>
      </c>
      <c r="B12815" t="str">
        <f t="shared" si="528"/>
        <v>89301000</v>
      </c>
      <c r="C12815" s="1">
        <v>44530</v>
      </c>
      <c r="D12815" s="1">
        <v>44536</v>
      </c>
      <c r="E12815">
        <v>1</v>
      </c>
      <c r="F12815" t="s">
        <v>98</v>
      </c>
      <c r="G12815" t="str">
        <f>"19-K03-03"</f>
        <v>19-K03-03</v>
      </c>
      <c r="H12815">
        <v>0.93169999999999997</v>
      </c>
      <c r="I12815" t="s">
        <v>8162</v>
      </c>
      <c r="J12815" t="s">
        <v>27</v>
      </c>
      <c r="K12815" t="str">
        <f>"3F5"</f>
        <v>3F5</v>
      </c>
      <c r="L12815" t="s">
        <v>15</v>
      </c>
    </row>
    <row r="12816" spans="1:12" x14ac:dyDescent="0.25">
      <c r="A12816" t="str">
        <f>"9303085704"</f>
        <v>9303085704</v>
      </c>
      <c r="B12816" t="str">
        <f t="shared" si="528"/>
        <v>89301000</v>
      </c>
      <c r="C12816" s="1">
        <v>44517</v>
      </c>
      <c r="D12816" s="1">
        <v>44521</v>
      </c>
      <c r="E12816">
        <v>1</v>
      </c>
      <c r="F12816" t="s">
        <v>217</v>
      </c>
      <c r="G12816" t="str">
        <f>"04-K02-04"</f>
        <v>04-K02-04</v>
      </c>
      <c r="H12816">
        <v>0.82469999999999999</v>
      </c>
      <c r="I12816" t="s">
        <v>274</v>
      </c>
      <c r="J12816" t="s">
        <v>14</v>
      </c>
      <c r="K12816" t="str">
        <f>"5F1"</f>
        <v>5F1</v>
      </c>
      <c r="L12816" t="s">
        <v>15</v>
      </c>
    </row>
    <row r="12817" spans="1:12" x14ac:dyDescent="0.25">
      <c r="A12817" t="str">
        <f>"9303255720"</f>
        <v>9303255720</v>
      </c>
      <c r="B12817" t="str">
        <f t="shared" si="528"/>
        <v>89301000</v>
      </c>
      <c r="C12817" s="1">
        <v>44449</v>
      </c>
      <c r="D12817" s="1">
        <v>44453</v>
      </c>
      <c r="E12817">
        <v>1</v>
      </c>
      <c r="F12817" t="s">
        <v>260</v>
      </c>
      <c r="G12817" t="str">
        <f>"03-I22-03"</f>
        <v>03-I22-03</v>
      </c>
      <c r="H12817">
        <v>0.49049999999999999</v>
      </c>
      <c r="J12817" t="s">
        <v>14</v>
      </c>
      <c r="K12817" t="str">
        <f>"7F1"</f>
        <v>7F1</v>
      </c>
      <c r="L12817" t="s">
        <v>15</v>
      </c>
    </row>
    <row r="12818" spans="1:12" x14ac:dyDescent="0.25">
      <c r="A12818" t="str">
        <f>"9304215712"</f>
        <v>9304215712</v>
      </c>
      <c r="B12818" t="str">
        <f t="shared" si="528"/>
        <v>89301000</v>
      </c>
      <c r="C12818" s="1">
        <v>44339</v>
      </c>
      <c r="D12818" s="1">
        <v>44358</v>
      </c>
      <c r="E12818">
        <v>1</v>
      </c>
      <c r="F12818" t="s">
        <v>8163</v>
      </c>
      <c r="G12818" t="str">
        <f>"20-K05-02"</f>
        <v>20-K05-02</v>
      </c>
      <c r="H12818">
        <v>1.9813000000000001</v>
      </c>
      <c r="I12818" t="s">
        <v>8164</v>
      </c>
      <c r="J12818" t="s">
        <v>14</v>
      </c>
      <c r="K12818" t="str">
        <f>"3F5"</f>
        <v>3F5</v>
      </c>
      <c r="L12818" t="s">
        <v>15</v>
      </c>
    </row>
    <row r="12819" spans="1:12" x14ac:dyDescent="0.25">
      <c r="A12819" t="str">
        <f>"9305135741"</f>
        <v>9305135741</v>
      </c>
      <c r="B12819" t="str">
        <f t="shared" si="528"/>
        <v>89301000</v>
      </c>
      <c r="C12819" s="1">
        <v>44306</v>
      </c>
      <c r="D12819" s="1">
        <v>44308</v>
      </c>
      <c r="E12819">
        <v>1</v>
      </c>
      <c r="F12819" t="s">
        <v>210</v>
      </c>
      <c r="G12819" t="str">
        <f>"08-I15-03"</f>
        <v>08-I15-03</v>
      </c>
      <c r="H12819">
        <v>1.2193000000000001</v>
      </c>
      <c r="I12819" t="s">
        <v>196</v>
      </c>
      <c r="J12819" t="s">
        <v>17</v>
      </c>
      <c r="K12819" t="str">
        <f>"5F3"</f>
        <v>5F3</v>
      </c>
      <c r="L12819" t="s">
        <v>15</v>
      </c>
    </row>
    <row r="12820" spans="1:12" x14ac:dyDescent="0.25">
      <c r="A12820" t="str">
        <f>"9305154859"</f>
        <v>9305154859</v>
      </c>
      <c r="B12820" t="str">
        <f t="shared" si="528"/>
        <v>89301000</v>
      </c>
      <c r="C12820" s="1">
        <v>44284</v>
      </c>
      <c r="D12820" s="1">
        <v>44287</v>
      </c>
      <c r="E12820">
        <v>1</v>
      </c>
      <c r="F12820" t="s">
        <v>8165</v>
      </c>
      <c r="G12820" t="str">
        <f>"08-I03-02"</f>
        <v>08-I03-02</v>
      </c>
      <c r="H12820">
        <v>7.0648999999999997</v>
      </c>
      <c r="I12820" t="s">
        <v>8166</v>
      </c>
      <c r="J12820" t="s">
        <v>17</v>
      </c>
      <c r="K12820" t="str">
        <f>"5F6"</f>
        <v>5F6</v>
      </c>
      <c r="L12820" t="s">
        <v>15</v>
      </c>
    </row>
    <row r="12821" spans="1:12" x14ac:dyDescent="0.25">
      <c r="A12821" t="str">
        <f>"9305254871"</f>
        <v>9305254871</v>
      </c>
      <c r="B12821" t="str">
        <f t="shared" si="528"/>
        <v>89301000</v>
      </c>
      <c r="C12821" s="1">
        <v>44411</v>
      </c>
      <c r="D12821" s="1">
        <v>44412</v>
      </c>
      <c r="E12821">
        <v>1</v>
      </c>
      <c r="F12821" t="s">
        <v>186</v>
      </c>
      <c r="G12821" t="str">
        <f>"05-M05-03"</f>
        <v>05-M05-03</v>
      </c>
      <c r="H12821">
        <v>1.9991000000000001</v>
      </c>
      <c r="I12821" t="s">
        <v>153</v>
      </c>
      <c r="J12821" t="s">
        <v>24</v>
      </c>
      <c r="K12821" t="str">
        <f>"1F7"</f>
        <v>1F7</v>
      </c>
      <c r="L12821" t="s">
        <v>15</v>
      </c>
    </row>
    <row r="12822" spans="1:12" x14ac:dyDescent="0.25">
      <c r="A12822" t="str">
        <f>"9306094237"</f>
        <v>9306094237</v>
      </c>
      <c r="B12822" t="str">
        <f t="shared" si="528"/>
        <v>89301000</v>
      </c>
      <c r="C12822" s="1">
        <v>44249</v>
      </c>
      <c r="D12822" s="1">
        <v>44255</v>
      </c>
      <c r="E12822">
        <v>1</v>
      </c>
      <c r="F12822" t="s">
        <v>4908</v>
      </c>
      <c r="G12822" t="str">
        <f>"12-C01-01"</f>
        <v>12-C01-01</v>
      </c>
      <c r="H12822">
        <v>0.65110000000000001</v>
      </c>
      <c r="I12822" t="s">
        <v>3317</v>
      </c>
      <c r="J12822" t="s">
        <v>14</v>
      </c>
      <c r="K12822" t="str">
        <f>"4F2"</f>
        <v>4F2</v>
      </c>
      <c r="L12822" t="s">
        <v>15</v>
      </c>
    </row>
    <row r="12823" spans="1:12" x14ac:dyDescent="0.25">
      <c r="A12823" t="str">
        <f>"9306094237"</f>
        <v>9306094237</v>
      </c>
      <c r="B12823" t="str">
        <f t="shared" si="528"/>
        <v>89301000</v>
      </c>
      <c r="C12823" s="1">
        <v>44279</v>
      </c>
      <c r="D12823" s="1">
        <v>44285</v>
      </c>
      <c r="E12823">
        <v>1</v>
      </c>
      <c r="F12823" t="s">
        <v>217</v>
      </c>
      <c r="G12823" t="str">
        <f>"04-K02-03"</f>
        <v>04-K02-03</v>
      </c>
      <c r="H12823">
        <v>1.2859</v>
      </c>
      <c r="I12823" t="s">
        <v>8167</v>
      </c>
      <c r="J12823" t="s">
        <v>14</v>
      </c>
      <c r="K12823" t="str">
        <f>"7F6"</f>
        <v>7F6</v>
      </c>
      <c r="L12823" t="s">
        <v>15</v>
      </c>
    </row>
    <row r="12824" spans="1:12" x14ac:dyDescent="0.25">
      <c r="A12824" t="str">
        <f>"9306094237"</f>
        <v>9306094237</v>
      </c>
      <c r="B12824" t="str">
        <f t="shared" si="528"/>
        <v>89301000</v>
      </c>
      <c r="C12824" s="1">
        <v>44271</v>
      </c>
      <c r="D12824" s="1">
        <v>44276</v>
      </c>
      <c r="E12824">
        <v>1</v>
      </c>
      <c r="F12824" t="s">
        <v>4908</v>
      </c>
      <c r="G12824" t="str">
        <f>"12-C01-01"</f>
        <v>12-C01-01</v>
      </c>
      <c r="H12824">
        <v>0.65110000000000001</v>
      </c>
      <c r="I12824" t="s">
        <v>2556</v>
      </c>
      <c r="J12824" t="s">
        <v>14</v>
      </c>
      <c r="K12824" t="str">
        <f>"4F2"</f>
        <v>4F2</v>
      </c>
      <c r="L12824" t="s">
        <v>15</v>
      </c>
    </row>
    <row r="12825" spans="1:12" x14ac:dyDescent="0.25">
      <c r="A12825" t="str">
        <f>"9306135729"</f>
        <v>9306135729</v>
      </c>
      <c r="B12825" t="str">
        <f t="shared" ref="B12825:B12886" si="531">"89301000"</f>
        <v>89301000</v>
      </c>
      <c r="C12825" s="1">
        <v>44376</v>
      </c>
      <c r="D12825" s="1">
        <v>44385</v>
      </c>
      <c r="E12825">
        <v>1</v>
      </c>
      <c r="F12825" t="s">
        <v>3083</v>
      </c>
      <c r="G12825" t="str">
        <f>"04-I05-03"</f>
        <v>04-I05-03</v>
      </c>
      <c r="H12825">
        <v>2.1143000000000001</v>
      </c>
      <c r="J12825" t="s">
        <v>106</v>
      </c>
      <c r="K12825" t="str">
        <f>"5F1"</f>
        <v>5F1</v>
      </c>
      <c r="L12825" t="s">
        <v>15</v>
      </c>
    </row>
    <row r="12826" spans="1:12" x14ac:dyDescent="0.25">
      <c r="A12826" t="str">
        <f>"9306135729"</f>
        <v>9306135729</v>
      </c>
      <c r="B12826" t="str">
        <f t="shared" si="531"/>
        <v>89301000</v>
      </c>
      <c r="C12826" s="1">
        <v>44368</v>
      </c>
      <c r="D12826" s="1">
        <v>44370</v>
      </c>
      <c r="E12826">
        <v>1</v>
      </c>
      <c r="F12826" t="s">
        <v>3083</v>
      </c>
      <c r="G12826" t="str">
        <f>"04-K10-02"</f>
        <v>04-K10-02</v>
      </c>
      <c r="H12826">
        <v>0.38879999999999998</v>
      </c>
      <c r="I12826" t="s">
        <v>145</v>
      </c>
      <c r="J12826" t="s">
        <v>14</v>
      </c>
      <c r="K12826" t="str">
        <f>"2F5"</f>
        <v>2F5</v>
      </c>
      <c r="L12826" t="s">
        <v>15</v>
      </c>
    </row>
    <row r="12827" spans="1:12" x14ac:dyDescent="0.25">
      <c r="A12827" t="str">
        <f>"9306135729"</f>
        <v>9306135729</v>
      </c>
      <c r="B12827" t="str">
        <f t="shared" si="531"/>
        <v>89301000</v>
      </c>
      <c r="C12827" s="1">
        <v>44335</v>
      </c>
      <c r="D12827" s="1">
        <v>44337</v>
      </c>
      <c r="E12827">
        <v>1</v>
      </c>
      <c r="F12827" t="s">
        <v>3083</v>
      </c>
      <c r="G12827" t="str">
        <f>"04-K10-02"</f>
        <v>04-K10-02</v>
      </c>
      <c r="H12827">
        <v>0.41870000000000002</v>
      </c>
      <c r="I12827" t="s">
        <v>145</v>
      </c>
      <c r="J12827" t="s">
        <v>14</v>
      </c>
      <c r="K12827" t="str">
        <f>"2F5"</f>
        <v>2F5</v>
      </c>
      <c r="L12827" t="s">
        <v>15</v>
      </c>
    </row>
    <row r="12828" spans="1:12" x14ac:dyDescent="0.25">
      <c r="A12828" t="str">
        <f>"9307155968"</f>
        <v>9307155968</v>
      </c>
      <c r="B12828" t="str">
        <f t="shared" si="531"/>
        <v>89301000</v>
      </c>
      <c r="C12828" s="1">
        <v>44508</v>
      </c>
      <c r="D12828" s="1">
        <v>44510</v>
      </c>
      <c r="E12828">
        <v>1</v>
      </c>
      <c r="F12828" t="s">
        <v>532</v>
      </c>
      <c r="G12828" t="str">
        <f>"06-M01-03"</f>
        <v>06-M01-03</v>
      </c>
      <c r="H12828">
        <v>0.82450000000000001</v>
      </c>
      <c r="I12828" t="s">
        <v>8168</v>
      </c>
      <c r="J12828" t="s">
        <v>14</v>
      </c>
      <c r="K12828" t="str">
        <f>"1F1"</f>
        <v>1F1</v>
      </c>
      <c r="L12828" t="s">
        <v>15</v>
      </c>
    </row>
    <row r="12829" spans="1:12" x14ac:dyDescent="0.25">
      <c r="A12829" t="str">
        <f>"9307215940"</f>
        <v>9307215940</v>
      </c>
      <c r="B12829" t="str">
        <f t="shared" si="531"/>
        <v>89301000</v>
      </c>
      <c r="C12829" s="1">
        <v>44403</v>
      </c>
      <c r="D12829" s="1">
        <v>44404</v>
      </c>
      <c r="E12829">
        <v>1</v>
      </c>
      <c r="F12829" t="s">
        <v>41</v>
      </c>
      <c r="G12829" t="str">
        <f>"01-D01-03"</f>
        <v>01-D01-03</v>
      </c>
      <c r="H12829">
        <v>0.158</v>
      </c>
      <c r="I12829" t="s">
        <v>8169</v>
      </c>
      <c r="J12829" t="s">
        <v>14</v>
      </c>
      <c r="K12829" t="str">
        <f>"2F5"</f>
        <v>2F5</v>
      </c>
      <c r="L12829" t="s">
        <v>15</v>
      </c>
    </row>
    <row r="12830" spans="1:12" x14ac:dyDescent="0.25">
      <c r="A12830" t="str">
        <f>"9307255716"</f>
        <v>9307255716</v>
      </c>
      <c r="B12830" t="str">
        <f t="shared" si="531"/>
        <v>89301000</v>
      </c>
      <c r="C12830" s="1">
        <v>44231</v>
      </c>
      <c r="D12830" s="1">
        <v>44233</v>
      </c>
      <c r="E12830">
        <v>1</v>
      </c>
      <c r="F12830" t="s">
        <v>41</v>
      </c>
      <c r="G12830" t="str">
        <f>"01-D01-03"</f>
        <v>01-D01-03</v>
      </c>
      <c r="H12830">
        <v>0.158</v>
      </c>
      <c r="J12830" t="s">
        <v>14</v>
      </c>
      <c r="K12830" t="str">
        <f>"2F5"</f>
        <v>2F5</v>
      </c>
      <c r="L12830" t="s">
        <v>15</v>
      </c>
    </row>
    <row r="12831" spans="1:12" x14ac:dyDescent="0.25">
      <c r="A12831" t="str">
        <f>"9307255727"</f>
        <v>9307255727</v>
      </c>
      <c r="B12831" t="str">
        <f t="shared" si="531"/>
        <v>89301000</v>
      </c>
      <c r="C12831" s="1">
        <v>44387</v>
      </c>
      <c r="D12831" s="1">
        <v>44390</v>
      </c>
      <c r="E12831">
        <v>1</v>
      </c>
      <c r="F12831" t="s">
        <v>252</v>
      </c>
      <c r="G12831" t="str">
        <f>"06-I20-02"</f>
        <v>06-I20-02</v>
      </c>
      <c r="H12831">
        <v>1.6910000000000001</v>
      </c>
      <c r="I12831" t="s">
        <v>906</v>
      </c>
      <c r="J12831" t="s">
        <v>14</v>
      </c>
      <c r="K12831" t="str">
        <f>"5F1"</f>
        <v>5F1</v>
      </c>
      <c r="L12831" t="s">
        <v>15</v>
      </c>
    </row>
    <row r="12832" spans="1:12" x14ac:dyDescent="0.25">
      <c r="A12832" t="str">
        <f>"9308055702"</f>
        <v>9308055702</v>
      </c>
      <c r="B12832" t="str">
        <f t="shared" si="531"/>
        <v>89301000</v>
      </c>
      <c r="C12832" s="1">
        <v>44389</v>
      </c>
      <c r="D12832" s="1">
        <v>44393</v>
      </c>
      <c r="E12832">
        <v>1</v>
      </c>
      <c r="F12832" t="s">
        <v>43</v>
      </c>
      <c r="G12832" t="str">
        <f>"06-I18-05"</f>
        <v>06-I18-05</v>
      </c>
      <c r="H12832">
        <v>0.85550000000000004</v>
      </c>
      <c r="J12832" t="s">
        <v>24</v>
      </c>
      <c r="K12832" t="str">
        <f>"5F1"</f>
        <v>5F1</v>
      </c>
      <c r="L12832" t="s">
        <v>15</v>
      </c>
    </row>
    <row r="12833" spans="1:12" x14ac:dyDescent="0.25">
      <c r="A12833" t="str">
        <f>"9308101253"</f>
        <v>9308101253</v>
      </c>
      <c r="B12833" t="str">
        <f t="shared" si="531"/>
        <v>89301000</v>
      </c>
      <c r="C12833" s="1">
        <v>44486</v>
      </c>
      <c r="D12833" s="1">
        <v>44488</v>
      </c>
      <c r="E12833">
        <v>1</v>
      </c>
      <c r="F12833" t="s">
        <v>71</v>
      </c>
      <c r="G12833" t="str">
        <f>"08-I19-01"</f>
        <v>08-I19-01</v>
      </c>
      <c r="H12833">
        <v>1.0456000000000001</v>
      </c>
      <c r="I12833" t="s">
        <v>233</v>
      </c>
      <c r="J12833" t="s">
        <v>17</v>
      </c>
      <c r="K12833" t="str">
        <f>"5F3"</f>
        <v>5F3</v>
      </c>
      <c r="L12833" t="s">
        <v>15</v>
      </c>
    </row>
    <row r="12834" spans="1:12" x14ac:dyDescent="0.25">
      <c r="A12834" t="str">
        <f>"9308106148"</f>
        <v>9308106148</v>
      </c>
      <c r="B12834" t="str">
        <f t="shared" si="531"/>
        <v>89301000</v>
      </c>
      <c r="C12834" s="1">
        <v>44458</v>
      </c>
      <c r="D12834" s="1">
        <v>44460</v>
      </c>
      <c r="E12834">
        <v>1</v>
      </c>
      <c r="F12834" t="s">
        <v>8170</v>
      </c>
      <c r="G12834" t="str">
        <f>"08-I19-03"</f>
        <v>08-I19-03</v>
      </c>
      <c r="H12834">
        <v>0.61250000000000004</v>
      </c>
      <c r="I12834" t="s">
        <v>8171</v>
      </c>
      <c r="J12834" t="s">
        <v>17</v>
      </c>
      <c r="K12834" t="str">
        <f>"5F3"</f>
        <v>5F3</v>
      </c>
      <c r="L12834" t="s">
        <v>15</v>
      </c>
    </row>
    <row r="12835" spans="1:12" x14ac:dyDescent="0.25">
      <c r="A12835" t="str">
        <f>"9309094850"</f>
        <v>9309094850</v>
      </c>
      <c r="B12835" t="str">
        <f t="shared" si="531"/>
        <v>89301000</v>
      </c>
      <c r="C12835" s="1">
        <v>44540</v>
      </c>
      <c r="D12835" s="1">
        <v>44541</v>
      </c>
      <c r="E12835">
        <v>1</v>
      </c>
      <c r="F12835" t="s">
        <v>174</v>
      </c>
      <c r="G12835" t="str">
        <f>"12-I14-00"</f>
        <v>12-I14-00</v>
      </c>
      <c r="H12835">
        <v>0.44350000000000001</v>
      </c>
      <c r="J12835" t="s">
        <v>14</v>
      </c>
      <c r="K12835" t="str">
        <f>"7F6"</f>
        <v>7F6</v>
      </c>
      <c r="L12835" t="s">
        <v>15</v>
      </c>
    </row>
    <row r="12836" spans="1:12" x14ac:dyDescent="0.25">
      <c r="A12836" t="str">
        <f>"9309095719"</f>
        <v>9309095719</v>
      </c>
      <c r="B12836" t="str">
        <f t="shared" si="531"/>
        <v>89301000</v>
      </c>
      <c r="C12836" s="1">
        <v>44512</v>
      </c>
      <c r="D12836" s="1">
        <v>44520</v>
      </c>
      <c r="E12836">
        <v>1</v>
      </c>
      <c r="F12836" t="s">
        <v>4249</v>
      </c>
      <c r="G12836" t="str">
        <f>"04-K05-02"</f>
        <v>04-K05-02</v>
      </c>
      <c r="H12836">
        <v>1.2657</v>
      </c>
      <c r="J12836" t="s">
        <v>14</v>
      </c>
      <c r="K12836" t="str">
        <f>"1T1"</f>
        <v>1T1</v>
      </c>
      <c r="L12836" t="s">
        <v>15</v>
      </c>
    </row>
    <row r="12837" spans="1:12" x14ac:dyDescent="0.25">
      <c r="A12837" t="str">
        <f>"9309135022"</f>
        <v>9309135022</v>
      </c>
      <c r="B12837" t="str">
        <f t="shared" si="531"/>
        <v>89301000</v>
      </c>
      <c r="C12837" s="1">
        <v>44389</v>
      </c>
      <c r="D12837" s="1">
        <v>44391</v>
      </c>
      <c r="E12837">
        <v>1</v>
      </c>
      <c r="F12837" t="s">
        <v>39</v>
      </c>
      <c r="G12837" t="str">
        <f>"03-I19-03"</f>
        <v>03-I19-03</v>
      </c>
      <c r="H12837">
        <v>0.60699999999999998</v>
      </c>
      <c r="I12837" t="s">
        <v>875</v>
      </c>
      <c r="J12837" t="s">
        <v>14</v>
      </c>
      <c r="K12837" t="str">
        <f>"6F5"</f>
        <v>6F5</v>
      </c>
      <c r="L12837" t="s">
        <v>15</v>
      </c>
    </row>
    <row r="12838" spans="1:12" x14ac:dyDescent="0.25">
      <c r="A12838" t="str">
        <f>"9310215728"</f>
        <v>9310215728</v>
      </c>
      <c r="B12838" t="str">
        <f t="shared" si="531"/>
        <v>89301000</v>
      </c>
      <c r="C12838" s="1">
        <v>44319</v>
      </c>
      <c r="D12838" s="1">
        <v>44335</v>
      </c>
      <c r="E12838">
        <v>1</v>
      </c>
      <c r="F12838" t="s">
        <v>25</v>
      </c>
      <c r="G12838" t="str">
        <f>"19-K05-02"</f>
        <v>19-K05-02</v>
      </c>
      <c r="H12838">
        <v>1.8835999999999999</v>
      </c>
      <c r="I12838" t="s">
        <v>168</v>
      </c>
      <c r="J12838" t="s">
        <v>27</v>
      </c>
      <c r="K12838" t="str">
        <f>"3F5"</f>
        <v>3F5</v>
      </c>
      <c r="L12838" t="s">
        <v>15</v>
      </c>
    </row>
    <row r="12839" spans="1:12" x14ac:dyDescent="0.25">
      <c r="A12839" t="str">
        <f>"9310236144"</f>
        <v>9310236144</v>
      </c>
      <c r="B12839" t="str">
        <f t="shared" si="531"/>
        <v>89301000</v>
      </c>
      <c r="C12839" s="1">
        <v>44489</v>
      </c>
      <c r="D12839" s="1">
        <v>44490</v>
      </c>
      <c r="E12839">
        <v>1</v>
      </c>
      <c r="F12839" t="s">
        <v>41</v>
      </c>
      <c r="G12839" t="str">
        <f>"01-D01-03"</f>
        <v>01-D01-03</v>
      </c>
      <c r="H12839">
        <v>0.158</v>
      </c>
      <c r="J12839" t="s">
        <v>14</v>
      </c>
      <c r="K12839" t="str">
        <f>"2F5"</f>
        <v>2F5</v>
      </c>
      <c r="L12839" t="s">
        <v>15</v>
      </c>
    </row>
    <row r="12840" spans="1:12" x14ac:dyDescent="0.25">
      <c r="A12840" t="str">
        <f>"9310275777"</f>
        <v>9310275777</v>
      </c>
      <c r="B12840" t="str">
        <f t="shared" si="531"/>
        <v>89301000</v>
      </c>
      <c r="C12840" s="1">
        <v>44353</v>
      </c>
      <c r="D12840" s="1">
        <v>44355</v>
      </c>
      <c r="E12840">
        <v>1</v>
      </c>
      <c r="F12840" t="s">
        <v>715</v>
      </c>
      <c r="G12840" t="str">
        <f>"03-K12-01"</f>
        <v>03-K12-01</v>
      </c>
      <c r="H12840">
        <v>0.376</v>
      </c>
      <c r="I12840" t="s">
        <v>8172</v>
      </c>
      <c r="J12840" t="s">
        <v>14</v>
      </c>
      <c r="K12840" t="str">
        <f>"6F5"</f>
        <v>6F5</v>
      </c>
      <c r="L12840" t="s">
        <v>15</v>
      </c>
    </row>
    <row r="12841" spans="1:12" x14ac:dyDescent="0.25">
      <c r="A12841" t="str">
        <f>"9311011479"</f>
        <v>9311011479</v>
      </c>
      <c r="B12841" t="str">
        <f t="shared" si="531"/>
        <v>89301000</v>
      </c>
      <c r="C12841" s="1">
        <v>44518</v>
      </c>
      <c r="D12841" s="1">
        <v>44522</v>
      </c>
      <c r="E12841">
        <v>1</v>
      </c>
      <c r="F12841" t="s">
        <v>43</v>
      </c>
      <c r="G12841" t="str">
        <f>"06-I18-05"</f>
        <v>06-I18-05</v>
      </c>
      <c r="H12841">
        <v>0.85550000000000004</v>
      </c>
      <c r="J12841" t="s">
        <v>24</v>
      </c>
      <c r="K12841" t="str">
        <f>"5F1"</f>
        <v>5F1</v>
      </c>
      <c r="L12841" t="s">
        <v>15</v>
      </c>
    </row>
    <row r="12842" spans="1:12" x14ac:dyDescent="0.25">
      <c r="A12842" t="str">
        <f>"9311145734"</f>
        <v>9311145734</v>
      </c>
      <c r="B12842" t="str">
        <f t="shared" si="531"/>
        <v>89301000</v>
      </c>
      <c r="C12842" s="1">
        <v>44265</v>
      </c>
      <c r="D12842" s="1">
        <v>44265</v>
      </c>
      <c r="E12842">
        <v>1</v>
      </c>
      <c r="F12842" t="s">
        <v>173</v>
      </c>
      <c r="G12842" t="str">
        <f>"08-K15-00"</f>
        <v>08-K15-00</v>
      </c>
      <c r="H12842">
        <v>0.22239999999999999</v>
      </c>
      <c r="I12842" t="s">
        <v>248</v>
      </c>
      <c r="J12842" t="s">
        <v>14</v>
      </c>
      <c r="K12842" t="str">
        <f>"5F3"</f>
        <v>5F3</v>
      </c>
      <c r="L12842" t="s">
        <v>15</v>
      </c>
    </row>
    <row r="12843" spans="1:12" x14ac:dyDescent="0.25">
      <c r="A12843" t="str">
        <f>"9311205706"</f>
        <v>9311205706</v>
      </c>
      <c r="B12843" t="str">
        <f t="shared" si="531"/>
        <v>89301000</v>
      </c>
      <c r="C12843" s="1">
        <v>44316</v>
      </c>
      <c r="D12843" s="1">
        <v>44320</v>
      </c>
      <c r="E12843">
        <v>1</v>
      </c>
      <c r="F12843" t="s">
        <v>4908</v>
      </c>
      <c r="G12843" t="str">
        <f>"12-C01-01"</f>
        <v>12-C01-01</v>
      </c>
      <c r="H12843">
        <v>0.65110000000000001</v>
      </c>
      <c r="I12843" t="s">
        <v>541</v>
      </c>
      <c r="J12843" t="s">
        <v>14</v>
      </c>
      <c r="K12843" t="str">
        <f>"4F2"</f>
        <v>4F2</v>
      </c>
      <c r="L12843" t="s">
        <v>15</v>
      </c>
    </row>
    <row r="12844" spans="1:12" x14ac:dyDescent="0.25">
      <c r="A12844" t="str">
        <f>"9311205706"</f>
        <v>9311205706</v>
      </c>
      <c r="B12844" t="str">
        <f t="shared" si="531"/>
        <v>89301000</v>
      </c>
      <c r="C12844" s="1">
        <v>44252</v>
      </c>
      <c r="D12844" s="1">
        <v>44254</v>
      </c>
      <c r="E12844">
        <v>1</v>
      </c>
      <c r="F12844" t="s">
        <v>3098</v>
      </c>
      <c r="G12844" t="str">
        <f>"12-I08-03"</f>
        <v>12-I08-03</v>
      </c>
      <c r="H12844">
        <v>0.7036</v>
      </c>
      <c r="I12844" t="s">
        <v>168</v>
      </c>
      <c r="J12844" t="s">
        <v>14</v>
      </c>
      <c r="K12844" t="str">
        <f>"7F6"</f>
        <v>7F6</v>
      </c>
      <c r="L12844" t="s">
        <v>15</v>
      </c>
    </row>
    <row r="12845" spans="1:12" x14ac:dyDescent="0.25">
      <c r="A12845" t="str">
        <f>"9311205706"</f>
        <v>9311205706</v>
      </c>
      <c r="B12845" t="str">
        <f t="shared" si="531"/>
        <v>89301000</v>
      </c>
      <c r="C12845" s="1">
        <v>44294</v>
      </c>
      <c r="D12845" s="1">
        <v>44299</v>
      </c>
      <c r="E12845">
        <v>1</v>
      </c>
      <c r="F12845" t="s">
        <v>8173</v>
      </c>
      <c r="G12845" t="str">
        <f>"12-K07-00"</f>
        <v>12-K07-00</v>
      </c>
      <c r="H12845">
        <v>0.39500000000000002</v>
      </c>
      <c r="I12845" t="s">
        <v>8174</v>
      </c>
      <c r="J12845" t="s">
        <v>14</v>
      </c>
      <c r="K12845" t="str">
        <f>"1F6"</f>
        <v>1F6</v>
      </c>
      <c r="L12845" t="s">
        <v>15</v>
      </c>
    </row>
    <row r="12846" spans="1:12" x14ac:dyDescent="0.25">
      <c r="A12846" t="str">
        <f>"9311205706"</f>
        <v>9311205706</v>
      </c>
      <c r="B12846" t="str">
        <f t="shared" si="531"/>
        <v>89301000</v>
      </c>
      <c r="C12846" s="1">
        <v>44273</v>
      </c>
      <c r="D12846" s="1">
        <v>44277</v>
      </c>
      <c r="E12846">
        <v>1</v>
      </c>
      <c r="F12846" t="s">
        <v>4908</v>
      </c>
      <c r="G12846" t="str">
        <f>"12-C01-01"</f>
        <v>12-C01-01</v>
      </c>
      <c r="H12846">
        <v>0.65110000000000001</v>
      </c>
      <c r="I12846" t="s">
        <v>541</v>
      </c>
      <c r="J12846" t="s">
        <v>14</v>
      </c>
      <c r="K12846" t="str">
        <f>"4F2"</f>
        <v>4F2</v>
      </c>
      <c r="L12846" t="s">
        <v>15</v>
      </c>
    </row>
    <row r="12847" spans="1:12" x14ac:dyDescent="0.25">
      <c r="A12847" t="str">
        <f>"9311235703"</f>
        <v>9311235703</v>
      </c>
      <c r="B12847" t="str">
        <f t="shared" si="531"/>
        <v>89301000</v>
      </c>
      <c r="C12847" s="1">
        <v>44308</v>
      </c>
      <c r="D12847" s="1">
        <v>44309</v>
      </c>
      <c r="E12847">
        <v>1</v>
      </c>
      <c r="F12847" t="s">
        <v>2111</v>
      </c>
      <c r="G12847" t="str">
        <f>"10-K15-02"</f>
        <v>10-K15-02</v>
      </c>
      <c r="H12847">
        <v>0.51819999999999999</v>
      </c>
      <c r="I12847" t="s">
        <v>8175</v>
      </c>
      <c r="J12847" t="s">
        <v>14</v>
      </c>
      <c r="K12847" t="str">
        <f>"2F5"</f>
        <v>2F5</v>
      </c>
      <c r="L12847" t="s">
        <v>15</v>
      </c>
    </row>
    <row r="12848" spans="1:12" x14ac:dyDescent="0.25">
      <c r="A12848" t="str">
        <f>"9311235703"</f>
        <v>9311235703</v>
      </c>
      <c r="B12848" t="str">
        <f t="shared" si="531"/>
        <v>89301000</v>
      </c>
      <c r="C12848" s="1">
        <v>44333</v>
      </c>
      <c r="D12848" s="1">
        <v>44334</v>
      </c>
      <c r="E12848">
        <v>1</v>
      </c>
      <c r="F12848" t="s">
        <v>41</v>
      </c>
      <c r="G12848" t="str">
        <f>"01-D01-03"</f>
        <v>01-D01-03</v>
      </c>
      <c r="H12848">
        <v>0.158</v>
      </c>
      <c r="I12848" t="s">
        <v>8176</v>
      </c>
      <c r="J12848" t="s">
        <v>14</v>
      </c>
      <c r="K12848" t="str">
        <f>"2F5"</f>
        <v>2F5</v>
      </c>
      <c r="L12848" t="s">
        <v>15</v>
      </c>
    </row>
    <row r="12849" spans="1:12" x14ac:dyDescent="0.25">
      <c r="A12849" t="str">
        <f>"9312015702"</f>
        <v>9312015702</v>
      </c>
      <c r="B12849" t="str">
        <f t="shared" si="531"/>
        <v>89301000</v>
      </c>
      <c r="C12849" s="1">
        <v>44457</v>
      </c>
      <c r="D12849" s="1">
        <v>44464</v>
      </c>
      <c r="E12849">
        <v>1</v>
      </c>
      <c r="F12849" t="s">
        <v>500</v>
      </c>
      <c r="G12849" t="str">
        <f>"06-K06-01"</f>
        <v>06-K06-01</v>
      </c>
      <c r="H12849">
        <v>1.3448</v>
      </c>
      <c r="I12849" t="s">
        <v>1124</v>
      </c>
      <c r="J12849" t="s">
        <v>14</v>
      </c>
      <c r="K12849" t="str">
        <f>"5F1"</f>
        <v>5F1</v>
      </c>
      <c r="L12849" t="s">
        <v>15</v>
      </c>
    </row>
    <row r="12850" spans="1:12" x14ac:dyDescent="0.25">
      <c r="A12850" t="str">
        <f>"9312015713"</f>
        <v>9312015713</v>
      </c>
      <c r="B12850" t="str">
        <f t="shared" si="531"/>
        <v>89301000</v>
      </c>
      <c r="C12850" s="1">
        <v>44378</v>
      </c>
      <c r="D12850" s="1">
        <v>44384</v>
      </c>
      <c r="E12850">
        <v>1</v>
      </c>
      <c r="F12850" t="s">
        <v>152</v>
      </c>
      <c r="G12850" t="str">
        <f>"19-K03-03"</f>
        <v>19-K03-03</v>
      </c>
      <c r="H12850">
        <v>0.93169999999999997</v>
      </c>
      <c r="I12850" t="s">
        <v>8177</v>
      </c>
      <c r="J12850" t="s">
        <v>27</v>
      </c>
      <c r="K12850" t="str">
        <f>"3F5"</f>
        <v>3F5</v>
      </c>
      <c r="L12850" t="s">
        <v>15</v>
      </c>
    </row>
    <row r="12851" spans="1:12" x14ac:dyDescent="0.25">
      <c r="A12851" t="str">
        <f>"9312155732"</f>
        <v>9312155732</v>
      </c>
      <c r="B12851" t="str">
        <f t="shared" si="531"/>
        <v>89301000</v>
      </c>
      <c r="C12851" s="1">
        <v>44407</v>
      </c>
      <c r="D12851" s="1">
        <v>44410</v>
      </c>
      <c r="E12851">
        <v>1</v>
      </c>
      <c r="F12851" t="s">
        <v>41</v>
      </c>
      <c r="G12851" t="str">
        <f>"01-D01-03"</f>
        <v>01-D01-03</v>
      </c>
      <c r="H12851">
        <v>0.2054</v>
      </c>
      <c r="I12851" t="s">
        <v>489</v>
      </c>
      <c r="J12851" t="s">
        <v>14</v>
      </c>
      <c r="K12851" t="str">
        <f>"2F5"</f>
        <v>2F5</v>
      </c>
      <c r="L12851" t="s">
        <v>15</v>
      </c>
    </row>
    <row r="12852" spans="1:12" x14ac:dyDescent="0.25">
      <c r="A12852" t="str">
        <f>"9312155732"</f>
        <v>9312155732</v>
      </c>
      <c r="B12852" t="str">
        <f t="shared" si="531"/>
        <v>89301000</v>
      </c>
      <c r="C12852" s="1">
        <v>44327</v>
      </c>
      <c r="D12852" s="1">
        <v>44328</v>
      </c>
      <c r="E12852">
        <v>1</v>
      </c>
      <c r="F12852" t="s">
        <v>41</v>
      </c>
      <c r="G12852" t="str">
        <f>"01-D01-03"</f>
        <v>01-D01-03</v>
      </c>
      <c r="H12852">
        <v>0.158</v>
      </c>
      <c r="I12852" t="s">
        <v>489</v>
      </c>
      <c r="J12852" t="s">
        <v>14</v>
      </c>
      <c r="K12852" t="str">
        <f>"2F5"</f>
        <v>2F5</v>
      </c>
      <c r="L12852" t="s">
        <v>15</v>
      </c>
    </row>
    <row r="12853" spans="1:12" x14ac:dyDescent="0.25">
      <c r="A12853" t="str">
        <f>"9312284850"</f>
        <v>9312284850</v>
      </c>
      <c r="B12853" t="str">
        <f t="shared" si="531"/>
        <v>89301000</v>
      </c>
      <c r="C12853" s="1">
        <v>44333</v>
      </c>
      <c r="D12853" s="1">
        <v>44336</v>
      </c>
      <c r="E12853">
        <v>1</v>
      </c>
      <c r="F12853" t="s">
        <v>4100</v>
      </c>
      <c r="G12853" t="str">
        <f>"09-K02-00"</f>
        <v>09-K02-00</v>
      </c>
      <c r="H12853">
        <v>1.1361000000000001</v>
      </c>
      <c r="J12853" t="s">
        <v>14</v>
      </c>
      <c r="K12853" t="str">
        <f>"4F4"</f>
        <v>4F4</v>
      </c>
      <c r="L12853" t="s">
        <v>15</v>
      </c>
    </row>
    <row r="12854" spans="1:12" x14ac:dyDescent="0.25">
      <c r="A12854" t="str">
        <f>"9351035738"</f>
        <v>9351035738</v>
      </c>
      <c r="B12854" t="str">
        <f t="shared" si="531"/>
        <v>89301000</v>
      </c>
      <c r="C12854" s="1">
        <v>44487</v>
      </c>
      <c r="D12854" s="1">
        <v>44490</v>
      </c>
      <c r="E12854">
        <v>1</v>
      </c>
      <c r="F12854" t="s">
        <v>74</v>
      </c>
      <c r="G12854" t="str">
        <f>"14-K03-02"</f>
        <v>14-K03-02</v>
      </c>
      <c r="H12854">
        <v>0.2646</v>
      </c>
      <c r="J12854" t="s">
        <v>14</v>
      </c>
      <c r="K12854" t="str">
        <f>"6F3"</f>
        <v>6F3</v>
      </c>
      <c r="L12854" t="s">
        <v>15</v>
      </c>
    </row>
    <row r="12855" spans="1:12" x14ac:dyDescent="0.25">
      <c r="A12855" t="str">
        <f>"9351105709"</f>
        <v>9351105709</v>
      </c>
      <c r="B12855" t="str">
        <f t="shared" si="531"/>
        <v>89301000</v>
      </c>
      <c r="C12855" s="1">
        <v>44399</v>
      </c>
      <c r="D12855" s="1">
        <v>44401</v>
      </c>
      <c r="E12855">
        <v>1</v>
      </c>
      <c r="F12855" t="s">
        <v>266</v>
      </c>
      <c r="G12855" t="str">
        <f>"13-I18-03"</f>
        <v>13-I18-03</v>
      </c>
      <c r="H12855">
        <v>0.63680000000000003</v>
      </c>
      <c r="I12855" t="s">
        <v>101</v>
      </c>
      <c r="J12855" t="s">
        <v>14</v>
      </c>
      <c r="K12855" t="str">
        <f>"6F3"</f>
        <v>6F3</v>
      </c>
      <c r="L12855" t="s">
        <v>15</v>
      </c>
    </row>
    <row r="12856" spans="1:12" x14ac:dyDescent="0.25">
      <c r="A12856" t="str">
        <f>"9351125707"</f>
        <v>9351125707</v>
      </c>
      <c r="B12856" t="str">
        <f t="shared" si="531"/>
        <v>89301000</v>
      </c>
      <c r="C12856" s="1">
        <v>44241</v>
      </c>
      <c r="D12856" s="1">
        <v>44244</v>
      </c>
      <c r="E12856">
        <v>1</v>
      </c>
      <c r="F12856" t="s">
        <v>75</v>
      </c>
      <c r="G12856" t="str">
        <f>"14-M01-05"</f>
        <v>14-M01-05</v>
      </c>
      <c r="H12856">
        <v>0.54239999999999999</v>
      </c>
      <c r="I12856" t="s">
        <v>8178</v>
      </c>
      <c r="J12856" t="s">
        <v>59</v>
      </c>
      <c r="K12856" t="str">
        <f>"6F3"</f>
        <v>6F3</v>
      </c>
      <c r="L12856" t="s">
        <v>15</v>
      </c>
    </row>
    <row r="12857" spans="1:12" x14ac:dyDescent="0.25">
      <c r="A12857" t="str">
        <f>"9351125718"</f>
        <v>9351125718</v>
      </c>
      <c r="B12857" t="str">
        <f t="shared" si="531"/>
        <v>89301000</v>
      </c>
      <c r="C12857" s="1">
        <v>44440</v>
      </c>
      <c r="D12857" s="1">
        <v>44443</v>
      </c>
      <c r="E12857">
        <v>1</v>
      </c>
      <c r="F12857" t="s">
        <v>112</v>
      </c>
      <c r="G12857" t="str">
        <f>"14-M01-05"</f>
        <v>14-M01-05</v>
      </c>
      <c r="H12857">
        <v>0.54239999999999999</v>
      </c>
      <c r="I12857" t="s">
        <v>7704</v>
      </c>
      <c r="J12857" t="s">
        <v>59</v>
      </c>
      <c r="K12857" t="str">
        <f>"6F3"</f>
        <v>6F3</v>
      </c>
      <c r="L12857" t="s">
        <v>15</v>
      </c>
    </row>
    <row r="12858" spans="1:12" x14ac:dyDescent="0.25">
      <c r="A12858" t="str">
        <f>"9351155748"</f>
        <v>9351155748</v>
      </c>
      <c r="B12858" t="str">
        <f t="shared" si="531"/>
        <v>89301000</v>
      </c>
      <c r="C12858" s="1">
        <v>44396</v>
      </c>
      <c r="D12858" s="1">
        <v>44397</v>
      </c>
      <c r="E12858">
        <v>1</v>
      </c>
      <c r="F12858" t="s">
        <v>243</v>
      </c>
      <c r="G12858" t="str">
        <f>"08-I18-01"</f>
        <v>08-I18-01</v>
      </c>
      <c r="H12858">
        <v>1.2092000000000001</v>
      </c>
      <c r="I12858" t="s">
        <v>381</v>
      </c>
      <c r="J12858" t="s">
        <v>17</v>
      </c>
      <c r="K12858" t="str">
        <f>"5F3"</f>
        <v>5F3</v>
      </c>
      <c r="L12858" t="s">
        <v>15</v>
      </c>
    </row>
    <row r="12859" spans="1:12" x14ac:dyDescent="0.25">
      <c r="A12859" t="str">
        <f>"9351204841"</f>
        <v>9351204841</v>
      </c>
      <c r="B12859" t="str">
        <f t="shared" si="531"/>
        <v>89301000</v>
      </c>
      <c r="C12859" s="1">
        <v>44272</v>
      </c>
      <c r="D12859" s="1">
        <v>44276</v>
      </c>
      <c r="E12859">
        <v>1</v>
      </c>
      <c r="F12859" t="s">
        <v>7284</v>
      </c>
      <c r="G12859" t="str">
        <f>"13-K06-00"</f>
        <v>13-K06-00</v>
      </c>
      <c r="H12859">
        <v>0.51500000000000001</v>
      </c>
      <c r="J12859" t="s">
        <v>14</v>
      </c>
      <c r="K12859" t="str">
        <f>"6F3"</f>
        <v>6F3</v>
      </c>
      <c r="L12859" t="s">
        <v>15</v>
      </c>
    </row>
    <row r="12860" spans="1:12" x14ac:dyDescent="0.25">
      <c r="A12860" t="str">
        <f>"9351206161"</f>
        <v>9351206161</v>
      </c>
      <c r="B12860" t="str">
        <f t="shared" si="531"/>
        <v>89301000</v>
      </c>
      <c r="C12860" s="1">
        <v>44221</v>
      </c>
      <c r="D12860" s="1">
        <v>44225</v>
      </c>
      <c r="E12860">
        <v>1</v>
      </c>
      <c r="F12860" t="s">
        <v>61</v>
      </c>
      <c r="G12860" t="str">
        <f>"14-I01-05"</f>
        <v>14-I01-05</v>
      </c>
      <c r="H12860">
        <v>0.80030000000000001</v>
      </c>
      <c r="I12860" t="s">
        <v>8179</v>
      </c>
      <c r="J12860" t="s">
        <v>59</v>
      </c>
      <c r="K12860" t="str">
        <f>"6F3"</f>
        <v>6F3</v>
      </c>
      <c r="L12860" t="s">
        <v>15</v>
      </c>
    </row>
    <row r="12861" spans="1:12" x14ac:dyDescent="0.25">
      <c r="A12861" t="str">
        <f>"9351265737"</f>
        <v>9351265737</v>
      </c>
      <c r="B12861" t="str">
        <f t="shared" si="531"/>
        <v>89301000</v>
      </c>
      <c r="C12861" s="1">
        <v>44202</v>
      </c>
      <c r="D12861" s="1">
        <v>44207</v>
      </c>
      <c r="E12861">
        <v>1</v>
      </c>
      <c r="F12861" t="s">
        <v>61</v>
      </c>
      <c r="G12861" t="str">
        <f>"14-I01-05"</f>
        <v>14-I01-05</v>
      </c>
      <c r="H12861">
        <v>0.80030000000000001</v>
      </c>
      <c r="J12861" t="s">
        <v>59</v>
      </c>
      <c r="K12861" t="str">
        <f>"6F3"</f>
        <v>6F3</v>
      </c>
      <c r="L12861" t="s">
        <v>15</v>
      </c>
    </row>
    <row r="12862" spans="1:12" x14ac:dyDescent="0.25">
      <c r="A12862" t="str">
        <f>"9351314841"</f>
        <v>9351314841</v>
      </c>
      <c r="B12862" t="str">
        <f t="shared" si="531"/>
        <v>89301000</v>
      </c>
      <c r="C12862" s="1">
        <v>44236</v>
      </c>
      <c r="D12862" s="1">
        <v>44239</v>
      </c>
      <c r="E12862">
        <v>1</v>
      </c>
      <c r="F12862" t="s">
        <v>75</v>
      </c>
      <c r="G12862" t="str">
        <f>"14-M01-05"</f>
        <v>14-M01-05</v>
      </c>
      <c r="H12862">
        <v>0.54239999999999999</v>
      </c>
      <c r="I12862" t="s">
        <v>426</v>
      </c>
      <c r="J12862" t="s">
        <v>59</v>
      </c>
      <c r="K12862" t="str">
        <f>"6F3"</f>
        <v>6F3</v>
      </c>
      <c r="L12862" t="s">
        <v>15</v>
      </c>
    </row>
    <row r="12863" spans="1:12" x14ac:dyDescent="0.25">
      <c r="A12863" t="str">
        <f>"9352025727"</f>
        <v>9352025727</v>
      </c>
      <c r="B12863" t="str">
        <f t="shared" si="531"/>
        <v>89301000</v>
      </c>
      <c r="C12863" s="1">
        <v>44348</v>
      </c>
      <c r="D12863" s="1">
        <v>44349</v>
      </c>
      <c r="E12863">
        <v>1</v>
      </c>
      <c r="F12863" t="s">
        <v>173</v>
      </c>
      <c r="G12863" t="str">
        <f>"08-I32-02"</f>
        <v>08-I32-02</v>
      </c>
      <c r="H12863">
        <v>0.4143</v>
      </c>
      <c r="J12863" t="s">
        <v>14</v>
      </c>
      <c r="K12863" t="str">
        <f>"5F3"</f>
        <v>5F3</v>
      </c>
      <c r="L12863" t="s">
        <v>15</v>
      </c>
    </row>
    <row r="12864" spans="1:12" x14ac:dyDescent="0.25">
      <c r="A12864" t="str">
        <f>"9352035715"</f>
        <v>9352035715</v>
      </c>
      <c r="B12864" t="str">
        <f t="shared" si="531"/>
        <v>89301000</v>
      </c>
      <c r="C12864" s="1">
        <v>44508</v>
      </c>
      <c r="D12864" s="1">
        <v>44511</v>
      </c>
      <c r="E12864">
        <v>1</v>
      </c>
      <c r="F12864" t="s">
        <v>75</v>
      </c>
      <c r="G12864" t="str">
        <f>"14-M01-05"</f>
        <v>14-M01-05</v>
      </c>
      <c r="H12864">
        <v>0.54239999999999999</v>
      </c>
      <c r="I12864" t="s">
        <v>7569</v>
      </c>
      <c r="J12864" t="s">
        <v>59</v>
      </c>
      <c r="K12864" t="str">
        <f>"6F3"</f>
        <v>6F3</v>
      </c>
      <c r="L12864" t="s">
        <v>15</v>
      </c>
    </row>
    <row r="12865" spans="1:12" x14ac:dyDescent="0.25">
      <c r="A12865" t="str">
        <f>"9352055724"</f>
        <v>9352055724</v>
      </c>
      <c r="B12865" t="str">
        <f t="shared" si="531"/>
        <v>89301000</v>
      </c>
      <c r="C12865" s="1">
        <v>44479</v>
      </c>
      <c r="D12865" s="1">
        <v>44484</v>
      </c>
      <c r="E12865">
        <v>1</v>
      </c>
      <c r="F12865" t="s">
        <v>114</v>
      </c>
      <c r="G12865" t="str">
        <f>"03-I17-00"</f>
        <v>03-I17-00</v>
      </c>
      <c r="H12865">
        <v>0.84960000000000002</v>
      </c>
      <c r="I12865" t="s">
        <v>8180</v>
      </c>
      <c r="J12865" t="s">
        <v>24</v>
      </c>
      <c r="K12865" t="str">
        <f>"7F1"</f>
        <v>7F1</v>
      </c>
      <c r="L12865" t="s">
        <v>15</v>
      </c>
    </row>
    <row r="12866" spans="1:12" x14ac:dyDescent="0.25">
      <c r="A12866" t="str">
        <f>"9352085699"</f>
        <v>9352085699</v>
      </c>
      <c r="B12866" t="str">
        <f t="shared" si="531"/>
        <v>89301000</v>
      </c>
      <c r="C12866" s="1">
        <v>44376</v>
      </c>
      <c r="D12866" s="1">
        <v>44377</v>
      </c>
      <c r="E12866">
        <v>1</v>
      </c>
      <c r="F12866" t="s">
        <v>265</v>
      </c>
      <c r="G12866" t="str">
        <f>"01-K07-03"</f>
        <v>01-K07-03</v>
      </c>
      <c r="H12866">
        <v>0.4642</v>
      </c>
      <c r="I12866" t="s">
        <v>489</v>
      </c>
      <c r="J12866" t="s">
        <v>14</v>
      </c>
      <c r="K12866" t="str">
        <f>"2F9"</f>
        <v>2F9</v>
      </c>
      <c r="L12866" t="s">
        <v>15</v>
      </c>
    </row>
    <row r="12867" spans="1:12" x14ac:dyDescent="0.25">
      <c r="A12867" t="str">
        <f>"9352085710"</f>
        <v>9352085710</v>
      </c>
      <c r="B12867" t="str">
        <f t="shared" si="531"/>
        <v>89301000</v>
      </c>
      <c r="C12867" s="1">
        <v>44247</v>
      </c>
      <c r="D12867" s="1">
        <v>44249</v>
      </c>
      <c r="E12867">
        <v>1</v>
      </c>
      <c r="F12867" t="s">
        <v>75</v>
      </c>
      <c r="G12867" t="str">
        <f>"14-M01-05"</f>
        <v>14-M01-05</v>
      </c>
      <c r="H12867">
        <v>0.54239999999999999</v>
      </c>
      <c r="I12867" t="s">
        <v>76</v>
      </c>
      <c r="J12867" t="s">
        <v>59</v>
      </c>
      <c r="K12867" t="str">
        <f>"6F3"</f>
        <v>6F3</v>
      </c>
      <c r="L12867" t="s">
        <v>15</v>
      </c>
    </row>
    <row r="12868" spans="1:12" x14ac:dyDescent="0.25">
      <c r="A12868" t="str">
        <f>"9352095808"</f>
        <v>9352095808</v>
      </c>
      <c r="B12868" t="str">
        <f t="shared" si="531"/>
        <v>89301000</v>
      </c>
      <c r="C12868" s="1">
        <v>44379</v>
      </c>
      <c r="D12868" s="1">
        <v>44380</v>
      </c>
      <c r="E12868">
        <v>1</v>
      </c>
      <c r="F12868" t="s">
        <v>7629</v>
      </c>
      <c r="G12868" t="str">
        <f>"14-I08-02"</f>
        <v>14-I08-02</v>
      </c>
      <c r="H12868">
        <v>0.30559999999999998</v>
      </c>
      <c r="I12868" t="s">
        <v>8181</v>
      </c>
      <c r="J12868" t="s">
        <v>14</v>
      </c>
      <c r="K12868" t="str">
        <f>"6F3"</f>
        <v>6F3</v>
      </c>
      <c r="L12868" t="s">
        <v>15</v>
      </c>
    </row>
    <row r="12869" spans="1:12" x14ac:dyDescent="0.25">
      <c r="A12869" t="str">
        <f>"9352096072"</f>
        <v>9352096072</v>
      </c>
      <c r="B12869" t="str">
        <f t="shared" si="531"/>
        <v>89301000</v>
      </c>
      <c r="C12869" s="1">
        <v>44314</v>
      </c>
      <c r="D12869" s="1">
        <v>44325</v>
      </c>
      <c r="E12869">
        <v>1</v>
      </c>
      <c r="F12869" t="s">
        <v>116</v>
      </c>
      <c r="G12869" t="str">
        <f>"14-M01-05"</f>
        <v>14-M01-05</v>
      </c>
      <c r="H12869">
        <v>0.8659</v>
      </c>
      <c r="I12869" t="s">
        <v>8182</v>
      </c>
      <c r="J12869" t="s">
        <v>59</v>
      </c>
      <c r="K12869" t="str">
        <f>"6F3"</f>
        <v>6F3</v>
      </c>
      <c r="L12869" t="s">
        <v>15</v>
      </c>
    </row>
    <row r="12870" spans="1:12" x14ac:dyDescent="0.25">
      <c r="A12870" t="str">
        <f>"9352096072"</f>
        <v>9352096072</v>
      </c>
      <c r="B12870" t="str">
        <f t="shared" si="531"/>
        <v>89301000</v>
      </c>
      <c r="C12870" s="1">
        <v>44341</v>
      </c>
      <c r="D12870" s="1">
        <v>44342</v>
      </c>
      <c r="E12870">
        <v>1</v>
      </c>
      <c r="F12870" t="s">
        <v>1561</v>
      </c>
      <c r="G12870" t="str">
        <f>"07-M02-04"</f>
        <v>07-M02-04</v>
      </c>
      <c r="H12870">
        <v>0.87160000000000004</v>
      </c>
      <c r="I12870" t="s">
        <v>8183</v>
      </c>
      <c r="J12870" t="s">
        <v>17</v>
      </c>
      <c r="K12870" t="str">
        <f>"1F5"</f>
        <v>1F5</v>
      </c>
      <c r="L12870" t="s">
        <v>15</v>
      </c>
    </row>
    <row r="12871" spans="1:12" x14ac:dyDescent="0.25">
      <c r="A12871" t="str">
        <f>"9352114860"</f>
        <v>9352114860</v>
      </c>
      <c r="B12871" t="str">
        <f t="shared" si="531"/>
        <v>89301000</v>
      </c>
      <c r="C12871" s="1">
        <v>44409</v>
      </c>
      <c r="D12871" s="1">
        <v>44413</v>
      </c>
      <c r="E12871">
        <v>1</v>
      </c>
      <c r="F12871" t="s">
        <v>75</v>
      </c>
      <c r="G12871" t="str">
        <f>"14-M01-05"</f>
        <v>14-M01-05</v>
      </c>
      <c r="H12871">
        <v>0.54239999999999999</v>
      </c>
      <c r="I12871" t="s">
        <v>7782</v>
      </c>
      <c r="J12871" t="s">
        <v>59</v>
      </c>
      <c r="K12871" t="str">
        <f>"6F3"</f>
        <v>6F3</v>
      </c>
      <c r="L12871" t="s">
        <v>15</v>
      </c>
    </row>
    <row r="12872" spans="1:12" x14ac:dyDescent="0.25">
      <c r="A12872" t="str">
        <f>"9352155736"</f>
        <v>9352155736</v>
      </c>
      <c r="B12872" t="str">
        <f t="shared" si="531"/>
        <v>89301000</v>
      </c>
      <c r="C12872" s="1">
        <v>44390</v>
      </c>
      <c r="D12872" s="1">
        <v>44395</v>
      </c>
      <c r="E12872">
        <v>1</v>
      </c>
      <c r="F12872" t="s">
        <v>114</v>
      </c>
      <c r="G12872" t="str">
        <f>"03-I17-00"</f>
        <v>03-I17-00</v>
      </c>
      <c r="H12872">
        <v>0.84960000000000002</v>
      </c>
      <c r="I12872" t="s">
        <v>8184</v>
      </c>
      <c r="J12872" t="s">
        <v>24</v>
      </c>
      <c r="K12872" t="str">
        <f>"7F1"</f>
        <v>7F1</v>
      </c>
      <c r="L12872" t="s">
        <v>15</v>
      </c>
    </row>
    <row r="12873" spans="1:12" x14ac:dyDescent="0.25">
      <c r="A12873" t="str">
        <f>"9352185711"</f>
        <v>9352185711</v>
      </c>
      <c r="B12873" t="str">
        <f t="shared" si="531"/>
        <v>89301000</v>
      </c>
      <c r="C12873" s="1">
        <v>44399</v>
      </c>
      <c r="D12873" s="1">
        <v>44402</v>
      </c>
      <c r="E12873">
        <v>1</v>
      </c>
      <c r="F12873" t="s">
        <v>75</v>
      </c>
      <c r="G12873" t="str">
        <f t="shared" ref="G12873:G12878" si="532">"14-M01-05"</f>
        <v>14-M01-05</v>
      </c>
      <c r="H12873">
        <v>0.54239999999999999</v>
      </c>
      <c r="I12873" t="s">
        <v>256</v>
      </c>
      <c r="J12873" t="s">
        <v>59</v>
      </c>
      <c r="K12873" t="str">
        <f t="shared" ref="K12873:K12881" si="533">"6F3"</f>
        <v>6F3</v>
      </c>
      <c r="L12873" t="s">
        <v>15</v>
      </c>
    </row>
    <row r="12874" spans="1:12" x14ac:dyDescent="0.25">
      <c r="A12874" t="str">
        <f>"9352255715"</f>
        <v>9352255715</v>
      </c>
      <c r="B12874" t="str">
        <f t="shared" si="531"/>
        <v>89301000</v>
      </c>
      <c r="C12874" s="1">
        <v>44458</v>
      </c>
      <c r="D12874" s="1">
        <v>44459</v>
      </c>
      <c r="E12874">
        <v>1</v>
      </c>
      <c r="F12874" t="s">
        <v>75</v>
      </c>
      <c r="G12874" t="str">
        <f t="shared" si="532"/>
        <v>14-M01-05</v>
      </c>
      <c r="H12874">
        <v>0.54239999999999999</v>
      </c>
      <c r="I12874" t="s">
        <v>256</v>
      </c>
      <c r="J12874" t="s">
        <v>59</v>
      </c>
      <c r="K12874" t="str">
        <f t="shared" si="533"/>
        <v>6F3</v>
      </c>
      <c r="L12874" t="s">
        <v>15</v>
      </c>
    </row>
    <row r="12875" spans="1:12" x14ac:dyDescent="0.25">
      <c r="A12875" t="str">
        <f>"9352255737"</f>
        <v>9352255737</v>
      </c>
      <c r="B12875" t="str">
        <f t="shared" si="531"/>
        <v>89301000</v>
      </c>
      <c r="C12875" s="1">
        <v>44427</v>
      </c>
      <c r="D12875" s="1">
        <v>44431</v>
      </c>
      <c r="E12875">
        <v>1</v>
      </c>
      <c r="F12875" t="s">
        <v>75</v>
      </c>
      <c r="G12875" t="str">
        <f t="shared" si="532"/>
        <v>14-M01-05</v>
      </c>
      <c r="H12875">
        <v>0.54239999999999999</v>
      </c>
      <c r="I12875" t="s">
        <v>8185</v>
      </c>
      <c r="J12875" t="s">
        <v>59</v>
      </c>
      <c r="K12875" t="str">
        <f t="shared" si="533"/>
        <v>6F3</v>
      </c>
      <c r="L12875" t="s">
        <v>15</v>
      </c>
    </row>
    <row r="12876" spans="1:12" x14ac:dyDescent="0.25">
      <c r="A12876" t="str">
        <f>"9353035703"</f>
        <v>9353035703</v>
      </c>
      <c r="B12876" t="str">
        <f t="shared" si="531"/>
        <v>89301000</v>
      </c>
      <c r="C12876" s="1">
        <v>44337</v>
      </c>
      <c r="D12876" s="1">
        <v>44340</v>
      </c>
      <c r="E12876">
        <v>1</v>
      </c>
      <c r="F12876" t="s">
        <v>75</v>
      </c>
      <c r="G12876" t="str">
        <f t="shared" si="532"/>
        <v>14-M01-05</v>
      </c>
      <c r="H12876">
        <v>0.54239999999999999</v>
      </c>
      <c r="I12876" t="s">
        <v>7691</v>
      </c>
      <c r="J12876" t="s">
        <v>59</v>
      </c>
      <c r="K12876" t="str">
        <f t="shared" si="533"/>
        <v>6F3</v>
      </c>
      <c r="L12876" t="s">
        <v>15</v>
      </c>
    </row>
    <row r="12877" spans="1:12" x14ac:dyDescent="0.25">
      <c r="A12877" t="str">
        <f>"9353055701"</f>
        <v>9353055701</v>
      </c>
      <c r="B12877" t="str">
        <f t="shared" si="531"/>
        <v>89301000</v>
      </c>
      <c r="C12877" s="1">
        <v>44265</v>
      </c>
      <c r="D12877" s="1">
        <v>44270</v>
      </c>
      <c r="E12877">
        <v>1</v>
      </c>
      <c r="F12877" t="s">
        <v>75</v>
      </c>
      <c r="G12877" t="str">
        <f t="shared" si="532"/>
        <v>14-M01-05</v>
      </c>
      <c r="H12877">
        <v>0.54239999999999999</v>
      </c>
      <c r="I12877" t="s">
        <v>7972</v>
      </c>
      <c r="J12877" t="s">
        <v>59</v>
      </c>
      <c r="K12877" t="str">
        <f t="shared" si="533"/>
        <v>6F3</v>
      </c>
      <c r="L12877" t="s">
        <v>15</v>
      </c>
    </row>
    <row r="12878" spans="1:12" x14ac:dyDescent="0.25">
      <c r="A12878" t="str">
        <f>"9353055712"</f>
        <v>9353055712</v>
      </c>
      <c r="B12878" t="str">
        <f t="shared" si="531"/>
        <v>89301000</v>
      </c>
      <c r="C12878" s="1">
        <v>44224</v>
      </c>
      <c r="D12878" s="1">
        <v>44225</v>
      </c>
      <c r="E12878">
        <v>1</v>
      </c>
      <c r="F12878" t="s">
        <v>75</v>
      </c>
      <c r="G12878" t="str">
        <f t="shared" si="532"/>
        <v>14-M01-05</v>
      </c>
      <c r="H12878">
        <v>0.54239999999999999</v>
      </c>
      <c r="I12878" t="s">
        <v>7525</v>
      </c>
      <c r="J12878" t="s">
        <v>59</v>
      </c>
      <c r="K12878" t="str">
        <f t="shared" si="533"/>
        <v>6F3</v>
      </c>
      <c r="L12878" t="s">
        <v>15</v>
      </c>
    </row>
    <row r="12879" spans="1:12" x14ac:dyDescent="0.25">
      <c r="A12879" t="str">
        <f>"9353095642"</f>
        <v>9353095642</v>
      </c>
      <c r="B12879" t="str">
        <f t="shared" si="531"/>
        <v>89301000</v>
      </c>
      <c r="C12879" s="1">
        <v>44536</v>
      </c>
      <c r="D12879" s="1">
        <v>44540</v>
      </c>
      <c r="E12879">
        <v>1</v>
      </c>
      <c r="F12879" t="s">
        <v>61</v>
      </c>
      <c r="G12879" t="str">
        <f>"14-I01-05"</f>
        <v>14-I01-05</v>
      </c>
      <c r="H12879">
        <v>0.80030000000000001</v>
      </c>
      <c r="I12879" t="s">
        <v>7584</v>
      </c>
      <c r="J12879" t="s">
        <v>59</v>
      </c>
      <c r="K12879" t="str">
        <f t="shared" si="533"/>
        <v>6F3</v>
      </c>
      <c r="L12879" t="s">
        <v>15</v>
      </c>
    </row>
    <row r="12880" spans="1:12" x14ac:dyDescent="0.25">
      <c r="A12880" t="str">
        <f>"9353095642"</f>
        <v>9353095642</v>
      </c>
      <c r="B12880" t="str">
        <f t="shared" si="531"/>
        <v>89301000</v>
      </c>
      <c r="C12880" s="1">
        <v>44522</v>
      </c>
      <c r="D12880" s="1">
        <v>44522</v>
      </c>
      <c r="E12880">
        <v>1</v>
      </c>
      <c r="F12880" t="s">
        <v>7903</v>
      </c>
      <c r="G12880" t="str">
        <f>"14-K03-02"</f>
        <v>14-K03-02</v>
      </c>
      <c r="H12880">
        <v>0.13270000000000001</v>
      </c>
      <c r="J12880" t="s">
        <v>14</v>
      </c>
      <c r="K12880" t="str">
        <f t="shared" si="533"/>
        <v>6F3</v>
      </c>
      <c r="L12880" t="s">
        <v>15</v>
      </c>
    </row>
    <row r="12881" spans="1:12" x14ac:dyDescent="0.25">
      <c r="A12881" t="str">
        <f>"9353124847"</f>
        <v>9353124847</v>
      </c>
      <c r="B12881" t="str">
        <f t="shared" si="531"/>
        <v>89301000</v>
      </c>
      <c r="C12881" s="1">
        <v>44405</v>
      </c>
      <c r="D12881" s="1">
        <v>44417</v>
      </c>
      <c r="E12881">
        <v>1</v>
      </c>
      <c r="F12881" t="s">
        <v>116</v>
      </c>
      <c r="G12881" t="str">
        <f>"14-M01-05"</f>
        <v>14-M01-05</v>
      </c>
      <c r="H12881">
        <v>0.93059999999999998</v>
      </c>
      <c r="J12881" t="s">
        <v>59</v>
      </c>
      <c r="K12881" t="str">
        <f t="shared" si="533"/>
        <v>6F3</v>
      </c>
      <c r="L12881" t="s">
        <v>15</v>
      </c>
    </row>
    <row r="12882" spans="1:12" x14ac:dyDescent="0.25">
      <c r="A12882" t="str">
        <f>"9353184874"</f>
        <v>9353184874</v>
      </c>
      <c r="B12882" t="str">
        <f t="shared" si="531"/>
        <v>89301000</v>
      </c>
      <c r="C12882" s="1">
        <v>44217</v>
      </c>
      <c r="D12882" s="1">
        <v>44218</v>
      </c>
      <c r="E12882">
        <v>1</v>
      </c>
      <c r="F12882" t="s">
        <v>41</v>
      </c>
      <c r="G12882" t="str">
        <f>"01-D01-03"</f>
        <v>01-D01-03</v>
      </c>
      <c r="H12882">
        <v>0.158</v>
      </c>
      <c r="I12882" t="s">
        <v>241</v>
      </c>
      <c r="J12882" t="s">
        <v>14</v>
      </c>
      <c r="K12882" t="str">
        <f>"2F5"</f>
        <v>2F5</v>
      </c>
      <c r="L12882" t="s">
        <v>15</v>
      </c>
    </row>
    <row r="12883" spans="1:12" x14ac:dyDescent="0.25">
      <c r="A12883" t="str">
        <f>"9353224848"</f>
        <v>9353224848</v>
      </c>
      <c r="B12883" t="str">
        <f t="shared" si="531"/>
        <v>89301000</v>
      </c>
      <c r="C12883" s="1">
        <v>44410</v>
      </c>
      <c r="D12883" s="1">
        <v>44413</v>
      </c>
      <c r="E12883">
        <v>1</v>
      </c>
      <c r="F12883" t="s">
        <v>75</v>
      </c>
      <c r="G12883" t="str">
        <f>"14-M01-05"</f>
        <v>14-M01-05</v>
      </c>
      <c r="H12883">
        <v>0.54239999999999999</v>
      </c>
      <c r="I12883" t="s">
        <v>76</v>
      </c>
      <c r="J12883" t="s">
        <v>59</v>
      </c>
      <c r="K12883" t="str">
        <f t="shared" ref="K12883:K12892" si="534">"6F3"</f>
        <v>6F3</v>
      </c>
      <c r="L12883" t="s">
        <v>15</v>
      </c>
    </row>
    <row r="12884" spans="1:12" x14ac:dyDescent="0.25">
      <c r="A12884" t="str">
        <f>"9353266241"</f>
        <v>9353266241</v>
      </c>
      <c r="B12884" t="str">
        <f t="shared" si="531"/>
        <v>89301000</v>
      </c>
      <c r="C12884" s="1">
        <v>44498</v>
      </c>
      <c r="D12884" s="1">
        <v>44499</v>
      </c>
      <c r="E12884">
        <v>1</v>
      </c>
      <c r="F12884" t="s">
        <v>91</v>
      </c>
      <c r="G12884" t="str">
        <f>"14-K03-02"</f>
        <v>14-K03-02</v>
      </c>
      <c r="H12884">
        <v>0.2646</v>
      </c>
      <c r="I12884" t="s">
        <v>8186</v>
      </c>
      <c r="J12884" t="s">
        <v>14</v>
      </c>
      <c r="K12884" t="str">
        <f t="shared" si="534"/>
        <v>6F3</v>
      </c>
      <c r="L12884" t="s">
        <v>15</v>
      </c>
    </row>
    <row r="12885" spans="1:12" x14ac:dyDescent="0.25">
      <c r="A12885" t="str">
        <f>"9353266241"</f>
        <v>9353266241</v>
      </c>
      <c r="B12885" t="str">
        <f t="shared" si="531"/>
        <v>89301000</v>
      </c>
      <c r="C12885" s="1">
        <v>44526</v>
      </c>
      <c r="D12885" s="1">
        <v>44530</v>
      </c>
      <c r="E12885">
        <v>1</v>
      </c>
      <c r="F12885" t="s">
        <v>112</v>
      </c>
      <c r="G12885" t="str">
        <f>"14-M01-05"</f>
        <v>14-M01-05</v>
      </c>
      <c r="H12885">
        <v>0.54239999999999999</v>
      </c>
      <c r="I12885" t="s">
        <v>8014</v>
      </c>
      <c r="J12885" t="s">
        <v>59</v>
      </c>
      <c r="K12885" t="str">
        <f t="shared" si="534"/>
        <v>6F3</v>
      </c>
      <c r="L12885" t="s">
        <v>15</v>
      </c>
    </row>
    <row r="12886" spans="1:12" x14ac:dyDescent="0.25">
      <c r="A12886" t="str">
        <f>"9353305720"</f>
        <v>9353305720</v>
      </c>
      <c r="B12886" t="str">
        <f t="shared" si="531"/>
        <v>89301000</v>
      </c>
      <c r="C12886" s="1">
        <v>44374</v>
      </c>
      <c r="D12886" s="1">
        <v>44379</v>
      </c>
      <c r="E12886">
        <v>1</v>
      </c>
      <c r="F12886" t="s">
        <v>7048</v>
      </c>
      <c r="G12886" t="str">
        <f>"13-I14-03"</f>
        <v>13-I14-03</v>
      </c>
      <c r="H12886">
        <v>0.83199999999999996</v>
      </c>
      <c r="I12886" t="s">
        <v>631</v>
      </c>
      <c r="J12886" t="s">
        <v>24</v>
      </c>
      <c r="K12886" t="str">
        <f t="shared" si="534"/>
        <v>6F3</v>
      </c>
      <c r="L12886" t="s">
        <v>15</v>
      </c>
    </row>
    <row r="12887" spans="1:12" x14ac:dyDescent="0.25">
      <c r="A12887" t="str">
        <f>"9354015715"</f>
        <v>9354015715</v>
      </c>
      <c r="B12887" t="str">
        <f t="shared" ref="B12887:B12950" si="535">"89301000"</f>
        <v>89301000</v>
      </c>
      <c r="C12887" s="1">
        <v>44421</v>
      </c>
      <c r="D12887" s="1">
        <v>44424</v>
      </c>
      <c r="E12887">
        <v>1</v>
      </c>
      <c r="F12887" t="s">
        <v>112</v>
      </c>
      <c r="G12887" t="str">
        <f t="shared" ref="G12887:G12892" si="536">"14-M01-05"</f>
        <v>14-M01-05</v>
      </c>
      <c r="H12887">
        <v>0.54239999999999999</v>
      </c>
      <c r="I12887" t="s">
        <v>7912</v>
      </c>
      <c r="J12887" t="s">
        <v>59</v>
      </c>
      <c r="K12887" t="str">
        <f t="shared" si="534"/>
        <v>6F3</v>
      </c>
      <c r="L12887" t="s">
        <v>15</v>
      </c>
    </row>
    <row r="12888" spans="1:12" x14ac:dyDescent="0.25">
      <c r="A12888" t="str">
        <f>"9354086159"</f>
        <v>9354086159</v>
      </c>
      <c r="B12888" t="str">
        <f t="shared" si="535"/>
        <v>89301000</v>
      </c>
      <c r="C12888" s="1">
        <v>44202</v>
      </c>
      <c r="D12888" s="1">
        <v>44205</v>
      </c>
      <c r="E12888">
        <v>1</v>
      </c>
      <c r="F12888" t="s">
        <v>112</v>
      </c>
      <c r="G12888" t="str">
        <f t="shared" si="536"/>
        <v>14-M01-05</v>
      </c>
      <c r="H12888">
        <v>0.54239999999999999</v>
      </c>
      <c r="I12888" t="s">
        <v>8187</v>
      </c>
      <c r="J12888" t="s">
        <v>59</v>
      </c>
      <c r="K12888" t="str">
        <f t="shared" si="534"/>
        <v>6F3</v>
      </c>
      <c r="L12888" t="s">
        <v>15</v>
      </c>
    </row>
    <row r="12889" spans="1:12" x14ac:dyDescent="0.25">
      <c r="A12889" t="str">
        <f>"9354106179"</f>
        <v>9354106179</v>
      </c>
      <c r="B12889" t="str">
        <f t="shared" si="535"/>
        <v>89301000</v>
      </c>
      <c r="C12889" s="1">
        <v>44389</v>
      </c>
      <c r="D12889" s="1">
        <v>44391</v>
      </c>
      <c r="E12889">
        <v>1</v>
      </c>
      <c r="F12889" t="s">
        <v>75</v>
      </c>
      <c r="G12889" t="str">
        <f t="shared" si="536"/>
        <v>14-M01-05</v>
      </c>
      <c r="H12889">
        <v>0.54239999999999999</v>
      </c>
      <c r="I12889" t="s">
        <v>7590</v>
      </c>
      <c r="J12889" t="s">
        <v>59</v>
      </c>
      <c r="K12889" t="str">
        <f t="shared" si="534"/>
        <v>6F3</v>
      </c>
      <c r="L12889" t="s">
        <v>15</v>
      </c>
    </row>
    <row r="12890" spans="1:12" x14ac:dyDescent="0.25">
      <c r="A12890" t="str">
        <f>"9354114847"</f>
        <v>9354114847</v>
      </c>
      <c r="B12890" t="str">
        <f t="shared" si="535"/>
        <v>89301000</v>
      </c>
      <c r="C12890" s="1">
        <v>44264</v>
      </c>
      <c r="D12890" s="1">
        <v>44267</v>
      </c>
      <c r="E12890">
        <v>1</v>
      </c>
      <c r="F12890" t="s">
        <v>112</v>
      </c>
      <c r="G12890" t="str">
        <f t="shared" si="536"/>
        <v>14-M01-05</v>
      </c>
      <c r="H12890">
        <v>0.54239999999999999</v>
      </c>
      <c r="I12890" t="s">
        <v>7704</v>
      </c>
      <c r="J12890" t="s">
        <v>59</v>
      </c>
      <c r="K12890" t="str">
        <f t="shared" si="534"/>
        <v>6F3</v>
      </c>
      <c r="L12890" t="s">
        <v>15</v>
      </c>
    </row>
    <row r="12891" spans="1:12" x14ac:dyDescent="0.25">
      <c r="A12891" t="str">
        <f>"9354133767"</f>
        <v>9354133767</v>
      </c>
      <c r="B12891" t="str">
        <f t="shared" si="535"/>
        <v>89301000</v>
      </c>
      <c r="C12891" s="1">
        <v>44405</v>
      </c>
      <c r="D12891" s="1">
        <v>44408</v>
      </c>
      <c r="E12891">
        <v>1</v>
      </c>
      <c r="F12891" t="s">
        <v>75</v>
      </c>
      <c r="G12891" t="str">
        <f t="shared" si="536"/>
        <v>14-M01-05</v>
      </c>
      <c r="H12891">
        <v>0.54239999999999999</v>
      </c>
      <c r="I12891" t="s">
        <v>256</v>
      </c>
      <c r="J12891" t="s">
        <v>59</v>
      </c>
      <c r="K12891" t="str">
        <f t="shared" si="534"/>
        <v>6F3</v>
      </c>
      <c r="L12891" t="s">
        <v>15</v>
      </c>
    </row>
    <row r="12892" spans="1:12" x14ac:dyDescent="0.25">
      <c r="A12892" t="str">
        <f>"9354155701"</f>
        <v>9354155701</v>
      </c>
      <c r="B12892" t="str">
        <f t="shared" si="535"/>
        <v>89301000</v>
      </c>
      <c r="C12892" s="1">
        <v>44367</v>
      </c>
      <c r="D12892" s="1">
        <v>44370</v>
      </c>
      <c r="E12892">
        <v>1</v>
      </c>
      <c r="F12892" t="s">
        <v>75</v>
      </c>
      <c r="G12892" t="str">
        <f t="shared" si="536"/>
        <v>14-M01-05</v>
      </c>
      <c r="H12892">
        <v>0.54239999999999999</v>
      </c>
      <c r="J12892" t="s">
        <v>59</v>
      </c>
      <c r="K12892" t="str">
        <f t="shared" si="534"/>
        <v>6F3</v>
      </c>
      <c r="L12892" t="s">
        <v>15</v>
      </c>
    </row>
    <row r="12893" spans="1:12" x14ac:dyDescent="0.25">
      <c r="A12893" t="str">
        <f>"9354155712"</f>
        <v>9354155712</v>
      </c>
      <c r="B12893" t="str">
        <f t="shared" si="535"/>
        <v>89301000</v>
      </c>
      <c r="C12893" s="1">
        <v>44202</v>
      </c>
      <c r="D12893" s="1">
        <v>44204</v>
      </c>
      <c r="E12893">
        <v>1</v>
      </c>
      <c r="F12893" t="s">
        <v>593</v>
      </c>
      <c r="G12893" t="str">
        <f>"07-I10-06"</f>
        <v>07-I10-06</v>
      </c>
      <c r="H12893">
        <v>0.9728</v>
      </c>
      <c r="J12893" t="s">
        <v>17</v>
      </c>
      <c r="K12893" t="str">
        <f>"5F1"</f>
        <v>5F1</v>
      </c>
      <c r="L12893" t="s">
        <v>15</v>
      </c>
    </row>
    <row r="12894" spans="1:12" x14ac:dyDescent="0.25">
      <c r="A12894" t="str">
        <f>"9354216146"</f>
        <v>9354216146</v>
      </c>
      <c r="B12894" t="str">
        <f t="shared" si="535"/>
        <v>89301000</v>
      </c>
      <c r="C12894" s="1">
        <v>44429</v>
      </c>
      <c r="D12894" s="1">
        <v>44430</v>
      </c>
      <c r="E12894">
        <v>1</v>
      </c>
      <c r="F12894" t="s">
        <v>75</v>
      </c>
      <c r="G12894" t="str">
        <f>"14-M01-05"</f>
        <v>14-M01-05</v>
      </c>
      <c r="H12894">
        <v>0.54239999999999999</v>
      </c>
      <c r="J12894" t="s">
        <v>59</v>
      </c>
      <c r="K12894" t="str">
        <f t="shared" ref="K12894:K12907" si="537">"6F3"</f>
        <v>6F3</v>
      </c>
      <c r="L12894" t="s">
        <v>15</v>
      </c>
    </row>
    <row r="12895" spans="1:12" x14ac:dyDescent="0.25">
      <c r="A12895" t="str">
        <f>"9354233262"</f>
        <v>9354233262</v>
      </c>
      <c r="B12895" t="str">
        <f t="shared" si="535"/>
        <v>89301000</v>
      </c>
      <c r="C12895" s="1">
        <v>44429</v>
      </c>
      <c r="D12895" s="1">
        <v>44434</v>
      </c>
      <c r="E12895">
        <v>1</v>
      </c>
      <c r="F12895" t="s">
        <v>7455</v>
      </c>
      <c r="G12895" t="str">
        <f>"14-I01-02"</f>
        <v>14-I01-02</v>
      </c>
      <c r="H12895">
        <v>1.1328</v>
      </c>
      <c r="I12895" t="s">
        <v>8188</v>
      </c>
      <c r="J12895" t="s">
        <v>59</v>
      </c>
      <c r="K12895" t="str">
        <f t="shared" si="537"/>
        <v>6F3</v>
      </c>
      <c r="L12895" t="s">
        <v>15</v>
      </c>
    </row>
    <row r="12896" spans="1:12" x14ac:dyDescent="0.25">
      <c r="A12896" t="str">
        <f>"9354234857"</f>
        <v>9354234857</v>
      </c>
      <c r="B12896" t="str">
        <f t="shared" si="535"/>
        <v>89301000</v>
      </c>
      <c r="C12896" s="1">
        <v>44234</v>
      </c>
      <c r="D12896" s="1">
        <v>44237</v>
      </c>
      <c r="E12896">
        <v>1</v>
      </c>
      <c r="F12896" t="s">
        <v>75</v>
      </c>
      <c r="G12896" t="str">
        <f t="shared" ref="G12896:G12901" si="538">"14-M01-05"</f>
        <v>14-M01-05</v>
      </c>
      <c r="H12896">
        <v>0.54239999999999999</v>
      </c>
      <c r="I12896" t="s">
        <v>76</v>
      </c>
      <c r="J12896" t="s">
        <v>59</v>
      </c>
      <c r="K12896" t="str">
        <f t="shared" si="537"/>
        <v>6F3</v>
      </c>
      <c r="L12896" t="s">
        <v>15</v>
      </c>
    </row>
    <row r="12897" spans="1:12" x14ac:dyDescent="0.25">
      <c r="A12897" t="str">
        <f>"9354244856"</f>
        <v>9354244856</v>
      </c>
      <c r="B12897" t="str">
        <f t="shared" si="535"/>
        <v>89301000</v>
      </c>
      <c r="C12897" s="1">
        <v>44273</v>
      </c>
      <c r="D12897" s="1">
        <v>44276</v>
      </c>
      <c r="E12897">
        <v>1</v>
      </c>
      <c r="F12897" t="s">
        <v>116</v>
      </c>
      <c r="G12897" t="str">
        <f t="shared" si="538"/>
        <v>14-M01-05</v>
      </c>
      <c r="H12897">
        <v>0.54239999999999999</v>
      </c>
      <c r="I12897" t="s">
        <v>76</v>
      </c>
      <c r="J12897" t="s">
        <v>59</v>
      </c>
      <c r="K12897" t="str">
        <f t="shared" si="537"/>
        <v>6F3</v>
      </c>
      <c r="L12897" t="s">
        <v>15</v>
      </c>
    </row>
    <row r="12898" spans="1:12" x14ac:dyDescent="0.25">
      <c r="A12898" t="str">
        <f>"9354245703"</f>
        <v>9354245703</v>
      </c>
      <c r="B12898" t="str">
        <f t="shared" si="535"/>
        <v>89301000</v>
      </c>
      <c r="C12898" s="1">
        <v>44459</v>
      </c>
      <c r="D12898" s="1">
        <v>44462</v>
      </c>
      <c r="E12898">
        <v>1</v>
      </c>
      <c r="F12898" t="s">
        <v>75</v>
      </c>
      <c r="G12898" t="str">
        <f t="shared" si="538"/>
        <v>14-M01-05</v>
      </c>
      <c r="H12898">
        <v>0.54239999999999999</v>
      </c>
      <c r="I12898" t="s">
        <v>7706</v>
      </c>
      <c r="J12898" t="s">
        <v>59</v>
      </c>
      <c r="K12898" t="str">
        <f t="shared" si="537"/>
        <v>6F3</v>
      </c>
      <c r="L12898" t="s">
        <v>15</v>
      </c>
    </row>
    <row r="12899" spans="1:12" x14ac:dyDescent="0.25">
      <c r="A12899" t="str">
        <f>"9354245978"</f>
        <v>9354245978</v>
      </c>
      <c r="B12899" t="str">
        <f t="shared" si="535"/>
        <v>89301000</v>
      </c>
      <c r="C12899" s="1">
        <v>44355</v>
      </c>
      <c r="D12899" s="1">
        <v>44358</v>
      </c>
      <c r="E12899">
        <v>1</v>
      </c>
      <c r="F12899" t="s">
        <v>75</v>
      </c>
      <c r="G12899" t="str">
        <f t="shared" si="538"/>
        <v>14-M01-05</v>
      </c>
      <c r="H12899">
        <v>0.54239999999999999</v>
      </c>
      <c r="I12899" t="s">
        <v>180</v>
      </c>
      <c r="J12899" t="s">
        <v>59</v>
      </c>
      <c r="K12899" t="str">
        <f t="shared" si="537"/>
        <v>6F3</v>
      </c>
      <c r="L12899" t="s">
        <v>15</v>
      </c>
    </row>
    <row r="12900" spans="1:12" x14ac:dyDescent="0.25">
      <c r="A12900" t="str">
        <f>"9354276140"</f>
        <v>9354276140</v>
      </c>
      <c r="B12900" t="str">
        <f t="shared" si="535"/>
        <v>89301000</v>
      </c>
      <c r="C12900" s="1">
        <v>44440</v>
      </c>
      <c r="D12900" s="1">
        <v>44443</v>
      </c>
      <c r="E12900">
        <v>1</v>
      </c>
      <c r="F12900" t="s">
        <v>75</v>
      </c>
      <c r="G12900" t="str">
        <f t="shared" si="538"/>
        <v>14-M01-05</v>
      </c>
      <c r="H12900">
        <v>0.54239999999999999</v>
      </c>
      <c r="I12900" t="s">
        <v>76</v>
      </c>
      <c r="J12900" t="s">
        <v>59</v>
      </c>
      <c r="K12900" t="str">
        <f t="shared" si="537"/>
        <v>6F3</v>
      </c>
      <c r="L12900" t="s">
        <v>15</v>
      </c>
    </row>
    <row r="12901" spans="1:12" x14ac:dyDescent="0.25">
      <c r="A12901" t="str">
        <f>"9354285765"</f>
        <v>9354285765</v>
      </c>
      <c r="B12901" t="str">
        <f t="shared" si="535"/>
        <v>89301000</v>
      </c>
      <c r="C12901" s="1">
        <v>44524</v>
      </c>
      <c r="D12901" s="1">
        <v>44527</v>
      </c>
      <c r="E12901">
        <v>1</v>
      </c>
      <c r="F12901" t="s">
        <v>75</v>
      </c>
      <c r="G12901" t="str">
        <f t="shared" si="538"/>
        <v>14-M01-05</v>
      </c>
      <c r="H12901">
        <v>0.54239999999999999</v>
      </c>
      <c r="I12901" t="s">
        <v>8189</v>
      </c>
      <c r="J12901" t="s">
        <v>59</v>
      </c>
      <c r="K12901" t="str">
        <f t="shared" si="537"/>
        <v>6F3</v>
      </c>
      <c r="L12901" t="s">
        <v>15</v>
      </c>
    </row>
    <row r="12902" spans="1:12" x14ac:dyDescent="0.25">
      <c r="A12902" t="str">
        <f>"9355055919"</f>
        <v>9355055919</v>
      </c>
      <c r="B12902" t="str">
        <f t="shared" si="535"/>
        <v>89301000</v>
      </c>
      <c r="C12902" s="1">
        <v>44391</v>
      </c>
      <c r="D12902" s="1">
        <v>44394</v>
      </c>
      <c r="E12902">
        <v>1</v>
      </c>
      <c r="F12902" t="s">
        <v>82</v>
      </c>
      <c r="G12902" t="str">
        <f>"14-I01-02"</f>
        <v>14-I01-02</v>
      </c>
      <c r="H12902">
        <v>1.1289</v>
      </c>
      <c r="I12902" t="s">
        <v>8190</v>
      </c>
      <c r="J12902" t="s">
        <v>59</v>
      </c>
      <c r="K12902" t="str">
        <f t="shared" si="537"/>
        <v>6F3</v>
      </c>
      <c r="L12902" t="s">
        <v>15</v>
      </c>
    </row>
    <row r="12903" spans="1:12" x14ac:dyDescent="0.25">
      <c r="A12903" t="str">
        <f>"9355085718"</f>
        <v>9355085718</v>
      </c>
      <c r="B12903" t="str">
        <f t="shared" si="535"/>
        <v>89301000</v>
      </c>
      <c r="C12903" s="1">
        <v>44237</v>
      </c>
      <c r="D12903" s="1">
        <v>44240</v>
      </c>
      <c r="E12903">
        <v>1</v>
      </c>
      <c r="F12903" t="s">
        <v>8031</v>
      </c>
      <c r="G12903" t="str">
        <f>"14-M01-05"</f>
        <v>14-M01-05</v>
      </c>
      <c r="H12903">
        <v>0.54239999999999999</v>
      </c>
      <c r="I12903" t="s">
        <v>7704</v>
      </c>
      <c r="J12903" t="s">
        <v>59</v>
      </c>
      <c r="K12903" t="str">
        <f t="shared" si="537"/>
        <v>6F3</v>
      </c>
      <c r="L12903" t="s">
        <v>15</v>
      </c>
    </row>
    <row r="12904" spans="1:12" x14ac:dyDescent="0.25">
      <c r="A12904" t="str">
        <f>"9355095706"</f>
        <v>9355095706</v>
      </c>
      <c r="B12904" t="str">
        <f t="shared" si="535"/>
        <v>89301000</v>
      </c>
      <c r="C12904" s="1">
        <v>44332</v>
      </c>
      <c r="D12904" s="1">
        <v>44335</v>
      </c>
      <c r="E12904">
        <v>1</v>
      </c>
      <c r="F12904" t="s">
        <v>75</v>
      </c>
      <c r="G12904" t="str">
        <f>"14-M01-05"</f>
        <v>14-M01-05</v>
      </c>
      <c r="H12904">
        <v>0.54239999999999999</v>
      </c>
      <c r="J12904" t="s">
        <v>59</v>
      </c>
      <c r="K12904" t="str">
        <f t="shared" si="537"/>
        <v>6F3</v>
      </c>
      <c r="L12904" t="s">
        <v>15</v>
      </c>
    </row>
    <row r="12905" spans="1:12" x14ac:dyDescent="0.25">
      <c r="A12905" t="str">
        <f>"9355125725"</f>
        <v>9355125725</v>
      </c>
      <c r="B12905" t="str">
        <f t="shared" si="535"/>
        <v>89301000</v>
      </c>
      <c r="C12905" s="1">
        <v>44431</v>
      </c>
      <c r="D12905" s="1">
        <v>44436</v>
      </c>
      <c r="E12905">
        <v>1</v>
      </c>
      <c r="F12905" t="s">
        <v>82</v>
      </c>
      <c r="G12905" t="str">
        <f>"14-I01-02"</f>
        <v>14-I01-02</v>
      </c>
      <c r="H12905">
        <v>1.1289</v>
      </c>
      <c r="I12905" t="s">
        <v>8191</v>
      </c>
      <c r="J12905" t="s">
        <v>59</v>
      </c>
      <c r="K12905" t="str">
        <f t="shared" si="537"/>
        <v>6F3</v>
      </c>
      <c r="L12905" t="s">
        <v>15</v>
      </c>
    </row>
    <row r="12906" spans="1:12" x14ac:dyDescent="0.25">
      <c r="A12906" t="str">
        <f>"9355135702"</f>
        <v>9355135702</v>
      </c>
      <c r="B12906" t="str">
        <f t="shared" si="535"/>
        <v>89301000</v>
      </c>
      <c r="C12906" s="1">
        <v>44495</v>
      </c>
      <c r="D12906" s="1">
        <v>44497</v>
      </c>
      <c r="E12906">
        <v>1</v>
      </c>
      <c r="F12906" t="s">
        <v>75</v>
      </c>
      <c r="G12906" t="str">
        <f>"14-M01-05"</f>
        <v>14-M01-05</v>
      </c>
      <c r="H12906">
        <v>0.54239999999999999</v>
      </c>
      <c r="I12906" t="s">
        <v>76</v>
      </c>
      <c r="J12906" t="s">
        <v>59</v>
      </c>
      <c r="K12906" t="str">
        <f t="shared" si="537"/>
        <v>6F3</v>
      </c>
      <c r="L12906" t="s">
        <v>15</v>
      </c>
    </row>
    <row r="12907" spans="1:12" x14ac:dyDescent="0.25">
      <c r="A12907" t="str">
        <f>"9355156074"</f>
        <v>9355156074</v>
      </c>
      <c r="B12907" t="str">
        <f t="shared" si="535"/>
        <v>89301000</v>
      </c>
      <c r="C12907" s="1">
        <v>44260</v>
      </c>
      <c r="D12907" s="1">
        <v>44263</v>
      </c>
      <c r="E12907">
        <v>1</v>
      </c>
      <c r="F12907" t="s">
        <v>75</v>
      </c>
      <c r="G12907" t="str">
        <f>"14-M01-05"</f>
        <v>14-M01-05</v>
      </c>
      <c r="H12907">
        <v>0.54239999999999999</v>
      </c>
      <c r="I12907" t="s">
        <v>8192</v>
      </c>
      <c r="J12907" t="s">
        <v>59</v>
      </c>
      <c r="K12907" t="str">
        <f t="shared" si="537"/>
        <v>6F3</v>
      </c>
      <c r="L12907" t="s">
        <v>15</v>
      </c>
    </row>
    <row r="12908" spans="1:12" x14ac:dyDescent="0.25">
      <c r="A12908" t="str">
        <f>"9355205563"</f>
        <v>9355205563</v>
      </c>
      <c r="B12908" t="str">
        <f t="shared" si="535"/>
        <v>89301000</v>
      </c>
      <c r="C12908" s="1">
        <v>44235</v>
      </c>
      <c r="D12908" s="1">
        <v>44237</v>
      </c>
      <c r="E12908">
        <v>1</v>
      </c>
      <c r="F12908" t="s">
        <v>4899</v>
      </c>
      <c r="G12908" t="str">
        <f>"04-K13-01"</f>
        <v>04-K13-01</v>
      </c>
      <c r="H12908">
        <v>0.64270000000000005</v>
      </c>
      <c r="I12908" t="s">
        <v>8193</v>
      </c>
      <c r="J12908" t="s">
        <v>14</v>
      </c>
      <c r="K12908" t="str">
        <f>"5F3"</f>
        <v>5F3</v>
      </c>
      <c r="L12908" t="s">
        <v>15</v>
      </c>
    </row>
    <row r="12909" spans="1:12" x14ac:dyDescent="0.25">
      <c r="A12909" t="str">
        <f>"9355205772"</f>
        <v>9355205772</v>
      </c>
      <c r="B12909" t="str">
        <f t="shared" si="535"/>
        <v>89301000</v>
      </c>
      <c r="C12909" s="1">
        <v>44506</v>
      </c>
      <c r="D12909" s="1">
        <v>44510</v>
      </c>
      <c r="E12909">
        <v>1</v>
      </c>
      <c r="F12909" t="s">
        <v>112</v>
      </c>
      <c r="G12909" t="str">
        <f>"14-M01-05"</f>
        <v>14-M01-05</v>
      </c>
      <c r="H12909">
        <v>0.54239999999999999</v>
      </c>
      <c r="I12909" t="s">
        <v>8194</v>
      </c>
      <c r="J12909" t="s">
        <v>59</v>
      </c>
      <c r="K12909" t="str">
        <f t="shared" ref="K12909:K12923" si="539">"6F3"</f>
        <v>6F3</v>
      </c>
      <c r="L12909" t="s">
        <v>15</v>
      </c>
    </row>
    <row r="12910" spans="1:12" x14ac:dyDescent="0.25">
      <c r="A12910" t="str">
        <f>"9355215771"</f>
        <v>9355215771</v>
      </c>
      <c r="B12910" t="str">
        <f t="shared" si="535"/>
        <v>89301000</v>
      </c>
      <c r="C12910" s="1">
        <v>44553</v>
      </c>
      <c r="D12910" s="1">
        <v>44554</v>
      </c>
      <c r="E12910">
        <v>1</v>
      </c>
      <c r="F12910" t="s">
        <v>86</v>
      </c>
      <c r="G12910" t="str">
        <f>"14-I08-03"</f>
        <v>14-I08-03</v>
      </c>
      <c r="H12910">
        <v>0.21099999999999999</v>
      </c>
      <c r="J12910" t="s">
        <v>14</v>
      </c>
      <c r="K12910" t="str">
        <f t="shared" si="539"/>
        <v>6F3</v>
      </c>
      <c r="L12910" t="s">
        <v>15</v>
      </c>
    </row>
    <row r="12911" spans="1:12" x14ac:dyDescent="0.25">
      <c r="A12911" t="str">
        <f>"9355215771"</f>
        <v>9355215771</v>
      </c>
      <c r="B12911" t="str">
        <f t="shared" si="535"/>
        <v>89301000</v>
      </c>
      <c r="C12911" s="1">
        <v>44487</v>
      </c>
      <c r="D12911" s="1">
        <v>44490</v>
      </c>
      <c r="E12911">
        <v>1</v>
      </c>
      <c r="F12911" t="s">
        <v>8031</v>
      </c>
      <c r="G12911" t="str">
        <f>"14-M01-02"</f>
        <v>14-M01-02</v>
      </c>
      <c r="H12911">
        <v>0.74450000000000005</v>
      </c>
      <c r="I12911" t="s">
        <v>8195</v>
      </c>
      <c r="J12911" t="s">
        <v>59</v>
      </c>
      <c r="K12911" t="str">
        <f t="shared" si="539"/>
        <v>6F3</v>
      </c>
      <c r="L12911" t="s">
        <v>15</v>
      </c>
    </row>
    <row r="12912" spans="1:12" x14ac:dyDescent="0.25">
      <c r="A12912" t="str">
        <f>"9355235307"</f>
        <v>9355235307</v>
      </c>
      <c r="B12912" t="str">
        <f t="shared" si="535"/>
        <v>89301000</v>
      </c>
      <c r="C12912" s="1">
        <v>44243</v>
      </c>
      <c r="D12912" s="1">
        <v>44248</v>
      </c>
      <c r="E12912">
        <v>1</v>
      </c>
      <c r="F12912" t="s">
        <v>112</v>
      </c>
      <c r="G12912" t="str">
        <f>"14-M01-05"</f>
        <v>14-M01-05</v>
      </c>
      <c r="H12912">
        <v>0.54239999999999999</v>
      </c>
      <c r="I12912" t="s">
        <v>8196</v>
      </c>
      <c r="J12912" t="s">
        <v>59</v>
      </c>
      <c r="K12912" t="str">
        <f t="shared" si="539"/>
        <v>6F3</v>
      </c>
      <c r="L12912" t="s">
        <v>15</v>
      </c>
    </row>
    <row r="12913" spans="1:12" x14ac:dyDescent="0.25">
      <c r="A12913" t="str">
        <f>"9355265733"</f>
        <v>9355265733</v>
      </c>
      <c r="B12913" t="str">
        <f t="shared" si="535"/>
        <v>89301000</v>
      </c>
      <c r="C12913" s="1">
        <v>44494</v>
      </c>
      <c r="D12913" s="1">
        <v>44498</v>
      </c>
      <c r="E12913">
        <v>1</v>
      </c>
      <c r="F12913" t="s">
        <v>82</v>
      </c>
      <c r="G12913" t="str">
        <f>"14-I01-01"</f>
        <v>14-I01-01</v>
      </c>
      <c r="H12913">
        <v>1.5294000000000001</v>
      </c>
      <c r="I12913" t="s">
        <v>8197</v>
      </c>
      <c r="J12913" t="s">
        <v>59</v>
      </c>
      <c r="K12913" t="str">
        <f t="shared" si="539"/>
        <v>6F3</v>
      </c>
      <c r="L12913" t="s">
        <v>15</v>
      </c>
    </row>
    <row r="12914" spans="1:12" x14ac:dyDescent="0.25">
      <c r="A12914" t="str">
        <f>"9355305729"</f>
        <v>9355305729</v>
      </c>
      <c r="B12914" t="str">
        <f t="shared" si="535"/>
        <v>89301000</v>
      </c>
      <c r="C12914" s="1">
        <v>44336</v>
      </c>
      <c r="D12914" s="1">
        <v>44340</v>
      </c>
      <c r="E12914">
        <v>1</v>
      </c>
      <c r="F12914" t="s">
        <v>75</v>
      </c>
      <c r="G12914" t="str">
        <f>"14-M01-05"</f>
        <v>14-M01-05</v>
      </c>
      <c r="H12914">
        <v>0.54239999999999999</v>
      </c>
      <c r="I12914" t="s">
        <v>8198</v>
      </c>
      <c r="J12914" t="s">
        <v>59</v>
      </c>
      <c r="K12914" t="str">
        <f t="shared" si="539"/>
        <v>6F3</v>
      </c>
      <c r="L12914" t="s">
        <v>15</v>
      </c>
    </row>
    <row r="12915" spans="1:12" x14ac:dyDescent="0.25">
      <c r="A12915" t="str">
        <f>"9355316146"</f>
        <v>9355316146</v>
      </c>
      <c r="B12915" t="str">
        <f t="shared" si="535"/>
        <v>89301000</v>
      </c>
      <c r="C12915" s="1">
        <v>44417</v>
      </c>
      <c r="D12915" s="1">
        <v>44424</v>
      </c>
      <c r="E12915">
        <v>1</v>
      </c>
      <c r="F12915" t="s">
        <v>116</v>
      </c>
      <c r="G12915" t="str">
        <f>"14-M01-05"</f>
        <v>14-M01-05</v>
      </c>
      <c r="H12915">
        <v>0.60709999999999997</v>
      </c>
      <c r="J12915" t="s">
        <v>59</v>
      </c>
      <c r="K12915" t="str">
        <f t="shared" si="539"/>
        <v>6F3</v>
      </c>
      <c r="L12915" t="s">
        <v>15</v>
      </c>
    </row>
    <row r="12916" spans="1:12" x14ac:dyDescent="0.25">
      <c r="A12916" t="str">
        <f>"9356026207"</f>
        <v>9356026207</v>
      </c>
      <c r="B12916" t="str">
        <f t="shared" si="535"/>
        <v>89301000</v>
      </c>
      <c r="C12916" s="1">
        <v>44502</v>
      </c>
      <c r="D12916" s="1">
        <v>44504</v>
      </c>
      <c r="E12916">
        <v>1</v>
      </c>
      <c r="F12916" t="s">
        <v>75</v>
      </c>
      <c r="G12916" t="str">
        <f>"14-M01-05"</f>
        <v>14-M01-05</v>
      </c>
      <c r="H12916">
        <v>0.54239999999999999</v>
      </c>
      <c r="I12916" t="s">
        <v>76</v>
      </c>
      <c r="J12916" t="s">
        <v>59</v>
      </c>
      <c r="K12916" t="str">
        <f t="shared" si="539"/>
        <v>6F3</v>
      </c>
      <c r="L12916" t="s">
        <v>15</v>
      </c>
    </row>
    <row r="12917" spans="1:12" x14ac:dyDescent="0.25">
      <c r="A12917" t="str">
        <f>"9356105748"</f>
        <v>9356105748</v>
      </c>
      <c r="B12917" t="str">
        <f t="shared" si="535"/>
        <v>89301000</v>
      </c>
      <c r="C12917" s="1">
        <v>44320</v>
      </c>
      <c r="D12917" s="1">
        <v>44325</v>
      </c>
      <c r="E12917">
        <v>1</v>
      </c>
      <c r="F12917" t="s">
        <v>75</v>
      </c>
      <c r="G12917" t="str">
        <f>"14-M01-05"</f>
        <v>14-M01-05</v>
      </c>
      <c r="H12917">
        <v>0.54239999999999999</v>
      </c>
      <c r="I12917" t="s">
        <v>7527</v>
      </c>
      <c r="J12917" t="s">
        <v>59</v>
      </c>
      <c r="K12917" t="str">
        <f t="shared" si="539"/>
        <v>6F3</v>
      </c>
      <c r="L12917" t="s">
        <v>15</v>
      </c>
    </row>
    <row r="12918" spans="1:12" x14ac:dyDescent="0.25">
      <c r="A12918" t="str">
        <f>"9356164873"</f>
        <v>9356164873</v>
      </c>
      <c r="B12918" t="str">
        <f t="shared" si="535"/>
        <v>89301000</v>
      </c>
      <c r="C12918" s="1">
        <v>44533</v>
      </c>
      <c r="D12918" s="1">
        <v>44537</v>
      </c>
      <c r="E12918">
        <v>1</v>
      </c>
      <c r="F12918" t="s">
        <v>112</v>
      </c>
      <c r="G12918" t="str">
        <f>"14-M01-05"</f>
        <v>14-M01-05</v>
      </c>
      <c r="H12918">
        <v>0.54239999999999999</v>
      </c>
      <c r="I12918" t="s">
        <v>8199</v>
      </c>
      <c r="J12918" t="s">
        <v>59</v>
      </c>
      <c r="K12918" t="str">
        <f t="shared" si="539"/>
        <v>6F3</v>
      </c>
      <c r="L12918" t="s">
        <v>15</v>
      </c>
    </row>
    <row r="12919" spans="1:12" x14ac:dyDescent="0.25">
      <c r="A12919" t="str">
        <f>"9356185707"</f>
        <v>9356185707</v>
      </c>
      <c r="B12919" t="str">
        <f t="shared" si="535"/>
        <v>89301000</v>
      </c>
      <c r="C12919" s="1">
        <v>44282</v>
      </c>
      <c r="D12919" s="1">
        <v>44287</v>
      </c>
      <c r="E12919">
        <v>1</v>
      </c>
      <c r="F12919" t="s">
        <v>116</v>
      </c>
      <c r="G12919" t="str">
        <f>"14-M01-02"</f>
        <v>14-M01-02</v>
      </c>
      <c r="H12919">
        <v>0.74450000000000005</v>
      </c>
      <c r="I12919" t="s">
        <v>8200</v>
      </c>
      <c r="J12919" t="s">
        <v>59</v>
      </c>
      <c r="K12919" t="str">
        <f t="shared" si="539"/>
        <v>6F3</v>
      </c>
      <c r="L12919" t="s">
        <v>15</v>
      </c>
    </row>
    <row r="12920" spans="1:12" x14ac:dyDescent="0.25">
      <c r="A12920" t="str">
        <f>"9356244843"</f>
        <v>9356244843</v>
      </c>
      <c r="B12920" t="str">
        <f t="shared" si="535"/>
        <v>89301000</v>
      </c>
      <c r="C12920" s="1">
        <v>44374</v>
      </c>
      <c r="D12920" s="1">
        <v>44376</v>
      </c>
      <c r="E12920">
        <v>1</v>
      </c>
      <c r="F12920" t="s">
        <v>60</v>
      </c>
      <c r="G12920" t="str">
        <f>"14-K03-02"</f>
        <v>14-K03-02</v>
      </c>
      <c r="H12920">
        <v>0.2646</v>
      </c>
      <c r="J12920" t="s">
        <v>14</v>
      </c>
      <c r="K12920" t="str">
        <f t="shared" si="539"/>
        <v>6F3</v>
      </c>
      <c r="L12920" t="s">
        <v>15</v>
      </c>
    </row>
    <row r="12921" spans="1:12" x14ac:dyDescent="0.25">
      <c r="A12921" t="str">
        <f>"9356295707"</f>
        <v>9356295707</v>
      </c>
      <c r="B12921" t="str">
        <f t="shared" si="535"/>
        <v>89301000</v>
      </c>
      <c r="C12921" s="1">
        <v>44363</v>
      </c>
      <c r="D12921" s="1">
        <v>44365</v>
      </c>
      <c r="E12921">
        <v>1</v>
      </c>
      <c r="F12921" t="s">
        <v>8201</v>
      </c>
      <c r="G12921" t="str">
        <f>"13-K15-02"</f>
        <v>13-K15-02</v>
      </c>
      <c r="H12921">
        <v>0.18360000000000001</v>
      </c>
      <c r="J12921" t="s">
        <v>14</v>
      </c>
      <c r="K12921" t="str">
        <f t="shared" si="539"/>
        <v>6F3</v>
      </c>
      <c r="L12921" t="s">
        <v>15</v>
      </c>
    </row>
    <row r="12922" spans="1:12" x14ac:dyDescent="0.25">
      <c r="A12922" t="str">
        <f>"9356295707"</f>
        <v>9356295707</v>
      </c>
      <c r="B12922" t="str">
        <f t="shared" si="535"/>
        <v>89301000</v>
      </c>
      <c r="C12922" s="1">
        <v>44481</v>
      </c>
      <c r="D12922" s="1">
        <v>44486</v>
      </c>
      <c r="E12922">
        <v>1</v>
      </c>
      <c r="F12922" t="s">
        <v>51</v>
      </c>
      <c r="G12922" t="str">
        <f>"13-I17-00"</f>
        <v>13-I17-00</v>
      </c>
      <c r="H12922">
        <v>0.74590000000000001</v>
      </c>
      <c r="I12922" t="s">
        <v>7698</v>
      </c>
      <c r="J12922" t="s">
        <v>24</v>
      </c>
      <c r="K12922" t="str">
        <f t="shared" si="539"/>
        <v>6F3</v>
      </c>
      <c r="L12922" t="s">
        <v>15</v>
      </c>
    </row>
    <row r="12923" spans="1:12" x14ac:dyDescent="0.25">
      <c r="A12923" t="str">
        <f>"9356295707"</f>
        <v>9356295707</v>
      </c>
      <c r="B12923" t="str">
        <f t="shared" si="535"/>
        <v>89301000</v>
      </c>
      <c r="C12923" s="1">
        <v>44464</v>
      </c>
      <c r="D12923" s="1">
        <v>44468</v>
      </c>
      <c r="E12923">
        <v>1</v>
      </c>
      <c r="F12923" t="s">
        <v>575</v>
      </c>
      <c r="G12923" t="str">
        <f>"18-K02-03"</f>
        <v>18-K02-03</v>
      </c>
      <c r="H12923">
        <v>0.87570000000000003</v>
      </c>
      <c r="I12923" t="s">
        <v>3058</v>
      </c>
      <c r="J12923" t="s">
        <v>14</v>
      </c>
      <c r="K12923" t="str">
        <f t="shared" si="539"/>
        <v>6F3</v>
      </c>
      <c r="L12923" t="s">
        <v>15</v>
      </c>
    </row>
    <row r="12924" spans="1:12" x14ac:dyDescent="0.25">
      <c r="A12924" t="str">
        <f>"9356306146"</f>
        <v>9356306146</v>
      </c>
      <c r="B12924" t="str">
        <f t="shared" si="535"/>
        <v>89301000</v>
      </c>
      <c r="C12924" s="1">
        <v>44530</v>
      </c>
      <c r="D12924" s="1">
        <v>44551</v>
      </c>
      <c r="E12924">
        <v>1</v>
      </c>
      <c r="F12924" t="s">
        <v>740</v>
      </c>
      <c r="G12924" t="str">
        <f>"08-M01-00"</f>
        <v>08-M01-00</v>
      </c>
      <c r="H12924">
        <v>5.1256000000000004</v>
      </c>
      <c r="I12924" t="s">
        <v>8202</v>
      </c>
      <c r="J12924" t="s">
        <v>14</v>
      </c>
      <c r="K12924" t="str">
        <f>"1F9"</f>
        <v>1F9</v>
      </c>
      <c r="L12924" t="s">
        <v>15</v>
      </c>
    </row>
    <row r="12925" spans="1:12" x14ac:dyDescent="0.25">
      <c r="A12925" t="str">
        <f>"9356306146"</f>
        <v>9356306146</v>
      </c>
      <c r="B12925" t="str">
        <f t="shared" si="535"/>
        <v>89301000</v>
      </c>
      <c r="C12925" s="1">
        <v>44455</v>
      </c>
      <c r="D12925" s="1">
        <v>44459</v>
      </c>
      <c r="E12925">
        <v>1</v>
      </c>
      <c r="F12925" t="s">
        <v>740</v>
      </c>
      <c r="G12925" t="str">
        <f>"08-K01-02"</f>
        <v>08-K01-02</v>
      </c>
      <c r="H12925">
        <v>1.1327</v>
      </c>
      <c r="I12925" t="s">
        <v>8203</v>
      </c>
      <c r="J12925" t="s">
        <v>14</v>
      </c>
      <c r="K12925" t="str">
        <f>"1F9"</f>
        <v>1F9</v>
      </c>
      <c r="L12925" t="s">
        <v>15</v>
      </c>
    </row>
    <row r="12926" spans="1:12" x14ac:dyDescent="0.25">
      <c r="A12926" t="str">
        <f>"9356306146"</f>
        <v>9356306146</v>
      </c>
      <c r="B12926" t="str">
        <f t="shared" si="535"/>
        <v>89301000</v>
      </c>
      <c r="C12926" s="1">
        <v>44506</v>
      </c>
      <c r="D12926" s="1">
        <v>44510</v>
      </c>
      <c r="E12926">
        <v>1</v>
      </c>
      <c r="F12926" t="s">
        <v>8097</v>
      </c>
      <c r="G12926" t="str">
        <f>"08-K01-03"</f>
        <v>08-K01-03</v>
      </c>
      <c r="H12926">
        <v>0.65310000000000001</v>
      </c>
      <c r="I12926" t="s">
        <v>8204</v>
      </c>
      <c r="J12926" t="s">
        <v>14</v>
      </c>
      <c r="K12926" t="str">
        <f>"4F4"</f>
        <v>4F4</v>
      </c>
      <c r="L12926" t="s">
        <v>15</v>
      </c>
    </row>
    <row r="12927" spans="1:12" x14ac:dyDescent="0.25">
      <c r="A12927" t="str">
        <f>"9356740514"</f>
        <v>9356740514</v>
      </c>
      <c r="B12927" t="str">
        <f t="shared" si="535"/>
        <v>89301000</v>
      </c>
      <c r="C12927" s="1">
        <v>44446</v>
      </c>
      <c r="D12927" s="1">
        <v>44454</v>
      </c>
      <c r="E12927">
        <v>1</v>
      </c>
      <c r="F12927" t="s">
        <v>75</v>
      </c>
      <c r="G12927" t="str">
        <f>"14-M01-05"</f>
        <v>14-M01-05</v>
      </c>
      <c r="H12927">
        <v>0.67179999999999995</v>
      </c>
      <c r="J12927" t="s">
        <v>59</v>
      </c>
      <c r="K12927" t="str">
        <f>"6F3"</f>
        <v>6F3</v>
      </c>
      <c r="L12927" t="s">
        <v>15</v>
      </c>
    </row>
    <row r="12928" spans="1:12" x14ac:dyDescent="0.25">
      <c r="A12928" t="str">
        <f>"9357025700"</f>
        <v>9357025700</v>
      </c>
      <c r="B12928" t="str">
        <f t="shared" si="535"/>
        <v>89301000</v>
      </c>
      <c r="C12928" s="1">
        <v>44443</v>
      </c>
      <c r="D12928" s="1">
        <v>44448</v>
      </c>
      <c r="E12928">
        <v>1</v>
      </c>
      <c r="F12928" t="s">
        <v>75</v>
      </c>
      <c r="G12928" t="str">
        <f>"14-M01-05"</f>
        <v>14-M01-05</v>
      </c>
      <c r="H12928">
        <v>0.54239999999999999</v>
      </c>
      <c r="I12928" t="s">
        <v>7972</v>
      </c>
      <c r="J12928" t="s">
        <v>59</v>
      </c>
      <c r="K12928" t="str">
        <f>"6F3"</f>
        <v>6F3</v>
      </c>
      <c r="L12928" t="s">
        <v>15</v>
      </c>
    </row>
    <row r="12929" spans="1:12" x14ac:dyDescent="0.25">
      <c r="A12929" t="str">
        <f>"9357034874"</f>
        <v>9357034874</v>
      </c>
      <c r="B12929" t="str">
        <f t="shared" si="535"/>
        <v>89301000</v>
      </c>
      <c r="C12929" s="1">
        <v>44456</v>
      </c>
      <c r="D12929" s="1">
        <v>44460</v>
      </c>
      <c r="E12929">
        <v>1</v>
      </c>
      <c r="F12929" t="s">
        <v>61</v>
      </c>
      <c r="G12929" t="str">
        <f>"14-I01-05"</f>
        <v>14-I01-05</v>
      </c>
      <c r="H12929">
        <v>0.80030000000000001</v>
      </c>
      <c r="I12929" t="s">
        <v>7883</v>
      </c>
      <c r="J12929" t="s">
        <v>59</v>
      </c>
      <c r="K12929" t="str">
        <f>"6F3"</f>
        <v>6F3</v>
      </c>
      <c r="L12929" t="s">
        <v>15</v>
      </c>
    </row>
    <row r="12930" spans="1:12" x14ac:dyDescent="0.25">
      <c r="A12930" t="str">
        <f>"9357044213"</f>
        <v>9357044213</v>
      </c>
      <c r="B12930" t="str">
        <f t="shared" si="535"/>
        <v>89301000</v>
      </c>
      <c r="C12930" s="1">
        <v>44473</v>
      </c>
      <c r="D12930" s="1">
        <v>44489</v>
      </c>
      <c r="E12930">
        <v>1</v>
      </c>
      <c r="F12930" t="s">
        <v>7743</v>
      </c>
      <c r="G12930" t="str">
        <f>"20-K05-02"</f>
        <v>20-K05-02</v>
      </c>
      <c r="H12930">
        <v>1.9813000000000001</v>
      </c>
      <c r="I12930" t="s">
        <v>8205</v>
      </c>
      <c r="J12930" t="s">
        <v>14</v>
      </c>
      <c r="K12930" t="str">
        <f>"3F5"</f>
        <v>3F5</v>
      </c>
      <c r="L12930" t="s">
        <v>15</v>
      </c>
    </row>
    <row r="12931" spans="1:12" x14ac:dyDescent="0.25">
      <c r="A12931" t="str">
        <f>"9357065718"</f>
        <v>9357065718</v>
      </c>
      <c r="B12931" t="str">
        <f t="shared" si="535"/>
        <v>89301000</v>
      </c>
      <c r="C12931" s="1">
        <v>44435</v>
      </c>
      <c r="D12931" s="1">
        <v>44522</v>
      </c>
      <c r="E12931">
        <v>1</v>
      </c>
      <c r="F12931" t="s">
        <v>911</v>
      </c>
      <c r="G12931" t="str">
        <f>"00-M06-02"</f>
        <v>00-M06-02</v>
      </c>
      <c r="H12931">
        <v>36.739899999999999</v>
      </c>
      <c r="I12931" t="s">
        <v>8206</v>
      </c>
      <c r="J12931" t="s">
        <v>17</v>
      </c>
      <c r="K12931" t="str">
        <f>"5F1"</f>
        <v>5F1</v>
      </c>
      <c r="L12931" t="s">
        <v>15</v>
      </c>
    </row>
    <row r="12932" spans="1:12" x14ac:dyDescent="0.25">
      <c r="A12932" t="str">
        <f>"9357065718"</f>
        <v>9357065718</v>
      </c>
      <c r="B12932" t="str">
        <f t="shared" si="535"/>
        <v>89301000</v>
      </c>
      <c r="C12932" s="1">
        <v>44216</v>
      </c>
      <c r="D12932" s="1">
        <v>44238</v>
      </c>
      <c r="E12932">
        <v>1</v>
      </c>
      <c r="F12932" t="s">
        <v>3269</v>
      </c>
      <c r="G12932" t="str">
        <f>"17-C03-03"</f>
        <v>17-C03-03</v>
      </c>
      <c r="H12932">
        <v>2.4380000000000002</v>
      </c>
      <c r="I12932" t="s">
        <v>8207</v>
      </c>
      <c r="J12932" t="s">
        <v>14</v>
      </c>
      <c r="K12932" t="str">
        <f>"2F2"</f>
        <v>2F2</v>
      </c>
      <c r="L12932" t="s">
        <v>15</v>
      </c>
    </row>
    <row r="12933" spans="1:12" x14ac:dyDescent="0.25">
      <c r="A12933" t="str">
        <f>"9357065718"</f>
        <v>9357065718</v>
      </c>
      <c r="B12933" t="str">
        <f t="shared" si="535"/>
        <v>89301000</v>
      </c>
      <c r="C12933" s="1">
        <v>44245</v>
      </c>
      <c r="D12933" s="1">
        <v>44277</v>
      </c>
      <c r="E12933">
        <v>1</v>
      </c>
      <c r="F12933" t="s">
        <v>911</v>
      </c>
      <c r="G12933" t="str">
        <f>"00-M06-02"</f>
        <v>00-M06-02</v>
      </c>
      <c r="H12933">
        <v>24.359400000000001</v>
      </c>
      <c r="I12933" t="s">
        <v>8208</v>
      </c>
      <c r="J12933" t="s">
        <v>17</v>
      </c>
      <c r="K12933" t="str">
        <f>"2T2"</f>
        <v>2T2</v>
      </c>
      <c r="L12933" t="s">
        <v>15</v>
      </c>
    </row>
    <row r="12934" spans="1:12" x14ac:dyDescent="0.25">
      <c r="A12934" t="str">
        <f>"9357106143"</f>
        <v>9357106143</v>
      </c>
      <c r="B12934" t="str">
        <f t="shared" si="535"/>
        <v>89301000</v>
      </c>
      <c r="C12934" s="1">
        <v>44258</v>
      </c>
      <c r="D12934" s="1">
        <v>44270</v>
      </c>
      <c r="E12934">
        <v>1</v>
      </c>
      <c r="F12934" t="s">
        <v>5467</v>
      </c>
      <c r="G12934" t="str">
        <f>"19-K03-03"</f>
        <v>19-K03-03</v>
      </c>
      <c r="H12934">
        <v>0.93169999999999997</v>
      </c>
      <c r="I12934" t="s">
        <v>8209</v>
      </c>
      <c r="J12934" t="s">
        <v>27</v>
      </c>
      <c r="K12934" t="str">
        <f>"3F5"</f>
        <v>3F5</v>
      </c>
      <c r="L12934" t="s">
        <v>15</v>
      </c>
    </row>
    <row r="12935" spans="1:12" x14ac:dyDescent="0.25">
      <c r="A12935" t="str">
        <f>"9357115702"</f>
        <v>9357115702</v>
      </c>
      <c r="B12935" t="str">
        <f t="shared" si="535"/>
        <v>89301000</v>
      </c>
      <c r="C12935" s="1">
        <v>44266</v>
      </c>
      <c r="D12935" s="1">
        <v>44270</v>
      </c>
      <c r="E12935">
        <v>1</v>
      </c>
      <c r="F12935" t="s">
        <v>75</v>
      </c>
      <c r="G12935" t="str">
        <f>"14-M01-05"</f>
        <v>14-M01-05</v>
      </c>
      <c r="H12935">
        <v>0.54239999999999999</v>
      </c>
      <c r="I12935" t="s">
        <v>7863</v>
      </c>
      <c r="J12935" t="s">
        <v>59</v>
      </c>
      <c r="K12935" t="str">
        <f>"6F3"</f>
        <v>6F3</v>
      </c>
      <c r="L12935" t="s">
        <v>15</v>
      </c>
    </row>
    <row r="12936" spans="1:12" x14ac:dyDescent="0.25">
      <c r="A12936" t="str">
        <f>"9357165719"</f>
        <v>9357165719</v>
      </c>
      <c r="B12936" t="str">
        <f t="shared" si="535"/>
        <v>89301000</v>
      </c>
      <c r="C12936" s="1">
        <v>44437</v>
      </c>
      <c r="D12936" s="1">
        <v>44441</v>
      </c>
      <c r="E12936">
        <v>1</v>
      </c>
      <c r="F12936" t="s">
        <v>82</v>
      </c>
      <c r="G12936" t="str">
        <f>"14-I01-02"</f>
        <v>14-I01-02</v>
      </c>
      <c r="H12936">
        <v>1.1289</v>
      </c>
      <c r="I12936" t="s">
        <v>8210</v>
      </c>
      <c r="J12936" t="s">
        <v>59</v>
      </c>
      <c r="K12936" t="str">
        <f>"6F3"</f>
        <v>6F3</v>
      </c>
      <c r="L12936" t="s">
        <v>15</v>
      </c>
    </row>
    <row r="12937" spans="1:12" x14ac:dyDescent="0.25">
      <c r="A12937" t="str">
        <f>"9357256139"</f>
        <v>9357256139</v>
      </c>
      <c r="B12937" t="str">
        <f t="shared" si="535"/>
        <v>89301000</v>
      </c>
      <c r="C12937" s="1">
        <v>44550</v>
      </c>
      <c r="D12937" s="1">
        <v>44553</v>
      </c>
      <c r="E12937">
        <v>1</v>
      </c>
      <c r="F12937" t="s">
        <v>75</v>
      </c>
      <c r="G12937" t="str">
        <f>"14-M01-05"</f>
        <v>14-M01-05</v>
      </c>
      <c r="H12937">
        <v>0.54239999999999999</v>
      </c>
      <c r="I12937" t="s">
        <v>7727</v>
      </c>
      <c r="J12937" t="s">
        <v>59</v>
      </c>
      <c r="K12937" t="str">
        <f>"6F3"</f>
        <v>6F3</v>
      </c>
      <c r="L12937" t="s">
        <v>15</v>
      </c>
    </row>
    <row r="12938" spans="1:12" x14ac:dyDescent="0.25">
      <c r="A12938" t="str">
        <f>"9357274212"</f>
        <v>9357274212</v>
      </c>
      <c r="B12938" t="str">
        <f t="shared" si="535"/>
        <v>89301000</v>
      </c>
      <c r="C12938" s="1">
        <v>44503</v>
      </c>
      <c r="D12938" s="1">
        <v>44506</v>
      </c>
      <c r="E12938">
        <v>1</v>
      </c>
      <c r="F12938" t="s">
        <v>75</v>
      </c>
      <c r="G12938" t="str">
        <f>"14-M01-05"</f>
        <v>14-M01-05</v>
      </c>
      <c r="H12938">
        <v>0.54239999999999999</v>
      </c>
      <c r="I12938" t="s">
        <v>8211</v>
      </c>
      <c r="J12938" t="s">
        <v>59</v>
      </c>
      <c r="K12938" t="str">
        <f>"6F3"</f>
        <v>6F3</v>
      </c>
      <c r="L12938" t="s">
        <v>15</v>
      </c>
    </row>
    <row r="12939" spans="1:12" x14ac:dyDescent="0.25">
      <c r="A12939" t="str">
        <f>"9358014303"</f>
        <v>9358014303</v>
      </c>
      <c r="B12939" t="str">
        <f t="shared" si="535"/>
        <v>89301000</v>
      </c>
      <c r="C12939" s="1">
        <v>44489</v>
      </c>
      <c r="D12939" s="1">
        <v>44494</v>
      </c>
      <c r="E12939">
        <v>1</v>
      </c>
      <c r="F12939" t="s">
        <v>2637</v>
      </c>
      <c r="G12939" t="str">
        <f>"23-K05-01"</f>
        <v>23-K05-01</v>
      </c>
      <c r="H12939">
        <v>0.57099999999999995</v>
      </c>
      <c r="I12939" t="s">
        <v>2638</v>
      </c>
      <c r="J12939" t="s">
        <v>14</v>
      </c>
      <c r="K12939" t="str">
        <f>"4F7"</f>
        <v>4F7</v>
      </c>
      <c r="L12939" t="s">
        <v>15</v>
      </c>
    </row>
    <row r="12940" spans="1:12" x14ac:dyDescent="0.25">
      <c r="A12940" t="str">
        <f>"9358014303"</f>
        <v>9358014303</v>
      </c>
      <c r="B12940" t="str">
        <f t="shared" si="535"/>
        <v>89301000</v>
      </c>
      <c r="C12940" s="1">
        <v>44235</v>
      </c>
      <c r="D12940" s="1">
        <v>44244</v>
      </c>
      <c r="E12940">
        <v>1</v>
      </c>
      <c r="F12940" t="s">
        <v>79</v>
      </c>
      <c r="G12940" t="str">
        <f>"10-R02-01"</f>
        <v>10-R02-01</v>
      </c>
      <c r="H12940">
        <v>0.9698</v>
      </c>
      <c r="I12940" t="s">
        <v>80</v>
      </c>
      <c r="J12940" t="s">
        <v>24</v>
      </c>
      <c r="K12940" t="str">
        <f>"4F7"</f>
        <v>4F7</v>
      </c>
      <c r="L12940" t="s">
        <v>15</v>
      </c>
    </row>
    <row r="12941" spans="1:12" x14ac:dyDescent="0.25">
      <c r="A12941" t="str">
        <f>"9358025743"</f>
        <v>9358025743</v>
      </c>
      <c r="B12941" t="str">
        <f t="shared" si="535"/>
        <v>89301000</v>
      </c>
      <c r="C12941" s="1">
        <v>44357</v>
      </c>
      <c r="D12941" s="1">
        <v>44361</v>
      </c>
      <c r="E12941">
        <v>1</v>
      </c>
      <c r="F12941" t="s">
        <v>75</v>
      </c>
      <c r="G12941" t="str">
        <f>"14-M01-05"</f>
        <v>14-M01-05</v>
      </c>
      <c r="H12941">
        <v>0.54239999999999999</v>
      </c>
      <c r="I12941" t="s">
        <v>118</v>
      </c>
      <c r="J12941" t="s">
        <v>59</v>
      </c>
      <c r="K12941" t="str">
        <f>"6F3"</f>
        <v>6F3</v>
      </c>
      <c r="L12941" t="s">
        <v>15</v>
      </c>
    </row>
    <row r="12942" spans="1:12" x14ac:dyDescent="0.25">
      <c r="A12942" t="str">
        <f>"9358045719"</f>
        <v>9358045719</v>
      </c>
      <c r="B12942" t="str">
        <f t="shared" si="535"/>
        <v>89301000</v>
      </c>
      <c r="C12942" s="1">
        <v>44475</v>
      </c>
      <c r="D12942" s="1">
        <v>44478</v>
      </c>
      <c r="E12942">
        <v>1</v>
      </c>
      <c r="F12942" t="s">
        <v>75</v>
      </c>
      <c r="G12942" t="str">
        <f>"14-M01-05"</f>
        <v>14-M01-05</v>
      </c>
      <c r="H12942">
        <v>0.54239999999999999</v>
      </c>
      <c r="I12942" t="s">
        <v>8212</v>
      </c>
      <c r="J12942" t="s">
        <v>59</v>
      </c>
      <c r="K12942" t="str">
        <f>"6F3"</f>
        <v>6F3</v>
      </c>
      <c r="L12942" t="s">
        <v>15</v>
      </c>
    </row>
    <row r="12943" spans="1:12" x14ac:dyDescent="0.25">
      <c r="A12943" t="str">
        <f>"9358066146"</f>
        <v>9358066146</v>
      </c>
      <c r="B12943" t="str">
        <f t="shared" si="535"/>
        <v>89301000</v>
      </c>
      <c r="C12943" s="1">
        <v>44433</v>
      </c>
      <c r="D12943" s="1">
        <v>44435</v>
      </c>
      <c r="E12943">
        <v>1</v>
      </c>
      <c r="F12943" t="s">
        <v>102</v>
      </c>
      <c r="G12943" t="str">
        <f>"03-K06-01"</f>
        <v>03-K06-01</v>
      </c>
      <c r="H12943">
        <v>0.4718</v>
      </c>
      <c r="I12943" t="s">
        <v>8213</v>
      </c>
      <c r="J12943" t="s">
        <v>14</v>
      </c>
      <c r="K12943" t="str">
        <f>"7F1"</f>
        <v>7F1</v>
      </c>
      <c r="L12943" t="s">
        <v>15</v>
      </c>
    </row>
    <row r="12944" spans="1:12" x14ac:dyDescent="0.25">
      <c r="A12944" t="str">
        <f>"9358135699"</f>
        <v>9358135699</v>
      </c>
      <c r="B12944" t="str">
        <f t="shared" si="535"/>
        <v>89301000</v>
      </c>
      <c r="C12944" s="1">
        <v>44206</v>
      </c>
      <c r="D12944" s="1">
        <v>44210</v>
      </c>
      <c r="E12944">
        <v>1</v>
      </c>
      <c r="F12944" t="s">
        <v>114</v>
      </c>
      <c r="G12944" t="str">
        <f>"03-I17-00"</f>
        <v>03-I17-00</v>
      </c>
      <c r="H12944">
        <v>0.84960000000000002</v>
      </c>
      <c r="I12944" t="s">
        <v>8214</v>
      </c>
      <c r="J12944" t="s">
        <v>24</v>
      </c>
      <c r="K12944" t="str">
        <f>"7F1"</f>
        <v>7F1</v>
      </c>
      <c r="L12944" t="s">
        <v>15</v>
      </c>
    </row>
    <row r="12945" spans="1:12" x14ac:dyDescent="0.25">
      <c r="A12945" t="str">
        <f>"9358174881"</f>
        <v>9358174881</v>
      </c>
      <c r="B12945" t="str">
        <f t="shared" si="535"/>
        <v>89301000</v>
      </c>
      <c r="C12945" s="1">
        <v>44430</v>
      </c>
      <c r="D12945" s="1">
        <v>44434</v>
      </c>
      <c r="E12945">
        <v>1</v>
      </c>
      <c r="F12945" t="s">
        <v>82</v>
      </c>
      <c r="G12945" t="str">
        <f>"14-I01-01"</f>
        <v>14-I01-01</v>
      </c>
      <c r="H12945">
        <v>1.5323</v>
      </c>
      <c r="I12945" t="s">
        <v>8215</v>
      </c>
      <c r="J12945" t="s">
        <v>59</v>
      </c>
      <c r="K12945" t="str">
        <f t="shared" ref="K12945:K12952" si="540">"6F3"</f>
        <v>6F3</v>
      </c>
      <c r="L12945" t="s">
        <v>15</v>
      </c>
    </row>
    <row r="12946" spans="1:12" x14ac:dyDescent="0.25">
      <c r="A12946" t="str">
        <f>"9358175717"</f>
        <v>9358175717</v>
      </c>
      <c r="B12946" t="str">
        <f t="shared" si="535"/>
        <v>89301000</v>
      </c>
      <c r="C12946" s="1">
        <v>44542</v>
      </c>
      <c r="D12946" s="1">
        <v>44545</v>
      </c>
      <c r="E12946">
        <v>1</v>
      </c>
      <c r="F12946" t="s">
        <v>75</v>
      </c>
      <c r="G12946" t="str">
        <f>"14-M01-05"</f>
        <v>14-M01-05</v>
      </c>
      <c r="H12946">
        <v>0.54239999999999999</v>
      </c>
      <c r="I12946" t="s">
        <v>7354</v>
      </c>
      <c r="J12946" t="s">
        <v>59</v>
      </c>
      <c r="K12946" t="str">
        <f t="shared" si="540"/>
        <v>6F3</v>
      </c>
      <c r="L12946" t="s">
        <v>15</v>
      </c>
    </row>
    <row r="12947" spans="1:12" x14ac:dyDescent="0.25">
      <c r="A12947" t="str">
        <f>"9358175717"</f>
        <v>9358175717</v>
      </c>
      <c r="B12947" t="str">
        <f t="shared" si="535"/>
        <v>89301000</v>
      </c>
      <c r="C12947" s="1">
        <v>44534</v>
      </c>
      <c r="D12947" s="1">
        <v>44538</v>
      </c>
      <c r="E12947">
        <v>1</v>
      </c>
      <c r="F12947" t="s">
        <v>91</v>
      </c>
      <c r="G12947" t="str">
        <f>"14-K03-02"</f>
        <v>14-K03-02</v>
      </c>
      <c r="H12947">
        <v>0.2646</v>
      </c>
      <c r="I12947" t="s">
        <v>7354</v>
      </c>
      <c r="J12947" t="s">
        <v>14</v>
      </c>
      <c r="K12947" t="str">
        <f t="shared" si="540"/>
        <v>6F3</v>
      </c>
      <c r="L12947" t="s">
        <v>15</v>
      </c>
    </row>
    <row r="12948" spans="1:12" x14ac:dyDescent="0.25">
      <c r="A12948" t="str">
        <f>"9358205703"</f>
        <v>9358205703</v>
      </c>
      <c r="B12948" t="str">
        <f t="shared" si="535"/>
        <v>89301000</v>
      </c>
      <c r="C12948" s="1">
        <v>44492</v>
      </c>
      <c r="D12948" s="1">
        <v>44497</v>
      </c>
      <c r="E12948">
        <v>1</v>
      </c>
      <c r="F12948" t="s">
        <v>82</v>
      </c>
      <c r="G12948" t="str">
        <f>"14-I01-02"</f>
        <v>14-I01-02</v>
      </c>
      <c r="H12948">
        <v>1.1289</v>
      </c>
      <c r="I12948" t="s">
        <v>7703</v>
      </c>
      <c r="J12948" t="s">
        <v>59</v>
      </c>
      <c r="K12948" t="str">
        <f t="shared" si="540"/>
        <v>6F3</v>
      </c>
      <c r="L12948" t="s">
        <v>15</v>
      </c>
    </row>
    <row r="12949" spans="1:12" x14ac:dyDescent="0.25">
      <c r="A12949" t="str">
        <f>"9358274893"</f>
        <v>9358274893</v>
      </c>
      <c r="B12949" t="str">
        <f t="shared" si="535"/>
        <v>89301000</v>
      </c>
      <c r="C12949" s="1">
        <v>44360</v>
      </c>
      <c r="D12949" s="1">
        <v>44365</v>
      </c>
      <c r="E12949">
        <v>1</v>
      </c>
      <c r="F12949" t="s">
        <v>61</v>
      </c>
      <c r="G12949" t="str">
        <f>"14-I01-02"</f>
        <v>14-I01-02</v>
      </c>
      <c r="H12949">
        <v>1.1289</v>
      </c>
      <c r="I12949" t="s">
        <v>7572</v>
      </c>
      <c r="J12949" t="s">
        <v>59</v>
      </c>
      <c r="K12949" t="str">
        <f t="shared" si="540"/>
        <v>6F3</v>
      </c>
      <c r="L12949" t="s">
        <v>15</v>
      </c>
    </row>
    <row r="12950" spans="1:12" x14ac:dyDescent="0.25">
      <c r="A12950" t="str">
        <f>"9359045707"</f>
        <v>9359045707</v>
      </c>
      <c r="B12950" t="str">
        <f t="shared" si="535"/>
        <v>89301000</v>
      </c>
      <c r="C12950" s="1">
        <v>44252</v>
      </c>
      <c r="D12950" s="1">
        <v>44255</v>
      </c>
      <c r="E12950">
        <v>1</v>
      </c>
      <c r="F12950" t="s">
        <v>75</v>
      </c>
      <c r="G12950" t="str">
        <f>"14-M01-05"</f>
        <v>14-M01-05</v>
      </c>
      <c r="H12950">
        <v>0.54239999999999999</v>
      </c>
      <c r="I12950" t="s">
        <v>7723</v>
      </c>
      <c r="J12950" t="s">
        <v>59</v>
      </c>
      <c r="K12950" t="str">
        <f t="shared" si="540"/>
        <v>6F3</v>
      </c>
      <c r="L12950" t="s">
        <v>15</v>
      </c>
    </row>
    <row r="12951" spans="1:12" x14ac:dyDescent="0.25">
      <c r="A12951" t="str">
        <f>"9359065936"</f>
        <v>9359065936</v>
      </c>
      <c r="B12951" t="str">
        <f t="shared" ref="B12951:B13013" si="541">"89301000"</f>
        <v>89301000</v>
      </c>
      <c r="C12951" s="1">
        <v>44204</v>
      </c>
      <c r="D12951" s="1">
        <v>44208</v>
      </c>
      <c r="E12951">
        <v>1</v>
      </c>
      <c r="F12951" t="s">
        <v>75</v>
      </c>
      <c r="G12951" t="str">
        <f>"14-M01-05"</f>
        <v>14-M01-05</v>
      </c>
      <c r="H12951">
        <v>0.54239999999999999</v>
      </c>
      <c r="I12951" t="s">
        <v>7304</v>
      </c>
      <c r="J12951" t="s">
        <v>59</v>
      </c>
      <c r="K12951" t="str">
        <f t="shared" si="540"/>
        <v>6F3</v>
      </c>
      <c r="L12951" t="s">
        <v>15</v>
      </c>
    </row>
    <row r="12952" spans="1:12" x14ac:dyDescent="0.25">
      <c r="A12952" t="str">
        <f>"9359106141"</f>
        <v>9359106141</v>
      </c>
      <c r="B12952" t="str">
        <f t="shared" si="541"/>
        <v>89301000</v>
      </c>
      <c r="C12952" s="1">
        <v>44309</v>
      </c>
      <c r="D12952" s="1">
        <v>44311</v>
      </c>
      <c r="E12952">
        <v>1</v>
      </c>
      <c r="F12952" t="s">
        <v>75</v>
      </c>
      <c r="G12952" t="str">
        <f>"14-M01-05"</f>
        <v>14-M01-05</v>
      </c>
      <c r="H12952">
        <v>0.54239999999999999</v>
      </c>
      <c r="I12952" t="s">
        <v>180</v>
      </c>
      <c r="J12952" t="s">
        <v>59</v>
      </c>
      <c r="K12952" t="str">
        <f t="shared" si="540"/>
        <v>6F3</v>
      </c>
      <c r="L12952" t="s">
        <v>15</v>
      </c>
    </row>
    <row r="12953" spans="1:12" x14ac:dyDescent="0.25">
      <c r="A12953" t="str">
        <f>"9359176079"</f>
        <v>9359176079</v>
      </c>
      <c r="B12953" t="str">
        <f t="shared" si="541"/>
        <v>89301000</v>
      </c>
      <c r="C12953" s="1">
        <v>44488</v>
      </c>
      <c r="D12953" s="1">
        <v>44490</v>
      </c>
      <c r="E12953">
        <v>1</v>
      </c>
      <c r="F12953" t="s">
        <v>4080</v>
      </c>
      <c r="G12953" t="str">
        <f>"04-K07-03"</f>
        <v>04-K07-03</v>
      </c>
      <c r="H12953">
        <v>0.66259999999999997</v>
      </c>
      <c r="I12953" t="s">
        <v>402</v>
      </c>
      <c r="J12953" t="s">
        <v>14</v>
      </c>
      <c r="K12953" t="str">
        <f>"2F5"</f>
        <v>2F5</v>
      </c>
      <c r="L12953" t="s">
        <v>15</v>
      </c>
    </row>
    <row r="12954" spans="1:12" x14ac:dyDescent="0.25">
      <c r="A12954" t="str">
        <f>"9359176079"</f>
        <v>9359176079</v>
      </c>
      <c r="B12954" t="str">
        <f t="shared" si="541"/>
        <v>89301000</v>
      </c>
      <c r="C12954" s="1">
        <v>44466</v>
      </c>
      <c r="D12954" s="1">
        <v>44469</v>
      </c>
      <c r="E12954">
        <v>1</v>
      </c>
      <c r="F12954" t="s">
        <v>8077</v>
      </c>
      <c r="G12954" t="str">
        <f>"04-K07-03"</f>
        <v>04-K07-03</v>
      </c>
      <c r="H12954">
        <v>0.66259999999999997</v>
      </c>
      <c r="I12954" t="s">
        <v>204</v>
      </c>
      <c r="J12954" t="s">
        <v>14</v>
      </c>
      <c r="K12954" t="str">
        <f>"1F9"</f>
        <v>1F9</v>
      </c>
      <c r="L12954" t="s">
        <v>15</v>
      </c>
    </row>
    <row r="12955" spans="1:12" x14ac:dyDescent="0.25">
      <c r="A12955" t="str">
        <f>"9359186144"</f>
        <v>9359186144</v>
      </c>
      <c r="B12955" t="str">
        <f t="shared" si="541"/>
        <v>89301000</v>
      </c>
      <c r="C12955" s="1">
        <v>44398</v>
      </c>
      <c r="D12955" s="1">
        <v>44402</v>
      </c>
      <c r="E12955">
        <v>1</v>
      </c>
      <c r="F12955" t="s">
        <v>75</v>
      </c>
      <c r="G12955" t="str">
        <f>"14-M01-01"</f>
        <v>14-M01-01</v>
      </c>
      <c r="H12955">
        <v>0.88219999999999998</v>
      </c>
      <c r="I12955" t="s">
        <v>8216</v>
      </c>
      <c r="J12955" t="s">
        <v>59</v>
      </c>
      <c r="K12955" t="str">
        <f t="shared" ref="K12955:K12960" si="542">"6F3"</f>
        <v>6F3</v>
      </c>
      <c r="L12955" t="s">
        <v>15</v>
      </c>
    </row>
    <row r="12956" spans="1:12" x14ac:dyDescent="0.25">
      <c r="A12956" t="str">
        <f>"9359245764"</f>
        <v>9359245764</v>
      </c>
      <c r="B12956" t="str">
        <f t="shared" si="541"/>
        <v>89301000</v>
      </c>
      <c r="C12956" s="1">
        <v>44207</v>
      </c>
      <c r="D12956" s="1">
        <v>44212</v>
      </c>
      <c r="E12956">
        <v>1</v>
      </c>
      <c r="F12956" t="s">
        <v>82</v>
      </c>
      <c r="G12956" t="str">
        <f>"14-I01-02"</f>
        <v>14-I01-02</v>
      </c>
      <c r="H12956">
        <v>1.1289</v>
      </c>
      <c r="J12956" t="s">
        <v>59</v>
      </c>
      <c r="K12956" t="str">
        <f t="shared" si="542"/>
        <v>6F3</v>
      </c>
      <c r="L12956" t="s">
        <v>15</v>
      </c>
    </row>
    <row r="12957" spans="1:12" x14ac:dyDescent="0.25">
      <c r="A12957" t="str">
        <f>"9360014444"</f>
        <v>9360014444</v>
      </c>
      <c r="B12957" t="str">
        <f t="shared" si="541"/>
        <v>89301000</v>
      </c>
      <c r="C12957" s="1">
        <v>44266</v>
      </c>
      <c r="D12957" s="1">
        <v>44270</v>
      </c>
      <c r="E12957">
        <v>1</v>
      </c>
      <c r="F12957" t="s">
        <v>116</v>
      </c>
      <c r="G12957" t="str">
        <f>"14-M01-05"</f>
        <v>14-M01-05</v>
      </c>
      <c r="H12957">
        <v>0.54239999999999999</v>
      </c>
      <c r="I12957" t="s">
        <v>7279</v>
      </c>
      <c r="J12957" t="s">
        <v>59</v>
      </c>
      <c r="K12957" t="str">
        <f t="shared" si="542"/>
        <v>6F3</v>
      </c>
      <c r="L12957" t="s">
        <v>15</v>
      </c>
    </row>
    <row r="12958" spans="1:12" x14ac:dyDescent="0.25">
      <c r="A12958" t="str">
        <f>"9360035025"</f>
        <v>9360035025</v>
      </c>
      <c r="B12958" t="str">
        <f t="shared" si="541"/>
        <v>89301000</v>
      </c>
      <c r="C12958" s="1">
        <v>44468</v>
      </c>
      <c r="D12958" s="1">
        <v>44474</v>
      </c>
      <c r="E12958">
        <v>1</v>
      </c>
      <c r="F12958" t="s">
        <v>82</v>
      </c>
      <c r="G12958" t="str">
        <f>"14-I01-05"</f>
        <v>14-I01-05</v>
      </c>
      <c r="H12958">
        <v>0.80030000000000001</v>
      </c>
      <c r="I12958" t="s">
        <v>8217</v>
      </c>
      <c r="J12958" t="s">
        <v>59</v>
      </c>
      <c r="K12958" t="str">
        <f t="shared" si="542"/>
        <v>6F3</v>
      </c>
      <c r="L12958" t="s">
        <v>15</v>
      </c>
    </row>
    <row r="12959" spans="1:12" x14ac:dyDescent="0.25">
      <c r="A12959" t="str">
        <f>"9360035025"</f>
        <v>9360035025</v>
      </c>
      <c r="B12959" t="str">
        <f t="shared" si="541"/>
        <v>89301000</v>
      </c>
      <c r="C12959" s="1">
        <v>44362</v>
      </c>
      <c r="D12959" s="1">
        <v>44369</v>
      </c>
      <c r="E12959">
        <v>1</v>
      </c>
      <c r="F12959" t="s">
        <v>7771</v>
      </c>
      <c r="G12959" t="str">
        <f>"14-K03-02"</f>
        <v>14-K03-02</v>
      </c>
      <c r="H12959">
        <v>0.2646</v>
      </c>
      <c r="J12959" t="s">
        <v>14</v>
      </c>
      <c r="K12959" t="str">
        <f t="shared" si="542"/>
        <v>6F3</v>
      </c>
      <c r="L12959" t="s">
        <v>15</v>
      </c>
    </row>
    <row r="12960" spans="1:12" x14ac:dyDescent="0.25">
      <c r="A12960" t="str">
        <f>"9360046146"</f>
        <v>9360046146</v>
      </c>
      <c r="B12960" t="str">
        <f t="shared" si="541"/>
        <v>89301000</v>
      </c>
      <c r="C12960" s="1">
        <v>44415</v>
      </c>
      <c r="D12960" s="1">
        <v>44422</v>
      </c>
      <c r="E12960">
        <v>1</v>
      </c>
      <c r="F12960" t="s">
        <v>2159</v>
      </c>
      <c r="G12960" t="str">
        <f>"14-M01-02"</f>
        <v>14-M01-02</v>
      </c>
      <c r="H12960">
        <v>0.74450000000000005</v>
      </c>
      <c r="I12960" t="s">
        <v>8218</v>
      </c>
      <c r="J12960" t="s">
        <v>59</v>
      </c>
      <c r="K12960" t="str">
        <f t="shared" si="542"/>
        <v>6F3</v>
      </c>
      <c r="L12960" t="s">
        <v>15</v>
      </c>
    </row>
    <row r="12961" spans="1:12" x14ac:dyDescent="0.25">
      <c r="A12961" t="str">
        <f>"9360125027"</f>
        <v>9360125027</v>
      </c>
      <c r="B12961" t="str">
        <f t="shared" si="541"/>
        <v>89301000</v>
      </c>
      <c r="C12961" s="1">
        <v>44447</v>
      </c>
      <c r="D12961" s="1">
        <v>44452</v>
      </c>
      <c r="E12961">
        <v>1</v>
      </c>
      <c r="F12961" t="s">
        <v>4491</v>
      </c>
      <c r="G12961" t="str">
        <f>"01-K01-02"</f>
        <v>01-K01-02</v>
      </c>
      <c r="H12961">
        <v>0.50700000000000001</v>
      </c>
      <c r="I12961" t="s">
        <v>453</v>
      </c>
      <c r="J12961" t="s">
        <v>14</v>
      </c>
      <c r="K12961" t="str">
        <f>"2F9"</f>
        <v>2F9</v>
      </c>
      <c r="L12961" t="s">
        <v>15</v>
      </c>
    </row>
    <row r="12962" spans="1:12" x14ac:dyDescent="0.25">
      <c r="A12962" t="str">
        <f>"9360165705"</f>
        <v>9360165705</v>
      </c>
      <c r="B12962" t="str">
        <f t="shared" si="541"/>
        <v>89301000</v>
      </c>
      <c r="C12962" s="1">
        <v>44212</v>
      </c>
      <c r="D12962" s="1">
        <v>44217</v>
      </c>
      <c r="E12962">
        <v>1</v>
      </c>
      <c r="F12962" t="s">
        <v>112</v>
      </c>
      <c r="G12962" t="str">
        <f>"14-M01-01"</f>
        <v>14-M01-01</v>
      </c>
      <c r="H12962">
        <v>0.88729999999999998</v>
      </c>
      <c r="I12962" t="s">
        <v>8219</v>
      </c>
      <c r="J12962" t="s">
        <v>59</v>
      </c>
      <c r="K12962" t="str">
        <f t="shared" ref="K12962:K12971" si="543">"6F3"</f>
        <v>6F3</v>
      </c>
      <c r="L12962" t="s">
        <v>15</v>
      </c>
    </row>
    <row r="12963" spans="1:12" x14ac:dyDescent="0.25">
      <c r="A12963" t="str">
        <f>"9360195746"</f>
        <v>9360195746</v>
      </c>
      <c r="B12963" t="str">
        <f t="shared" si="541"/>
        <v>89301000</v>
      </c>
      <c r="C12963" s="1">
        <v>44214</v>
      </c>
      <c r="D12963" s="1">
        <v>44217</v>
      </c>
      <c r="E12963">
        <v>1</v>
      </c>
      <c r="F12963" t="s">
        <v>61</v>
      </c>
      <c r="G12963" t="str">
        <f>"14-I01-05"</f>
        <v>14-I01-05</v>
      </c>
      <c r="H12963">
        <v>0.80030000000000001</v>
      </c>
      <c r="I12963" t="s">
        <v>7635</v>
      </c>
      <c r="J12963" t="s">
        <v>59</v>
      </c>
      <c r="K12963" t="str">
        <f t="shared" si="543"/>
        <v>6F3</v>
      </c>
      <c r="L12963" t="s">
        <v>15</v>
      </c>
    </row>
    <row r="12964" spans="1:12" x14ac:dyDescent="0.25">
      <c r="A12964" t="str">
        <f>"9360235742"</f>
        <v>9360235742</v>
      </c>
      <c r="B12964" t="str">
        <f t="shared" si="541"/>
        <v>89301000</v>
      </c>
      <c r="C12964" s="1">
        <v>44347</v>
      </c>
      <c r="D12964" s="1">
        <v>44351</v>
      </c>
      <c r="E12964">
        <v>1</v>
      </c>
      <c r="F12964" t="s">
        <v>112</v>
      </c>
      <c r="G12964" t="str">
        <f>"14-M01-05"</f>
        <v>14-M01-05</v>
      </c>
      <c r="H12964">
        <v>0.54239999999999999</v>
      </c>
      <c r="I12964" t="s">
        <v>8220</v>
      </c>
      <c r="J12964" t="s">
        <v>59</v>
      </c>
      <c r="K12964" t="str">
        <f t="shared" si="543"/>
        <v>6F3</v>
      </c>
      <c r="L12964" t="s">
        <v>15</v>
      </c>
    </row>
    <row r="12965" spans="1:12" x14ac:dyDescent="0.25">
      <c r="A12965" t="str">
        <f>"9360265717"</f>
        <v>9360265717</v>
      </c>
      <c r="B12965" t="str">
        <f t="shared" si="541"/>
        <v>89301000</v>
      </c>
      <c r="C12965" s="1">
        <v>44251</v>
      </c>
      <c r="D12965" s="1">
        <v>44251</v>
      </c>
      <c r="E12965">
        <v>6</v>
      </c>
      <c r="F12965" t="s">
        <v>75</v>
      </c>
      <c r="G12965" t="str">
        <f>"14-M01-05"</f>
        <v>14-M01-05</v>
      </c>
      <c r="H12965">
        <v>0.27289999999999998</v>
      </c>
      <c r="I12965" t="s">
        <v>8221</v>
      </c>
      <c r="J12965" t="s">
        <v>59</v>
      </c>
      <c r="K12965" t="str">
        <f t="shared" si="543"/>
        <v>6F3</v>
      </c>
      <c r="L12965" t="s">
        <v>15</v>
      </c>
    </row>
    <row r="12966" spans="1:12" x14ac:dyDescent="0.25">
      <c r="A12966" t="str">
        <f>"9360275716"</f>
        <v>9360275716</v>
      </c>
      <c r="B12966" t="str">
        <f t="shared" si="541"/>
        <v>89301000</v>
      </c>
      <c r="C12966" s="1">
        <v>44297</v>
      </c>
      <c r="D12966" s="1">
        <v>44302</v>
      </c>
      <c r="E12966">
        <v>1</v>
      </c>
      <c r="F12966" t="s">
        <v>75</v>
      </c>
      <c r="G12966" t="str">
        <f>"14-M01-05"</f>
        <v>14-M01-05</v>
      </c>
      <c r="H12966">
        <v>0.54239999999999999</v>
      </c>
      <c r="I12966" t="s">
        <v>7108</v>
      </c>
      <c r="J12966" t="s">
        <v>59</v>
      </c>
      <c r="K12966" t="str">
        <f t="shared" si="543"/>
        <v>6F3</v>
      </c>
      <c r="L12966" t="s">
        <v>15</v>
      </c>
    </row>
    <row r="12967" spans="1:12" x14ac:dyDescent="0.25">
      <c r="A12967" t="str">
        <f>"9360275727"</f>
        <v>9360275727</v>
      </c>
      <c r="B12967" t="str">
        <f t="shared" si="541"/>
        <v>89301000</v>
      </c>
      <c r="C12967" s="1">
        <v>44380</v>
      </c>
      <c r="D12967" s="1">
        <v>44383</v>
      </c>
      <c r="E12967">
        <v>1</v>
      </c>
      <c r="F12967" t="s">
        <v>75</v>
      </c>
      <c r="G12967" t="str">
        <f>"14-M01-05"</f>
        <v>14-M01-05</v>
      </c>
      <c r="H12967">
        <v>0.54239999999999999</v>
      </c>
      <c r="I12967" t="s">
        <v>7692</v>
      </c>
      <c r="J12967" t="s">
        <v>59</v>
      </c>
      <c r="K12967" t="str">
        <f t="shared" si="543"/>
        <v>6F3</v>
      </c>
      <c r="L12967" t="s">
        <v>15</v>
      </c>
    </row>
    <row r="12968" spans="1:12" x14ac:dyDescent="0.25">
      <c r="A12968" t="str">
        <f>"9361175725"</f>
        <v>9361175725</v>
      </c>
      <c r="B12968" t="str">
        <f t="shared" si="541"/>
        <v>89301000</v>
      </c>
      <c r="C12968" s="1">
        <v>44372</v>
      </c>
      <c r="D12968" s="1">
        <v>44375</v>
      </c>
      <c r="E12968">
        <v>1</v>
      </c>
      <c r="F12968" t="s">
        <v>8222</v>
      </c>
      <c r="G12968" t="str">
        <f>"14-I04-00"</f>
        <v>14-I04-00</v>
      </c>
      <c r="H12968">
        <v>0.78749999999999998</v>
      </c>
      <c r="J12968" t="s">
        <v>24</v>
      </c>
      <c r="K12968" t="str">
        <f t="shared" si="543"/>
        <v>6F3</v>
      </c>
      <c r="L12968" t="s">
        <v>15</v>
      </c>
    </row>
    <row r="12969" spans="1:12" x14ac:dyDescent="0.25">
      <c r="A12969" t="str">
        <f>"9361214841"</f>
        <v>9361214841</v>
      </c>
      <c r="B12969" t="str">
        <f t="shared" si="541"/>
        <v>89301000</v>
      </c>
      <c r="C12969" s="1">
        <v>44431</v>
      </c>
      <c r="D12969" s="1">
        <v>44437</v>
      </c>
      <c r="E12969">
        <v>1</v>
      </c>
      <c r="F12969" t="s">
        <v>82</v>
      </c>
      <c r="G12969" t="str">
        <f>"14-I01-05"</f>
        <v>14-I01-05</v>
      </c>
      <c r="H12969">
        <v>0.80030000000000001</v>
      </c>
      <c r="I12969" t="s">
        <v>8223</v>
      </c>
      <c r="J12969" t="s">
        <v>59</v>
      </c>
      <c r="K12969" t="str">
        <f t="shared" si="543"/>
        <v>6F3</v>
      </c>
      <c r="L12969" t="s">
        <v>15</v>
      </c>
    </row>
    <row r="12970" spans="1:12" x14ac:dyDescent="0.25">
      <c r="A12970" t="str">
        <f>"9362095732"</f>
        <v>9362095732</v>
      </c>
      <c r="B12970" t="str">
        <f t="shared" si="541"/>
        <v>89301000</v>
      </c>
      <c r="C12970" s="1">
        <v>44300</v>
      </c>
      <c r="D12970" s="1">
        <v>44303</v>
      </c>
      <c r="E12970">
        <v>1</v>
      </c>
      <c r="F12970" t="s">
        <v>61</v>
      </c>
      <c r="G12970" t="str">
        <f>"14-I01-05"</f>
        <v>14-I01-05</v>
      </c>
      <c r="H12970">
        <v>0.80030000000000001</v>
      </c>
      <c r="I12970" t="s">
        <v>62</v>
      </c>
      <c r="J12970" t="s">
        <v>59</v>
      </c>
      <c r="K12970" t="str">
        <f t="shared" si="543"/>
        <v>6F3</v>
      </c>
      <c r="L12970" t="s">
        <v>15</v>
      </c>
    </row>
    <row r="12971" spans="1:12" x14ac:dyDescent="0.25">
      <c r="A12971" t="str">
        <f>"9362146101"</f>
        <v>9362146101</v>
      </c>
      <c r="B12971" t="str">
        <f t="shared" si="541"/>
        <v>89301000</v>
      </c>
      <c r="C12971" s="1">
        <v>44438</v>
      </c>
      <c r="D12971" s="1">
        <v>44441</v>
      </c>
      <c r="E12971">
        <v>1</v>
      </c>
      <c r="F12971" t="s">
        <v>75</v>
      </c>
      <c r="G12971" t="str">
        <f>"14-M01-05"</f>
        <v>14-M01-05</v>
      </c>
      <c r="H12971">
        <v>0.54239999999999999</v>
      </c>
      <c r="I12971" t="s">
        <v>180</v>
      </c>
      <c r="J12971" t="s">
        <v>59</v>
      </c>
      <c r="K12971" t="str">
        <f t="shared" si="543"/>
        <v>6F3</v>
      </c>
      <c r="L12971" t="s">
        <v>15</v>
      </c>
    </row>
    <row r="12972" spans="1:12" x14ac:dyDescent="0.25">
      <c r="A12972" t="str">
        <f>"9362155748"</f>
        <v>9362155748</v>
      </c>
      <c r="B12972" t="str">
        <f t="shared" si="541"/>
        <v>89301000</v>
      </c>
      <c r="C12972" s="1">
        <v>44513</v>
      </c>
      <c r="D12972" s="1">
        <v>44516</v>
      </c>
      <c r="E12972">
        <v>1</v>
      </c>
      <c r="F12972" t="s">
        <v>7990</v>
      </c>
      <c r="G12972" t="str">
        <f>"20-K02-03"</f>
        <v>20-K02-03</v>
      </c>
      <c r="H12972">
        <v>0.57279999999999998</v>
      </c>
      <c r="I12972" t="s">
        <v>77</v>
      </c>
      <c r="J12972" t="s">
        <v>14</v>
      </c>
      <c r="K12972" t="str">
        <f>"3F5"</f>
        <v>3F5</v>
      </c>
      <c r="L12972" t="s">
        <v>15</v>
      </c>
    </row>
    <row r="12973" spans="1:12" x14ac:dyDescent="0.25">
      <c r="A12973" t="str">
        <f>"9362215709"</f>
        <v>9362215709</v>
      </c>
      <c r="B12973" t="str">
        <f t="shared" si="541"/>
        <v>89301000</v>
      </c>
      <c r="C12973" s="1">
        <v>44475</v>
      </c>
      <c r="D12973" s="1">
        <v>44482</v>
      </c>
      <c r="E12973">
        <v>1</v>
      </c>
      <c r="F12973" t="s">
        <v>61</v>
      </c>
      <c r="G12973" t="str">
        <f>"14-I01-01"</f>
        <v>14-I01-01</v>
      </c>
      <c r="H12973">
        <v>1.5294000000000001</v>
      </c>
      <c r="I12973" t="s">
        <v>8224</v>
      </c>
      <c r="J12973" t="s">
        <v>59</v>
      </c>
      <c r="K12973" t="str">
        <f>"6F3"</f>
        <v>6F3</v>
      </c>
      <c r="L12973" t="s">
        <v>15</v>
      </c>
    </row>
    <row r="12974" spans="1:12" x14ac:dyDescent="0.25">
      <c r="A12974" t="str">
        <f>"9402195737"</f>
        <v>9402195737</v>
      </c>
      <c r="B12974" t="str">
        <f t="shared" si="541"/>
        <v>89301000</v>
      </c>
      <c r="C12974" s="1">
        <v>44515</v>
      </c>
      <c r="D12974" s="1">
        <v>44553</v>
      </c>
      <c r="E12974">
        <v>1</v>
      </c>
      <c r="F12974" t="s">
        <v>181</v>
      </c>
      <c r="G12974" t="str">
        <f>"19-K08-02"</f>
        <v>19-K08-02</v>
      </c>
      <c r="H12974">
        <v>4.1917</v>
      </c>
      <c r="I12974" t="s">
        <v>489</v>
      </c>
      <c r="J12974" t="s">
        <v>27</v>
      </c>
      <c r="K12974" t="str">
        <f>"3F5"</f>
        <v>3F5</v>
      </c>
      <c r="L12974" t="s">
        <v>15</v>
      </c>
    </row>
    <row r="12975" spans="1:12" x14ac:dyDescent="0.25">
      <c r="A12975" t="str">
        <f>"9403025720"</f>
        <v>9403025720</v>
      </c>
      <c r="B12975" t="str">
        <f t="shared" si="541"/>
        <v>89301000</v>
      </c>
      <c r="C12975" s="1">
        <v>44462</v>
      </c>
      <c r="D12975" s="1">
        <v>44467</v>
      </c>
      <c r="E12975">
        <v>1</v>
      </c>
      <c r="F12975" t="s">
        <v>2236</v>
      </c>
      <c r="G12975" t="str">
        <f>"10-K04-04"</f>
        <v>10-K04-04</v>
      </c>
      <c r="H12975">
        <v>0.56330000000000002</v>
      </c>
      <c r="I12975" t="s">
        <v>8225</v>
      </c>
      <c r="J12975" t="s">
        <v>14</v>
      </c>
      <c r="K12975" t="str">
        <f>"1F1"</f>
        <v>1F1</v>
      </c>
      <c r="L12975" t="s">
        <v>15</v>
      </c>
    </row>
    <row r="12976" spans="1:12" x14ac:dyDescent="0.25">
      <c r="A12976" t="str">
        <f>"9404205734"</f>
        <v>9404205734</v>
      </c>
      <c r="B12976" t="str">
        <f t="shared" si="541"/>
        <v>89301000</v>
      </c>
      <c r="C12976" s="1">
        <v>44308</v>
      </c>
      <c r="D12976" s="1">
        <v>44315</v>
      </c>
      <c r="E12976">
        <v>4</v>
      </c>
      <c r="F12976" t="s">
        <v>78</v>
      </c>
      <c r="G12976" t="str">
        <f>"19-K03-03"</f>
        <v>19-K03-03</v>
      </c>
      <c r="H12976">
        <v>0.93169999999999997</v>
      </c>
      <c r="I12976" t="s">
        <v>168</v>
      </c>
      <c r="J12976" t="s">
        <v>27</v>
      </c>
      <c r="K12976" t="str">
        <f>"3F5"</f>
        <v>3F5</v>
      </c>
      <c r="L12976" t="s">
        <v>15</v>
      </c>
    </row>
    <row r="12977" spans="1:12" x14ac:dyDescent="0.25">
      <c r="A12977" t="str">
        <f>"9404205734"</f>
        <v>9404205734</v>
      </c>
      <c r="B12977" t="str">
        <f t="shared" si="541"/>
        <v>89301000</v>
      </c>
      <c r="C12977" s="1">
        <v>44327</v>
      </c>
      <c r="D12977" s="1">
        <v>44330</v>
      </c>
      <c r="E12977">
        <v>1</v>
      </c>
      <c r="F12977" t="s">
        <v>7986</v>
      </c>
      <c r="G12977" t="str">
        <f>"19-K02-03"</f>
        <v>19-K02-03</v>
      </c>
      <c r="H12977">
        <v>0.67269999999999996</v>
      </c>
      <c r="I12977" t="s">
        <v>8226</v>
      </c>
      <c r="J12977" t="s">
        <v>27</v>
      </c>
      <c r="K12977" t="str">
        <f>"3F5"</f>
        <v>3F5</v>
      </c>
      <c r="L12977" t="s">
        <v>15</v>
      </c>
    </row>
    <row r="12978" spans="1:12" x14ac:dyDescent="0.25">
      <c r="A12978" t="str">
        <f>"9404215744"</f>
        <v>9404215744</v>
      </c>
      <c r="B12978" t="str">
        <f t="shared" si="541"/>
        <v>89301000</v>
      </c>
      <c r="C12978" s="1">
        <v>44397</v>
      </c>
      <c r="D12978" s="1">
        <v>44404</v>
      </c>
      <c r="E12978">
        <v>1</v>
      </c>
      <c r="F12978" t="s">
        <v>341</v>
      </c>
      <c r="G12978" t="str">
        <f>"06-K21-03"</f>
        <v>06-K21-03</v>
      </c>
      <c r="H12978">
        <v>0.44429999999999997</v>
      </c>
      <c r="J12978" t="s">
        <v>14</v>
      </c>
      <c r="K12978" t="str">
        <f>"5F1"</f>
        <v>5F1</v>
      </c>
      <c r="L12978" t="s">
        <v>15</v>
      </c>
    </row>
    <row r="12979" spans="1:12" x14ac:dyDescent="0.25">
      <c r="A12979" t="str">
        <f>"9404245708"</f>
        <v>9404245708</v>
      </c>
      <c r="B12979" t="str">
        <f t="shared" si="541"/>
        <v>89301000</v>
      </c>
      <c r="C12979" s="1">
        <v>44250</v>
      </c>
      <c r="D12979" s="1">
        <v>44252</v>
      </c>
      <c r="E12979">
        <v>1</v>
      </c>
      <c r="F12979" t="s">
        <v>309</v>
      </c>
      <c r="G12979" t="str">
        <f>"08-M03-05"</f>
        <v>08-M03-05</v>
      </c>
      <c r="H12979">
        <v>0.51759999999999995</v>
      </c>
      <c r="J12979" t="s">
        <v>14</v>
      </c>
      <c r="K12979" t="str">
        <f>"6F6"</f>
        <v>6F6</v>
      </c>
      <c r="L12979" t="s">
        <v>15</v>
      </c>
    </row>
    <row r="12980" spans="1:12" x14ac:dyDescent="0.25">
      <c r="A12980" t="str">
        <f>"9405126181"</f>
        <v>9405126181</v>
      </c>
      <c r="B12980" t="str">
        <f t="shared" si="541"/>
        <v>89301000</v>
      </c>
      <c r="C12980" s="1">
        <v>44358</v>
      </c>
      <c r="D12980" s="1">
        <v>44379</v>
      </c>
      <c r="E12980">
        <v>4</v>
      </c>
      <c r="F12980" t="s">
        <v>78</v>
      </c>
      <c r="G12980" t="str">
        <f>"19-K06-02"</f>
        <v>19-K06-02</v>
      </c>
      <c r="H12980">
        <v>2.4085000000000001</v>
      </c>
      <c r="I12980" t="s">
        <v>8227</v>
      </c>
      <c r="J12980" t="s">
        <v>27</v>
      </c>
      <c r="K12980" t="str">
        <f>"3F5"</f>
        <v>3F5</v>
      </c>
      <c r="L12980" t="s">
        <v>15</v>
      </c>
    </row>
    <row r="12981" spans="1:12" x14ac:dyDescent="0.25">
      <c r="A12981" t="str">
        <f>"9406015718"</f>
        <v>9406015718</v>
      </c>
      <c r="B12981" t="str">
        <f t="shared" si="541"/>
        <v>89301000</v>
      </c>
      <c r="C12981" s="1">
        <v>44405</v>
      </c>
      <c r="D12981" s="1">
        <v>44407</v>
      </c>
      <c r="E12981">
        <v>1</v>
      </c>
      <c r="F12981" t="s">
        <v>1721</v>
      </c>
      <c r="G12981" t="str">
        <f>"11-K02-03"</f>
        <v>11-K02-03</v>
      </c>
      <c r="H12981">
        <v>0.79790000000000005</v>
      </c>
      <c r="I12981" t="s">
        <v>8228</v>
      </c>
      <c r="J12981" t="s">
        <v>14</v>
      </c>
      <c r="K12981" t="str">
        <f>"1F5"</f>
        <v>1F5</v>
      </c>
      <c r="L12981" t="s">
        <v>15</v>
      </c>
    </row>
    <row r="12982" spans="1:12" x14ac:dyDescent="0.25">
      <c r="A12982" t="str">
        <f>"9406015718"</f>
        <v>9406015718</v>
      </c>
      <c r="B12982" t="str">
        <f t="shared" si="541"/>
        <v>89301000</v>
      </c>
      <c r="C12982" s="1">
        <v>44495</v>
      </c>
      <c r="D12982" s="1">
        <v>44498</v>
      </c>
      <c r="E12982">
        <v>1</v>
      </c>
      <c r="F12982" t="s">
        <v>416</v>
      </c>
      <c r="G12982" t="str">
        <f>"10-K12-02"</f>
        <v>10-K12-02</v>
      </c>
      <c r="H12982">
        <v>0.94830000000000003</v>
      </c>
      <c r="I12982" t="s">
        <v>8229</v>
      </c>
      <c r="J12982" t="s">
        <v>14</v>
      </c>
      <c r="K12982" t="str">
        <f>"1F5"</f>
        <v>1F5</v>
      </c>
      <c r="L12982" t="s">
        <v>15</v>
      </c>
    </row>
    <row r="12983" spans="1:12" x14ac:dyDescent="0.25">
      <c r="A12983" t="str">
        <f>"9408116091"</f>
        <v>9408116091</v>
      </c>
      <c r="B12983" t="str">
        <f t="shared" si="541"/>
        <v>89301000</v>
      </c>
      <c r="C12983" s="1">
        <v>44342</v>
      </c>
      <c r="D12983" s="1">
        <v>44344</v>
      </c>
      <c r="E12983">
        <v>1</v>
      </c>
      <c r="F12983" t="s">
        <v>1144</v>
      </c>
      <c r="G12983" t="str">
        <f>"09-K01-04"</f>
        <v>09-K01-04</v>
      </c>
      <c r="H12983">
        <v>0.57820000000000005</v>
      </c>
      <c r="I12983" t="s">
        <v>261</v>
      </c>
      <c r="J12983" t="s">
        <v>14</v>
      </c>
      <c r="K12983" t="str">
        <f>"7F1"</f>
        <v>7F1</v>
      </c>
      <c r="L12983" t="s">
        <v>15</v>
      </c>
    </row>
    <row r="12984" spans="1:12" x14ac:dyDescent="0.25">
      <c r="A12984" t="str">
        <f>"9408155702"</f>
        <v>9408155702</v>
      </c>
      <c r="B12984" t="str">
        <f t="shared" si="541"/>
        <v>89301000</v>
      </c>
      <c r="C12984" s="1">
        <v>44404</v>
      </c>
      <c r="D12984" s="1">
        <v>44407</v>
      </c>
      <c r="E12984">
        <v>1</v>
      </c>
      <c r="F12984" t="s">
        <v>167</v>
      </c>
      <c r="G12984" t="str">
        <f>"08-M03-04"</f>
        <v>08-M03-04</v>
      </c>
      <c r="H12984">
        <v>0.8609</v>
      </c>
      <c r="I12984" t="s">
        <v>6728</v>
      </c>
      <c r="J12984" t="s">
        <v>14</v>
      </c>
      <c r="K12984" t="str">
        <f>"6F6"</f>
        <v>6F6</v>
      </c>
      <c r="L12984" t="s">
        <v>15</v>
      </c>
    </row>
    <row r="12985" spans="1:12" x14ac:dyDescent="0.25">
      <c r="A12985" t="str">
        <f>"9409044315"</f>
        <v>9409044315</v>
      </c>
      <c r="B12985" t="str">
        <f t="shared" si="541"/>
        <v>89301000</v>
      </c>
      <c r="C12985" s="1">
        <v>44222</v>
      </c>
      <c r="D12985" s="1">
        <v>44225</v>
      </c>
      <c r="E12985">
        <v>1</v>
      </c>
      <c r="F12985" t="s">
        <v>16</v>
      </c>
      <c r="G12985" t="str">
        <f>"08-I04-03"</f>
        <v>08-I04-03</v>
      </c>
      <c r="H12985">
        <v>1.331</v>
      </c>
      <c r="I12985" t="s">
        <v>1868</v>
      </c>
      <c r="J12985" t="s">
        <v>17</v>
      </c>
      <c r="K12985" t="str">
        <f>"5F6"</f>
        <v>5F6</v>
      </c>
      <c r="L12985" t="s">
        <v>15</v>
      </c>
    </row>
    <row r="12986" spans="1:12" x14ac:dyDescent="0.25">
      <c r="A12986" t="str">
        <f>"9410066171"</f>
        <v>9410066171</v>
      </c>
      <c r="B12986" t="str">
        <f t="shared" si="541"/>
        <v>89301000</v>
      </c>
      <c r="C12986" s="1">
        <v>44363</v>
      </c>
      <c r="D12986" s="1">
        <v>44365</v>
      </c>
      <c r="E12986">
        <v>1</v>
      </c>
      <c r="F12986" t="s">
        <v>97</v>
      </c>
      <c r="G12986" t="str">
        <f>"01-D01-02"</f>
        <v>01-D01-02</v>
      </c>
      <c r="H12986">
        <v>0.48870000000000002</v>
      </c>
      <c r="I12986" t="s">
        <v>8230</v>
      </c>
      <c r="J12986" t="s">
        <v>14</v>
      </c>
      <c r="K12986" t="str">
        <f>"2F9"</f>
        <v>2F9</v>
      </c>
      <c r="L12986" t="s">
        <v>15</v>
      </c>
    </row>
    <row r="12987" spans="1:12" x14ac:dyDescent="0.25">
      <c r="A12987" t="str">
        <f>"9410146141"</f>
        <v>9410146141</v>
      </c>
      <c r="B12987" t="str">
        <f t="shared" si="541"/>
        <v>89301000</v>
      </c>
      <c r="C12987" s="1">
        <v>44316</v>
      </c>
      <c r="D12987" s="1">
        <v>44320</v>
      </c>
      <c r="E12987">
        <v>6</v>
      </c>
      <c r="F12987" t="s">
        <v>132</v>
      </c>
      <c r="G12987" t="str">
        <f>"03-I23-00"</f>
        <v>03-I23-00</v>
      </c>
      <c r="H12987">
        <v>0.47639999999999999</v>
      </c>
      <c r="I12987" t="s">
        <v>320</v>
      </c>
      <c r="J12987" t="s">
        <v>14</v>
      </c>
      <c r="K12987" t="str">
        <f>"6F5"</f>
        <v>6F5</v>
      </c>
      <c r="L12987" t="s">
        <v>15</v>
      </c>
    </row>
    <row r="12988" spans="1:12" x14ac:dyDescent="0.25">
      <c r="A12988" t="str">
        <f>"9410146207"</f>
        <v>9410146207</v>
      </c>
      <c r="B12988" t="str">
        <f t="shared" si="541"/>
        <v>89301000</v>
      </c>
      <c r="C12988" s="1">
        <v>44420</v>
      </c>
      <c r="D12988" s="1">
        <v>44422</v>
      </c>
      <c r="E12988">
        <v>1</v>
      </c>
      <c r="F12988" t="s">
        <v>457</v>
      </c>
      <c r="G12988" t="str">
        <f>"08-I16-04"</f>
        <v>08-I16-04</v>
      </c>
      <c r="H12988">
        <v>0.92159999999999997</v>
      </c>
      <c r="I12988" t="s">
        <v>30</v>
      </c>
      <c r="J12988" t="s">
        <v>17</v>
      </c>
      <c r="K12988" t="str">
        <f>"5F3"</f>
        <v>5F3</v>
      </c>
      <c r="L12988" t="s">
        <v>15</v>
      </c>
    </row>
    <row r="12989" spans="1:12" x14ac:dyDescent="0.25">
      <c r="A12989" t="str">
        <f>"9411146063"</f>
        <v>9411146063</v>
      </c>
      <c r="B12989" t="str">
        <f t="shared" si="541"/>
        <v>89301000</v>
      </c>
      <c r="C12989" s="1">
        <v>44364</v>
      </c>
      <c r="D12989" s="1">
        <v>44372</v>
      </c>
      <c r="E12989">
        <v>1</v>
      </c>
      <c r="F12989" t="s">
        <v>87</v>
      </c>
      <c r="G12989" t="str">
        <f>"09-K04-02"</f>
        <v>09-K04-02</v>
      </c>
      <c r="H12989">
        <v>0.68279999999999996</v>
      </c>
      <c r="J12989" t="s">
        <v>14</v>
      </c>
      <c r="K12989" t="str">
        <f>"4F4"</f>
        <v>4F4</v>
      </c>
      <c r="L12989" t="s">
        <v>15</v>
      </c>
    </row>
    <row r="12990" spans="1:12" x14ac:dyDescent="0.25">
      <c r="A12990" t="str">
        <f>"9411285708"</f>
        <v>9411285708</v>
      </c>
      <c r="B12990" t="str">
        <f t="shared" si="541"/>
        <v>89301000</v>
      </c>
      <c r="C12990" s="1">
        <v>44208</v>
      </c>
      <c r="D12990" s="1">
        <v>44215</v>
      </c>
      <c r="E12990">
        <v>4</v>
      </c>
      <c r="F12990" t="s">
        <v>25</v>
      </c>
      <c r="G12990" t="str">
        <f>"19-K03-03"</f>
        <v>19-K03-03</v>
      </c>
      <c r="H12990">
        <v>0.93169999999999997</v>
      </c>
      <c r="I12990" t="s">
        <v>8231</v>
      </c>
      <c r="J12990" t="s">
        <v>27</v>
      </c>
      <c r="K12990" t="str">
        <f>"3F5"</f>
        <v>3F5</v>
      </c>
      <c r="L12990" t="s">
        <v>15</v>
      </c>
    </row>
    <row r="12991" spans="1:12" x14ac:dyDescent="0.25">
      <c r="A12991" t="str">
        <f>"9412204857"</f>
        <v>9412204857</v>
      </c>
      <c r="B12991" t="str">
        <f t="shared" si="541"/>
        <v>89301000</v>
      </c>
      <c r="C12991" s="1">
        <v>44432</v>
      </c>
      <c r="D12991" s="1">
        <v>44433</v>
      </c>
      <c r="E12991">
        <v>1</v>
      </c>
      <c r="F12991" t="s">
        <v>4491</v>
      </c>
      <c r="G12991" t="str">
        <f>"01-K01-02"</f>
        <v>01-K01-02</v>
      </c>
      <c r="H12991">
        <v>0.50700000000000001</v>
      </c>
      <c r="I12991" t="s">
        <v>8232</v>
      </c>
      <c r="J12991" t="s">
        <v>14</v>
      </c>
      <c r="K12991" t="str">
        <f>"2F9"</f>
        <v>2F9</v>
      </c>
      <c r="L12991" t="s">
        <v>15</v>
      </c>
    </row>
    <row r="12992" spans="1:12" x14ac:dyDescent="0.25">
      <c r="A12992" t="str">
        <f>"9412204857"</f>
        <v>9412204857</v>
      </c>
      <c r="B12992" t="str">
        <f t="shared" si="541"/>
        <v>89301000</v>
      </c>
      <c r="C12992" s="1">
        <v>44448</v>
      </c>
      <c r="D12992" s="1">
        <v>44449</v>
      </c>
      <c r="E12992">
        <v>1</v>
      </c>
      <c r="F12992" t="s">
        <v>4491</v>
      </c>
      <c r="G12992" t="str">
        <f>"01-K01-02"</f>
        <v>01-K01-02</v>
      </c>
      <c r="H12992">
        <v>0.50700000000000001</v>
      </c>
      <c r="I12992" t="s">
        <v>8232</v>
      </c>
      <c r="J12992" t="s">
        <v>14</v>
      </c>
      <c r="K12992" t="str">
        <f>"2F9"</f>
        <v>2F9</v>
      </c>
      <c r="L12992" t="s">
        <v>15</v>
      </c>
    </row>
    <row r="12993" spans="1:12" x14ac:dyDescent="0.25">
      <c r="A12993" t="str">
        <f>"9451135716"</f>
        <v>9451135716</v>
      </c>
      <c r="B12993" t="str">
        <f t="shared" si="541"/>
        <v>89301000</v>
      </c>
      <c r="C12993" s="1">
        <v>44197</v>
      </c>
      <c r="D12993" s="1">
        <v>44201</v>
      </c>
      <c r="E12993">
        <v>1</v>
      </c>
      <c r="F12993" t="s">
        <v>75</v>
      </c>
      <c r="G12993" t="str">
        <f>"14-M01-05"</f>
        <v>14-M01-05</v>
      </c>
      <c r="H12993">
        <v>0.54239999999999999</v>
      </c>
      <c r="I12993" t="s">
        <v>7304</v>
      </c>
      <c r="J12993" t="s">
        <v>59</v>
      </c>
      <c r="K12993" t="str">
        <f>"6F3"</f>
        <v>6F3</v>
      </c>
      <c r="L12993" t="s">
        <v>15</v>
      </c>
    </row>
    <row r="12994" spans="1:12" x14ac:dyDescent="0.25">
      <c r="A12994" t="str">
        <f>"9451185711"</f>
        <v>9451185711</v>
      </c>
      <c r="B12994" t="str">
        <f t="shared" si="541"/>
        <v>89301000</v>
      </c>
      <c r="C12994" s="1">
        <v>44446</v>
      </c>
      <c r="D12994" s="1">
        <v>44449</v>
      </c>
      <c r="E12994">
        <v>1</v>
      </c>
      <c r="F12994" t="s">
        <v>82</v>
      </c>
      <c r="G12994" t="str">
        <f>"14-I01-05"</f>
        <v>14-I01-05</v>
      </c>
      <c r="H12994">
        <v>0.80030000000000001</v>
      </c>
      <c r="I12994" t="s">
        <v>8233</v>
      </c>
      <c r="J12994" t="s">
        <v>59</v>
      </c>
      <c r="K12994" t="str">
        <f>"6F3"</f>
        <v>6F3</v>
      </c>
      <c r="L12994" t="s">
        <v>15</v>
      </c>
    </row>
    <row r="12995" spans="1:12" x14ac:dyDescent="0.25">
      <c r="A12995" t="str">
        <f>"9451226147"</f>
        <v>9451226147</v>
      </c>
      <c r="B12995" t="str">
        <f t="shared" si="541"/>
        <v>89301000</v>
      </c>
      <c r="C12995" s="1">
        <v>44389</v>
      </c>
      <c r="D12995" s="1">
        <v>44393</v>
      </c>
      <c r="E12995">
        <v>1</v>
      </c>
      <c r="F12995" t="s">
        <v>114</v>
      </c>
      <c r="G12995" t="str">
        <f>"03-I17-00"</f>
        <v>03-I17-00</v>
      </c>
      <c r="H12995">
        <v>0.84960000000000002</v>
      </c>
      <c r="I12995" t="s">
        <v>8234</v>
      </c>
      <c r="J12995" t="s">
        <v>24</v>
      </c>
      <c r="K12995" t="str">
        <f>"7F1"</f>
        <v>7F1</v>
      </c>
      <c r="L12995" t="s">
        <v>15</v>
      </c>
    </row>
    <row r="12996" spans="1:12" x14ac:dyDescent="0.25">
      <c r="A12996" t="str">
        <f>"9451245837"</f>
        <v>9451245837</v>
      </c>
      <c r="B12996" t="str">
        <f t="shared" si="541"/>
        <v>89301000</v>
      </c>
      <c r="C12996" s="1">
        <v>44362</v>
      </c>
      <c r="D12996" s="1">
        <v>44365</v>
      </c>
      <c r="E12996">
        <v>1</v>
      </c>
      <c r="F12996" t="s">
        <v>75</v>
      </c>
      <c r="G12996" t="str">
        <f>"14-M01-05"</f>
        <v>14-M01-05</v>
      </c>
      <c r="H12996">
        <v>0.54239999999999999</v>
      </c>
      <c r="I12996" t="s">
        <v>76</v>
      </c>
      <c r="J12996" t="s">
        <v>59</v>
      </c>
      <c r="K12996" t="str">
        <f>"6F3"</f>
        <v>6F3</v>
      </c>
      <c r="L12996" t="s">
        <v>15</v>
      </c>
    </row>
    <row r="12997" spans="1:12" x14ac:dyDescent="0.25">
      <c r="A12997" t="str">
        <f>"9451306238"</f>
        <v>9451306238</v>
      </c>
      <c r="B12997" t="str">
        <f t="shared" si="541"/>
        <v>89301000</v>
      </c>
      <c r="C12997" s="1">
        <v>44350</v>
      </c>
      <c r="D12997" s="1">
        <v>44354</v>
      </c>
      <c r="E12997">
        <v>1</v>
      </c>
      <c r="F12997" t="s">
        <v>1378</v>
      </c>
      <c r="G12997" t="str">
        <f>"06-M01-03"</f>
        <v>06-M01-03</v>
      </c>
      <c r="H12997">
        <v>0.82450000000000001</v>
      </c>
      <c r="J12997" t="s">
        <v>14</v>
      </c>
      <c r="K12997" t="str">
        <f>"1F1"</f>
        <v>1F1</v>
      </c>
      <c r="L12997" t="s">
        <v>15</v>
      </c>
    </row>
    <row r="12998" spans="1:12" x14ac:dyDescent="0.25">
      <c r="A12998" t="str">
        <f>"9451306238"</f>
        <v>9451306238</v>
      </c>
      <c r="B12998" t="str">
        <f t="shared" si="541"/>
        <v>89301000</v>
      </c>
      <c r="C12998" s="1">
        <v>44413</v>
      </c>
      <c r="D12998" s="1">
        <v>44414</v>
      </c>
      <c r="E12998">
        <v>1</v>
      </c>
      <c r="F12998" t="s">
        <v>8235</v>
      </c>
      <c r="G12998" t="str">
        <f>"06-K19-03"</f>
        <v>06-K19-03</v>
      </c>
      <c r="H12998">
        <v>0.61</v>
      </c>
      <c r="J12998" t="s">
        <v>14</v>
      </c>
      <c r="K12998" t="str">
        <f>"1F1"</f>
        <v>1F1</v>
      </c>
      <c r="L12998" t="s">
        <v>15</v>
      </c>
    </row>
    <row r="12999" spans="1:12" x14ac:dyDescent="0.25">
      <c r="A12999" t="str">
        <f>"9451314851"</f>
        <v>9451314851</v>
      </c>
      <c r="B12999" t="str">
        <f t="shared" si="541"/>
        <v>89301000</v>
      </c>
      <c r="C12999" s="1">
        <v>44420</v>
      </c>
      <c r="D12999" s="1">
        <v>44431</v>
      </c>
      <c r="E12999">
        <v>1</v>
      </c>
      <c r="F12999" t="s">
        <v>7455</v>
      </c>
      <c r="G12999" t="str">
        <f>"14-I01-01"</f>
        <v>14-I01-01</v>
      </c>
      <c r="H12999">
        <v>1.5294000000000001</v>
      </c>
      <c r="I12999" t="s">
        <v>8236</v>
      </c>
      <c r="J12999" t="s">
        <v>59</v>
      </c>
      <c r="K12999" t="str">
        <f t="shared" ref="K12999:K13004" si="544">"6F3"</f>
        <v>6F3</v>
      </c>
      <c r="L12999" t="s">
        <v>15</v>
      </c>
    </row>
    <row r="13000" spans="1:12" x14ac:dyDescent="0.25">
      <c r="A13000" t="str">
        <f>"9451315720"</f>
        <v>9451315720</v>
      </c>
      <c r="B13000" t="str">
        <f t="shared" si="541"/>
        <v>89301000</v>
      </c>
      <c r="C13000" s="1">
        <v>44228</v>
      </c>
      <c r="D13000" s="1">
        <v>44233</v>
      </c>
      <c r="E13000">
        <v>1</v>
      </c>
      <c r="F13000" t="s">
        <v>116</v>
      </c>
      <c r="G13000" t="str">
        <f>"14-M01-02"</f>
        <v>14-M01-02</v>
      </c>
      <c r="H13000">
        <v>0.74450000000000005</v>
      </c>
      <c r="I13000" t="s">
        <v>8237</v>
      </c>
      <c r="J13000" t="s">
        <v>59</v>
      </c>
      <c r="K13000" t="str">
        <f t="shared" si="544"/>
        <v>6F3</v>
      </c>
      <c r="L13000" t="s">
        <v>15</v>
      </c>
    </row>
    <row r="13001" spans="1:12" x14ac:dyDescent="0.25">
      <c r="A13001" t="str">
        <f>"9452025715"</f>
        <v>9452025715</v>
      </c>
      <c r="B13001" t="str">
        <f t="shared" si="541"/>
        <v>89301000</v>
      </c>
      <c r="C13001" s="1">
        <v>44458</v>
      </c>
      <c r="D13001" s="1">
        <v>44461</v>
      </c>
      <c r="E13001">
        <v>1</v>
      </c>
      <c r="F13001" t="s">
        <v>75</v>
      </c>
      <c r="G13001" t="str">
        <f>"14-M01-05"</f>
        <v>14-M01-05</v>
      </c>
      <c r="H13001">
        <v>0.54239999999999999</v>
      </c>
      <c r="I13001" t="s">
        <v>7590</v>
      </c>
      <c r="J13001" t="s">
        <v>59</v>
      </c>
      <c r="K13001" t="str">
        <f t="shared" si="544"/>
        <v>6F3</v>
      </c>
      <c r="L13001" t="s">
        <v>15</v>
      </c>
    </row>
    <row r="13002" spans="1:12" x14ac:dyDescent="0.25">
      <c r="A13002" t="str">
        <f>"9452026243"</f>
        <v>9452026243</v>
      </c>
      <c r="B13002" t="str">
        <f t="shared" si="541"/>
        <v>89301000</v>
      </c>
      <c r="C13002" s="1">
        <v>44470</v>
      </c>
      <c r="D13002" s="1">
        <v>44476</v>
      </c>
      <c r="E13002">
        <v>1</v>
      </c>
      <c r="F13002" t="s">
        <v>82</v>
      </c>
      <c r="G13002" t="str">
        <f>"14-I01-01"</f>
        <v>14-I01-01</v>
      </c>
      <c r="H13002">
        <v>1.5294000000000001</v>
      </c>
      <c r="I13002" t="s">
        <v>8238</v>
      </c>
      <c r="J13002" t="s">
        <v>59</v>
      </c>
      <c r="K13002" t="str">
        <f t="shared" si="544"/>
        <v>6F3</v>
      </c>
      <c r="L13002" t="s">
        <v>15</v>
      </c>
    </row>
    <row r="13003" spans="1:12" x14ac:dyDescent="0.25">
      <c r="A13003" t="str">
        <f>"9452055140"</f>
        <v>9452055140</v>
      </c>
      <c r="B13003" t="str">
        <f t="shared" si="541"/>
        <v>89301000</v>
      </c>
      <c r="C13003" s="1">
        <v>44255</v>
      </c>
      <c r="D13003" s="1">
        <v>44258</v>
      </c>
      <c r="E13003">
        <v>6</v>
      </c>
      <c r="F13003" t="s">
        <v>82</v>
      </c>
      <c r="G13003" t="str">
        <f>"14-I01-02"</f>
        <v>14-I01-02</v>
      </c>
      <c r="H13003">
        <v>1.1289</v>
      </c>
      <c r="I13003" t="s">
        <v>8239</v>
      </c>
      <c r="J13003" t="s">
        <v>59</v>
      </c>
      <c r="K13003" t="str">
        <f t="shared" si="544"/>
        <v>6F3</v>
      </c>
      <c r="L13003" t="s">
        <v>15</v>
      </c>
    </row>
    <row r="13004" spans="1:12" x14ac:dyDescent="0.25">
      <c r="A13004" t="str">
        <f>"9452076139"</f>
        <v>9452076139</v>
      </c>
      <c r="B13004" t="str">
        <f t="shared" si="541"/>
        <v>89301000</v>
      </c>
      <c r="C13004" s="1">
        <v>44406</v>
      </c>
      <c r="D13004" s="1">
        <v>44409</v>
      </c>
      <c r="E13004">
        <v>1</v>
      </c>
      <c r="F13004" t="s">
        <v>75</v>
      </c>
      <c r="G13004" t="str">
        <f>"14-M01-05"</f>
        <v>14-M01-05</v>
      </c>
      <c r="H13004">
        <v>0.54239999999999999</v>
      </c>
      <c r="I13004" t="s">
        <v>118</v>
      </c>
      <c r="J13004" t="s">
        <v>59</v>
      </c>
      <c r="K13004" t="str">
        <f t="shared" si="544"/>
        <v>6F3</v>
      </c>
      <c r="L13004" t="s">
        <v>15</v>
      </c>
    </row>
    <row r="13005" spans="1:12" x14ac:dyDescent="0.25">
      <c r="A13005" t="str">
        <f>"9452105707"</f>
        <v>9452105707</v>
      </c>
      <c r="B13005" t="str">
        <f t="shared" si="541"/>
        <v>89301000</v>
      </c>
      <c r="C13005" s="1">
        <v>44246</v>
      </c>
      <c r="D13005" s="1">
        <v>44247</v>
      </c>
      <c r="E13005">
        <v>1</v>
      </c>
      <c r="F13005" t="s">
        <v>84</v>
      </c>
      <c r="G13005" t="str">
        <f>"09-I09-05"</f>
        <v>09-I09-05</v>
      </c>
      <c r="H13005">
        <v>0.47210000000000002</v>
      </c>
      <c r="I13005" t="s">
        <v>517</v>
      </c>
      <c r="J13005" t="s">
        <v>17</v>
      </c>
      <c r="K13005" t="str">
        <f>"6F1"</f>
        <v>6F1</v>
      </c>
      <c r="L13005" t="s">
        <v>15</v>
      </c>
    </row>
    <row r="13006" spans="1:12" x14ac:dyDescent="0.25">
      <c r="A13006" t="str">
        <f>"9452145714"</f>
        <v>9452145714</v>
      </c>
      <c r="B13006" t="str">
        <f t="shared" si="541"/>
        <v>89301000</v>
      </c>
      <c r="C13006" s="1">
        <v>44372</v>
      </c>
      <c r="D13006" s="1">
        <v>44376</v>
      </c>
      <c r="E13006">
        <v>1</v>
      </c>
      <c r="F13006" t="s">
        <v>75</v>
      </c>
      <c r="G13006" t="str">
        <f>"14-M01-05"</f>
        <v>14-M01-05</v>
      </c>
      <c r="H13006">
        <v>0.54239999999999999</v>
      </c>
      <c r="I13006" t="s">
        <v>7354</v>
      </c>
      <c r="J13006" t="s">
        <v>59</v>
      </c>
      <c r="K13006" t="str">
        <f>"6F3"</f>
        <v>6F3</v>
      </c>
      <c r="L13006" t="s">
        <v>15</v>
      </c>
    </row>
    <row r="13007" spans="1:12" x14ac:dyDescent="0.25">
      <c r="A13007" t="str">
        <f>"9452244307"</f>
        <v>9452244307</v>
      </c>
      <c r="B13007" t="str">
        <f t="shared" si="541"/>
        <v>89301000</v>
      </c>
      <c r="C13007" s="1">
        <v>44453</v>
      </c>
      <c r="D13007" s="1">
        <v>44461</v>
      </c>
      <c r="E13007">
        <v>1</v>
      </c>
      <c r="F13007" t="s">
        <v>7455</v>
      </c>
      <c r="G13007" t="str">
        <f>"14-I01-02"</f>
        <v>14-I01-02</v>
      </c>
      <c r="H13007">
        <v>1.1289</v>
      </c>
      <c r="I13007" t="s">
        <v>8240</v>
      </c>
      <c r="J13007" t="s">
        <v>59</v>
      </c>
      <c r="K13007" t="str">
        <f>"6F3"</f>
        <v>6F3</v>
      </c>
      <c r="L13007" t="s">
        <v>15</v>
      </c>
    </row>
    <row r="13008" spans="1:12" x14ac:dyDescent="0.25">
      <c r="A13008" t="str">
        <f>"9452266087"</f>
        <v>9452266087</v>
      </c>
      <c r="B13008" t="str">
        <f t="shared" si="541"/>
        <v>89301000</v>
      </c>
      <c r="C13008" s="1">
        <v>44391</v>
      </c>
      <c r="D13008" s="1">
        <v>44396</v>
      </c>
      <c r="E13008">
        <v>1</v>
      </c>
      <c r="F13008" t="s">
        <v>79</v>
      </c>
      <c r="G13008" t="str">
        <f>"10-I13-02"</f>
        <v>10-I13-02</v>
      </c>
      <c r="H13008">
        <v>1.1468</v>
      </c>
      <c r="J13008" t="s">
        <v>24</v>
      </c>
      <c r="K13008" t="str">
        <f>"5F1"</f>
        <v>5F1</v>
      </c>
      <c r="L13008" t="s">
        <v>15</v>
      </c>
    </row>
    <row r="13009" spans="1:12" x14ac:dyDescent="0.25">
      <c r="A13009" t="str">
        <f>"9452266087"</f>
        <v>9452266087</v>
      </c>
      <c r="B13009" t="str">
        <f t="shared" si="541"/>
        <v>89301000</v>
      </c>
      <c r="C13009" s="1">
        <v>44473</v>
      </c>
      <c r="D13009" s="1">
        <v>44482</v>
      </c>
      <c r="E13009">
        <v>1</v>
      </c>
      <c r="F13009" t="s">
        <v>79</v>
      </c>
      <c r="G13009" t="str">
        <f>"10-R02-01"</f>
        <v>10-R02-01</v>
      </c>
      <c r="H13009">
        <v>0.9698</v>
      </c>
      <c r="I13009" t="s">
        <v>80</v>
      </c>
      <c r="J13009" t="s">
        <v>24</v>
      </c>
      <c r="K13009" t="str">
        <f>"4F7"</f>
        <v>4F7</v>
      </c>
      <c r="L13009" t="s">
        <v>15</v>
      </c>
    </row>
    <row r="13010" spans="1:12" x14ac:dyDescent="0.25">
      <c r="A13010" t="str">
        <f>"9453046152"</f>
        <v>9453046152</v>
      </c>
      <c r="B13010" t="str">
        <f t="shared" si="541"/>
        <v>89301000</v>
      </c>
      <c r="C13010" s="1">
        <v>44521</v>
      </c>
      <c r="D13010" s="1">
        <v>44526</v>
      </c>
      <c r="E13010">
        <v>1</v>
      </c>
      <c r="F13010" t="s">
        <v>112</v>
      </c>
      <c r="G13010" t="str">
        <f>"14-M01-05"</f>
        <v>14-M01-05</v>
      </c>
      <c r="H13010">
        <v>0.54239999999999999</v>
      </c>
      <c r="I13010" t="s">
        <v>8241</v>
      </c>
      <c r="J13010" t="s">
        <v>59</v>
      </c>
      <c r="K13010" t="str">
        <f>"6F3"</f>
        <v>6F3</v>
      </c>
      <c r="L13010" t="s">
        <v>15</v>
      </c>
    </row>
    <row r="13011" spans="1:12" x14ac:dyDescent="0.25">
      <c r="A13011" t="str">
        <f>"9453064291"</f>
        <v>9453064291</v>
      </c>
      <c r="B13011" t="str">
        <f t="shared" si="541"/>
        <v>89301000</v>
      </c>
      <c r="C13011" s="1">
        <v>44321</v>
      </c>
      <c r="D13011" s="1">
        <v>44324</v>
      </c>
      <c r="E13011">
        <v>1</v>
      </c>
      <c r="F13011" t="s">
        <v>75</v>
      </c>
      <c r="G13011" t="str">
        <f>"14-M01-05"</f>
        <v>14-M01-05</v>
      </c>
      <c r="H13011">
        <v>0.54239999999999999</v>
      </c>
      <c r="I13011" t="s">
        <v>8242</v>
      </c>
      <c r="J13011" t="s">
        <v>59</v>
      </c>
      <c r="K13011" t="str">
        <f>"6F3"</f>
        <v>6F3</v>
      </c>
      <c r="L13011" t="s">
        <v>15</v>
      </c>
    </row>
    <row r="13012" spans="1:12" x14ac:dyDescent="0.25">
      <c r="A13012" t="str">
        <f>"9453084850"</f>
        <v>9453084850</v>
      </c>
      <c r="B13012" t="str">
        <f t="shared" si="541"/>
        <v>89301000</v>
      </c>
      <c r="C13012" s="1">
        <v>44439</v>
      </c>
      <c r="D13012" s="1">
        <v>44445</v>
      </c>
      <c r="E13012">
        <v>1</v>
      </c>
      <c r="F13012" t="s">
        <v>7279</v>
      </c>
      <c r="G13012" t="str">
        <f>"14-K03-02"</f>
        <v>14-K03-02</v>
      </c>
      <c r="H13012">
        <v>0.2646</v>
      </c>
      <c r="J13012" t="s">
        <v>14</v>
      </c>
      <c r="K13012" t="str">
        <f>"6F3"</f>
        <v>6F3</v>
      </c>
      <c r="L13012" t="s">
        <v>15</v>
      </c>
    </row>
    <row r="13013" spans="1:12" x14ac:dyDescent="0.25">
      <c r="A13013" t="str">
        <f>"9453115650"</f>
        <v>9453115650</v>
      </c>
      <c r="B13013" t="str">
        <f t="shared" si="541"/>
        <v>89301000</v>
      </c>
      <c r="C13013" s="1">
        <v>44202</v>
      </c>
      <c r="D13013" s="1">
        <v>44207</v>
      </c>
      <c r="E13013">
        <v>1</v>
      </c>
      <c r="F13013" t="s">
        <v>173</v>
      </c>
      <c r="G13013" t="str">
        <f>"88-I08-00"</f>
        <v>88-I08-00</v>
      </c>
      <c r="H13013">
        <v>0.11459999999999999</v>
      </c>
      <c r="J13013" t="s">
        <v>14</v>
      </c>
      <c r="K13013" t="str">
        <f>"5F6"</f>
        <v>5F6</v>
      </c>
      <c r="L13013" t="s">
        <v>15</v>
      </c>
    </row>
    <row r="13014" spans="1:12" x14ac:dyDescent="0.25">
      <c r="A13014" t="str">
        <f>"9453134845"</f>
        <v>9453134845</v>
      </c>
      <c r="B13014" t="str">
        <f t="shared" ref="B13014:B13077" si="545">"89301000"</f>
        <v>89301000</v>
      </c>
      <c r="C13014" s="1">
        <v>44306</v>
      </c>
      <c r="D13014" s="1">
        <v>44309</v>
      </c>
      <c r="E13014">
        <v>6</v>
      </c>
      <c r="F13014" t="s">
        <v>61</v>
      </c>
      <c r="G13014" t="str">
        <f>"14-I01-02"</f>
        <v>14-I01-02</v>
      </c>
      <c r="H13014">
        <v>1.1289</v>
      </c>
      <c r="I13014" t="s">
        <v>269</v>
      </c>
      <c r="J13014" t="s">
        <v>59</v>
      </c>
      <c r="K13014" t="str">
        <f t="shared" ref="K13014:K13019" si="546">"6F3"</f>
        <v>6F3</v>
      </c>
      <c r="L13014" t="s">
        <v>15</v>
      </c>
    </row>
    <row r="13015" spans="1:12" x14ac:dyDescent="0.25">
      <c r="A13015" t="str">
        <f>"9453145702"</f>
        <v>9453145702</v>
      </c>
      <c r="B13015" t="str">
        <f t="shared" si="545"/>
        <v>89301000</v>
      </c>
      <c r="C13015" s="1">
        <v>44398</v>
      </c>
      <c r="D13015" s="1">
        <v>44402</v>
      </c>
      <c r="E13015">
        <v>1</v>
      </c>
      <c r="F13015" t="s">
        <v>82</v>
      </c>
      <c r="G13015" t="str">
        <f>"14-I01-05"</f>
        <v>14-I01-05</v>
      </c>
      <c r="H13015">
        <v>0.80030000000000001</v>
      </c>
      <c r="I13015" t="s">
        <v>117</v>
      </c>
      <c r="J13015" t="s">
        <v>59</v>
      </c>
      <c r="K13015" t="str">
        <f t="shared" si="546"/>
        <v>6F3</v>
      </c>
      <c r="L13015" t="s">
        <v>15</v>
      </c>
    </row>
    <row r="13016" spans="1:12" x14ac:dyDescent="0.25">
      <c r="A13016" t="str">
        <f>"9453145845"</f>
        <v>9453145845</v>
      </c>
      <c r="B13016" t="str">
        <f t="shared" si="545"/>
        <v>89301000</v>
      </c>
      <c r="C13016" s="1">
        <v>44224</v>
      </c>
      <c r="D13016" s="1">
        <v>44227</v>
      </c>
      <c r="E13016">
        <v>1</v>
      </c>
      <c r="F13016" t="s">
        <v>112</v>
      </c>
      <c r="G13016" t="str">
        <f>"14-M01-05"</f>
        <v>14-M01-05</v>
      </c>
      <c r="H13016">
        <v>0.54239999999999999</v>
      </c>
      <c r="I13016" t="s">
        <v>8243</v>
      </c>
      <c r="J13016" t="s">
        <v>59</v>
      </c>
      <c r="K13016" t="str">
        <f t="shared" si="546"/>
        <v>6F3</v>
      </c>
      <c r="L13016" t="s">
        <v>15</v>
      </c>
    </row>
    <row r="13017" spans="1:12" x14ac:dyDescent="0.25">
      <c r="A13017" t="str">
        <f>"9453155734"</f>
        <v>9453155734</v>
      </c>
      <c r="B13017" t="str">
        <f t="shared" si="545"/>
        <v>89301000</v>
      </c>
      <c r="C13017" s="1">
        <v>44430</v>
      </c>
      <c r="D13017" s="1">
        <v>44432</v>
      </c>
      <c r="E13017">
        <v>1</v>
      </c>
      <c r="F13017" t="s">
        <v>74</v>
      </c>
      <c r="G13017" t="str">
        <f>"14-K03-02"</f>
        <v>14-K03-02</v>
      </c>
      <c r="H13017">
        <v>0.2646</v>
      </c>
      <c r="J13017" t="s">
        <v>14</v>
      </c>
      <c r="K13017" t="str">
        <f t="shared" si="546"/>
        <v>6F3</v>
      </c>
      <c r="L13017" t="s">
        <v>15</v>
      </c>
    </row>
    <row r="13018" spans="1:12" x14ac:dyDescent="0.25">
      <c r="A13018" t="str">
        <f>"9453280287"</f>
        <v>9453280287</v>
      </c>
      <c r="B13018" t="str">
        <f t="shared" si="545"/>
        <v>89301000</v>
      </c>
      <c r="C13018" s="1">
        <v>44294</v>
      </c>
      <c r="D13018" s="1">
        <v>44298</v>
      </c>
      <c r="E13018">
        <v>1</v>
      </c>
      <c r="F13018" t="s">
        <v>112</v>
      </c>
      <c r="G13018" t="str">
        <f>"14-M01-05"</f>
        <v>14-M01-05</v>
      </c>
      <c r="H13018">
        <v>0.54239999999999999</v>
      </c>
      <c r="I13018" t="s">
        <v>8014</v>
      </c>
      <c r="J13018" t="s">
        <v>59</v>
      </c>
      <c r="K13018" t="str">
        <f t="shared" si="546"/>
        <v>6F3</v>
      </c>
      <c r="L13018" t="s">
        <v>15</v>
      </c>
    </row>
    <row r="13019" spans="1:12" x14ac:dyDescent="0.25">
      <c r="A13019" t="str">
        <f>"9453294851"</f>
        <v>9453294851</v>
      </c>
      <c r="B13019" t="str">
        <f t="shared" si="545"/>
        <v>89301000</v>
      </c>
      <c r="C13019" s="1">
        <v>44346</v>
      </c>
      <c r="D13019" s="1">
        <v>44350</v>
      </c>
      <c r="E13019">
        <v>1</v>
      </c>
      <c r="F13019" t="s">
        <v>75</v>
      </c>
      <c r="G13019" t="str">
        <f>"14-M01-05"</f>
        <v>14-M01-05</v>
      </c>
      <c r="H13019">
        <v>0.54239999999999999</v>
      </c>
      <c r="I13019" t="s">
        <v>7863</v>
      </c>
      <c r="J13019" t="s">
        <v>59</v>
      </c>
      <c r="K13019" t="str">
        <f t="shared" si="546"/>
        <v>6F3</v>
      </c>
      <c r="L13019" t="s">
        <v>15</v>
      </c>
    </row>
    <row r="13020" spans="1:12" x14ac:dyDescent="0.25">
      <c r="A13020" t="str">
        <f>"9453295709"</f>
        <v>9453295709</v>
      </c>
      <c r="B13020" t="str">
        <f t="shared" si="545"/>
        <v>89301000</v>
      </c>
      <c r="C13020" s="1">
        <v>44245</v>
      </c>
      <c r="D13020" s="1">
        <v>44260</v>
      </c>
      <c r="E13020">
        <v>4</v>
      </c>
      <c r="F13020" t="s">
        <v>109</v>
      </c>
      <c r="G13020" t="str">
        <f>"24-M07-01"</f>
        <v>24-M07-01</v>
      </c>
      <c r="H13020">
        <v>1.7399</v>
      </c>
      <c r="I13020" t="s">
        <v>8244</v>
      </c>
      <c r="J13020" t="s">
        <v>14</v>
      </c>
      <c r="K13020" t="str">
        <f>"2F1"</f>
        <v>2F1</v>
      </c>
      <c r="L13020" t="s">
        <v>15</v>
      </c>
    </row>
    <row r="13021" spans="1:12" x14ac:dyDescent="0.25">
      <c r="A13021" t="str">
        <f>"9453295709"</f>
        <v>9453295709</v>
      </c>
      <c r="B13021" t="str">
        <f t="shared" si="545"/>
        <v>89301000</v>
      </c>
      <c r="C13021" s="1">
        <v>44388</v>
      </c>
      <c r="D13021" s="1">
        <v>44390</v>
      </c>
      <c r="E13021">
        <v>1</v>
      </c>
      <c r="F13021" t="s">
        <v>75</v>
      </c>
      <c r="G13021" t="str">
        <f>"14-M01-05"</f>
        <v>14-M01-05</v>
      </c>
      <c r="H13021">
        <v>0.54239999999999999</v>
      </c>
      <c r="I13021" t="s">
        <v>7836</v>
      </c>
      <c r="J13021" t="s">
        <v>59</v>
      </c>
      <c r="K13021" t="str">
        <f>"6F3"</f>
        <v>6F3</v>
      </c>
      <c r="L13021" t="s">
        <v>15</v>
      </c>
    </row>
    <row r="13022" spans="1:12" x14ac:dyDescent="0.25">
      <c r="A13022" t="str">
        <f>"9453295709"</f>
        <v>9453295709</v>
      </c>
      <c r="B13022" t="str">
        <f t="shared" si="545"/>
        <v>89301000</v>
      </c>
      <c r="C13022" s="1">
        <v>44221</v>
      </c>
      <c r="D13022" s="1">
        <v>44223</v>
      </c>
      <c r="E13022">
        <v>3</v>
      </c>
      <c r="F13022" t="s">
        <v>109</v>
      </c>
      <c r="G13022" t="str">
        <f>"24-M04-00"</f>
        <v>24-M04-00</v>
      </c>
      <c r="H13022">
        <v>0.45540000000000003</v>
      </c>
      <c r="I13022" t="s">
        <v>8245</v>
      </c>
      <c r="J13022" t="s">
        <v>14</v>
      </c>
      <c r="K13022" t="str">
        <f>"2F1"</f>
        <v>2F1</v>
      </c>
      <c r="L13022" t="s">
        <v>15</v>
      </c>
    </row>
    <row r="13023" spans="1:12" x14ac:dyDescent="0.25">
      <c r="A13023" t="str">
        <f>"9453295709"</f>
        <v>9453295709</v>
      </c>
      <c r="B13023" t="str">
        <f t="shared" si="545"/>
        <v>89301000</v>
      </c>
      <c r="C13023" s="1">
        <v>44203</v>
      </c>
      <c r="D13023" s="1">
        <v>44245</v>
      </c>
      <c r="E13023">
        <v>3</v>
      </c>
      <c r="F13023" t="s">
        <v>3921</v>
      </c>
      <c r="G13023" t="str">
        <f>"01-C01-02"</f>
        <v>01-C01-02</v>
      </c>
      <c r="H13023">
        <v>5.5392999999999999</v>
      </c>
      <c r="I13023" t="s">
        <v>8246</v>
      </c>
      <c r="J13023" t="s">
        <v>14</v>
      </c>
      <c r="K13023" t="str">
        <f>"2F9"</f>
        <v>2F9</v>
      </c>
      <c r="L13023" t="s">
        <v>15</v>
      </c>
    </row>
    <row r="13024" spans="1:12" x14ac:dyDescent="0.25">
      <c r="A13024" t="str">
        <f>"9454055963"</f>
        <v>9454055963</v>
      </c>
      <c r="B13024" t="str">
        <f t="shared" si="545"/>
        <v>89301000</v>
      </c>
      <c r="C13024" s="1">
        <v>44531</v>
      </c>
      <c r="D13024" s="1">
        <v>44534</v>
      </c>
      <c r="E13024">
        <v>1</v>
      </c>
      <c r="F13024" t="s">
        <v>75</v>
      </c>
      <c r="G13024" t="str">
        <f>"14-M01-05"</f>
        <v>14-M01-05</v>
      </c>
      <c r="H13024">
        <v>0.54239999999999999</v>
      </c>
      <c r="I13024" t="s">
        <v>426</v>
      </c>
      <c r="J13024" t="s">
        <v>59</v>
      </c>
      <c r="K13024" t="str">
        <f t="shared" ref="K13024:K13029" si="547">"6F3"</f>
        <v>6F3</v>
      </c>
      <c r="L13024" t="s">
        <v>15</v>
      </c>
    </row>
    <row r="13025" spans="1:12" x14ac:dyDescent="0.25">
      <c r="A13025" t="str">
        <f>"9454085729"</f>
        <v>9454085729</v>
      </c>
      <c r="B13025" t="str">
        <f t="shared" si="545"/>
        <v>89301000</v>
      </c>
      <c r="C13025" s="1">
        <v>44397</v>
      </c>
      <c r="D13025" s="1">
        <v>44411</v>
      </c>
      <c r="E13025">
        <v>1</v>
      </c>
      <c r="F13025" t="s">
        <v>7910</v>
      </c>
      <c r="G13025" t="str">
        <f>"13-K02-00"</f>
        <v>13-K02-00</v>
      </c>
      <c r="H13025">
        <v>0.7782</v>
      </c>
      <c r="J13025" t="s">
        <v>14</v>
      </c>
      <c r="K13025" t="str">
        <f t="shared" si="547"/>
        <v>6F3</v>
      </c>
      <c r="L13025" t="s">
        <v>15</v>
      </c>
    </row>
    <row r="13026" spans="1:12" x14ac:dyDescent="0.25">
      <c r="A13026" t="str">
        <f>"9454121886"</f>
        <v>9454121886</v>
      </c>
      <c r="B13026" t="str">
        <f t="shared" si="545"/>
        <v>89301000</v>
      </c>
      <c r="C13026" s="1">
        <v>44344</v>
      </c>
      <c r="D13026" s="1">
        <v>44347</v>
      </c>
      <c r="E13026">
        <v>1</v>
      </c>
      <c r="F13026" t="s">
        <v>75</v>
      </c>
      <c r="G13026" t="str">
        <f>"14-M01-05"</f>
        <v>14-M01-05</v>
      </c>
      <c r="H13026">
        <v>0.54239999999999999</v>
      </c>
      <c r="I13026" t="s">
        <v>76</v>
      </c>
      <c r="J13026" t="s">
        <v>59</v>
      </c>
      <c r="K13026" t="str">
        <f t="shared" si="547"/>
        <v>6F3</v>
      </c>
      <c r="L13026" t="s">
        <v>15</v>
      </c>
    </row>
    <row r="13027" spans="1:12" x14ac:dyDescent="0.25">
      <c r="A13027" t="str">
        <f>"9454126165"</f>
        <v>9454126165</v>
      </c>
      <c r="B13027" t="str">
        <f t="shared" si="545"/>
        <v>89301000</v>
      </c>
      <c r="C13027" s="1">
        <v>44354</v>
      </c>
      <c r="D13027" s="1">
        <v>44358</v>
      </c>
      <c r="E13027">
        <v>1</v>
      </c>
      <c r="F13027" t="s">
        <v>61</v>
      </c>
      <c r="G13027" t="str">
        <f>"14-I01-05"</f>
        <v>14-I01-05</v>
      </c>
      <c r="H13027">
        <v>0.80030000000000001</v>
      </c>
      <c r="I13027" t="s">
        <v>8247</v>
      </c>
      <c r="J13027" t="s">
        <v>59</v>
      </c>
      <c r="K13027" t="str">
        <f t="shared" si="547"/>
        <v>6F3</v>
      </c>
      <c r="L13027" t="s">
        <v>15</v>
      </c>
    </row>
    <row r="13028" spans="1:12" x14ac:dyDescent="0.25">
      <c r="A13028" t="str">
        <f>"9454145734"</f>
        <v>9454145734</v>
      </c>
      <c r="B13028" t="str">
        <f t="shared" si="545"/>
        <v>89301000</v>
      </c>
      <c r="C13028" s="1">
        <v>44472</v>
      </c>
      <c r="D13028" s="1">
        <v>44476</v>
      </c>
      <c r="E13028">
        <v>1</v>
      </c>
      <c r="F13028" t="s">
        <v>61</v>
      </c>
      <c r="G13028" t="str">
        <f>"14-I01-05"</f>
        <v>14-I01-05</v>
      </c>
      <c r="H13028">
        <v>0.80030000000000001</v>
      </c>
      <c r="I13028" t="s">
        <v>91</v>
      </c>
      <c r="J13028" t="s">
        <v>59</v>
      </c>
      <c r="K13028" t="str">
        <f t="shared" si="547"/>
        <v>6F3</v>
      </c>
      <c r="L13028" t="s">
        <v>15</v>
      </c>
    </row>
    <row r="13029" spans="1:12" x14ac:dyDescent="0.25">
      <c r="A13029" t="str">
        <f>"9454184850"</f>
        <v>9454184850</v>
      </c>
      <c r="B13029" t="str">
        <f t="shared" si="545"/>
        <v>89301000</v>
      </c>
      <c r="C13029" s="1">
        <v>44289</v>
      </c>
      <c r="D13029" s="1">
        <v>44292</v>
      </c>
      <c r="E13029">
        <v>1</v>
      </c>
      <c r="F13029" t="s">
        <v>75</v>
      </c>
      <c r="G13029" t="str">
        <f>"14-M01-05"</f>
        <v>14-M01-05</v>
      </c>
      <c r="H13029">
        <v>0.54239999999999999</v>
      </c>
      <c r="I13029" t="s">
        <v>76</v>
      </c>
      <c r="J13029" t="s">
        <v>59</v>
      </c>
      <c r="K13029" t="str">
        <f t="shared" si="547"/>
        <v>6F3</v>
      </c>
      <c r="L13029" t="s">
        <v>15</v>
      </c>
    </row>
    <row r="13030" spans="1:12" x14ac:dyDescent="0.25">
      <c r="A13030" t="str">
        <f>"9454185708"</f>
        <v>9454185708</v>
      </c>
      <c r="B13030" t="str">
        <f t="shared" si="545"/>
        <v>89301000</v>
      </c>
      <c r="C13030" s="1">
        <v>44367</v>
      </c>
      <c r="D13030" s="1">
        <v>44369</v>
      </c>
      <c r="E13030">
        <v>1</v>
      </c>
      <c r="F13030" t="s">
        <v>194</v>
      </c>
      <c r="G13030" t="str">
        <f>"01-K07-03"</f>
        <v>01-K07-03</v>
      </c>
      <c r="H13030">
        <v>0.4642</v>
      </c>
      <c r="J13030" t="s">
        <v>14</v>
      </c>
      <c r="K13030" t="str">
        <f>"2F9"</f>
        <v>2F9</v>
      </c>
      <c r="L13030" t="s">
        <v>15</v>
      </c>
    </row>
    <row r="13031" spans="1:12" x14ac:dyDescent="0.25">
      <c r="A13031" t="str">
        <f>"9455115406"</f>
        <v>9455115406</v>
      </c>
      <c r="B13031" t="str">
        <f t="shared" si="545"/>
        <v>89301000</v>
      </c>
      <c r="C13031" s="1">
        <v>44495</v>
      </c>
      <c r="D13031" s="1">
        <v>44498</v>
      </c>
      <c r="E13031">
        <v>1</v>
      </c>
      <c r="F13031" t="s">
        <v>75</v>
      </c>
      <c r="G13031" t="str">
        <f t="shared" ref="G13031:G13038" si="548">"14-M01-05"</f>
        <v>14-M01-05</v>
      </c>
      <c r="H13031">
        <v>0.54239999999999999</v>
      </c>
      <c r="I13031" t="s">
        <v>7420</v>
      </c>
      <c r="J13031" t="s">
        <v>59</v>
      </c>
      <c r="K13031" t="str">
        <f t="shared" ref="K13031:K13038" si="549">"6F3"</f>
        <v>6F3</v>
      </c>
      <c r="L13031" t="s">
        <v>15</v>
      </c>
    </row>
    <row r="13032" spans="1:12" x14ac:dyDescent="0.25">
      <c r="A13032" t="str">
        <f>"9455125724"</f>
        <v>9455125724</v>
      </c>
      <c r="B13032" t="str">
        <f t="shared" si="545"/>
        <v>89301000</v>
      </c>
      <c r="C13032" s="1">
        <v>44526</v>
      </c>
      <c r="D13032" s="1">
        <v>44530</v>
      </c>
      <c r="E13032">
        <v>1</v>
      </c>
      <c r="F13032" t="s">
        <v>7648</v>
      </c>
      <c r="G13032" t="str">
        <f t="shared" si="548"/>
        <v>14-M01-05</v>
      </c>
      <c r="H13032">
        <v>0.54239999999999999</v>
      </c>
      <c r="I13032" t="s">
        <v>256</v>
      </c>
      <c r="J13032" t="s">
        <v>59</v>
      </c>
      <c r="K13032" t="str">
        <f t="shared" si="549"/>
        <v>6F3</v>
      </c>
      <c r="L13032" t="s">
        <v>15</v>
      </c>
    </row>
    <row r="13033" spans="1:12" x14ac:dyDescent="0.25">
      <c r="A13033" t="str">
        <f>"9455134766"</f>
        <v>9455134766</v>
      </c>
      <c r="B13033" t="str">
        <f t="shared" si="545"/>
        <v>89301000</v>
      </c>
      <c r="C13033" s="1">
        <v>44274</v>
      </c>
      <c r="D13033" s="1">
        <v>44275</v>
      </c>
      <c r="E13033">
        <v>1</v>
      </c>
      <c r="F13033" t="s">
        <v>75</v>
      </c>
      <c r="G13033" t="str">
        <f t="shared" si="548"/>
        <v>14-M01-05</v>
      </c>
      <c r="H13033">
        <v>0.54239999999999999</v>
      </c>
      <c r="J13033" t="s">
        <v>59</v>
      </c>
      <c r="K13033" t="str">
        <f t="shared" si="549"/>
        <v>6F3</v>
      </c>
      <c r="L13033" t="s">
        <v>15</v>
      </c>
    </row>
    <row r="13034" spans="1:12" x14ac:dyDescent="0.25">
      <c r="A13034" t="str">
        <f>"9455165709"</f>
        <v>9455165709</v>
      </c>
      <c r="B13034" t="str">
        <f t="shared" si="545"/>
        <v>89301000</v>
      </c>
      <c r="C13034" s="1">
        <v>44247</v>
      </c>
      <c r="D13034" s="1">
        <v>44249</v>
      </c>
      <c r="E13034">
        <v>1</v>
      </c>
      <c r="F13034" t="s">
        <v>75</v>
      </c>
      <c r="G13034" t="str">
        <f t="shared" si="548"/>
        <v>14-M01-05</v>
      </c>
      <c r="H13034">
        <v>0.54239999999999999</v>
      </c>
      <c r="I13034" t="s">
        <v>76</v>
      </c>
      <c r="J13034" t="s">
        <v>59</v>
      </c>
      <c r="K13034" t="str">
        <f t="shared" si="549"/>
        <v>6F3</v>
      </c>
      <c r="L13034" t="s">
        <v>15</v>
      </c>
    </row>
    <row r="13035" spans="1:12" x14ac:dyDescent="0.25">
      <c r="A13035" t="str">
        <f>"9455165731"</f>
        <v>9455165731</v>
      </c>
      <c r="B13035" t="str">
        <f t="shared" si="545"/>
        <v>89301000</v>
      </c>
      <c r="C13035" s="1">
        <v>44503</v>
      </c>
      <c r="D13035" s="1">
        <v>44508</v>
      </c>
      <c r="E13035">
        <v>1</v>
      </c>
      <c r="F13035" t="s">
        <v>75</v>
      </c>
      <c r="G13035" t="str">
        <f t="shared" si="548"/>
        <v>14-M01-05</v>
      </c>
      <c r="H13035">
        <v>0.54239999999999999</v>
      </c>
      <c r="I13035" t="s">
        <v>7354</v>
      </c>
      <c r="J13035" t="s">
        <v>59</v>
      </c>
      <c r="K13035" t="str">
        <f t="shared" si="549"/>
        <v>6F3</v>
      </c>
      <c r="L13035" t="s">
        <v>15</v>
      </c>
    </row>
    <row r="13036" spans="1:12" x14ac:dyDescent="0.25">
      <c r="A13036" t="str">
        <f>"9456035721"</f>
        <v>9456035721</v>
      </c>
      <c r="B13036" t="str">
        <f t="shared" si="545"/>
        <v>89301000</v>
      </c>
      <c r="C13036" s="1">
        <v>44461</v>
      </c>
      <c r="D13036" s="1">
        <v>44464</v>
      </c>
      <c r="E13036">
        <v>1</v>
      </c>
      <c r="F13036" t="s">
        <v>112</v>
      </c>
      <c r="G13036" t="str">
        <f t="shared" si="548"/>
        <v>14-M01-05</v>
      </c>
      <c r="H13036">
        <v>0.54239999999999999</v>
      </c>
      <c r="I13036" t="s">
        <v>8248</v>
      </c>
      <c r="J13036" t="s">
        <v>59</v>
      </c>
      <c r="K13036" t="str">
        <f t="shared" si="549"/>
        <v>6F3</v>
      </c>
      <c r="L13036" t="s">
        <v>15</v>
      </c>
    </row>
    <row r="13037" spans="1:12" x14ac:dyDescent="0.25">
      <c r="A13037" t="str">
        <f>"9456085760"</f>
        <v>9456085760</v>
      </c>
      <c r="B13037" t="str">
        <f t="shared" si="545"/>
        <v>89301000</v>
      </c>
      <c r="C13037" s="1">
        <v>44431</v>
      </c>
      <c r="D13037" s="1">
        <v>44434</v>
      </c>
      <c r="E13037">
        <v>1</v>
      </c>
      <c r="F13037" t="s">
        <v>75</v>
      </c>
      <c r="G13037" t="str">
        <f t="shared" si="548"/>
        <v>14-M01-05</v>
      </c>
      <c r="H13037">
        <v>0.54239999999999999</v>
      </c>
      <c r="I13037" t="s">
        <v>7429</v>
      </c>
      <c r="J13037" t="s">
        <v>59</v>
      </c>
      <c r="K13037" t="str">
        <f t="shared" si="549"/>
        <v>6F3</v>
      </c>
      <c r="L13037" t="s">
        <v>15</v>
      </c>
    </row>
    <row r="13038" spans="1:12" x14ac:dyDescent="0.25">
      <c r="A13038" t="str">
        <f>"9456275708"</f>
        <v>9456275708</v>
      </c>
      <c r="B13038" t="str">
        <f t="shared" si="545"/>
        <v>89301000</v>
      </c>
      <c r="C13038" s="1">
        <v>44257</v>
      </c>
      <c r="D13038" s="1">
        <v>44259</v>
      </c>
      <c r="E13038">
        <v>1</v>
      </c>
      <c r="F13038" t="s">
        <v>75</v>
      </c>
      <c r="G13038" t="str">
        <f t="shared" si="548"/>
        <v>14-M01-05</v>
      </c>
      <c r="H13038">
        <v>0.54239999999999999</v>
      </c>
      <c r="J13038" t="s">
        <v>59</v>
      </c>
      <c r="K13038" t="str">
        <f t="shared" si="549"/>
        <v>6F3</v>
      </c>
      <c r="L13038" t="s">
        <v>15</v>
      </c>
    </row>
    <row r="13039" spans="1:12" x14ac:dyDescent="0.25">
      <c r="A13039" t="str">
        <f>"9456276082"</f>
        <v>9456276082</v>
      </c>
      <c r="B13039" t="str">
        <f t="shared" si="545"/>
        <v>89301000</v>
      </c>
      <c r="C13039" s="1">
        <v>44467</v>
      </c>
      <c r="D13039" s="1">
        <v>44468</v>
      </c>
      <c r="E13039">
        <v>1</v>
      </c>
      <c r="F13039" t="s">
        <v>804</v>
      </c>
      <c r="G13039" t="str">
        <f>"08-I17-01"</f>
        <v>08-I17-01</v>
      </c>
      <c r="H13039">
        <v>1.2741</v>
      </c>
      <c r="I13039" t="s">
        <v>8249</v>
      </c>
      <c r="J13039" t="s">
        <v>14</v>
      </c>
      <c r="K13039" t="str">
        <f>"5F3"</f>
        <v>5F3</v>
      </c>
      <c r="L13039" t="s">
        <v>15</v>
      </c>
    </row>
    <row r="13040" spans="1:12" x14ac:dyDescent="0.25">
      <c r="A13040" t="str">
        <f>"9456276247"</f>
        <v>9456276247</v>
      </c>
      <c r="B13040" t="str">
        <f t="shared" si="545"/>
        <v>89301000</v>
      </c>
      <c r="C13040" s="1">
        <v>44393</v>
      </c>
      <c r="D13040" s="1">
        <v>44398</v>
      </c>
      <c r="E13040">
        <v>1</v>
      </c>
      <c r="F13040" t="s">
        <v>82</v>
      </c>
      <c r="G13040" t="str">
        <f>"14-I01-01"</f>
        <v>14-I01-01</v>
      </c>
      <c r="H13040">
        <v>1.5294000000000001</v>
      </c>
      <c r="I13040" t="s">
        <v>8250</v>
      </c>
      <c r="J13040" t="s">
        <v>59</v>
      </c>
      <c r="K13040" t="str">
        <f>"6F3"</f>
        <v>6F3</v>
      </c>
      <c r="L13040" t="s">
        <v>15</v>
      </c>
    </row>
    <row r="13041" spans="1:12" x14ac:dyDescent="0.25">
      <c r="A13041" t="str">
        <f>"9457034851"</f>
        <v>9457034851</v>
      </c>
      <c r="B13041" t="str">
        <f t="shared" si="545"/>
        <v>89301000</v>
      </c>
      <c r="C13041" s="1">
        <v>44332</v>
      </c>
      <c r="D13041" s="1">
        <v>44334</v>
      </c>
      <c r="E13041">
        <v>1</v>
      </c>
      <c r="F13041" t="s">
        <v>749</v>
      </c>
      <c r="G13041" t="str">
        <f>"03-I14-02"</f>
        <v>03-I14-02</v>
      </c>
      <c r="H13041">
        <v>1.1086</v>
      </c>
      <c r="I13041" t="s">
        <v>234</v>
      </c>
      <c r="J13041" t="s">
        <v>14</v>
      </c>
      <c r="K13041" t="str">
        <f>"7F1"</f>
        <v>7F1</v>
      </c>
      <c r="L13041" t="s">
        <v>15</v>
      </c>
    </row>
    <row r="13042" spans="1:12" x14ac:dyDescent="0.25">
      <c r="A13042" t="str">
        <f>"9457046280"</f>
        <v>9457046280</v>
      </c>
      <c r="B13042" t="str">
        <f t="shared" si="545"/>
        <v>89301000</v>
      </c>
      <c r="C13042" s="1">
        <v>44254</v>
      </c>
      <c r="D13042" s="1">
        <v>44255</v>
      </c>
      <c r="E13042">
        <v>1</v>
      </c>
      <c r="F13042" t="s">
        <v>75</v>
      </c>
      <c r="G13042" t="str">
        <f>"14-M01-05"</f>
        <v>14-M01-05</v>
      </c>
      <c r="H13042">
        <v>0.54239999999999999</v>
      </c>
      <c r="I13042" t="s">
        <v>426</v>
      </c>
      <c r="J13042" t="s">
        <v>59</v>
      </c>
      <c r="K13042" t="str">
        <f>"6F3"</f>
        <v>6F3</v>
      </c>
      <c r="L13042" t="s">
        <v>15</v>
      </c>
    </row>
    <row r="13043" spans="1:12" x14ac:dyDescent="0.25">
      <c r="A13043" t="str">
        <f>"9457076090"</f>
        <v>9457076090</v>
      </c>
      <c r="B13043" t="str">
        <f t="shared" si="545"/>
        <v>89301000</v>
      </c>
      <c r="C13043" s="1">
        <v>44495</v>
      </c>
      <c r="D13043" s="1">
        <v>44502</v>
      </c>
      <c r="E13043">
        <v>1</v>
      </c>
      <c r="F13043" t="s">
        <v>8251</v>
      </c>
      <c r="G13043" t="str">
        <f>"19-K03-03"</f>
        <v>19-K03-03</v>
      </c>
      <c r="H13043">
        <v>0.93169999999999997</v>
      </c>
      <c r="I13043" t="s">
        <v>1674</v>
      </c>
      <c r="J13043" t="s">
        <v>27</v>
      </c>
      <c r="K13043" t="str">
        <f>"3F5"</f>
        <v>3F5</v>
      </c>
      <c r="L13043" t="s">
        <v>15</v>
      </c>
    </row>
    <row r="13044" spans="1:12" x14ac:dyDescent="0.25">
      <c r="A13044" t="str">
        <f>"9457144862"</f>
        <v>9457144862</v>
      </c>
      <c r="B13044" t="str">
        <f t="shared" si="545"/>
        <v>89301000</v>
      </c>
      <c r="C13044" s="1">
        <v>44246</v>
      </c>
      <c r="D13044" s="1">
        <v>44251</v>
      </c>
      <c r="E13044">
        <v>1</v>
      </c>
      <c r="F13044" t="s">
        <v>82</v>
      </c>
      <c r="G13044" t="str">
        <f>"14-I01-01"</f>
        <v>14-I01-01</v>
      </c>
      <c r="H13044">
        <v>1.5294000000000001</v>
      </c>
      <c r="I13044" t="s">
        <v>8252</v>
      </c>
      <c r="J13044" t="s">
        <v>59</v>
      </c>
      <c r="K13044" t="str">
        <f>"6F3"</f>
        <v>6F3</v>
      </c>
      <c r="L13044" t="s">
        <v>15</v>
      </c>
    </row>
    <row r="13045" spans="1:12" x14ac:dyDescent="0.25">
      <c r="A13045" t="str">
        <f>"9457226141"</f>
        <v>9457226141</v>
      </c>
      <c r="B13045" t="str">
        <f t="shared" si="545"/>
        <v>89301000</v>
      </c>
      <c r="C13045" s="1">
        <v>44215</v>
      </c>
      <c r="D13045" s="1">
        <v>44220</v>
      </c>
      <c r="E13045">
        <v>1</v>
      </c>
      <c r="F13045" t="s">
        <v>61</v>
      </c>
      <c r="G13045" t="str">
        <f>"14-I01-01"</f>
        <v>14-I01-01</v>
      </c>
      <c r="H13045">
        <v>1.5294000000000001</v>
      </c>
      <c r="I13045" t="s">
        <v>8253</v>
      </c>
      <c r="J13045" t="s">
        <v>59</v>
      </c>
      <c r="K13045" t="str">
        <f>"6F3"</f>
        <v>6F3</v>
      </c>
      <c r="L13045" t="s">
        <v>15</v>
      </c>
    </row>
    <row r="13046" spans="1:12" x14ac:dyDescent="0.25">
      <c r="A13046" t="str">
        <f>"9457265763"</f>
        <v>9457265763</v>
      </c>
      <c r="B13046" t="str">
        <f t="shared" si="545"/>
        <v>89301000</v>
      </c>
      <c r="C13046" s="1">
        <v>44277</v>
      </c>
      <c r="D13046" s="1">
        <v>44281</v>
      </c>
      <c r="E13046">
        <v>1</v>
      </c>
      <c r="F13046" t="s">
        <v>75</v>
      </c>
      <c r="G13046" t="str">
        <f>"14-M01-05"</f>
        <v>14-M01-05</v>
      </c>
      <c r="H13046">
        <v>0.54239999999999999</v>
      </c>
      <c r="I13046" t="s">
        <v>118</v>
      </c>
      <c r="J13046" t="s">
        <v>59</v>
      </c>
      <c r="K13046" t="str">
        <f>"6F3"</f>
        <v>6F3</v>
      </c>
      <c r="L13046" t="s">
        <v>15</v>
      </c>
    </row>
    <row r="13047" spans="1:12" x14ac:dyDescent="0.25">
      <c r="A13047" t="str">
        <f>"9457284848"</f>
        <v>9457284848</v>
      </c>
      <c r="B13047" t="str">
        <f t="shared" si="545"/>
        <v>89301000</v>
      </c>
      <c r="C13047" s="1">
        <v>44514</v>
      </c>
      <c r="D13047" s="1">
        <v>44517</v>
      </c>
      <c r="E13047">
        <v>1</v>
      </c>
      <c r="F13047" t="s">
        <v>2527</v>
      </c>
      <c r="G13047" t="str">
        <f>"13-I14-03"</f>
        <v>13-I14-03</v>
      </c>
      <c r="H13047">
        <v>0.83199999999999996</v>
      </c>
      <c r="J13047" t="s">
        <v>24</v>
      </c>
      <c r="K13047" t="str">
        <f>"6F3"</f>
        <v>6F3</v>
      </c>
      <c r="L13047" t="s">
        <v>15</v>
      </c>
    </row>
    <row r="13048" spans="1:12" x14ac:dyDescent="0.25">
      <c r="A13048" t="str">
        <f>"9458154200"</f>
        <v>9458154200</v>
      </c>
      <c r="B13048" t="str">
        <f t="shared" si="545"/>
        <v>89301000</v>
      </c>
      <c r="C13048" s="1">
        <v>44432</v>
      </c>
      <c r="D13048" s="1">
        <v>44436</v>
      </c>
      <c r="E13048">
        <v>1</v>
      </c>
      <c r="F13048" t="s">
        <v>75</v>
      </c>
      <c r="G13048" t="str">
        <f>"14-M01-02"</f>
        <v>14-M01-02</v>
      </c>
      <c r="H13048">
        <v>0.74450000000000005</v>
      </c>
      <c r="I13048" t="s">
        <v>8254</v>
      </c>
      <c r="J13048" t="s">
        <v>59</v>
      </c>
      <c r="K13048" t="str">
        <f>"6F3"</f>
        <v>6F3</v>
      </c>
      <c r="L13048" t="s">
        <v>15</v>
      </c>
    </row>
    <row r="13049" spans="1:12" x14ac:dyDescent="0.25">
      <c r="A13049" t="str">
        <f>"9458245709"</f>
        <v>9458245709</v>
      </c>
      <c r="B13049" t="str">
        <f t="shared" si="545"/>
        <v>89301000</v>
      </c>
      <c r="C13049" s="1">
        <v>44214</v>
      </c>
      <c r="D13049" s="1">
        <v>44215</v>
      </c>
      <c r="E13049">
        <v>1</v>
      </c>
      <c r="F13049" t="s">
        <v>8255</v>
      </c>
      <c r="G13049" t="str">
        <f>"08-K04-03"</f>
        <v>08-K04-03</v>
      </c>
      <c r="H13049">
        <v>0.45050000000000001</v>
      </c>
      <c r="J13049" t="s">
        <v>14</v>
      </c>
      <c r="K13049" t="str">
        <f>"6F6"</f>
        <v>6F6</v>
      </c>
      <c r="L13049" t="s">
        <v>15</v>
      </c>
    </row>
    <row r="13050" spans="1:12" x14ac:dyDescent="0.25">
      <c r="A13050" t="str">
        <f>"9458245709"</f>
        <v>9458245709</v>
      </c>
      <c r="B13050" t="str">
        <f t="shared" si="545"/>
        <v>89301000</v>
      </c>
      <c r="C13050" s="1">
        <v>44326</v>
      </c>
      <c r="D13050" s="1">
        <v>44328</v>
      </c>
      <c r="E13050">
        <v>1</v>
      </c>
      <c r="F13050" t="s">
        <v>6366</v>
      </c>
      <c r="G13050" t="str">
        <f>"08-I26-02"</f>
        <v>08-I26-02</v>
      </c>
      <c r="H13050">
        <v>0.9032</v>
      </c>
      <c r="J13050" t="s">
        <v>14</v>
      </c>
      <c r="K13050" t="str">
        <f>"6F6"</f>
        <v>6F6</v>
      </c>
      <c r="L13050" t="s">
        <v>15</v>
      </c>
    </row>
    <row r="13051" spans="1:12" x14ac:dyDescent="0.25">
      <c r="A13051" t="str">
        <f>"9459105700"</f>
        <v>9459105700</v>
      </c>
      <c r="B13051" t="str">
        <f t="shared" si="545"/>
        <v>89301000</v>
      </c>
      <c r="C13051" s="1">
        <v>44479</v>
      </c>
      <c r="D13051" s="1">
        <v>44482</v>
      </c>
      <c r="E13051">
        <v>1</v>
      </c>
      <c r="F13051" t="s">
        <v>75</v>
      </c>
      <c r="G13051" t="str">
        <f>"14-M01-05"</f>
        <v>14-M01-05</v>
      </c>
      <c r="H13051">
        <v>0.54239999999999999</v>
      </c>
      <c r="I13051" t="s">
        <v>76</v>
      </c>
      <c r="J13051" t="s">
        <v>59</v>
      </c>
      <c r="K13051" t="str">
        <f>"6F3"</f>
        <v>6F3</v>
      </c>
      <c r="L13051" t="s">
        <v>15</v>
      </c>
    </row>
    <row r="13052" spans="1:12" x14ac:dyDescent="0.25">
      <c r="A13052" t="str">
        <f>"9459115754"</f>
        <v>9459115754</v>
      </c>
      <c r="B13052" t="str">
        <f t="shared" si="545"/>
        <v>89301000</v>
      </c>
      <c r="C13052" s="1">
        <v>44249</v>
      </c>
      <c r="D13052" s="1">
        <v>44253</v>
      </c>
      <c r="E13052">
        <v>1</v>
      </c>
      <c r="F13052" t="s">
        <v>75</v>
      </c>
      <c r="G13052" t="str">
        <f>"14-M01-05"</f>
        <v>14-M01-05</v>
      </c>
      <c r="H13052">
        <v>0.54239999999999999</v>
      </c>
      <c r="I13052" t="s">
        <v>7420</v>
      </c>
      <c r="J13052" t="s">
        <v>59</v>
      </c>
      <c r="K13052" t="str">
        <f>"6F3"</f>
        <v>6F3</v>
      </c>
      <c r="L13052" t="s">
        <v>15</v>
      </c>
    </row>
    <row r="13053" spans="1:12" x14ac:dyDescent="0.25">
      <c r="A13053" t="str">
        <f>"9459185725"</f>
        <v>9459185725</v>
      </c>
      <c r="B13053" t="str">
        <f t="shared" si="545"/>
        <v>89301000</v>
      </c>
      <c r="C13053" s="1">
        <v>44514</v>
      </c>
      <c r="D13053" s="1">
        <v>44515</v>
      </c>
      <c r="E13053">
        <v>6</v>
      </c>
      <c r="F13053" t="s">
        <v>132</v>
      </c>
      <c r="G13053" t="str">
        <f>"03-I19-02"</f>
        <v>03-I19-02</v>
      </c>
      <c r="H13053">
        <v>0.60050000000000003</v>
      </c>
      <c r="I13053" t="s">
        <v>248</v>
      </c>
      <c r="J13053" t="s">
        <v>14</v>
      </c>
      <c r="K13053" t="str">
        <f>"5F1"</f>
        <v>5F1</v>
      </c>
      <c r="L13053" t="s">
        <v>15</v>
      </c>
    </row>
    <row r="13054" spans="1:12" x14ac:dyDescent="0.25">
      <c r="A13054" t="str">
        <f>"9460076153"</f>
        <v>9460076153</v>
      </c>
      <c r="B13054" t="str">
        <f t="shared" si="545"/>
        <v>89301000</v>
      </c>
      <c r="C13054" s="1">
        <v>44315</v>
      </c>
      <c r="D13054" s="1">
        <v>44318</v>
      </c>
      <c r="E13054">
        <v>1</v>
      </c>
      <c r="F13054" t="s">
        <v>82</v>
      </c>
      <c r="G13054" t="str">
        <f>"14-I01-05"</f>
        <v>14-I01-05</v>
      </c>
      <c r="H13054">
        <v>0.80030000000000001</v>
      </c>
      <c r="I13054" t="s">
        <v>7883</v>
      </c>
      <c r="J13054" t="s">
        <v>59</v>
      </c>
      <c r="K13054" t="str">
        <f t="shared" ref="K13054:K13063" si="550">"6F3"</f>
        <v>6F3</v>
      </c>
      <c r="L13054" t="s">
        <v>15</v>
      </c>
    </row>
    <row r="13055" spans="1:12" x14ac:dyDescent="0.25">
      <c r="A13055" t="str">
        <f>"9460106150"</f>
        <v>9460106150</v>
      </c>
      <c r="B13055" t="str">
        <f t="shared" si="545"/>
        <v>89301000</v>
      </c>
      <c r="C13055" s="1">
        <v>44256</v>
      </c>
      <c r="D13055" s="1">
        <v>44259</v>
      </c>
      <c r="E13055">
        <v>1</v>
      </c>
      <c r="F13055" t="s">
        <v>75</v>
      </c>
      <c r="G13055" t="str">
        <f>"14-M01-05"</f>
        <v>14-M01-05</v>
      </c>
      <c r="H13055">
        <v>0.54239999999999999</v>
      </c>
      <c r="J13055" t="s">
        <v>59</v>
      </c>
      <c r="K13055" t="str">
        <f t="shared" si="550"/>
        <v>6F3</v>
      </c>
      <c r="L13055" t="s">
        <v>15</v>
      </c>
    </row>
    <row r="13056" spans="1:12" x14ac:dyDescent="0.25">
      <c r="A13056" t="str">
        <f>"9460122694"</f>
        <v>9460122694</v>
      </c>
      <c r="B13056" t="str">
        <f t="shared" si="545"/>
        <v>89301000</v>
      </c>
      <c r="C13056" s="1">
        <v>44249</v>
      </c>
      <c r="D13056" s="1">
        <v>44252</v>
      </c>
      <c r="E13056">
        <v>1</v>
      </c>
      <c r="F13056" t="s">
        <v>75</v>
      </c>
      <c r="G13056" t="str">
        <f>"14-M01-05"</f>
        <v>14-M01-05</v>
      </c>
      <c r="H13056">
        <v>0.54239999999999999</v>
      </c>
      <c r="I13056" t="s">
        <v>426</v>
      </c>
      <c r="J13056" t="s">
        <v>59</v>
      </c>
      <c r="K13056" t="str">
        <f t="shared" si="550"/>
        <v>6F3</v>
      </c>
      <c r="L13056" t="s">
        <v>15</v>
      </c>
    </row>
    <row r="13057" spans="1:12" x14ac:dyDescent="0.25">
      <c r="A13057" t="str">
        <f>"9460125752"</f>
        <v>9460125752</v>
      </c>
      <c r="B13057" t="str">
        <f t="shared" si="545"/>
        <v>89301000</v>
      </c>
      <c r="C13057" s="1">
        <v>44513</v>
      </c>
      <c r="D13057" s="1">
        <v>44514</v>
      </c>
      <c r="E13057">
        <v>1</v>
      </c>
      <c r="F13057" t="s">
        <v>75</v>
      </c>
      <c r="G13057" t="str">
        <f>"14-M01-05"</f>
        <v>14-M01-05</v>
      </c>
      <c r="H13057">
        <v>0.54239999999999999</v>
      </c>
      <c r="I13057" t="s">
        <v>426</v>
      </c>
      <c r="J13057" t="s">
        <v>59</v>
      </c>
      <c r="K13057" t="str">
        <f t="shared" si="550"/>
        <v>6F3</v>
      </c>
      <c r="L13057" t="s">
        <v>15</v>
      </c>
    </row>
    <row r="13058" spans="1:12" x14ac:dyDescent="0.25">
      <c r="A13058" t="str">
        <f>"9460145728"</f>
        <v>9460145728</v>
      </c>
      <c r="B13058" t="str">
        <f t="shared" si="545"/>
        <v>89301000</v>
      </c>
      <c r="C13058" s="1">
        <v>44406</v>
      </c>
      <c r="D13058" s="1">
        <v>44407</v>
      </c>
      <c r="E13058">
        <v>1</v>
      </c>
      <c r="F13058" t="s">
        <v>187</v>
      </c>
      <c r="G13058" t="str">
        <f>"14-K02-00"</f>
        <v>14-K02-00</v>
      </c>
      <c r="H13058">
        <v>0.1754</v>
      </c>
      <c r="J13058" t="s">
        <v>14</v>
      </c>
      <c r="K13058" t="str">
        <f t="shared" si="550"/>
        <v>6F3</v>
      </c>
      <c r="L13058" t="s">
        <v>15</v>
      </c>
    </row>
    <row r="13059" spans="1:12" x14ac:dyDescent="0.25">
      <c r="A13059" t="str">
        <f>"9460165814"</f>
        <v>9460165814</v>
      </c>
      <c r="B13059" t="str">
        <f t="shared" si="545"/>
        <v>89301000</v>
      </c>
      <c r="C13059" s="1">
        <v>44330</v>
      </c>
      <c r="D13059" s="1">
        <v>44332</v>
      </c>
      <c r="E13059">
        <v>1</v>
      </c>
      <c r="F13059" t="s">
        <v>75</v>
      </c>
      <c r="G13059" t="str">
        <f>"14-M01-05"</f>
        <v>14-M01-05</v>
      </c>
      <c r="H13059">
        <v>0.54239999999999999</v>
      </c>
      <c r="J13059" t="s">
        <v>59</v>
      </c>
      <c r="K13059" t="str">
        <f t="shared" si="550"/>
        <v>6F3</v>
      </c>
      <c r="L13059" t="s">
        <v>15</v>
      </c>
    </row>
    <row r="13060" spans="1:12" x14ac:dyDescent="0.25">
      <c r="A13060" t="str">
        <f>"9460205392"</f>
        <v>9460205392</v>
      </c>
      <c r="B13060" t="str">
        <f t="shared" si="545"/>
        <v>89301000</v>
      </c>
      <c r="C13060" s="1">
        <v>44379</v>
      </c>
      <c r="D13060" s="1">
        <v>44387</v>
      </c>
      <c r="E13060">
        <v>1</v>
      </c>
      <c r="F13060" t="s">
        <v>75</v>
      </c>
      <c r="G13060" t="str">
        <f>"14-M01-05"</f>
        <v>14-M01-05</v>
      </c>
      <c r="H13060">
        <v>0.67179999999999995</v>
      </c>
      <c r="I13060" t="s">
        <v>8256</v>
      </c>
      <c r="J13060" t="s">
        <v>59</v>
      </c>
      <c r="K13060" t="str">
        <f t="shared" si="550"/>
        <v>6F3</v>
      </c>
      <c r="L13060" t="s">
        <v>15</v>
      </c>
    </row>
    <row r="13061" spans="1:12" x14ac:dyDescent="0.25">
      <c r="A13061" t="str">
        <f>"9460244849"</f>
        <v>9460244849</v>
      </c>
      <c r="B13061" t="str">
        <f t="shared" si="545"/>
        <v>89301000</v>
      </c>
      <c r="C13061" s="1">
        <v>44484</v>
      </c>
      <c r="D13061" s="1">
        <v>44486</v>
      </c>
      <c r="E13061">
        <v>1</v>
      </c>
      <c r="F13061" t="s">
        <v>75</v>
      </c>
      <c r="G13061" t="str">
        <f>"14-M01-05"</f>
        <v>14-M01-05</v>
      </c>
      <c r="H13061">
        <v>0.54239999999999999</v>
      </c>
      <c r="I13061" t="s">
        <v>76</v>
      </c>
      <c r="J13061" t="s">
        <v>59</v>
      </c>
      <c r="K13061" t="str">
        <f t="shared" si="550"/>
        <v>6F3</v>
      </c>
      <c r="L13061" t="s">
        <v>15</v>
      </c>
    </row>
    <row r="13062" spans="1:12" x14ac:dyDescent="0.25">
      <c r="A13062" t="str">
        <f>"9460245751"</f>
        <v>9460245751</v>
      </c>
      <c r="B13062" t="str">
        <f t="shared" si="545"/>
        <v>89301000</v>
      </c>
      <c r="C13062" s="1">
        <v>44223</v>
      </c>
      <c r="D13062" s="1">
        <v>44225</v>
      </c>
      <c r="E13062">
        <v>6</v>
      </c>
      <c r="F13062" t="s">
        <v>700</v>
      </c>
      <c r="G13062" t="str">
        <f>"88-I13-00"</f>
        <v>88-I13-00</v>
      </c>
      <c r="H13062">
        <v>0.11459999999999999</v>
      </c>
      <c r="J13062" t="s">
        <v>14</v>
      </c>
      <c r="K13062" t="str">
        <f t="shared" si="550"/>
        <v>6F3</v>
      </c>
      <c r="L13062" t="s">
        <v>15</v>
      </c>
    </row>
    <row r="13063" spans="1:12" x14ac:dyDescent="0.25">
      <c r="A13063" t="str">
        <f>"9460255706"</f>
        <v>9460255706</v>
      </c>
      <c r="B13063" t="str">
        <f t="shared" si="545"/>
        <v>89301000</v>
      </c>
      <c r="C13063" s="1">
        <v>44391</v>
      </c>
      <c r="D13063" s="1">
        <v>44394</v>
      </c>
      <c r="E13063">
        <v>1</v>
      </c>
      <c r="F13063" t="s">
        <v>75</v>
      </c>
      <c r="G13063" t="str">
        <f>"14-M01-05"</f>
        <v>14-M01-05</v>
      </c>
      <c r="H13063">
        <v>0.54239999999999999</v>
      </c>
      <c r="I13063" t="s">
        <v>426</v>
      </c>
      <c r="J13063" t="s">
        <v>59</v>
      </c>
      <c r="K13063" t="str">
        <f t="shared" si="550"/>
        <v>6F3</v>
      </c>
      <c r="L13063" t="s">
        <v>15</v>
      </c>
    </row>
    <row r="13064" spans="1:12" x14ac:dyDescent="0.25">
      <c r="A13064" t="str">
        <f>"9461115730"</f>
        <v>9461115730</v>
      </c>
      <c r="B13064" t="str">
        <f t="shared" si="545"/>
        <v>89301000</v>
      </c>
      <c r="C13064" s="1">
        <v>44305</v>
      </c>
      <c r="D13064" s="1">
        <v>44313</v>
      </c>
      <c r="E13064">
        <v>1</v>
      </c>
      <c r="F13064" t="s">
        <v>101</v>
      </c>
      <c r="G13064" t="str">
        <f>"06-I12-02"</f>
        <v>06-I12-02</v>
      </c>
      <c r="H13064">
        <v>2.5861999999999998</v>
      </c>
      <c r="I13064" t="s">
        <v>8257</v>
      </c>
      <c r="J13064" t="s">
        <v>14</v>
      </c>
      <c r="K13064" t="str">
        <f>"5F3"</f>
        <v>5F3</v>
      </c>
      <c r="L13064" t="s">
        <v>15</v>
      </c>
    </row>
    <row r="13065" spans="1:12" x14ac:dyDescent="0.25">
      <c r="A13065" t="str">
        <f>"9461135706"</f>
        <v>9461135706</v>
      </c>
      <c r="B13065" t="str">
        <f t="shared" si="545"/>
        <v>89301000</v>
      </c>
      <c r="C13065" s="1">
        <v>44391</v>
      </c>
      <c r="D13065" s="1">
        <v>44393</v>
      </c>
      <c r="E13065">
        <v>1</v>
      </c>
      <c r="F13065" t="s">
        <v>100</v>
      </c>
      <c r="G13065" t="str">
        <f>"14-I04-00"</f>
        <v>14-I04-00</v>
      </c>
      <c r="H13065">
        <v>0.78749999999999998</v>
      </c>
      <c r="I13065" t="s">
        <v>101</v>
      </c>
      <c r="J13065" t="s">
        <v>24</v>
      </c>
      <c r="K13065" t="str">
        <f>"6F3"</f>
        <v>6F3</v>
      </c>
      <c r="L13065" t="s">
        <v>15</v>
      </c>
    </row>
    <row r="13066" spans="1:12" x14ac:dyDescent="0.25">
      <c r="A13066" t="str">
        <f>"9461144858"</f>
        <v>9461144858</v>
      </c>
      <c r="B13066" t="str">
        <f t="shared" si="545"/>
        <v>89301000</v>
      </c>
      <c r="C13066" s="1">
        <v>44368</v>
      </c>
      <c r="D13066" s="1">
        <v>44369</v>
      </c>
      <c r="E13066">
        <v>1</v>
      </c>
      <c r="F13066" t="s">
        <v>500</v>
      </c>
      <c r="G13066" t="str">
        <f>"06-K06-02"</f>
        <v>06-K06-02</v>
      </c>
      <c r="H13066">
        <v>0.76190000000000002</v>
      </c>
      <c r="I13066" t="s">
        <v>1340</v>
      </c>
      <c r="J13066" t="s">
        <v>14</v>
      </c>
      <c r="K13066" t="str">
        <f>"1F5"</f>
        <v>1F5</v>
      </c>
      <c r="L13066" t="s">
        <v>15</v>
      </c>
    </row>
    <row r="13067" spans="1:12" x14ac:dyDescent="0.25">
      <c r="A13067" t="str">
        <f>"9461166077"</f>
        <v>9461166077</v>
      </c>
      <c r="B13067" t="str">
        <f t="shared" si="545"/>
        <v>89301000</v>
      </c>
      <c r="C13067" s="1">
        <v>44271</v>
      </c>
      <c r="D13067" s="1">
        <v>44274</v>
      </c>
      <c r="E13067">
        <v>1</v>
      </c>
      <c r="F13067" t="s">
        <v>8258</v>
      </c>
      <c r="G13067" t="str">
        <f>"99-K01-00"</f>
        <v>99-K01-00</v>
      </c>
      <c r="H13067">
        <v>0.11459999999999999</v>
      </c>
      <c r="I13067" t="s">
        <v>8259</v>
      </c>
      <c r="J13067" t="s">
        <v>14</v>
      </c>
      <c r="K13067" t="str">
        <f>"7F1"</f>
        <v>7F1</v>
      </c>
      <c r="L13067" t="s">
        <v>15</v>
      </c>
    </row>
    <row r="13068" spans="1:12" x14ac:dyDescent="0.25">
      <c r="A13068" t="str">
        <f>"9461175724"</f>
        <v>9461175724</v>
      </c>
      <c r="B13068" t="str">
        <f t="shared" si="545"/>
        <v>89301000</v>
      </c>
      <c r="C13068" s="1">
        <v>44519</v>
      </c>
      <c r="D13068" s="1">
        <v>44520</v>
      </c>
      <c r="E13068">
        <v>1</v>
      </c>
      <c r="F13068" t="s">
        <v>65</v>
      </c>
      <c r="G13068" t="str">
        <f>"21-K06-00"</f>
        <v>21-K06-00</v>
      </c>
      <c r="H13068">
        <v>0.49320000000000003</v>
      </c>
      <c r="I13068" t="s">
        <v>3058</v>
      </c>
      <c r="J13068" t="s">
        <v>14</v>
      </c>
      <c r="K13068" t="str">
        <f t="shared" ref="K13068:K13075" si="551">"6F3"</f>
        <v>6F3</v>
      </c>
      <c r="L13068" t="s">
        <v>15</v>
      </c>
    </row>
    <row r="13069" spans="1:12" x14ac:dyDescent="0.25">
      <c r="A13069" t="str">
        <f>"9461185723"</f>
        <v>9461185723</v>
      </c>
      <c r="B13069" t="str">
        <f t="shared" si="545"/>
        <v>89301000</v>
      </c>
      <c r="C13069" s="1">
        <v>44215</v>
      </c>
      <c r="D13069" s="1">
        <v>44219</v>
      </c>
      <c r="E13069">
        <v>1</v>
      </c>
      <c r="F13069" t="s">
        <v>75</v>
      </c>
      <c r="G13069" t="str">
        <f t="shared" ref="G13069:G13074" si="552">"14-M01-05"</f>
        <v>14-M01-05</v>
      </c>
      <c r="H13069">
        <v>0.54239999999999999</v>
      </c>
      <c r="I13069" t="s">
        <v>8185</v>
      </c>
      <c r="J13069" t="s">
        <v>59</v>
      </c>
      <c r="K13069" t="str">
        <f t="shared" si="551"/>
        <v>6F3</v>
      </c>
      <c r="L13069" t="s">
        <v>15</v>
      </c>
    </row>
    <row r="13070" spans="1:12" x14ac:dyDescent="0.25">
      <c r="A13070" t="str">
        <f>"9461195711"</f>
        <v>9461195711</v>
      </c>
      <c r="B13070" t="str">
        <f t="shared" si="545"/>
        <v>89301000</v>
      </c>
      <c r="C13070" s="1">
        <v>44363</v>
      </c>
      <c r="D13070" s="1">
        <v>44364</v>
      </c>
      <c r="E13070">
        <v>6</v>
      </c>
      <c r="F13070" t="s">
        <v>75</v>
      </c>
      <c r="G13070" t="str">
        <f t="shared" si="552"/>
        <v>14-M01-05</v>
      </c>
      <c r="H13070">
        <v>0.54239999999999999</v>
      </c>
      <c r="J13070" t="s">
        <v>59</v>
      </c>
      <c r="K13070" t="str">
        <f t="shared" si="551"/>
        <v>6F3</v>
      </c>
      <c r="L13070" t="s">
        <v>15</v>
      </c>
    </row>
    <row r="13071" spans="1:12" x14ac:dyDescent="0.25">
      <c r="A13071" t="str">
        <f>"9461245376"</f>
        <v>9461245376</v>
      </c>
      <c r="B13071" t="str">
        <f t="shared" si="545"/>
        <v>89301000</v>
      </c>
      <c r="C13071" s="1">
        <v>44316</v>
      </c>
      <c r="D13071" s="1">
        <v>44319</v>
      </c>
      <c r="E13071">
        <v>1</v>
      </c>
      <c r="F13071" t="s">
        <v>75</v>
      </c>
      <c r="G13071" t="str">
        <f t="shared" si="552"/>
        <v>14-M01-05</v>
      </c>
      <c r="H13071">
        <v>0.54239999999999999</v>
      </c>
      <c r="I13071" t="s">
        <v>76</v>
      </c>
      <c r="J13071" t="s">
        <v>59</v>
      </c>
      <c r="K13071" t="str">
        <f t="shared" si="551"/>
        <v>6F3</v>
      </c>
      <c r="L13071" t="s">
        <v>15</v>
      </c>
    </row>
    <row r="13072" spans="1:12" x14ac:dyDescent="0.25">
      <c r="A13072" t="str">
        <f>"9461264846"</f>
        <v>9461264846</v>
      </c>
      <c r="B13072" t="str">
        <f t="shared" si="545"/>
        <v>89301000</v>
      </c>
      <c r="C13072" s="1">
        <v>44233</v>
      </c>
      <c r="D13072" s="1">
        <v>44241</v>
      </c>
      <c r="E13072">
        <v>1</v>
      </c>
      <c r="F13072" t="s">
        <v>116</v>
      </c>
      <c r="G13072" t="str">
        <f t="shared" si="552"/>
        <v>14-M01-05</v>
      </c>
      <c r="H13072">
        <v>0.67179999999999995</v>
      </c>
      <c r="I13072" t="s">
        <v>426</v>
      </c>
      <c r="J13072" t="s">
        <v>59</v>
      </c>
      <c r="K13072" t="str">
        <f t="shared" si="551"/>
        <v>6F3</v>
      </c>
      <c r="L13072" t="s">
        <v>15</v>
      </c>
    </row>
    <row r="13073" spans="1:12" x14ac:dyDescent="0.25">
      <c r="A13073" t="str">
        <f>"9462065316"</f>
        <v>9462065316</v>
      </c>
      <c r="B13073" t="str">
        <f t="shared" si="545"/>
        <v>89301000</v>
      </c>
      <c r="C13073" s="1">
        <v>44516</v>
      </c>
      <c r="D13073" s="1">
        <v>44525</v>
      </c>
      <c r="E13073">
        <v>1</v>
      </c>
      <c r="F13073" t="s">
        <v>116</v>
      </c>
      <c r="G13073" t="str">
        <f t="shared" si="552"/>
        <v>14-M01-05</v>
      </c>
      <c r="H13073">
        <v>0.73650000000000004</v>
      </c>
      <c r="I13073" t="s">
        <v>8260</v>
      </c>
      <c r="J13073" t="s">
        <v>59</v>
      </c>
      <c r="K13073" t="str">
        <f t="shared" si="551"/>
        <v>6F3</v>
      </c>
      <c r="L13073" t="s">
        <v>15</v>
      </c>
    </row>
    <row r="13074" spans="1:12" x14ac:dyDescent="0.25">
      <c r="A13074" t="str">
        <f>"9462125717"</f>
        <v>9462125717</v>
      </c>
      <c r="B13074" t="str">
        <f t="shared" si="545"/>
        <v>89301000</v>
      </c>
      <c r="C13074" s="1">
        <v>44287</v>
      </c>
      <c r="D13074" s="1">
        <v>44290</v>
      </c>
      <c r="E13074">
        <v>1</v>
      </c>
      <c r="F13074" t="s">
        <v>75</v>
      </c>
      <c r="G13074" t="str">
        <f t="shared" si="552"/>
        <v>14-M01-05</v>
      </c>
      <c r="H13074">
        <v>0.54239999999999999</v>
      </c>
      <c r="I13074" t="s">
        <v>7590</v>
      </c>
      <c r="J13074" t="s">
        <v>59</v>
      </c>
      <c r="K13074" t="str">
        <f t="shared" si="551"/>
        <v>6F3</v>
      </c>
      <c r="L13074" t="s">
        <v>15</v>
      </c>
    </row>
    <row r="13075" spans="1:12" x14ac:dyDescent="0.25">
      <c r="A13075" t="str">
        <f>"9462195710"</f>
        <v>9462195710</v>
      </c>
      <c r="B13075" t="str">
        <f t="shared" si="545"/>
        <v>89301000</v>
      </c>
      <c r="C13075" s="1">
        <v>44466</v>
      </c>
      <c r="D13075" s="1">
        <v>44467</v>
      </c>
      <c r="E13075">
        <v>1</v>
      </c>
      <c r="F13075" t="s">
        <v>3852</v>
      </c>
      <c r="G13075" t="str">
        <f>"13-I19-00"</f>
        <v>13-I19-00</v>
      </c>
      <c r="H13075">
        <v>0.24679999999999999</v>
      </c>
      <c r="J13075" t="s">
        <v>14</v>
      </c>
      <c r="K13075" t="str">
        <f t="shared" si="551"/>
        <v>6F3</v>
      </c>
      <c r="L13075" t="s">
        <v>15</v>
      </c>
    </row>
    <row r="13076" spans="1:12" x14ac:dyDescent="0.25">
      <c r="A13076" t="str">
        <f>"9502194845"</f>
        <v>9502194845</v>
      </c>
      <c r="B13076" t="str">
        <f t="shared" si="545"/>
        <v>89301000</v>
      </c>
      <c r="C13076" s="1">
        <v>44427</v>
      </c>
      <c r="D13076" s="1">
        <v>44438</v>
      </c>
      <c r="E13076">
        <v>1</v>
      </c>
      <c r="F13076" t="s">
        <v>3316</v>
      </c>
      <c r="G13076" t="str">
        <f>"04-I03-03"</f>
        <v>04-I03-03</v>
      </c>
      <c r="H13076">
        <v>2.6869000000000001</v>
      </c>
      <c r="I13076" t="s">
        <v>145</v>
      </c>
      <c r="J13076" t="s">
        <v>106</v>
      </c>
      <c r="K13076" t="str">
        <f>"5F1"</f>
        <v>5F1</v>
      </c>
      <c r="L13076" t="s">
        <v>15</v>
      </c>
    </row>
    <row r="13077" spans="1:12" x14ac:dyDescent="0.25">
      <c r="A13077" t="str">
        <f>"9502234841"</f>
        <v>9502234841</v>
      </c>
      <c r="B13077" t="str">
        <f t="shared" si="545"/>
        <v>89301000</v>
      </c>
      <c r="C13077" s="1">
        <v>44546</v>
      </c>
      <c r="D13077" s="1">
        <v>44561</v>
      </c>
      <c r="E13077">
        <v>1</v>
      </c>
      <c r="F13077" t="s">
        <v>78</v>
      </c>
      <c r="G13077" t="str">
        <f>"19-K05-02"</f>
        <v>19-K05-02</v>
      </c>
      <c r="H13077">
        <v>1.8835999999999999</v>
      </c>
      <c r="I13077" t="s">
        <v>2361</v>
      </c>
      <c r="J13077" t="s">
        <v>27</v>
      </c>
      <c r="K13077" t="str">
        <f>"3F5"</f>
        <v>3F5</v>
      </c>
      <c r="L13077" t="s">
        <v>15</v>
      </c>
    </row>
    <row r="13078" spans="1:12" x14ac:dyDescent="0.25">
      <c r="A13078" t="str">
        <f>"9503215733"</f>
        <v>9503215733</v>
      </c>
      <c r="B13078" t="str">
        <f t="shared" ref="B13078:B13141" si="553">"89301000"</f>
        <v>89301000</v>
      </c>
      <c r="C13078" s="1">
        <v>44428</v>
      </c>
      <c r="D13078" s="1">
        <v>44433</v>
      </c>
      <c r="E13078">
        <v>1</v>
      </c>
      <c r="F13078" t="s">
        <v>7743</v>
      </c>
      <c r="G13078" t="str">
        <f>"20-K03-03"</f>
        <v>20-K03-03</v>
      </c>
      <c r="H13078">
        <v>1.0109999999999999</v>
      </c>
      <c r="I13078" t="s">
        <v>8261</v>
      </c>
      <c r="J13078" t="s">
        <v>14</v>
      </c>
      <c r="K13078" t="str">
        <f>"3F5"</f>
        <v>3F5</v>
      </c>
      <c r="L13078" t="s">
        <v>15</v>
      </c>
    </row>
    <row r="13079" spans="1:12" x14ac:dyDescent="0.25">
      <c r="A13079" t="str">
        <f>"9503276145"</f>
        <v>9503276145</v>
      </c>
      <c r="B13079" t="str">
        <f t="shared" si="553"/>
        <v>89301000</v>
      </c>
      <c r="C13079" s="1">
        <v>44284</v>
      </c>
      <c r="D13079" s="1">
        <v>44294</v>
      </c>
      <c r="E13079">
        <v>1</v>
      </c>
      <c r="F13079" t="s">
        <v>5534</v>
      </c>
      <c r="G13079" t="str">
        <f>"20-K04-02"</f>
        <v>20-K04-02</v>
      </c>
      <c r="H13079">
        <v>1.4984</v>
      </c>
      <c r="I13079" t="s">
        <v>8262</v>
      </c>
      <c r="J13079" t="s">
        <v>14</v>
      </c>
      <c r="K13079" t="str">
        <f>"3F5"</f>
        <v>3F5</v>
      </c>
      <c r="L13079" t="s">
        <v>15</v>
      </c>
    </row>
    <row r="13080" spans="1:12" x14ac:dyDescent="0.25">
      <c r="A13080" t="str">
        <f>"9504115731"</f>
        <v>9504115731</v>
      </c>
      <c r="B13080" t="str">
        <f t="shared" si="553"/>
        <v>89301000</v>
      </c>
      <c r="C13080" s="1">
        <v>44266</v>
      </c>
      <c r="D13080" s="1">
        <v>44267</v>
      </c>
      <c r="E13080">
        <v>1</v>
      </c>
      <c r="F13080" t="s">
        <v>41</v>
      </c>
      <c r="G13080" t="str">
        <f>"01-D01-03"</f>
        <v>01-D01-03</v>
      </c>
      <c r="H13080">
        <v>0.158</v>
      </c>
      <c r="J13080" t="s">
        <v>14</v>
      </c>
      <c r="K13080" t="str">
        <f>"2F5"</f>
        <v>2F5</v>
      </c>
      <c r="L13080" t="s">
        <v>15</v>
      </c>
    </row>
    <row r="13081" spans="1:12" x14ac:dyDescent="0.25">
      <c r="A13081" t="str">
        <f>"9504194843"</f>
        <v>9504194843</v>
      </c>
      <c r="B13081" t="str">
        <f t="shared" si="553"/>
        <v>89301000</v>
      </c>
      <c r="C13081" s="1">
        <v>44411</v>
      </c>
      <c r="D13081" s="1">
        <v>44418</v>
      </c>
      <c r="E13081">
        <v>1</v>
      </c>
      <c r="F13081" t="s">
        <v>130</v>
      </c>
      <c r="G13081" t="str">
        <f>"19-K03-03"</f>
        <v>19-K03-03</v>
      </c>
      <c r="H13081">
        <v>0.93169999999999997</v>
      </c>
      <c r="I13081" t="s">
        <v>8263</v>
      </c>
      <c r="J13081" t="s">
        <v>27</v>
      </c>
      <c r="K13081" t="str">
        <f>"3F5"</f>
        <v>3F5</v>
      </c>
      <c r="L13081" t="s">
        <v>15</v>
      </c>
    </row>
    <row r="13082" spans="1:12" x14ac:dyDescent="0.25">
      <c r="A13082" t="str">
        <f>"9505025926"</f>
        <v>9505025926</v>
      </c>
      <c r="B13082" t="str">
        <f t="shared" si="553"/>
        <v>89301000</v>
      </c>
      <c r="C13082" s="1">
        <v>44557</v>
      </c>
      <c r="D13082" s="1">
        <v>44558</v>
      </c>
      <c r="E13082">
        <v>1</v>
      </c>
      <c r="F13082" t="s">
        <v>287</v>
      </c>
      <c r="G13082" t="str">
        <f>"01-K16-06"</f>
        <v>01-K16-06</v>
      </c>
      <c r="H13082">
        <v>0.26469999999999999</v>
      </c>
      <c r="I13082" t="s">
        <v>8264</v>
      </c>
      <c r="J13082" t="s">
        <v>14</v>
      </c>
      <c r="K13082" t="str">
        <f>"5F3"</f>
        <v>5F3</v>
      </c>
      <c r="L13082" t="s">
        <v>15</v>
      </c>
    </row>
    <row r="13083" spans="1:12" x14ac:dyDescent="0.25">
      <c r="A13083" t="str">
        <f>"9505175702"</f>
        <v>9505175702</v>
      </c>
      <c r="B13083" t="str">
        <f t="shared" si="553"/>
        <v>89301000</v>
      </c>
      <c r="C13083" s="1">
        <v>44492</v>
      </c>
      <c r="D13083" s="1">
        <v>44494</v>
      </c>
      <c r="E13083">
        <v>1</v>
      </c>
      <c r="F13083" t="s">
        <v>31</v>
      </c>
      <c r="G13083" t="str">
        <f>"08-I04-03"</f>
        <v>08-I04-03</v>
      </c>
      <c r="H13083">
        <v>1.331</v>
      </c>
      <c r="J13083" t="s">
        <v>17</v>
      </c>
      <c r="K13083" t="str">
        <f>"5F6"</f>
        <v>5F6</v>
      </c>
      <c r="L13083" t="s">
        <v>15</v>
      </c>
    </row>
    <row r="13084" spans="1:12" x14ac:dyDescent="0.25">
      <c r="A13084" t="str">
        <f>"9506125937"</f>
        <v>9506125937</v>
      </c>
      <c r="B13084" t="str">
        <f t="shared" si="553"/>
        <v>89301000</v>
      </c>
      <c r="C13084" s="1">
        <v>44431</v>
      </c>
      <c r="D13084" s="1">
        <v>44434</v>
      </c>
      <c r="E13084">
        <v>1</v>
      </c>
      <c r="F13084" t="s">
        <v>722</v>
      </c>
      <c r="G13084" t="str">
        <f>"03-I22-03"</f>
        <v>03-I22-03</v>
      </c>
      <c r="H13084">
        <v>0.49049999999999999</v>
      </c>
      <c r="J13084" t="s">
        <v>14</v>
      </c>
      <c r="K13084" t="str">
        <f>"7F1"</f>
        <v>7F1</v>
      </c>
      <c r="L13084" t="s">
        <v>15</v>
      </c>
    </row>
    <row r="13085" spans="1:12" x14ac:dyDescent="0.25">
      <c r="A13085" t="str">
        <f>"9507105729"</f>
        <v>9507105729</v>
      </c>
      <c r="B13085" t="str">
        <f t="shared" si="553"/>
        <v>89301000</v>
      </c>
      <c r="C13085" s="1">
        <v>44201</v>
      </c>
      <c r="D13085" s="1">
        <v>44238</v>
      </c>
      <c r="E13085">
        <v>1</v>
      </c>
      <c r="F13085" t="s">
        <v>181</v>
      </c>
      <c r="G13085" t="str">
        <f>"19-K07-02"</f>
        <v>19-K07-02</v>
      </c>
      <c r="H13085">
        <v>2.8759999999999999</v>
      </c>
      <c r="I13085" t="s">
        <v>7991</v>
      </c>
      <c r="J13085" t="s">
        <v>27</v>
      </c>
      <c r="K13085" t="str">
        <f>"3F5"</f>
        <v>3F5</v>
      </c>
      <c r="L13085" t="s">
        <v>15</v>
      </c>
    </row>
    <row r="13086" spans="1:12" x14ac:dyDescent="0.25">
      <c r="A13086" t="str">
        <f>"9507135704"</f>
        <v>9507135704</v>
      </c>
      <c r="B13086" t="str">
        <f t="shared" si="553"/>
        <v>89301000</v>
      </c>
      <c r="C13086" s="1">
        <v>44422</v>
      </c>
      <c r="D13086" s="1">
        <v>44424</v>
      </c>
      <c r="E13086">
        <v>1</v>
      </c>
      <c r="F13086" t="s">
        <v>260</v>
      </c>
      <c r="G13086" t="str">
        <f>"03-K06-01"</f>
        <v>03-K06-01</v>
      </c>
      <c r="H13086">
        <v>0.4718</v>
      </c>
      <c r="J13086" t="s">
        <v>14</v>
      </c>
      <c r="K13086" t="str">
        <f>"7F1"</f>
        <v>7F1</v>
      </c>
      <c r="L13086" t="s">
        <v>15</v>
      </c>
    </row>
    <row r="13087" spans="1:12" x14ac:dyDescent="0.25">
      <c r="A13087" t="str">
        <f>"9507195742"</f>
        <v>9507195742</v>
      </c>
      <c r="B13087" t="str">
        <f t="shared" si="553"/>
        <v>89301000</v>
      </c>
      <c r="C13087" s="1">
        <v>44414</v>
      </c>
      <c r="D13087" s="1">
        <v>44417</v>
      </c>
      <c r="E13087">
        <v>1</v>
      </c>
      <c r="F13087" t="s">
        <v>43</v>
      </c>
      <c r="G13087" t="str">
        <f>"06-I18-05"</f>
        <v>06-I18-05</v>
      </c>
      <c r="H13087">
        <v>0.85550000000000004</v>
      </c>
      <c r="J13087" t="s">
        <v>24</v>
      </c>
      <c r="K13087" t="str">
        <f>"5F1"</f>
        <v>5F1</v>
      </c>
      <c r="L13087" t="s">
        <v>15</v>
      </c>
    </row>
    <row r="13088" spans="1:12" x14ac:dyDescent="0.25">
      <c r="A13088" t="str">
        <f>"9507296161"</f>
        <v>9507296161</v>
      </c>
      <c r="B13088" t="str">
        <f t="shared" si="553"/>
        <v>89301000</v>
      </c>
      <c r="C13088" s="1">
        <v>44459</v>
      </c>
      <c r="D13088" s="1">
        <v>44462</v>
      </c>
      <c r="E13088">
        <v>1</v>
      </c>
      <c r="F13088" t="s">
        <v>413</v>
      </c>
      <c r="G13088" t="str">
        <f>"09-K16-00"</f>
        <v>09-K16-00</v>
      </c>
      <c r="H13088">
        <v>0.54420000000000002</v>
      </c>
      <c r="I13088" t="s">
        <v>8265</v>
      </c>
      <c r="J13088" t="s">
        <v>14</v>
      </c>
      <c r="K13088" t="str">
        <f>"6F1"</f>
        <v>6F1</v>
      </c>
      <c r="L13088" t="s">
        <v>15</v>
      </c>
    </row>
    <row r="13089" spans="1:12" x14ac:dyDescent="0.25">
      <c r="A13089" t="str">
        <f>"9508025703"</f>
        <v>9508025703</v>
      </c>
      <c r="B13089" t="str">
        <f t="shared" si="553"/>
        <v>89301000</v>
      </c>
      <c r="C13089" s="1">
        <v>44378</v>
      </c>
      <c r="D13089" s="1">
        <v>44380</v>
      </c>
      <c r="E13089">
        <v>1</v>
      </c>
      <c r="F13089" t="s">
        <v>445</v>
      </c>
      <c r="G13089" t="str">
        <f>"08-I17-01"</f>
        <v>08-I17-01</v>
      </c>
      <c r="H13089">
        <v>1.7847999999999999</v>
      </c>
      <c r="I13089" t="s">
        <v>8266</v>
      </c>
      <c r="J13089" t="s">
        <v>14</v>
      </c>
      <c r="K13089" t="str">
        <f>"5F3"</f>
        <v>5F3</v>
      </c>
      <c r="L13089" t="s">
        <v>15</v>
      </c>
    </row>
    <row r="13090" spans="1:12" x14ac:dyDescent="0.25">
      <c r="A13090" t="str">
        <f>"9508046174"</f>
        <v>9508046174</v>
      </c>
      <c r="B13090" t="str">
        <f t="shared" si="553"/>
        <v>89301000</v>
      </c>
      <c r="C13090" s="1">
        <v>44270</v>
      </c>
      <c r="D13090" s="1">
        <v>44270</v>
      </c>
      <c r="E13090">
        <v>1</v>
      </c>
      <c r="F13090" t="s">
        <v>8267</v>
      </c>
      <c r="G13090" t="str">
        <f>"08-I19-03"</f>
        <v>08-I19-03</v>
      </c>
      <c r="H13090">
        <v>0.31230000000000002</v>
      </c>
      <c r="I13090" t="s">
        <v>8268</v>
      </c>
      <c r="J13090" t="s">
        <v>17</v>
      </c>
      <c r="K13090" t="str">
        <f>"5F1"</f>
        <v>5F1</v>
      </c>
      <c r="L13090" t="s">
        <v>15</v>
      </c>
    </row>
    <row r="13091" spans="1:12" x14ac:dyDescent="0.25">
      <c r="A13091" t="str">
        <f>"9509025526"</f>
        <v>9509025526</v>
      </c>
      <c r="B13091" t="str">
        <f t="shared" si="553"/>
        <v>89301000</v>
      </c>
      <c r="C13091" s="1">
        <v>44292</v>
      </c>
      <c r="D13091" s="1">
        <v>44294</v>
      </c>
      <c r="E13091">
        <v>1</v>
      </c>
      <c r="F13091" t="s">
        <v>460</v>
      </c>
      <c r="G13091" t="str">
        <f>"03-I23-00"</f>
        <v>03-I23-00</v>
      </c>
      <c r="H13091">
        <v>0.47639999999999999</v>
      </c>
      <c r="I13091" t="s">
        <v>8269</v>
      </c>
      <c r="J13091" t="s">
        <v>14</v>
      </c>
      <c r="K13091" t="str">
        <f>"6F5"</f>
        <v>6F5</v>
      </c>
      <c r="L13091" t="s">
        <v>15</v>
      </c>
    </row>
    <row r="13092" spans="1:12" x14ac:dyDescent="0.25">
      <c r="A13092" t="str">
        <f>"9509125703"</f>
        <v>9509125703</v>
      </c>
      <c r="B13092" t="str">
        <f t="shared" si="553"/>
        <v>89301000</v>
      </c>
      <c r="C13092" s="1">
        <v>44359</v>
      </c>
      <c r="D13092" s="1">
        <v>44361</v>
      </c>
      <c r="E13092">
        <v>1</v>
      </c>
      <c r="F13092" t="s">
        <v>320</v>
      </c>
      <c r="G13092" t="str">
        <f>"03-I23-00"</f>
        <v>03-I23-00</v>
      </c>
      <c r="H13092">
        <v>0.47639999999999999</v>
      </c>
      <c r="I13092" t="s">
        <v>8270</v>
      </c>
      <c r="J13092" t="s">
        <v>14</v>
      </c>
      <c r="K13092" t="str">
        <f>"6F5"</f>
        <v>6F5</v>
      </c>
      <c r="L13092" t="s">
        <v>15</v>
      </c>
    </row>
    <row r="13093" spans="1:12" x14ac:dyDescent="0.25">
      <c r="A13093" t="str">
        <f>"9509296071"</f>
        <v>9509296071</v>
      </c>
      <c r="B13093" t="str">
        <f t="shared" si="553"/>
        <v>89301000</v>
      </c>
      <c r="C13093" s="1">
        <v>44451</v>
      </c>
      <c r="D13093" s="1">
        <v>44454</v>
      </c>
      <c r="E13093">
        <v>1</v>
      </c>
      <c r="F13093" t="s">
        <v>167</v>
      </c>
      <c r="G13093" t="str">
        <f>"08-M03-04"</f>
        <v>08-M03-04</v>
      </c>
      <c r="H13093">
        <v>0.8609</v>
      </c>
      <c r="J13093" t="s">
        <v>14</v>
      </c>
      <c r="K13093" t="str">
        <f>"6F6"</f>
        <v>6F6</v>
      </c>
      <c r="L13093" t="s">
        <v>15</v>
      </c>
    </row>
    <row r="13094" spans="1:12" x14ac:dyDescent="0.25">
      <c r="A13094" t="str">
        <f>"9510155699"</f>
        <v>9510155699</v>
      </c>
      <c r="B13094" t="str">
        <f t="shared" si="553"/>
        <v>89301000</v>
      </c>
      <c r="C13094" s="1">
        <v>44508</v>
      </c>
      <c r="D13094" s="1">
        <v>44513</v>
      </c>
      <c r="E13094">
        <v>1</v>
      </c>
      <c r="F13094" t="s">
        <v>313</v>
      </c>
      <c r="G13094" t="str">
        <f>"03-I16-02"</f>
        <v>03-I16-02</v>
      </c>
      <c r="H13094">
        <v>0.89539999999999997</v>
      </c>
      <c r="I13094" t="s">
        <v>248</v>
      </c>
      <c r="J13094" t="s">
        <v>24</v>
      </c>
      <c r="K13094" t="str">
        <f>"7F1"</f>
        <v>7F1</v>
      </c>
      <c r="L13094" t="s">
        <v>15</v>
      </c>
    </row>
    <row r="13095" spans="1:12" x14ac:dyDescent="0.25">
      <c r="A13095" t="str">
        <f>"9510155699"</f>
        <v>9510155699</v>
      </c>
      <c r="B13095" t="str">
        <f t="shared" si="553"/>
        <v>89301000</v>
      </c>
      <c r="C13095" s="1">
        <v>44526</v>
      </c>
      <c r="D13095" s="1">
        <v>44529</v>
      </c>
      <c r="E13095">
        <v>1</v>
      </c>
      <c r="F13095" t="s">
        <v>8271</v>
      </c>
      <c r="G13095" t="str">
        <f>"03-K13-01"</f>
        <v>03-K13-01</v>
      </c>
      <c r="H13095">
        <v>0.63400000000000001</v>
      </c>
      <c r="I13095" t="s">
        <v>8272</v>
      </c>
      <c r="J13095" t="s">
        <v>14</v>
      </c>
      <c r="K13095" t="str">
        <f>"7F1"</f>
        <v>7F1</v>
      </c>
      <c r="L13095" t="s">
        <v>15</v>
      </c>
    </row>
    <row r="13096" spans="1:12" x14ac:dyDescent="0.25">
      <c r="A13096" t="str">
        <f>"9510226143"</f>
        <v>9510226143</v>
      </c>
      <c r="B13096" t="str">
        <f t="shared" si="553"/>
        <v>89301000</v>
      </c>
      <c r="C13096" s="1">
        <v>44337</v>
      </c>
      <c r="D13096" s="1">
        <v>44338</v>
      </c>
      <c r="E13096">
        <v>1</v>
      </c>
      <c r="F13096" t="s">
        <v>2600</v>
      </c>
      <c r="G13096" t="str">
        <f>"05-M05-02"</f>
        <v>05-M05-02</v>
      </c>
      <c r="H13096">
        <v>3.516</v>
      </c>
      <c r="J13096" t="s">
        <v>24</v>
      </c>
      <c r="K13096" t="str">
        <f>"1F7"</f>
        <v>1F7</v>
      </c>
      <c r="L13096" t="s">
        <v>15</v>
      </c>
    </row>
    <row r="13097" spans="1:12" x14ac:dyDescent="0.25">
      <c r="A13097" t="str">
        <f>"9510226143"</f>
        <v>9510226143</v>
      </c>
      <c r="B13097" t="str">
        <f t="shared" si="553"/>
        <v>89301000</v>
      </c>
      <c r="C13097" s="1">
        <v>44498</v>
      </c>
      <c r="D13097" s="1">
        <v>44499</v>
      </c>
      <c r="E13097">
        <v>1</v>
      </c>
      <c r="F13097" t="s">
        <v>2600</v>
      </c>
      <c r="G13097" t="str">
        <f>"05-M05-02"</f>
        <v>05-M05-02</v>
      </c>
      <c r="H13097">
        <v>3.516</v>
      </c>
      <c r="J13097" t="s">
        <v>24</v>
      </c>
      <c r="K13097" t="str">
        <f>"1F7"</f>
        <v>1F7</v>
      </c>
      <c r="L13097" t="s">
        <v>15</v>
      </c>
    </row>
    <row r="13098" spans="1:12" x14ac:dyDescent="0.25">
      <c r="A13098" t="str">
        <f>"9510236153"</f>
        <v>9510236153</v>
      </c>
      <c r="B13098" t="str">
        <f t="shared" si="553"/>
        <v>89301000</v>
      </c>
      <c r="C13098" s="1">
        <v>44448</v>
      </c>
      <c r="D13098" s="1">
        <v>44452</v>
      </c>
      <c r="E13098">
        <v>1</v>
      </c>
      <c r="F13098" t="s">
        <v>173</v>
      </c>
      <c r="G13098" t="str">
        <f>"08-I32-02"</f>
        <v>08-I32-02</v>
      </c>
      <c r="H13098">
        <v>0.4143</v>
      </c>
      <c r="J13098" t="s">
        <v>14</v>
      </c>
      <c r="K13098" t="str">
        <f>"5F3"</f>
        <v>5F3</v>
      </c>
      <c r="L13098" t="s">
        <v>15</v>
      </c>
    </row>
    <row r="13099" spans="1:12" x14ac:dyDescent="0.25">
      <c r="A13099" t="str">
        <f>"9510236153"</f>
        <v>9510236153</v>
      </c>
      <c r="B13099" t="str">
        <f t="shared" si="553"/>
        <v>89301000</v>
      </c>
      <c r="C13099" s="1">
        <v>44286</v>
      </c>
      <c r="D13099" s="1">
        <v>44289</v>
      </c>
      <c r="E13099">
        <v>1</v>
      </c>
      <c r="F13099" t="s">
        <v>107</v>
      </c>
      <c r="G13099" t="str">
        <f>"25-I02-02"</f>
        <v>25-I02-02</v>
      </c>
      <c r="H13099">
        <v>3.5943999999999998</v>
      </c>
      <c r="I13099" t="s">
        <v>8273</v>
      </c>
      <c r="J13099" t="s">
        <v>17</v>
      </c>
      <c r="K13099" t="str">
        <f>"5F3"</f>
        <v>5F3</v>
      </c>
      <c r="L13099" t="s">
        <v>15</v>
      </c>
    </row>
    <row r="13100" spans="1:12" x14ac:dyDescent="0.25">
      <c r="A13100" t="str">
        <f>"9510265699"</f>
        <v>9510265699</v>
      </c>
      <c r="B13100" t="str">
        <f t="shared" si="553"/>
        <v>89301000</v>
      </c>
      <c r="C13100" s="1">
        <v>44342</v>
      </c>
      <c r="D13100" s="1">
        <v>44346</v>
      </c>
      <c r="E13100">
        <v>1</v>
      </c>
      <c r="F13100" t="s">
        <v>6634</v>
      </c>
      <c r="G13100" t="str">
        <f>"08-I16-04"</f>
        <v>08-I16-04</v>
      </c>
      <c r="H13100">
        <v>0.92159999999999997</v>
      </c>
      <c r="I13100" t="s">
        <v>8274</v>
      </c>
      <c r="J13100" t="s">
        <v>17</v>
      </c>
      <c r="K13100" t="str">
        <f>"5F3"</f>
        <v>5F3</v>
      </c>
      <c r="L13100" t="s">
        <v>15</v>
      </c>
    </row>
    <row r="13101" spans="1:12" x14ac:dyDescent="0.25">
      <c r="A13101" t="str">
        <f>"9510305706"</f>
        <v>9510305706</v>
      </c>
      <c r="B13101" t="str">
        <f t="shared" si="553"/>
        <v>89301000</v>
      </c>
      <c r="C13101" s="1">
        <v>44230</v>
      </c>
      <c r="D13101" s="1">
        <v>44237</v>
      </c>
      <c r="E13101">
        <v>1</v>
      </c>
      <c r="F13101" t="s">
        <v>7308</v>
      </c>
      <c r="G13101" t="str">
        <f>"17-C05-08"</f>
        <v>17-C05-08</v>
      </c>
      <c r="H13101">
        <v>0.83779999999999999</v>
      </c>
      <c r="I13101" t="s">
        <v>3190</v>
      </c>
      <c r="J13101" t="s">
        <v>14</v>
      </c>
      <c r="K13101" t="str">
        <f>"2F2"</f>
        <v>2F2</v>
      </c>
      <c r="L13101" t="s">
        <v>15</v>
      </c>
    </row>
    <row r="13102" spans="1:12" x14ac:dyDescent="0.25">
      <c r="A13102" t="str">
        <f>"9510305706"</f>
        <v>9510305706</v>
      </c>
      <c r="B13102" t="str">
        <f t="shared" si="553"/>
        <v>89301000</v>
      </c>
      <c r="C13102" s="1">
        <v>44271</v>
      </c>
      <c r="D13102" s="1">
        <v>44277</v>
      </c>
      <c r="E13102">
        <v>1</v>
      </c>
      <c r="F13102" t="s">
        <v>7308</v>
      </c>
      <c r="G13102" t="str">
        <f>"17-C05-08"</f>
        <v>17-C05-08</v>
      </c>
      <c r="H13102">
        <v>0.83779999999999999</v>
      </c>
      <c r="I13102" t="s">
        <v>3190</v>
      </c>
      <c r="J13102" t="s">
        <v>14</v>
      </c>
      <c r="K13102" t="str">
        <f>"2F2"</f>
        <v>2F2</v>
      </c>
      <c r="L13102" t="s">
        <v>15</v>
      </c>
    </row>
    <row r="13103" spans="1:12" x14ac:dyDescent="0.25">
      <c r="A13103" t="str">
        <f>"9511065751"</f>
        <v>9511065751</v>
      </c>
      <c r="B13103" t="str">
        <f t="shared" si="553"/>
        <v>89301000</v>
      </c>
      <c r="C13103" s="1">
        <v>44481</v>
      </c>
      <c r="D13103" s="1">
        <v>44482</v>
      </c>
      <c r="E13103">
        <v>1</v>
      </c>
      <c r="F13103" t="s">
        <v>2360</v>
      </c>
      <c r="G13103" t="str">
        <f>"06-K15-01"</f>
        <v>06-K15-01</v>
      </c>
      <c r="H13103">
        <v>0.5806</v>
      </c>
      <c r="I13103" t="s">
        <v>1378</v>
      </c>
      <c r="J13103" t="s">
        <v>14</v>
      </c>
      <c r="K13103" t="str">
        <f>"1F5"</f>
        <v>1F5</v>
      </c>
      <c r="L13103" t="s">
        <v>15</v>
      </c>
    </row>
    <row r="13104" spans="1:12" x14ac:dyDescent="0.25">
      <c r="A13104" t="str">
        <f>"9512133807"</f>
        <v>9512133807</v>
      </c>
      <c r="B13104" t="str">
        <f t="shared" si="553"/>
        <v>89301000</v>
      </c>
      <c r="C13104" s="1">
        <v>44541</v>
      </c>
      <c r="D13104" s="1">
        <v>44547</v>
      </c>
      <c r="E13104">
        <v>5</v>
      </c>
      <c r="F13104" t="s">
        <v>316</v>
      </c>
      <c r="G13104" t="str">
        <f>"25-I02-02"</f>
        <v>25-I02-02</v>
      </c>
      <c r="H13104">
        <v>4.9653</v>
      </c>
      <c r="I13104" t="s">
        <v>8275</v>
      </c>
      <c r="J13104" t="s">
        <v>17</v>
      </c>
      <c r="K13104" t="str">
        <f>"5T6"</f>
        <v>5T6</v>
      </c>
      <c r="L13104" t="s">
        <v>15</v>
      </c>
    </row>
    <row r="13105" spans="1:12" x14ac:dyDescent="0.25">
      <c r="A13105" t="str">
        <f>"9512185738"</f>
        <v>9512185738</v>
      </c>
      <c r="B13105" t="str">
        <f t="shared" si="553"/>
        <v>89301000</v>
      </c>
      <c r="C13105" s="1">
        <v>44504</v>
      </c>
      <c r="D13105" s="1">
        <v>44508</v>
      </c>
      <c r="E13105">
        <v>1</v>
      </c>
      <c r="F13105" t="s">
        <v>43</v>
      </c>
      <c r="G13105" t="str">
        <f>"06-I18-05"</f>
        <v>06-I18-05</v>
      </c>
      <c r="H13105">
        <v>0.85550000000000004</v>
      </c>
      <c r="J13105" t="s">
        <v>24</v>
      </c>
      <c r="K13105" t="str">
        <f>"5F1"</f>
        <v>5F1</v>
      </c>
      <c r="L13105" t="s">
        <v>15</v>
      </c>
    </row>
    <row r="13106" spans="1:12" x14ac:dyDescent="0.25">
      <c r="A13106" t="str">
        <f>"9512296145"</f>
        <v>9512296145</v>
      </c>
      <c r="B13106" t="str">
        <f t="shared" si="553"/>
        <v>89301000</v>
      </c>
      <c r="C13106" s="1">
        <v>44403</v>
      </c>
      <c r="D13106" s="1">
        <v>44404</v>
      </c>
      <c r="E13106">
        <v>1</v>
      </c>
      <c r="F13106" t="s">
        <v>7666</v>
      </c>
      <c r="G13106" t="str">
        <f>"05-M05-03"</f>
        <v>05-M05-03</v>
      </c>
      <c r="H13106">
        <v>1.9991000000000001</v>
      </c>
      <c r="J13106" t="s">
        <v>24</v>
      </c>
      <c r="K13106" t="str">
        <f>"1F1"</f>
        <v>1F1</v>
      </c>
      <c r="L13106" t="s">
        <v>15</v>
      </c>
    </row>
    <row r="13107" spans="1:12" x14ac:dyDescent="0.25">
      <c r="A13107" t="str">
        <f>"9551045713"</f>
        <v>9551045713</v>
      </c>
      <c r="B13107" t="str">
        <f t="shared" si="553"/>
        <v>89301000</v>
      </c>
      <c r="C13107" s="1">
        <v>44419</v>
      </c>
      <c r="D13107" s="1">
        <v>44423</v>
      </c>
      <c r="E13107">
        <v>1</v>
      </c>
      <c r="F13107" t="s">
        <v>7910</v>
      </c>
      <c r="G13107" t="str">
        <f>"13-K02-00"</f>
        <v>13-K02-00</v>
      </c>
      <c r="H13107">
        <v>0.24079999999999999</v>
      </c>
      <c r="J13107" t="s">
        <v>14</v>
      </c>
      <c r="K13107" t="str">
        <f>"6F3"</f>
        <v>6F3</v>
      </c>
      <c r="L13107" t="s">
        <v>15</v>
      </c>
    </row>
    <row r="13108" spans="1:12" x14ac:dyDescent="0.25">
      <c r="A13108" t="str">
        <f>"9551046263"</f>
        <v>9551046263</v>
      </c>
      <c r="B13108" t="str">
        <f t="shared" si="553"/>
        <v>89301000</v>
      </c>
      <c r="C13108" s="1">
        <v>44409</v>
      </c>
      <c r="D13108" s="1">
        <v>44421</v>
      </c>
      <c r="E13108">
        <v>1</v>
      </c>
      <c r="F13108" t="s">
        <v>82</v>
      </c>
      <c r="G13108" t="str">
        <f>"14-I01-01"</f>
        <v>14-I01-01</v>
      </c>
      <c r="H13108">
        <v>1.5294000000000001</v>
      </c>
      <c r="I13108" t="s">
        <v>8276</v>
      </c>
      <c r="J13108" t="s">
        <v>59</v>
      </c>
      <c r="K13108" t="str">
        <f>"6F3"</f>
        <v>6F3</v>
      </c>
      <c r="L13108" t="s">
        <v>15</v>
      </c>
    </row>
    <row r="13109" spans="1:12" x14ac:dyDescent="0.25">
      <c r="A13109" t="str">
        <f>"9551124462"</f>
        <v>9551124462</v>
      </c>
      <c r="B13109" t="str">
        <f t="shared" si="553"/>
        <v>89301000</v>
      </c>
      <c r="C13109" s="1">
        <v>44459</v>
      </c>
      <c r="D13109" s="1">
        <v>44462</v>
      </c>
      <c r="E13109">
        <v>1</v>
      </c>
      <c r="F13109" t="s">
        <v>1033</v>
      </c>
      <c r="G13109" t="str">
        <f>"11-K03-02"</f>
        <v>11-K03-02</v>
      </c>
      <c r="H13109">
        <v>0.6008</v>
      </c>
      <c r="I13109" t="s">
        <v>8277</v>
      </c>
      <c r="J13109" t="s">
        <v>14</v>
      </c>
      <c r="K13109" t="str">
        <f>"1F1"</f>
        <v>1F1</v>
      </c>
      <c r="L13109" t="s">
        <v>15</v>
      </c>
    </row>
    <row r="13110" spans="1:12" x14ac:dyDescent="0.25">
      <c r="A13110" t="str">
        <f>"9551124847"</f>
        <v>9551124847</v>
      </c>
      <c r="B13110" t="str">
        <f t="shared" si="553"/>
        <v>89301000</v>
      </c>
      <c r="C13110" s="1">
        <v>44348</v>
      </c>
      <c r="D13110" s="1">
        <v>44352</v>
      </c>
      <c r="E13110">
        <v>1</v>
      </c>
      <c r="F13110" t="s">
        <v>61</v>
      </c>
      <c r="G13110" t="str">
        <f>"14-I01-05"</f>
        <v>14-I01-05</v>
      </c>
      <c r="H13110">
        <v>0.80030000000000001</v>
      </c>
      <c r="I13110" t="s">
        <v>7572</v>
      </c>
      <c r="J13110" t="s">
        <v>59</v>
      </c>
      <c r="K13110" t="str">
        <f>"6F3"</f>
        <v>6F3</v>
      </c>
      <c r="L13110" t="s">
        <v>15</v>
      </c>
    </row>
    <row r="13111" spans="1:12" x14ac:dyDescent="0.25">
      <c r="A13111" t="str">
        <f>"9551255945"</f>
        <v>9551255945</v>
      </c>
      <c r="B13111" t="str">
        <f t="shared" si="553"/>
        <v>89301000</v>
      </c>
      <c r="C13111" s="1">
        <v>44477</v>
      </c>
      <c r="D13111" s="1">
        <v>44479</v>
      </c>
      <c r="E13111">
        <v>1</v>
      </c>
      <c r="F13111" t="s">
        <v>7639</v>
      </c>
      <c r="G13111" t="str">
        <f>"14-K03-02"</f>
        <v>14-K03-02</v>
      </c>
      <c r="H13111">
        <v>0.2646</v>
      </c>
      <c r="J13111" t="s">
        <v>14</v>
      </c>
      <c r="K13111" t="str">
        <f>"6F3"</f>
        <v>6F3</v>
      </c>
      <c r="L13111" t="s">
        <v>15</v>
      </c>
    </row>
    <row r="13112" spans="1:12" x14ac:dyDescent="0.25">
      <c r="A13112" t="str">
        <f>"9551256143"</f>
        <v>9551256143</v>
      </c>
      <c r="B13112" t="str">
        <f t="shared" si="553"/>
        <v>89301000</v>
      </c>
      <c r="C13112" s="1">
        <v>44480</v>
      </c>
      <c r="D13112" s="1">
        <v>44484</v>
      </c>
      <c r="E13112">
        <v>1</v>
      </c>
      <c r="F13112" t="s">
        <v>75</v>
      </c>
      <c r="G13112" t="str">
        <f>"14-M01-05"</f>
        <v>14-M01-05</v>
      </c>
      <c r="H13112">
        <v>0.54239999999999999</v>
      </c>
      <c r="I13112" t="s">
        <v>8185</v>
      </c>
      <c r="J13112" t="s">
        <v>59</v>
      </c>
      <c r="K13112" t="str">
        <f>"6F3"</f>
        <v>6F3</v>
      </c>
      <c r="L13112" t="s">
        <v>15</v>
      </c>
    </row>
    <row r="13113" spans="1:12" x14ac:dyDescent="0.25">
      <c r="A13113" t="str">
        <f>"9552015715"</f>
        <v>9552015715</v>
      </c>
      <c r="B13113" t="str">
        <f t="shared" si="553"/>
        <v>89301000</v>
      </c>
      <c r="C13113" s="1">
        <v>44487</v>
      </c>
      <c r="D13113" s="1">
        <v>44490</v>
      </c>
      <c r="E13113">
        <v>1</v>
      </c>
      <c r="F13113" t="s">
        <v>75</v>
      </c>
      <c r="G13113" t="str">
        <f>"14-M01-05"</f>
        <v>14-M01-05</v>
      </c>
      <c r="H13113">
        <v>0.54239999999999999</v>
      </c>
      <c r="I13113" t="s">
        <v>7706</v>
      </c>
      <c r="J13113" t="s">
        <v>59</v>
      </c>
      <c r="K13113" t="str">
        <f>"6F3"</f>
        <v>6F3</v>
      </c>
      <c r="L13113" t="s">
        <v>15</v>
      </c>
    </row>
    <row r="13114" spans="1:12" x14ac:dyDescent="0.25">
      <c r="A13114" t="str">
        <f>"9552025714"</f>
        <v>9552025714</v>
      </c>
      <c r="B13114" t="str">
        <f t="shared" si="553"/>
        <v>89301000</v>
      </c>
      <c r="C13114" s="1">
        <v>44520</v>
      </c>
      <c r="D13114" s="1">
        <v>44523</v>
      </c>
      <c r="E13114">
        <v>1</v>
      </c>
      <c r="F13114" t="s">
        <v>75</v>
      </c>
      <c r="G13114" t="str">
        <f>"14-M01-05"</f>
        <v>14-M01-05</v>
      </c>
      <c r="H13114">
        <v>0.54239999999999999</v>
      </c>
      <c r="I13114" t="s">
        <v>7108</v>
      </c>
      <c r="J13114" t="s">
        <v>59</v>
      </c>
      <c r="K13114" t="str">
        <f>"6F3"</f>
        <v>6F3</v>
      </c>
      <c r="L13114" t="s">
        <v>15</v>
      </c>
    </row>
    <row r="13115" spans="1:12" x14ac:dyDescent="0.25">
      <c r="A13115" t="str">
        <f>"9552065710"</f>
        <v>9552065710</v>
      </c>
      <c r="B13115" t="str">
        <f t="shared" si="553"/>
        <v>89301000</v>
      </c>
      <c r="C13115" s="1">
        <v>44480</v>
      </c>
      <c r="D13115" s="1">
        <v>44481</v>
      </c>
      <c r="E13115">
        <v>1</v>
      </c>
      <c r="F13115" t="s">
        <v>1567</v>
      </c>
      <c r="G13115" t="str">
        <f>"05-I25-03"</f>
        <v>05-I25-03</v>
      </c>
      <c r="H13115">
        <v>1.5508</v>
      </c>
      <c r="J13115" t="s">
        <v>17</v>
      </c>
      <c r="K13115" t="str">
        <f>"1F7"</f>
        <v>1F7</v>
      </c>
      <c r="L13115" t="s">
        <v>15</v>
      </c>
    </row>
    <row r="13116" spans="1:12" x14ac:dyDescent="0.25">
      <c r="A13116" t="str">
        <f>"9552074851"</f>
        <v>9552074851</v>
      </c>
      <c r="B13116" t="str">
        <f t="shared" si="553"/>
        <v>89301000</v>
      </c>
      <c r="C13116" s="1">
        <v>44437</v>
      </c>
      <c r="D13116" s="1">
        <v>44439</v>
      </c>
      <c r="E13116">
        <v>1</v>
      </c>
      <c r="F13116" t="s">
        <v>75</v>
      </c>
      <c r="G13116" t="str">
        <f>"14-M01-05"</f>
        <v>14-M01-05</v>
      </c>
      <c r="H13116">
        <v>0.54239999999999999</v>
      </c>
      <c r="I13116" t="s">
        <v>76</v>
      </c>
      <c r="J13116" t="s">
        <v>59</v>
      </c>
      <c r="K13116" t="str">
        <f>"6F3"</f>
        <v>6F3</v>
      </c>
      <c r="L13116" t="s">
        <v>15</v>
      </c>
    </row>
    <row r="13117" spans="1:12" x14ac:dyDescent="0.25">
      <c r="A13117" t="str">
        <f>"9552135725"</f>
        <v>9552135725</v>
      </c>
      <c r="B13117" t="str">
        <f t="shared" si="553"/>
        <v>89301000</v>
      </c>
      <c r="C13117" s="1">
        <v>44309</v>
      </c>
      <c r="D13117" s="1">
        <v>44315</v>
      </c>
      <c r="E13117">
        <v>1</v>
      </c>
      <c r="F13117" t="s">
        <v>60</v>
      </c>
      <c r="G13117" t="str">
        <f>"14-K03-02"</f>
        <v>14-K03-02</v>
      </c>
      <c r="H13117">
        <v>0.2646</v>
      </c>
      <c r="J13117" t="s">
        <v>14</v>
      </c>
      <c r="K13117" t="str">
        <f>"6F3"</f>
        <v>6F3</v>
      </c>
      <c r="L13117" t="s">
        <v>15</v>
      </c>
    </row>
    <row r="13118" spans="1:12" x14ac:dyDescent="0.25">
      <c r="A13118" t="str">
        <f>"9552135725"</f>
        <v>9552135725</v>
      </c>
      <c r="B13118" t="str">
        <f t="shared" si="553"/>
        <v>89301000</v>
      </c>
      <c r="C13118" s="1">
        <v>44411</v>
      </c>
      <c r="D13118" s="1">
        <v>44414</v>
      </c>
      <c r="E13118">
        <v>1</v>
      </c>
      <c r="F13118" t="s">
        <v>75</v>
      </c>
      <c r="G13118" t="str">
        <f>"14-M01-05"</f>
        <v>14-M01-05</v>
      </c>
      <c r="H13118">
        <v>0.54239999999999999</v>
      </c>
      <c r="I13118" t="s">
        <v>8278</v>
      </c>
      <c r="J13118" t="s">
        <v>59</v>
      </c>
      <c r="K13118" t="str">
        <f>"6F3"</f>
        <v>6F3</v>
      </c>
      <c r="L13118" t="s">
        <v>15</v>
      </c>
    </row>
    <row r="13119" spans="1:12" x14ac:dyDescent="0.25">
      <c r="A13119" t="str">
        <f>"9552146175"</f>
        <v>9552146175</v>
      </c>
      <c r="B13119" t="str">
        <f t="shared" si="553"/>
        <v>89301000</v>
      </c>
      <c r="C13119" s="1">
        <v>44320</v>
      </c>
      <c r="D13119" s="1">
        <v>44323</v>
      </c>
      <c r="E13119">
        <v>1</v>
      </c>
      <c r="F13119" t="s">
        <v>75</v>
      </c>
      <c r="G13119" t="str">
        <f>"14-M01-05"</f>
        <v>14-M01-05</v>
      </c>
      <c r="H13119">
        <v>0.54239999999999999</v>
      </c>
      <c r="I13119" t="s">
        <v>7845</v>
      </c>
      <c r="J13119" t="s">
        <v>59</v>
      </c>
      <c r="K13119" t="str">
        <f>"6F3"</f>
        <v>6F3</v>
      </c>
      <c r="L13119" t="s">
        <v>15</v>
      </c>
    </row>
    <row r="13120" spans="1:12" x14ac:dyDescent="0.25">
      <c r="A13120" t="str">
        <f>"9552154458"</f>
        <v>9552154458</v>
      </c>
      <c r="B13120" t="str">
        <f t="shared" si="553"/>
        <v>89301000</v>
      </c>
      <c r="C13120" s="1">
        <v>44444</v>
      </c>
      <c r="D13120" s="1">
        <v>44449</v>
      </c>
      <c r="E13120">
        <v>1</v>
      </c>
      <c r="F13120" t="s">
        <v>75</v>
      </c>
      <c r="G13120" t="str">
        <f>"14-M01-05"</f>
        <v>14-M01-05</v>
      </c>
      <c r="H13120">
        <v>0.54239999999999999</v>
      </c>
      <c r="I13120" t="s">
        <v>7354</v>
      </c>
      <c r="J13120" t="s">
        <v>59</v>
      </c>
      <c r="K13120" t="str">
        <f>"6F3"</f>
        <v>6F3</v>
      </c>
      <c r="L13120" t="s">
        <v>15</v>
      </c>
    </row>
    <row r="13121" spans="1:12" x14ac:dyDescent="0.25">
      <c r="A13121" t="str">
        <f>"9552165700"</f>
        <v>9552165700</v>
      </c>
      <c r="B13121" t="str">
        <f t="shared" si="553"/>
        <v>89301000</v>
      </c>
      <c r="C13121" s="1">
        <v>44223</v>
      </c>
      <c r="D13121" s="1">
        <v>44224</v>
      </c>
      <c r="E13121">
        <v>1</v>
      </c>
      <c r="F13121" t="s">
        <v>649</v>
      </c>
      <c r="G13121" t="str">
        <f>"18-K02-04"</f>
        <v>18-K02-04</v>
      </c>
      <c r="H13121">
        <v>0.83260000000000001</v>
      </c>
      <c r="I13121" t="s">
        <v>8279</v>
      </c>
      <c r="J13121" t="s">
        <v>14</v>
      </c>
      <c r="K13121" t="str">
        <f>"1F1"</f>
        <v>1F1</v>
      </c>
      <c r="L13121" t="s">
        <v>15</v>
      </c>
    </row>
    <row r="13122" spans="1:12" x14ac:dyDescent="0.25">
      <c r="A13122" t="str">
        <f>"9553024855"</f>
        <v>9553024855</v>
      </c>
      <c r="B13122" t="str">
        <f t="shared" si="553"/>
        <v>89301000</v>
      </c>
      <c r="C13122" s="1">
        <v>44222</v>
      </c>
      <c r="D13122" s="1">
        <v>44222</v>
      </c>
      <c r="E13122">
        <v>6</v>
      </c>
      <c r="F13122" t="s">
        <v>75</v>
      </c>
      <c r="G13122" t="str">
        <f>"14-M01-05"</f>
        <v>14-M01-05</v>
      </c>
      <c r="H13122">
        <v>0.27289999999999998</v>
      </c>
      <c r="I13122" t="s">
        <v>256</v>
      </c>
      <c r="J13122" t="s">
        <v>59</v>
      </c>
      <c r="K13122" t="str">
        <f>"6F3"</f>
        <v>6F3</v>
      </c>
      <c r="L13122" t="s">
        <v>15</v>
      </c>
    </row>
    <row r="13123" spans="1:12" x14ac:dyDescent="0.25">
      <c r="A13123" t="str">
        <f>"9553035965"</f>
        <v>9553035965</v>
      </c>
      <c r="B13123" t="str">
        <f t="shared" si="553"/>
        <v>89301000</v>
      </c>
      <c r="C13123" s="1">
        <v>44484</v>
      </c>
      <c r="D13123" s="1">
        <v>44487</v>
      </c>
      <c r="E13123">
        <v>1</v>
      </c>
      <c r="F13123" t="s">
        <v>112</v>
      </c>
      <c r="G13123" t="str">
        <f>"14-M01-05"</f>
        <v>14-M01-05</v>
      </c>
      <c r="H13123">
        <v>0.54239999999999999</v>
      </c>
      <c r="I13123" t="s">
        <v>8144</v>
      </c>
      <c r="J13123" t="s">
        <v>59</v>
      </c>
      <c r="K13123" t="str">
        <f>"6F3"</f>
        <v>6F3</v>
      </c>
      <c r="L13123" t="s">
        <v>15</v>
      </c>
    </row>
    <row r="13124" spans="1:12" x14ac:dyDescent="0.25">
      <c r="A13124" t="str">
        <f>"9553065786"</f>
        <v>9553065786</v>
      </c>
      <c r="B13124" t="str">
        <f t="shared" si="553"/>
        <v>89301000</v>
      </c>
      <c r="C13124" s="1">
        <v>44544</v>
      </c>
      <c r="D13124" s="1">
        <v>44547</v>
      </c>
      <c r="E13124">
        <v>1</v>
      </c>
      <c r="F13124" t="s">
        <v>75</v>
      </c>
      <c r="G13124" t="str">
        <f>"14-M01-05"</f>
        <v>14-M01-05</v>
      </c>
      <c r="H13124">
        <v>0.54239999999999999</v>
      </c>
      <c r="I13124" t="s">
        <v>8221</v>
      </c>
      <c r="J13124" t="s">
        <v>59</v>
      </c>
      <c r="K13124" t="str">
        <f>"6F3"</f>
        <v>6F3</v>
      </c>
      <c r="L13124" t="s">
        <v>15</v>
      </c>
    </row>
    <row r="13125" spans="1:12" x14ac:dyDescent="0.25">
      <c r="A13125" t="str">
        <f>"9553066149"</f>
        <v>9553066149</v>
      </c>
      <c r="B13125" t="str">
        <f t="shared" si="553"/>
        <v>89301000</v>
      </c>
      <c r="C13125" s="1">
        <v>44307</v>
      </c>
      <c r="D13125" s="1">
        <v>44310</v>
      </c>
      <c r="E13125">
        <v>1</v>
      </c>
      <c r="F13125" t="s">
        <v>75</v>
      </c>
      <c r="G13125" t="str">
        <f>"14-M01-05"</f>
        <v>14-M01-05</v>
      </c>
      <c r="H13125">
        <v>0.54239999999999999</v>
      </c>
      <c r="I13125" t="s">
        <v>426</v>
      </c>
      <c r="J13125" t="s">
        <v>59</v>
      </c>
      <c r="K13125" t="str">
        <f>"6F3"</f>
        <v>6F3</v>
      </c>
      <c r="L13125" t="s">
        <v>15</v>
      </c>
    </row>
    <row r="13126" spans="1:12" x14ac:dyDescent="0.25">
      <c r="A13126" t="str">
        <f>"9553083771"</f>
        <v>9553083771</v>
      </c>
      <c r="B13126" t="str">
        <f t="shared" si="553"/>
        <v>89301000</v>
      </c>
      <c r="C13126" s="1">
        <v>44227</v>
      </c>
      <c r="D13126" s="1">
        <v>44229</v>
      </c>
      <c r="E13126">
        <v>1</v>
      </c>
      <c r="F13126" t="s">
        <v>577</v>
      </c>
      <c r="G13126" t="str">
        <f>"08-I17-02"</f>
        <v>08-I17-02</v>
      </c>
      <c r="H13126">
        <v>0.98309999999999997</v>
      </c>
      <c r="I13126" t="s">
        <v>295</v>
      </c>
      <c r="J13126" t="s">
        <v>14</v>
      </c>
      <c r="K13126" t="str">
        <f>"5F3"</f>
        <v>5F3</v>
      </c>
      <c r="L13126" t="s">
        <v>15</v>
      </c>
    </row>
    <row r="13127" spans="1:12" x14ac:dyDescent="0.25">
      <c r="A13127" t="str">
        <f>"9553086158"</f>
        <v>9553086158</v>
      </c>
      <c r="B13127" t="str">
        <f t="shared" si="553"/>
        <v>89301000</v>
      </c>
      <c r="C13127" s="1">
        <v>44405</v>
      </c>
      <c r="D13127" s="1">
        <v>44406</v>
      </c>
      <c r="E13127">
        <v>1</v>
      </c>
      <c r="F13127" t="s">
        <v>3852</v>
      </c>
      <c r="G13127" t="str">
        <f>"13-I19-00"</f>
        <v>13-I19-00</v>
      </c>
      <c r="H13127">
        <v>0.24679999999999999</v>
      </c>
      <c r="J13127" t="s">
        <v>14</v>
      </c>
      <c r="K13127" t="str">
        <f>"6F3"</f>
        <v>6F3</v>
      </c>
      <c r="L13127" t="s">
        <v>15</v>
      </c>
    </row>
    <row r="13128" spans="1:12" x14ac:dyDescent="0.25">
      <c r="A13128" t="str">
        <f>"9553124306"</f>
        <v>9553124306</v>
      </c>
      <c r="B13128" t="str">
        <f t="shared" si="553"/>
        <v>89301000</v>
      </c>
      <c r="C13128" s="1">
        <v>44315</v>
      </c>
      <c r="D13128" s="1">
        <v>44318</v>
      </c>
      <c r="E13128">
        <v>1</v>
      </c>
      <c r="F13128" t="s">
        <v>61</v>
      </c>
      <c r="G13128" t="str">
        <f>"14-I01-05"</f>
        <v>14-I01-05</v>
      </c>
      <c r="H13128">
        <v>0.80030000000000001</v>
      </c>
      <c r="I13128" t="s">
        <v>8041</v>
      </c>
      <c r="J13128" t="s">
        <v>59</v>
      </c>
      <c r="K13128" t="str">
        <f>"6F3"</f>
        <v>6F3</v>
      </c>
      <c r="L13128" t="s">
        <v>15</v>
      </c>
    </row>
    <row r="13129" spans="1:12" x14ac:dyDescent="0.25">
      <c r="A13129" t="str">
        <f>"9553226155"</f>
        <v>9553226155</v>
      </c>
      <c r="B13129" t="str">
        <f t="shared" si="553"/>
        <v>89301000</v>
      </c>
      <c r="C13129" s="1">
        <v>44203</v>
      </c>
      <c r="D13129" s="1">
        <v>44206</v>
      </c>
      <c r="E13129">
        <v>1</v>
      </c>
      <c r="F13129" t="s">
        <v>43</v>
      </c>
      <c r="G13129" t="str">
        <f>"06-I18-05"</f>
        <v>06-I18-05</v>
      </c>
      <c r="H13129">
        <v>0.85550000000000004</v>
      </c>
      <c r="J13129" t="s">
        <v>24</v>
      </c>
      <c r="K13129" t="str">
        <f>"5F1"</f>
        <v>5F1</v>
      </c>
      <c r="L13129" t="s">
        <v>15</v>
      </c>
    </row>
    <row r="13130" spans="1:12" x14ac:dyDescent="0.25">
      <c r="A13130" t="str">
        <f>"9553226221"</f>
        <v>9553226221</v>
      </c>
      <c r="B13130" t="str">
        <f t="shared" si="553"/>
        <v>89301000</v>
      </c>
      <c r="C13130" s="1">
        <v>44545</v>
      </c>
      <c r="D13130" s="1">
        <v>44548</v>
      </c>
      <c r="E13130">
        <v>1</v>
      </c>
      <c r="F13130" t="s">
        <v>75</v>
      </c>
      <c r="G13130" t="str">
        <f>"14-M01-05"</f>
        <v>14-M01-05</v>
      </c>
      <c r="H13130">
        <v>0.54239999999999999</v>
      </c>
      <c r="I13130" t="s">
        <v>7649</v>
      </c>
      <c r="J13130" t="s">
        <v>59</v>
      </c>
      <c r="K13130" t="str">
        <f>"6F3"</f>
        <v>6F3</v>
      </c>
      <c r="L13130" t="s">
        <v>15</v>
      </c>
    </row>
    <row r="13131" spans="1:12" x14ac:dyDescent="0.25">
      <c r="A13131" t="str">
        <f>"9553232612"</f>
        <v>9553232612</v>
      </c>
      <c r="B13131" t="str">
        <f t="shared" si="553"/>
        <v>89301000</v>
      </c>
      <c r="C13131" s="1">
        <v>44403</v>
      </c>
      <c r="D13131" s="1">
        <v>44411</v>
      </c>
      <c r="E13131">
        <v>1</v>
      </c>
      <c r="F13131" t="s">
        <v>1039</v>
      </c>
      <c r="G13131" t="str">
        <f>"16-I01-02"</f>
        <v>16-I01-02</v>
      </c>
      <c r="H13131">
        <v>3.8896999999999999</v>
      </c>
      <c r="I13131" t="s">
        <v>8280</v>
      </c>
      <c r="J13131" t="s">
        <v>17</v>
      </c>
      <c r="K13131" t="str">
        <f>"2F2"</f>
        <v>2F2</v>
      </c>
      <c r="L13131" t="s">
        <v>15</v>
      </c>
    </row>
    <row r="13132" spans="1:12" x14ac:dyDescent="0.25">
      <c r="A13132" t="str">
        <f>"9554026185"</f>
        <v>9554026185</v>
      </c>
      <c r="B13132" t="str">
        <f t="shared" si="553"/>
        <v>89301000</v>
      </c>
      <c r="C13132" s="1">
        <v>44238</v>
      </c>
      <c r="D13132" s="1">
        <v>44242</v>
      </c>
      <c r="E13132">
        <v>1</v>
      </c>
      <c r="F13132" t="s">
        <v>8281</v>
      </c>
      <c r="G13132" t="str">
        <f>"13-K01-02"</f>
        <v>13-K01-02</v>
      </c>
      <c r="H13132">
        <v>0.40110000000000001</v>
      </c>
      <c r="J13132" t="s">
        <v>14</v>
      </c>
      <c r="K13132" t="str">
        <f t="shared" ref="K13132:K13139" si="554">"6F3"</f>
        <v>6F3</v>
      </c>
      <c r="L13132" t="s">
        <v>15</v>
      </c>
    </row>
    <row r="13133" spans="1:12" x14ac:dyDescent="0.25">
      <c r="A13133" t="str">
        <f>"9554075014"</f>
        <v>9554075014</v>
      </c>
      <c r="B13133" t="str">
        <f t="shared" si="553"/>
        <v>89301000</v>
      </c>
      <c r="C13133" s="1">
        <v>44368</v>
      </c>
      <c r="D13133" s="1">
        <v>44371</v>
      </c>
      <c r="E13133">
        <v>1</v>
      </c>
      <c r="F13133" t="s">
        <v>75</v>
      </c>
      <c r="G13133" t="str">
        <f>"14-M01-05"</f>
        <v>14-M01-05</v>
      </c>
      <c r="H13133">
        <v>0.54239999999999999</v>
      </c>
      <c r="I13133" t="s">
        <v>256</v>
      </c>
      <c r="J13133" t="s">
        <v>59</v>
      </c>
      <c r="K13133" t="str">
        <f t="shared" si="554"/>
        <v>6F3</v>
      </c>
      <c r="L13133" t="s">
        <v>15</v>
      </c>
    </row>
    <row r="13134" spans="1:12" x14ac:dyDescent="0.25">
      <c r="A13134" t="str">
        <f>"9554076092"</f>
        <v>9554076092</v>
      </c>
      <c r="B13134" t="str">
        <f t="shared" si="553"/>
        <v>89301000</v>
      </c>
      <c r="C13134" s="1">
        <v>44351</v>
      </c>
      <c r="D13134" s="1">
        <v>44354</v>
      </c>
      <c r="E13134">
        <v>1</v>
      </c>
      <c r="F13134" t="s">
        <v>75</v>
      </c>
      <c r="G13134" t="str">
        <f>"14-M01-05"</f>
        <v>14-M01-05</v>
      </c>
      <c r="H13134">
        <v>0.54239999999999999</v>
      </c>
      <c r="I13134" t="s">
        <v>76</v>
      </c>
      <c r="J13134" t="s">
        <v>59</v>
      </c>
      <c r="K13134" t="str">
        <f t="shared" si="554"/>
        <v>6F3</v>
      </c>
      <c r="L13134" t="s">
        <v>15</v>
      </c>
    </row>
    <row r="13135" spans="1:12" x14ac:dyDescent="0.25">
      <c r="A13135" t="str">
        <f>"9554165709"</f>
        <v>9554165709</v>
      </c>
      <c r="B13135" t="str">
        <f t="shared" si="553"/>
        <v>89301000</v>
      </c>
      <c r="C13135" s="1">
        <v>44307</v>
      </c>
      <c r="D13135" s="1">
        <v>44310</v>
      </c>
      <c r="E13135">
        <v>1</v>
      </c>
      <c r="F13135" t="s">
        <v>75</v>
      </c>
      <c r="G13135" t="str">
        <f>"14-M01-05"</f>
        <v>14-M01-05</v>
      </c>
      <c r="H13135">
        <v>0.54239999999999999</v>
      </c>
      <c r="I13135" t="s">
        <v>76</v>
      </c>
      <c r="J13135" t="s">
        <v>59</v>
      </c>
      <c r="K13135" t="str">
        <f t="shared" si="554"/>
        <v>6F3</v>
      </c>
      <c r="L13135" t="s">
        <v>15</v>
      </c>
    </row>
    <row r="13136" spans="1:12" x14ac:dyDescent="0.25">
      <c r="A13136" t="str">
        <f>"9554195706"</f>
        <v>9554195706</v>
      </c>
      <c r="B13136" t="str">
        <f t="shared" si="553"/>
        <v>89301000</v>
      </c>
      <c r="C13136" s="1">
        <v>44461</v>
      </c>
      <c r="D13136" s="1">
        <v>44467</v>
      </c>
      <c r="E13136">
        <v>1</v>
      </c>
      <c r="F13136" t="s">
        <v>61</v>
      </c>
      <c r="G13136" t="str">
        <f>"14-I01-05"</f>
        <v>14-I01-05</v>
      </c>
      <c r="H13136">
        <v>0.80030000000000001</v>
      </c>
      <c r="I13136" t="s">
        <v>62</v>
      </c>
      <c r="J13136" t="s">
        <v>59</v>
      </c>
      <c r="K13136" t="str">
        <f t="shared" si="554"/>
        <v>6F3</v>
      </c>
      <c r="L13136" t="s">
        <v>15</v>
      </c>
    </row>
    <row r="13137" spans="1:12" x14ac:dyDescent="0.25">
      <c r="A13137" t="str">
        <f>"9554285730"</f>
        <v>9554285730</v>
      </c>
      <c r="B13137" t="str">
        <f t="shared" si="553"/>
        <v>89301000</v>
      </c>
      <c r="C13137" s="1">
        <v>44461</v>
      </c>
      <c r="D13137" s="1">
        <v>44467</v>
      </c>
      <c r="E13137">
        <v>1</v>
      </c>
      <c r="F13137" t="s">
        <v>75</v>
      </c>
      <c r="G13137" t="str">
        <f>"14-M01-05"</f>
        <v>14-M01-05</v>
      </c>
      <c r="H13137">
        <v>0.54239999999999999</v>
      </c>
      <c r="I13137" t="s">
        <v>7503</v>
      </c>
      <c r="J13137" t="s">
        <v>59</v>
      </c>
      <c r="K13137" t="str">
        <f t="shared" si="554"/>
        <v>6F3</v>
      </c>
      <c r="L13137" t="s">
        <v>15</v>
      </c>
    </row>
    <row r="13138" spans="1:12" x14ac:dyDescent="0.25">
      <c r="A13138" t="str">
        <f>"9554293771"</f>
        <v>9554293771</v>
      </c>
      <c r="B13138" t="str">
        <f t="shared" si="553"/>
        <v>89301000</v>
      </c>
      <c r="C13138" s="1">
        <v>44480</v>
      </c>
      <c r="D13138" s="1">
        <v>44484</v>
      </c>
      <c r="E13138">
        <v>1</v>
      </c>
      <c r="F13138" t="s">
        <v>82</v>
      </c>
      <c r="G13138" t="str">
        <f>"14-I01-05"</f>
        <v>14-I01-05</v>
      </c>
      <c r="H13138">
        <v>0.80030000000000001</v>
      </c>
      <c r="I13138" t="s">
        <v>8282</v>
      </c>
      <c r="J13138" t="s">
        <v>59</v>
      </c>
      <c r="K13138" t="str">
        <f t="shared" si="554"/>
        <v>6F3</v>
      </c>
      <c r="L13138" t="s">
        <v>15</v>
      </c>
    </row>
    <row r="13139" spans="1:12" x14ac:dyDescent="0.25">
      <c r="A13139" t="str">
        <f>"9555095759"</f>
        <v>9555095759</v>
      </c>
      <c r="B13139" t="str">
        <f t="shared" si="553"/>
        <v>89301000</v>
      </c>
      <c r="C13139" s="1">
        <v>44277</v>
      </c>
      <c r="D13139" s="1">
        <v>44286</v>
      </c>
      <c r="E13139">
        <v>1</v>
      </c>
      <c r="F13139" t="s">
        <v>82</v>
      </c>
      <c r="G13139" t="str">
        <f>"14-I01-05"</f>
        <v>14-I01-05</v>
      </c>
      <c r="H13139">
        <v>0.95020000000000004</v>
      </c>
      <c r="I13139" t="s">
        <v>8283</v>
      </c>
      <c r="J13139" t="s">
        <v>59</v>
      </c>
      <c r="K13139" t="str">
        <f t="shared" si="554"/>
        <v>6F3</v>
      </c>
      <c r="L13139" t="s">
        <v>15</v>
      </c>
    </row>
    <row r="13140" spans="1:12" x14ac:dyDescent="0.25">
      <c r="A13140" t="str">
        <f>"9555185739"</f>
        <v>9555185739</v>
      </c>
      <c r="B13140" t="str">
        <f t="shared" si="553"/>
        <v>89301000</v>
      </c>
      <c r="C13140" s="1">
        <v>44279</v>
      </c>
      <c r="D13140" s="1">
        <v>44287</v>
      </c>
      <c r="E13140">
        <v>1</v>
      </c>
      <c r="F13140" t="s">
        <v>8284</v>
      </c>
      <c r="G13140" t="str">
        <f>"19-K03-03"</f>
        <v>19-K03-03</v>
      </c>
      <c r="H13140">
        <v>0.93169999999999997</v>
      </c>
      <c r="I13140" t="s">
        <v>8285</v>
      </c>
      <c r="J13140" t="s">
        <v>27</v>
      </c>
      <c r="K13140" t="str">
        <f>"3F5"</f>
        <v>3F5</v>
      </c>
      <c r="L13140" t="s">
        <v>15</v>
      </c>
    </row>
    <row r="13141" spans="1:12" x14ac:dyDescent="0.25">
      <c r="A13141" t="str">
        <f>"9555245755"</f>
        <v>9555245755</v>
      </c>
      <c r="B13141" t="str">
        <f t="shared" si="553"/>
        <v>89301000</v>
      </c>
      <c r="C13141" s="1">
        <v>44321</v>
      </c>
      <c r="D13141" s="1">
        <v>44326</v>
      </c>
      <c r="E13141">
        <v>1</v>
      </c>
      <c r="F13141" t="s">
        <v>61</v>
      </c>
      <c r="G13141" t="str">
        <f>"14-I01-05"</f>
        <v>14-I01-05</v>
      </c>
      <c r="H13141">
        <v>0.80030000000000001</v>
      </c>
      <c r="I13141" t="s">
        <v>8286</v>
      </c>
      <c r="J13141" t="s">
        <v>59</v>
      </c>
      <c r="K13141" t="str">
        <f>"6F3"</f>
        <v>6F3</v>
      </c>
      <c r="L13141" t="s">
        <v>15</v>
      </c>
    </row>
    <row r="13142" spans="1:12" x14ac:dyDescent="0.25">
      <c r="A13142" t="str">
        <f>"9555245821"</f>
        <v>9555245821</v>
      </c>
      <c r="B13142" t="str">
        <f t="shared" ref="B13142:B13205" si="555">"89301000"</f>
        <v>89301000</v>
      </c>
      <c r="C13142" s="1">
        <v>44415</v>
      </c>
      <c r="D13142" s="1">
        <v>44417</v>
      </c>
      <c r="E13142">
        <v>1</v>
      </c>
      <c r="F13142" t="s">
        <v>266</v>
      </c>
      <c r="G13142" t="str">
        <f>"13-K02-00"</f>
        <v>13-K02-00</v>
      </c>
      <c r="H13142">
        <v>0.24079999999999999</v>
      </c>
      <c r="J13142" t="s">
        <v>14</v>
      </c>
      <c r="K13142" t="str">
        <f>"6F3"</f>
        <v>6F3</v>
      </c>
      <c r="L13142" t="s">
        <v>15</v>
      </c>
    </row>
    <row r="13143" spans="1:12" x14ac:dyDescent="0.25">
      <c r="A13143" t="str">
        <f>"9556054354"</f>
        <v>9556054354</v>
      </c>
      <c r="B13143" t="str">
        <f t="shared" si="555"/>
        <v>89301000</v>
      </c>
      <c r="C13143" s="1">
        <v>44357</v>
      </c>
      <c r="D13143" s="1">
        <v>44363</v>
      </c>
      <c r="E13143">
        <v>1</v>
      </c>
      <c r="F13143" t="s">
        <v>61</v>
      </c>
      <c r="G13143" t="str">
        <f>"14-I01-01"</f>
        <v>14-I01-01</v>
      </c>
      <c r="H13143">
        <v>1.5294000000000001</v>
      </c>
      <c r="I13143" t="s">
        <v>8287</v>
      </c>
      <c r="J13143" t="s">
        <v>59</v>
      </c>
      <c r="K13143" t="str">
        <f>"6F3"</f>
        <v>6F3</v>
      </c>
      <c r="L13143" t="s">
        <v>15</v>
      </c>
    </row>
    <row r="13144" spans="1:12" x14ac:dyDescent="0.25">
      <c r="A13144" t="str">
        <f>"9556054354"</f>
        <v>9556054354</v>
      </c>
      <c r="B13144" t="str">
        <f t="shared" si="555"/>
        <v>89301000</v>
      </c>
      <c r="C13144" s="1">
        <v>44351</v>
      </c>
      <c r="D13144" s="1">
        <v>44351</v>
      </c>
      <c r="E13144">
        <v>1</v>
      </c>
      <c r="F13144" t="s">
        <v>7903</v>
      </c>
      <c r="G13144" t="str">
        <f>"14-K03-02"</f>
        <v>14-K03-02</v>
      </c>
      <c r="H13144">
        <v>0.13270000000000001</v>
      </c>
      <c r="I13144" t="s">
        <v>7429</v>
      </c>
      <c r="J13144" t="s">
        <v>14</v>
      </c>
      <c r="K13144" t="str">
        <f>"6F3"</f>
        <v>6F3</v>
      </c>
      <c r="L13144" t="s">
        <v>15</v>
      </c>
    </row>
    <row r="13145" spans="1:12" x14ac:dyDescent="0.25">
      <c r="A13145" t="str">
        <f>"9556065717"</f>
        <v>9556065717</v>
      </c>
      <c r="B13145" t="str">
        <f t="shared" si="555"/>
        <v>89301000</v>
      </c>
      <c r="C13145" s="1">
        <v>44389</v>
      </c>
      <c r="D13145" s="1">
        <v>44393</v>
      </c>
      <c r="E13145">
        <v>1</v>
      </c>
      <c r="F13145" t="s">
        <v>75</v>
      </c>
      <c r="G13145" t="str">
        <f>"14-M01-05"</f>
        <v>14-M01-05</v>
      </c>
      <c r="H13145">
        <v>0.54239999999999999</v>
      </c>
      <c r="J13145" t="s">
        <v>59</v>
      </c>
      <c r="K13145" t="str">
        <f>"6F3"</f>
        <v>6F3</v>
      </c>
      <c r="L13145" t="s">
        <v>15</v>
      </c>
    </row>
    <row r="13146" spans="1:12" x14ac:dyDescent="0.25">
      <c r="A13146" t="str">
        <f>"9556194186"</f>
        <v>9556194186</v>
      </c>
      <c r="B13146" t="str">
        <f t="shared" si="555"/>
        <v>89301000</v>
      </c>
      <c r="C13146" s="1">
        <v>44506</v>
      </c>
      <c r="D13146" s="1">
        <v>44519</v>
      </c>
      <c r="E13146">
        <v>1</v>
      </c>
      <c r="F13146" t="s">
        <v>8288</v>
      </c>
      <c r="G13146" t="str">
        <f>"20-K04-02"</f>
        <v>20-K04-02</v>
      </c>
      <c r="H13146">
        <v>1.4984</v>
      </c>
      <c r="I13146" t="s">
        <v>8289</v>
      </c>
      <c r="J13146" t="s">
        <v>14</v>
      </c>
      <c r="K13146" t="str">
        <f>"3F5"</f>
        <v>3F5</v>
      </c>
      <c r="L13146" t="s">
        <v>15</v>
      </c>
    </row>
    <row r="13147" spans="1:12" x14ac:dyDescent="0.25">
      <c r="A13147" t="str">
        <f>"9556256226"</f>
        <v>9556256226</v>
      </c>
      <c r="B13147" t="str">
        <f t="shared" si="555"/>
        <v>89301000</v>
      </c>
      <c r="C13147" s="1">
        <v>44378</v>
      </c>
      <c r="D13147" s="1">
        <v>44382</v>
      </c>
      <c r="E13147">
        <v>1</v>
      </c>
      <c r="F13147" t="s">
        <v>75</v>
      </c>
      <c r="G13147" t="str">
        <f>"14-M01-05"</f>
        <v>14-M01-05</v>
      </c>
      <c r="H13147">
        <v>0.54239999999999999</v>
      </c>
      <c r="I13147" t="s">
        <v>180</v>
      </c>
      <c r="J13147" t="s">
        <v>59</v>
      </c>
      <c r="K13147" t="str">
        <f>"6F3"</f>
        <v>6F3</v>
      </c>
      <c r="L13147" t="s">
        <v>15</v>
      </c>
    </row>
    <row r="13148" spans="1:12" x14ac:dyDescent="0.25">
      <c r="A13148" t="str">
        <f>"9556276202"</f>
        <v>9556276202</v>
      </c>
      <c r="B13148" t="str">
        <f t="shared" si="555"/>
        <v>89301000</v>
      </c>
      <c r="C13148" s="1">
        <v>44197</v>
      </c>
      <c r="D13148" s="1">
        <v>44200</v>
      </c>
      <c r="E13148">
        <v>1</v>
      </c>
      <c r="F13148" t="s">
        <v>314</v>
      </c>
      <c r="G13148" t="str">
        <f>"03-K12-01"</f>
        <v>03-K12-01</v>
      </c>
      <c r="H13148">
        <v>0.376</v>
      </c>
      <c r="I13148" t="s">
        <v>8290</v>
      </c>
      <c r="J13148" t="s">
        <v>14</v>
      </c>
      <c r="K13148" t="str">
        <f>"6F5"</f>
        <v>6F5</v>
      </c>
      <c r="L13148" t="s">
        <v>15</v>
      </c>
    </row>
    <row r="13149" spans="1:12" x14ac:dyDescent="0.25">
      <c r="A13149" t="str">
        <f>"9556285772"</f>
        <v>9556285772</v>
      </c>
      <c r="B13149" t="str">
        <f t="shared" si="555"/>
        <v>89301000</v>
      </c>
      <c r="C13149" s="1">
        <v>44222</v>
      </c>
      <c r="D13149" s="1">
        <v>44225</v>
      </c>
      <c r="E13149">
        <v>1</v>
      </c>
      <c r="F13149" t="s">
        <v>75</v>
      </c>
      <c r="G13149" t="str">
        <f>"14-M01-02"</f>
        <v>14-M01-02</v>
      </c>
      <c r="H13149">
        <v>0.74450000000000005</v>
      </c>
      <c r="I13149" t="s">
        <v>7708</v>
      </c>
      <c r="J13149" t="s">
        <v>59</v>
      </c>
      <c r="K13149" t="str">
        <f>"6F3"</f>
        <v>6F3</v>
      </c>
      <c r="L13149" t="s">
        <v>15</v>
      </c>
    </row>
    <row r="13150" spans="1:12" x14ac:dyDescent="0.25">
      <c r="A13150" t="str">
        <f>"9556304846"</f>
        <v>9556304846</v>
      </c>
      <c r="B13150" t="str">
        <f t="shared" si="555"/>
        <v>89301000</v>
      </c>
      <c r="C13150" s="1">
        <v>44536</v>
      </c>
      <c r="D13150" s="1">
        <v>44541</v>
      </c>
      <c r="E13150">
        <v>1</v>
      </c>
      <c r="F13150" t="s">
        <v>82</v>
      </c>
      <c r="G13150" t="str">
        <f>"14-I01-01"</f>
        <v>14-I01-01</v>
      </c>
      <c r="H13150">
        <v>1.5449999999999999</v>
      </c>
      <c r="I13150" t="s">
        <v>8291</v>
      </c>
      <c r="J13150" t="s">
        <v>59</v>
      </c>
      <c r="K13150" t="str">
        <f>"6F3"</f>
        <v>6F3</v>
      </c>
      <c r="L13150" t="s">
        <v>15</v>
      </c>
    </row>
    <row r="13151" spans="1:12" x14ac:dyDescent="0.25">
      <c r="A13151" t="str">
        <f>"9557036170"</f>
        <v>9557036170</v>
      </c>
      <c r="B13151" t="str">
        <f t="shared" si="555"/>
        <v>89301000</v>
      </c>
      <c r="C13151" s="1">
        <v>44343</v>
      </c>
      <c r="D13151" s="1">
        <v>44349</v>
      </c>
      <c r="E13151">
        <v>1</v>
      </c>
      <c r="F13151" t="s">
        <v>75</v>
      </c>
      <c r="G13151" t="str">
        <f>"14-M01-05"</f>
        <v>14-M01-05</v>
      </c>
      <c r="H13151">
        <v>0.60229999999999995</v>
      </c>
      <c r="I13151" t="s">
        <v>7649</v>
      </c>
      <c r="J13151" t="s">
        <v>59</v>
      </c>
      <c r="K13151" t="str">
        <f>"6F3"</f>
        <v>6F3</v>
      </c>
      <c r="L13151" t="s">
        <v>15</v>
      </c>
    </row>
    <row r="13152" spans="1:12" x14ac:dyDescent="0.25">
      <c r="A13152" t="str">
        <f>"9557105734"</f>
        <v>9557105734</v>
      </c>
      <c r="B13152" t="str">
        <f t="shared" si="555"/>
        <v>89301000</v>
      </c>
      <c r="C13152" s="1">
        <v>44230</v>
      </c>
      <c r="D13152" s="1">
        <v>44232</v>
      </c>
      <c r="E13152">
        <v>1</v>
      </c>
      <c r="F13152" t="s">
        <v>61</v>
      </c>
      <c r="G13152" t="str">
        <f>"14-I01-05"</f>
        <v>14-I01-05</v>
      </c>
      <c r="H13152">
        <v>0.80030000000000001</v>
      </c>
      <c r="I13152" t="s">
        <v>7853</v>
      </c>
      <c r="J13152" t="s">
        <v>59</v>
      </c>
      <c r="K13152" t="str">
        <f>"6F3"</f>
        <v>6F3</v>
      </c>
      <c r="L13152" t="s">
        <v>15</v>
      </c>
    </row>
    <row r="13153" spans="1:12" x14ac:dyDescent="0.25">
      <c r="A13153" t="str">
        <f>"9557135401"</f>
        <v>9557135401</v>
      </c>
      <c r="B13153" t="str">
        <f t="shared" si="555"/>
        <v>89301000</v>
      </c>
      <c r="C13153" s="1">
        <v>44242</v>
      </c>
      <c r="D13153" s="1">
        <v>44265</v>
      </c>
      <c r="E13153">
        <v>1</v>
      </c>
      <c r="F13153" t="s">
        <v>152</v>
      </c>
      <c r="G13153" t="str">
        <f>"19-K05-02"</f>
        <v>19-K05-02</v>
      </c>
      <c r="H13153">
        <v>1.8835999999999999</v>
      </c>
      <c r="I13153" t="s">
        <v>8292</v>
      </c>
      <c r="J13153" t="s">
        <v>27</v>
      </c>
      <c r="K13153" t="str">
        <f>"3F5"</f>
        <v>3F5</v>
      </c>
      <c r="L13153" t="s">
        <v>15</v>
      </c>
    </row>
    <row r="13154" spans="1:12" x14ac:dyDescent="0.25">
      <c r="A13154" t="str">
        <f>"9557135401"</f>
        <v>9557135401</v>
      </c>
      <c r="B13154" t="str">
        <f t="shared" si="555"/>
        <v>89301000</v>
      </c>
      <c r="C13154" s="1">
        <v>44284</v>
      </c>
      <c r="D13154" s="1">
        <v>44302</v>
      </c>
      <c r="E13154">
        <v>1</v>
      </c>
      <c r="F13154" t="s">
        <v>257</v>
      </c>
      <c r="G13154" t="str">
        <f>"19-K04-02"</f>
        <v>19-K04-02</v>
      </c>
      <c r="H13154">
        <v>1.4597</v>
      </c>
      <c r="I13154" t="s">
        <v>8293</v>
      </c>
      <c r="J13154" t="s">
        <v>27</v>
      </c>
      <c r="K13154" t="str">
        <f>"3F5"</f>
        <v>3F5</v>
      </c>
      <c r="L13154" t="s">
        <v>15</v>
      </c>
    </row>
    <row r="13155" spans="1:12" x14ac:dyDescent="0.25">
      <c r="A13155" t="str">
        <f>"9557165739"</f>
        <v>9557165739</v>
      </c>
      <c r="B13155" t="str">
        <f t="shared" si="555"/>
        <v>89301000</v>
      </c>
      <c r="C13155" s="1">
        <v>44460</v>
      </c>
      <c r="D13155" s="1">
        <v>44463</v>
      </c>
      <c r="E13155">
        <v>1</v>
      </c>
      <c r="F13155" t="s">
        <v>116</v>
      </c>
      <c r="G13155" t="str">
        <f>"14-M01-05"</f>
        <v>14-M01-05</v>
      </c>
      <c r="H13155">
        <v>0.54239999999999999</v>
      </c>
      <c r="I13155" t="s">
        <v>7305</v>
      </c>
      <c r="J13155" t="s">
        <v>59</v>
      </c>
      <c r="K13155" t="str">
        <f>"6F3"</f>
        <v>6F3</v>
      </c>
      <c r="L13155" t="s">
        <v>15</v>
      </c>
    </row>
    <row r="13156" spans="1:12" x14ac:dyDescent="0.25">
      <c r="A13156" t="str">
        <f>"9557195736"</f>
        <v>9557195736</v>
      </c>
      <c r="B13156" t="str">
        <f t="shared" si="555"/>
        <v>89301000</v>
      </c>
      <c r="C13156" s="1">
        <v>44369</v>
      </c>
      <c r="D13156" s="1">
        <v>44371</v>
      </c>
      <c r="E13156">
        <v>1</v>
      </c>
      <c r="F13156" t="s">
        <v>215</v>
      </c>
      <c r="G13156" t="str">
        <f>"08-I15-03"</f>
        <v>08-I15-03</v>
      </c>
      <c r="H13156">
        <v>1.1838</v>
      </c>
      <c r="I13156" t="s">
        <v>233</v>
      </c>
      <c r="J13156" t="s">
        <v>17</v>
      </c>
      <c r="K13156" t="str">
        <f>"5F3"</f>
        <v>5F3</v>
      </c>
      <c r="L13156" t="s">
        <v>15</v>
      </c>
    </row>
    <row r="13157" spans="1:12" x14ac:dyDescent="0.25">
      <c r="A13157" t="str">
        <f>"9557216064"</f>
        <v>9557216064</v>
      </c>
      <c r="B13157" t="str">
        <f t="shared" si="555"/>
        <v>89301000</v>
      </c>
      <c r="C13157" s="1">
        <v>44448</v>
      </c>
      <c r="D13157" s="1">
        <v>44449</v>
      </c>
      <c r="E13157">
        <v>1</v>
      </c>
      <c r="F13157" t="s">
        <v>287</v>
      </c>
      <c r="G13157" t="str">
        <f>"01-K16-06"</f>
        <v>01-K16-06</v>
      </c>
      <c r="H13157">
        <v>0.26469999999999999</v>
      </c>
      <c r="I13157" t="s">
        <v>381</v>
      </c>
      <c r="J13157" t="s">
        <v>14</v>
      </c>
      <c r="K13157" t="str">
        <f>"5F3"</f>
        <v>5F3</v>
      </c>
      <c r="L13157" t="s">
        <v>15</v>
      </c>
    </row>
    <row r="13158" spans="1:12" x14ac:dyDescent="0.25">
      <c r="A13158" t="str">
        <f>"9557245709"</f>
        <v>9557245709</v>
      </c>
      <c r="B13158" t="str">
        <f t="shared" si="555"/>
        <v>89301000</v>
      </c>
      <c r="C13158" s="1">
        <v>44348</v>
      </c>
      <c r="D13158" s="1">
        <v>44361</v>
      </c>
      <c r="E13158">
        <v>1</v>
      </c>
      <c r="F13158" t="s">
        <v>148</v>
      </c>
      <c r="G13158" t="str">
        <f>"04-K11-01"</f>
        <v>04-K11-01</v>
      </c>
      <c r="H13158">
        <v>1.8947000000000001</v>
      </c>
      <c r="I13158" t="s">
        <v>8294</v>
      </c>
      <c r="J13158" t="s">
        <v>14</v>
      </c>
      <c r="K13158" t="str">
        <f>"2F5"</f>
        <v>2F5</v>
      </c>
      <c r="L13158" t="s">
        <v>15</v>
      </c>
    </row>
    <row r="13159" spans="1:12" x14ac:dyDescent="0.25">
      <c r="A13159" t="str">
        <f>"9557245709"</f>
        <v>9557245709</v>
      </c>
      <c r="B13159" t="str">
        <f t="shared" si="555"/>
        <v>89301000</v>
      </c>
      <c r="C13159" s="1">
        <v>44442</v>
      </c>
      <c r="D13159" s="1">
        <v>44456</v>
      </c>
      <c r="E13159">
        <v>1</v>
      </c>
      <c r="F13159" t="s">
        <v>148</v>
      </c>
      <c r="G13159" t="str">
        <f>"04-K11-01"</f>
        <v>04-K11-01</v>
      </c>
      <c r="H13159">
        <v>1.8947000000000001</v>
      </c>
      <c r="I13159" t="s">
        <v>8294</v>
      </c>
      <c r="J13159" t="s">
        <v>14</v>
      </c>
      <c r="K13159" t="str">
        <f>"2F5"</f>
        <v>2F5</v>
      </c>
      <c r="L13159" t="s">
        <v>15</v>
      </c>
    </row>
    <row r="13160" spans="1:12" x14ac:dyDescent="0.25">
      <c r="A13160" t="str">
        <f>"9557245709"</f>
        <v>9557245709</v>
      </c>
      <c r="B13160" t="str">
        <f t="shared" si="555"/>
        <v>89301000</v>
      </c>
      <c r="C13160" s="1">
        <v>44375</v>
      </c>
      <c r="D13160" s="1">
        <v>44379</v>
      </c>
      <c r="E13160">
        <v>1</v>
      </c>
      <c r="F13160" t="s">
        <v>148</v>
      </c>
      <c r="G13160" t="str">
        <f>"04-K11-01"</f>
        <v>04-K11-01</v>
      </c>
      <c r="H13160">
        <v>1.8947000000000001</v>
      </c>
      <c r="I13160" t="s">
        <v>8294</v>
      </c>
      <c r="J13160" t="s">
        <v>14</v>
      </c>
      <c r="K13160" t="str">
        <f>"2F5"</f>
        <v>2F5</v>
      </c>
      <c r="L13160" t="s">
        <v>15</v>
      </c>
    </row>
    <row r="13161" spans="1:12" x14ac:dyDescent="0.25">
      <c r="A13161" t="str">
        <f>"9557245709"</f>
        <v>9557245709</v>
      </c>
      <c r="B13161" t="str">
        <f t="shared" si="555"/>
        <v>89301000</v>
      </c>
      <c r="C13161" s="1">
        <v>44200</v>
      </c>
      <c r="D13161" s="1">
        <v>44211</v>
      </c>
      <c r="E13161">
        <v>1</v>
      </c>
      <c r="F13161" t="s">
        <v>148</v>
      </c>
      <c r="G13161" t="str">
        <f>"04-K11-01"</f>
        <v>04-K11-01</v>
      </c>
      <c r="H13161">
        <v>1.8947000000000001</v>
      </c>
      <c r="I13161" t="s">
        <v>8294</v>
      </c>
      <c r="J13161" t="s">
        <v>14</v>
      </c>
      <c r="K13161" t="str">
        <f>"2F5"</f>
        <v>2F5</v>
      </c>
      <c r="L13161" t="s">
        <v>15</v>
      </c>
    </row>
    <row r="13162" spans="1:12" x14ac:dyDescent="0.25">
      <c r="A13162" t="str">
        <f>"9557245709"</f>
        <v>9557245709</v>
      </c>
      <c r="B13162" t="str">
        <f t="shared" si="555"/>
        <v>89301000</v>
      </c>
      <c r="C13162" s="1">
        <v>44295</v>
      </c>
      <c r="D13162" s="1">
        <v>44307</v>
      </c>
      <c r="E13162">
        <v>1</v>
      </c>
      <c r="F13162" t="s">
        <v>148</v>
      </c>
      <c r="G13162" t="str">
        <f>"04-K11-01"</f>
        <v>04-K11-01</v>
      </c>
      <c r="H13162">
        <v>1.8947000000000001</v>
      </c>
      <c r="I13162" t="s">
        <v>8295</v>
      </c>
      <c r="J13162" t="s">
        <v>14</v>
      </c>
      <c r="K13162" t="str">
        <f>"2F5"</f>
        <v>2F5</v>
      </c>
      <c r="L13162" t="s">
        <v>15</v>
      </c>
    </row>
    <row r="13163" spans="1:12" x14ac:dyDescent="0.25">
      <c r="A13163" t="str">
        <f>"9557305010"</f>
        <v>9557305010</v>
      </c>
      <c r="B13163" t="str">
        <f t="shared" si="555"/>
        <v>89301000</v>
      </c>
      <c r="C13163" s="1">
        <v>44317</v>
      </c>
      <c r="D13163" s="1">
        <v>44320</v>
      </c>
      <c r="E13163">
        <v>1</v>
      </c>
      <c r="F13163" t="s">
        <v>112</v>
      </c>
      <c r="G13163" t="str">
        <f>"14-M01-05"</f>
        <v>14-M01-05</v>
      </c>
      <c r="H13163">
        <v>0.54239999999999999</v>
      </c>
      <c r="I13163" t="s">
        <v>8014</v>
      </c>
      <c r="J13163" t="s">
        <v>59</v>
      </c>
      <c r="K13163" t="str">
        <f>"6F3"</f>
        <v>6F3</v>
      </c>
      <c r="L13163" t="s">
        <v>15</v>
      </c>
    </row>
    <row r="13164" spans="1:12" x14ac:dyDescent="0.25">
      <c r="A13164" t="str">
        <f>"9558075736"</f>
        <v>9558075736</v>
      </c>
      <c r="B13164" t="str">
        <f t="shared" si="555"/>
        <v>89301000</v>
      </c>
      <c r="C13164" s="1">
        <v>44472</v>
      </c>
      <c r="D13164" s="1">
        <v>44473</v>
      </c>
      <c r="E13164">
        <v>1</v>
      </c>
      <c r="F13164" t="s">
        <v>804</v>
      </c>
      <c r="G13164" t="str">
        <f>"08-I17-02"</f>
        <v>08-I17-02</v>
      </c>
      <c r="H13164">
        <v>0.98309999999999997</v>
      </c>
      <c r="I13164" t="s">
        <v>512</v>
      </c>
      <c r="J13164" t="s">
        <v>14</v>
      </c>
      <c r="K13164" t="str">
        <f>"5F3"</f>
        <v>5F3</v>
      </c>
      <c r="L13164" t="s">
        <v>15</v>
      </c>
    </row>
    <row r="13165" spans="1:12" x14ac:dyDescent="0.25">
      <c r="A13165" t="str">
        <f>"9558075736"</f>
        <v>9558075736</v>
      </c>
      <c r="B13165" t="str">
        <f t="shared" si="555"/>
        <v>89301000</v>
      </c>
      <c r="C13165" s="1">
        <v>44323</v>
      </c>
      <c r="D13165" s="1">
        <v>44325</v>
      </c>
      <c r="E13165">
        <v>1</v>
      </c>
      <c r="F13165" t="s">
        <v>8296</v>
      </c>
      <c r="G13165" t="str">
        <f>"08-I26-02"</f>
        <v>08-I26-02</v>
      </c>
      <c r="H13165">
        <v>0.95730000000000004</v>
      </c>
      <c r="I13165" t="s">
        <v>8297</v>
      </c>
      <c r="J13165" t="s">
        <v>14</v>
      </c>
      <c r="K13165" t="str">
        <f>"5F3"</f>
        <v>5F3</v>
      </c>
      <c r="L13165" t="s">
        <v>15</v>
      </c>
    </row>
    <row r="13166" spans="1:12" x14ac:dyDescent="0.25">
      <c r="A13166" t="str">
        <f>"9558226062"</f>
        <v>9558226062</v>
      </c>
      <c r="B13166" t="str">
        <f t="shared" si="555"/>
        <v>89301000</v>
      </c>
      <c r="C13166" s="1">
        <v>44550</v>
      </c>
      <c r="D13166" s="1">
        <v>44553</v>
      </c>
      <c r="E13166">
        <v>1</v>
      </c>
      <c r="F13166" t="s">
        <v>75</v>
      </c>
      <c r="G13166" t="str">
        <f>"14-M01-05"</f>
        <v>14-M01-05</v>
      </c>
      <c r="H13166">
        <v>0.54239999999999999</v>
      </c>
      <c r="I13166" t="s">
        <v>118</v>
      </c>
      <c r="J13166" t="s">
        <v>59</v>
      </c>
      <c r="K13166" t="str">
        <f>"6F3"</f>
        <v>6F3</v>
      </c>
      <c r="L13166" t="s">
        <v>15</v>
      </c>
    </row>
    <row r="13167" spans="1:12" x14ac:dyDescent="0.25">
      <c r="A13167" t="str">
        <f>"9559055726"</f>
        <v>9559055726</v>
      </c>
      <c r="B13167" t="str">
        <f t="shared" si="555"/>
        <v>89301000</v>
      </c>
      <c r="C13167" s="1">
        <v>44408</v>
      </c>
      <c r="D13167" s="1">
        <v>44411</v>
      </c>
      <c r="E13167">
        <v>1</v>
      </c>
      <c r="F13167" t="s">
        <v>75</v>
      </c>
      <c r="G13167" t="str">
        <f>"14-M01-05"</f>
        <v>14-M01-05</v>
      </c>
      <c r="H13167">
        <v>0.54239999999999999</v>
      </c>
      <c r="I13167" t="s">
        <v>426</v>
      </c>
      <c r="J13167" t="s">
        <v>59</v>
      </c>
      <c r="K13167" t="str">
        <f>"6F3"</f>
        <v>6F3</v>
      </c>
      <c r="L13167" t="s">
        <v>15</v>
      </c>
    </row>
    <row r="13168" spans="1:12" x14ac:dyDescent="0.25">
      <c r="A13168" t="str">
        <f>"9559084590"</f>
        <v>9559084590</v>
      </c>
      <c r="B13168" t="str">
        <f t="shared" si="555"/>
        <v>89301000</v>
      </c>
      <c r="C13168" s="1">
        <v>44367</v>
      </c>
      <c r="D13168" s="1">
        <v>44368</v>
      </c>
      <c r="E13168">
        <v>1</v>
      </c>
      <c r="F13168" t="s">
        <v>8298</v>
      </c>
      <c r="G13168" t="str">
        <f>"07-M02-04"</f>
        <v>07-M02-04</v>
      </c>
      <c r="H13168">
        <v>0.85050000000000003</v>
      </c>
      <c r="I13168" t="s">
        <v>8299</v>
      </c>
      <c r="J13168" t="s">
        <v>17</v>
      </c>
      <c r="K13168" t="str">
        <f>"1F1"</f>
        <v>1F1</v>
      </c>
      <c r="L13168" t="s">
        <v>15</v>
      </c>
    </row>
    <row r="13169" spans="1:12" x14ac:dyDescent="0.25">
      <c r="A13169" t="str">
        <f>"9559085701"</f>
        <v>9559085701</v>
      </c>
      <c r="B13169" t="str">
        <f t="shared" si="555"/>
        <v>89301000</v>
      </c>
      <c r="C13169" s="1">
        <v>44457</v>
      </c>
      <c r="D13169" s="1">
        <v>44462</v>
      </c>
      <c r="E13169">
        <v>1</v>
      </c>
      <c r="F13169" t="s">
        <v>112</v>
      </c>
      <c r="G13169" t="str">
        <f>"14-M01-05"</f>
        <v>14-M01-05</v>
      </c>
      <c r="H13169">
        <v>0.54239999999999999</v>
      </c>
      <c r="I13169" t="s">
        <v>8085</v>
      </c>
      <c r="J13169" t="s">
        <v>59</v>
      </c>
      <c r="K13169" t="str">
        <f>"6F3"</f>
        <v>6F3</v>
      </c>
      <c r="L13169" t="s">
        <v>15</v>
      </c>
    </row>
    <row r="13170" spans="1:12" x14ac:dyDescent="0.25">
      <c r="A13170" t="str">
        <f>"9559094853"</f>
        <v>9559094853</v>
      </c>
      <c r="B13170" t="str">
        <f t="shared" si="555"/>
        <v>89301000</v>
      </c>
      <c r="C13170" s="1">
        <v>44488</v>
      </c>
      <c r="D13170" s="1">
        <v>44490</v>
      </c>
      <c r="E13170">
        <v>1</v>
      </c>
      <c r="F13170" t="s">
        <v>75</v>
      </c>
      <c r="G13170" t="str">
        <f>"14-M01-05"</f>
        <v>14-M01-05</v>
      </c>
      <c r="H13170">
        <v>0.54239999999999999</v>
      </c>
      <c r="I13170" t="s">
        <v>7108</v>
      </c>
      <c r="J13170" t="s">
        <v>59</v>
      </c>
      <c r="K13170" t="str">
        <f>"6F3"</f>
        <v>6F3</v>
      </c>
      <c r="L13170" t="s">
        <v>15</v>
      </c>
    </row>
    <row r="13171" spans="1:12" x14ac:dyDescent="0.25">
      <c r="A13171" t="str">
        <f>"9559156145"</f>
        <v>9559156145</v>
      </c>
      <c r="B13171" t="str">
        <f t="shared" si="555"/>
        <v>89301000</v>
      </c>
      <c r="C13171" s="1">
        <v>44336</v>
      </c>
      <c r="D13171" s="1">
        <v>44339</v>
      </c>
      <c r="E13171">
        <v>1</v>
      </c>
      <c r="F13171" t="s">
        <v>710</v>
      </c>
      <c r="G13171" t="str">
        <f>"03-I14-02"</f>
        <v>03-I14-02</v>
      </c>
      <c r="H13171">
        <v>1.1086</v>
      </c>
      <c r="I13171" t="s">
        <v>8300</v>
      </c>
      <c r="J13171" t="s">
        <v>14</v>
      </c>
      <c r="K13171" t="str">
        <f>"7F1"</f>
        <v>7F1</v>
      </c>
      <c r="L13171" t="s">
        <v>15</v>
      </c>
    </row>
    <row r="13172" spans="1:12" x14ac:dyDescent="0.25">
      <c r="A13172" t="str">
        <f>"9559185306"</f>
        <v>9559185306</v>
      </c>
      <c r="B13172" t="str">
        <f t="shared" si="555"/>
        <v>89301000</v>
      </c>
      <c r="C13172" s="1">
        <v>44451</v>
      </c>
      <c r="D13172" s="1">
        <v>44454</v>
      </c>
      <c r="E13172">
        <v>1</v>
      </c>
      <c r="F13172" t="s">
        <v>112</v>
      </c>
      <c r="G13172" t="str">
        <f>"14-M01-05"</f>
        <v>14-M01-05</v>
      </c>
      <c r="H13172">
        <v>0.54239999999999999</v>
      </c>
      <c r="I13172" t="s">
        <v>7704</v>
      </c>
      <c r="J13172" t="s">
        <v>59</v>
      </c>
      <c r="K13172" t="str">
        <f>"6F3"</f>
        <v>6F3</v>
      </c>
      <c r="L13172" t="s">
        <v>15</v>
      </c>
    </row>
    <row r="13173" spans="1:12" x14ac:dyDescent="0.25">
      <c r="A13173" t="str">
        <f>"9559195701"</f>
        <v>9559195701</v>
      </c>
      <c r="B13173" t="str">
        <f t="shared" si="555"/>
        <v>89301000</v>
      </c>
      <c r="C13173" s="1">
        <v>44540</v>
      </c>
      <c r="D13173" s="1">
        <v>44547</v>
      </c>
      <c r="E13173">
        <v>1</v>
      </c>
      <c r="F13173" t="s">
        <v>217</v>
      </c>
      <c r="G13173" t="str">
        <f>"04-K02-04"</f>
        <v>04-K02-04</v>
      </c>
      <c r="H13173">
        <v>0.82469999999999999</v>
      </c>
      <c r="I13173" t="s">
        <v>274</v>
      </c>
      <c r="J13173" t="s">
        <v>14</v>
      </c>
      <c r="K13173" t="str">
        <f>"1F1"</f>
        <v>1F1</v>
      </c>
      <c r="L13173" t="s">
        <v>15</v>
      </c>
    </row>
    <row r="13174" spans="1:12" x14ac:dyDescent="0.25">
      <c r="A13174" t="str">
        <f>"9559275396"</f>
        <v>9559275396</v>
      </c>
      <c r="B13174" t="str">
        <f t="shared" si="555"/>
        <v>89301000</v>
      </c>
      <c r="C13174" s="1">
        <v>44511</v>
      </c>
      <c r="D13174" s="1">
        <v>44515</v>
      </c>
      <c r="E13174">
        <v>1</v>
      </c>
      <c r="F13174" t="s">
        <v>61</v>
      </c>
      <c r="G13174" t="str">
        <f>"14-I01-05"</f>
        <v>14-I01-05</v>
      </c>
      <c r="H13174">
        <v>0.80030000000000001</v>
      </c>
      <c r="I13174" t="s">
        <v>7572</v>
      </c>
      <c r="J13174" t="s">
        <v>59</v>
      </c>
      <c r="K13174" t="str">
        <f>"6F3"</f>
        <v>6F3</v>
      </c>
      <c r="L13174" t="s">
        <v>15</v>
      </c>
    </row>
    <row r="13175" spans="1:12" x14ac:dyDescent="0.25">
      <c r="A13175" t="str">
        <f>"9559275715"</f>
        <v>9559275715</v>
      </c>
      <c r="B13175" t="str">
        <f t="shared" si="555"/>
        <v>89301000</v>
      </c>
      <c r="C13175" s="1">
        <v>44289</v>
      </c>
      <c r="D13175" s="1">
        <v>44292</v>
      </c>
      <c r="E13175">
        <v>1</v>
      </c>
      <c r="F13175" t="s">
        <v>75</v>
      </c>
      <c r="G13175" t="str">
        <f>"14-M01-05"</f>
        <v>14-M01-05</v>
      </c>
      <c r="H13175">
        <v>0.54239999999999999</v>
      </c>
      <c r="I13175" t="s">
        <v>8301</v>
      </c>
      <c r="J13175" t="s">
        <v>59</v>
      </c>
      <c r="K13175" t="str">
        <f>"6F3"</f>
        <v>6F3</v>
      </c>
      <c r="L13175" t="s">
        <v>15</v>
      </c>
    </row>
    <row r="13176" spans="1:12" x14ac:dyDescent="0.25">
      <c r="A13176" t="str">
        <f>"9560015388"</f>
        <v>9560015388</v>
      </c>
      <c r="B13176" t="str">
        <f t="shared" si="555"/>
        <v>89301000</v>
      </c>
      <c r="C13176" s="1">
        <v>44313</v>
      </c>
      <c r="D13176" s="1">
        <v>44316</v>
      </c>
      <c r="E13176">
        <v>1</v>
      </c>
      <c r="F13176" t="s">
        <v>82</v>
      </c>
      <c r="G13176" t="str">
        <f>"14-I01-05"</f>
        <v>14-I01-05</v>
      </c>
      <c r="H13176">
        <v>0.80030000000000001</v>
      </c>
      <c r="I13176" t="s">
        <v>7572</v>
      </c>
      <c r="J13176" t="s">
        <v>59</v>
      </c>
      <c r="K13176" t="str">
        <f>"6F3"</f>
        <v>6F3</v>
      </c>
      <c r="L13176" t="s">
        <v>15</v>
      </c>
    </row>
    <row r="13177" spans="1:12" x14ac:dyDescent="0.25">
      <c r="A13177" t="str">
        <f>"9560135706"</f>
        <v>9560135706</v>
      </c>
      <c r="B13177" t="str">
        <f t="shared" si="555"/>
        <v>89301000</v>
      </c>
      <c r="C13177" s="1">
        <v>44239</v>
      </c>
      <c r="D13177" s="1">
        <v>44241</v>
      </c>
      <c r="E13177">
        <v>1</v>
      </c>
      <c r="F13177" t="s">
        <v>266</v>
      </c>
      <c r="G13177" t="str">
        <f>"13-K02-00"</f>
        <v>13-K02-00</v>
      </c>
      <c r="H13177">
        <v>0.24079999999999999</v>
      </c>
      <c r="J13177" t="s">
        <v>14</v>
      </c>
      <c r="K13177" t="str">
        <f>"6F3"</f>
        <v>6F3</v>
      </c>
      <c r="L13177" t="s">
        <v>15</v>
      </c>
    </row>
    <row r="13178" spans="1:12" x14ac:dyDescent="0.25">
      <c r="A13178" t="str">
        <f>"9560245706"</f>
        <v>9560245706</v>
      </c>
      <c r="B13178" t="str">
        <f t="shared" si="555"/>
        <v>89301000</v>
      </c>
      <c r="C13178" s="1">
        <v>44312</v>
      </c>
      <c r="D13178" s="1">
        <v>44316</v>
      </c>
      <c r="E13178">
        <v>1</v>
      </c>
      <c r="F13178" t="s">
        <v>70</v>
      </c>
      <c r="G13178" t="str">
        <f>"09-K14-02"</f>
        <v>09-K14-02</v>
      </c>
      <c r="H13178">
        <v>0.50549999999999995</v>
      </c>
      <c r="I13178" t="s">
        <v>348</v>
      </c>
      <c r="J13178" t="s">
        <v>14</v>
      </c>
      <c r="K13178" t="str">
        <f>"4F4"</f>
        <v>4F4</v>
      </c>
      <c r="L13178" t="s">
        <v>15</v>
      </c>
    </row>
    <row r="13179" spans="1:12" x14ac:dyDescent="0.25">
      <c r="A13179" t="str">
        <f>"9560255749"</f>
        <v>9560255749</v>
      </c>
      <c r="B13179" t="str">
        <f t="shared" si="555"/>
        <v>89301000</v>
      </c>
      <c r="C13179" s="1">
        <v>44438</v>
      </c>
      <c r="D13179" s="1">
        <v>44441</v>
      </c>
      <c r="E13179">
        <v>1</v>
      </c>
      <c r="F13179" t="s">
        <v>75</v>
      </c>
      <c r="G13179" t="str">
        <f>"14-M01-05"</f>
        <v>14-M01-05</v>
      </c>
      <c r="H13179">
        <v>0.54239999999999999</v>
      </c>
      <c r="I13179" t="s">
        <v>426</v>
      </c>
      <c r="J13179" t="s">
        <v>59</v>
      </c>
      <c r="K13179" t="str">
        <f t="shared" ref="K13179:K13185" si="556">"6F3"</f>
        <v>6F3</v>
      </c>
      <c r="L13179" t="s">
        <v>15</v>
      </c>
    </row>
    <row r="13180" spans="1:12" x14ac:dyDescent="0.25">
      <c r="A13180" t="str">
        <f>"9560276143"</f>
        <v>9560276143</v>
      </c>
      <c r="B13180" t="str">
        <f t="shared" si="555"/>
        <v>89301000</v>
      </c>
      <c r="C13180" s="1">
        <v>44500</v>
      </c>
      <c r="D13180" s="1">
        <v>44502</v>
      </c>
      <c r="E13180">
        <v>1</v>
      </c>
      <c r="F13180" t="s">
        <v>100</v>
      </c>
      <c r="G13180" t="str">
        <f>"14-I04-00"</f>
        <v>14-I04-00</v>
      </c>
      <c r="H13180">
        <v>0.78749999999999998</v>
      </c>
      <c r="I13180" t="s">
        <v>101</v>
      </c>
      <c r="J13180" t="s">
        <v>24</v>
      </c>
      <c r="K13180" t="str">
        <f t="shared" si="556"/>
        <v>6F3</v>
      </c>
      <c r="L13180" t="s">
        <v>15</v>
      </c>
    </row>
    <row r="13181" spans="1:12" x14ac:dyDescent="0.25">
      <c r="A13181" t="str">
        <f>"9560315710"</f>
        <v>9560315710</v>
      </c>
      <c r="B13181" t="str">
        <f t="shared" si="555"/>
        <v>89301000</v>
      </c>
      <c r="C13181" s="1">
        <v>44442</v>
      </c>
      <c r="D13181" s="1">
        <v>44447</v>
      </c>
      <c r="E13181">
        <v>1</v>
      </c>
      <c r="F13181" t="s">
        <v>75</v>
      </c>
      <c r="G13181" t="str">
        <f>"14-M01-05"</f>
        <v>14-M01-05</v>
      </c>
      <c r="H13181">
        <v>0.54239999999999999</v>
      </c>
      <c r="I13181" t="s">
        <v>256</v>
      </c>
      <c r="J13181" t="s">
        <v>59</v>
      </c>
      <c r="K13181" t="str">
        <f t="shared" si="556"/>
        <v>6F3</v>
      </c>
      <c r="L13181" t="s">
        <v>15</v>
      </c>
    </row>
    <row r="13182" spans="1:12" x14ac:dyDescent="0.25">
      <c r="A13182" t="str">
        <f>"9561045714"</f>
        <v>9561045714</v>
      </c>
      <c r="B13182" t="str">
        <f t="shared" si="555"/>
        <v>89301000</v>
      </c>
      <c r="C13182" s="1">
        <v>44437</v>
      </c>
      <c r="D13182" s="1">
        <v>44439</v>
      </c>
      <c r="E13182">
        <v>1</v>
      </c>
      <c r="F13182" t="s">
        <v>75</v>
      </c>
      <c r="G13182" t="str">
        <f>"14-M01-05"</f>
        <v>14-M01-05</v>
      </c>
      <c r="H13182">
        <v>0.54239999999999999</v>
      </c>
      <c r="I13182" t="s">
        <v>426</v>
      </c>
      <c r="J13182" t="s">
        <v>59</v>
      </c>
      <c r="K13182" t="str">
        <f t="shared" si="556"/>
        <v>6F3</v>
      </c>
      <c r="L13182" t="s">
        <v>15</v>
      </c>
    </row>
    <row r="13183" spans="1:12" x14ac:dyDescent="0.25">
      <c r="A13183" t="str">
        <f>"9561074853"</f>
        <v>9561074853</v>
      </c>
      <c r="B13183" t="str">
        <f t="shared" si="555"/>
        <v>89301000</v>
      </c>
      <c r="C13183" s="1">
        <v>44410</v>
      </c>
      <c r="D13183" s="1">
        <v>44413</v>
      </c>
      <c r="E13183">
        <v>1</v>
      </c>
      <c r="F13183" t="s">
        <v>75</v>
      </c>
      <c r="G13183" t="str">
        <f>"14-M01-05"</f>
        <v>14-M01-05</v>
      </c>
      <c r="H13183">
        <v>0.54239999999999999</v>
      </c>
      <c r="I13183" t="s">
        <v>8302</v>
      </c>
      <c r="J13183" t="s">
        <v>59</v>
      </c>
      <c r="K13183" t="str">
        <f t="shared" si="556"/>
        <v>6F3</v>
      </c>
      <c r="L13183" t="s">
        <v>15</v>
      </c>
    </row>
    <row r="13184" spans="1:12" x14ac:dyDescent="0.25">
      <c r="A13184" t="str">
        <f>"9561085842"</f>
        <v>9561085842</v>
      </c>
      <c r="B13184" t="str">
        <f t="shared" si="555"/>
        <v>89301000</v>
      </c>
      <c r="C13184" s="1">
        <v>44501</v>
      </c>
      <c r="D13184" s="1">
        <v>44504</v>
      </c>
      <c r="E13184">
        <v>1</v>
      </c>
      <c r="F13184" t="s">
        <v>75</v>
      </c>
      <c r="G13184" t="str">
        <f>"14-M01-05"</f>
        <v>14-M01-05</v>
      </c>
      <c r="H13184">
        <v>0.54239999999999999</v>
      </c>
      <c r="I13184" t="s">
        <v>426</v>
      </c>
      <c r="J13184" t="s">
        <v>59</v>
      </c>
      <c r="K13184" t="str">
        <f t="shared" si="556"/>
        <v>6F3</v>
      </c>
      <c r="L13184" t="s">
        <v>15</v>
      </c>
    </row>
    <row r="13185" spans="1:12" x14ac:dyDescent="0.25">
      <c r="A13185" t="str">
        <f>"9561105917"</f>
        <v>9561105917</v>
      </c>
      <c r="B13185" t="str">
        <f t="shared" si="555"/>
        <v>89301000</v>
      </c>
      <c r="C13185" s="1">
        <v>44204</v>
      </c>
      <c r="D13185" s="1">
        <v>44207</v>
      </c>
      <c r="E13185">
        <v>1</v>
      </c>
      <c r="F13185" t="s">
        <v>6418</v>
      </c>
      <c r="G13185" t="str">
        <f>"13-K01-02"</f>
        <v>13-K01-02</v>
      </c>
      <c r="H13185">
        <v>0.40110000000000001</v>
      </c>
      <c r="J13185" t="s">
        <v>14</v>
      </c>
      <c r="K13185" t="str">
        <f t="shared" si="556"/>
        <v>6F3</v>
      </c>
      <c r="L13185" t="s">
        <v>15</v>
      </c>
    </row>
    <row r="13186" spans="1:12" x14ac:dyDescent="0.25">
      <c r="A13186" t="str">
        <f>"9561135716"</f>
        <v>9561135716</v>
      </c>
      <c r="B13186" t="str">
        <f t="shared" si="555"/>
        <v>89301000</v>
      </c>
      <c r="C13186" s="1">
        <v>44515</v>
      </c>
      <c r="D13186" s="1">
        <v>44519</v>
      </c>
      <c r="E13186">
        <v>1</v>
      </c>
      <c r="F13186" t="s">
        <v>6967</v>
      </c>
      <c r="G13186" t="str">
        <f>"10-K04-04"</f>
        <v>10-K04-04</v>
      </c>
      <c r="H13186">
        <v>0.56330000000000002</v>
      </c>
      <c r="I13186" t="s">
        <v>8303</v>
      </c>
      <c r="J13186" t="s">
        <v>14</v>
      </c>
      <c r="K13186" t="str">
        <f>"1F1"</f>
        <v>1F1</v>
      </c>
      <c r="L13186" t="s">
        <v>15</v>
      </c>
    </row>
    <row r="13187" spans="1:12" x14ac:dyDescent="0.25">
      <c r="A13187" t="str">
        <f>"9561135716"</f>
        <v>9561135716</v>
      </c>
      <c r="B13187" t="str">
        <f t="shared" si="555"/>
        <v>89301000</v>
      </c>
      <c r="C13187" s="1">
        <v>44504</v>
      </c>
      <c r="D13187" s="1">
        <v>44509</v>
      </c>
      <c r="E13187">
        <v>1</v>
      </c>
      <c r="F13187" t="s">
        <v>304</v>
      </c>
      <c r="G13187" t="str">
        <f>"10-K03-04"</f>
        <v>10-K03-04</v>
      </c>
      <c r="H13187">
        <v>0.65159999999999996</v>
      </c>
      <c r="I13187" t="s">
        <v>8304</v>
      </c>
      <c r="J13187" t="s">
        <v>14</v>
      </c>
      <c r="K13187" t="str">
        <f>"1F1"</f>
        <v>1F1</v>
      </c>
      <c r="L13187" t="s">
        <v>15</v>
      </c>
    </row>
    <row r="13188" spans="1:12" x14ac:dyDescent="0.25">
      <c r="A13188" t="str">
        <f>"9561135716"</f>
        <v>9561135716</v>
      </c>
      <c r="B13188" t="str">
        <f t="shared" si="555"/>
        <v>89301000</v>
      </c>
      <c r="C13188" s="1">
        <v>44522</v>
      </c>
      <c r="D13188" s="1">
        <v>44545</v>
      </c>
      <c r="E13188">
        <v>5</v>
      </c>
      <c r="F13188" t="s">
        <v>2550</v>
      </c>
      <c r="G13188" t="str">
        <f>"10-K04-04"</f>
        <v>10-K04-04</v>
      </c>
      <c r="H13188">
        <v>1.1466000000000001</v>
      </c>
      <c r="I13188" t="s">
        <v>8305</v>
      </c>
      <c r="J13188" t="s">
        <v>14</v>
      </c>
      <c r="K13188" t="str">
        <f>"1F1"</f>
        <v>1F1</v>
      </c>
      <c r="L13188" t="s">
        <v>15</v>
      </c>
    </row>
    <row r="13189" spans="1:12" x14ac:dyDescent="0.25">
      <c r="A13189" t="str">
        <f>"9561165735"</f>
        <v>9561165735</v>
      </c>
      <c r="B13189" t="str">
        <f t="shared" si="555"/>
        <v>89301000</v>
      </c>
      <c r="C13189" s="1">
        <v>44321</v>
      </c>
      <c r="D13189" s="1">
        <v>44326</v>
      </c>
      <c r="E13189">
        <v>1</v>
      </c>
      <c r="F13189" t="s">
        <v>2637</v>
      </c>
      <c r="G13189" t="str">
        <f>"23-K05-01"</f>
        <v>23-K05-01</v>
      </c>
      <c r="H13189">
        <v>0.56999999999999995</v>
      </c>
      <c r="I13189" t="s">
        <v>2638</v>
      </c>
      <c r="J13189" t="s">
        <v>14</v>
      </c>
      <c r="K13189" t="str">
        <f>"4F7"</f>
        <v>4F7</v>
      </c>
      <c r="L13189" t="s">
        <v>15</v>
      </c>
    </row>
    <row r="13190" spans="1:12" x14ac:dyDescent="0.25">
      <c r="A13190" t="str">
        <f>"9561205720"</f>
        <v>9561205720</v>
      </c>
      <c r="B13190" t="str">
        <f t="shared" si="555"/>
        <v>89301000</v>
      </c>
      <c r="C13190" s="1">
        <v>44314</v>
      </c>
      <c r="D13190" s="1">
        <v>44318</v>
      </c>
      <c r="E13190">
        <v>1</v>
      </c>
      <c r="F13190" t="s">
        <v>75</v>
      </c>
      <c r="G13190" t="str">
        <f>"14-M01-05"</f>
        <v>14-M01-05</v>
      </c>
      <c r="H13190">
        <v>0.54239999999999999</v>
      </c>
      <c r="I13190" t="s">
        <v>76</v>
      </c>
      <c r="J13190" t="s">
        <v>59</v>
      </c>
      <c r="K13190" t="str">
        <f>"6F3"</f>
        <v>6F3</v>
      </c>
      <c r="L13190" t="s">
        <v>15</v>
      </c>
    </row>
    <row r="13191" spans="1:12" x14ac:dyDescent="0.25">
      <c r="A13191" t="str">
        <f>"9561205720"</f>
        <v>9561205720</v>
      </c>
      <c r="B13191" t="str">
        <f t="shared" si="555"/>
        <v>89301000</v>
      </c>
      <c r="C13191" s="1">
        <v>44249</v>
      </c>
      <c r="D13191" s="1">
        <v>44252</v>
      </c>
      <c r="E13191">
        <v>1</v>
      </c>
      <c r="F13191" t="s">
        <v>72</v>
      </c>
      <c r="G13191" t="str">
        <f>"14-K03-02"</f>
        <v>14-K03-02</v>
      </c>
      <c r="H13191">
        <v>0.2646</v>
      </c>
      <c r="I13191" t="s">
        <v>97</v>
      </c>
      <c r="J13191" t="s">
        <v>14</v>
      </c>
      <c r="K13191" t="str">
        <f>"6F3"</f>
        <v>6F3</v>
      </c>
      <c r="L13191" t="s">
        <v>15</v>
      </c>
    </row>
    <row r="13192" spans="1:12" x14ac:dyDescent="0.25">
      <c r="A13192" t="str">
        <f>"9561206083"</f>
        <v>9561206083</v>
      </c>
      <c r="B13192" t="str">
        <f t="shared" si="555"/>
        <v>89301000</v>
      </c>
      <c r="C13192" s="1">
        <v>44219</v>
      </c>
      <c r="D13192" s="1">
        <v>44221</v>
      </c>
      <c r="E13192">
        <v>1</v>
      </c>
      <c r="F13192" t="s">
        <v>75</v>
      </c>
      <c r="G13192" t="str">
        <f>"14-M01-05"</f>
        <v>14-M01-05</v>
      </c>
      <c r="H13192">
        <v>0.54239999999999999</v>
      </c>
      <c r="J13192" t="s">
        <v>59</v>
      </c>
      <c r="K13192" t="str">
        <f>"6F3"</f>
        <v>6F3</v>
      </c>
      <c r="L13192" t="s">
        <v>15</v>
      </c>
    </row>
    <row r="13193" spans="1:12" x14ac:dyDescent="0.25">
      <c r="A13193" t="str">
        <f>"9561216159"</f>
        <v>9561216159</v>
      </c>
      <c r="B13193" t="str">
        <f t="shared" si="555"/>
        <v>89301000</v>
      </c>
      <c r="C13193" s="1">
        <v>44473</v>
      </c>
      <c r="D13193" s="1">
        <v>44478</v>
      </c>
      <c r="E13193">
        <v>1</v>
      </c>
      <c r="F13193" t="s">
        <v>75</v>
      </c>
      <c r="G13193" t="str">
        <f>"14-M01-05"</f>
        <v>14-M01-05</v>
      </c>
      <c r="H13193">
        <v>0.54239999999999999</v>
      </c>
      <c r="I13193" t="s">
        <v>76</v>
      </c>
      <c r="J13193" t="s">
        <v>59</v>
      </c>
      <c r="K13193" t="str">
        <f>"6F3"</f>
        <v>6F3</v>
      </c>
      <c r="L13193" t="s">
        <v>15</v>
      </c>
    </row>
    <row r="13194" spans="1:12" x14ac:dyDescent="0.25">
      <c r="A13194" t="str">
        <f>"9601015699"</f>
        <v>9601015699</v>
      </c>
      <c r="B13194" t="str">
        <f t="shared" si="555"/>
        <v>89301000</v>
      </c>
      <c r="C13194" s="1">
        <v>44354</v>
      </c>
      <c r="D13194" s="1">
        <v>44357</v>
      </c>
      <c r="E13194">
        <v>1</v>
      </c>
      <c r="F13194" t="s">
        <v>544</v>
      </c>
      <c r="G13194" t="str">
        <f>"09-K02-00"</f>
        <v>09-K02-00</v>
      </c>
      <c r="H13194">
        <v>1.1361000000000001</v>
      </c>
      <c r="J13194" t="s">
        <v>14</v>
      </c>
      <c r="K13194" t="str">
        <f>"4F4"</f>
        <v>4F4</v>
      </c>
      <c r="L13194" t="s">
        <v>15</v>
      </c>
    </row>
    <row r="13195" spans="1:12" x14ac:dyDescent="0.25">
      <c r="A13195" t="str">
        <f>"9602295725"</f>
        <v>9602295725</v>
      </c>
      <c r="B13195" t="str">
        <f t="shared" si="555"/>
        <v>89301000</v>
      </c>
      <c r="C13195" s="1">
        <v>44343</v>
      </c>
      <c r="D13195" s="1">
        <v>44346</v>
      </c>
      <c r="E13195">
        <v>1</v>
      </c>
      <c r="F13195" t="s">
        <v>215</v>
      </c>
      <c r="G13195" t="str">
        <f>"08-I15-03"</f>
        <v>08-I15-03</v>
      </c>
      <c r="H13195">
        <v>1.1838</v>
      </c>
      <c r="I13195" t="s">
        <v>381</v>
      </c>
      <c r="J13195" t="s">
        <v>17</v>
      </c>
      <c r="K13195" t="str">
        <f>"5F3"</f>
        <v>5F3</v>
      </c>
      <c r="L13195" t="s">
        <v>15</v>
      </c>
    </row>
    <row r="13196" spans="1:12" x14ac:dyDescent="0.25">
      <c r="A13196" t="str">
        <f>"9603095700"</f>
        <v>9603095700</v>
      </c>
      <c r="B13196" t="str">
        <f t="shared" si="555"/>
        <v>89301000</v>
      </c>
      <c r="C13196" s="1">
        <v>44446</v>
      </c>
      <c r="D13196" s="1">
        <v>44449</v>
      </c>
      <c r="E13196">
        <v>1</v>
      </c>
      <c r="F13196" t="s">
        <v>409</v>
      </c>
      <c r="G13196" t="str">
        <f>"08-M03-04"</f>
        <v>08-M03-04</v>
      </c>
      <c r="H13196">
        <v>0.8609</v>
      </c>
      <c r="I13196" t="s">
        <v>8306</v>
      </c>
      <c r="J13196" t="s">
        <v>14</v>
      </c>
      <c r="K13196" t="str">
        <f>"6F6"</f>
        <v>6F6</v>
      </c>
      <c r="L13196" t="s">
        <v>15</v>
      </c>
    </row>
    <row r="13197" spans="1:12" x14ac:dyDescent="0.25">
      <c r="A13197" t="str">
        <f>"9603114862"</f>
        <v>9603114862</v>
      </c>
      <c r="B13197" t="str">
        <f t="shared" si="555"/>
        <v>89301000</v>
      </c>
      <c r="C13197" s="1">
        <v>44425</v>
      </c>
      <c r="D13197" s="1">
        <v>44427</v>
      </c>
      <c r="E13197">
        <v>1</v>
      </c>
      <c r="F13197" t="s">
        <v>7245</v>
      </c>
      <c r="G13197" t="str">
        <f>"08-I18-02"</f>
        <v>08-I18-02</v>
      </c>
      <c r="H13197">
        <v>0.65769999999999995</v>
      </c>
      <c r="I13197" t="s">
        <v>244</v>
      </c>
      <c r="J13197" t="s">
        <v>17</v>
      </c>
      <c r="K13197" t="str">
        <f>"5F3"</f>
        <v>5F3</v>
      </c>
      <c r="L13197" t="s">
        <v>15</v>
      </c>
    </row>
    <row r="13198" spans="1:12" x14ac:dyDescent="0.25">
      <c r="A13198" t="str">
        <f>"9603195712"</f>
        <v>9603195712</v>
      </c>
      <c r="B13198" t="str">
        <f t="shared" si="555"/>
        <v>89301000</v>
      </c>
      <c r="C13198" s="1">
        <v>44271</v>
      </c>
      <c r="D13198" s="1">
        <v>44273</v>
      </c>
      <c r="E13198">
        <v>1</v>
      </c>
      <c r="F13198" t="s">
        <v>5527</v>
      </c>
      <c r="G13198" t="str">
        <f>"01-K18-04"</f>
        <v>01-K18-04</v>
      </c>
      <c r="H13198">
        <v>0.49890000000000001</v>
      </c>
      <c r="J13198" t="s">
        <v>14</v>
      </c>
      <c r="K13198" t="str">
        <f>"2F9"</f>
        <v>2F9</v>
      </c>
      <c r="L13198" t="s">
        <v>15</v>
      </c>
    </row>
    <row r="13199" spans="1:12" x14ac:dyDescent="0.25">
      <c r="A13199" t="str">
        <f>"9604035716"</f>
        <v>9604035716</v>
      </c>
      <c r="B13199" t="str">
        <f t="shared" si="555"/>
        <v>89301000</v>
      </c>
      <c r="C13199" s="1">
        <v>44227</v>
      </c>
      <c r="D13199" s="1">
        <v>44230</v>
      </c>
      <c r="E13199">
        <v>1</v>
      </c>
      <c r="F13199" t="s">
        <v>891</v>
      </c>
      <c r="G13199" t="str">
        <f>"03-I14-02"</f>
        <v>03-I14-02</v>
      </c>
      <c r="H13199">
        <v>1.1086</v>
      </c>
      <c r="I13199" t="s">
        <v>168</v>
      </c>
      <c r="J13199" t="s">
        <v>14</v>
      </c>
      <c r="K13199" t="str">
        <f>"7F1"</f>
        <v>7F1</v>
      </c>
      <c r="L13199" t="s">
        <v>15</v>
      </c>
    </row>
    <row r="13200" spans="1:12" x14ac:dyDescent="0.25">
      <c r="A13200" t="str">
        <f>"9604035716"</f>
        <v>9604035716</v>
      </c>
      <c r="B13200" t="str">
        <f t="shared" si="555"/>
        <v>89301000</v>
      </c>
      <c r="C13200" s="1">
        <v>44243</v>
      </c>
      <c r="D13200" s="1">
        <v>44253</v>
      </c>
      <c r="E13200">
        <v>1</v>
      </c>
      <c r="F13200" t="s">
        <v>4491</v>
      </c>
      <c r="G13200" t="str">
        <f>"01-K01-02"</f>
        <v>01-K01-02</v>
      </c>
      <c r="H13200">
        <v>0.628</v>
      </c>
      <c r="J13200" t="s">
        <v>14</v>
      </c>
      <c r="K13200" t="str">
        <f>"2F9"</f>
        <v>2F9</v>
      </c>
      <c r="L13200" t="s">
        <v>15</v>
      </c>
    </row>
    <row r="13201" spans="1:12" x14ac:dyDescent="0.25">
      <c r="A13201" t="str">
        <f>"9605085710"</f>
        <v>9605085710</v>
      </c>
      <c r="B13201" t="str">
        <f t="shared" si="555"/>
        <v>89301000</v>
      </c>
      <c r="C13201" s="1">
        <v>44403</v>
      </c>
      <c r="D13201" s="1">
        <v>44420</v>
      </c>
      <c r="E13201">
        <v>2</v>
      </c>
      <c r="F13201" t="s">
        <v>1183</v>
      </c>
      <c r="G13201" t="str">
        <f>"08-I13-04"</f>
        <v>08-I13-04</v>
      </c>
      <c r="H13201">
        <v>3.4523000000000001</v>
      </c>
      <c r="I13201" t="s">
        <v>8307</v>
      </c>
      <c r="J13201" t="s">
        <v>17</v>
      </c>
      <c r="K13201" t="str">
        <f>"5T3"</f>
        <v>5T3</v>
      </c>
      <c r="L13201" t="s">
        <v>15</v>
      </c>
    </row>
    <row r="13202" spans="1:12" x14ac:dyDescent="0.25">
      <c r="A13202" t="str">
        <f>"9606266065"</f>
        <v>9606266065</v>
      </c>
      <c r="B13202" t="str">
        <f t="shared" si="555"/>
        <v>89301000</v>
      </c>
      <c r="C13202" s="1">
        <v>44294</v>
      </c>
      <c r="D13202" s="1">
        <v>44297</v>
      </c>
      <c r="E13202">
        <v>1</v>
      </c>
      <c r="F13202" t="s">
        <v>7036</v>
      </c>
      <c r="G13202" t="str">
        <f>"08-M03-03"</f>
        <v>08-M03-03</v>
      </c>
      <c r="H13202">
        <v>0.69450000000000001</v>
      </c>
      <c r="I13202" t="s">
        <v>168</v>
      </c>
      <c r="J13202" t="s">
        <v>14</v>
      </c>
      <c r="K13202" t="str">
        <f>"5F3"</f>
        <v>5F3</v>
      </c>
      <c r="L13202" t="s">
        <v>15</v>
      </c>
    </row>
    <row r="13203" spans="1:12" x14ac:dyDescent="0.25">
      <c r="A13203" t="str">
        <f>"9607175699"</f>
        <v>9607175699</v>
      </c>
      <c r="B13203" t="str">
        <f t="shared" si="555"/>
        <v>89301000</v>
      </c>
      <c r="C13203" s="1">
        <v>44377</v>
      </c>
      <c r="D13203" s="1">
        <v>44400</v>
      </c>
      <c r="E13203">
        <v>1</v>
      </c>
      <c r="F13203" t="s">
        <v>254</v>
      </c>
      <c r="G13203" t="str">
        <f>"19-K06-02"</f>
        <v>19-K06-02</v>
      </c>
      <c r="H13203">
        <v>2.4085000000000001</v>
      </c>
      <c r="I13203" t="s">
        <v>8308</v>
      </c>
      <c r="J13203" t="s">
        <v>27</v>
      </c>
      <c r="K13203" t="str">
        <f>"3F5"</f>
        <v>3F5</v>
      </c>
      <c r="L13203" t="s">
        <v>15</v>
      </c>
    </row>
    <row r="13204" spans="1:12" x14ac:dyDescent="0.25">
      <c r="A13204" t="str">
        <f>"9607175699"</f>
        <v>9607175699</v>
      </c>
      <c r="B13204" t="str">
        <f t="shared" si="555"/>
        <v>89301000</v>
      </c>
      <c r="C13204" s="1">
        <v>44265</v>
      </c>
      <c r="D13204" s="1">
        <v>44287</v>
      </c>
      <c r="E13204">
        <v>1</v>
      </c>
      <c r="F13204" t="s">
        <v>25</v>
      </c>
      <c r="G13204" t="str">
        <f>"19-K06-02"</f>
        <v>19-K06-02</v>
      </c>
      <c r="H13204">
        <v>2.4085000000000001</v>
      </c>
      <c r="I13204" t="s">
        <v>8309</v>
      </c>
      <c r="J13204" t="s">
        <v>27</v>
      </c>
      <c r="K13204" t="str">
        <f>"3F5"</f>
        <v>3F5</v>
      </c>
      <c r="L13204" t="s">
        <v>15</v>
      </c>
    </row>
    <row r="13205" spans="1:12" x14ac:dyDescent="0.25">
      <c r="A13205" t="str">
        <f>"9607175732"</f>
        <v>9607175732</v>
      </c>
      <c r="B13205" t="str">
        <f t="shared" si="555"/>
        <v>89301000</v>
      </c>
      <c r="C13205" s="1">
        <v>44325</v>
      </c>
      <c r="D13205" s="1">
        <v>44327</v>
      </c>
      <c r="E13205">
        <v>1</v>
      </c>
      <c r="F13205" t="s">
        <v>457</v>
      </c>
      <c r="G13205" t="str">
        <f>"08-I16-04"</f>
        <v>08-I16-04</v>
      </c>
      <c r="H13205">
        <v>0.92159999999999997</v>
      </c>
      <c r="I13205" t="s">
        <v>4122</v>
      </c>
      <c r="J13205" t="s">
        <v>17</v>
      </c>
      <c r="K13205" t="str">
        <f>"5F3"</f>
        <v>5F3</v>
      </c>
      <c r="L13205" t="s">
        <v>15</v>
      </c>
    </row>
    <row r="13206" spans="1:12" x14ac:dyDescent="0.25">
      <c r="A13206" t="str">
        <f>"9607215706"</f>
        <v>9607215706</v>
      </c>
      <c r="B13206" t="str">
        <f t="shared" ref="B13206:B13269" si="557">"89301000"</f>
        <v>89301000</v>
      </c>
      <c r="C13206" s="1">
        <v>44472</v>
      </c>
      <c r="D13206" s="1">
        <v>44473</v>
      </c>
      <c r="E13206">
        <v>1</v>
      </c>
      <c r="F13206" t="s">
        <v>210</v>
      </c>
      <c r="G13206" t="str">
        <f>"08-I15-03"</f>
        <v>08-I15-03</v>
      </c>
      <c r="H13206">
        <v>1.1838</v>
      </c>
      <c r="I13206" t="s">
        <v>5065</v>
      </c>
      <c r="J13206" t="s">
        <v>17</v>
      </c>
      <c r="K13206" t="str">
        <f>"5F3"</f>
        <v>5F3</v>
      </c>
      <c r="L13206" t="s">
        <v>15</v>
      </c>
    </row>
    <row r="13207" spans="1:12" x14ac:dyDescent="0.25">
      <c r="A13207" t="str">
        <f>"9610125635"</f>
        <v>9610125635</v>
      </c>
      <c r="B13207" t="str">
        <f t="shared" si="557"/>
        <v>89301000</v>
      </c>
      <c r="C13207" s="1">
        <v>44522</v>
      </c>
      <c r="D13207" s="1">
        <v>44525</v>
      </c>
      <c r="E13207">
        <v>1</v>
      </c>
      <c r="F13207" t="s">
        <v>8310</v>
      </c>
      <c r="G13207" t="str">
        <f>"21-K05-01"</f>
        <v>21-K05-01</v>
      </c>
      <c r="H13207">
        <v>1.5164</v>
      </c>
      <c r="I13207" t="s">
        <v>8311</v>
      </c>
      <c r="J13207" t="s">
        <v>14</v>
      </c>
      <c r="K13207" t="str">
        <f>"5F1"</f>
        <v>5F1</v>
      </c>
      <c r="L13207" t="s">
        <v>15</v>
      </c>
    </row>
    <row r="13208" spans="1:12" x14ac:dyDescent="0.25">
      <c r="A13208" t="str">
        <f>"9611015700"</f>
        <v>9611015700</v>
      </c>
      <c r="B13208" t="str">
        <f t="shared" si="557"/>
        <v>89301000</v>
      </c>
      <c r="C13208" s="1">
        <v>44263</v>
      </c>
      <c r="D13208" s="1">
        <v>44267</v>
      </c>
      <c r="E13208">
        <v>1</v>
      </c>
      <c r="F13208" t="s">
        <v>43</v>
      </c>
      <c r="G13208" t="str">
        <f>"06-I18-05"</f>
        <v>06-I18-05</v>
      </c>
      <c r="H13208">
        <v>0.85550000000000004</v>
      </c>
      <c r="J13208" t="s">
        <v>24</v>
      </c>
      <c r="K13208" t="str">
        <f>"5F1"</f>
        <v>5F1</v>
      </c>
      <c r="L13208" t="s">
        <v>15</v>
      </c>
    </row>
    <row r="13209" spans="1:12" x14ac:dyDescent="0.25">
      <c r="A13209" t="str">
        <f>"9611214459"</f>
        <v>9611214459</v>
      </c>
      <c r="B13209" t="str">
        <f t="shared" si="557"/>
        <v>89301000</v>
      </c>
      <c r="C13209" s="1">
        <v>44280</v>
      </c>
      <c r="D13209" s="1">
        <v>44285</v>
      </c>
      <c r="E13209">
        <v>1</v>
      </c>
      <c r="F13209" t="s">
        <v>8312</v>
      </c>
      <c r="G13209" t="str">
        <f>"16-K07-00"</f>
        <v>16-K07-00</v>
      </c>
      <c r="H13209">
        <v>0.9718</v>
      </c>
      <c r="I13209" t="s">
        <v>8313</v>
      </c>
      <c r="J13209" t="s">
        <v>14</v>
      </c>
      <c r="K13209" t="str">
        <f>"1F5"</f>
        <v>1F5</v>
      </c>
      <c r="L13209" t="s">
        <v>15</v>
      </c>
    </row>
    <row r="13210" spans="1:12" x14ac:dyDescent="0.25">
      <c r="A13210" t="str">
        <f>"9611275729"</f>
        <v>9611275729</v>
      </c>
      <c r="B13210" t="str">
        <f t="shared" si="557"/>
        <v>89301000</v>
      </c>
      <c r="C13210" s="1">
        <v>44482</v>
      </c>
      <c r="D13210" s="1">
        <v>44484</v>
      </c>
      <c r="E13210">
        <v>1</v>
      </c>
      <c r="F13210" t="s">
        <v>234</v>
      </c>
      <c r="G13210" t="str">
        <f>"03-I21-00"</f>
        <v>03-I21-00</v>
      </c>
      <c r="H13210">
        <v>0.38500000000000001</v>
      </c>
      <c r="I13210" t="s">
        <v>8314</v>
      </c>
      <c r="J13210" t="s">
        <v>14</v>
      </c>
      <c r="K13210" t="str">
        <f>"7F1"</f>
        <v>7F1</v>
      </c>
      <c r="L13210" t="s">
        <v>15</v>
      </c>
    </row>
    <row r="13211" spans="1:12" x14ac:dyDescent="0.25">
      <c r="A13211" t="str">
        <f>"9612134873"</f>
        <v>9612134873</v>
      </c>
      <c r="B13211" t="str">
        <f t="shared" si="557"/>
        <v>89301000</v>
      </c>
      <c r="C13211" s="1">
        <v>44385</v>
      </c>
      <c r="D13211" s="1">
        <v>44388</v>
      </c>
      <c r="E13211">
        <v>1</v>
      </c>
      <c r="F13211" t="s">
        <v>23</v>
      </c>
      <c r="G13211" t="str">
        <f>"06-I18-05"</f>
        <v>06-I18-05</v>
      </c>
      <c r="H13211">
        <v>0.85550000000000004</v>
      </c>
      <c r="J13211" t="s">
        <v>24</v>
      </c>
      <c r="K13211" t="str">
        <f>"5F1"</f>
        <v>5F1</v>
      </c>
      <c r="L13211" t="s">
        <v>15</v>
      </c>
    </row>
    <row r="13212" spans="1:12" x14ac:dyDescent="0.25">
      <c r="A13212" t="str">
        <f>"9612164606"</f>
        <v>9612164606</v>
      </c>
      <c r="B13212" t="str">
        <f t="shared" si="557"/>
        <v>89301000</v>
      </c>
      <c r="C13212" s="1">
        <v>44483</v>
      </c>
      <c r="D13212" s="1">
        <v>44486</v>
      </c>
      <c r="E13212">
        <v>1</v>
      </c>
      <c r="F13212" t="s">
        <v>8315</v>
      </c>
      <c r="G13212" t="str">
        <f>"08-M03-04"</f>
        <v>08-M03-04</v>
      </c>
      <c r="H13212">
        <v>1.1164000000000001</v>
      </c>
      <c r="J13212" t="s">
        <v>14</v>
      </c>
      <c r="K13212" t="str">
        <f>"6F6"</f>
        <v>6F6</v>
      </c>
      <c r="L13212" t="s">
        <v>15</v>
      </c>
    </row>
    <row r="13213" spans="1:12" x14ac:dyDescent="0.25">
      <c r="A13213" t="str">
        <f>"9612225700"</f>
        <v>9612225700</v>
      </c>
      <c r="B13213" t="str">
        <f t="shared" si="557"/>
        <v>89301000</v>
      </c>
      <c r="C13213" s="1">
        <v>44259</v>
      </c>
      <c r="D13213" s="1">
        <v>44263</v>
      </c>
      <c r="E13213">
        <v>1</v>
      </c>
      <c r="F13213" t="s">
        <v>903</v>
      </c>
      <c r="G13213" t="str">
        <f>"06-I22-02"</f>
        <v>06-I22-02</v>
      </c>
      <c r="H13213">
        <v>0.436</v>
      </c>
      <c r="J13213" t="s">
        <v>14</v>
      </c>
      <c r="K13213" t="str">
        <f>"5F1"</f>
        <v>5F1</v>
      </c>
      <c r="L13213" t="s">
        <v>15</v>
      </c>
    </row>
    <row r="13214" spans="1:12" x14ac:dyDescent="0.25">
      <c r="A13214" t="str">
        <f>"9651095718"</f>
        <v>9651095718</v>
      </c>
      <c r="B13214" t="str">
        <f t="shared" si="557"/>
        <v>89301000</v>
      </c>
      <c r="C13214" s="1">
        <v>44461</v>
      </c>
      <c r="D13214" s="1">
        <v>44464</v>
      </c>
      <c r="E13214">
        <v>1</v>
      </c>
      <c r="F13214" t="s">
        <v>75</v>
      </c>
      <c r="G13214" t="str">
        <f>"14-M01-05"</f>
        <v>14-M01-05</v>
      </c>
      <c r="H13214">
        <v>0.54239999999999999</v>
      </c>
      <c r="I13214" t="s">
        <v>426</v>
      </c>
      <c r="J13214" t="s">
        <v>59</v>
      </c>
      <c r="K13214" t="str">
        <f>"6F3"</f>
        <v>6F3</v>
      </c>
      <c r="L13214" t="s">
        <v>15</v>
      </c>
    </row>
    <row r="13215" spans="1:12" x14ac:dyDescent="0.25">
      <c r="A13215" t="str">
        <f>"9651095718"</f>
        <v>9651095718</v>
      </c>
      <c r="B13215" t="str">
        <f t="shared" si="557"/>
        <v>89301000</v>
      </c>
      <c r="C13215" s="1">
        <v>44443</v>
      </c>
      <c r="D13215" s="1">
        <v>44446</v>
      </c>
      <c r="E13215">
        <v>1</v>
      </c>
      <c r="F13215" t="s">
        <v>8316</v>
      </c>
      <c r="G13215" t="str">
        <f>"14-K03-02"</f>
        <v>14-K03-02</v>
      </c>
      <c r="H13215">
        <v>0.2646</v>
      </c>
      <c r="J13215" t="s">
        <v>14</v>
      </c>
      <c r="K13215" t="str">
        <f>"6F3"</f>
        <v>6F3</v>
      </c>
      <c r="L13215" t="s">
        <v>15</v>
      </c>
    </row>
    <row r="13216" spans="1:12" x14ac:dyDescent="0.25">
      <c r="A13216" t="str">
        <f>"9651095740"</f>
        <v>9651095740</v>
      </c>
      <c r="B13216" t="str">
        <f t="shared" si="557"/>
        <v>89301000</v>
      </c>
      <c r="C13216" s="1">
        <v>44522</v>
      </c>
      <c r="D13216" s="1">
        <v>44525</v>
      </c>
      <c r="E13216">
        <v>1</v>
      </c>
      <c r="F13216" t="s">
        <v>75</v>
      </c>
      <c r="G13216" t="str">
        <f>"14-M01-05"</f>
        <v>14-M01-05</v>
      </c>
      <c r="H13216">
        <v>0.54239999999999999</v>
      </c>
      <c r="I13216" t="s">
        <v>7692</v>
      </c>
      <c r="J13216" t="s">
        <v>59</v>
      </c>
      <c r="K13216" t="str">
        <f>"6F3"</f>
        <v>6F3</v>
      </c>
      <c r="L13216" t="s">
        <v>15</v>
      </c>
    </row>
    <row r="13217" spans="1:12" x14ac:dyDescent="0.25">
      <c r="A13217" t="str">
        <f>"9651115705"</f>
        <v>9651115705</v>
      </c>
      <c r="B13217" t="str">
        <f t="shared" si="557"/>
        <v>89301000</v>
      </c>
      <c r="C13217" s="1">
        <v>44533</v>
      </c>
      <c r="D13217" s="1">
        <v>44536</v>
      </c>
      <c r="E13217">
        <v>1</v>
      </c>
      <c r="F13217" t="s">
        <v>8031</v>
      </c>
      <c r="G13217" t="str">
        <f>"14-M01-05"</f>
        <v>14-M01-05</v>
      </c>
      <c r="H13217">
        <v>0.54239999999999999</v>
      </c>
      <c r="I13217" t="s">
        <v>8317</v>
      </c>
      <c r="J13217" t="s">
        <v>59</v>
      </c>
      <c r="K13217" t="str">
        <f>"6F3"</f>
        <v>6F3</v>
      </c>
      <c r="L13217" t="s">
        <v>15</v>
      </c>
    </row>
    <row r="13218" spans="1:12" x14ac:dyDescent="0.25">
      <c r="A13218" t="str">
        <f>"9651123779"</f>
        <v>9651123779</v>
      </c>
      <c r="B13218" t="str">
        <f t="shared" si="557"/>
        <v>89301000</v>
      </c>
      <c r="C13218" s="1">
        <v>44468</v>
      </c>
      <c r="D13218" s="1">
        <v>44470</v>
      </c>
      <c r="E13218">
        <v>1</v>
      </c>
      <c r="F13218" t="s">
        <v>593</v>
      </c>
      <c r="G13218" t="str">
        <f>"07-K05-03"</f>
        <v>07-K05-03</v>
      </c>
      <c r="H13218">
        <v>0.35770000000000002</v>
      </c>
      <c r="I13218" t="s">
        <v>46</v>
      </c>
      <c r="J13218" t="s">
        <v>14</v>
      </c>
      <c r="K13218" t="str">
        <f>"1F1"</f>
        <v>1F1</v>
      </c>
      <c r="L13218" t="s">
        <v>15</v>
      </c>
    </row>
    <row r="13219" spans="1:12" x14ac:dyDescent="0.25">
      <c r="A13219" t="str">
        <f>"9651155723"</f>
        <v>9651155723</v>
      </c>
      <c r="B13219" t="str">
        <f t="shared" si="557"/>
        <v>89301000</v>
      </c>
      <c r="C13219" s="1">
        <v>44370</v>
      </c>
      <c r="D13219" s="1">
        <v>44374</v>
      </c>
      <c r="E13219">
        <v>1</v>
      </c>
      <c r="F13219" t="s">
        <v>75</v>
      </c>
      <c r="G13219" t="str">
        <f>"14-M01-05"</f>
        <v>14-M01-05</v>
      </c>
      <c r="H13219">
        <v>0.54239999999999999</v>
      </c>
      <c r="I13219" t="s">
        <v>7569</v>
      </c>
      <c r="J13219" t="s">
        <v>59</v>
      </c>
      <c r="K13219" t="str">
        <f>"6F3"</f>
        <v>6F3</v>
      </c>
      <c r="L13219" t="s">
        <v>15</v>
      </c>
    </row>
    <row r="13220" spans="1:12" x14ac:dyDescent="0.25">
      <c r="A13220" t="str">
        <f>"9651225727"</f>
        <v>9651225727</v>
      </c>
      <c r="B13220" t="str">
        <f t="shared" si="557"/>
        <v>89301000</v>
      </c>
      <c r="C13220" s="1">
        <v>44208</v>
      </c>
      <c r="D13220" s="1">
        <v>44212</v>
      </c>
      <c r="E13220">
        <v>1</v>
      </c>
      <c r="F13220" t="s">
        <v>8318</v>
      </c>
      <c r="G13220" t="str">
        <f>"13-I19-00"</f>
        <v>13-I19-00</v>
      </c>
      <c r="H13220">
        <v>0.47189999999999999</v>
      </c>
      <c r="I13220" t="s">
        <v>7882</v>
      </c>
      <c r="J13220" t="s">
        <v>14</v>
      </c>
      <c r="K13220" t="str">
        <f>"6F3"</f>
        <v>6F3</v>
      </c>
      <c r="L13220" t="s">
        <v>15</v>
      </c>
    </row>
    <row r="13221" spans="1:12" x14ac:dyDescent="0.25">
      <c r="A13221" t="str">
        <f>"9651225727"</f>
        <v>9651225727</v>
      </c>
      <c r="B13221" t="str">
        <f t="shared" si="557"/>
        <v>89301000</v>
      </c>
      <c r="C13221" s="1">
        <v>44485</v>
      </c>
      <c r="D13221" s="1">
        <v>44488</v>
      </c>
      <c r="E13221">
        <v>1</v>
      </c>
      <c r="F13221" t="s">
        <v>995</v>
      </c>
      <c r="G13221" t="str">
        <f>"01-K18-04"</f>
        <v>01-K18-04</v>
      </c>
      <c r="H13221">
        <v>0.49890000000000001</v>
      </c>
      <c r="I13221" t="s">
        <v>2966</v>
      </c>
      <c r="J13221" t="s">
        <v>14</v>
      </c>
      <c r="K13221" t="str">
        <f>"2F9"</f>
        <v>2F9</v>
      </c>
      <c r="L13221" t="s">
        <v>15</v>
      </c>
    </row>
    <row r="13222" spans="1:12" x14ac:dyDescent="0.25">
      <c r="A13222" t="str">
        <f>"9651244845"</f>
        <v>9651244845</v>
      </c>
      <c r="B13222" t="str">
        <f t="shared" si="557"/>
        <v>89301000</v>
      </c>
      <c r="C13222" s="1">
        <v>44407</v>
      </c>
      <c r="D13222" s="1">
        <v>44407</v>
      </c>
      <c r="E13222">
        <v>1</v>
      </c>
      <c r="F13222" t="s">
        <v>86</v>
      </c>
      <c r="G13222" t="str">
        <f>"14-I08-03"</f>
        <v>14-I08-03</v>
      </c>
      <c r="H13222">
        <v>0.1065</v>
      </c>
      <c r="I13222" t="s">
        <v>7627</v>
      </c>
      <c r="J13222" t="s">
        <v>14</v>
      </c>
      <c r="K13222" t="str">
        <f t="shared" ref="K13222:K13227" si="558">"6F3"</f>
        <v>6F3</v>
      </c>
      <c r="L13222" t="s">
        <v>15</v>
      </c>
    </row>
    <row r="13223" spans="1:12" x14ac:dyDescent="0.25">
      <c r="A13223" t="str">
        <f>"9651244845"</f>
        <v>9651244845</v>
      </c>
      <c r="B13223" t="str">
        <f t="shared" si="557"/>
        <v>89301000</v>
      </c>
      <c r="C13223" s="1">
        <v>44378</v>
      </c>
      <c r="D13223" s="1">
        <v>44382</v>
      </c>
      <c r="E13223">
        <v>1</v>
      </c>
      <c r="F13223" t="s">
        <v>75</v>
      </c>
      <c r="G13223" t="str">
        <f>"14-M01-05"</f>
        <v>14-M01-05</v>
      </c>
      <c r="H13223">
        <v>0.54239999999999999</v>
      </c>
      <c r="I13223" t="s">
        <v>117</v>
      </c>
      <c r="J13223" t="s">
        <v>59</v>
      </c>
      <c r="K13223" t="str">
        <f t="shared" si="558"/>
        <v>6F3</v>
      </c>
      <c r="L13223" t="s">
        <v>15</v>
      </c>
    </row>
    <row r="13224" spans="1:12" x14ac:dyDescent="0.25">
      <c r="A13224" t="str">
        <f>"9651264216"</f>
        <v>9651264216</v>
      </c>
      <c r="B13224" t="str">
        <f t="shared" si="557"/>
        <v>89301000</v>
      </c>
      <c r="C13224" s="1">
        <v>44334</v>
      </c>
      <c r="D13224" s="1">
        <v>44337</v>
      </c>
      <c r="E13224">
        <v>1</v>
      </c>
      <c r="F13224" t="s">
        <v>266</v>
      </c>
      <c r="G13224" t="str">
        <f>"13-I14-03"</f>
        <v>13-I14-03</v>
      </c>
      <c r="H13224">
        <v>0.83199999999999996</v>
      </c>
      <c r="J13224" t="s">
        <v>24</v>
      </c>
      <c r="K13224" t="str">
        <f t="shared" si="558"/>
        <v>6F3</v>
      </c>
      <c r="L13224" t="s">
        <v>15</v>
      </c>
    </row>
    <row r="13225" spans="1:12" x14ac:dyDescent="0.25">
      <c r="A13225" t="str">
        <f>"9651265723"</f>
        <v>9651265723</v>
      </c>
      <c r="B13225" t="str">
        <f t="shared" si="557"/>
        <v>89301000</v>
      </c>
      <c r="C13225" s="1">
        <v>44477</v>
      </c>
      <c r="D13225" s="1">
        <v>44480</v>
      </c>
      <c r="E13225">
        <v>6</v>
      </c>
      <c r="F13225" t="s">
        <v>61</v>
      </c>
      <c r="G13225" t="str">
        <f>"14-I01-05"</f>
        <v>14-I01-05</v>
      </c>
      <c r="H13225">
        <v>0.80030000000000001</v>
      </c>
      <c r="I13225" t="s">
        <v>8319</v>
      </c>
      <c r="J13225" t="s">
        <v>59</v>
      </c>
      <c r="K13225" t="str">
        <f t="shared" si="558"/>
        <v>6F3</v>
      </c>
      <c r="L13225" t="s">
        <v>15</v>
      </c>
    </row>
    <row r="13226" spans="1:12" x14ac:dyDescent="0.25">
      <c r="A13226" t="str">
        <f>"9652135768"</f>
        <v>9652135768</v>
      </c>
      <c r="B13226" t="str">
        <f t="shared" si="557"/>
        <v>89301000</v>
      </c>
      <c r="C13226" s="1">
        <v>44515</v>
      </c>
      <c r="D13226" s="1">
        <v>44515</v>
      </c>
      <c r="E13226">
        <v>6</v>
      </c>
      <c r="F13226" t="s">
        <v>7897</v>
      </c>
      <c r="G13226" t="str">
        <f>"14-I08-03"</f>
        <v>14-I08-03</v>
      </c>
      <c r="H13226">
        <v>0.1065</v>
      </c>
      <c r="J13226" t="s">
        <v>14</v>
      </c>
      <c r="K13226" t="str">
        <f t="shared" si="558"/>
        <v>6F3</v>
      </c>
      <c r="L13226" t="s">
        <v>15</v>
      </c>
    </row>
    <row r="13227" spans="1:12" x14ac:dyDescent="0.25">
      <c r="A13227" t="str">
        <f>"9652143259"</f>
        <v>9652143259</v>
      </c>
      <c r="B13227" t="str">
        <f t="shared" si="557"/>
        <v>89301000</v>
      </c>
      <c r="C13227" s="1">
        <v>44379</v>
      </c>
      <c r="D13227" s="1">
        <v>44382</v>
      </c>
      <c r="E13227">
        <v>1</v>
      </c>
      <c r="F13227" t="s">
        <v>82</v>
      </c>
      <c r="G13227" t="str">
        <f>"14-I01-05"</f>
        <v>14-I01-05</v>
      </c>
      <c r="H13227">
        <v>0.80030000000000001</v>
      </c>
      <c r="I13227" t="s">
        <v>8190</v>
      </c>
      <c r="J13227" t="s">
        <v>59</v>
      </c>
      <c r="K13227" t="str">
        <f t="shared" si="558"/>
        <v>6F3</v>
      </c>
      <c r="L13227" t="s">
        <v>15</v>
      </c>
    </row>
    <row r="13228" spans="1:12" x14ac:dyDescent="0.25">
      <c r="A13228" t="str">
        <f t="shared" ref="A13228:A13241" si="559">"9652166172"</f>
        <v>9652166172</v>
      </c>
      <c r="B13228" t="str">
        <f t="shared" si="557"/>
        <v>89301000</v>
      </c>
      <c r="C13228" s="1">
        <v>44357</v>
      </c>
      <c r="D13228" s="1">
        <v>44366</v>
      </c>
      <c r="E13228">
        <v>1</v>
      </c>
      <c r="F13228" t="s">
        <v>8320</v>
      </c>
      <c r="G13228" t="str">
        <f>"17-C06-01"</f>
        <v>17-C06-01</v>
      </c>
      <c r="H13228">
        <v>0.99070000000000003</v>
      </c>
      <c r="I13228" t="s">
        <v>8321</v>
      </c>
      <c r="J13228" t="s">
        <v>14</v>
      </c>
      <c r="K13228" t="str">
        <f>"4F2"</f>
        <v>4F2</v>
      </c>
      <c r="L13228" t="s">
        <v>15</v>
      </c>
    </row>
    <row r="13229" spans="1:12" x14ac:dyDescent="0.25">
      <c r="A13229" t="str">
        <f t="shared" si="559"/>
        <v>9652166172</v>
      </c>
      <c r="B13229" t="str">
        <f t="shared" si="557"/>
        <v>89301000</v>
      </c>
      <c r="C13229" s="1">
        <v>44343</v>
      </c>
      <c r="D13229" s="1">
        <v>44347</v>
      </c>
      <c r="E13229">
        <v>1</v>
      </c>
      <c r="F13229" t="s">
        <v>8320</v>
      </c>
      <c r="G13229" t="str">
        <f>"17-C06-02"</f>
        <v>17-C06-02</v>
      </c>
      <c r="H13229">
        <v>0.3826</v>
      </c>
      <c r="I13229" t="s">
        <v>541</v>
      </c>
      <c r="J13229" t="s">
        <v>14</v>
      </c>
      <c r="K13229" t="str">
        <f>"4F2"</f>
        <v>4F2</v>
      </c>
      <c r="L13229" t="s">
        <v>15</v>
      </c>
    </row>
    <row r="13230" spans="1:12" x14ac:dyDescent="0.25">
      <c r="A13230" t="str">
        <f t="shared" si="559"/>
        <v>9652166172</v>
      </c>
      <c r="B13230" t="str">
        <f t="shared" si="557"/>
        <v>89301000</v>
      </c>
      <c r="C13230" s="1">
        <v>44326</v>
      </c>
      <c r="D13230" s="1">
        <v>44334</v>
      </c>
      <c r="E13230">
        <v>1</v>
      </c>
      <c r="F13230" t="s">
        <v>8320</v>
      </c>
      <c r="G13230" t="str">
        <f>"17-C06-02"</f>
        <v>17-C06-02</v>
      </c>
      <c r="H13230">
        <v>0.55879999999999996</v>
      </c>
      <c r="I13230" t="s">
        <v>8322</v>
      </c>
      <c r="J13230" t="s">
        <v>14</v>
      </c>
      <c r="K13230" t="str">
        <f>"4F2"</f>
        <v>4F2</v>
      </c>
      <c r="L13230" t="s">
        <v>15</v>
      </c>
    </row>
    <row r="13231" spans="1:12" x14ac:dyDescent="0.25">
      <c r="A13231" t="str">
        <f t="shared" si="559"/>
        <v>9652166172</v>
      </c>
      <c r="B13231" t="str">
        <f t="shared" si="557"/>
        <v>89301000</v>
      </c>
      <c r="C13231" s="1">
        <v>44309</v>
      </c>
      <c r="D13231" s="1">
        <v>44314</v>
      </c>
      <c r="E13231">
        <v>1</v>
      </c>
      <c r="F13231" t="s">
        <v>8320</v>
      </c>
      <c r="G13231" t="str">
        <f>"17-C06-02"</f>
        <v>17-C06-02</v>
      </c>
      <c r="H13231">
        <v>0.3826</v>
      </c>
      <c r="I13231" t="s">
        <v>541</v>
      </c>
      <c r="J13231" t="s">
        <v>14</v>
      </c>
      <c r="K13231" t="str">
        <f>"4F2"</f>
        <v>4F2</v>
      </c>
      <c r="L13231" t="s">
        <v>15</v>
      </c>
    </row>
    <row r="13232" spans="1:12" x14ac:dyDescent="0.25">
      <c r="A13232" t="str">
        <f t="shared" si="559"/>
        <v>9652166172</v>
      </c>
      <c r="B13232" t="str">
        <f t="shared" si="557"/>
        <v>89301000</v>
      </c>
      <c r="C13232" s="1">
        <v>44264</v>
      </c>
      <c r="D13232" s="1">
        <v>44302</v>
      </c>
      <c r="E13232">
        <v>1</v>
      </c>
      <c r="F13232" t="s">
        <v>8320</v>
      </c>
      <c r="G13232" t="str">
        <f>"17-C06-02"</f>
        <v>17-C06-02</v>
      </c>
      <c r="H13232">
        <v>2.4216000000000002</v>
      </c>
      <c r="I13232" t="s">
        <v>8323</v>
      </c>
      <c r="J13232" t="s">
        <v>14</v>
      </c>
      <c r="K13232" t="str">
        <f>"4F2"</f>
        <v>4F2</v>
      </c>
      <c r="L13232" t="s">
        <v>15</v>
      </c>
    </row>
    <row r="13233" spans="1:12" x14ac:dyDescent="0.25">
      <c r="A13233" t="str">
        <f t="shared" si="559"/>
        <v>9652166172</v>
      </c>
      <c r="B13233" t="str">
        <f t="shared" si="557"/>
        <v>89301000</v>
      </c>
      <c r="C13233" s="1">
        <v>44247</v>
      </c>
      <c r="D13233" s="1">
        <v>44256</v>
      </c>
      <c r="E13233">
        <v>3</v>
      </c>
      <c r="F13233" t="s">
        <v>2701</v>
      </c>
      <c r="G13233" t="str">
        <f>"08-I03-02"</f>
        <v>08-I03-02</v>
      </c>
      <c r="H13233">
        <v>5.4687000000000001</v>
      </c>
      <c r="I13233" t="s">
        <v>699</v>
      </c>
      <c r="J13233" t="s">
        <v>17</v>
      </c>
      <c r="K13233" t="str">
        <f>"5F6"</f>
        <v>5F6</v>
      </c>
      <c r="L13233" t="s">
        <v>15</v>
      </c>
    </row>
    <row r="13234" spans="1:12" x14ac:dyDescent="0.25">
      <c r="A13234" t="str">
        <f t="shared" si="559"/>
        <v>9652166172</v>
      </c>
      <c r="B13234" t="str">
        <f t="shared" si="557"/>
        <v>89301000</v>
      </c>
      <c r="C13234" s="1">
        <v>44503</v>
      </c>
      <c r="D13234" s="1">
        <v>44504</v>
      </c>
      <c r="E13234">
        <v>1</v>
      </c>
      <c r="F13234" t="s">
        <v>8320</v>
      </c>
      <c r="G13234" t="str">
        <f>"17-K09-01"</f>
        <v>17-K09-01</v>
      </c>
      <c r="H13234">
        <v>0.9728</v>
      </c>
      <c r="I13234" t="s">
        <v>3895</v>
      </c>
      <c r="J13234" t="s">
        <v>14</v>
      </c>
      <c r="K13234" t="str">
        <f t="shared" ref="K13234:K13239" si="560">"4F2"</f>
        <v>4F2</v>
      </c>
      <c r="L13234" t="s">
        <v>15</v>
      </c>
    </row>
    <row r="13235" spans="1:12" x14ac:dyDescent="0.25">
      <c r="A13235" t="str">
        <f t="shared" si="559"/>
        <v>9652166172</v>
      </c>
      <c r="B13235" t="str">
        <f t="shared" si="557"/>
        <v>89301000</v>
      </c>
      <c r="C13235" s="1">
        <v>44508</v>
      </c>
      <c r="D13235" s="1">
        <v>44513</v>
      </c>
      <c r="E13235">
        <v>1</v>
      </c>
      <c r="F13235" t="s">
        <v>8320</v>
      </c>
      <c r="G13235" t="str">
        <f>"17-C06-02"</f>
        <v>17-C06-02</v>
      </c>
      <c r="H13235">
        <v>0.51100000000000001</v>
      </c>
      <c r="I13235" t="s">
        <v>541</v>
      </c>
      <c r="J13235" t="s">
        <v>14</v>
      </c>
      <c r="K13235" t="str">
        <f t="shared" si="560"/>
        <v>4F2</v>
      </c>
      <c r="L13235" t="s">
        <v>15</v>
      </c>
    </row>
    <row r="13236" spans="1:12" x14ac:dyDescent="0.25">
      <c r="A13236" t="str">
        <f t="shared" si="559"/>
        <v>9652166172</v>
      </c>
      <c r="B13236" t="str">
        <f t="shared" si="557"/>
        <v>89301000</v>
      </c>
      <c r="C13236" s="1">
        <v>44519</v>
      </c>
      <c r="D13236" s="1">
        <v>44530</v>
      </c>
      <c r="E13236">
        <v>1</v>
      </c>
      <c r="F13236" t="s">
        <v>8320</v>
      </c>
      <c r="G13236" t="str">
        <f>"17-K09-01"</f>
        <v>17-K09-01</v>
      </c>
      <c r="H13236">
        <v>1.7385999999999999</v>
      </c>
      <c r="I13236" t="s">
        <v>8324</v>
      </c>
      <c r="J13236" t="s">
        <v>14</v>
      </c>
      <c r="K13236" t="str">
        <f t="shared" si="560"/>
        <v>4F2</v>
      </c>
      <c r="L13236" t="s">
        <v>15</v>
      </c>
    </row>
    <row r="13237" spans="1:12" x14ac:dyDescent="0.25">
      <c r="A13237" t="str">
        <f t="shared" si="559"/>
        <v>9652166172</v>
      </c>
      <c r="B13237" t="str">
        <f t="shared" si="557"/>
        <v>89301000</v>
      </c>
      <c r="C13237" s="1">
        <v>44374</v>
      </c>
      <c r="D13237" s="1">
        <v>44385</v>
      </c>
      <c r="E13237">
        <v>1</v>
      </c>
      <c r="F13237" t="s">
        <v>8320</v>
      </c>
      <c r="G13237" t="str">
        <f>"17-C06-01"</f>
        <v>17-C06-01</v>
      </c>
      <c r="H13237">
        <v>0.99070000000000003</v>
      </c>
      <c r="I13237" t="s">
        <v>8325</v>
      </c>
      <c r="J13237" t="s">
        <v>14</v>
      </c>
      <c r="K13237" t="str">
        <f t="shared" si="560"/>
        <v>4F2</v>
      </c>
      <c r="L13237" t="s">
        <v>15</v>
      </c>
    </row>
    <row r="13238" spans="1:12" x14ac:dyDescent="0.25">
      <c r="A13238" t="str">
        <f t="shared" si="559"/>
        <v>9652166172</v>
      </c>
      <c r="B13238" t="str">
        <f t="shared" si="557"/>
        <v>89301000</v>
      </c>
      <c r="C13238" s="1">
        <v>44396</v>
      </c>
      <c r="D13238" s="1">
        <v>44405</v>
      </c>
      <c r="E13238">
        <v>1</v>
      </c>
      <c r="F13238" t="s">
        <v>8320</v>
      </c>
      <c r="G13238" t="str">
        <f>"17-C06-02"</f>
        <v>17-C06-02</v>
      </c>
      <c r="H13238">
        <v>0.6421</v>
      </c>
      <c r="I13238" t="s">
        <v>541</v>
      </c>
      <c r="J13238" t="s">
        <v>14</v>
      </c>
      <c r="K13238" t="str">
        <f t="shared" si="560"/>
        <v>4F2</v>
      </c>
      <c r="L13238" t="s">
        <v>15</v>
      </c>
    </row>
    <row r="13239" spans="1:12" x14ac:dyDescent="0.25">
      <c r="A13239" t="str">
        <f t="shared" si="559"/>
        <v>9652166172</v>
      </c>
      <c r="B13239" t="str">
        <f t="shared" si="557"/>
        <v>89301000</v>
      </c>
      <c r="C13239" s="1">
        <v>44428</v>
      </c>
      <c r="D13239" s="1">
        <v>44429</v>
      </c>
      <c r="E13239">
        <v>1</v>
      </c>
      <c r="F13239" t="s">
        <v>8320</v>
      </c>
      <c r="G13239" t="str">
        <f>"17-K09-01"</f>
        <v>17-K09-01</v>
      </c>
      <c r="H13239">
        <v>0.9728</v>
      </c>
      <c r="I13239" t="s">
        <v>8326</v>
      </c>
      <c r="J13239" t="s">
        <v>14</v>
      </c>
      <c r="K13239" t="str">
        <f t="shared" si="560"/>
        <v>4F2</v>
      </c>
      <c r="L13239" t="s">
        <v>15</v>
      </c>
    </row>
    <row r="13240" spans="1:12" x14ac:dyDescent="0.25">
      <c r="A13240" t="str">
        <f t="shared" si="559"/>
        <v>9652166172</v>
      </c>
      <c r="B13240" t="str">
        <f t="shared" si="557"/>
        <v>89301000</v>
      </c>
      <c r="C13240" s="1">
        <v>44256</v>
      </c>
      <c r="D13240" s="1">
        <v>44264</v>
      </c>
      <c r="E13240">
        <v>3</v>
      </c>
      <c r="F13240" t="s">
        <v>109</v>
      </c>
      <c r="G13240" t="str">
        <f>"24-M06-01"</f>
        <v>24-M06-01</v>
      </c>
      <c r="H13240">
        <v>1.1548</v>
      </c>
      <c r="I13240" t="s">
        <v>8327</v>
      </c>
      <c r="J13240" t="s">
        <v>14</v>
      </c>
      <c r="K13240" t="str">
        <f>"2F1"</f>
        <v>2F1</v>
      </c>
      <c r="L13240" t="s">
        <v>15</v>
      </c>
    </row>
    <row r="13241" spans="1:12" x14ac:dyDescent="0.25">
      <c r="A13241" t="str">
        <f t="shared" si="559"/>
        <v>9652166172</v>
      </c>
      <c r="B13241" t="str">
        <f t="shared" si="557"/>
        <v>89301000</v>
      </c>
      <c r="C13241" s="1">
        <v>44413</v>
      </c>
      <c r="D13241" s="1">
        <v>44417</v>
      </c>
      <c r="E13241">
        <v>1</v>
      </c>
      <c r="F13241" t="s">
        <v>8320</v>
      </c>
      <c r="G13241" t="str">
        <f>"17-C06-02"</f>
        <v>17-C06-02</v>
      </c>
      <c r="H13241">
        <v>0.3826</v>
      </c>
      <c r="I13241" t="s">
        <v>8328</v>
      </c>
      <c r="J13241" t="s">
        <v>14</v>
      </c>
      <c r="K13241" t="str">
        <f>"4F2"</f>
        <v>4F2</v>
      </c>
      <c r="L13241" t="s">
        <v>15</v>
      </c>
    </row>
    <row r="13242" spans="1:12" x14ac:dyDescent="0.25">
      <c r="A13242" t="str">
        <f>"9653094605"</f>
        <v>9653094605</v>
      </c>
      <c r="B13242" t="str">
        <f t="shared" si="557"/>
        <v>89301000</v>
      </c>
      <c r="C13242" s="1">
        <v>44421</v>
      </c>
      <c r="D13242" s="1">
        <v>44425</v>
      </c>
      <c r="E13242">
        <v>1</v>
      </c>
      <c r="F13242" t="s">
        <v>75</v>
      </c>
      <c r="G13242" t="str">
        <f>"14-M01-05"</f>
        <v>14-M01-05</v>
      </c>
      <c r="H13242">
        <v>0.54239999999999999</v>
      </c>
      <c r="I13242" t="s">
        <v>76</v>
      </c>
      <c r="J13242" t="s">
        <v>59</v>
      </c>
      <c r="K13242" t="str">
        <f>"6F3"</f>
        <v>6F3</v>
      </c>
      <c r="L13242" t="s">
        <v>15</v>
      </c>
    </row>
    <row r="13243" spans="1:12" x14ac:dyDescent="0.25">
      <c r="A13243" t="str">
        <f>"9653135756"</f>
        <v>9653135756</v>
      </c>
      <c r="B13243" t="str">
        <f t="shared" si="557"/>
        <v>89301000</v>
      </c>
      <c r="C13243" s="1">
        <v>44210</v>
      </c>
      <c r="D13243" s="1">
        <v>44214</v>
      </c>
      <c r="E13243">
        <v>1</v>
      </c>
      <c r="F13243" t="s">
        <v>116</v>
      </c>
      <c r="G13243" t="str">
        <f>"14-M01-05"</f>
        <v>14-M01-05</v>
      </c>
      <c r="H13243">
        <v>0.54239999999999999</v>
      </c>
      <c r="I13243" t="s">
        <v>8329</v>
      </c>
      <c r="J13243" t="s">
        <v>59</v>
      </c>
      <c r="K13243" t="str">
        <f>"6F3"</f>
        <v>6F3</v>
      </c>
      <c r="L13243" t="s">
        <v>15</v>
      </c>
    </row>
    <row r="13244" spans="1:12" x14ac:dyDescent="0.25">
      <c r="A13244" t="str">
        <f>"9653155743"</f>
        <v>9653155743</v>
      </c>
      <c r="B13244" t="str">
        <f t="shared" si="557"/>
        <v>89301000</v>
      </c>
      <c r="C13244" s="1">
        <v>44246</v>
      </c>
      <c r="D13244" s="1">
        <v>44251</v>
      </c>
      <c r="E13244">
        <v>1</v>
      </c>
      <c r="F13244" t="s">
        <v>437</v>
      </c>
      <c r="G13244" t="str">
        <f>"07-K01-02"</f>
        <v>07-K01-02</v>
      </c>
      <c r="H13244">
        <v>0.93010000000000004</v>
      </c>
      <c r="I13244" t="s">
        <v>8330</v>
      </c>
      <c r="J13244" t="s">
        <v>14</v>
      </c>
      <c r="K13244" t="str">
        <f>"1F1"</f>
        <v>1F1</v>
      </c>
      <c r="L13244" t="s">
        <v>15</v>
      </c>
    </row>
    <row r="13245" spans="1:12" x14ac:dyDescent="0.25">
      <c r="A13245" t="str">
        <f>"9653215704"</f>
        <v>9653215704</v>
      </c>
      <c r="B13245" t="str">
        <f t="shared" si="557"/>
        <v>89301000</v>
      </c>
      <c r="C13245" s="1">
        <v>44547</v>
      </c>
      <c r="D13245" s="1">
        <v>44550</v>
      </c>
      <c r="E13245">
        <v>1</v>
      </c>
      <c r="F13245" t="s">
        <v>61</v>
      </c>
      <c r="G13245" t="str">
        <f>"14-I01-05"</f>
        <v>14-I01-05</v>
      </c>
      <c r="H13245">
        <v>0.80030000000000001</v>
      </c>
      <c r="I13245" t="s">
        <v>62</v>
      </c>
      <c r="J13245" t="s">
        <v>59</v>
      </c>
      <c r="K13245" t="str">
        <f>"6F3"</f>
        <v>6F3</v>
      </c>
      <c r="L13245" t="s">
        <v>15</v>
      </c>
    </row>
    <row r="13246" spans="1:12" x14ac:dyDescent="0.25">
      <c r="A13246" t="str">
        <f>"9653255953"</f>
        <v>9653255953</v>
      </c>
      <c r="B13246" t="str">
        <f t="shared" si="557"/>
        <v>89301000</v>
      </c>
      <c r="C13246" s="1">
        <v>44375</v>
      </c>
      <c r="D13246" s="1">
        <v>44379</v>
      </c>
      <c r="E13246">
        <v>1</v>
      </c>
      <c r="F13246" t="s">
        <v>7068</v>
      </c>
      <c r="G13246" t="str">
        <f>"09-K04-02"</f>
        <v>09-K04-02</v>
      </c>
      <c r="H13246">
        <v>0.68279999999999996</v>
      </c>
      <c r="J13246" t="s">
        <v>14</v>
      </c>
      <c r="K13246" t="str">
        <f>"4F4"</f>
        <v>4F4</v>
      </c>
      <c r="L13246" t="s">
        <v>15</v>
      </c>
    </row>
    <row r="13247" spans="1:12" x14ac:dyDescent="0.25">
      <c r="A13247" t="str">
        <f>"9654014491"</f>
        <v>9654014491</v>
      </c>
      <c r="B13247" t="str">
        <f t="shared" si="557"/>
        <v>89301000</v>
      </c>
      <c r="C13247" s="1">
        <v>44283</v>
      </c>
      <c r="D13247" s="1">
        <v>44294</v>
      </c>
      <c r="E13247">
        <v>1</v>
      </c>
      <c r="F13247" t="s">
        <v>500</v>
      </c>
      <c r="G13247" t="str">
        <f>"06-I07-05"</f>
        <v>06-I07-05</v>
      </c>
      <c r="H13247">
        <v>2.8466999999999998</v>
      </c>
      <c r="I13247" t="s">
        <v>241</v>
      </c>
      <c r="J13247" t="s">
        <v>17</v>
      </c>
      <c r="K13247" t="str">
        <f>"5F1"</f>
        <v>5F1</v>
      </c>
      <c r="L13247" t="s">
        <v>15</v>
      </c>
    </row>
    <row r="13248" spans="1:12" x14ac:dyDescent="0.25">
      <c r="A13248" t="str">
        <f>"9654014491"</f>
        <v>9654014491</v>
      </c>
      <c r="B13248" t="str">
        <f t="shared" si="557"/>
        <v>89301000</v>
      </c>
      <c r="C13248" s="1">
        <v>44408</v>
      </c>
      <c r="D13248" s="1">
        <v>44419</v>
      </c>
      <c r="E13248">
        <v>1</v>
      </c>
      <c r="F13248" t="s">
        <v>1841</v>
      </c>
      <c r="G13248" t="str">
        <f>"06-I07-05"</f>
        <v>06-I07-05</v>
      </c>
      <c r="H13248">
        <v>2.8466999999999998</v>
      </c>
      <c r="I13248" t="s">
        <v>8331</v>
      </c>
      <c r="J13248" t="s">
        <v>17</v>
      </c>
      <c r="K13248" t="str">
        <f>"5F1"</f>
        <v>5F1</v>
      </c>
      <c r="L13248" t="s">
        <v>15</v>
      </c>
    </row>
    <row r="13249" spans="1:12" x14ac:dyDescent="0.25">
      <c r="A13249" t="str">
        <f>"9654105714"</f>
        <v>9654105714</v>
      </c>
      <c r="B13249" t="str">
        <f t="shared" si="557"/>
        <v>89301000</v>
      </c>
      <c r="C13249" s="1">
        <v>44365</v>
      </c>
      <c r="D13249" s="1">
        <v>44368</v>
      </c>
      <c r="E13249">
        <v>1</v>
      </c>
      <c r="F13249" t="s">
        <v>100</v>
      </c>
      <c r="G13249" t="str">
        <f>"14-I04-00"</f>
        <v>14-I04-00</v>
      </c>
      <c r="H13249">
        <v>0.78749999999999998</v>
      </c>
      <c r="I13249" t="s">
        <v>101</v>
      </c>
      <c r="J13249" t="s">
        <v>24</v>
      </c>
      <c r="K13249" t="str">
        <f t="shared" ref="K13249:K13254" si="561">"6F3"</f>
        <v>6F3</v>
      </c>
      <c r="L13249" t="s">
        <v>15</v>
      </c>
    </row>
    <row r="13250" spans="1:12" x14ac:dyDescent="0.25">
      <c r="A13250" t="str">
        <f>"9654134842"</f>
        <v>9654134842</v>
      </c>
      <c r="B13250" t="str">
        <f t="shared" si="557"/>
        <v>89301000</v>
      </c>
      <c r="C13250" s="1">
        <v>44336</v>
      </c>
      <c r="D13250" s="1">
        <v>44337</v>
      </c>
      <c r="E13250">
        <v>1</v>
      </c>
      <c r="F13250" t="s">
        <v>60</v>
      </c>
      <c r="G13250" t="str">
        <f>"14-K03-02"</f>
        <v>14-K03-02</v>
      </c>
      <c r="H13250">
        <v>0.2646</v>
      </c>
      <c r="J13250" t="s">
        <v>14</v>
      </c>
      <c r="K13250" t="str">
        <f t="shared" si="561"/>
        <v>6F3</v>
      </c>
      <c r="L13250" t="s">
        <v>15</v>
      </c>
    </row>
    <row r="13251" spans="1:12" x14ac:dyDescent="0.25">
      <c r="A13251" t="str">
        <f>"9654135700"</f>
        <v>9654135700</v>
      </c>
      <c r="B13251" t="str">
        <f t="shared" si="557"/>
        <v>89301000</v>
      </c>
      <c r="C13251" s="1">
        <v>44318</v>
      </c>
      <c r="D13251" s="1">
        <v>44323</v>
      </c>
      <c r="E13251">
        <v>1</v>
      </c>
      <c r="F13251" t="s">
        <v>75</v>
      </c>
      <c r="G13251" t="str">
        <f>"14-M01-05"</f>
        <v>14-M01-05</v>
      </c>
      <c r="H13251">
        <v>0.54239999999999999</v>
      </c>
      <c r="I13251" t="s">
        <v>76</v>
      </c>
      <c r="J13251" t="s">
        <v>59</v>
      </c>
      <c r="K13251" t="str">
        <f t="shared" si="561"/>
        <v>6F3</v>
      </c>
      <c r="L13251" t="s">
        <v>15</v>
      </c>
    </row>
    <row r="13252" spans="1:12" x14ac:dyDescent="0.25">
      <c r="A13252" t="str">
        <f>"9654155720"</f>
        <v>9654155720</v>
      </c>
      <c r="B13252" t="str">
        <f t="shared" si="557"/>
        <v>89301000</v>
      </c>
      <c r="C13252" s="1">
        <v>44433</v>
      </c>
      <c r="D13252" s="1">
        <v>44439</v>
      </c>
      <c r="E13252">
        <v>1</v>
      </c>
      <c r="F13252" t="s">
        <v>7367</v>
      </c>
      <c r="G13252" t="str">
        <f>"14-K03-02"</f>
        <v>14-K03-02</v>
      </c>
      <c r="H13252">
        <v>0.2646</v>
      </c>
      <c r="J13252" t="s">
        <v>14</v>
      </c>
      <c r="K13252" t="str">
        <f t="shared" si="561"/>
        <v>6F3</v>
      </c>
      <c r="L13252" t="s">
        <v>15</v>
      </c>
    </row>
    <row r="13253" spans="1:12" x14ac:dyDescent="0.25">
      <c r="A13253" t="str">
        <f>"9654155720"</f>
        <v>9654155720</v>
      </c>
      <c r="B13253" t="str">
        <f t="shared" si="557"/>
        <v>89301000</v>
      </c>
      <c r="C13253" s="1">
        <v>44454</v>
      </c>
      <c r="D13253" s="1">
        <v>44459</v>
      </c>
      <c r="E13253">
        <v>1</v>
      </c>
      <c r="F13253" t="s">
        <v>75</v>
      </c>
      <c r="G13253" t="str">
        <f>"14-M01-05"</f>
        <v>14-M01-05</v>
      </c>
      <c r="H13253">
        <v>0.54239999999999999</v>
      </c>
      <c r="I13253" t="s">
        <v>8332</v>
      </c>
      <c r="J13253" t="s">
        <v>59</v>
      </c>
      <c r="K13253" t="str">
        <f t="shared" si="561"/>
        <v>6F3</v>
      </c>
      <c r="L13253" t="s">
        <v>15</v>
      </c>
    </row>
    <row r="13254" spans="1:12" x14ac:dyDescent="0.25">
      <c r="A13254" t="str">
        <f>"9654244842"</f>
        <v>9654244842</v>
      </c>
      <c r="B13254" t="str">
        <f t="shared" si="557"/>
        <v>89301000</v>
      </c>
      <c r="C13254" s="1">
        <v>44490</v>
      </c>
      <c r="D13254" s="1">
        <v>44494</v>
      </c>
      <c r="E13254">
        <v>1</v>
      </c>
      <c r="F13254" t="s">
        <v>116</v>
      </c>
      <c r="G13254" t="str">
        <f>"14-M01-05"</f>
        <v>14-M01-05</v>
      </c>
      <c r="H13254">
        <v>0.54239999999999999</v>
      </c>
      <c r="I13254" t="s">
        <v>7503</v>
      </c>
      <c r="J13254" t="s">
        <v>59</v>
      </c>
      <c r="K13254" t="str">
        <f t="shared" si="561"/>
        <v>6F3</v>
      </c>
      <c r="L13254" t="s">
        <v>15</v>
      </c>
    </row>
    <row r="13255" spans="1:12" x14ac:dyDescent="0.25">
      <c r="A13255" t="str">
        <f>"9654255710"</f>
        <v>9654255710</v>
      </c>
      <c r="B13255" t="str">
        <f t="shared" si="557"/>
        <v>89301000</v>
      </c>
      <c r="C13255" s="1">
        <v>44336</v>
      </c>
      <c r="D13255" s="1">
        <v>44339</v>
      </c>
      <c r="E13255">
        <v>1</v>
      </c>
      <c r="F13255" t="s">
        <v>43</v>
      </c>
      <c r="G13255" t="str">
        <f>"06-I18-05"</f>
        <v>06-I18-05</v>
      </c>
      <c r="H13255">
        <v>0.85550000000000004</v>
      </c>
      <c r="I13255" t="s">
        <v>467</v>
      </c>
      <c r="J13255" t="s">
        <v>24</v>
      </c>
      <c r="K13255" t="str">
        <f>"5F1"</f>
        <v>5F1</v>
      </c>
      <c r="L13255" t="s">
        <v>15</v>
      </c>
    </row>
    <row r="13256" spans="1:12" x14ac:dyDescent="0.25">
      <c r="A13256" t="str">
        <f>"9655105724"</f>
        <v>9655105724</v>
      </c>
      <c r="B13256" t="str">
        <f t="shared" si="557"/>
        <v>89301000</v>
      </c>
      <c r="C13256" s="1">
        <v>44508</v>
      </c>
      <c r="D13256" s="1">
        <v>44508</v>
      </c>
      <c r="E13256">
        <v>1</v>
      </c>
      <c r="F13256" t="s">
        <v>4237</v>
      </c>
      <c r="G13256" t="str">
        <f>"03-K08-00"</f>
        <v>03-K08-00</v>
      </c>
      <c r="H13256">
        <v>0.21490000000000001</v>
      </c>
      <c r="J13256" t="s">
        <v>14</v>
      </c>
      <c r="K13256" t="str">
        <f>"6F5"</f>
        <v>6F5</v>
      </c>
      <c r="L13256" t="s">
        <v>15</v>
      </c>
    </row>
    <row r="13257" spans="1:12" x14ac:dyDescent="0.25">
      <c r="A13257" t="str">
        <f>"9655125711"</f>
        <v>9655125711</v>
      </c>
      <c r="B13257" t="str">
        <f t="shared" si="557"/>
        <v>89301000</v>
      </c>
      <c r="C13257" s="1">
        <v>44489</v>
      </c>
      <c r="D13257" s="1">
        <v>44492</v>
      </c>
      <c r="E13257">
        <v>1</v>
      </c>
      <c r="F13257" t="s">
        <v>75</v>
      </c>
      <c r="G13257" t="str">
        <f>"14-M01-05"</f>
        <v>14-M01-05</v>
      </c>
      <c r="H13257">
        <v>0.54239999999999999</v>
      </c>
      <c r="I13257" t="s">
        <v>256</v>
      </c>
      <c r="J13257" t="s">
        <v>59</v>
      </c>
      <c r="K13257" t="str">
        <f>"6F3"</f>
        <v>6F3</v>
      </c>
      <c r="L13257" t="s">
        <v>15</v>
      </c>
    </row>
    <row r="13258" spans="1:12" x14ac:dyDescent="0.25">
      <c r="A13258" t="str">
        <f>"9655205703"</f>
        <v>9655205703</v>
      </c>
      <c r="B13258" t="str">
        <f t="shared" si="557"/>
        <v>89301000</v>
      </c>
      <c r="C13258" s="1">
        <v>44197</v>
      </c>
      <c r="D13258" s="1">
        <v>44199</v>
      </c>
      <c r="E13258">
        <v>1</v>
      </c>
      <c r="F13258" t="s">
        <v>287</v>
      </c>
      <c r="G13258" t="str">
        <f>"01-K16-06"</f>
        <v>01-K16-06</v>
      </c>
      <c r="H13258">
        <v>0.26469999999999999</v>
      </c>
      <c r="I13258" t="s">
        <v>8333</v>
      </c>
      <c r="J13258" t="s">
        <v>14</v>
      </c>
      <c r="K13258" t="str">
        <f>"5F3"</f>
        <v>5F3</v>
      </c>
      <c r="L13258" t="s">
        <v>15</v>
      </c>
    </row>
    <row r="13259" spans="1:12" x14ac:dyDescent="0.25">
      <c r="A13259" t="str">
        <f>"9655234842"</f>
        <v>9655234842</v>
      </c>
      <c r="B13259" t="str">
        <f t="shared" si="557"/>
        <v>89301000</v>
      </c>
      <c r="C13259" s="1">
        <v>44415</v>
      </c>
      <c r="D13259" s="1">
        <v>44416</v>
      </c>
      <c r="E13259">
        <v>1</v>
      </c>
      <c r="F13259" t="s">
        <v>75</v>
      </c>
      <c r="G13259" t="str">
        <f>"14-M01-05"</f>
        <v>14-M01-05</v>
      </c>
      <c r="H13259">
        <v>0.54239999999999999</v>
      </c>
      <c r="I13259" t="s">
        <v>7503</v>
      </c>
      <c r="J13259" t="s">
        <v>59</v>
      </c>
      <c r="K13259" t="str">
        <f>"6F3"</f>
        <v>6F3</v>
      </c>
      <c r="L13259" t="s">
        <v>15</v>
      </c>
    </row>
    <row r="13260" spans="1:12" x14ac:dyDescent="0.25">
      <c r="A13260" t="str">
        <f>"9655266082"</f>
        <v>9655266082</v>
      </c>
      <c r="B13260" t="str">
        <f t="shared" si="557"/>
        <v>89301000</v>
      </c>
      <c r="C13260" s="1">
        <v>44434</v>
      </c>
      <c r="D13260" s="1">
        <v>44436</v>
      </c>
      <c r="E13260">
        <v>1</v>
      </c>
      <c r="F13260" t="s">
        <v>75</v>
      </c>
      <c r="G13260" t="str">
        <f>"14-M01-05"</f>
        <v>14-M01-05</v>
      </c>
      <c r="H13260">
        <v>0.54239999999999999</v>
      </c>
      <c r="I13260" t="s">
        <v>76</v>
      </c>
      <c r="J13260" t="s">
        <v>59</v>
      </c>
      <c r="K13260" t="str">
        <f>"6F3"</f>
        <v>6F3</v>
      </c>
      <c r="L13260" t="s">
        <v>15</v>
      </c>
    </row>
    <row r="13261" spans="1:12" x14ac:dyDescent="0.25">
      <c r="A13261" t="str">
        <f>"9655295298"</f>
        <v>9655295298</v>
      </c>
      <c r="B13261" t="str">
        <f t="shared" si="557"/>
        <v>89301000</v>
      </c>
      <c r="C13261" s="1">
        <v>44488</v>
      </c>
      <c r="D13261" s="1">
        <v>44503</v>
      </c>
      <c r="E13261">
        <v>5</v>
      </c>
      <c r="F13261" t="s">
        <v>78</v>
      </c>
      <c r="G13261" t="str">
        <f>"19-K05-02"</f>
        <v>19-K05-02</v>
      </c>
      <c r="H13261">
        <v>1.8835999999999999</v>
      </c>
      <c r="I13261" t="s">
        <v>2178</v>
      </c>
      <c r="J13261" t="s">
        <v>27</v>
      </c>
      <c r="K13261" t="str">
        <f>"3F5"</f>
        <v>3F5</v>
      </c>
      <c r="L13261" t="s">
        <v>15</v>
      </c>
    </row>
    <row r="13262" spans="1:12" x14ac:dyDescent="0.25">
      <c r="A13262" t="str">
        <f>"9656075748"</f>
        <v>9656075748</v>
      </c>
      <c r="B13262" t="str">
        <f t="shared" si="557"/>
        <v>89301000</v>
      </c>
      <c r="C13262" s="1">
        <v>44251</v>
      </c>
      <c r="D13262" s="1">
        <v>44256</v>
      </c>
      <c r="E13262">
        <v>1</v>
      </c>
      <c r="F13262" t="s">
        <v>60</v>
      </c>
      <c r="G13262" t="str">
        <f>"14-K03-02"</f>
        <v>14-K03-02</v>
      </c>
      <c r="H13262">
        <v>0.2646</v>
      </c>
      <c r="J13262" t="s">
        <v>14</v>
      </c>
      <c r="K13262" t="str">
        <f>"6F3"</f>
        <v>6F3</v>
      </c>
      <c r="L13262" t="s">
        <v>15</v>
      </c>
    </row>
    <row r="13263" spans="1:12" x14ac:dyDescent="0.25">
      <c r="A13263" t="str">
        <f>"9656075748"</f>
        <v>9656075748</v>
      </c>
      <c r="B13263" t="str">
        <f t="shared" si="557"/>
        <v>89301000</v>
      </c>
      <c r="C13263" s="1">
        <v>44264</v>
      </c>
      <c r="D13263" s="1">
        <v>44268</v>
      </c>
      <c r="E13263">
        <v>1</v>
      </c>
      <c r="F13263" t="s">
        <v>116</v>
      </c>
      <c r="G13263" t="str">
        <f>"14-M01-05"</f>
        <v>14-M01-05</v>
      </c>
      <c r="H13263">
        <v>0.54239999999999999</v>
      </c>
      <c r="I13263" t="s">
        <v>7520</v>
      </c>
      <c r="J13263" t="s">
        <v>59</v>
      </c>
      <c r="K13263" t="str">
        <f>"6F3"</f>
        <v>6F3</v>
      </c>
      <c r="L13263" t="s">
        <v>15</v>
      </c>
    </row>
    <row r="13264" spans="1:12" x14ac:dyDescent="0.25">
      <c r="A13264" t="str">
        <f>"9656165706"</f>
        <v>9656165706</v>
      </c>
      <c r="B13264" t="str">
        <f t="shared" si="557"/>
        <v>89301000</v>
      </c>
      <c r="C13264" s="1">
        <v>44500</v>
      </c>
      <c r="D13264" s="1">
        <v>44503</v>
      </c>
      <c r="E13264">
        <v>1</v>
      </c>
      <c r="F13264" t="s">
        <v>75</v>
      </c>
      <c r="G13264" t="str">
        <f>"14-M01-05"</f>
        <v>14-M01-05</v>
      </c>
      <c r="H13264">
        <v>0.54239999999999999</v>
      </c>
      <c r="I13264" t="s">
        <v>426</v>
      </c>
      <c r="J13264" t="s">
        <v>59</v>
      </c>
      <c r="K13264" t="str">
        <f>"6F3"</f>
        <v>6F3</v>
      </c>
      <c r="L13264" t="s">
        <v>15</v>
      </c>
    </row>
    <row r="13265" spans="1:12" x14ac:dyDescent="0.25">
      <c r="A13265" t="str">
        <f>"9657095712"</f>
        <v>9657095712</v>
      </c>
      <c r="B13265" t="str">
        <f t="shared" si="557"/>
        <v>89301000</v>
      </c>
      <c r="C13265" s="1">
        <v>44396</v>
      </c>
      <c r="D13265" s="1">
        <v>44399</v>
      </c>
      <c r="E13265">
        <v>1</v>
      </c>
      <c r="F13265" t="s">
        <v>8334</v>
      </c>
      <c r="G13265" t="str">
        <f>"08-I21-01"</f>
        <v>08-I21-01</v>
      </c>
      <c r="H13265">
        <v>2.4729999999999999</v>
      </c>
      <c r="J13265" t="s">
        <v>17</v>
      </c>
      <c r="K13265" t="str">
        <f>"5F3"</f>
        <v>5F3</v>
      </c>
      <c r="L13265" t="s">
        <v>15</v>
      </c>
    </row>
    <row r="13266" spans="1:12" x14ac:dyDescent="0.25">
      <c r="A13266" t="str">
        <f>"9657185714"</f>
        <v>9657185714</v>
      </c>
      <c r="B13266" t="str">
        <f t="shared" si="557"/>
        <v>89301000</v>
      </c>
      <c r="C13266" s="1">
        <v>44387</v>
      </c>
      <c r="D13266" s="1">
        <v>44389</v>
      </c>
      <c r="E13266">
        <v>1</v>
      </c>
      <c r="F13266" t="s">
        <v>457</v>
      </c>
      <c r="G13266" t="str">
        <f>"08-K13-02"</f>
        <v>08-K13-02</v>
      </c>
      <c r="H13266">
        <v>0.47210000000000002</v>
      </c>
      <c r="I13266" t="s">
        <v>8335</v>
      </c>
      <c r="J13266" t="s">
        <v>14</v>
      </c>
      <c r="K13266" t="str">
        <f>"5F3"</f>
        <v>5F3</v>
      </c>
      <c r="L13266" t="s">
        <v>15</v>
      </c>
    </row>
    <row r="13267" spans="1:12" x14ac:dyDescent="0.25">
      <c r="A13267" t="str">
        <f>"9658085316"</f>
        <v>9658085316</v>
      </c>
      <c r="B13267" t="str">
        <f t="shared" si="557"/>
        <v>89301000</v>
      </c>
      <c r="C13267" s="1">
        <v>44203</v>
      </c>
      <c r="D13267" s="1">
        <v>44207</v>
      </c>
      <c r="E13267">
        <v>1</v>
      </c>
      <c r="F13267" t="s">
        <v>116</v>
      </c>
      <c r="G13267" t="str">
        <f>"14-M01-05"</f>
        <v>14-M01-05</v>
      </c>
      <c r="H13267">
        <v>0.54239999999999999</v>
      </c>
      <c r="I13267" t="s">
        <v>7587</v>
      </c>
      <c r="J13267" t="s">
        <v>59</v>
      </c>
      <c r="K13267" t="str">
        <f>"6F3"</f>
        <v>6F3</v>
      </c>
      <c r="L13267" t="s">
        <v>15</v>
      </c>
    </row>
    <row r="13268" spans="1:12" x14ac:dyDescent="0.25">
      <c r="A13268" t="str">
        <f>"9658115720"</f>
        <v>9658115720</v>
      </c>
      <c r="B13268" t="str">
        <f t="shared" si="557"/>
        <v>89301000</v>
      </c>
      <c r="C13268" s="1">
        <v>44320</v>
      </c>
      <c r="D13268" s="1">
        <v>44326</v>
      </c>
      <c r="E13268">
        <v>1</v>
      </c>
      <c r="F13268" t="s">
        <v>7455</v>
      </c>
      <c r="G13268" t="str">
        <f>"14-I01-02"</f>
        <v>14-I01-02</v>
      </c>
      <c r="H13268">
        <v>1.1289</v>
      </c>
      <c r="I13268" t="s">
        <v>8336</v>
      </c>
      <c r="J13268" t="s">
        <v>59</v>
      </c>
      <c r="K13268" t="str">
        <f>"6F3"</f>
        <v>6F3</v>
      </c>
      <c r="L13268" t="s">
        <v>15</v>
      </c>
    </row>
    <row r="13269" spans="1:12" x14ac:dyDescent="0.25">
      <c r="A13269" t="str">
        <f>"9659124849"</f>
        <v>9659124849</v>
      </c>
      <c r="B13269" t="str">
        <f t="shared" si="557"/>
        <v>89301000</v>
      </c>
      <c r="C13269" s="1">
        <v>44281</v>
      </c>
      <c r="D13269" s="1">
        <v>44282</v>
      </c>
      <c r="E13269">
        <v>1</v>
      </c>
      <c r="F13269" t="s">
        <v>3852</v>
      </c>
      <c r="G13269" t="str">
        <f>"13-I19-00"</f>
        <v>13-I19-00</v>
      </c>
      <c r="H13269">
        <v>0.24679999999999999</v>
      </c>
      <c r="J13269" t="s">
        <v>14</v>
      </c>
      <c r="K13269" t="str">
        <f>"6F3"</f>
        <v>6F3</v>
      </c>
      <c r="L13269" t="s">
        <v>15</v>
      </c>
    </row>
    <row r="13270" spans="1:12" x14ac:dyDescent="0.25">
      <c r="A13270" t="str">
        <f>"9659224850"</f>
        <v>9659224850</v>
      </c>
      <c r="B13270" t="str">
        <f t="shared" ref="B13270:B13330" si="562">"89301000"</f>
        <v>89301000</v>
      </c>
      <c r="C13270" s="1">
        <v>44300</v>
      </c>
      <c r="D13270" s="1">
        <v>44302</v>
      </c>
      <c r="E13270">
        <v>1</v>
      </c>
      <c r="F13270" t="s">
        <v>407</v>
      </c>
      <c r="G13270" t="str">
        <f>"03-I23-00"</f>
        <v>03-I23-00</v>
      </c>
      <c r="H13270">
        <v>0.47639999999999999</v>
      </c>
      <c r="I13270" t="s">
        <v>8337</v>
      </c>
      <c r="J13270" t="s">
        <v>14</v>
      </c>
      <c r="K13270" t="str">
        <f>"6F5"</f>
        <v>6F5</v>
      </c>
      <c r="L13270" t="s">
        <v>15</v>
      </c>
    </row>
    <row r="13271" spans="1:12" x14ac:dyDescent="0.25">
      <c r="A13271" t="str">
        <f>"9660175811"</f>
        <v>9660175811</v>
      </c>
      <c r="B13271" t="str">
        <f t="shared" si="562"/>
        <v>89301000</v>
      </c>
      <c r="C13271" s="1">
        <v>44425</v>
      </c>
      <c r="D13271" s="1">
        <v>44428</v>
      </c>
      <c r="E13271">
        <v>1</v>
      </c>
      <c r="F13271" t="s">
        <v>2433</v>
      </c>
      <c r="G13271" t="str">
        <f>"09-K04-02"</f>
        <v>09-K04-02</v>
      </c>
      <c r="H13271">
        <v>0.68279999999999996</v>
      </c>
      <c r="J13271" t="s">
        <v>14</v>
      </c>
      <c r="K13271" t="str">
        <f>"4F4"</f>
        <v>4F4</v>
      </c>
      <c r="L13271" t="s">
        <v>15</v>
      </c>
    </row>
    <row r="13272" spans="1:12" x14ac:dyDescent="0.25">
      <c r="A13272" t="str">
        <f>"9660275713"</f>
        <v>9660275713</v>
      </c>
      <c r="B13272" t="str">
        <f t="shared" si="562"/>
        <v>89301000</v>
      </c>
      <c r="C13272" s="1">
        <v>44376</v>
      </c>
      <c r="D13272" s="1">
        <v>44379</v>
      </c>
      <c r="E13272">
        <v>1</v>
      </c>
      <c r="F13272" t="s">
        <v>7895</v>
      </c>
      <c r="G13272" t="str">
        <f>"14-M01-05"</f>
        <v>14-M01-05</v>
      </c>
      <c r="H13272">
        <v>0.54239999999999999</v>
      </c>
      <c r="I13272" t="s">
        <v>117</v>
      </c>
      <c r="J13272" t="s">
        <v>59</v>
      </c>
      <c r="K13272" t="str">
        <f>"6F3"</f>
        <v>6F3</v>
      </c>
      <c r="L13272" t="s">
        <v>15</v>
      </c>
    </row>
    <row r="13273" spans="1:12" x14ac:dyDescent="0.25">
      <c r="A13273" t="str">
        <f>"9661156175"</f>
        <v>9661156175</v>
      </c>
      <c r="B13273" t="str">
        <f t="shared" si="562"/>
        <v>89301000</v>
      </c>
      <c r="C13273" s="1">
        <v>44503</v>
      </c>
      <c r="D13273" s="1">
        <v>44515</v>
      </c>
      <c r="E13273">
        <v>1</v>
      </c>
      <c r="F13273" t="s">
        <v>98</v>
      </c>
      <c r="G13273" t="str">
        <f>"19-K04-02"</f>
        <v>19-K04-02</v>
      </c>
      <c r="H13273">
        <v>1.4597</v>
      </c>
      <c r="I13273" t="s">
        <v>8338</v>
      </c>
      <c r="J13273" t="s">
        <v>27</v>
      </c>
      <c r="K13273" t="str">
        <f>"3F5"</f>
        <v>3F5</v>
      </c>
      <c r="L13273" t="s">
        <v>15</v>
      </c>
    </row>
    <row r="13274" spans="1:12" x14ac:dyDescent="0.25">
      <c r="A13274" t="str">
        <f>"9661295699"</f>
        <v>9661295699</v>
      </c>
      <c r="B13274" t="str">
        <f t="shared" si="562"/>
        <v>89301000</v>
      </c>
      <c r="C13274" s="1">
        <v>44274</v>
      </c>
      <c r="D13274" s="1">
        <v>44282</v>
      </c>
      <c r="E13274">
        <v>1</v>
      </c>
      <c r="F13274" t="s">
        <v>116</v>
      </c>
      <c r="G13274" t="str">
        <f>"14-M01-05"</f>
        <v>14-M01-05</v>
      </c>
      <c r="H13274">
        <v>0.67179999999999995</v>
      </c>
      <c r="I13274" t="s">
        <v>8339</v>
      </c>
      <c r="J13274" t="s">
        <v>59</v>
      </c>
      <c r="K13274" t="str">
        <f>"6F3"</f>
        <v>6F3</v>
      </c>
      <c r="L13274" t="s">
        <v>15</v>
      </c>
    </row>
    <row r="13275" spans="1:12" x14ac:dyDescent="0.25">
      <c r="A13275" t="str">
        <f>"9662045723"</f>
        <v>9662045723</v>
      </c>
      <c r="B13275" t="str">
        <f t="shared" si="562"/>
        <v>89301000</v>
      </c>
      <c r="C13275" s="1">
        <v>44391</v>
      </c>
      <c r="D13275" s="1">
        <v>44393</v>
      </c>
      <c r="E13275">
        <v>1</v>
      </c>
      <c r="F13275" t="s">
        <v>511</v>
      </c>
      <c r="G13275" t="str">
        <f>"08-I17-02"</f>
        <v>08-I17-02</v>
      </c>
      <c r="H13275">
        <v>0.98309999999999997</v>
      </c>
      <c r="I13275" t="s">
        <v>8340</v>
      </c>
      <c r="J13275" t="s">
        <v>14</v>
      </c>
      <c r="K13275" t="str">
        <f>"5F3"</f>
        <v>5F3</v>
      </c>
      <c r="L13275" t="s">
        <v>15</v>
      </c>
    </row>
    <row r="13276" spans="1:12" x14ac:dyDescent="0.25">
      <c r="A13276" t="str">
        <f>"9662064852"</f>
        <v>9662064852</v>
      </c>
      <c r="B13276" t="str">
        <f t="shared" si="562"/>
        <v>89301000</v>
      </c>
      <c r="C13276" s="1">
        <v>44487</v>
      </c>
      <c r="D13276" s="1">
        <v>44489</v>
      </c>
      <c r="E13276">
        <v>1</v>
      </c>
      <c r="F13276" t="s">
        <v>75</v>
      </c>
      <c r="G13276" t="str">
        <f>"14-M01-05"</f>
        <v>14-M01-05</v>
      </c>
      <c r="H13276">
        <v>0.54239999999999999</v>
      </c>
      <c r="I13276" t="s">
        <v>7354</v>
      </c>
      <c r="J13276" t="s">
        <v>59</v>
      </c>
      <c r="K13276" t="str">
        <f>"6F3"</f>
        <v>6F3</v>
      </c>
      <c r="L13276" t="s">
        <v>15</v>
      </c>
    </row>
    <row r="13277" spans="1:12" x14ac:dyDescent="0.25">
      <c r="A13277" t="str">
        <f>"9662075709"</f>
        <v>9662075709</v>
      </c>
      <c r="B13277" t="str">
        <f t="shared" si="562"/>
        <v>89301000</v>
      </c>
      <c r="C13277" s="1">
        <v>44495</v>
      </c>
      <c r="D13277" s="1">
        <v>44497</v>
      </c>
      <c r="E13277">
        <v>1</v>
      </c>
      <c r="F13277" t="s">
        <v>173</v>
      </c>
      <c r="G13277" t="str">
        <f>"08-I32-02"</f>
        <v>08-I32-02</v>
      </c>
      <c r="H13277">
        <v>0.4143</v>
      </c>
      <c r="I13277" t="s">
        <v>6371</v>
      </c>
      <c r="J13277" t="s">
        <v>14</v>
      </c>
      <c r="K13277" t="str">
        <f>"5F3"</f>
        <v>5F3</v>
      </c>
      <c r="L13277" t="s">
        <v>15</v>
      </c>
    </row>
    <row r="13278" spans="1:12" x14ac:dyDescent="0.25">
      <c r="A13278" t="str">
        <f t="shared" ref="A13278:A13284" si="563">"9662136176"</f>
        <v>9662136176</v>
      </c>
      <c r="B13278" t="str">
        <f t="shared" si="562"/>
        <v>89301000</v>
      </c>
      <c r="C13278" s="1">
        <v>44402</v>
      </c>
      <c r="D13278" s="1">
        <v>44407</v>
      </c>
      <c r="E13278">
        <v>1</v>
      </c>
      <c r="F13278" t="s">
        <v>8334</v>
      </c>
      <c r="G13278" t="str">
        <f>"08-I21-01"</f>
        <v>08-I21-01</v>
      </c>
      <c r="H13278">
        <v>2.4729999999999999</v>
      </c>
      <c r="I13278" t="s">
        <v>8341</v>
      </c>
      <c r="J13278" t="s">
        <v>17</v>
      </c>
      <c r="K13278" t="str">
        <f>"5F3"</f>
        <v>5F3</v>
      </c>
      <c r="L13278" t="s">
        <v>15</v>
      </c>
    </row>
    <row r="13279" spans="1:12" x14ac:dyDescent="0.25">
      <c r="A13279" t="str">
        <f t="shared" si="563"/>
        <v>9662136176</v>
      </c>
      <c r="B13279" t="str">
        <f t="shared" si="562"/>
        <v>89301000</v>
      </c>
      <c r="C13279" s="1">
        <v>44353</v>
      </c>
      <c r="D13279" s="1">
        <v>44361</v>
      </c>
      <c r="E13279">
        <v>3</v>
      </c>
      <c r="F13279" t="s">
        <v>8342</v>
      </c>
      <c r="G13279" t="str">
        <f>"08-I13-04"</f>
        <v>08-I13-04</v>
      </c>
      <c r="H13279">
        <v>3.1143000000000001</v>
      </c>
      <c r="I13279" t="s">
        <v>8343</v>
      </c>
      <c r="J13279" t="s">
        <v>17</v>
      </c>
      <c r="K13279" t="str">
        <f>"5F3"</f>
        <v>5F3</v>
      </c>
      <c r="L13279" t="s">
        <v>15</v>
      </c>
    </row>
    <row r="13280" spans="1:12" x14ac:dyDescent="0.25">
      <c r="A13280" t="str">
        <f t="shared" si="563"/>
        <v>9662136176</v>
      </c>
      <c r="B13280" t="str">
        <f t="shared" si="562"/>
        <v>89301000</v>
      </c>
      <c r="C13280" s="1">
        <v>44361</v>
      </c>
      <c r="D13280" s="1">
        <v>44376</v>
      </c>
      <c r="E13280">
        <v>1</v>
      </c>
      <c r="F13280" t="s">
        <v>109</v>
      </c>
      <c r="G13280" t="str">
        <f>"24-M07-02"</f>
        <v>24-M07-02</v>
      </c>
      <c r="H13280">
        <v>1.5094000000000001</v>
      </c>
      <c r="I13280" t="s">
        <v>8344</v>
      </c>
      <c r="J13280" t="s">
        <v>14</v>
      </c>
      <c r="K13280" t="str">
        <f>"2F1"</f>
        <v>2F1</v>
      </c>
      <c r="L13280" t="s">
        <v>15</v>
      </c>
    </row>
    <row r="13281" spans="1:12" x14ac:dyDescent="0.25">
      <c r="A13281" t="str">
        <f t="shared" si="563"/>
        <v>9662136176</v>
      </c>
      <c r="B13281" t="str">
        <f t="shared" si="562"/>
        <v>89301000</v>
      </c>
      <c r="C13281" s="1">
        <v>44461</v>
      </c>
      <c r="D13281" s="1">
        <v>44462</v>
      </c>
      <c r="E13281">
        <v>1</v>
      </c>
      <c r="F13281" t="s">
        <v>8345</v>
      </c>
      <c r="G13281" t="str">
        <f>"08-K15-00"</f>
        <v>08-K15-00</v>
      </c>
      <c r="H13281">
        <v>0.44180000000000003</v>
      </c>
      <c r="I13281" t="s">
        <v>30</v>
      </c>
      <c r="J13281" t="s">
        <v>14</v>
      </c>
      <c r="K13281" t="str">
        <f>"5F3"</f>
        <v>5F3</v>
      </c>
      <c r="L13281" t="s">
        <v>15</v>
      </c>
    </row>
    <row r="13282" spans="1:12" x14ac:dyDescent="0.25">
      <c r="A13282" t="str">
        <f t="shared" si="563"/>
        <v>9662136176</v>
      </c>
      <c r="B13282" t="str">
        <f t="shared" si="562"/>
        <v>89301000</v>
      </c>
      <c r="C13282" s="1">
        <v>44477</v>
      </c>
      <c r="D13282" s="1">
        <v>44496</v>
      </c>
      <c r="E13282">
        <v>1</v>
      </c>
      <c r="F13282" t="s">
        <v>109</v>
      </c>
      <c r="G13282" t="str">
        <f>"24-M08-02"</f>
        <v>24-M08-02</v>
      </c>
      <c r="H13282">
        <v>2.3557000000000001</v>
      </c>
      <c r="I13282" t="s">
        <v>8346</v>
      </c>
      <c r="J13282" t="s">
        <v>14</v>
      </c>
      <c r="K13282" t="str">
        <f>"2F1"</f>
        <v>2F1</v>
      </c>
      <c r="L13282" t="s">
        <v>15</v>
      </c>
    </row>
    <row r="13283" spans="1:12" x14ac:dyDescent="0.25">
      <c r="A13283" t="str">
        <f t="shared" si="563"/>
        <v>9662136176</v>
      </c>
      <c r="B13283" t="str">
        <f t="shared" si="562"/>
        <v>89301000</v>
      </c>
      <c r="C13283" s="1">
        <v>44473</v>
      </c>
      <c r="D13283" s="1">
        <v>44477</v>
      </c>
      <c r="E13283">
        <v>3</v>
      </c>
      <c r="F13283" t="s">
        <v>8347</v>
      </c>
      <c r="G13283" t="str">
        <f>"08-M03-04"</f>
        <v>08-M03-04</v>
      </c>
      <c r="H13283">
        <v>0.8609</v>
      </c>
      <c r="I13283" t="s">
        <v>8348</v>
      </c>
      <c r="J13283" t="s">
        <v>14</v>
      </c>
      <c r="K13283" t="str">
        <f>"5F3"</f>
        <v>5F3</v>
      </c>
      <c r="L13283" t="s">
        <v>15</v>
      </c>
    </row>
    <row r="13284" spans="1:12" x14ac:dyDescent="0.25">
      <c r="A13284" t="str">
        <f t="shared" si="563"/>
        <v>9662136176</v>
      </c>
      <c r="B13284" t="str">
        <f t="shared" si="562"/>
        <v>89301000</v>
      </c>
      <c r="C13284" s="1">
        <v>44417</v>
      </c>
      <c r="D13284" s="1">
        <v>44442</v>
      </c>
      <c r="E13284">
        <v>1</v>
      </c>
      <c r="F13284" t="s">
        <v>109</v>
      </c>
      <c r="G13284" t="str">
        <f>"24-M08-02"</f>
        <v>24-M08-02</v>
      </c>
      <c r="H13284">
        <v>2.3557000000000001</v>
      </c>
      <c r="I13284" t="s">
        <v>8346</v>
      </c>
      <c r="J13284" t="s">
        <v>14</v>
      </c>
      <c r="K13284" t="str">
        <f>"2F1"</f>
        <v>2F1</v>
      </c>
      <c r="L13284" t="s">
        <v>15</v>
      </c>
    </row>
    <row r="13285" spans="1:12" x14ac:dyDescent="0.25">
      <c r="A13285" t="str">
        <f>"9662151389"</f>
        <v>9662151389</v>
      </c>
      <c r="B13285" t="str">
        <f t="shared" si="562"/>
        <v>89301000</v>
      </c>
      <c r="C13285" s="1">
        <v>44211</v>
      </c>
      <c r="D13285" s="1">
        <v>44213</v>
      </c>
      <c r="E13285">
        <v>1</v>
      </c>
      <c r="F13285" t="s">
        <v>75</v>
      </c>
      <c r="G13285" t="str">
        <f>"14-M01-05"</f>
        <v>14-M01-05</v>
      </c>
      <c r="H13285">
        <v>0.54239999999999999</v>
      </c>
      <c r="J13285" t="s">
        <v>59</v>
      </c>
      <c r="K13285" t="str">
        <f>"6F3"</f>
        <v>6F3</v>
      </c>
      <c r="L13285" t="s">
        <v>15</v>
      </c>
    </row>
    <row r="13286" spans="1:12" x14ac:dyDescent="0.25">
      <c r="A13286" t="str">
        <f>"9662304773"</f>
        <v>9662304773</v>
      </c>
      <c r="B13286" t="str">
        <f t="shared" si="562"/>
        <v>89301000</v>
      </c>
      <c r="C13286" s="1">
        <v>44401</v>
      </c>
      <c r="D13286" s="1">
        <v>44402</v>
      </c>
      <c r="E13286">
        <v>4</v>
      </c>
      <c r="F13286" t="s">
        <v>116</v>
      </c>
      <c r="G13286" t="str">
        <f>"14-M01-05"</f>
        <v>14-M01-05</v>
      </c>
      <c r="H13286">
        <v>0.54239999999999999</v>
      </c>
      <c r="J13286" t="s">
        <v>59</v>
      </c>
      <c r="K13286" t="str">
        <f>"6F3"</f>
        <v>6F3</v>
      </c>
      <c r="L13286" t="s">
        <v>15</v>
      </c>
    </row>
    <row r="13287" spans="1:12" x14ac:dyDescent="0.25">
      <c r="A13287" t="str">
        <f>"9701123773"</f>
        <v>9701123773</v>
      </c>
      <c r="B13287" t="str">
        <f t="shared" si="562"/>
        <v>89301000</v>
      </c>
      <c r="C13287" s="1">
        <v>44291</v>
      </c>
      <c r="D13287" s="1">
        <v>44295</v>
      </c>
      <c r="E13287">
        <v>1</v>
      </c>
      <c r="F13287" t="s">
        <v>98</v>
      </c>
      <c r="G13287" t="str">
        <f>"19-K02-03"</f>
        <v>19-K02-03</v>
      </c>
      <c r="H13287">
        <v>0.67269999999999996</v>
      </c>
      <c r="I13287" t="s">
        <v>8349</v>
      </c>
      <c r="J13287" t="s">
        <v>27</v>
      </c>
      <c r="K13287" t="str">
        <f>"3F5"</f>
        <v>3F5</v>
      </c>
      <c r="L13287" t="s">
        <v>15</v>
      </c>
    </row>
    <row r="13288" spans="1:12" x14ac:dyDescent="0.25">
      <c r="A13288" t="str">
        <f>"9701155728"</f>
        <v>9701155728</v>
      </c>
      <c r="B13288" t="str">
        <f t="shared" si="562"/>
        <v>89301000</v>
      </c>
      <c r="C13288" s="1">
        <v>44346</v>
      </c>
      <c r="D13288" s="1">
        <v>44346</v>
      </c>
      <c r="E13288">
        <v>6</v>
      </c>
      <c r="F13288" t="s">
        <v>32</v>
      </c>
      <c r="G13288" t="str">
        <f>"08-K11-02"</f>
        <v>08-K11-02</v>
      </c>
      <c r="H13288">
        <v>0.3145</v>
      </c>
      <c r="I13288" t="s">
        <v>8350</v>
      </c>
      <c r="J13288" t="s">
        <v>14</v>
      </c>
      <c r="K13288" t="str">
        <f>"5F6"</f>
        <v>5F6</v>
      </c>
      <c r="L13288" t="s">
        <v>15</v>
      </c>
    </row>
    <row r="13289" spans="1:12" x14ac:dyDescent="0.25">
      <c r="A13289" t="str">
        <f>"9701225732"</f>
        <v>9701225732</v>
      </c>
      <c r="B13289" t="str">
        <f t="shared" si="562"/>
        <v>89301000</v>
      </c>
      <c r="C13289" s="1">
        <v>44353</v>
      </c>
      <c r="D13289" s="1">
        <v>44356</v>
      </c>
      <c r="E13289">
        <v>1</v>
      </c>
      <c r="F13289" t="s">
        <v>5192</v>
      </c>
      <c r="G13289" t="str">
        <f>"03-I14-02"</f>
        <v>03-I14-02</v>
      </c>
      <c r="H13289">
        <v>1.1086</v>
      </c>
      <c r="I13289" t="s">
        <v>8351</v>
      </c>
      <c r="J13289" t="s">
        <v>14</v>
      </c>
      <c r="K13289" t="str">
        <f>"7F1"</f>
        <v>7F1</v>
      </c>
      <c r="L13289" t="s">
        <v>15</v>
      </c>
    </row>
    <row r="13290" spans="1:12" x14ac:dyDescent="0.25">
      <c r="A13290" t="str">
        <f>"9701225732"</f>
        <v>9701225732</v>
      </c>
      <c r="B13290" t="str">
        <f t="shared" si="562"/>
        <v>89301000</v>
      </c>
      <c r="C13290" s="1">
        <v>44306</v>
      </c>
      <c r="D13290" s="1">
        <v>44309</v>
      </c>
      <c r="E13290">
        <v>1</v>
      </c>
      <c r="F13290" t="s">
        <v>12</v>
      </c>
      <c r="G13290" t="str">
        <f>"03-I14-02"</f>
        <v>03-I14-02</v>
      </c>
      <c r="H13290">
        <v>1.1086</v>
      </c>
      <c r="I13290" t="s">
        <v>8352</v>
      </c>
      <c r="J13290" t="s">
        <v>14</v>
      </c>
      <c r="K13290" t="str">
        <f>"7F1"</f>
        <v>7F1</v>
      </c>
      <c r="L13290" t="s">
        <v>15</v>
      </c>
    </row>
    <row r="13291" spans="1:12" x14ac:dyDescent="0.25">
      <c r="A13291" t="str">
        <f>"9702125719"</f>
        <v>9702125719</v>
      </c>
      <c r="B13291" t="str">
        <f t="shared" si="562"/>
        <v>89301000</v>
      </c>
      <c r="C13291" s="1">
        <v>44397</v>
      </c>
      <c r="D13291" s="1">
        <v>44399</v>
      </c>
      <c r="E13291">
        <v>1</v>
      </c>
      <c r="F13291" t="s">
        <v>710</v>
      </c>
      <c r="G13291" t="str">
        <f>"03-I14-02"</f>
        <v>03-I14-02</v>
      </c>
      <c r="H13291">
        <v>1.1086</v>
      </c>
      <c r="I13291" t="s">
        <v>8353</v>
      </c>
      <c r="J13291" t="s">
        <v>14</v>
      </c>
      <c r="K13291" t="str">
        <f>"7F1"</f>
        <v>7F1</v>
      </c>
      <c r="L13291" t="s">
        <v>15</v>
      </c>
    </row>
    <row r="13292" spans="1:12" x14ac:dyDescent="0.25">
      <c r="A13292" t="str">
        <f>"9702136147"</f>
        <v>9702136147</v>
      </c>
      <c r="B13292" t="str">
        <f t="shared" si="562"/>
        <v>89301000</v>
      </c>
      <c r="C13292" s="1">
        <v>44426</v>
      </c>
      <c r="D13292" s="1">
        <v>44428</v>
      </c>
      <c r="E13292">
        <v>1</v>
      </c>
      <c r="F13292" t="s">
        <v>287</v>
      </c>
      <c r="G13292" t="str">
        <f>"01-K16-06"</f>
        <v>01-K16-06</v>
      </c>
      <c r="H13292">
        <v>0.26469999999999999</v>
      </c>
      <c r="I13292" t="s">
        <v>381</v>
      </c>
      <c r="J13292" t="s">
        <v>14</v>
      </c>
      <c r="K13292" t="str">
        <f>"5F3"</f>
        <v>5F3</v>
      </c>
      <c r="L13292" t="s">
        <v>15</v>
      </c>
    </row>
    <row r="13293" spans="1:12" x14ac:dyDescent="0.25">
      <c r="A13293" t="str">
        <f>"9702136147"</f>
        <v>9702136147</v>
      </c>
      <c r="B13293" t="str">
        <f t="shared" si="562"/>
        <v>89301000</v>
      </c>
      <c r="C13293" s="1">
        <v>44431</v>
      </c>
      <c r="D13293" s="1">
        <v>44441</v>
      </c>
      <c r="E13293">
        <v>1</v>
      </c>
      <c r="F13293" t="s">
        <v>4557</v>
      </c>
      <c r="G13293" t="str">
        <f>"20-K04-02"</f>
        <v>20-K04-02</v>
      </c>
      <c r="H13293">
        <v>1.4984</v>
      </c>
      <c r="I13293" t="s">
        <v>8354</v>
      </c>
      <c r="J13293" t="s">
        <v>14</v>
      </c>
      <c r="K13293" t="str">
        <f>"3F5"</f>
        <v>3F5</v>
      </c>
      <c r="L13293" t="s">
        <v>15</v>
      </c>
    </row>
    <row r="13294" spans="1:12" x14ac:dyDescent="0.25">
      <c r="A13294" t="str">
        <f>"9702255717"</f>
        <v>9702255717</v>
      </c>
      <c r="B13294" t="str">
        <f t="shared" si="562"/>
        <v>89301000</v>
      </c>
      <c r="C13294" s="1">
        <v>44239</v>
      </c>
      <c r="D13294" s="1">
        <v>44272</v>
      </c>
      <c r="E13294">
        <v>1</v>
      </c>
      <c r="F13294" t="s">
        <v>257</v>
      </c>
      <c r="G13294" t="str">
        <f>"19-K06-02"</f>
        <v>19-K06-02</v>
      </c>
      <c r="H13294">
        <v>2.4085000000000001</v>
      </c>
      <c r="I13294" t="s">
        <v>168</v>
      </c>
      <c r="J13294" t="s">
        <v>27</v>
      </c>
      <c r="K13294" t="str">
        <f>"3F5"</f>
        <v>3F5</v>
      </c>
      <c r="L13294" t="s">
        <v>15</v>
      </c>
    </row>
    <row r="13295" spans="1:12" x14ac:dyDescent="0.25">
      <c r="A13295" t="str">
        <f>"9703115763"</f>
        <v>9703115763</v>
      </c>
      <c r="B13295" t="str">
        <f t="shared" si="562"/>
        <v>89301000</v>
      </c>
      <c r="C13295" s="1">
        <v>44284</v>
      </c>
      <c r="D13295" s="1">
        <v>44287</v>
      </c>
      <c r="E13295">
        <v>1</v>
      </c>
      <c r="F13295" t="s">
        <v>8355</v>
      </c>
      <c r="G13295" t="str">
        <f>"02-K02-02"</f>
        <v>02-K02-02</v>
      </c>
      <c r="H13295">
        <v>0.55289999999999995</v>
      </c>
      <c r="I13295" t="s">
        <v>8356</v>
      </c>
      <c r="J13295" t="s">
        <v>14</v>
      </c>
      <c r="K13295" t="str">
        <f>"1F1"</f>
        <v>1F1</v>
      </c>
      <c r="L13295" t="s">
        <v>15</v>
      </c>
    </row>
    <row r="13296" spans="1:12" x14ac:dyDescent="0.25">
      <c r="A13296" t="str">
        <f>"9704254285"</f>
        <v>9704254285</v>
      </c>
      <c r="B13296" t="str">
        <f t="shared" si="562"/>
        <v>89301000</v>
      </c>
      <c r="C13296" s="1">
        <v>44227</v>
      </c>
      <c r="D13296" s="1">
        <v>44230</v>
      </c>
      <c r="E13296">
        <v>1</v>
      </c>
      <c r="F13296" t="s">
        <v>891</v>
      </c>
      <c r="G13296" t="str">
        <f>"03-I14-02"</f>
        <v>03-I14-02</v>
      </c>
      <c r="H13296">
        <v>1.1086</v>
      </c>
      <c r="J13296" t="s">
        <v>14</v>
      </c>
      <c r="K13296" t="str">
        <f>"7F1"</f>
        <v>7F1</v>
      </c>
      <c r="L13296" t="s">
        <v>15</v>
      </c>
    </row>
    <row r="13297" spans="1:12" x14ac:dyDescent="0.25">
      <c r="A13297" t="str">
        <f>"9705085709"</f>
        <v>9705085709</v>
      </c>
      <c r="B13297" t="str">
        <f t="shared" si="562"/>
        <v>89301000</v>
      </c>
      <c r="C13297" s="1">
        <v>44429</v>
      </c>
      <c r="D13297" s="1">
        <v>44430</v>
      </c>
      <c r="E13297">
        <v>1</v>
      </c>
      <c r="F13297" t="s">
        <v>287</v>
      </c>
      <c r="G13297" t="str">
        <f>"01-K16-06"</f>
        <v>01-K16-06</v>
      </c>
      <c r="H13297">
        <v>0.26469999999999999</v>
      </c>
      <c r="I13297" t="s">
        <v>381</v>
      </c>
      <c r="J13297" t="s">
        <v>14</v>
      </c>
      <c r="K13297" t="str">
        <f>"5F3"</f>
        <v>5F3</v>
      </c>
      <c r="L13297" t="s">
        <v>15</v>
      </c>
    </row>
    <row r="13298" spans="1:12" x14ac:dyDescent="0.25">
      <c r="A13298" t="str">
        <f>"9705085709"</f>
        <v>9705085709</v>
      </c>
      <c r="B13298" t="str">
        <f t="shared" si="562"/>
        <v>89301000</v>
      </c>
      <c r="C13298" s="1">
        <v>44412</v>
      </c>
      <c r="D13298" s="1">
        <v>44414</v>
      </c>
      <c r="E13298">
        <v>1</v>
      </c>
      <c r="F13298" t="s">
        <v>174</v>
      </c>
      <c r="G13298" t="str">
        <f>"12-I14-00"</f>
        <v>12-I14-00</v>
      </c>
      <c r="H13298">
        <v>0.44350000000000001</v>
      </c>
      <c r="J13298" t="s">
        <v>14</v>
      </c>
      <c r="K13298" t="str">
        <f>"7F6"</f>
        <v>7F6</v>
      </c>
      <c r="L13298" t="s">
        <v>15</v>
      </c>
    </row>
    <row r="13299" spans="1:12" x14ac:dyDescent="0.25">
      <c r="A13299" t="str">
        <f>"9705095730"</f>
        <v>9705095730</v>
      </c>
      <c r="B13299" t="str">
        <f t="shared" si="562"/>
        <v>89301000</v>
      </c>
      <c r="C13299" s="1">
        <v>44392</v>
      </c>
      <c r="D13299" s="1">
        <v>44395</v>
      </c>
      <c r="E13299">
        <v>1</v>
      </c>
      <c r="F13299" t="s">
        <v>23</v>
      </c>
      <c r="G13299" t="str">
        <f>"06-I18-05"</f>
        <v>06-I18-05</v>
      </c>
      <c r="H13299">
        <v>0.85550000000000004</v>
      </c>
      <c r="J13299" t="s">
        <v>24</v>
      </c>
      <c r="K13299" t="str">
        <f>"5F1"</f>
        <v>5F1</v>
      </c>
      <c r="L13299" t="s">
        <v>15</v>
      </c>
    </row>
    <row r="13300" spans="1:12" x14ac:dyDescent="0.25">
      <c r="A13300" t="str">
        <f>"9705175700"</f>
        <v>9705175700</v>
      </c>
      <c r="B13300" t="str">
        <f t="shared" si="562"/>
        <v>89301000</v>
      </c>
      <c r="C13300" s="1">
        <v>44260</v>
      </c>
      <c r="D13300" s="1">
        <v>44265</v>
      </c>
      <c r="E13300">
        <v>1</v>
      </c>
      <c r="F13300" t="s">
        <v>8357</v>
      </c>
      <c r="G13300" t="str">
        <f>"16-I01-02"</f>
        <v>16-I01-02</v>
      </c>
      <c r="H13300">
        <v>2.3252999999999999</v>
      </c>
      <c r="I13300" t="s">
        <v>8358</v>
      </c>
      <c r="J13300" t="s">
        <v>17</v>
      </c>
      <c r="K13300" t="str">
        <f>"5F1"</f>
        <v>5F1</v>
      </c>
      <c r="L13300" t="s">
        <v>15</v>
      </c>
    </row>
    <row r="13301" spans="1:12" x14ac:dyDescent="0.25">
      <c r="A13301" t="str">
        <f>"9706065721"</f>
        <v>9706065721</v>
      </c>
      <c r="B13301" t="str">
        <f t="shared" si="562"/>
        <v>89301000</v>
      </c>
      <c r="C13301" s="1">
        <v>44469</v>
      </c>
      <c r="D13301" s="1">
        <v>44478</v>
      </c>
      <c r="E13301">
        <v>1</v>
      </c>
      <c r="F13301" t="s">
        <v>1953</v>
      </c>
      <c r="G13301" t="str">
        <f>"07-I03-02"</f>
        <v>07-I03-02</v>
      </c>
      <c r="H13301">
        <v>3.3117000000000001</v>
      </c>
      <c r="I13301" t="s">
        <v>4682</v>
      </c>
      <c r="J13301" t="s">
        <v>17</v>
      </c>
      <c r="K13301" t="str">
        <f>"5F1"</f>
        <v>5F1</v>
      </c>
      <c r="L13301" t="s">
        <v>15</v>
      </c>
    </row>
    <row r="13302" spans="1:12" x14ac:dyDescent="0.25">
      <c r="A13302" t="str">
        <f>"9707116155"</f>
        <v>9707116155</v>
      </c>
      <c r="B13302" t="str">
        <f t="shared" si="562"/>
        <v>89301000</v>
      </c>
      <c r="C13302" s="1">
        <v>44344</v>
      </c>
      <c r="D13302" s="1">
        <v>44346</v>
      </c>
      <c r="E13302">
        <v>1</v>
      </c>
      <c r="F13302" t="s">
        <v>39</v>
      </c>
      <c r="G13302" t="str">
        <f>"03-I19-03"</f>
        <v>03-I19-03</v>
      </c>
      <c r="H13302">
        <v>0.60699999999999998</v>
      </c>
      <c r="I13302" t="s">
        <v>8359</v>
      </c>
      <c r="J13302" t="s">
        <v>14</v>
      </c>
      <c r="K13302" t="str">
        <f>"6F5"</f>
        <v>6F5</v>
      </c>
      <c r="L13302" t="s">
        <v>15</v>
      </c>
    </row>
    <row r="13303" spans="1:12" x14ac:dyDescent="0.25">
      <c r="A13303" t="str">
        <f>"9708050066"</f>
        <v>9708050066</v>
      </c>
      <c r="B13303" t="str">
        <f t="shared" si="562"/>
        <v>89301000</v>
      </c>
      <c r="C13303" s="1">
        <v>44443</v>
      </c>
      <c r="D13303" s="1">
        <v>44461</v>
      </c>
      <c r="E13303">
        <v>1</v>
      </c>
      <c r="F13303" t="s">
        <v>25</v>
      </c>
      <c r="G13303" t="str">
        <f>"19-K05-02"</f>
        <v>19-K05-02</v>
      </c>
      <c r="H13303">
        <v>1.8835999999999999</v>
      </c>
      <c r="I13303" t="s">
        <v>436</v>
      </c>
      <c r="J13303" t="s">
        <v>27</v>
      </c>
      <c r="K13303" t="str">
        <f>"3F5"</f>
        <v>3F5</v>
      </c>
      <c r="L13303" t="s">
        <v>15</v>
      </c>
    </row>
    <row r="13304" spans="1:12" x14ac:dyDescent="0.25">
      <c r="A13304" t="str">
        <f>"9708054873"</f>
        <v>9708054873</v>
      </c>
      <c r="B13304" t="str">
        <f t="shared" si="562"/>
        <v>89301000</v>
      </c>
      <c r="C13304" s="1">
        <v>44396</v>
      </c>
      <c r="D13304" s="1">
        <v>44397</v>
      </c>
      <c r="E13304">
        <v>1</v>
      </c>
      <c r="F13304" t="s">
        <v>41</v>
      </c>
      <c r="G13304" t="str">
        <f>"01-D01-03"</f>
        <v>01-D01-03</v>
      </c>
      <c r="H13304">
        <v>0.158</v>
      </c>
      <c r="I13304" t="s">
        <v>8360</v>
      </c>
      <c r="J13304" t="s">
        <v>14</v>
      </c>
      <c r="K13304" t="str">
        <f>"2F5"</f>
        <v>2F5</v>
      </c>
      <c r="L13304" t="s">
        <v>15</v>
      </c>
    </row>
    <row r="13305" spans="1:12" x14ac:dyDescent="0.25">
      <c r="A13305" t="str">
        <f>"9709105736"</f>
        <v>9709105736</v>
      </c>
      <c r="B13305" t="str">
        <f t="shared" si="562"/>
        <v>89301000</v>
      </c>
      <c r="C13305" s="1">
        <v>44391</v>
      </c>
      <c r="D13305" s="1">
        <v>44392</v>
      </c>
      <c r="E13305">
        <v>1</v>
      </c>
      <c r="F13305" t="s">
        <v>509</v>
      </c>
      <c r="G13305" t="str">
        <f>"02-K03-00"</f>
        <v>02-K03-00</v>
      </c>
      <c r="H13305">
        <v>0.43609999999999999</v>
      </c>
      <c r="J13305" t="s">
        <v>14</v>
      </c>
      <c r="K13305" t="str">
        <f>"7F5"</f>
        <v>7F5</v>
      </c>
      <c r="L13305" t="s">
        <v>15</v>
      </c>
    </row>
    <row r="13306" spans="1:12" x14ac:dyDescent="0.25">
      <c r="A13306" t="str">
        <f>"9709216143"</f>
        <v>9709216143</v>
      </c>
      <c r="B13306" t="str">
        <f t="shared" si="562"/>
        <v>89301000</v>
      </c>
      <c r="C13306" s="1">
        <v>44251</v>
      </c>
      <c r="D13306" s="1">
        <v>44272</v>
      </c>
      <c r="E13306">
        <v>1</v>
      </c>
      <c r="F13306" t="s">
        <v>25</v>
      </c>
      <c r="G13306" t="str">
        <f>"19-K04-02"</f>
        <v>19-K04-02</v>
      </c>
      <c r="H13306">
        <v>1.4597</v>
      </c>
      <c r="I13306" t="s">
        <v>8361</v>
      </c>
      <c r="J13306" t="s">
        <v>27</v>
      </c>
      <c r="K13306" t="str">
        <f>"3F5"</f>
        <v>3F5</v>
      </c>
      <c r="L13306" t="s">
        <v>15</v>
      </c>
    </row>
    <row r="13307" spans="1:12" x14ac:dyDescent="0.25">
      <c r="A13307" t="str">
        <f>"9710134489"</f>
        <v>9710134489</v>
      </c>
      <c r="B13307" t="str">
        <f t="shared" si="562"/>
        <v>89301000</v>
      </c>
      <c r="C13307" s="1">
        <v>44483</v>
      </c>
      <c r="D13307" s="1">
        <v>44485</v>
      </c>
      <c r="E13307">
        <v>1</v>
      </c>
      <c r="F13307" t="s">
        <v>8362</v>
      </c>
      <c r="G13307" t="str">
        <f>"08-I24-01"</f>
        <v>08-I24-01</v>
      </c>
      <c r="H13307">
        <v>1.0648</v>
      </c>
      <c r="I13307" t="s">
        <v>366</v>
      </c>
      <c r="J13307" t="s">
        <v>14</v>
      </c>
      <c r="K13307" t="str">
        <f>"5F3"</f>
        <v>5F3</v>
      </c>
      <c r="L13307" t="s">
        <v>15</v>
      </c>
    </row>
    <row r="13308" spans="1:12" x14ac:dyDescent="0.25">
      <c r="A13308" t="str">
        <f>"9710144466"</f>
        <v>9710144466</v>
      </c>
      <c r="B13308" t="str">
        <f t="shared" si="562"/>
        <v>89301000</v>
      </c>
      <c r="C13308" s="1">
        <v>44319</v>
      </c>
      <c r="D13308" s="1">
        <v>44337</v>
      </c>
      <c r="E13308">
        <v>1</v>
      </c>
      <c r="F13308" t="s">
        <v>109</v>
      </c>
      <c r="G13308" t="str">
        <f>"24-M08-01"</f>
        <v>24-M08-01</v>
      </c>
      <c r="H13308">
        <v>2.5592999999999999</v>
      </c>
      <c r="I13308" t="s">
        <v>8363</v>
      </c>
      <c r="J13308" t="s">
        <v>14</v>
      </c>
      <c r="K13308" t="str">
        <f>"2F1"</f>
        <v>2F1</v>
      </c>
      <c r="L13308" t="s">
        <v>15</v>
      </c>
    </row>
    <row r="13309" spans="1:12" x14ac:dyDescent="0.25">
      <c r="A13309" t="str">
        <f>"9710214855"</f>
        <v>9710214855</v>
      </c>
      <c r="B13309" t="str">
        <f t="shared" si="562"/>
        <v>89301000</v>
      </c>
      <c r="C13309" s="1">
        <v>44438</v>
      </c>
      <c r="D13309" s="1">
        <v>44440</v>
      </c>
      <c r="E13309">
        <v>1</v>
      </c>
      <c r="F13309" t="s">
        <v>5063</v>
      </c>
      <c r="G13309" t="str">
        <f>"08-M03-05"</f>
        <v>08-M03-05</v>
      </c>
      <c r="H13309">
        <v>0.51759999999999995</v>
      </c>
      <c r="I13309" t="s">
        <v>8364</v>
      </c>
      <c r="J13309" t="s">
        <v>14</v>
      </c>
      <c r="K13309" t="str">
        <f>"5F3"</f>
        <v>5F3</v>
      </c>
      <c r="L13309" t="s">
        <v>15</v>
      </c>
    </row>
    <row r="13310" spans="1:12" x14ac:dyDescent="0.25">
      <c r="A13310" t="str">
        <f>"9711075715"</f>
        <v>9711075715</v>
      </c>
      <c r="B13310" t="str">
        <f t="shared" si="562"/>
        <v>89301000</v>
      </c>
      <c r="C13310" s="1">
        <v>44475</v>
      </c>
      <c r="D13310" s="1">
        <v>44476</v>
      </c>
      <c r="E13310">
        <v>1</v>
      </c>
      <c r="F13310" t="s">
        <v>41</v>
      </c>
      <c r="G13310" t="str">
        <f>"01-D01-03"</f>
        <v>01-D01-03</v>
      </c>
      <c r="H13310">
        <v>0.158</v>
      </c>
      <c r="J13310" t="s">
        <v>14</v>
      </c>
      <c r="K13310" t="str">
        <f>"2F5"</f>
        <v>2F5</v>
      </c>
      <c r="L13310" t="s">
        <v>15</v>
      </c>
    </row>
    <row r="13311" spans="1:12" x14ac:dyDescent="0.25">
      <c r="A13311" t="str">
        <f>"9711226140"</f>
        <v>9711226140</v>
      </c>
      <c r="B13311" t="str">
        <f t="shared" si="562"/>
        <v>89301000</v>
      </c>
      <c r="C13311" s="1">
        <v>44333</v>
      </c>
      <c r="D13311" s="1">
        <v>44335</v>
      </c>
      <c r="E13311">
        <v>1</v>
      </c>
      <c r="F13311" t="s">
        <v>114</v>
      </c>
      <c r="G13311" t="str">
        <f>"03-I17-00"</f>
        <v>03-I17-00</v>
      </c>
      <c r="H13311">
        <v>0.84960000000000002</v>
      </c>
      <c r="I13311" t="s">
        <v>8365</v>
      </c>
      <c r="J13311" t="s">
        <v>24</v>
      </c>
      <c r="K13311" t="str">
        <f>"7F1"</f>
        <v>7F1</v>
      </c>
      <c r="L13311" t="s">
        <v>15</v>
      </c>
    </row>
    <row r="13312" spans="1:12" x14ac:dyDescent="0.25">
      <c r="A13312" t="str">
        <f>"9711265740"</f>
        <v>9711265740</v>
      </c>
      <c r="B13312" t="str">
        <f t="shared" si="562"/>
        <v>89301000</v>
      </c>
      <c r="C13312" s="1">
        <v>44388</v>
      </c>
      <c r="D13312" s="1">
        <v>44391</v>
      </c>
      <c r="E13312">
        <v>1</v>
      </c>
      <c r="F13312" t="s">
        <v>197</v>
      </c>
      <c r="G13312" t="str">
        <f>"03-I18-02"</f>
        <v>03-I18-02</v>
      </c>
      <c r="H13312">
        <v>0.84370000000000001</v>
      </c>
      <c r="J13312" t="s">
        <v>24</v>
      </c>
      <c r="K13312" t="str">
        <f>"7F1"</f>
        <v>7F1</v>
      </c>
      <c r="L13312" t="s">
        <v>15</v>
      </c>
    </row>
    <row r="13313" spans="1:12" x14ac:dyDescent="0.25">
      <c r="A13313" t="str">
        <f>"9751025548"</f>
        <v>9751025548</v>
      </c>
      <c r="B13313" t="str">
        <f t="shared" si="562"/>
        <v>89301000</v>
      </c>
      <c r="C13313" s="1">
        <v>44449</v>
      </c>
      <c r="D13313" s="1">
        <v>44459</v>
      </c>
      <c r="E13313">
        <v>1</v>
      </c>
      <c r="F13313" t="s">
        <v>82</v>
      </c>
      <c r="G13313" t="str">
        <f>"14-I01-01"</f>
        <v>14-I01-01</v>
      </c>
      <c r="H13313">
        <v>1.5294000000000001</v>
      </c>
      <c r="I13313" t="s">
        <v>8366</v>
      </c>
      <c r="J13313" t="s">
        <v>59</v>
      </c>
      <c r="K13313" t="str">
        <f>"6F3"</f>
        <v>6F3</v>
      </c>
      <c r="L13313" t="s">
        <v>15</v>
      </c>
    </row>
    <row r="13314" spans="1:12" x14ac:dyDescent="0.25">
      <c r="A13314" t="str">
        <f>"9751065731"</f>
        <v>9751065731</v>
      </c>
      <c r="B13314" t="str">
        <f t="shared" si="562"/>
        <v>89301000</v>
      </c>
      <c r="C13314" s="1">
        <v>44503</v>
      </c>
      <c r="D13314" s="1">
        <v>44507</v>
      </c>
      <c r="E13314">
        <v>1</v>
      </c>
      <c r="F13314" t="s">
        <v>61</v>
      </c>
      <c r="G13314" t="str">
        <f>"14-I01-05"</f>
        <v>14-I01-05</v>
      </c>
      <c r="H13314">
        <v>0.80030000000000001</v>
      </c>
      <c r="I13314" t="s">
        <v>8367</v>
      </c>
      <c r="J13314" t="s">
        <v>59</v>
      </c>
      <c r="K13314" t="str">
        <f>"6F3"</f>
        <v>6F3</v>
      </c>
      <c r="L13314" t="s">
        <v>15</v>
      </c>
    </row>
    <row r="13315" spans="1:12" x14ac:dyDescent="0.25">
      <c r="A13315" t="str">
        <f>"9751105419"</f>
        <v>9751105419</v>
      </c>
      <c r="B13315" t="str">
        <f t="shared" si="562"/>
        <v>89301000</v>
      </c>
      <c r="C13315" s="1">
        <v>44287</v>
      </c>
      <c r="D13315" s="1">
        <v>44290</v>
      </c>
      <c r="E13315">
        <v>1</v>
      </c>
      <c r="F13315" t="s">
        <v>75</v>
      </c>
      <c r="G13315" t="str">
        <f>"14-M01-05"</f>
        <v>14-M01-05</v>
      </c>
      <c r="H13315">
        <v>0.54239999999999999</v>
      </c>
      <c r="I13315" t="s">
        <v>7108</v>
      </c>
      <c r="J13315" t="s">
        <v>59</v>
      </c>
      <c r="K13315" t="str">
        <f>"6F3"</f>
        <v>6F3</v>
      </c>
      <c r="L13315" t="s">
        <v>15</v>
      </c>
    </row>
    <row r="13316" spans="1:12" x14ac:dyDescent="0.25">
      <c r="A13316" t="str">
        <f>"9751136142"</f>
        <v>9751136142</v>
      </c>
      <c r="B13316" t="str">
        <f t="shared" si="562"/>
        <v>89301000</v>
      </c>
      <c r="C13316" s="1">
        <v>44417</v>
      </c>
      <c r="D13316" s="1">
        <v>44421</v>
      </c>
      <c r="E13316">
        <v>1</v>
      </c>
      <c r="F13316" t="s">
        <v>75</v>
      </c>
      <c r="G13316" t="str">
        <f>"14-M01-05"</f>
        <v>14-M01-05</v>
      </c>
      <c r="H13316">
        <v>0.54239999999999999</v>
      </c>
      <c r="I13316" t="s">
        <v>7637</v>
      </c>
      <c r="J13316" t="s">
        <v>59</v>
      </c>
      <c r="K13316" t="str">
        <f>"6F3"</f>
        <v>6F3</v>
      </c>
      <c r="L13316" t="s">
        <v>15</v>
      </c>
    </row>
    <row r="13317" spans="1:12" x14ac:dyDescent="0.25">
      <c r="A13317" t="str">
        <f>"9751183486"</f>
        <v>9751183486</v>
      </c>
      <c r="B13317" t="str">
        <f t="shared" si="562"/>
        <v>89301000</v>
      </c>
      <c r="C13317" s="1">
        <v>44389</v>
      </c>
      <c r="D13317" s="1">
        <v>44427</v>
      </c>
      <c r="E13317">
        <v>1</v>
      </c>
      <c r="F13317" t="s">
        <v>77</v>
      </c>
      <c r="G13317" t="str">
        <f>"19-K07-02"</f>
        <v>19-K07-02</v>
      </c>
      <c r="H13317">
        <v>2.8759999999999999</v>
      </c>
      <c r="I13317" t="s">
        <v>8368</v>
      </c>
      <c r="J13317" t="s">
        <v>27</v>
      </c>
      <c r="K13317" t="str">
        <f>"3F5"</f>
        <v>3F5</v>
      </c>
      <c r="L13317" t="s">
        <v>15</v>
      </c>
    </row>
    <row r="13318" spans="1:12" x14ac:dyDescent="0.25">
      <c r="A13318" t="str">
        <f>"9751294850"</f>
        <v>9751294850</v>
      </c>
      <c r="B13318" t="str">
        <f t="shared" si="562"/>
        <v>89301000</v>
      </c>
      <c r="C13318" s="1">
        <v>44362</v>
      </c>
      <c r="D13318" s="1">
        <v>44365</v>
      </c>
      <c r="E13318">
        <v>1</v>
      </c>
      <c r="F13318" t="s">
        <v>197</v>
      </c>
      <c r="G13318" t="str">
        <f>"03-I18-02"</f>
        <v>03-I18-02</v>
      </c>
      <c r="H13318">
        <v>0.84370000000000001</v>
      </c>
      <c r="J13318" t="s">
        <v>24</v>
      </c>
      <c r="K13318" t="str">
        <f>"6F5"</f>
        <v>6F5</v>
      </c>
      <c r="L13318" t="s">
        <v>15</v>
      </c>
    </row>
    <row r="13319" spans="1:12" x14ac:dyDescent="0.25">
      <c r="A13319" t="str">
        <f>"9752041354"</f>
        <v>9752041354</v>
      </c>
      <c r="B13319" t="str">
        <f t="shared" si="562"/>
        <v>89301000</v>
      </c>
      <c r="C13319" s="1">
        <v>44375</v>
      </c>
      <c r="D13319" s="1">
        <v>44378</v>
      </c>
      <c r="E13319">
        <v>1</v>
      </c>
      <c r="F13319" t="s">
        <v>1132</v>
      </c>
      <c r="G13319" t="str">
        <f>"23-K04-02"</f>
        <v>23-K04-02</v>
      </c>
      <c r="H13319">
        <v>0.38690000000000002</v>
      </c>
      <c r="I13319" t="s">
        <v>8369</v>
      </c>
      <c r="J13319" t="s">
        <v>14</v>
      </c>
      <c r="K13319" t="str">
        <f>"2F9"</f>
        <v>2F9</v>
      </c>
      <c r="L13319" t="s">
        <v>15</v>
      </c>
    </row>
    <row r="13320" spans="1:12" x14ac:dyDescent="0.25">
      <c r="A13320" t="str">
        <f>"9752075729"</f>
        <v>9752075729</v>
      </c>
      <c r="B13320" t="str">
        <f t="shared" si="562"/>
        <v>89301000</v>
      </c>
      <c r="C13320" s="1">
        <v>44417</v>
      </c>
      <c r="D13320" s="1">
        <v>44420</v>
      </c>
      <c r="E13320">
        <v>1</v>
      </c>
      <c r="F13320" t="s">
        <v>43</v>
      </c>
      <c r="G13320" t="str">
        <f>"06-I18-05"</f>
        <v>06-I18-05</v>
      </c>
      <c r="H13320">
        <v>0.85550000000000004</v>
      </c>
      <c r="I13320" t="s">
        <v>8370</v>
      </c>
      <c r="J13320" t="s">
        <v>24</v>
      </c>
      <c r="K13320" t="str">
        <f>"5F1"</f>
        <v>5F1</v>
      </c>
      <c r="L13320" t="s">
        <v>15</v>
      </c>
    </row>
    <row r="13321" spans="1:12" x14ac:dyDescent="0.25">
      <c r="A13321" t="str">
        <f>"9752286159"</f>
        <v>9752286159</v>
      </c>
      <c r="B13321" t="str">
        <f t="shared" si="562"/>
        <v>89301000</v>
      </c>
      <c r="C13321" s="1">
        <v>44508</v>
      </c>
      <c r="D13321" s="1">
        <v>44513</v>
      </c>
      <c r="E13321">
        <v>1</v>
      </c>
      <c r="F13321" t="s">
        <v>197</v>
      </c>
      <c r="G13321" t="str">
        <f>"03-I17-00"</f>
        <v>03-I17-00</v>
      </c>
      <c r="H13321">
        <v>0.84960000000000002</v>
      </c>
      <c r="I13321" t="s">
        <v>8371</v>
      </c>
      <c r="J13321" t="s">
        <v>24</v>
      </c>
      <c r="K13321" t="str">
        <f>"7F1"</f>
        <v>7F1</v>
      </c>
      <c r="L13321" t="s">
        <v>15</v>
      </c>
    </row>
    <row r="13322" spans="1:12" x14ac:dyDescent="0.25">
      <c r="A13322" t="str">
        <f>"9753025711"</f>
        <v>9753025711</v>
      </c>
      <c r="B13322" t="str">
        <f t="shared" si="562"/>
        <v>89301000</v>
      </c>
      <c r="C13322" s="1">
        <v>44408</v>
      </c>
      <c r="D13322" s="1">
        <v>44412</v>
      </c>
      <c r="E13322">
        <v>1</v>
      </c>
      <c r="F13322" t="s">
        <v>75</v>
      </c>
      <c r="G13322" t="str">
        <f>"14-M01-05"</f>
        <v>14-M01-05</v>
      </c>
      <c r="H13322">
        <v>0.54239999999999999</v>
      </c>
      <c r="J13322" t="s">
        <v>59</v>
      </c>
      <c r="K13322" t="str">
        <f>"6F3"</f>
        <v>6F3</v>
      </c>
      <c r="L13322" t="s">
        <v>15</v>
      </c>
    </row>
    <row r="13323" spans="1:12" x14ac:dyDescent="0.25">
      <c r="A13323" t="str">
        <f>"9753045720"</f>
        <v>9753045720</v>
      </c>
      <c r="B13323" t="str">
        <f t="shared" si="562"/>
        <v>89301000</v>
      </c>
      <c r="C13323" s="1">
        <v>44476</v>
      </c>
      <c r="D13323" s="1">
        <v>44480</v>
      </c>
      <c r="E13323">
        <v>1</v>
      </c>
      <c r="F13323" t="s">
        <v>75</v>
      </c>
      <c r="G13323" t="str">
        <f>"14-M01-05"</f>
        <v>14-M01-05</v>
      </c>
      <c r="H13323">
        <v>0.54239999999999999</v>
      </c>
      <c r="I13323" t="s">
        <v>7354</v>
      </c>
      <c r="J13323" t="s">
        <v>59</v>
      </c>
      <c r="K13323" t="str">
        <f>"6F3"</f>
        <v>6F3</v>
      </c>
      <c r="L13323" t="s">
        <v>15</v>
      </c>
    </row>
    <row r="13324" spans="1:12" x14ac:dyDescent="0.25">
      <c r="A13324" t="str">
        <f>"9753105703"</f>
        <v>9753105703</v>
      </c>
      <c r="B13324" t="str">
        <f t="shared" si="562"/>
        <v>89301000</v>
      </c>
      <c r="C13324" s="1">
        <v>44292</v>
      </c>
      <c r="D13324" s="1">
        <v>44295</v>
      </c>
      <c r="E13324">
        <v>1</v>
      </c>
      <c r="F13324" t="s">
        <v>5527</v>
      </c>
      <c r="G13324" t="str">
        <f>"01-K18-04"</f>
        <v>01-K18-04</v>
      </c>
      <c r="H13324">
        <v>0.49890000000000001</v>
      </c>
      <c r="I13324" t="s">
        <v>1340</v>
      </c>
      <c r="J13324" t="s">
        <v>14</v>
      </c>
      <c r="K13324" t="str">
        <f>"2F9"</f>
        <v>2F9</v>
      </c>
      <c r="L13324" t="s">
        <v>15</v>
      </c>
    </row>
    <row r="13325" spans="1:12" x14ac:dyDescent="0.25">
      <c r="A13325" t="str">
        <f>"9753195749"</f>
        <v>9753195749</v>
      </c>
      <c r="B13325" t="str">
        <f t="shared" si="562"/>
        <v>89301000</v>
      </c>
      <c r="C13325" s="1">
        <v>44494</v>
      </c>
      <c r="D13325" s="1">
        <v>44496</v>
      </c>
      <c r="E13325">
        <v>1</v>
      </c>
      <c r="F13325" t="s">
        <v>5527</v>
      </c>
      <c r="G13325" t="str">
        <f>"01-K18-03"</f>
        <v>01-K18-03</v>
      </c>
      <c r="H13325">
        <v>0.76180000000000003</v>
      </c>
      <c r="I13325" t="s">
        <v>192</v>
      </c>
      <c r="J13325" t="s">
        <v>14</v>
      </c>
      <c r="K13325" t="str">
        <f>"2F9"</f>
        <v>2F9</v>
      </c>
      <c r="L13325" t="s">
        <v>15</v>
      </c>
    </row>
    <row r="13326" spans="1:12" x14ac:dyDescent="0.25">
      <c r="A13326" t="str">
        <f>"9753216143"</f>
        <v>9753216143</v>
      </c>
      <c r="B13326" t="str">
        <f t="shared" si="562"/>
        <v>89301000</v>
      </c>
      <c r="C13326" s="1">
        <v>44201</v>
      </c>
      <c r="D13326" s="1">
        <v>44204</v>
      </c>
      <c r="E13326">
        <v>1</v>
      </c>
      <c r="F13326" t="s">
        <v>75</v>
      </c>
      <c r="G13326" t="str">
        <f>"14-M01-05"</f>
        <v>14-M01-05</v>
      </c>
      <c r="H13326">
        <v>0.54239999999999999</v>
      </c>
      <c r="I13326" t="s">
        <v>7590</v>
      </c>
      <c r="J13326" t="s">
        <v>59</v>
      </c>
      <c r="K13326" t="str">
        <f>"6F3"</f>
        <v>6F3</v>
      </c>
      <c r="L13326" t="s">
        <v>15</v>
      </c>
    </row>
    <row r="13327" spans="1:12" x14ac:dyDescent="0.25">
      <c r="A13327" t="str">
        <f>"9753235701"</f>
        <v>9753235701</v>
      </c>
      <c r="B13327" t="str">
        <f t="shared" si="562"/>
        <v>89301000</v>
      </c>
      <c r="C13327" s="1">
        <v>44427</v>
      </c>
      <c r="D13327" s="1">
        <v>44432</v>
      </c>
      <c r="E13327">
        <v>1</v>
      </c>
      <c r="F13327" t="s">
        <v>75</v>
      </c>
      <c r="G13327" t="str">
        <f>"14-M01-05"</f>
        <v>14-M01-05</v>
      </c>
      <c r="H13327">
        <v>0.54239999999999999</v>
      </c>
      <c r="I13327" t="s">
        <v>7527</v>
      </c>
      <c r="J13327" t="s">
        <v>59</v>
      </c>
      <c r="K13327" t="str">
        <f>"6F3"</f>
        <v>6F3</v>
      </c>
      <c r="L13327" t="s">
        <v>15</v>
      </c>
    </row>
    <row r="13328" spans="1:12" x14ac:dyDescent="0.25">
      <c r="A13328" t="str">
        <f>"9754144774"</f>
        <v>9754144774</v>
      </c>
      <c r="B13328" t="str">
        <f t="shared" si="562"/>
        <v>89301000</v>
      </c>
      <c r="C13328" s="1">
        <v>44243</v>
      </c>
      <c r="D13328" s="1">
        <v>44244</v>
      </c>
      <c r="E13328">
        <v>1</v>
      </c>
      <c r="F13328" t="s">
        <v>215</v>
      </c>
      <c r="G13328" t="str">
        <f>"08-I15-03"</f>
        <v>08-I15-03</v>
      </c>
      <c r="H13328">
        <v>1.1838</v>
      </c>
      <c r="I13328" t="s">
        <v>446</v>
      </c>
      <c r="J13328" t="s">
        <v>17</v>
      </c>
      <c r="K13328" t="str">
        <f>"5F3"</f>
        <v>5F3</v>
      </c>
      <c r="L13328" t="s">
        <v>15</v>
      </c>
    </row>
    <row r="13329" spans="1:12" x14ac:dyDescent="0.25">
      <c r="A13329" t="str">
        <f>"9754245710"</f>
        <v>9754245710</v>
      </c>
      <c r="B13329" t="str">
        <f t="shared" si="562"/>
        <v>89301000</v>
      </c>
      <c r="C13329" s="1">
        <v>44321</v>
      </c>
      <c r="D13329" s="1">
        <v>44322</v>
      </c>
      <c r="E13329">
        <v>1</v>
      </c>
      <c r="F13329" t="s">
        <v>112</v>
      </c>
      <c r="G13329" t="str">
        <f>"14-M01-05"</f>
        <v>14-M01-05</v>
      </c>
      <c r="H13329">
        <v>0.54239999999999999</v>
      </c>
      <c r="I13329" t="s">
        <v>8085</v>
      </c>
      <c r="J13329" t="s">
        <v>59</v>
      </c>
      <c r="K13329" t="str">
        <f>"6F3"</f>
        <v>6F3</v>
      </c>
      <c r="L13329" t="s">
        <v>15</v>
      </c>
    </row>
    <row r="13330" spans="1:12" x14ac:dyDescent="0.25">
      <c r="A13330" t="str">
        <f>"9754255709"</f>
        <v>9754255709</v>
      </c>
      <c r="B13330" t="str">
        <f t="shared" si="562"/>
        <v>89301000</v>
      </c>
      <c r="C13330" s="1">
        <v>44280</v>
      </c>
      <c r="D13330" s="1">
        <v>44283</v>
      </c>
      <c r="E13330">
        <v>1</v>
      </c>
      <c r="F13330" t="s">
        <v>81</v>
      </c>
      <c r="G13330" t="str">
        <f>"10-I13-02"</f>
        <v>10-I13-02</v>
      </c>
      <c r="H13330">
        <v>1.1468</v>
      </c>
      <c r="J13330" t="s">
        <v>24</v>
      </c>
      <c r="K13330" t="str">
        <f>"5F5"</f>
        <v>5F5</v>
      </c>
      <c r="L13330" t="s">
        <v>15</v>
      </c>
    </row>
    <row r="13331" spans="1:12" x14ac:dyDescent="0.25">
      <c r="A13331" t="str">
        <f>"9755045729"</f>
        <v>9755045729</v>
      </c>
      <c r="B13331" t="str">
        <f t="shared" ref="B13331:B13393" si="564">"89301000"</f>
        <v>89301000</v>
      </c>
      <c r="C13331" s="1">
        <v>44490</v>
      </c>
      <c r="D13331" s="1">
        <v>44494</v>
      </c>
      <c r="E13331">
        <v>1</v>
      </c>
      <c r="F13331" t="s">
        <v>7698</v>
      </c>
      <c r="G13331" t="str">
        <f>"13-K06-00"</f>
        <v>13-K06-00</v>
      </c>
      <c r="H13331">
        <v>0.48039999999999999</v>
      </c>
      <c r="J13331" t="s">
        <v>14</v>
      </c>
      <c r="K13331" t="str">
        <f>"6F3"</f>
        <v>6F3</v>
      </c>
      <c r="L13331" t="s">
        <v>15</v>
      </c>
    </row>
    <row r="13332" spans="1:12" x14ac:dyDescent="0.25">
      <c r="A13332" t="str">
        <f>"9755146170"</f>
        <v>9755146170</v>
      </c>
      <c r="B13332" t="str">
        <f t="shared" si="564"/>
        <v>89301000</v>
      </c>
      <c r="C13332" s="1">
        <v>44398</v>
      </c>
      <c r="D13332" s="1">
        <v>44401</v>
      </c>
      <c r="E13332">
        <v>1</v>
      </c>
      <c r="F13332" t="s">
        <v>1690</v>
      </c>
      <c r="G13332" t="str">
        <f>"07-I10-06"</f>
        <v>07-I10-06</v>
      </c>
      <c r="H13332">
        <v>0.9728</v>
      </c>
      <c r="I13332" t="s">
        <v>348</v>
      </c>
      <c r="J13332" t="s">
        <v>17</v>
      </c>
      <c r="K13332" t="str">
        <f>"5F1"</f>
        <v>5F1</v>
      </c>
      <c r="L13332" t="s">
        <v>15</v>
      </c>
    </row>
    <row r="13333" spans="1:12" x14ac:dyDescent="0.25">
      <c r="A13333" t="str">
        <f>"9755284858"</f>
        <v>9755284858</v>
      </c>
      <c r="B13333" t="str">
        <f t="shared" si="564"/>
        <v>89301000</v>
      </c>
      <c r="C13333" s="1">
        <v>44249</v>
      </c>
      <c r="D13333" s="1">
        <v>44256</v>
      </c>
      <c r="E13333">
        <v>1</v>
      </c>
      <c r="F13333" t="s">
        <v>7240</v>
      </c>
      <c r="G13333" t="str">
        <f>"18-K02-03"</f>
        <v>18-K02-03</v>
      </c>
      <c r="H13333">
        <v>0.87570000000000003</v>
      </c>
      <c r="J13333" t="s">
        <v>14</v>
      </c>
      <c r="K13333" t="str">
        <f>"4F4"</f>
        <v>4F4</v>
      </c>
      <c r="L13333" t="s">
        <v>15</v>
      </c>
    </row>
    <row r="13334" spans="1:12" x14ac:dyDescent="0.25">
      <c r="A13334" t="str">
        <f>"9755284858"</f>
        <v>9755284858</v>
      </c>
      <c r="B13334" t="str">
        <f t="shared" si="564"/>
        <v>89301000</v>
      </c>
      <c r="C13334" s="1">
        <v>44480</v>
      </c>
      <c r="D13334" s="1">
        <v>44485</v>
      </c>
      <c r="E13334">
        <v>1</v>
      </c>
      <c r="F13334" t="s">
        <v>7240</v>
      </c>
      <c r="G13334" t="str">
        <f>"18-K02-03"</f>
        <v>18-K02-03</v>
      </c>
      <c r="H13334">
        <v>0.87570000000000003</v>
      </c>
      <c r="I13334" t="s">
        <v>7861</v>
      </c>
      <c r="J13334" t="s">
        <v>14</v>
      </c>
      <c r="K13334" t="str">
        <f>"4F4"</f>
        <v>4F4</v>
      </c>
      <c r="L13334" t="s">
        <v>15</v>
      </c>
    </row>
    <row r="13335" spans="1:12" x14ac:dyDescent="0.25">
      <c r="A13335" t="str">
        <f>"9755296144"</f>
        <v>9755296144</v>
      </c>
      <c r="B13335" t="str">
        <f t="shared" si="564"/>
        <v>89301000</v>
      </c>
      <c r="C13335" s="1">
        <v>44357</v>
      </c>
      <c r="D13335" s="1">
        <v>44361</v>
      </c>
      <c r="E13335">
        <v>1</v>
      </c>
      <c r="F13335" t="s">
        <v>2159</v>
      </c>
      <c r="G13335" t="str">
        <f>"14-M01-02"</f>
        <v>14-M01-02</v>
      </c>
      <c r="H13335">
        <v>0.74450000000000005</v>
      </c>
      <c r="I13335" t="s">
        <v>8372</v>
      </c>
      <c r="J13335" t="s">
        <v>59</v>
      </c>
      <c r="K13335" t="str">
        <f>"6F3"</f>
        <v>6F3</v>
      </c>
      <c r="L13335" t="s">
        <v>15</v>
      </c>
    </row>
    <row r="13336" spans="1:12" x14ac:dyDescent="0.25">
      <c r="A13336" t="str">
        <f>"9756046278"</f>
        <v>9756046278</v>
      </c>
      <c r="B13336" t="str">
        <f t="shared" si="564"/>
        <v>89301000</v>
      </c>
      <c r="C13336" s="1">
        <v>44377</v>
      </c>
      <c r="D13336" s="1">
        <v>44380</v>
      </c>
      <c r="E13336">
        <v>1</v>
      </c>
      <c r="F13336" t="s">
        <v>75</v>
      </c>
      <c r="G13336" t="str">
        <f>"14-M01-05"</f>
        <v>14-M01-05</v>
      </c>
      <c r="H13336">
        <v>0.54239999999999999</v>
      </c>
      <c r="I13336" t="s">
        <v>7108</v>
      </c>
      <c r="J13336" t="s">
        <v>59</v>
      </c>
      <c r="K13336" t="str">
        <f>"6F3"</f>
        <v>6F3</v>
      </c>
      <c r="L13336" t="s">
        <v>15</v>
      </c>
    </row>
    <row r="13337" spans="1:12" x14ac:dyDescent="0.25">
      <c r="A13337" t="str">
        <f>"9756074856"</f>
        <v>9756074856</v>
      </c>
      <c r="B13337" t="str">
        <f t="shared" si="564"/>
        <v>89301000</v>
      </c>
      <c r="C13337" s="1">
        <v>44553</v>
      </c>
      <c r="D13337" s="1">
        <v>44557</v>
      </c>
      <c r="E13337">
        <v>1</v>
      </c>
      <c r="F13337" t="s">
        <v>61</v>
      </c>
      <c r="G13337" t="str">
        <f>"14-I01-05"</f>
        <v>14-I01-05</v>
      </c>
      <c r="H13337">
        <v>0.80030000000000001</v>
      </c>
      <c r="I13337" t="s">
        <v>62</v>
      </c>
      <c r="J13337" t="s">
        <v>59</v>
      </c>
      <c r="K13337" t="str">
        <f>"6F3"</f>
        <v>6F3</v>
      </c>
      <c r="L13337" t="s">
        <v>15</v>
      </c>
    </row>
    <row r="13338" spans="1:12" x14ac:dyDescent="0.25">
      <c r="A13338" t="str">
        <f>"9756155508"</f>
        <v>9756155508</v>
      </c>
      <c r="B13338" t="str">
        <f t="shared" si="564"/>
        <v>89301000</v>
      </c>
      <c r="C13338" s="1">
        <v>44297</v>
      </c>
      <c r="D13338" s="1">
        <v>44300</v>
      </c>
      <c r="E13338">
        <v>1</v>
      </c>
      <c r="F13338" t="s">
        <v>75</v>
      </c>
      <c r="G13338" t="str">
        <f>"14-M01-05"</f>
        <v>14-M01-05</v>
      </c>
      <c r="H13338">
        <v>0.54239999999999999</v>
      </c>
      <c r="I13338" t="s">
        <v>76</v>
      </c>
      <c r="J13338" t="s">
        <v>59</v>
      </c>
      <c r="K13338" t="str">
        <f>"6F3"</f>
        <v>6F3</v>
      </c>
      <c r="L13338" t="s">
        <v>15</v>
      </c>
    </row>
    <row r="13339" spans="1:12" x14ac:dyDescent="0.25">
      <c r="A13339" t="str">
        <f>"9756210167"</f>
        <v>9756210167</v>
      </c>
      <c r="B13339" t="str">
        <f t="shared" si="564"/>
        <v>89301000</v>
      </c>
      <c r="C13339" s="1">
        <v>44439</v>
      </c>
      <c r="D13339" s="1">
        <v>44463</v>
      </c>
      <c r="E13339">
        <v>1</v>
      </c>
      <c r="F13339" t="s">
        <v>8373</v>
      </c>
      <c r="G13339" t="str">
        <f>"19-K06-02"</f>
        <v>19-K06-02</v>
      </c>
      <c r="H13339">
        <v>2.4085000000000001</v>
      </c>
      <c r="I13339" t="s">
        <v>8374</v>
      </c>
      <c r="J13339" t="s">
        <v>27</v>
      </c>
      <c r="K13339" t="str">
        <f>"3F5"</f>
        <v>3F5</v>
      </c>
      <c r="L13339" t="s">
        <v>15</v>
      </c>
    </row>
    <row r="13340" spans="1:12" x14ac:dyDescent="0.25">
      <c r="A13340" t="str">
        <f>"9756245719"</f>
        <v>9756245719</v>
      </c>
      <c r="B13340" t="str">
        <f t="shared" si="564"/>
        <v>89301000</v>
      </c>
      <c r="C13340" s="1">
        <v>44303</v>
      </c>
      <c r="D13340" s="1">
        <v>44305</v>
      </c>
      <c r="E13340">
        <v>6</v>
      </c>
      <c r="F13340" t="s">
        <v>75</v>
      </c>
      <c r="G13340" t="str">
        <f>"14-M01-05"</f>
        <v>14-M01-05</v>
      </c>
      <c r="H13340">
        <v>0.54239999999999999</v>
      </c>
      <c r="I13340" t="s">
        <v>117</v>
      </c>
      <c r="J13340" t="s">
        <v>59</v>
      </c>
      <c r="K13340" t="str">
        <f>"6F3"</f>
        <v>6F3</v>
      </c>
      <c r="L13340" t="s">
        <v>15</v>
      </c>
    </row>
    <row r="13341" spans="1:12" x14ac:dyDescent="0.25">
      <c r="A13341" t="str">
        <f>"9756265717"</f>
        <v>9756265717</v>
      </c>
      <c r="B13341" t="str">
        <f t="shared" si="564"/>
        <v>89301000</v>
      </c>
      <c r="C13341" s="1">
        <v>44538</v>
      </c>
      <c r="D13341" s="1">
        <v>44540</v>
      </c>
      <c r="E13341">
        <v>1</v>
      </c>
      <c r="F13341" t="s">
        <v>75</v>
      </c>
      <c r="G13341" t="str">
        <f>"14-M01-05"</f>
        <v>14-M01-05</v>
      </c>
      <c r="H13341">
        <v>0.54239999999999999</v>
      </c>
      <c r="I13341" t="s">
        <v>7354</v>
      </c>
      <c r="J13341" t="s">
        <v>59</v>
      </c>
      <c r="K13341" t="str">
        <f>"6F3"</f>
        <v>6F3</v>
      </c>
      <c r="L13341" t="s">
        <v>15</v>
      </c>
    </row>
    <row r="13342" spans="1:12" x14ac:dyDescent="0.25">
      <c r="A13342" t="str">
        <f>"9757014861"</f>
        <v>9757014861</v>
      </c>
      <c r="B13342" t="str">
        <f t="shared" si="564"/>
        <v>89301000</v>
      </c>
      <c r="C13342" s="1">
        <v>44528</v>
      </c>
      <c r="D13342" s="1">
        <v>44561</v>
      </c>
      <c r="E13342">
        <v>1</v>
      </c>
      <c r="F13342" t="s">
        <v>275</v>
      </c>
      <c r="G13342" t="str">
        <f>"00-M02-04"</f>
        <v>00-M02-04</v>
      </c>
      <c r="H13342">
        <v>12.209199999999999</v>
      </c>
      <c r="I13342" t="s">
        <v>8375</v>
      </c>
      <c r="J13342" t="s">
        <v>14</v>
      </c>
      <c r="K13342" t="str">
        <f>"2F5"</f>
        <v>2F5</v>
      </c>
      <c r="L13342" t="s">
        <v>15</v>
      </c>
    </row>
    <row r="13343" spans="1:12" x14ac:dyDescent="0.25">
      <c r="A13343" t="str">
        <f>"9757085712"</f>
        <v>9757085712</v>
      </c>
      <c r="B13343" t="str">
        <f t="shared" si="564"/>
        <v>89301000</v>
      </c>
      <c r="C13343" s="1">
        <v>44429</v>
      </c>
      <c r="D13343" s="1">
        <v>44430</v>
      </c>
      <c r="E13343">
        <v>1</v>
      </c>
      <c r="F13343" t="s">
        <v>287</v>
      </c>
      <c r="G13343" t="str">
        <f>"01-K16-06"</f>
        <v>01-K16-06</v>
      </c>
      <c r="H13343">
        <v>0.26469999999999999</v>
      </c>
      <c r="I13343" t="s">
        <v>244</v>
      </c>
      <c r="J13343" t="s">
        <v>14</v>
      </c>
      <c r="K13343" t="str">
        <f>"5F3"</f>
        <v>5F3</v>
      </c>
      <c r="L13343" t="s">
        <v>15</v>
      </c>
    </row>
    <row r="13344" spans="1:12" x14ac:dyDescent="0.25">
      <c r="A13344" t="str">
        <f>"9757085745"</f>
        <v>9757085745</v>
      </c>
      <c r="B13344" t="str">
        <f t="shared" si="564"/>
        <v>89301000</v>
      </c>
      <c r="C13344" s="1">
        <v>44399</v>
      </c>
      <c r="D13344" s="1">
        <v>44402</v>
      </c>
      <c r="E13344">
        <v>1</v>
      </c>
      <c r="F13344" t="s">
        <v>82</v>
      </c>
      <c r="G13344" t="str">
        <f>"14-I01-05"</f>
        <v>14-I01-05</v>
      </c>
      <c r="H13344">
        <v>0.80030000000000001</v>
      </c>
      <c r="I13344" t="s">
        <v>7950</v>
      </c>
      <c r="J13344" t="s">
        <v>59</v>
      </c>
      <c r="K13344" t="str">
        <f>"6F3"</f>
        <v>6F3</v>
      </c>
      <c r="L13344" t="s">
        <v>15</v>
      </c>
    </row>
    <row r="13345" spans="1:12" x14ac:dyDescent="0.25">
      <c r="A13345" t="str">
        <f>"9757095733"</f>
        <v>9757095733</v>
      </c>
      <c r="B13345" t="str">
        <f t="shared" si="564"/>
        <v>89301000</v>
      </c>
      <c r="C13345" s="1">
        <v>44427</v>
      </c>
      <c r="D13345" s="1">
        <v>44429</v>
      </c>
      <c r="E13345">
        <v>1</v>
      </c>
      <c r="F13345" t="s">
        <v>3648</v>
      </c>
      <c r="G13345" t="str">
        <f>"08-I18-02"</f>
        <v>08-I18-02</v>
      </c>
      <c r="H13345">
        <v>0.65769999999999995</v>
      </c>
      <c r="I13345" t="s">
        <v>244</v>
      </c>
      <c r="J13345" t="s">
        <v>17</v>
      </c>
      <c r="K13345" t="str">
        <f>"5F3"</f>
        <v>5F3</v>
      </c>
      <c r="L13345" t="s">
        <v>15</v>
      </c>
    </row>
    <row r="13346" spans="1:12" x14ac:dyDescent="0.25">
      <c r="A13346" t="str">
        <f>"9757146168"</f>
        <v>9757146168</v>
      </c>
      <c r="B13346" t="str">
        <f t="shared" si="564"/>
        <v>89301000</v>
      </c>
      <c r="C13346" s="1">
        <v>44323</v>
      </c>
      <c r="D13346" s="1">
        <v>44329</v>
      </c>
      <c r="E13346">
        <v>1</v>
      </c>
      <c r="F13346" t="s">
        <v>4100</v>
      </c>
      <c r="G13346" t="str">
        <f>"09-K02-00"</f>
        <v>09-K02-00</v>
      </c>
      <c r="H13346">
        <v>1.1361000000000001</v>
      </c>
      <c r="I13346" t="s">
        <v>8376</v>
      </c>
      <c r="J13346" t="s">
        <v>14</v>
      </c>
      <c r="K13346" t="str">
        <f>"4F4"</f>
        <v>4F4</v>
      </c>
      <c r="L13346" t="s">
        <v>15</v>
      </c>
    </row>
    <row r="13347" spans="1:12" x14ac:dyDescent="0.25">
      <c r="A13347" t="str">
        <f>"9757264869"</f>
        <v>9757264869</v>
      </c>
      <c r="B13347" t="str">
        <f t="shared" si="564"/>
        <v>89301000</v>
      </c>
      <c r="C13347" s="1">
        <v>44285</v>
      </c>
      <c r="D13347" s="1">
        <v>44293</v>
      </c>
      <c r="E13347">
        <v>1</v>
      </c>
      <c r="F13347" t="s">
        <v>8377</v>
      </c>
      <c r="G13347" t="str">
        <f>"01-I07-03"</f>
        <v>01-I07-03</v>
      </c>
      <c r="H13347">
        <v>2.6448999999999998</v>
      </c>
      <c r="I13347" t="s">
        <v>8378</v>
      </c>
      <c r="J13347" t="s">
        <v>17</v>
      </c>
      <c r="K13347" t="str">
        <f>"5F6"</f>
        <v>5F6</v>
      </c>
      <c r="L13347" t="s">
        <v>15</v>
      </c>
    </row>
    <row r="13348" spans="1:12" x14ac:dyDescent="0.25">
      <c r="A13348" t="str">
        <f>"9757264869"</f>
        <v>9757264869</v>
      </c>
      <c r="B13348" t="str">
        <f t="shared" si="564"/>
        <v>89301000</v>
      </c>
      <c r="C13348" s="1">
        <v>44273</v>
      </c>
      <c r="D13348" s="1">
        <v>44278</v>
      </c>
      <c r="E13348">
        <v>1</v>
      </c>
      <c r="F13348" t="s">
        <v>8377</v>
      </c>
      <c r="G13348" t="str">
        <f>"01-I07-03"</f>
        <v>01-I07-03</v>
      </c>
      <c r="H13348">
        <v>3.2458</v>
      </c>
      <c r="I13348" t="s">
        <v>8378</v>
      </c>
      <c r="J13348" t="s">
        <v>17</v>
      </c>
      <c r="K13348" t="str">
        <f>"5F6"</f>
        <v>5F6</v>
      </c>
      <c r="L13348" t="s">
        <v>15</v>
      </c>
    </row>
    <row r="13349" spans="1:12" x14ac:dyDescent="0.25">
      <c r="A13349" t="str">
        <f>"9758015707"</f>
        <v>9758015707</v>
      </c>
      <c r="B13349" t="str">
        <f t="shared" si="564"/>
        <v>89301000</v>
      </c>
      <c r="C13349" s="1">
        <v>44388</v>
      </c>
      <c r="D13349" s="1">
        <v>44393</v>
      </c>
      <c r="E13349">
        <v>1</v>
      </c>
      <c r="F13349" t="s">
        <v>61</v>
      </c>
      <c r="G13349" t="str">
        <f>"14-I01-05"</f>
        <v>14-I01-05</v>
      </c>
      <c r="H13349">
        <v>0.80030000000000001</v>
      </c>
      <c r="I13349" t="s">
        <v>7572</v>
      </c>
      <c r="J13349" t="s">
        <v>59</v>
      </c>
      <c r="K13349" t="str">
        <f>"6F3"</f>
        <v>6F3</v>
      </c>
      <c r="L13349" t="s">
        <v>15</v>
      </c>
    </row>
    <row r="13350" spans="1:12" x14ac:dyDescent="0.25">
      <c r="A13350" t="str">
        <f>"9758044879"</f>
        <v>9758044879</v>
      </c>
      <c r="B13350" t="str">
        <f t="shared" si="564"/>
        <v>89301000</v>
      </c>
      <c r="C13350" s="1">
        <v>44478</v>
      </c>
      <c r="D13350" s="1">
        <v>44481</v>
      </c>
      <c r="E13350">
        <v>1</v>
      </c>
      <c r="F13350" t="s">
        <v>75</v>
      </c>
      <c r="G13350" t="str">
        <f>"14-M01-05"</f>
        <v>14-M01-05</v>
      </c>
      <c r="H13350">
        <v>0.54239999999999999</v>
      </c>
      <c r="I13350" t="s">
        <v>118</v>
      </c>
      <c r="J13350" t="s">
        <v>59</v>
      </c>
      <c r="K13350" t="str">
        <f>"6F3"</f>
        <v>6F3</v>
      </c>
      <c r="L13350" t="s">
        <v>15</v>
      </c>
    </row>
    <row r="13351" spans="1:12" x14ac:dyDescent="0.25">
      <c r="A13351" t="str">
        <f>"9758096139"</f>
        <v>9758096139</v>
      </c>
      <c r="B13351" t="str">
        <f t="shared" si="564"/>
        <v>89301000</v>
      </c>
      <c r="C13351" s="1">
        <v>44509</v>
      </c>
      <c r="D13351" s="1">
        <v>44512</v>
      </c>
      <c r="E13351">
        <v>1</v>
      </c>
      <c r="F13351" t="s">
        <v>7296</v>
      </c>
      <c r="G13351" t="str">
        <f>"01-K07-03"</f>
        <v>01-K07-03</v>
      </c>
      <c r="H13351">
        <v>0.4642</v>
      </c>
      <c r="I13351" t="s">
        <v>8379</v>
      </c>
      <c r="J13351" t="s">
        <v>14</v>
      </c>
      <c r="K13351" t="str">
        <f>"2F9"</f>
        <v>2F9</v>
      </c>
      <c r="L13351" t="s">
        <v>15</v>
      </c>
    </row>
    <row r="13352" spans="1:12" x14ac:dyDescent="0.25">
      <c r="A13352" t="str">
        <f>"9758275714"</f>
        <v>9758275714</v>
      </c>
      <c r="B13352" t="str">
        <f t="shared" si="564"/>
        <v>89301000</v>
      </c>
      <c r="C13352" s="1">
        <v>44485</v>
      </c>
      <c r="D13352" s="1">
        <v>44490</v>
      </c>
      <c r="E13352">
        <v>1</v>
      </c>
      <c r="F13352" t="s">
        <v>75</v>
      </c>
      <c r="G13352" t="str">
        <f>"14-M01-05"</f>
        <v>14-M01-05</v>
      </c>
      <c r="H13352">
        <v>0.54239999999999999</v>
      </c>
      <c r="I13352" t="s">
        <v>8380</v>
      </c>
      <c r="J13352" t="s">
        <v>59</v>
      </c>
      <c r="K13352" t="str">
        <f>"6F3"</f>
        <v>6F3</v>
      </c>
      <c r="L13352" t="s">
        <v>15</v>
      </c>
    </row>
    <row r="13353" spans="1:12" x14ac:dyDescent="0.25">
      <c r="A13353" t="str">
        <f>"9758304842"</f>
        <v>9758304842</v>
      </c>
      <c r="B13353" t="str">
        <f t="shared" si="564"/>
        <v>89301000</v>
      </c>
      <c r="C13353" s="1">
        <v>44332</v>
      </c>
      <c r="D13353" s="1">
        <v>44335</v>
      </c>
      <c r="E13353">
        <v>1</v>
      </c>
      <c r="F13353" t="s">
        <v>623</v>
      </c>
      <c r="G13353" t="str">
        <f>"03-I14-02"</f>
        <v>03-I14-02</v>
      </c>
      <c r="H13353">
        <v>1.1086</v>
      </c>
      <c r="I13353" t="s">
        <v>8381</v>
      </c>
      <c r="J13353" t="s">
        <v>14</v>
      </c>
      <c r="K13353" t="str">
        <f>"7F1"</f>
        <v>7F1</v>
      </c>
      <c r="L13353" t="s">
        <v>15</v>
      </c>
    </row>
    <row r="13354" spans="1:12" x14ac:dyDescent="0.25">
      <c r="A13354" t="str">
        <f>"9758305502"</f>
        <v>9758305502</v>
      </c>
      <c r="B13354" t="str">
        <f t="shared" si="564"/>
        <v>89301000</v>
      </c>
      <c r="C13354" s="1">
        <v>44377</v>
      </c>
      <c r="D13354" s="1">
        <v>44385</v>
      </c>
      <c r="E13354">
        <v>1</v>
      </c>
      <c r="F13354" t="s">
        <v>87</v>
      </c>
      <c r="G13354" t="str">
        <f>"09-K04-02"</f>
        <v>09-K04-02</v>
      </c>
      <c r="H13354">
        <v>0.68279999999999996</v>
      </c>
      <c r="J13354" t="s">
        <v>14</v>
      </c>
      <c r="K13354" t="str">
        <f>"4F4"</f>
        <v>4F4</v>
      </c>
      <c r="L13354" t="s">
        <v>15</v>
      </c>
    </row>
    <row r="13355" spans="1:12" x14ac:dyDescent="0.25">
      <c r="A13355" t="str">
        <f>"9759025727"</f>
        <v>9759025727</v>
      </c>
      <c r="B13355" t="str">
        <f t="shared" si="564"/>
        <v>89301000</v>
      </c>
      <c r="C13355" s="1">
        <v>44413</v>
      </c>
      <c r="D13355" s="1">
        <v>44445</v>
      </c>
      <c r="E13355">
        <v>1</v>
      </c>
      <c r="F13355" t="s">
        <v>1690</v>
      </c>
      <c r="G13355" t="str">
        <f>"07-M02-01"</f>
        <v>07-M02-01</v>
      </c>
      <c r="H13355">
        <v>3.8824000000000001</v>
      </c>
      <c r="I13355" t="s">
        <v>8382</v>
      </c>
      <c r="J13355" t="s">
        <v>17</v>
      </c>
      <c r="K13355" t="str">
        <f>"1F1"</f>
        <v>1F1</v>
      </c>
      <c r="L13355" t="s">
        <v>15</v>
      </c>
    </row>
    <row r="13356" spans="1:12" x14ac:dyDescent="0.25">
      <c r="A13356" t="str">
        <f>"9759025727"</f>
        <v>9759025727</v>
      </c>
      <c r="B13356" t="str">
        <f t="shared" si="564"/>
        <v>89301000</v>
      </c>
      <c r="C13356" s="1">
        <v>44459</v>
      </c>
      <c r="D13356" s="1">
        <v>44473</v>
      </c>
      <c r="E13356">
        <v>1</v>
      </c>
      <c r="F13356" t="s">
        <v>2736</v>
      </c>
      <c r="G13356" t="str">
        <f>"07-M02-01"</f>
        <v>07-M02-01</v>
      </c>
      <c r="H13356">
        <v>2.8264</v>
      </c>
      <c r="I13356" t="s">
        <v>8383</v>
      </c>
      <c r="J13356" t="s">
        <v>17</v>
      </c>
      <c r="K13356" t="str">
        <f>"1F5"</f>
        <v>1F5</v>
      </c>
      <c r="L13356" t="s">
        <v>15</v>
      </c>
    </row>
    <row r="13357" spans="1:12" x14ac:dyDescent="0.25">
      <c r="A13357" t="str">
        <f>"9759025727"</f>
        <v>9759025727</v>
      </c>
      <c r="B13357" t="str">
        <f t="shared" si="564"/>
        <v>89301000</v>
      </c>
      <c r="C13357" s="1">
        <v>44491</v>
      </c>
      <c r="D13357" s="1">
        <v>44498</v>
      </c>
      <c r="E13357">
        <v>1</v>
      </c>
      <c r="F13357" t="s">
        <v>588</v>
      </c>
      <c r="G13357" t="str">
        <f>"07-M02-03"</f>
        <v>07-M02-03</v>
      </c>
      <c r="H13357">
        <v>1.6089</v>
      </c>
      <c r="I13357" t="s">
        <v>8384</v>
      </c>
      <c r="J13357" t="s">
        <v>17</v>
      </c>
      <c r="K13357" t="str">
        <f>"1F5"</f>
        <v>1F5</v>
      </c>
      <c r="L13357" t="s">
        <v>15</v>
      </c>
    </row>
    <row r="13358" spans="1:12" x14ac:dyDescent="0.25">
      <c r="A13358" t="str">
        <f>"9759046143"</f>
        <v>9759046143</v>
      </c>
      <c r="B13358" t="str">
        <f t="shared" si="564"/>
        <v>89301000</v>
      </c>
      <c r="C13358" s="1">
        <v>44208</v>
      </c>
      <c r="D13358" s="1">
        <v>44211</v>
      </c>
      <c r="E13358">
        <v>1</v>
      </c>
      <c r="F13358" t="s">
        <v>75</v>
      </c>
      <c r="G13358" t="str">
        <f>"14-M01-05"</f>
        <v>14-M01-05</v>
      </c>
      <c r="H13358">
        <v>0.59860000000000002</v>
      </c>
      <c r="J13358" t="s">
        <v>59</v>
      </c>
      <c r="K13358" t="str">
        <f>"6F3"</f>
        <v>6F3</v>
      </c>
      <c r="L13358" t="s">
        <v>15</v>
      </c>
    </row>
    <row r="13359" spans="1:12" x14ac:dyDescent="0.25">
      <c r="A13359" t="str">
        <f>"9759155703"</f>
        <v>9759155703</v>
      </c>
      <c r="B13359" t="str">
        <f t="shared" si="564"/>
        <v>89301000</v>
      </c>
      <c r="C13359" s="1">
        <v>44397</v>
      </c>
      <c r="D13359" s="1">
        <v>44400</v>
      </c>
      <c r="E13359">
        <v>1</v>
      </c>
      <c r="F13359" t="s">
        <v>75</v>
      </c>
      <c r="G13359" t="str">
        <f>"14-M01-05"</f>
        <v>14-M01-05</v>
      </c>
      <c r="H13359">
        <v>0.54239999999999999</v>
      </c>
      <c r="I13359" t="s">
        <v>426</v>
      </c>
      <c r="J13359" t="s">
        <v>59</v>
      </c>
      <c r="K13359" t="str">
        <f>"6F3"</f>
        <v>6F3</v>
      </c>
      <c r="L13359" t="s">
        <v>15</v>
      </c>
    </row>
    <row r="13360" spans="1:12" x14ac:dyDescent="0.25">
      <c r="A13360" t="str">
        <f>"9759165735"</f>
        <v>9759165735</v>
      </c>
      <c r="B13360" t="str">
        <f t="shared" si="564"/>
        <v>89301000</v>
      </c>
      <c r="C13360" s="1">
        <v>44487</v>
      </c>
      <c r="D13360" s="1">
        <v>44488</v>
      </c>
      <c r="E13360">
        <v>1</v>
      </c>
      <c r="F13360" t="s">
        <v>91</v>
      </c>
      <c r="G13360" t="str">
        <f>"14-K03-02"</f>
        <v>14-K03-02</v>
      </c>
      <c r="H13360">
        <v>0.2646</v>
      </c>
      <c r="I13360" t="s">
        <v>640</v>
      </c>
      <c r="J13360" t="s">
        <v>14</v>
      </c>
      <c r="K13360" t="str">
        <f>"6F3"</f>
        <v>6F3</v>
      </c>
      <c r="L13360" t="s">
        <v>15</v>
      </c>
    </row>
    <row r="13361" spans="1:12" x14ac:dyDescent="0.25">
      <c r="A13361" t="str">
        <f>"9759185700"</f>
        <v>9759185700</v>
      </c>
      <c r="B13361" t="str">
        <f t="shared" si="564"/>
        <v>89301000</v>
      </c>
      <c r="C13361" s="1">
        <v>44429</v>
      </c>
      <c r="D13361" s="1">
        <v>44433</v>
      </c>
      <c r="E13361">
        <v>1</v>
      </c>
      <c r="F13361" t="s">
        <v>75</v>
      </c>
      <c r="G13361" t="str">
        <f>"14-M01-05"</f>
        <v>14-M01-05</v>
      </c>
      <c r="H13361">
        <v>0.54239999999999999</v>
      </c>
      <c r="I13361" t="s">
        <v>7569</v>
      </c>
      <c r="J13361" t="s">
        <v>59</v>
      </c>
      <c r="K13361" t="str">
        <f>"6F3"</f>
        <v>6F3</v>
      </c>
      <c r="L13361" t="s">
        <v>15</v>
      </c>
    </row>
    <row r="13362" spans="1:12" x14ac:dyDescent="0.25">
      <c r="A13362" t="str">
        <f>"9760095741"</f>
        <v>9760095741</v>
      </c>
      <c r="B13362" t="str">
        <f t="shared" si="564"/>
        <v>89301000</v>
      </c>
      <c r="C13362" s="1">
        <v>44493</v>
      </c>
      <c r="D13362" s="1">
        <v>44498</v>
      </c>
      <c r="E13362">
        <v>1</v>
      </c>
      <c r="F13362" t="s">
        <v>43</v>
      </c>
      <c r="G13362" t="str">
        <f>"06-I18-05"</f>
        <v>06-I18-05</v>
      </c>
      <c r="H13362">
        <v>0.85550000000000004</v>
      </c>
      <c r="I13362" t="s">
        <v>91</v>
      </c>
      <c r="J13362" t="s">
        <v>24</v>
      </c>
      <c r="K13362" t="str">
        <f>"6F3"</f>
        <v>6F3</v>
      </c>
      <c r="L13362" t="s">
        <v>15</v>
      </c>
    </row>
    <row r="13363" spans="1:12" x14ac:dyDescent="0.25">
      <c r="A13363" t="str">
        <f>"9760105850"</f>
        <v>9760105850</v>
      </c>
      <c r="B13363" t="str">
        <f t="shared" si="564"/>
        <v>89301000</v>
      </c>
      <c r="C13363" s="1">
        <v>44344</v>
      </c>
      <c r="D13363" s="1">
        <v>44354</v>
      </c>
      <c r="E13363">
        <v>1</v>
      </c>
      <c r="F13363" t="s">
        <v>148</v>
      </c>
      <c r="G13363" t="str">
        <f>"04-K11-01"</f>
        <v>04-K11-01</v>
      </c>
      <c r="H13363">
        <v>1.8947000000000001</v>
      </c>
      <c r="I13363" t="s">
        <v>8385</v>
      </c>
      <c r="J13363" t="s">
        <v>14</v>
      </c>
      <c r="K13363" t="str">
        <f>"2F5"</f>
        <v>2F5</v>
      </c>
      <c r="L13363" t="s">
        <v>15</v>
      </c>
    </row>
    <row r="13364" spans="1:12" x14ac:dyDescent="0.25">
      <c r="A13364" t="str">
        <f>"9760115717"</f>
        <v>9760115717</v>
      </c>
      <c r="B13364" t="str">
        <f t="shared" si="564"/>
        <v>89301000</v>
      </c>
      <c r="C13364" s="1">
        <v>44348</v>
      </c>
      <c r="D13364" s="1">
        <v>44353</v>
      </c>
      <c r="E13364">
        <v>1</v>
      </c>
      <c r="F13364" t="s">
        <v>75</v>
      </c>
      <c r="G13364" t="str">
        <f>"14-M01-05"</f>
        <v>14-M01-05</v>
      </c>
      <c r="H13364">
        <v>0.54239999999999999</v>
      </c>
      <c r="I13364" t="s">
        <v>76</v>
      </c>
      <c r="J13364" t="s">
        <v>59</v>
      </c>
      <c r="K13364" t="str">
        <f>"6F3"</f>
        <v>6F3</v>
      </c>
      <c r="L13364" t="s">
        <v>15</v>
      </c>
    </row>
    <row r="13365" spans="1:12" x14ac:dyDescent="0.25">
      <c r="A13365" t="str">
        <f>"9760144317"</f>
        <v>9760144317</v>
      </c>
      <c r="B13365" t="str">
        <f t="shared" si="564"/>
        <v>89301000</v>
      </c>
      <c r="C13365" s="1">
        <v>44496</v>
      </c>
      <c r="D13365" s="1">
        <v>44498</v>
      </c>
      <c r="E13365">
        <v>1</v>
      </c>
      <c r="F13365" t="s">
        <v>75</v>
      </c>
      <c r="G13365" t="str">
        <f>"14-M01-05"</f>
        <v>14-M01-05</v>
      </c>
      <c r="H13365">
        <v>0.54239999999999999</v>
      </c>
      <c r="I13365" t="s">
        <v>76</v>
      </c>
      <c r="J13365" t="s">
        <v>59</v>
      </c>
      <c r="K13365" t="str">
        <f>"6F3"</f>
        <v>6F3</v>
      </c>
      <c r="L13365" t="s">
        <v>15</v>
      </c>
    </row>
    <row r="13366" spans="1:12" x14ac:dyDescent="0.25">
      <c r="A13366" t="str">
        <f>"9762065709"</f>
        <v>9762065709</v>
      </c>
      <c r="B13366" t="str">
        <f t="shared" si="564"/>
        <v>89301000</v>
      </c>
      <c r="C13366" s="1">
        <v>44558</v>
      </c>
      <c r="D13366" s="1">
        <v>44559</v>
      </c>
      <c r="E13366">
        <v>1</v>
      </c>
      <c r="F13366" t="s">
        <v>7359</v>
      </c>
      <c r="G13366" t="str">
        <f>"14-I08-03"</f>
        <v>14-I08-03</v>
      </c>
      <c r="H13366">
        <v>0.21099999999999999</v>
      </c>
      <c r="J13366" t="s">
        <v>14</v>
      </c>
      <c r="K13366" t="str">
        <f>"6F3"</f>
        <v>6F3</v>
      </c>
      <c r="L13366" t="s">
        <v>15</v>
      </c>
    </row>
    <row r="13367" spans="1:12" x14ac:dyDescent="0.25">
      <c r="A13367" t="str">
        <f>"9762086081"</f>
        <v>9762086081</v>
      </c>
      <c r="B13367" t="str">
        <f t="shared" si="564"/>
        <v>89301000</v>
      </c>
      <c r="C13367" s="1">
        <v>44240</v>
      </c>
      <c r="D13367" s="1">
        <v>44242</v>
      </c>
      <c r="E13367">
        <v>1</v>
      </c>
      <c r="F13367" t="s">
        <v>132</v>
      </c>
      <c r="G13367" t="str">
        <f>"03-K03-02"</f>
        <v>03-K03-02</v>
      </c>
      <c r="H13367">
        <v>0.49249999999999999</v>
      </c>
      <c r="I13367" t="s">
        <v>168</v>
      </c>
      <c r="J13367" t="s">
        <v>14</v>
      </c>
      <c r="K13367" t="str">
        <f>"6F5"</f>
        <v>6F5</v>
      </c>
      <c r="L13367" t="s">
        <v>15</v>
      </c>
    </row>
    <row r="13368" spans="1:12" x14ac:dyDescent="0.25">
      <c r="A13368" t="str">
        <f>"9762135735"</f>
        <v>9762135735</v>
      </c>
      <c r="B13368" t="str">
        <f t="shared" si="564"/>
        <v>89301000</v>
      </c>
      <c r="C13368" s="1">
        <v>44551</v>
      </c>
      <c r="D13368" s="1">
        <v>44551</v>
      </c>
      <c r="E13368">
        <v>6</v>
      </c>
      <c r="F13368" t="s">
        <v>187</v>
      </c>
      <c r="G13368" t="str">
        <f>"14-I08-03"</f>
        <v>14-I08-03</v>
      </c>
      <c r="H13368">
        <v>0.1065</v>
      </c>
      <c r="J13368" t="s">
        <v>14</v>
      </c>
      <c r="K13368" t="str">
        <f>"6F3"</f>
        <v>6F3</v>
      </c>
      <c r="L13368" t="s">
        <v>15</v>
      </c>
    </row>
    <row r="13369" spans="1:12" x14ac:dyDescent="0.25">
      <c r="A13369" t="str">
        <f>"9762135735"</f>
        <v>9762135735</v>
      </c>
      <c r="B13369" t="str">
        <f t="shared" si="564"/>
        <v>89301000</v>
      </c>
      <c r="C13369" s="1">
        <v>44217</v>
      </c>
      <c r="D13369" s="1">
        <v>44220</v>
      </c>
      <c r="E13369">
        <v>1</v>
      </c>
      <c r="F13369" t="s">
        <v>112</v>
      </c>
      <c r="G13369" t="str">
        <f>"14-M01-05"</f>
        <v>14-M01-05</v>
      </c>
      <c r="H13369">
        <v>0.54239999999999999</v>
      </c>
      <c r="I13369" t="s">
        <v>7704</v>
      </c>
      <c r="J13369" t="s">
        <v>59</v>
      </c>
      <c r="K13369" t="str">
        <f>"6F3"</f>
        <v>6F3</v>
      </c>
      <c r="L13369" t="s">
        <v>15</v>
      </c>
    </row>
    <row r="13370" spans="1:12" x14ac:dyDescent="0.25">
      <c r="A13370" t="str">
        <f>"9762195718"</f>
        <v>9762195718</v>
      </c>
      <c r="B13370" t="str">
        <f t="shared" si="564"/>
        <v>89301000</v>
      </c>
      <c r="C13370" s="1">
        <v>44470</v>
      </c>
      <c r="D13370" s="1">
        <v>44474</v>
      </c>
      <c r="E13370">
        <v>1</v>
      </c>
      <c r="F13370" t="s">
        <v>75</v>
      </c>
      <c r="G13370" t="str">
        <f>"14-M01-05"</f>
        <v>14-M01-05</v>
      </c>
      <c r="H13370">
        <v>0.54239999999999999</v>
      </c>
      <c r="I13370" t="s">
        <v>76</v>
      </c>
      <c r="J13370" t="s">
        <v>59</v>
      </c>
      <c r="K13370" t="str">
        <f>"6F3"</f>
        <v>6F3</v>
      </c>
      <c r="L13370" t="s">
        <v>15</v>
      </c>
    </row>
    <row r="13371" spans="1:12" x14ac:dyDescent="0.25">
      <c r="A13371" t="str">
        <f>"9762244393"</f>
        <v>9762244393</v>
      </c>
      <c r="B13371" t="str">
        <f t="shared" si="564"/>
        <v>89301000</v>
      </c>
      <c r="C13371" s="1">
        <v>44294</v>
      </c>
      <c r="D13371" s="1">
        <v>44298</v>
      </c>
      <c r="E13371">
        <v>1</v>
      </c>
      <c r="F13371" t="s">
        <v>7284</v>
      </c>
      <c r="G13371" t="str">
        <f>"13-K06-00"</f>
        <v>13-K06-00</v>
      </c>
      <c r="H13371">
        <v>0.51400000000000001</v>
      </c>
      <c r="J13371" t="s">
        <v>14</v>
      </c>
      <c r="K13371" t="str">
        <f>"6F3"</f>
        <v>6F3</v>
      </c>
      <c r="L13371" t="s">
        <v>15</v>
      </c>
    </row>
    <row r="13372" spans="1:12" x14ac:dyDescent="0.25">
      <c r="A13372" t="str">
        <f>"9801046233"</f>
        <v>9801046233</v>
      </c>
      <c r="B13372" t="str">
        <f t="shared" si="564"/>
        <v>89301000</v>
      </c>
      <c r="C13372" s="1">
        <v>44389</v>
      </c>
      <c r="D13372" s="1">
        <v>44427</v>
      </c>
      <c r="E13372">
        <v>1</v>
      </c>
      <c r="F13372" t="s">
        <v>77</v>
      </c>
      <c r="G13372" t="str">
        <f>"19-K07-02"</f>
        <v>19-K07-02</v>
      </c>
      <c r="H13372">
        <v>2.8759999999999999</v>
      </c>
      <c r="I13372" t="s">
        <v>8386</v>
      </c>
      <c r="J13372" t="s">
        <v>27</v>
      </c>
      <c r="K13372" t="str">
        <f>"3F5"</f>
        <v>3F5</v>
      </c>
      <c r="L13372" t="s">
        <v>15</v>
      </c>
    </row>
    <row r="13373" spans="1:12" x14ac:dyDescent="0.25">
      <c r="A13373" t="str">
        <f>"9802016092"</f>
        <v>9802016092</v>
      </c>
      <c r="B13373" t="str">
        <f t="shared" si="564"/>
        <v>89301000</v>
      </c>
      <c r="C13373" s="1">
        <v>44431</v>
      </c>
      <c r="D13373" s="1">
        <v>44435</v>
      </c>
      <c r="E13373">
        <v>1</v>
      </c>
      <c r="F13373" t="s">
        <v>157</v>
      </c>
      <c r="G13373" t="str">
        <f>"03-I11-03"</f>
        <v>03-I11-03</v>
      </c>
      <c r="H13373">
        <v>1.0253000000000001</v>
      </c>
      <c r="I13373" t="s">
        <v>8387</v>
      </c>
      <c r="J13373" t="s">
        <v>17</v>
      </c>
      <c r="K13373" t="str">
        <f>"6F5"</f>
        <v>6F5</v>
      </c>
      <c r="L13373" t="s">
        <v>15</v>
      </c>
    </row>
    <row r="13374" spans="1:12" x14ac:dyDescent="0.25">
      <c r="A13374" t="str">
        <f>"9802215720"</f>
        <v>9802215720</v>
      </c>
      <c r="B13374" t="str">
        <f t="shared" si="564"/>
        <v>89301000</v>
      </c>
      <c r="C13374" s="1">
        <v>44448</v>
      </c>
      <c r="D13374" s="1">
        <v>44450</v>
      </c>
      <c r="E13374">
        <v>1</v>
      </c>
      <c r="F13374" t="s">
        <v>316</v>
      </c>
      <c r="G13374" t="str">
        <f>"01-I08-04"</f>
        <v>01-I08-04</v>
      </c>
      <c r="H13374">
        <v>1.6155999999999999</v>
      </c>
      <c r="I13374" t="s">
        <v>6897</v>
      </c>
      <c r="J13374" t="s">
        <v>17</v>
      </c>
      <c r="K13374" t="str">
        <f>"5F6"</f>
        <v>5F6</v>
      </c>
      <c r="L13374" t="s">
        <v>15</v>
      </c>
    </row>
    <row r="13375" spans="1:12" x14ac:dyDescent="0.25">
      <c r="A13375" t="str">
        <f>"9803025727"</f>
        <v>9803025727</v>
      </c>
      <c r="B13375" t="str">
        <f t="shared" si="564"/>
        <v>89301000</v>
      </c>
      <c r="C13375" s="1">
        <v>44222</v>
      </c>
      <c r="D13375" s="1">
        <v>44223</v>
      </c>
      <c r="E13375">
        <v>1</v>
      </c>
      <c r="F13375" t="s">
        <v>1256</v>
      </c>
      <c r="G13375" t="str">
        <f>"01-K03-08"</f>
        <v>01-K03-08</v>
      </c>
      <c r="H13375">
        <v>0.34789999999999999</v>
      </c>
      <c r="J13375" t="s">
        <v>14</v>
      </c>
      <c r="K13375" t="str">
        <f>"2F9"</f>
        <v>2F9</v>
      </c>
      <c r="L13375" t="s">
        <v>15</v>
      </c>
    </row>
    <row r="13376" spans="1:12" x14ac:dyDescent="0.25">
      <c r="A13376" t="str">
        <f>"9803025727"</f>
        <v>9803025727</v>
      </c>
      <c r="B13376" t="str">
        <f t="shared" si="564"/>
        <v>89301000</v>
      </c>
      <c r="C13376" s="1">
        <v>44209</v>
      </c>
      <c r="D13376" s="1">
        <v>44209</v>
      </c>
      <c r="E13376">
        <v>6</v>
      </c>
      <c r="F13376" t="s">
        <v>97</v>
      </c>
      <c r="G13376" t="str">
        <f>"01-K03-08"</f>
        <v>01-K03-08</v>
      </c>
      <c r="H13376">
        <v>0.17469999999999999</v>
      </c>
      <c r="J13376" t="s">
        <v>14</v>
      </c>
      <c r="K13376" t="str">
        <f>"2F9"</f>
        <v>2F9</v>
      </c>
      <c r="L13376" t="s">
        <v>15</v>
      </c>
    </row>
    <row r="13377" spans="1:12" x14ac:dyDescent="0.25">
      <c r="A13377" t="str">
        <f>"9803274855"</f>
        <v>9803274855</v>
      </c>
      <c r="B13377" t="str">
        <f t="shared" si="564"/>
        <v>89301000</v>
      </c>
      <c r="C13377" s="1">
        <v>44267</v>
      </c>
      <c r="D13377" s="1">
        <v>44268</v>
      </c>
      <c r="E13377">
        <v>1</v>
      </c>
      <c r="F13377" t="s">
        <v>523</v>
      </c>
      <c r="G13377" t="str">
        <f>"12-I10-02"</f>
        <v>12-I10-02</v>
      </c>
      <c r="H13377">
        <v>0.57379999999999998</v>
      </c>
      <c r="I13377" t="s">
        <v>168</v>
      </c>
      <c r="J13377" t="s">
        <v>24</v>
      </c>
      <c r="K13377" t="str">
        <f>"7F6"</f>
        <v>7F6</v>
      </c>
      <c r="L13377" t="s">
        <v>15</v>
      </c>
    </row>
    <row r="13378" spans="1:12" x14ac:dyDescent="0.25">
      <c r="A13378" t="str">
        <f>"9803275295"</f>
        <v>9803275295</v>
      </c>
      <c r="B13378" t="str">
        <f t="shared" si="564"/>
        <v>89301000</v>
      </c>
      <c r="C13378" s="1">
        <v>44200</v>
      </c>
      <c r="D13378" s="1">
        <v>44208</v>
      </c>
      <c r="E13378">
        <v>5</v>
      </c>
      <c r="F13378" t="s">
        <v>962</v>
      </c>
      <c r="G13378" t="str">
        <f>"04-M01-05"</f>
        <v>04-M01-05</v>
      </c>
      <c r="H13378">
        <v>6.2100999999999997</v>
      </c>
      <c r="I13378" t="s">
        <v>8388</v>
      </c>
      <c r="J13378" t="s">
        <v>14</v>
      </c>
      <c r="K13378" t="str">
        <f>"7T8"</f>
        <v>7T8</v>
      </c>
      <c r="L13378" t="s">
        <v>15</v>
      </c>
    </row>
    <row r="13379" spans="1:12" x14ac:dyDescent="0.25">
      <c r="A13379" t="str">
        <f>"9804304851"</f>
        <v>9804304851</v>
      </c>
      <c r="B13379" t="str">
        <f t="shared" si="564"/>
        <v>89301000</v>
      </c>
      <c r="C13379" s="1">
        <v>44226</v>
      </c>
      <c r="D13379" s="1">
        <v>44256</v>
      </c>
      <c r="E13379">
        <v>4</v>
      </c>
      <c r="F13379" t="s">
        <v>7012</v>
      </c>
      <c r="G13379" t="str">
        <f>"19-M01-00"</f>
        <v>19-M01-00</v>
      </c>
      <c r="H13379">
        <v>2.39</v>
      </c>
      <c r="I13379" t="s">
        <v>8389</v>
      </c>
      <c r="J13379" t="s">
        <v>27</v>
      </c>
      <c r="K13379" t="str">
        <f>"3F5"</f>
        <v>3F5</v>
      </c>
      <c r="L13379" t="s">
        <v>15</v>
      </c>
    </row>
    <row r="13380" spans="1:12" x14ac:dyDescent="0.25">
      <c r="A13380" t="str">
        <f>"9805025714"</f>
        <v>9805025714</v>
      </c>
      <c r="B13380" t="str">
        <f t="shared" si="564"/>
        <v>89301000</v>
      </c>
      <c r="C13380" s="1">
        <v>44501</v>
      </c>
      <c r="D13380" s="1">
        <v>44502</v>
      </c>
      <c r="E13380">
        <v>1</v>
      </c>
      <c r="F13380" t="s">
        <v>173</v>
      </c>
      <c r="G13380" t="str">
        <f>"08-I32-02"</f>
        <v>08-I32-02</v>
      </c>
      <c r="H13380">
        <v>0.4143</v>
      </c>
      <c r="J13380" t="s">
        <v>14</v>
      </c>
      <c r="K13380" t="str">
        <f>"5F3"</f>
        <v>5F3</v>
      </c>
      <c r="L13380" t="s">
        <v>15</v>
      </c>
    </row>
    <row r="13381" spans="1:12" x14ac:dyDescent="0.25">
      <c r="A13381" t="str">
        <f>"9805285743"</f>
        <v>9805285743</v>
      </c>
      <c r="B13381" t="str">
        <f t="shared" si="564"/>
        <v>89301000</v>
      </c>
      <c r="C13381" s="1">
        <v>44411</v>
      </c>
      <c r="D13381" s="1">
        <v>44413</v>
      </c>
      <c r="E13381">
        <v>1</v>
      </c>
      <c r="F13381" t="s">
        <v>8057</v>
      </c>
      <c r="G13381" t="str">
        <f>"08-I17-02"</f>
        <v>08-I17-02</v>
      </c>
      <c r="H13381">
        <v>0.98309999999999997</v>
      </c>
      <c r="I13381" t="s">
        <v>572</v>
      </c>
      <c r="J13381" t="s">
        <v>14</v>
      </c>
      <c r="K13381" t="str">
        <f>"5F3"</f>
        <v>5F3</v>
      </c>
      <c r="L13381" t="s">
        <v>15</v>
      </c>
    </row>
    <row r="13382" spans="1:12" x14ac:dyDescent="0.25">
      <c r="A13382" t="str">
        <f>"9805294532"</f>
        <v>9805294532</v>
      </c>
      <c r="B13382" t="str">
        <f t="shared" si="564"/>
        <v>89301000</v>
      </c>
      <c r="C13382" s="1">
        <v>44440</v>
      </c>
      <c r="D13382" s="1">
        <v>44445</v>
      </c>
      <c r="E13382">
        <v>1</v>
      </c>
      <c r="F13382" t="s">
        <v>2261</v>
      </c>
      <c r="G13382" t="str">
        <f>"02-K01-02"</f>
        <v>02-K01-02</v>
      </c>
      <c r="H13382">
        <v>0.77749999999999997</v>
      </c>
      <c r="I13382" t="s">
        <v>403</v>
      </c>
      <c r="J13382" t="s">
        <v>14</v>
      </c>
      <c r="K13382" t="str">
        <f>"7F5"</f>
        <v>7F5</v>
      </c>
      <c r="L13382" t="s">
        <v>15</v>
      </c>
    </row>
    <row r="13383" spans="1:12" x14ac:dyDescent="0.25">
      <c r="A13383" t="str">
        <f>"9807056226"</f>
        <v>9807056226</v>
      </c>
      <c r="B13383" t="str">
        <f t="shared" si="564"/>
        <v>89301000</v>
      </c>
      <c r="C13383" s="1">
        <v>44350</v>
      </c>
      <c r="D13383" s="1">
        <v>44356</v>
      </c>
      <c r="E13383">
        <v>1</v>
      </c>
      <c r="F13383" t="s">
        <v>6462</v>
      </c>
      <c r="G13383" t="str">
        <f>"05-M09-00"</f>
        <v>05-M09-00</v>
      </c>
      <c r="H13383">
        <v>1.2437</v>
      </c>
      <c r="J13383" t="s">
        <v>14</v>
      </c>
      <c r="K13383" t="str">
        <f>"1F1"</f>
        <v>1F1</v>
      </c>
      <c r="L13383" t="s">
        <v>15</v>
      </c>
    </row>
    <row r="13384" spans="1:12" x14ac:dyDescent="0.25">
      <c r="A13384" t="str">
        <f>"9807056226"</f>
        <v>9807056226</v>
      </c>
      <c r="B13384" t="str">
        <f t="shared" si="564"/>
        <v>89301000</v>
      </c>
      <c r="C13384" s="1">
        <v>44379</v>
      </c>
      <c r="D13384" s="1">
        <v>44380</v>
      </c>
      <c r="E13384">
        <v>1</v>
      </c>
      <c r="F13384" t="s">
        <v>45</v>
      </c>
      <c r="G13384" t="str">
        <f>"05-D01-06"</f>
        <v>05-D01-06</v>
      </c>
      <c r="H13384">
        <v>0.7611</v>
      </c>
      <c r="J13384" t="s">
        <v>14</v>
      </c>
      <c r="K13384" t="str">
        <f>"1F7"</f>
        <v>1F7</v>
      </c>
      <c r="L13384" t="s">
        <v>15</v>
      </c>
    </row>
    <row r="13385" spans="1:12" x14ac:dyDescent="0.25">
      <c r="A13385" t="str">
        <f>"9807104593"</f>
        <v>9807104593</v>
      </c>
      <c r="B13385" t="str">
        <f t="shared" si="564"/>
        <v>89301000</v>
      </c>
      <c r="C13385" s="1">
        <v>44445</v>
      </c>
      <c r="D13385" s="1">
        <v>44448</v>
      </c>
      <c r="E13385">
        <v>1</v>
      </c>
      <c r="F13385" t="s">
        <v>340</v>
      </c>
      <c r="G13385" t="str">
        <f>"08-M03-04"</f>
        <v>08-M03-04</v>
      </c>
      <c r="H13385">
        <v>0.8609</v>
      </c>
      <c r="J13385" t="s">
        <v>14</v>
      </c>
      <c r="K13385" t="str">
        <f>"6F6"</f>
        <v>6F6</v>
      </c>
      <c r="L13385" t="s">
        <v>15</v>
      </c>
    </row>
    <row r="13386" spans="1:12" x14ac:dyDescent="0.25">
      <c r="A13386" t="str">
        <f>"9807125702"</f>
        <v>9807125702</v>
      </c>
      <c r="B13386" t="str">
        <f t="shared" si="564"/>
        <v>89301000</v>
      </c>
      <c r="C13386" s="1">
        <v>44327</v>
      </c>
      <c r="D13386" s="1">
        <v>44329</v>
      </c>
      <c r="E13386">
        <v>1</v>
      </c>
      <c r="F13386" t="s">
        <v>366</v>
      </c>
      <c r="G13386" t="str">
        <f>"08-I24-01"</f>
        <v>08-I24-01</v>
      </c>
      <c r="H13386">
        <v>1.0648</v>
      </c>
      <c r="I13386" t="s">
        <v>8390</v>
      </c>
      <c r="J13386" t="s">
        <v>14</v>
      </c>
      <c r="K13386" t="str">
        <f>"5F3"</f>
        <v>5F3</v>
      </c>
      <c r="L13386" t="s">
        <v>15</v>
      </c>
    </row>
    <row r="13387" spans="1:12" x14ac:dyDescent="0.25">
      <c r="A13387" t="str">
        <f>"9807145766"</f>
        <v>9807145766</v>
      </c>
      <c r="B13387" t="str">
        <f t="shared" si="564"/>
        <v>89301000</v>
      </c>
      <c r="C13387" s="1">
        <v>44307</v>
      </c>
      <c r="D13387" s="1">
        <v>44321</v>
      </c>
      <c r="E13387">
        <v>1</v>
      </c>
      <c r="F13387" t="s">
        <v>78</v>
      </c>
      <c r="G13387" t="str">
        <f>"19-K04-02"</f>
        <v>19-K04-02</v>
      </c>
      <c r="H13387">
        <v>1.4597</v>
      </c>
      <c r="I13387" t="s">
        <v>8391</v>
      </c>
      <c r="J13387" t="s">
        <v>27</v>
      </c>
      <c r="K13387" t="str">
        <f>"3F5"</f>
        <v>3F5</v>
      </c>
      <c r="L13387" t="s">
        <v>15</v>
      </c>
    </row>
    <row r="13388" spans="1:12" x14ac:dyDescent="0.25">
      <c r="A13388" t="str">
        <f>"9807145766"</f>
        <v>9807145766</v>
      </c>
      <c r="B13388" t="str">
        <f t="shared" si="564"/>
        <v>89301000</v>
      </c>
      <c r="C13388" s="1">
        <v>44286</v>
      </c>
      <c r="D13388" s="1">
        <v>44292</v>
      </c>
      <c r="E13388">
        <v>1</v>
      </c>
      <c r="F13388" t="s">
        <v>7986</v>
      </c>
      <c r="G13388" t="str">
        <f>"19-K03-03"</f>
        <v>19-K03-03</v>
      </c>
      <c r="H13388">
        <v>0.93169999999999997</v>
      </c>
      <c r="I13388" t="s">
        <v>8392</v>
      </c>
      <c r="J13388" t="s">
        <v>27</v>
      </c>
      <c r="K13388" t="str">
        <f>"3F5"</f>
        <v>3F5</v>
      </c>
      <c r="L13388" t="s">
        <v>15</v>
      </c>
    </row>
    <row r="13389" spans="1:12" x14ac:dyDescent="0.25">
      <c r="A13389" t="str">
        <f>"9807145766"</f>
        <v>9807145766</v>
      </c>
      <c r="B13389" t="str">
        <f t="shared" si="564"/>
        <v>89301000</v>
      </c>
      <c r="C13389" s="1">
        <v>44329</v>
      </c>
      <c r="D13389" s="1">
        <v>44336</v>
      </c>
      <c r="E13389">
        <v>4</v>
      </c>
      <c r="F13389" t="s">
        <v>78</v>
      </c>
      <c r="G13389" t="str">
        <f>"19-K03-03"</f>
        <v>19-K03-03</v>
      </c>
      <c r="H13389">
        <v>0.93169999999999997</v>
      </c>
      <c r="I13389" t="s">
        <v>8391</v>
      </c>
      <c r="J13389" t="s">
        <v>27</v>
      </c>
      <c r="K13389" t="str">
        <f>"3F5"</f>
        <v>3F5</v>
      </c>
      <c r="L13389" t="s">
        <v>15</v>
      </c>
    </row>
    <row r="13390" spans="1:12" x14ac:dyDescent="0.25">
      <c r="A13390" t="str">
        <f>"9808115746"</f>
        <v>9808115746</v>
      </c>
      <c r="B13390" t="str">
        <f t="shared" si="564"/>
        <v>89301000</v>
      </c>
      <c r="C13390" s="1">
        <v>44207</v>
      </c>
      <c r="D13390" s="1">
        <v>44221</v>
      </c>
      <c r="E13390">
        <v>1</v>
      </c>
      <c r="F13390" t="s">
        <v>7240</v>
      </c>
      <c r="G13390" t="str">
        <f>"18-K02-02"</f>
        <v>18-K02-02</v>
      </c>
      <c r="H13390">
        <v>1.2563</v>
      </c>
      <c r="I13390" t="s">
        <v>6555</v>
      </c>
      <c r="J13390" t="s">
        <v>14</v>
      </c>
      <c r="K13390" t="str">
        <f>"4F4"</f>
        <v>4F4</v>
      </c>
      <c r="L13390" t="s">
        <v>15</v>
      </c>
    </row>
    <row r="13391" spans="1:12" x14ac:dyDescent="0.25">
      <c r="A13391" t="str">
        <f>"9809044872"</f>
        <v>9809044872</v>
      </c>
      <c r="B13391" t="str">
        <f t="shared" si="564"/>
        <v>89301000</v>
      </c>
      <c r="C13391" s="1">
        <v>44299</v>
      </c>
      <c r="D13391" s="1">
        <v>44316</v>
      </c>
      <c r="E13391">
        <v>1</v>
      </c>
      <c r="F13391" t="s">
        <v>109</v>
      </c>
      <c r="G13391" t="str">
        <f>"24-M07-01"</f>
        <v>24-M07-01</v>
      </c>
      <c r="H13391">
        <v>1.7399</v>
      </c>
      <c r="I13391" t="s">
        <v>8393</v>
      </c>
      <c r="J13391" t="s">
        <v>14</v>
      </c>
      <c r="K13391" t="str">
        <f>"2F1"</f>
        <v>2F1</v>
      </c>
      <c r="L13391" t="s">
        <v>15</v>
      </c>
    </row>
    <row r="13392" spans="1:12" x14ac:dyDescent="0.25">
      <c r="A13392" t="str">
        <f>"9809165718"</f>
        <v>9809165718</v>
      </c>
      <c r="B13392" t="str">
        <f t="shared" si="564"/>
        <v>89301000</v>
      </c>
      <c r="C13392" s="1">
        <v>44215</v>
      </c>
      <c r="D13392" s="1">
        <v>44217</v>
      </c>
      <c r="E13392">
        <v>1</v>
      </c>
      <c r="F13392" t="s">
        <v>460</v>
      </c>
      <c r="G13392" t="str">
        <f>"03-I23-00"</f>
        <v>03-I23-00</v>
      </c>
      <c r="H13392">
        <v>0.47639999999999999</v>
      </c>
      <c r="I13392" t="s">
        <v>8394</v>
      </c>
      <c r="J13392" t="s">
        <v>14</v>
      </c>
      <c r="K13392" t="str">
        <f>"6F5"</f>
        <v>6F5</v>
      </c>
      <c r="L13392" t="s">
        <v>15</v>
      </c>
    </row>
    <row r="13393" spans="1:12" x14ac:dyDescent="0.25">
      <c r="A13393" t="str">
        <f>"9809296068"</f>
        <v>9809296068</v>
      </c>
      <c r="B13393" t="str">
        <f t="shared" si="564"/>
        <v>89301000</v>
      </c>
      <c r="C13393" s="1">
        <v>44256</v>
      </c>
      <c r="D13393" s="1">
        <v>44257</v>
      </c>
      <c r="E13393">
        <v>1</v>
      </c>
      <c r="F13393" t="s">
        <v>8395</v>
      </c>
      <c r="G13393" t="str">
        <f>"01-K18-03"</f>
        <v>01-K18-03</v>
      </c>
      <c r="H13393">
        <v>0.76180000000000003</v>
      </c>
      <c r="I13393" t="s">
        <v>8396</v>
      </c>
      <c r="J13393" t="s">
        <v>14</v>
      </c>
      <c r="K13393" t="str">
        <f>"5F1"</f>
        <v>5F1</v>
      </c>
      <c r="L13393" t="s">
        <v>15</v>
      </c>
    </row>
    <row r="13394" spans="1:12" x14ac:dyDescent="0.25">
      <c r="A13394" t="str">
        <f>"9810094019"</f>
        <v>9810094019</v>
      </c>
      <c r="B13394" t="str">
        <f t="shared" ref="B13394:B13457" si="565">"89301000"</f>
        <v>89301000</v>
      </c>
      <c r="C13394" s="1">
        <v>44438</v>
      </c>
      <c r="D13394" s="1">
        <v>44442</v>
      </c>
      <c r="E13394">
        <v>5</v>
      </c>
      <c r="F13394" t="s">
        <v>866</v>
      </c>
      <c r="G13394" t="str">
        <f>"25-I02-01"</f>
        <v>25-I02-01</v>
      </c>
      <c r="H13394">
        <v>8.0402000000000005</v>
      </c>
      <c r="I13394" t="s">
        <v>8397</v>
      </c>
      <c r="J13394" t="s">
        <v>17</v>
      </c>
      <c r="K13394" t="str">
        <f>"5F3"</f>
        <v>5F3</v>
      </c>
      <c r="L13394" t="s">
        <v>15</v>
      </c>
    </row>
    <row r="13395" spans="1:12" x14ac:dyDescent="0.25">
      <c r="A13395" t="str">
        <f>"9812086152"</f>
        <v>9812086152</v>
      </c>
      <c r="B13395" t="str">
        <f t="shared" si="565"/>
        <v>89301000</v>
      </c>
      <c r="C13395" s="1">
        <v>44272</v>
      </c>
      <c r="D13395" s="1">
        <v>44277</v>
      </c>
      <c r="E13395">
        <v>1</v>
      </c>
      <c r="F13395" t="s">
        <v>43</v>
      </c>
      <c r="G13395" t="str">
        <f>"06-I18-05"</f>
        <v>06-I18-05</v>
      </c>
      <c r="H13395">
        <v>0.85550000000000004</v>
      </c>
      <c r="J13395" t="s">
        <v>24</v>
      </c>
      <c r="K13395" t="str">
        <f>"5F1"</f>
        <v>5F1</v>
      </c>
      <c r="L13395" t="s">
        <v>15</v>
      </c>
    </row>
    <row r="13396" spans="1:12" x14ac:dyDescent="0.25">
      <c r="A13396" t="str">
        <f>"9812105083"</f>
        <v>9812105083</v>
      </c>
      <c r="B13396" t="str">
        <f t="shared" si="565"/>
        <v>89301000</v>
      </c>
      <c r="C13396" s="1">
        <v>44244</v>
      </c>
      <c r="D13396" s="1">
        <v>44245</v>
      </c>
      <c r="E13396">
        <v>1</v>
      </c>
      <c r="F13396" t="s">
        <v>215</v>
      </c>
      <c r="G13396" t="str">
        <f>"08-I15-03"</f>
        <v>08-I15-03</v>
      </c>
      <c r="H13396">
        <v>1.1838</v>
      </c>
      <c r="I13396" t="s">
        <v>295</v>
      </c>
      <c r="J13396" t="s">
        <v>17</v>
      </c>
      <c r="K13396" t="str">
        <f>"5F3"</f>
        <v>5F3</v>
      </c>
      <c r="L13396" t="s">
        <v>15</v>
      </c>
    </row>
    <row r="13397" spans="1:12" x14ac:dyDescent="0.25">
      <c r="A13397" t="str">
        <f>"9812174020"</f>
        <v>9812174020</v>
      </c>
      <c r="B13397" t="str">
        <f t="shared" si="565"/>
        <v>89301000</v>
      </c>
      <c r="C13397" s="1">
        <v>44553</v>
      </c>
      <c r="D13397" s="1">
        <v>44554</v>
      </c>
      <c r="E13397">
        <v>1</v>
      </c>
      <c r="F13397" t="s">
        <v>314</v>
      </c>
      <c r="G13397" t="str">
        <f>"03-K12-01"</f>
        <v>03-K12-01</v>
      </c>
      <c r="H13397">
        <v>0.376</v>
      </c>
      <c r="I13397" t="s">
        <v>629</v>
      </c>
      <c r="J13397" t="s">
        <v>14</v>
      </c>
      <c r="K13397" t="str">
        <f>"6F5"</f>
        <v>6F5</v>
      </c>
      <c r="L13397" t="s">
        <v>15</v>
      </c>
    </row>
    <row r="13398" spans="1:12" x14ac:dyDescent="0.25">
      <c r="A13398" t="str">
        <f>"9851075718"</f>
        <v>9851075718</v>
      </c>
      <c r="B13398" t="str">
        <f t="shared" si="565"/>
        <v>89301000</v>
      </c>
      <c r="C13398" s="1">
        <v>44428</v>
      </c>
      <c r="D13398" s="1">
        <v>44429</v>
      </c>
      <c r="E13398">
        <v>1</v>
      </c>
      <c r="F13398" t="s">
        <v>7060</v>
      </c>
      <c r="G13398" t="str">
        <f>"20-K01-05"</f>
        <v>20-K01-05</v>
      </c>
      <c r="H13398">
        <v>0.32890000000000003</v>
      </c>
      <c r="I13398" t="s">
        <v>2977</v>
      </c>
      <c r="J13398" t="s">
        <v>14</v>
      </c>
      <c r="K13398" t="str">
        <f>"1F1"</f>
        <v>1F1</v>
      </c>
      <c r="L13398" t="s">
        <v>15</v>
      </c>
    </row>
    <row r="13399" spans="1:12" x14ac:dyDescent="0.25">
      <c r="A13399" t="str">
        <f>"9851104846"</f>
        <v>9851104846</v>
      </c>
      <c r="B13399" t="str">
        <f t="shared" si="565"/>
        <v>89301000</v>
      </c>
      <c r="C13399" s="1">
        <v>44484</v>
      </c>
      <c r="D13399" s="1">
        <v>44485</v>
      </c>
      <c r="E13399">
        <v>1</v>
      </c>
      <c r="F13399" t="s">
        <v>336</v>
      </c>
      <c r="G13399" t="str">
        <f>"14-K02-00"</f>
        <v>14-K02-00</v>
      </c>
      <c r="H13399">
        <v>0.1754</v>
      </c>
      <c r="J13399" t="s">
        <v>14</v>
      </c>
      <c r="K13399" t="str">
        <f>"6F3"</f>
        <v>6F3</v>
      </c>
      <c r="L13399" t="s">
        <v>15</v>
      </c>
    </row>
    <row r="13400" spans="1:12" x14ac:dyDescent="0.25">
      <c r="A13400" t="str">
        <f>"9851145700"</f>
        <v>9851145700</v>
      </c>
      <c r="B13400" t="str">
        <f t="shared" si="565"/>
        <v>89301000</v>
      </c>
      <c r="C13400" s="1">
        <v>44435</v>
      </c>
      <c r="D13400" s="1">
        <v>44438</v>
      </c>
      <c r="E13400">
        <v>1</v>
      </c>
      <c r="F13400" t="s">
        <v>75</v>
      </c>
      <c r="G13400" t="str">
        <f>"14-M01-05"</f>
        <v>14-M01-05</v>
      </c>
      <c r="H13400">
        <v>0.54239999999999999</v>
      </c>
      <c r="I13400" t="s">
        <v>256</v>
      </c>
      <c r="J13400" t="s">
        <v>59</v>
      </c>
      <c r="K13400" t="str">
        <f>"6F3"</f>
        <v>6F3</v>
      </c>
      <c r="L13400" t="s">
        <v>15</v>
      </c>
    </row>
    <row r="13401" spans="1:12" x14ac:dyDescent="0.25">
      <c r="A13401" t="str">
        <f>"9851216155"</f>
        <v>9851216155</v>
      </c>
      <c r="B13401" t="str">
        <f t="shared" si="565"/>
        <v>89301000</v>
      </c>
      <c r="C13401" s="1">
        <v>44368</v>
      </c>
      <c r="D13401" s="1">
        <v>44369</v>
      </c>
      <c r="E13401">
        <v>1</v>
      </c>
      <c r="F13401" t="s">
        <v>351</v>
      </c>
      <c r="G13401" t="str">
        <f>"10-K04-04"</f>
        <v>10-K04-04</v>
      </c>
      <c r="H13401">
        <v>0.56330000000000002</v>
      </c>
      <c r="I13401" t="s">
        <v>8398</v>
      </c>
      <c r="J13401" t="s">
        <v>14</v>
      </c>
      <c r="K13401" t="str">
        <f>"1F1"</f>
        <v>1F1</v>
      </c>
      <c r="L13401" t="s">
        <v>15</v>
      </c>
    </row>
    <row r="13402" spans="1:12" x14ac:dyDescent="0.25">
      <c r="A13402" t="str">
        <f>"9851225736"</f>
        <v>9851225736</v>
      </c>
      <c r="B13402" t="str">
        <f t="shared" si="565"/>
        <v>89301000</v>
      </c>
      <c r="C13402" s="1">
        <v>44497</v>
      </c>
      <c r="D13402" s="1">
        <v>44500</v>
      </c>
      <c r="E13402">
        <v>1</v>
      </c>
      <c r="F13402" t="s">
        <v>75</v>
      </c>
      <c r="G13402" t="str">
        <f>"14-M01-05"</f>
        <v>14-M01-05</v>
      </c>
      <c r="H13402">
        <v>0.54239999999999999</v>
      </c>
      <c r="I13402" t="s">
        <v>7532</v>
      </c>
      <c r="J13402" t="s">
        <v>59</v>
      </c>
      <c r="K13402" t="str">
        <f>"6F3"</f>
        <v>6F3</v>
      </c>
      <c r="L13402" t="s">
        <v>15</v>
      </c>
    </row>
    <row r="13403" spans="1:12" x14ac:dyDescent="0.25">
      <c r="A13403" t="str">
        <f>"9851256140"</f>
        <v>9851256140</v>
      </c>
      <c r="B13403" t="str">
        <f t="shared" si="565"/>
        <v>89301000</v>
      </c>
      <c r="C13403" s="1">
        <v>44402</v>
      </c>
      <c r="D13403" s="1">
        <v>44406</v>
      </c>
      <c r="E13403">
        <v>1</v>
      </c>
      <c r="F13403" t="s">
        <v>112</v>
      </c>
      <c r="G13403" t="str">
        <f>"14-M01-05"</f>
        <v>14-M01-05</v>
      </c>
      <c r="H13403">
        <v>0.54239999999999999</v>
      </c>
      <c r="I13403" t="s">
        <v>8399</v>
      </c>
      <c r="J13403" t="s">
        <v>59</v>
      </c>
      <c r="K13403" t="str">
        <f>"6F3"</f>
        <v>6F3</v>
      </c>
      <c r="L13403" t="s">
        <v>15</v>
      </c>
    </row>
    <row r="13404" spans="1:12" x14ac:dyDescent="0.25">
      <c r="A13404" t="str">
        <f>"9852065707"</f>
        <v>9852065707</v>
      </c>
      <c r="B13404" t="str">
        <f t="shared" si="565"/>
        <v>89301000</v>
      </c>
      <c r="C13404" s="1">
        <v>44444</v>
      </c>
      <c r="D13404" s="1">
        <v>44447</v>
      </c>
      <c r="E13404">
        <v>1</v>
      </c>
      <c r="F13404" t="s">
        <v>75</v>
      </c>
      <c r="G13404" t="str">
        <f>"14-M01-05"</f>
        <v>14-M01-05</v>
      </c>
      <c r="H13404">
        <v>0.54239999999999999</v>
      </c>
      <c r="I13404" t="s">
        <v>76</v>
      </c>
      <c r="J13404" t="s">
        <v>59</v>
      </c>
      <c r="K13404" t="str">
        <f>"6F3"</f>
        <v>6F3</v>
      </c>
      <c r="L13404" t="s">
        <v>15</v>
      </c>
    </row>
    <row r="13405" spans="1:12" x14ac:dyDescent="0.25">
      <c r="A13405" t="str">
        <f>"9852103855"</f>
        <v>9852103855</v>
      </c>
      <c r="B13405" t="str">
        <f t="shared" si="565"/>
        <v>89301000</v>
      </c>
      <c r="C13405" s="1">
        <v>44393</v>
      </c>
      <c r="D13405" s="1">
        <v>44395</v>
      </c>
      <c r="E13405">
        <v>1</v>
      </c>
      <c r="F13405" t="s">
        <v>266</v>
      </c>
      <c r="G13405" t="str">
        <f>"13-I18-03"</f>
        <v>13-I18-03</v>
      </c>
      <c r="H13405">
        <v>0.63680000000000003</v>
      </c>
      <c r="I13405" t="s">
        <v>101</v>
      </c>
      <c r="J13405" t="s">
        <v>14</v>
      </c>
      <c r="K13405" t="str">
        <f>"6F3"</f>
        <v>6F3</v>
      </c>
      <c r="L13405" t="s">
        <v>15</v>
      </c>
    </row>
    <row r="13406" spans="1:12" x14ac:dyDescent="0.25">
      <c r="A13406" t="str">
        <f>"9852105714"</f>
        <v>9852105714</v>
      </c>
      <c r="B13406" t="str">
        <f t="shared" si="565"/>
        <v>89301000</v>
      </c>
      <c r="C13406" s="1">
        <v>44311</v>
      </c>
      <c r="D13406" s="1">
        <v>44312</v>
      </c>
      <c r="E13406">
        <v>1</v>
      </c>
      <c r="F13406" t="s">
        <v>8400</v>
      </c>
      <c r="G13406" t="str">
        <f>"14-I08-01"</f>
        <v>14-I08-01</v>
      </c>
      <c r="H13406">
        <v>0.44230000000000003</v>
      </c>
      <c r="J13406" t="s">
        <v>14</v>
      </c>
      <c r="K13406" t="str">
        <f>"6F3"</f>
        <v>6F3</v>
      </c>
      <c r="L13406" t="s">
        <v>15</v>
      </c>
    </row>
    <row r="13407" spans="1:12" x14ac:dyDescent="0.25">
      <c r="A13407" t="str">
        <f>"9852185827"</f>
        <v>9852185827</v>
      </c>
      <c r="B13407" t="str">
        <f t="shared" si="565"/>
        <v>89301000</v>
      </c>
      <c r="C13407" s="1">
        <v>44516</v>
      </c>
      <c r="D13407" s="1">
        <v>44553</v>
      </c>
      <c r="E13407">
        <v>1</v>
      </c>
      <c r="F13407" t="s">
        <v>181</v>
      </c>
      <c r="G13407" t="str">
        <f>"19-K08-02"</f>
        <v>19-K08-02</v>
      </c>
      <c r="H13407">
        <v>4.1917</v>
      </c>
      <c r="I13407" t="s">
        <v>77</v>
      </c>
      <c r="J13407" t="s">
        <v>27</v>
      </c>
      <c r="K13407" t="str">
        <f>"3F5"</f>
        <v>3F5</v>
      </c>
      <c r="L13407" t="s">
        <v>15</v>
      </c>
    </row>
    <row r="13408" spans="1:12" x14ac:dyDescent="0.25">
      <c r="A13408" t="str">
        <f>"9852273772"</f>
        <v>9852273772</v>
      </c>
      <c r="B13408" t="str">
        <f t="shared" si="565"/>
        <v>89301000</v>
      </c>
      <c r="C13408" s="1">
        <v>44473</v>
      </c>
      <c r="D13408" s="1">
        <v>44475</v>
      </c>
      <c r="E13408">
        <v>1</v>
      </c>
      <c r="F13408" t="s">
        <v>64</v>
      </c>
      <c r="G13408" t="str">
        <f>"08-I31-04"</f>
        <v>08-I31-04</v>
      </c>
      <c r="H13408">
        <v>0.50949999999999995</v>
      </c>
      <c r="J13408" t="s">
        <v>14</v>
      </c>
      <c r="K13408" t="str">
        <f>"6F6"</f>
        <v>6F6</v>
      </c>
      <c r="L13408" t="s">
        <v>15</v>
      </c>
    </row>
    <row r="13409" spans="1:12" x14ac:dyDescent="0.25">
      <c r="A13409" t="str">
        <f>"9852275708"</f>
        <v>9852275708</v>
      </c>
      <c r="B13409" t="str">
        <f t="shared" si="565"/>
        <v>89301000</v>
      </c>
      <c r="C13409" s="1">
        <v>44375</v>
      </c>
      <c r="D13409" s="1">
        <v>44376</v>
      </c>
      <c r="E13409">
        <v>1</v>
      </c>
      <c r="F13409" t="s">
        <v>500</v>
      </c>
      <c r="G13409" t="str">
        <f>"06-K06-02"</f>
        <v>06-K06-02</v>
      </c>
      <c r="H13409">
        <v>0.79849999999999999</v>
      </c>
      <c r="I13409" t="s">
        <v>8401</v>
      </c>
      <c r="J13409" t="s">
        <v>14</v>
      </c>
      <c r="K13409" t="str">
        <f>"1F1"</f>
        <v>1F1</v>
      </c>
      <c r="L13409" t="s">
        <v>15</v>
      </c>
    </row>
    <row r="13410" spans="1:12" x14ac:dyDescent="0.25">
      <c r="A13410" t="str">
        <f>"9852275708"</f>
        <v>9852275708</v>
      </c>
      <c r="B13410" t="str">
        <f t="shared" si="565"/>
        <v>89301000</v>
      </c>
      <c r="C13410" s="1">
        <v>44265</v>
      </c>
      <c r="D13410" s="1">
        <v>44267</v>
      </c>
      <c r="E13410">
        <v>1</v>
      </c>
      <c r="F13410" t="s">
        <v>1340</v>
      </c>
      <c r="G13410" t="str">
        <f>"16-K02-03"</f>
        <v>16-K02-03</v>
      </c>
      <c r="H13410">
        <v>0.5302</v>
      </c>
      <c r="I13410" t="s">
        <v>8402</v>
      </c>
      <c r="J13410" t="s">
        <v>14</v>
      </c>
      <c r="K13410" t="str">
        <f>"1F1"</f>
        <v>1F1</v>
      </c>
      <c r="L13410" t="s">
        <v>15</v>
      </c>
    </row>
    <row r="13411" spans="1:12" x14ac:dyDescent="0.25">
      <c r="A13411" t="str">
        <f>"9852275708"</f>
        <v>9852275708</v>
      </c>
      <c r="B13411" t="str">
        <f t="shared" si="565"/>
        <v>89301000</v>
      </c>
      <c r="C13411" s="1">
        <v>44210</v>
      </c>
      <c r="D13411" s="1">
        <v>44212</v>
      </c>
      <c r="E13411">
        <v>1</v>
      </c>
      <c r="F13411" t="s">
        <v>1340</v>
      </c>
      <c r="G13411" t="str">
        <f>"16-K02-03"</f>
        <v>16-K02-03</v>
      </c>
      <c r="H13411">
        <v>0.5302</v>
      </c>
      <c r="I13411" t="s">
        <v>8403</v>
      </c>
      <c r="J13411" t="s">
        <v>14</v>
      </c>
      <c r="K13411" t="str">
        <f>"1F1"</f>
        <v>1F1</v>
      </c>
      <c r="L13411" t="s">
        <v>15</v>
      </c>
    </row>
    <row r="13412" spans="1:12" x14ac:dyDescent="0.25">
      <c r="A13412" t="str">
        <f>"9853025743"</f>
        <v>9853025743</v>
      </c>
      <c r="B13412" t="str">
        <f t="shared" si="565"/>
        <v>89301000</v>
      </c>
      <c r="C13412" s="1">
        <v>44208</v>
      </c>
      <c r="D13412" s="1">
        <v>44218</v>
      </c>
      <c r="E13412">
        <v>1</v>
      </c>
      <c r="F13412" t="s">
        <v>61</v>
      </c>
      <c r="G13412" t="str">
        <f>"14-I01-05"</f>
        <v>14-I01-05</v>
      </c>
      <c r="H13412">
        <v>0.95960000000000001</v>
      </c>
      <c r="I13412" t="s">
        <v>8404</v>
      </c>
      <c r="J13412" t="s">
        <v>59</v>
      </c>
      <c r="K13412" t="str">
        <f t="shared" ref="K13412:K13418" si="566">"6F3"</f>
        <v>6F3</v>
      </c>
      <c r="L13412" t="s">
        <v>15</v>
      </c>
    </row>
    <row r="13413" spans="1:12" x14ac:dyDescent="0.25">
      <c r="A13413" t="str">
        <f>"9853104888"</f>
        <v>9853104888</v>
      </c>
      <c r="B13413" t="str">
        <f t="shared" si="565"/>
        <v>89301000</v>
      </c>
      <c r="C13413" s="1">
        <v>44265</v>
      </c>
      <c r="D13413" s="1">
        <v>44267</v>
      </c>
      <c r="E13413">
        <v>1</v>
      </c>
      <c r="F13413" t="s">
        <v>60</v>
      </c>
      <c r="G13413" t="str">
        <f>"14-K03-02"</f>
        <v>14-K03-02</v>
      </c>
      <c r="H13413">
        <v>0.2646</v>
      </c>
      <c r="J13413" t="s">
        <v>14</v>
      </c>
      <c r="K13413" t="str">
        <f t="shared" si="566"/>
        <v>6F3</v>
      </c>
      <c r="L13413" t="s">
        <v>15</v>
      </c>
    </row>
    <row r="13414" spans="1:12" x14ac:dyDescent="0.25">
      <c r="A13414" t="str">
        <f>"9853115701"</f>
        <v>9853115701</v>
      </c>
      <c r="B13414" t="str">
        <f t="shared" si="565"/>
        <v>89301000</v>
      </c>
      <c r="C13414" s="1">
        <v>44441</v>
      </c>
      <c r="D13414" s="1">
        <v>44452</v>
      </c>
      <c r="E13414">
        <v>1</v>
      </c>
      <c r="F13414" t="s">
        <v>575</v>
      </c>
      <c r="G13414" t="str">
        <f>"18-K02-03"</f>
        <v>18-K02-03</v>
      </c>
      <c r="H13414">
        <v>0.87570000000000003</v>
      </c>
      <c r="I13414" t="s">
        <v>3058</v>
      </c>
      <c r="J13414" t="s">
        <v>14</v>
      </c>
      <c r="K13414" t="str">
        <f t="shared" si="566"/>
        <v>6F3</v>
      </c>
      <c r="L13414" t="s">
        <v>15</v>
      </c>
    </row>
    <row r="13415" spans="1:12" x14ac:dyDescent="0.25">
      <c r="A13415" t="str">
        <f>"9853115701"</f>
        <v>9853115701</v>
      </c>
      <c r="B13415" t="str">
        <f t="shared" si="565"/>
        <v>89301000</v>
      </c>
      <c r="C13415" s="1">
        <v>44400</v>
      </c>
      <c r="D13415" s="1">
        <v>44407</v>
      </c>
      <c r="E13415">
        <v>1</v>
      </c>
      <c r="F13415" t="s">
        <v>3467</v>
      </c>
      <c r="G13415" t="str">
        <f>"13-I14-03"</f>
        <v>13-I14-03</v>
      </c>
      <c r="H13415">
        <v>1.0267999999999999</v>
      </c>
      <c r="J13415" t="s">
        <v>24</v>
      </c>
      <c r="K13415" t="str">
        <f t="shared" si="566"/>
        <v>6F3</v>
      </c>
      <c r="L13415" t="s">
        <v>15</v>
      </c>
    </row>
    <row r="13416" spans="1:12" x14ac:dyDescent="0.25">
      <c r="A13416" t="str">
        <f>"9853145731"</f>
        <v>9853145731</v>
      </c>
      <c r="B13416" t="str">
        <f t="shared" si="565"/>
        <v>89301000</v>
      </c>
      <c r="C13416" s="1">
        <v>44407</v>
      </c>
      <c r="D13416" s="1">
        <v>44410</v>
      </c>
      <c r="E13416">
        <v>1</v>
      </c>
      <c r="F13416" t="s">
        <v>75</v>
      </c>
      <c r="G13416" t="str">
        <f>"14-M01-05"</f>
        <v>14-M01-05</v>
      </c>
      <c r="H13416">
        <v>0.54239999999999999</v>
      </c>
      <c r="I13416" t="s">
        <v>118</v>
      </c>
      <c r="J13416" t="s">
        <v>59</v>
      </c>
      <c r="K13416" t="str">
        <f t="shared" si="566"/>
        <v>6F3</v>
      </c>
      <c r="L13416" t="s">
        <v>15</v>
      </c>
    </row>
    <row r="13417" spans="1:12" x14ac:dyDescent="0.25">
      <c r="A13417" t="str">
        <f>"9855114852"</f>
        <v>9855114852</v>
      </c>
      <c r="B13417" t="str">
        <f t="shared" si="565"/>
        <v>89301000</v>
      </c>
      <c r="C13417" s="1">
        <v>44425</v>
      </c>
      <c r="D13417" s="1">
        <v>44430</v>
      </c>
      <c r="E13417">
        <v>1</v>
      </c>
      <c r="F13417" t="s">
        <v>7525</v>
      </c>
      <c r="G13417" t="str">
        <f>"14-K03-02"</f>
        <v>14-K03-02</v>
      </c>
      <c r="H13417">
        <v>0.2646</v>
      </c>
      <c r="J13417" t="s">
        <v>14</v>
      </c>
      <c r="K13417" t="str">
        <f t="shared" si="566"/>
        <v>6F3</v>
      </c>
      <c r="L13417" t="s">
        <v>15</v>
      </c>
    </row>
    <row r="13418" spans="1:12" x14ac:dyDescent="0.25">
      <c r="A13418" t="str">
        <f>"9855114852"</f>
        <v>9855114852</v>
      </c>
      <c r="B13418" t="str">
        <f t="shared" si="565"/>
        <v>89301000</v>
      </c>
      <c r="C13418" s="1">
        <v>44449</v>
      </c>
      <c r="D13418" s="1">
        <v>44452</v>
      </c>
      <c r="E13418">
        <v>1</v>
      </c>
      <c r="F13418" t="s">
        <v>75</v>
      </c>
      <c r="G13418" t="str">
        <f>"14-M01-05"</f>
        <v>14-M01-05</v>
      </c>
      <c r="H13418">
        <v>0.54239999999999999</v>
      </c>
      <c r="I13418" t="s">
        <v>180</v>
      </c>
      <c r="J13418" t="s">
        <v>59</v>
      </c>
      <c r="K13418" t="str">
        <f t="shared" si="566"/>
        <v>6F3</v>
      </c>
      <c r="L13418" t="s">
        <v>15</v>
      </c>
    </row>
    <row r="13419" spans="1:12" x14ac:dyDescent="0.25">
      <c r="A13419" t="str">
        <f>"9855135939"</f>
        <v>9855135939</v>
      </c>
      <c r="B13419" t="str">
        <f t="shared" si="565"/>
        <v>89301000</v>
      </c>
      <c r="C13419" s="1">
        <v>44326</v>
      </c>
      <c r="D13419" s="1">
        <v>44364</v>
      </c>
      <c r="E13419">
        <v>1</v>
      </c>
      <c r="F13419" t="s">
        <v>77</v>
      </c>
      <c r="G13419" t="str">
        <f>"19-K07-02"</f>
        <v>19-K07-02</v>
      </c>
      <c r="H13419">
        <v>2.8759999999999999</v>
      </c>
      <c r="I13419" t="s">
        <v>8405</v>
      </c>
      <c r="J13419" t="s">
        <v>27</v>
      </c>
      <c r="K13419" t="str">
        <f>"3F5"</f>
        <v>3F5</v>
      </c>
      <c r="L13419" t="s">
        <v>15</v>
      </c>
    </row>
    <row r="13420" spans="1:12" x14ac:dyDescent="0.25">
      <c r="A13420" t="str">
        <f>"9855215403"</f>
        <v>9855215403</v>
      </c>
      <c r="B13420" t="str">
        <f t="shared" si="565"/>
        <v>89301000</v>
      </c>
      <c r="C13420" s="1">
        <v>44314</v>
      </c>
      <c r="D13420" s="1">
        <v>44315</v>
      </c>
      <c r="E13420">
        <v>1</v>
      </c>
      <c r="F13420" t="s">
        <v>8406</v>
      </c>
      <c r="G13420" t="str">
        <f>"08-M03-05"</f>
        <v>08-M03-05</v>
      </c>
      <c r="H13420">
        <v>0.51759999999999995</v>
      </c>
      <c r="I13420" t="s">
        <v>8407</v>
      </c>
      <c r="J13420" t="s">
        <v>14</v>
      </c>
      <c r="K13420" t="str">
        <f>"5F3"</f>
        <v>5F3</v>
      </c>
      <c r="L13420" t="s">
        <v>15</v>
      </c>
    </row>
    <row r="13421" spans="1:12" x14ac:dyDescent="0.25">
      <c r="A13421" t="str">
        <f>"9855215700"</f>
        <v>9855215700</v>
      </c>
      <c r="B13421" t="str">
        <f t="shared" si="565"/>
        <v>89301000</v>
      </c>
      <c r="C13421" s="1">
        <v>44225</v>
      </c>
      <c r="D13421" s="1">
        <v>44227</v>
      </c>
      <c r="E13421">
        <v>1</v>
      </c>
      <c r="F13421" t="s">
        <v>29</v>
      </c>
      <c r="G13421" t="str">
        <f>"08-M03-05"</f>
        <v>08-M03-05</v>
      </c>
      <c r="H13421">
        <v>0.51759999999999995</v>
      </c>
      <c r="I13421" t="s">
        <v>381</v>
      </c>
      <c r="J13421" t="s">
        <v>14</v>
      </c>
      <c r="K13421" t="str">
        <f>"6F6"</f>
        <v>6F6</v>
      </c>
      <c r="L13421" t="s">
        <v>15</v>
      </c>
    </row>
    <row r="13422" spans="1:12" x14ac:dyDescent="0.25">
      <c r="A13422" t="str">
        <f>"9855215711"</f>
        <v>9855215711</v>
      </c>
      <c r="B13422" t="str">
        <f t="shared" si="565"/>
        <v>89301000</v>
      </c>
      <c r="C13422" s="1">
        <v>44505</v>
      </c>
      <c r="D13422" s="1">
        <v>44509</v>
      </c>
      <c r="E13422">
        <v>1</v>
      </c>
      <c r="F13422" t="s">
        <v>82</v>
      </c>
      <c r="G13422" t="str">
        <f>"14-I01-02"</f>
        <v>14-I01-02</v>
      </c>
      <c r="H13422">
        <v>1.1289</v>
      </c>
      <c r="I13422" t="s">
        <v>8408</v>
      </c>
      <c r="J13422" t="s">
        <v>59</v>
      </c>
      <c r="K13422" t="str">
        <f>"6F3"</f>
        <v>6F3</v>
      </c>
      <c r="L13422" t="s">
        <v>15</v>
      </c>
    </row>
    <row r="13423" spans="1:12" x14ac:dyDescent="0.25">
      <c r="A13423" t="str">
        <f>"9855275727"</f>
        <v>9855275727</v>
      </c>
      <c r="B13423" t="str">
        <f t="shared" si="565"/>
        <v>89301000</v>
      </c>
      <c r="C13423" s="1">
        <v>44444</v>
      </c>
      <c r="D13423" s="1">
        <v>44447</v>
      </c>
      <c r="E13423">
        <v>1</v>
      </c>
      <c r="F13423" t="s">
        <v>75</v>
      </c>
      <c r="G13423" t="str">
        <f>"14-M01-05"</f>
        <v>14-M01-05</v>
      </c>
      <c r="H13423">
        <v>0.54239999999999999</v>
      </c>
      <c r="I13423" t="s">
        <v>180</v>
      </c>
      <c r="J13423" t="s">
        <v>59</v>
      </c>
      <c r="K13423" t="str">
        <f>"6F3"</f>
        <v>6F3</v>
      </c>
      <c r="L13423" t="s">
        <v>15</v>
      </c>
    </row>
    <row r="13424" spans="1:12" x14ac:dyDescent="0.25">
      <c r="A13424" t="str">
        <f>"9855296143"</f>
        <v>9855296143</v>
      </c>
      <c r="B13424" t="str">
        <f t="shared" si="565"/>
        <v>89301000</v>
      </c>
      <c r="C13424" s="1">
        <v>44463</v>
      </c>
      <c r="D13424" s="1">
        <v>44466</v>
      </c>
      <c r="E13424">
        <v>1</v>
      </c>
      <c r="F13424" t="s">
        <v>75</v>
      </c>
      <c r="G13424" t="str">
        <f>"14-M01-05"</f>
        <v>14-M01-05</v>
      </c>
      <c r="H13424">
        <v>0.54239999999999999</v>
      </c>
      <c r="I13424" t="s">
        <v>8212</v>
      </c>
      <c r="J13424" t="s">
        <v>59</v>
      </c>
      <c r="K13424" t="str">
        <f>"6F3"</f>
        <v>6F3</v>
      </c>
      <c r="L13424" t="s">
        <v>15</v>
      </c>
    </row>
    <row r="13425" spans="1:12" x14ac:dyDescent="0.25">
      <c r="A13425" t="str">
        <f>"9856045518"</f>
        <v>9856045518</v>
      </c>
      <c r="B13425" t="str">
        <f t="shared" si="565"/>
        <v>89301000</v>
      </c>
      <c r="C13425" s="1">
        <v>44497</v>
      </c>
      <c r="D13425" s="1">
        <v>44508</v>
      </c>
      <c r="E13425">
        <v>6</v>
      </c>
      <c r="F13425" t="s">
        <v>8409</v>
      </c>
      <c r="G13425" t="str">
        <f>"01-K02-02"</f>
        <v>01-K02-02</v>
      </c>
      <c r="H13425">
        <v>2.2991000000000001</v>
      </c>
      <c r="J13425" t="s">
        <v>14</v>
      </c>
      <c r="K13425" t="str">
        <f>"2F9"</f>
        <v>2F9</v>
      </c>
      <c r="L13425" t="s">
        <v>15</v>
      </c>
    </row>
    <row r="13426" spans="1:12" x14ac:dyDescent="0.25">
      <c r="A13426" t="str">
        <f>"9856176154"</f>
        <v>9856176154</v>
      </c>
      <c r="B13426" t="str">
        <f t="shared" si="565"/>
        <v>89301000</v>
      </c>
      <c r="C13426" s="1">
        <v>44515</v>
      </c>
      <c r="D13426" s="1">
        <v>44519</v>
      </c>
      <c r="E13426">
        <v>1</v>
      </c>
      <c r="F13426" t="s">
        <v>75</v>
      </c>
      <c r="G13426" t="str">
        <f t="shared" ref="G13426:G13431" si="567">"14-M01-05"</f>
        <v>14-M01-05</v>
      </c>
      <c r="H13426">
        <v>0.54239999999999999</v>
      </c>
      <c r="I13426" t="s">
        <v>8410</v>
      </c>
      <c r="J13426" t="s">
        <v>59</v>
      </c>
      <c r="K13426" t="str">
        <f t="shared" ref="K13426:K13431" si="568">"6F3"</f>
        <v>6F3</v>
      </c>
      <c r="L13426" t="s">
        <v>15</v>
      </c>
    </row>
    <row r="13427" spans="1:12" x14ac:dyDescent="0.25">
      <c r="A13427" t="str">
        <f>"9856263208"</f>
        <v>9856263208</v>
      </c>
      <c r="B13427" t="str">
        <f t="shared" si="565"/>
        <v>89301000</v>
      </c>
      <c r="C13427" s="1">
        <v>44306</v>
      </c>
      <c r="D13427" s="1">
        <v>44311</v>
      </c>
      <c r="E13427">
        <v>1</v>
      </c>
      <c r="F13427" t="s">
        <v>75</v>
      </c>
      <c r="G13427" t="str">
        <f t="shared" si="567"/>
        <v>14-M01-05</v>
      </c>
      <c r="H13427">
        <v>0.54239999999999999</v>
      </c>
      <c r="I13427" t="s">
        <v>8411</v>
      </c>
      <c r="J13427" t="s">
        <v>59</v>
      </c>
      <c r="K13427" t="str">
        <f t="shared" si="568"/>
        <v>6F3</v>
      </c>
      <c r="L13427" t="s">
        <v>15</v>
      </c>
    </row>
    <row r="13428" spans="1:12" x14ac:dyDescent="0.25">
      <c r="A13428" t="str">
        <f>"9857034858"</f>
        <v>9857034858</v>
      </c>
      <c r="B13428" t="str">
        <f t="shared" si="565"/>
        <v>89301000</v>
      </c>
      <c r="C13428" s="1">
        <v>44515</v>
      </c>
      <c r="D13428" s="1">
        <v>44518</v>
      </c>
      <c r="E13428">
        <v>1</v>
      </c>
      <c r="F13428" t="s">
        <v>75</v>
      </c>
      <c r="G13428" t="str">
        <f t="shared" si="567"/>
        <v>14-M01-05</v>
      </c>
      <c r="H13428">
        <v>0.54239999999999999</v>
      </c>
      <c r="I13428" t="s">
        <v>76</v>
      </c>
      <c r="J13428" t="s">
        <v>59</v>
      </c>
      <c r="K13428" t="str">
        <f t="shared" si="568"/>
        <v>6F3</v>
      </c>
      <c r="L13428" t="s">
        <v>15</v>
      </c>
    </row>
    <row r="13429" spans="1:12" x14ac:dyDescent="0.25">
      <c r="A13429" t="str">
        <f>"9857055571"</f>
        <v>9857055571</v>
      </c>
      <c r="B13429" t="str">
        <f t="shared" si="565"/>
        <v>89301000</v>
      </c>
      <c r="C13429" s="1">
        <v>44196</v>
      </c>
      <c r="D13429" s="1">
        <v>44198</v>
      </c>
      <c r="E13429">
        <v>1</v>
      </c>
      <c r="F13429" t="s">
        <v>75</v>
      </c>
      <c r="G13429" t="str">
        <f t="shared" si="567"/>
        <v>14-M01-05</v>
      </c>
      <c r="H13429">
        <v>0.54239999999999999</v>
      </c>
      <c r="J13429" t="s">
        <v>59</v>
      </c>
      <c r="K13429" t="str">
        <f t="shared" si="568"/>
        <v>6F3</v>
      </c>
      <c r="L13429" t="s">
        <v>15</v>
      </c>
    </row>
    <row r="13430" spans="1:12" x14ac:dyDescent="0.25">
      <c r="A13430" t="str">
        <f>"9857175713"</f>
        <v>9857175713</v>
      </c>
      <c r="B13430" t="str">
        <f t="shared" si="565"/>
        <v>89301000</v>
      </c>
      <c r="C13430" s="1">
        <v>44318</v>
      </c>
      <c r="D13430" s="1">
        <v>44322</v>
      </c>
      <c r="E13430">
        <v>1</v>
      </c>
      <c r="F13430" t="s">
        <v>75</v>
      </c>
      <c r="G13430" t="str">
        <f t="shared" si="567"/>
        <v>14-M01-05</v>
      </c>
      <c r="H13430">
        <v>0.54239999999999999</v>
      </c>
      <c r="I13430" t="s">
        <v>256</v>
      </c>
      <c r="J13430" t="s">
        <v>59</v>
      </c>
      <c r="K13430" t="str">
        <f t="shared" si="568"/>
        <v>6F3</v>
      </c>
      <c r="L13430" t="s">
        <v>15</v>
      </c>
    </row>
    <row r="13431" spans="1:12" x14ac:dyDescent="0.25">
      <c r="A13431" t="str">
        <f>"9857205743"</f>
        <v>9857205743</v>
      </c>
      <c r="B13431" t="str">
        <f t="shared" si="565"/>
        <v>89301000</v>
      </c>
      <c r="C13431" s="1">
        <v>44383</v>
      </c>
      <c r="D13431" s="1">
        <v>44387</v>
      </c>
      <c r="E13431">
        <v>1</v>
      </c>
      <c r="F13431" t="s">
        <v>75</v>
      </c>
      <c r="G13431" t="str">
        <f t="shared" si="567"/>
        <v>14-M01-05</v>
      </c>
      <c r="H13431">
        <v>0.54239999999999999</v>
      </c>
      <c r="I13431" t="s">
        <v>180</v>
      </c>
      <c r="J13431" t="s">
        <v>59</v>
      </c>
      <c r="K13431" t="str">
        <f t="shared" si="568"/>
        <v>6F3</v>
      </c>
      <c r="L13431" t="s">
        <v>15</v>
      </c>
    </row>
    <row r="13432" spans="1:12" x14ac:dyDescent="0.25">
      <c r="A13432" t="str">
        <f>"9857275703"</f>
        <v>9857275703</v>
      </c>
      <c r="B13432" t="str">
        <f t="shared" si="565"/>
        <v>89301000</v>
      </c>
      <c r="C13432" s="1">
        <v>44343</v>
      </c>
      <c r="D13432" s="1">
        <v>44354</v>
      </c>
      <c r="E13432">
        <v>1</v>
      </c>
      <c r="F13432" t="s">
        <v>1553</v>
      </c>
      <c r="G13432" t="str">
        <f>"04-K05-03"</f>
        <v>04-K05-03</v>
      </c>
      <c r="H13432">
        <v>0.74980000000000002</v>
      </c>
      <c r="J13432" t="s">
        <v>14</v>
      </c>
      <c r="K13432" t="str">
        <f>"1F1"</f>
        <v>1F1</v>
      </c>
      <c r="L13432" t="s">
        <v>15</v>
      </c>
    </row>
    <row r="13433" spans="1:12" x14ac:dyDescent="0.25">
      <c r="A13433" t="str">
        <f>"9857305711"</f>
        <v>9857305711</v>
      </c>
      <c r="B13433" t="str">
        <f t="shared" si="565"/>
        <v>89301000</v>
      </c>
      <c r="C13433" s="1">
        <v>44412</v>
      </c>
      <c r="D13433" s="1">
        <v>44413</v>
      </c>
      <c r="E13433">
        <v>1</v>
      </c>
      <c r="F13433" t="s">
        <v>5200</v>
      </c>
      <c r="G13433" t="str">
        <f>"21-K05-03"</f>
        <v>21-K05-03</v>
      </c>
      <c r="H13433">
        <v>0.46750000000000003</v>
      </c>
      <c r="I13433" t="s">
        <v>8412</v>
      </c>
      <c r="J13433" t="s">
        <v>14</v>
      </c>
      <c r="K13433" t="str">
        <f>"1F1"</f>
        <v>1F1</v>
      </c>
      <c r="L13433" t="s">
        <v>15</v>
      </c>
    </row>
    <row r="13434" spans="1:12" x14ac:dyDescent="0.25">
      <c r="A13434" t="str">
        <f>"9857305711"</f>
        <v>9857305711</v>
      </c>
      <c r="B13434" t="str">
        <f t="shared" si="565"/>
        <v>89301000</v>
      </c>
      <c r="C13434" s="1">
        <v>44536</v>
      </c>
      <c r="D13434" s="1">
        <v>44536</v>
      </c>
      <c r="E13434">
        <v>1</v>
      </c>
      <c r="F13434" t="s">
        <v>94</v>
      </c>
      <c r="G13434" t="str">
        <f>"21-K05-03"</f>
        <v>21-K05-03</v>
      </c>
      <c r="H13434">
        <v>0.23449999999999999</v>
      </c>
      <c r="I13434" t="s">
        <v>8413</v>
      </c>
      <c r="J13434" t="s">
        <v>14</v>
      </c>
      <c r="K13434" t="str">
        <f>"5F5"</f>
        <v>5F5</v>
      </c>
      <c r="L13434" t="s">
        <v>15</v>
      </c>
    </row>
    <row r="13435" spans="1:12" x14ac:dyDescent="0.25">
      <c r="A13435" t="str">
        <f>"9858134858"</f>
        <v>9858134858</v>
      </c>
      <c r="B13435" t="str">
        <f t="shared" si="565"/>
        <v>89301000</v>
      </c>
      <c r="C13435" s="1">
        <v>44375</v>
      </c>
      <c r="D13435" s="1">
        <v>44377</v>
      </c>
      <c r="E13435">
        <v>1</v>
      </c>
      <c r="F13435" t="s">
        <v>6760</v>
      </c>
      <c r="G13435" t="str">
        <f>"08-I31-04"</f>
        <v>08-I31-04</v>
      </c>
      <c r="H13435">
        <v>0.50949999999999995</v>
      </c>
      <c r="J13435" t="s">
        <v>14</v>
      </c>
      <c r="K13435" t="str">
        <f>"6F6"</f>
        <v>6F6</v>
      </c>
      <c r="L13435" t="s">
        <v>15</v>
      </c>
    </row>
    <row r="13436" spans="1:12" x14ac:dyDescent="0.25">
      <c r="A13436" t="str">
        <f>"9858275713"</f>
        <v>9858275713</v>
      </c>
      <c r="B13436" t="str">
        <f t="shared" si="565"/>
        <v>89301000</v>
      </c>
      <c r="C13436" s="1">
        <v>44219</v>
      </c>
      <c r="D13436" s="1">
        <v>44221</v>
      </c>
      <c r="E13436">
        <v>1</v>
      </c>
      <c r="F13436" t="s">
        <v>75</v>
      </c>
      <c r="G13436" t="str">
        <f>"14-M01-05"</f>
        <v>14-M01-05</v>
      </c>
      <c r="H13436">
        <v>0.54239999999999999</v>
      </c>
      <c r="I13436" t="s">
        <v>8414</v>
      </c>
      <c r="J13436" t="s">
        <v>59</v>
      </c>
      <c r="K13436" t="str">
        <f>"6F3"</f>
        <v>6F3</v>
      </c>
      <c r="L13436" t="s">
        <v>15</v>
      </c>
    </row>
    <row r="13437" spans="1:12" x14ac:dyDescent="0.25">
      <c r="A13437" t="str">
        <f>"9858292510"</f>
        <v>9858292510</v>
      </c>
      <c r="B13437" t="str">
        <f t="shared" si="565"/>
        <v>89301000</v>
      </c>
      <c r="C13437" s="1">
        <v>44423</v>
      </c>
      <c r="D13437" s="1">
        <v>44425</v>
      </c>
      <c r="E13437">
        <v>1</v>
      </c>
      <c r="F13437" t="s">
        <v>558</v>
      </c>
      <c r="G13437" t="str">
        <f>"09-K13-01"</f>
        <v>09-K13-01</v>
      </c>
      <c r="H13437">
        <v>0.58899999999999997</v>
      </c>
      <c r="I13437" t="s">
        <v>512</v>
      </c>
      <c r="J13437" t="s">
        <v>14</v>
      </c>
      <c r="K13437" t="str">
        <f>"5F3"</f>
        <v>5F3</v>
      </c>
      <c r="L13437" t="s">
        <v>15</v>
      </c>
    </row>
    <row r="13438" spans="1:12" x14ac:dyDescent="0.25">
      <c r="A13438" t="str">
        <f>"9859015771"</f>
        <v>9859015771</v>
      </c>
      <c r="B13438" t="str">
        <f t="shared" si="565"/>
        <v>89301000</v>
      </c>
      <c r="C13438" s="1">
        <v>44278</v>
      </c>
      <c r="D13438" s="1">
        <v>44281</v>
      </c>
      <c r="E13438">
        <v>1</v>
      </c>
      <c r="F13438" t="s">
        <v>460</v>
      </c>
      <c r="G13438" t="str">
        <f>"03-I23-00"</f>
        <v>03-I23-00</v>
      </c>
      <c r="H13438">
        <v>0.47639999999999999</v>
      </c>
      <c r="I13438" t="s">
        <v>320</v>
      </c>
      <c r="J13438" t="s">
        <v>14</v>
      </c>
      <c r="K13438" t="str">
        <f>"6F5"</f>
        <v>6F5</v>
      </c>
      <c r="L13438" t="s">
        <v>15</v>
      </c>
    </row>
    <row r="13439" spans="1:12" x14ac:dyDescent="0.25">
      <c r="A13439" t="str">
        <f>"9859095719"</f>
        <v>9859095719</v>
      </c>
      <c r="B13439" t="str">
        <f t="shared" si="565"/>
        <v>89301000</v>
      </c>
      <c r="C13439" s="1">
        <v>44366</v>
      </c>
      <c r="D13439" s="1">
        <v>44370</v>
      </c>
      <c r="E13439">
        <v>1</v>
      </c>
      <c r="F13439" t="s">
        <v>75</v>
      </c>
      <c r="G13439" t="str">
        <f>"14-M01-05"</f>
        <v>14-M01-05</v>
      </c>
      <c r="H13439">
        <v>0.54239999999999999</v>
      </c>
      <c r="I13439" t="s">
        <v>256</v>
      </c>
      <c r="J13439" t="s">
        <v>59</v>
      </c>
      <c r="K13439" t="str">
        <f>"6F3"</f>
        <v>6F3</v>
      </c>
      <c r="L13439" t="s">
        <v>15</v>
      </c>
    </row>
    <row r="13440" spans="1:12" x14ac:dyDescent="0.25">
      <c r="A13440" t="str">
        <f>"9860015715"</f>
        <v>9860015715</v>
      </c>
      <c r="B13440" t="str">
        <f t="shared" si="565"/>
        <v>89301000</v>
      </c>
      <c r="C13440" s="1">
        <v>44483</v>
      </c>
      <c r="D13440" s="1">
        <v>44486</v>
      </c>
      <c r="E13440">
        <v>1</v>
      </c>
      <c r="F13440" t="s">
        <v>61</v>
      </c>
      <c r="G13440" t="str">
        <f>"14-I01-05"</f>
        <v>14-I01-05</v>
      </c>
      <c r="H13440">
        <v>0.80030000000000001</v>
      </c>
      <c r="I13440" t="s">
        <v>62</v>
      </c>
      <c r="J13440" t="s">
        <v>59</v>
      </c>
      <c r="K13440" t="str">
        <f>"6F3"</f>
        <v>6F3</v>
      </c>
      <c r="L13440" t="s">
        <v>15</v>
      </c>
    </row>
    <row r="13441" spans="1:12" x14ac:dyDescent="0.25">
      <c r="A13441" t="str">
        <f>"9860065699"</f>
        <v>9860065699</v>
      </c>
      <c r="B13441" t="str">
        <f t="shared" si="565"/>
        <v>89301000</v>
      </c>
      <c r="C13441" s="1">
        <v>44224</v>
      </c>
      <c r="D13441" s="1">
        <v>44239</v>
      </c>
      <c r="E13441">
        <v>1</v>
      </c>
      <c r="F13441" t="s">
        <v>414</v>
      </c>
      <c r="G13441" t="str">
        <f>"19-K04-02"</f>
        <v>19-K04-02</v>
      </c>
      <c r="H13441">
        <v>1.4597</v>
      </c>
      <c r="I13441" t="s">
        <v>8415</v>
      </c>
      <c r="J13441" t="s">
        <v>27</v>
      </c>
      <c r="K13441" t="str">
        <f>"3F5"</f>
        <v>3F5</v>
      </c>
      <c r="L13441" t="s">
        <v>15</v>
      </c>
    </row>
    <row r="13442" spans="1:12" x14ac:dyDescent="0.25">
      <c r="A13442" t="str">
        <f>"9860135725"</f>
        <v>9860135725</v>
      </c>
      <c r="B13442" t="str">
        <f t="shared" si="565"/>
        <v>89301000</v>
      </c>
      <c r="C13442" s="1">
        <v>44206</v>
      </c>
      <c r="D13442" s="1">
        <v>44210</v>
      </c>
      <c r="E13442">
        <v>1</v>
      </c>
      <c r="F13442" t="s">
        <v>75</v>
      </c>
      <c r="G13442" t="str">
        <f>"14-M01-05"</f>
        <v>14-M01-05</v>
      </c>
      <c r="H13442">
        <v>0.54239999999999999</v>
      </c>
      <c r="I13442" t="s">
        <v>426</v>
      </c>
      <c r="J13442" t="s">
        <v>59</v>
      </c>
      <c r="K13442" t="str">
        <f>"6F3"</f>
        <v>6F3</v>
      </c>
      <c r="L13442" t="s">
        <v>15</v>
      </c>
    </row>
    <row r="13443" spans="1:12" x14ac:dyDescent="0.25">
      <c r="A13443" t="str">
        <f>"9861115715"</f>
        <v>9861115715</v>
      </c>
      <c r="B13443" t="str">
        <f t="shared" si="565"/>
        <v>89301000</v>
      </c>
      <c r="C13443" s="1">
        <v>44413</v>
      </c>
      <c r="D13443" s="1">
        <v>44415</v>
      </c>
      <c r="E13443">
        <v>1</v>
      </c>
      <c r="F13443" t="s">
        <v>75</v>
      </c>
      <c r="G13443" t="str">
        <f>"14-M01-05"</f>
        <v>14-M01-05</v>
      </c>
      <c r="H13443">
        <v>0.54239999999999999</v>
      </c>
      <c r="I13443" t="s">
        <v>117</v>
      </c>
      <c r="J13443" t="s">
        <v>59</v>
      </c>
      <c r="K13443" t="str">
        <f>"6F3"</f>
        <v>6F3</v>
      </c>
      <c r="L13443" t="s">
        <v>15</v>
      </c>
    </row>
    <row r="13444" spans="1:12" x14ac:dyDescent="0.25">
      <c r="A13444" t="str">
        <f>"9861164841"</f>
        <v>9861164841</v>
      </c>
      <c r="B13444" t="str">
        <f t="shared" si="565"/>
        <v>89301000</v>
      </c>
      <c r="C13444" s="1">
        <v>44315</v>
      </c>
      <c r="D13444" s="1">
        <v>44321</v>
      </c>
      <c r="E13444">
        <v>1</v>
      </c>
      <c r="F13444" t="s">
        <v>87</v>
      </c>
      <c r="G13444" t="str">
        <f>"09-K04-02"</f>
        <v>09-K04-02</v>
      </c>
      <c r="H13444">
        <v>0.68279999999999996</v>
      </c>
      <c r="I13444" t="s">
        <v>8416</v>
      </c>
      <c r="J13444" t="s">
        <v>14</v>
      </c>
      <c r="K13444" t="str">
        <f>"4F4"</f>
        <v>4F4</v>
      </c>
      <c r="L13444" t="s">
        <v>15</v>
      </c>
    </row>
    <row r="13445" spans="1:12" x14ac:dyDescent="0.25">
      <c r="A13445" t="str">
        <f>"9862066148"</f>
        <v>9862066148</v>
      </c>
      <c r="B13445" t="str">
        <f t="shared" si="565"/>
        <v>89301000</v>
      </c>
      <c r="C13445" s="1">
        <v>44232</v>
      </c>
      <c r="D13445" s="1">
        <v>44234</v>
      </c>
      <c r="E13445">
        <v>1</v>
      </c>
      <c r="F13445" t="s">
        <v>3852</v>
      </c>
      <c r="G13445" t="str">
        <f>"13-I19-00"</f>
        <v>13-I19-00</v>
      </c>
      <c r="H13445">
        <v>0.24679999999999999</v>
      </c>
      <c r="J13445" t="s">
        <v>14</v>
      </c>
      <c r="K13445" t="str">
        <f>"6F3"</f>
        <v>6F3</v>
      </c>
      <c r="L13445" t="s">
        <v>15</v>
      </c>
    </row>
    <row r="13446" spans="1:12" x14ac:dyDescent="0.25">
      <c r="A13446" t="str">
        <f>"9862075729"</f>
        <v>9862075729</v>
      </c>
      <c r="B13446" t="str">
        <f t="shared" si="565"/>
        <v>89301000</v>
      </c>
      <c r="C13446" s="1">
        <v>44491</v>
      </c>
      <c r="D13446" s="1">
        <v>44495</v>
      </c>
      <c r="E13446">
        <v>1</v>
      </c>
      <c r="F13446" t="s">
        <v>70</v>
      </c>
      <c r="G13446" t="str">
        <f>"09-K14-02"</f>
        <v>09-K14-02</v>
      </c>
      <c r="H13446">
        <v>0.50549999999999995</v>
      </c>
      <c r="I13446" t="s">
        <v>7196</v>
      </c>
      <c r="J13446" t="s">
        <v>14</v>
      </c>
      <c r="K13446" t="str">
        <f>"4F4"</f>
        <v>4F4</v>
      </c>
      <c r="L13446" t="s">
        <v>15</v>
      </c>
    </row>
    <row r="13447" spans="1:12" x14ac:dyDescent="0.25">
      <c r="A13447" t="str">
        <f>"9862145722"</f>
        <v>9862145722</v>
      </c>
      <c r="B13447" t="str">
        <f t="shared" si="565"/>
        <v>89301000</v>
      </c>
      <c r="C13447" s="1">
        <v>44209</v>
      </c>
      <c r="D13447" s="1">
        <v>44214</v>
      </c>
      <c r="E13447">
        <v>1</v>
      </c>
      <c r="F13447" t="s">
        <v>60</v>
      </c>
      <c r="G13447" t="str">
        <f>"14-K03-02"</f>
        <v>14-K03-02</v>
      </c>
      <c r="H13447">
        <v>0.2646</v>
      </c>
      <c r="J13447" t="s">
        <v>14</v>
      </c>
      <c r="K13447" t="str">
        <f>"6F3"</f>
        <v>6F3</v>
      </c>
      <c r="L13447" t="s">
        <v>15</v>
      </c>
    </row>
    <row r="13448" spans="1:12" x14ac:dyDescent="0.25">
      <c r="A13448" t="str">
        <f>"9862146151"</f>
        <v>9862146151</v>
      </c>
      <c r="B13448" t="str">
        <f t="shared" si="565"/>
        <v>89301000</v>
      </c>
      <c r="C13448" s="1">
        <v>44401</v>
      </c>
      <c r="D13448" s="1">
        <v>44404</v>
      </c>
      <c r="E13448">
        <v>1</v>
      </c>
      <c r="F13448" t="s">
        <v>75</v>
      </c>
      <c r="G13448" t="str">
        <f>"14-M01-05"</f>
        <v>14-M01-05</v>
      </c>
      <c r="H13448">
        <v>0.54239999999999999</v>
      </c>
      <c r="J13448" t="s">
        <v>59</v>
      </c>
      <c r="K13448" t="str">
        <f>"6F3"</f>
        <v>6F3</v>
      </c>
      <c r="L13448" t="s">
        <v>15</v>
      </c>
    </row>
    <row r="13449" spans="1:12" x14ac:dyDescent="0.25">
      <c r="A13449" t="str">
        <f>"9862195706"</f>
        <v>9862195706</v>
      </c>
      <c r="B13449" t="str">
        <f t="shared" si="565"/>
        <v>89301000</v>
      </c>
      <c r="C13449" s="1">
        <v>44416</v>
      </c>
      <c r="D13449" s="1">
        <v>44420</v>
      </c>
      <c r="E13449">
        <v>1</v>
      </c>
      <c r="F13449" t="s">
        <v>116</v>
      </c>
      <c r="G13449" t="str">
        <f>"14-M01-05"</f>
        <v>14-M01-05</v>
      </c>
      <c r="H13449">
        <v>0.54239999999999999</v>
      </c>
      <c r="I13449" t="s">
        <v>117</v>
      </c>
      <c r="J13449" t="s">
        <v>59</v>
      </c>
      <c r="K13449" t="str">
        <f>"6F3"</f>
        <v>6F3</v>
      </c>
      <c r="L13449" t="s">
        <v>15</v>
      </c>
    </row>
    <row r="13450" spans="1:12" x14ac:dyDescent="0.25">
      <c r="A13450" t="str">
        <f>"9862226154"</f>
        <v>9862226154</v>
      </c>
      <c r="B13450" t="str">
        <f t="shared" si="565"/>
        <v>89301000</v>
      </c>
      <c r="C13450" s="1">
        <v>44208</v>
      </c>
      <c r="D13450" s="1">
        <v>44218</v>
      </c>
      <c r="E13450">
        <v>1</v>
      </c>
      <c r="F13450" t="s">
        <v>77</v>
      </c>
      <c r="G13450" t="str">
        <f>"19-K03-03"</f>
        <v>19-K03-03</v>
      </c>
      <c r="H13450">
        <v>0.93169999999999997</v>
      </c>
      <c r="I13450" t="s">
        <v>8417</v>
      </c>
      <c r="J13450" t="s">
        <v>27</v>
      </c>
      <c r="K13450" t="str">
        <f>"3F5"</f>
        <v>3F5</v>
      </c>
      <c r="L13450" t="s">
        <v>15</v>
      </c>
    </row>
    <row r="13451" spans="1:12" x14ac:dyDescent="0.25">
      <c r="A13451" t="str">
        <f>"9862226154"</f>
        <v>9862226154</v>
      </c>
      <c r="B13451" t="str">
        <f t="shared" si="565"/>
        <v>89301000</v>
      </c>
      <c r="C13451" s="1">
        <v>44340</v>
      </c>
      <c r="D13451" s="1">
        <v>44346</v>
      </c>
      <c r="E13451">
        <v>1</v>
      </c>
      <c r="F13451" t="s">
        <v>8418</v>
      </c>
      <c r="G13451" t="str">
        <f>"01-K04-02"</f>
        <v>01-K04-02</v>
      </c>
      <c r="H13451">
        <v>0.80059999999999998</v>
      </c>
      <c r="I13451" t="s">
        <v>77</v>
      </c>
      <c r="J13451" t="s">
        <v>14</v>
      </c>
      <c r="K13451" t="str">
        <f>"2F9"</f>
        <v>2F9</v>
      </c>
      <c r="L13451" t="s">
        <v>15</v>
      </c>
    </row>
    <row r="13452" spans="1:12" x14ac:dyDescent="0.25">
      <c r="A13452" t="str">
        <f>"9902105719"</f>
        <v>9902105719</v>
      </c>
      <c r="B13452" t="str">
        <f t="shared" si="565"/>
        <v>89301000</v>
      </c>
      <c r="C13452" s="1">
        <v>44446</v>
      </c>
      <c r="D13452" s="1">
        <v>44452</v>
      </c>
      <c r="E13452">
        <v>1</v>
      </c>
      <c r="F13452" t="s">
        <v>2120</v>
      </c>
      <c r="G13452" t="str">
        <f>"06-K07-02"</f>
        <v>06-K07-02</v>
      </c>
      <c r="H13452">
        <v>0.44419999999999998</v>
      </c>
      <c r="J13452" t="s">
        <v>14</v>
      </c>
      <c r="K13452" t="str">
        <f>"5F1"</f>
        <v>5F1</v>
      </c>
      <c r="L13452" t="s">
        <v>15</v>
      </c>
    </row>
    <row r="13453" spans="1:12" x14ac:dyDescent="0.25">
      <c r="A13453" t="str">
        <f>"9902225718"</f>
        <v>9902225718</v>
      </c>
      <c r="B13453" t="str">
        <f t="shared" si="565"/>
        <v>89301000</v>
      </c>
      <c r="C13453" s="1">
        <v>44502</v>
      </c>
      <c r="D13453" s="1">
        <v>44505</v>
      </c>
      <c r="E13453">
        <v>1</v>
      </c>
      <c r="F13453" t="s">
        <v>1986</v>
      </c>
      <c r="G13453" t="str">
        <f>"01-K12-01"</f>
        <v>01-K12-01</v>
      </c>
      <c r="H13453">
        <v>0.71289999999999998</v>
      </c>
      <c r="I13453" t="s">
        <v>6666</v>
      </c>
      <c r="J13453" t="s">
        <v>14</v>
      </c>
      <c r="K13453" t="str">
        <f>"2F9"</f>
        <v>2F9</v>
      </c>
      <c r="L13453" t="s">
        <v>15</v>
      </c>
    </row>
    <row r="13454" spans="1:12" x14ac:dyDescent="0.25">
      <c r="A13454" t="str">
        <f>"9902225718"</f>
        <v>9902225718</v>
      </c>
      <c r="B13454" t="str">
        <f t="shared" si="565"/>
        <v>89301000</v>
      </c>
      <c r="C13454" s="1">
        <v>44438</v>
      </c>
      <c r="D13454" s="1">
        <v>44440</v>
      </c>
      <c r="E13454">
        <v>1</v>
      </c>
      <c r="F13454" t="s">
        <v>92</v>
      </c>
      <c r="G13454" t="str">
        <f>"05-D01-02"</f>
        <v>05-D01-02</v>
      </c>
      <c r="H13454">
        <v>1.5750999999999999</v>
      </c>
      <c r="I13454" t="s">
        <v>8419</v>
      </c>
      <c r="J13454" t="s">
        <v>14</v>
      </c>
      <c r="K13454" t="str">
        <f>"1F7"</f>
        <v>1F7</v>
      </c>
      <c r="L13454" t="s">
        <v>15</v>
      </c>
    </row>
    <row r="13455" spans="1:12" x14ac:dyDescent="0.25">
      <c r="A13455" t="str">
        <f>"9903085720"</f>
        <v>9903085720</v>
      </c>
      <c r="B13455" t="str">
        <f t="shared" si="565"/>
        <v>89301000</v>
      </c>
      <c r="C13455" s="1">
        <v>44424</v>
      </c>
      <c r="D13455" s="1">
        <v>44427</v>
      </c>
      <c r="E13455">
        <v>1</v>
      </c>
      <c r="F13455" t="s">
        <v>134</v>
      </c>
      <c r="G13455" t="str">
        <f>"16-I04-01"</f>
        <v>16-I04-01</v>
      </c>
      <c r="H13455">
        <v>1.0085999999999999</v>
      </c>
      <c r="I13455" t="s">
        <v>8420</v>
      </c>
      <c r="J13455" t="s">
        <v>17</v>
      </c>
      <c r="K13455" t="str">
        <f>"7F1"</f>
        <v>7F1</v>
      </c>
      <c r="L13455" t="s">
        <v>15</v>
      </c>
    </row>
    <row r="13456" spans="1:12" x14ac:dyDescent="0.25">
      <c r="A13456" t="str">
        <f>"9903225376"</f>
        <v>9903225376</v>
      </c>
      <c r="B13456" t="str">
        <f t="shared" si="565"/>
        <v>89301000</v>
      </c>
      <c r="C13456" s="1">
        <v>44200</v>
      </c>
      <c r="D13456" s="1">
        <v>44238</v>
      </c>
      <c r="E13456">
        <v>1</v>
      </c>
      <c r="F13456" t="s">
        <v>181</v>
      </c>
      <c r="G13456" t="str">
        <f>"19-K07-02"</f>
        <v>19-K07-02</v>
      </c>
      <c r="H13456">
        <v>2.8759999999999999</v>
      </c>
      <c r="I13456" t="s">
        <v>8421</v>
      </c>
      <c r="J13456" t="s">
        <v>27</v>
      </c>
      <c r="K13456" t="str">
        <f>"3F5"</f>
        <v>3F5</v>
      </c>
      <c r="L13456" t="s">
        <v>15</v>
      </c>
    </row>
    <row r="13457" spans="1:12" x14ac:dyDescent="0.25">
      <c r="A13457" t="str">
        <f>"9904075742"</f>
        <v>9904075742</v>
      </c>
      <c r="B13457" t="str">
        <f t="shared" si="565"/>
        <v>89301000</v>
      </c>
      <c r="C13457" s="1">
        <v>44197</v>
      </c>
      <c r="D13457" s="1">
        <v>44203</v>
      </c>
      <c r="E13457">
        <v>1</v>
      </c>
      <c r="F13457" t="s">
        <v>97</v>
      </c>
      <c r="G13457" t="str">
        <f>"01-K03-08"</f>
        <v>01-K03-08</v>
      </c>
      <c r="H13457">
        <v>0.34789999999999999</v>
      </c>
      <c r="I13457" t="s">
        <v>8422</v>
      </c>
      <c r="J13457" t="s">
        <v>14</v>
      </c>
      <c r="K13457" t="str">
        <f>"2F9"</f>
        <v>2F9</v>
      </c>
      <c r="L13457" t="s">
        <v>15</v>
      </c>
    </row>
    <row r="13458" spans="1:12" x14ac:dyDescent="0.25">
      <c r="A13458" t="str">
        <f>"9904075742"</f>
        <v>9904075742</v>
      </c>
      <c r="B13458" t="str">
        <f t="shared" ref="B13458:B13521" si="569">"89301000"</f>
        <v>89301000</v>
      </c>
      <c r="C13458" s="1">
        <v>44405</v>
      </c>
      <c r="D13458" s="1">
        <v>44420</v>
      </c>
      <c r="E13458">
        <v>4</v>
      </c>
      <c r="F13458" t="s">
        <v>7986</v>
      </c>
      <c r="G13458" t="str">
        <f>"19-K05-02"</f>
        <v>19-K05-02</v>
      </c>
      <c r="H13458">
        <v>1.8835999999999999</v>
      </c>
      <c r="I13458" t="s">
        <v>8423</v>
      </c>
      <c r="J13458" t="s">
        <v>27</v>
      </c>
      <c r="K13458" t="str">
        <f>"3F5"</f>
        <v>3F5</v>
      </c>
      <c r="L13458" t="s">
        <v>15</v>
      </c>
    </row>
    <row r="13459" spans="1:12" x14ac:dyDescent="0.25">
      <c r="A13459" t="str">
        <f>"9904215717"</f>
        <v>9904215717</v>
      </c>
      <c r="B13459" t="str">
        <f t="shared" si="569"/>
        <v>89301000</v>
      </c>
      <c r="C13459" s="1">
        <v>44542</v>
      </c>
      <c r="D13459" s="1">
        <v>44545</v>
      </c>
      <c r="E13459">
        <v>1</v>
      </c>
      <c r="F13459" t="s">
        <v>71</v>
      </c>
      <c r="G13459" t="str">
        <f>"08-M03-04"</f>
        <v>08-M03-04</v>
      </c>
      <c r="H13459">
        <v>0.8609</v>
      </c>
      <c r="I13459" t="s">
        <v>5538</v>
      </c>
      <c r="J13459" t="s">
        <v>14</v>
      </c>
      <c r="K13459" t="str">
        <f>"6F6"</f>
        <v>6F6</v>
      </c>
      <c r="L13459" t="s">
        <v>15</v>
      </c>
    </row>
    <row r="13460" spans="1:12" x14ac:dyDescent="0.25">
      <c r="A13460" t="str">
        <f>"9905045722"</f>
        <v>9905045722</v>
      </c>
      <c r="B13460" t="str">
        <f t="shared" si="569"/>
        <v>89301000</v>
      </c>
      <c r="C13460" s="1">
        <v>44265</v>
      </c>
      <c r="D13460" s="1">
        <v>44267</v>
      </c>
      <c r="E13460">
        <v>1</v>
      </c>
      <c r="F13460" t="s">
        <v>366</v>
      </c>
      <c r="G13460" t="str">
        <f>"08-I24-01"</f>
        <v>08-I24-01</v>
      </c>
      <c r="H13460">
        <v>1.0648</v>
      </c>
      <c r="I13460" t="s">
        <v>168</v>
      </c>
      <c r="J13460" t="s">
        <v>14</v>
      </c>
      <c r="K13460" t="str">
        <f>"5F3"</f>
        <v>5F3</v>
      </c>
      <c r="L13460" t="s">
        <v>15</v>
      </c>
    </row>
    <row r="13461" spans="1:12" x14ac:dyDescent="0.25">
      <c r="A13461" t="str">
        <f>"9905055743"</f>
        <v>9905055743</v>
      </c>
      <c r="B13461" t="str">
        <f t="shared" si="569"/>
        <v>89301000</v>
      </c>
      <c r="C13461" s="1">
        <v>44346</v>
      </c>
      <c r="D13461" s="1">
        <v>44347</v>
      </c>
      <c r="E13461">
        <v>1</v>
      </c>
      <c r="F13461" t="s">
        <v>5386</v>
      </c>
      <c r="G13461" t="str">
        <f>"08-I17-02"</f>
        <v>08-I17-02</v>
      </c>
      <c r="H13461">
        <v>0.98309999999999997</v>
      </c>
      <c r="I13461" t="s">
        <v>572</v>
      </c>
      <c r="J13461" t="s">
        <v>14</v>
      </c>
      <c r="K13461" t="str">
        <f>"5F3"</f>
        <v>5F3</v>
      </c>
      <c r="L13461" t="s">
        <v>15</v>
      </c>
    </row>
    <row r="13462" spans="1:12" x14ac:dyDescent="0.25">
      <c r="A13462" t="str">
        <f>"9907115713"</f>
        <v>9907115713</v>
      </c>
      <c r="B13462" t="str">
        <f t="shared" si="569"/>
        <v>89301000</v>
      </c>
      <c r="C13462" s="1">
        <v>44394</v>
      </c>
      <c r="D13462" s="1">
        <v>44396</v>
      </c>
      <c r="E13462">
        <v>1</v>
      </c>
      <c r="F13462" t="s">
        <v>2023</v>
      </c>
      <c r="G13462" t="str">
        <f>"08-I03-07"</f>
        <v>08-I03-07</v>
      </c>
      <c r="H13462">
        <v>2.4403000000000001</v>
      </c>
      <c r="I13462" t="s">
        <v>8424</v>
      </c>
      <c r="J13462" t="s">
        <v>17</v>
      </c>
      <c r="K13462" t="str">
        <f>"5F6"</f>
        <v>5F6</v>
      </c>
      <c r="L13462" t="s">
        <v>15</v>
      </c>
    </row>
    <row r="13463" spans="1:12" x14ac:dyDescent="0.25">
      <c r="A13463" t="str">
        <f>"9907145699"</f>
        <v>9907145699</v>
      </c>
      <c r="B13463" t="str">
        <f t="shared" si="569"/>
        <v>89301000</v>
      </c>
      <c r="C13463" s="1">
        <v>44344</v>
      </c>
      <c r="D13463" s="1">
        <v>44351</v>
      </c>
      <c r="E13463">
        <v>1</v>
      </c>
      <c r="F13463" t="s">
        <v>8425</v>
      </c>
      <c r="G13463" t="str">
        <f>"20-K03-03"</f>
        <v>20-K03-03</v>
      </c>
      <c r="H13463">
        <v>1.0109999999999999</v>
      </c>
      <c r="I13463" t="s">
        <v>8426</v>
      </c>
      <c r="J13463" t="s">
        <v>14</v>
      </c>
      <c r="K13463" t="str">
        <f>"3F5"</f>
        <v>3F5</v>
      </c>
      <c r="L13463" t="s">
        <v>15</v>
      </c>
    </row>
    <row r="13464" spans="1:12" x14ac:dyDescent="0.25">
      <c r="A13464" t="str">
        <f>"9907235701"</f>
        <v>9907235701</v>
      </c>
      <c r="B13464" t="str">
        <f t="shared" si="569"/>
        <v>89301000</v>
      </c>
      <c r="C13464" s="1">
        <v>44521</v>
      </c>
      <c r="D13464" s="1">
        <v>44522</v>
      </c>
      <c r="E13464">
        <v>1</v>
      </c>
      <c r="F13464" t="s">
        <v>98</v>
      </c>
      <c r="G13464" t="str">
        <f>"19-K02-03"</f>
        <v>19-K02-03</v>
      </c>
      <c r="H13464">
        <v>0.44850000000000001</v>
      </c>
      <c r="I13464" t="s">
        <v>159</v>
      </c>
      <c r="J13464" t="s">
        <v>27</v>
      </c>
      <c r="K13464" t="str">
        <f>"3F5"</f>
        <v>3F5</v>
      </c>
      <c r="L13464" t="s">
        <v>15</v>
      </c>
    </row>
    <row r="13465" spans="1:12" x14ac:dyDescent="0.25">
      <c r="A13465" t="str">
        <f>"9907295739"</f>
        <v>9907295739</v>
      </c>
      <c r="B13465" t="str">
        <f t="shared" si="569"/>
        <v>89301000</v>
      </c>
      <c r="C13465" s="1">
        <v>44313</v>
      </c>
      <c r="D13465" s="1">
        <v>44316</v>
      </c>
      <c r="E13465">
        <v>1</v>
      </c>
      <c r="F13465" t="s">
        <v>217</v>
      </c>
      <c r="G13465" t="str">
        <f>"04-K02-03"</f>
        <v>04-K02-03</v>
      </c>
      <c r="H13465">
        <v>1.2859</v>
      </c>
      <c r="I13465" t="s">
        <v>8427</v>
      </c>
      <c r="J13465" t="s">
        <v>14</v>
      </c>
      <c r="K13465" t="str">
        <f>"1F1"</f>
        <v>1F1</v>
      </c>
      <c r="L13465" t="s">
        <v>15</v>
      </c>
    </row>
    <row r="13466" spans="1:12" x14ac:dyDescent="0.25">
      <c r="A13466" t="str">
        <f>"9908104844"</f>
        <v>9908104844</v>
      </c>
      <c r="B13466" t="str">
        <f t="shared" si="569"/>
        <v>89301000</v>
      </c>
      <c r="C13466" s="1">
        <v>44265</v>
      </c>
      <c r="D13466" s="1">
        <v>44269</v>
      </c>
      <c r="E13466">
        <v>1</v>
      </c>
      <c r="F13466" t="s">
        <v>43</v>
      </c>
      <c r="G13466" t="str">
        <f>"06-I18-05"</f>
        <v>06-I18-05</v>
      </c>
      <c r="H13466">
        <v>0.85550000000000004</v>
      </c>
      <c r="J13466" t="s">
        <v>24</v>
      </c>
      <c r="K13466" t="str">
        <f>"5F1"</f>
        <v>5F1</v>
      </c>
      <c r="L13466" t="s">
        <v>15</v>
      </c>
    </row>
    <row r="13467" spans="1:12" x14ac:dyDescent="0.25">
      <c r="A13467" t="str">
        <f>"9909024026"</f>
        <v>9909024026</v>
      </c>
      <c r="B13467" t="str">
        <f t="shared" si="569"/>
        <v>89301000</v>
      </c>
      <c r="C13467" s="1">
        <v>44201</v>
      </c>
      <c r="D13467" s="1">
        <v>44238</v>
      </c>
      <c r="E13467">
        <v>1</v>
      </c>
      <c r="F13467" t="s">
        <v>5467</v>
      </c>
      <c r="G13467" t="str">
        <f>"19-K07-02"</f>
        <v>19-K07-02</v>
      </c>
      <c r="H13467">
        <v>2.8759999999999999</v>
      </c>
      <c r="I13467" t="s">
        <v>8428</v>
      </c>
      <c r="J13467" t="s">
        <v>27</v>
      </c>
      <c r="K13467" t="str">
        <f>"3F5"</f>
        <v>3F5</v>
      </c>
      <c r="L13467" t="s">
        <v>15</v>
      </c>
    </row>
    <row r="13468" spans="1:12" x14ac:dyDescent="0.25">
      <c r="A13468" t="str">
        <f>"9910025708"</f>
        <v>9910025708</v>
      </c>
      <c r="B13468" t="str">
        <f t="shared" si="569"/>
        <v>89301000</v>
      </c>
      <c r="C13468" s="1">
        <v>44444</v>
      </c>
      <c r="D13468" s="1">
        <v>44444</v>
      </c>
      <c r="E13468">
        <v>1</v>
      </c>
      <c r="F13468" t="s">
        <v>7615</v>
      </c>
      <c r="G13468" t="str">
        <f>"20-K01-04"</f>
        <v>20-K01-04</v>
      </c>
      <c r="H13468">
        <v>0.19109999999999999</v>
      </c>
      <c r="I13468" t="s">
        <v>8429</v>
      </c>
      <c r="J13468" t="s">
        <v>14</v>
      </c>
      <c r="K13468" t="str">
        <f>"1F1"</f>
        <v>1F1</v>
      </c>
      <c r="L13468" t="s">
        <v>15</v>
      </c>
    </row>
    <row r="13469" spans="1:12" x14ac:dyDescent="0.25">
      <c r="A13469" t="str">
        <f>"9910025708"</f>
        <v>9910025708</v>
      </c>
      <c r="B13469" t="str">
        <f t="shared" si="569"/>
        <v>89301000</v>
      </c>
      <c r="C13469" s="1">
        <v>44284</v>
      </c>
      <c r="D13469" s="1">
        <v>44294</v>
      </c>
      <c r="E13469">
        <v>1</v>
      </c>
      <c r="F13469" t="s">
        <v>7615</v>
      </c>
      <c r="G13469" t="str">
        <f>"20-K04-02"</f>
        <v>20-K04-02</v>
      </c>
      <c r="H13469">
        <v>1.4984</v>
      </c>
      <c r="I13469" t="s">
        <v>8430</v>
      </c>
      <c r="J13469" t="s">
        <v>14</v>
      </c>
      <c r="K13469" t="str">
        <f>"3F5"</f>
        <v>3F5</v>
      </c>
      <c r="L13469" t="s">
        <v>15</v>
      </c>
    </row>
    <row r="13470" spans="1:12" x14ac:dyDescent="0.25">
      <c r="A13470" t="str">
        <f>"9910025708"</f>
        <v>9910025708</v>
      </c>
      <c r="B13470" t="str">
        <f t="shared" si="569"/>
        <v>89301000</v>
      </c>
      <c r="C13470" s="1">
        <v>44266</v>
      </c>
      <c r="D13470" s="1">
        <v>44267</v>
      </c>
      <c r="E13470">
        <v>1</v>
      </c>
      <c r="F13470" t="s">
        <v>5534</v>
      </c>
      <c r="G13470" t="str">
        <f>"20-K02-03"</f>
        <v>20-K02-03</v>
      </c>
      <c r="H13470">
        <v>0.38190000000000002</v>
      </c>
      <c r="I13470" t="s">
        <v>8431</v>
      </c>
      <c r="J13470" t="s">
        <v>14</v>
      </c>
      <c r="K13470" t="str">
        <f>"3F5"</f>
        <v>3F5</v>
      </c>
      <c r="L13470" t="s">
        <v>15</v>
      </c>
    </row>
    <row r="13471" spans="1:12" x14ac:dyDescent="0.25">
      <c r="A13471" t="str">
        <f>"9910034156"</f>
        <v>9910034156</v>
      </c>
      <c r="B13471" t="str">
        <f t="shared" si="569"/>
        <v>89301000</v>
      </c>
      <c r="C13471" s="1">
        <v>44348</v>
      </c>
      <c r="D13471" s="1">
        <v>44352</v>
      </c>
      <c r="E13471">
        <v>1</v>
      </c>
      <c r="F13471" t="s">
        <v>123</v>
      </c>
      <c r="G13471" t="str">
        <f>"03-I11-01"</f>
        <v>03-I11-01</v>
      </c>
      <c r="H13471">
        <v>2.4026000000000001</v>
      </c>
      <c r="I13471" t="s">
        <v>4396</v>
      </c>
      <c r="J13471" t="s">
        <v>17</v>
      </c>
      <c r="K13471" t="str">
        <f>"6F5"</f>
        <v>6F5</v>
      </c>
      <c r="L13471" t="s">
        <v>15</v>
      </c>
    </row>
    <row r="13472" spans="1:12" x14ac:dyDescent="0.25">
      <c r="A13472" t="str">
        <f>"9910295714"</f>
        <v>9910295714</v>
      </c>
      <c r="B13472" t="str">
        <f t="shared" si="569"/>
        <v>89301000</v>
      </c>
      <c r="C13472" s="1">
        <v>44345</v>
      </c>
      <c r="D13472" s="1">
        <v>44372</v>
      </c>
      <c r="E13472">
        <v>4</v>
      </c>
      <c r="F13472" t="s">
        <v>78</v>
      </c>
      <c r="G13472" t="str">
        <f>"19-K07-02"</f>
        <v>19-K07-02</v>
      </c>
      <c r="H13472">
        <v>2.8759999999999999</v>
      </c>
      <c r="I13472" t="s">
        <v>168</v>
      </c>
      <c r="J13472" t="s">
        <v>27</v>
      </c>
      <c r="K13472" t="str">
        <f>"3F5"</f>
        <v>3F5</v>
      </c>
      <c r="L13472" t="s">
        <v>15</v>
      </c>
    </row>
    <row r="13473" spans="1:12" x14ac:dyDescent="0.25">
      <c r="A13473" t="str">
        <f>"9910295725"</f>
        <v>9910295725</v>
      </c>
      <c r="B13473" t="str">
        <f t="shared" si="569"/>
        <v>89301000</v>
      </c>
      <c r="C13473" s="1">
        <v>44325</v>
      </c>
      <c r="D13473" s="1">
        <v>44330</v>
      </c>
      <c r="E13473">
        <v>3</v>
      </c>
      <c r="F13473" t="s">
        <v>8432</v>
      </c>
      <c r="G13473" t="str">
        <f>"25-K01-02"</f>
        <v>25-K01-02</v>
      </c>
      <c r="H13473">
        <v>2.6412</v>
      </c>
      <c r="I13473" t="s">
        <v>8433</v>
      </c>
      <c r="J13473" t="s">
        <v>17</v>
      </c>
      <c r="K13473" t="str">
        <f>"5F3"</f>
        <v>5F3</v>
      </c>
      <c r="L13473" t="s">
        <v>15</v>
      </c>
    </row>
    <row r="13474" spans="1:12" x14ac:dyDescent="0.25">
      <c r="A13474" t="str">
        <f>"9910295725"</f>
        <v>9910295725</v>
      </c>
      <c r="B13474" t="str">
        <f t="shared" si="569"/>
        <v>89301000</v>
      </c>
      <c r="C13474" s="1">
        <v>44330</v>
      </c>
      <c r="D13474" s="1">
        <v>44335</v>
      </c>
      <c r="E13474">
        <v>1</v>
      </c>
      <c r="F13474" t="s">
        <v>109</v>
      </c>
      <c r="G13474" t="str">
        <f>"24-M05-01"</f>
        <v>24-M05-01</v>
      </c>
      <c r="H13474">
        <v>0.64190000000000003</v>
      </c>
      <c r="I13474" t="s">
        <v>8434</v>
      </c>
      <c r="J13474" t="s">
        <v>14</v>
      </c>
      <c r="K13474" t="str">
        <f>"2F1"</f>
        <v>2F1</v>
      </c>
      <c r="L13474" t="s">
        <v>15</v>
      </c>
    </row>
    <row r="13475" spans="1:12" x14ac:dyDescent="0.25">
      <c r="A13475" t="str">
        <f>"9911085723"</f>
        <v>9911085723</v>
      </c>
      <c r="B13475" t="str">
        <f t="shared" si="569"/>
        <v>89301000</v>
      </c>
      <c r="C13475" s="1">
        <v>44501</v>
      </c>
      <c r="D13475" s="1">
        <v>44503</v>
      </c>
      <c r="E13475">
        <v>1</v>
      </c>
      <c r="F13475" t="s">
        <v>142</v>
      </c>
      <c r="G13475" t="str">
        <f>"03-K12-01"</f>
        <v>03-K12-01</v>
      </c>
      <c r="H13475">
        <v>0.376</v>
      </c>
      <c r="I13475" t="s">
        <v>250</v>
      </c>
      <c r="J13475" t="s">
        <v>14</v>
      </c>
      <c r="K13475" t="str">
        <f>"6F5"</f>
        <v>6F5</v>
      </c>
      <c r="L13475" t="s">
        <v>15</v>
      </c>
    </row>
    <row r="13476" spans="1:12" x14ac:dyDescent="0.25">
      <c r="A13476" t="str">
        <f>"9911305305"</f>
        <v>9911305305</v>
      </c>
      <c r="B13476" t="str">
        <f t="shared" si="569"/>
        <v>89301000</v>
      </c>
      <c r="C13476" s="1">
        <v>44441</v>
      </c>
      <c r="D13476" s="1">
        <v>44446</v>
      </c>
      <c r="E13476">
        <v>1</v>
      </c>
      <c r="F13476" t="s">
        <v>2729</v>
      </c>
      <c r="G13476" t="str">
        <f>"04-M02-04"</f>
        <v>04-M02-04</v>
      </c>
      <c r="H13476">
        <v>0.7238</v>
      </c>
      <c r="I13476" t="s">
        <v>145</v>
      </c>
      <c r="J13476" t="s">
        <v>14</v>
      </c>
      <c r="K13476" t="str">
        <f>"2F5"</f>
        <v>2F5</v>
      </c>
      <c r="L13476" t="s">
        <v>15</v>
      </c>
    </row>
    <row r="13477" spans="1:12" x14ac:dyDescent="0.25">
      <c r="A13477" t="str">
        <f>"9912105709"</f>
        <v>9912105709</v>
      </c>
      <c r="B13477" t="str">
        <f t="shared" si="569"/>
        <v>89301000</v>
      </c>
      <c r="C13477" s="1">
        <v>44250</v>
      </c>
      <c r="D13477" s="1">
        <v>44256</v>
      </c>
      <c r="E13477">
        <v>1</v>
      </c>
      <c r="F13477" t="s">
        <v>87</v>
      </c>
      <c r="G13477" t="str">
        <f>"09-K04-02"</f>
        <v>09-K04-02</v>
      </c>
      <c r="H13477">
        <v>0.68279999999999996</v>
      </c>
      <c r="I13477" t="s">
        <v>194</v>
      </c>
      <c r="J13477" t="s">
        <v>14</v>
      </c>
      <c r="K13477" t="str">
        <f>"4F4"</f>
        <v>4F4</v>
      </c>
      <c r="L13477" t="s">
        <v>15</v>
      </c>
    </row>
    <row r="13478" spans="1:12" x14ac:dyDescent="0.25">
      <c r="A13478" t="str">
        <f>"9912205919"</f>
        <v>9912205919</v>
      </c>
      <c r="B13478" t="str">
        <f t="shared" si="569"/>
        <v>89301000</v>
      </c>
      <c r="C13478" s="1">
        <v>44307</v>
      </c>
      <c r="D13478" s="1">
        <v>44314</v>
      </c>
      <c r="E13478">
        <v>1</v>
      </c>
      <c r="F13478" t="s">
        <v>979</v>
      </c>
      <c r="G13478" t="str">
        <f>"04-K02-04"</f>
        <v>04-K02-04</v>
      </c>
      <c r="H13478">
        <v>0.82469999999999999</v>
      </c>
      <c r="I13478" t="s">
        <v>8435</v>
      </c>
      <c r="J13478" t="s">
        <v>14</v>
      </c>
      <c r="K13478" t="str">
        <f>"1F1"</f>
        <v>1F1</v>
      </c>
      <c r="L13478" t="s">
        <v>15</v>
      </c>
    </row>
    <row r="13479" spans="1:12" x14ac:dyDescent="0.25">
      <c r="A13479" t="str">
        <f>"9951055609"</f>
        <v>9951055609</v>
      </c>
      <c r="B13479" t="str">
        <f t="shared" si="569"/>
        <v>89301000</v>
      </c>
      <c r="C13479" s="1">
        <v>44481</v>
      </c>
      <c r="D13479" s="1">
        <v>44484</v>
      </c>
      <c r="E13479">
        <v>1</v>
      </c>
      <c r="F13479" t="s">
        <v>8201</v>
      </c>
      <c r="G13479" t="str">
        <f>"13-I18-03"</f>
        <v>13-I18-03</v>
      </c>
      <c r="H13479">
        <v>0.63680000000000003</v>
      </c>
      <c r="J13479" t="s">
        <v>14</v>
      </c>
      <c r="K13479" t="str">
        <f>"6F3"</f>
        <v>6F3</v>
      </c>
      <c r="L13479" t="s">
        <v>15</v>
      </c>
    </row>
    <row r="13480" spans="1:12" x14ac:dyDescent="0.25">
      <c r="A13480" t="str">
        <f>"9951215692"</f>
        <v>9951215692</v>
      </c>
      <c r="B13480" t="str">
        <f t="shared" si="569"/>
        <v>89301000</v>
      </c>
      <c r="C13480" s="1">
        <v>44390</v>
      </c>
      <c r="D13480" s="1">
        <v>44391</v>
      </c>
      <c r="E13480">
        <v>6</v>
      </c>
      <c r="F13480" t="s">
        <v>75</v>
      </c>
      <c r="G13480" t="str">
        <f>"14-M01-05"</f>
        <v>14-M01-05</v>
      </c>
      <c r="H13480">
        <v>0.54239999999999999</v>
      </c>
      <c r="I13480" t="s">
        <v>76</v>
      </c>
      <c r="J13480" t="s">
        <v>59</v>
      </c>
      <c r="K13480" t="str">
        <f>"6F3"</f>
        <v>6F3</v>
      </c>
      <c r="L13480" t="s">
        <v>15</v>
      </c>
    </row>
    <row r="13481" spans="1:12" x14ac:dyDescent="0.25">
      <c r="A13481" t="str">
        <f>"9951274861"</f>
        <v>9951274861</v>
      </c>
      <c r="B13481" t="str">
        <f t="shared" si="569"/>
        <v>89301000</v>
      </c>
      <c r="C13481" s="1">
        <v>44333</v>
      </c>
      <c r="D13481" s="1">
        <v>44345</v>
      </c>
      <c r="E13481">
        <v>1</v>
      </c>
      <c r="F13481" t="s">
        <v>60</v>
      </c>
      <c r="G13481" t="str">
        <f>"14-K03-02"</f>
        <v>14-K03-02</v>
      </c>
      <c r="H13481">
        <v>0.46250000000000002</v>
      </c>
      <c r="J13481" t="s">
        <v>14</v>
      </c>
      <c r="K13481" t="str">
        <f>"6F3"</f>
        <v>6F3</v>
      </c>
      <c r="L13481" t="s">
        <v>15</v>
      </c>
    </row>
    <row r="13482" spans="1:12" x14ac:dyDescent="0.25">
      <c r="A13482" t="str">
        <f>"9952026172"</f>
        <v>9952026172</v>
      </c>
      <c r="B13482" t="str">
        <f t="shared" si="569"/>
        <v>89301000</v>
      </c>
      <c r="C13482" s="1">
        <v>44465</v>
      </c>
      <c r="D13482" s="1">
        <v>44467</v>
      </c>
      <c r="E13482">
        <v>1</v>
      </c>
      <c r="F13482" t="s">
        <v>75</v>
      </c>
      <c r="G13482" t="str">
        <f>"14-M01-05"</f>
        <v>14-M01-05</v>
      </c>
      <c r="H13482">
        <v>0.54239999999999999</v>
      </c>
      <c r="I13482" t="s">
        <v>118</v>
      </c>
      <c r="J13482" t="s">
        <v>59</v>
      </c>
      <c r="K13482" t="str">
        <f>"6F3"</f>
        <v>6F3</v>
      </c>
      <c r="L13482" t="s">
        <v>15</v>
      </c>
    </row>
    <row r="13483" spans="1:12" x14ac:dyDescent="0.25">
      <c r="A13483" t="str">
        <f>"9952035709"</f>
        <v>9952035709</v>
      </c>
      <c r="B13483" t="str">
        <f t="shared" si="569"/>
        <v>89301000</v>
      </c>
      <c r="C13483" s="1">
        <v>44322</v>
      </c>
      <c r="D13483" s="1">
        <v>44327</v>
      </c>
      <c r="E13483">
        <v>1</v>
      </c>
      <c r="F13483" t="s">
        <v>8436</v>
      </c>
      <c r="G13483" t="str">
        <f>"09-K14-02"</f>
        <v>09-K14-02</v>
      </c>
      <c r="H13483">
        <v>0.50549999999999995</v>
      </c>
      <c r="J13483" t="s">
        <v>14</v>
      </c>
      <c r="K13483" t="str">
        <f>"4F4"</f>
        <v>4F4</v>
      </c>
      <c r="L13483" t="s">
        <v>15</v>
      </c>
    </row>
    <row r="13484" spans="1:12" x14ac:dyDescent="0.25">
      <c r="A13484" t="str">
        <f>"9952035709"</f>
        <v>9952035709</v>
      </c>
      <c r="B13484" t="str">
        <f t="shared" si="569"/>
        <v>89301000</v>
      </c>
      <c r="C13484" s="1">
        <v>44238</v>
      </c>
      <c r="D13484" s="1">
        <v>44242</v>
      </c>
      <c r="E13484">
        <v>1</v>
      </c>
      <c r="F13484" t="s">
        <v>8437</v>
      </c>
      <c r="G13484" t="str">
        <f>"09-K14-02"</f>
        <v>09-K14-02</v>
      </c>
      <c r="H13484">
        <v>0.50549999999999995</v>
      </c>
      <c r="J13484" t="s">
        <v>14</v>
      </c>
      <c r="K13484" t="str">
        <f>"4F4"</f>
        <v>4F4</v>
      </c>
      <c r="L13484" t="s">
        <v>15</v>
      </c>
    </row>
    <row r="13485" spans="1:12" x14ac:dyDescent="0.25">
      <c r="A13485" t="str">
        <f>"9953204459"</f>
        <v>9953204459</v>
      </c>
      <c r="B13485" t="str">
        <f t="shared" si="569"/>
        <v>89301000</v>
      </c>
      <c r="C13485" s="1">
        <v>44502</v>
      </c>
      <c r="D13485" s="1">
        <v>44506</v>
      </c>
      <c r="E13485">
        <v>1</v>
      </c>
      <c r="F13485" t="s">
        <v>210</v>
      </c>
      <c r="G13485" t="str">
        <f>"08-I15-03"</f>
        <v>08-I15-03</v>
      </c>
      <c r="H13485">
        <v>1.1838</v>
      </c>
      <c r="I13485" t="s">
        <v>381</v>
      </c>
      <c r="J13485" t="s">
        <v>17</v>
      </c>
      <c r="K13485" t="str">
        <f>"5F3"</f>
        <v>5F3</v>
      </c>
      <c r="L13485" t="s">
        <v>15</v>
      </c>
    </row>
    <row r="13486" spans="1:12" x14ac:dyDescent="0.25">
      <c r="A13486" t="str">
        <f>"9954026159"</f>
        <v>9954026159</v>
      </c>
      <c r="B13486" t="str">
        <f t="shared" si="569"/>
        <v>89301000</v>
      </c>
      <c r="C13486" s="1">
        <v>44556</v>
      </c>
      <c r="D13486" s="1">
        <v>44559</v>
      </c>
      <c r="E13486">
        <v>1</v>
      </c>
      <c r="F13486" t="s">
        <v>1690</v>
      </c>
      <c r="G13486" t="str">
        <f>"07-I10-06"</f>
        <v>07-I10-06</v>
      </c>
      <c r="H13486">
        <v>0.9728</v>
      </c>
      <c r="I13486" t="s">
        <v>168</v>
      </c>
      <c r="J13486" t="s">
        <v>17</v>
      </c>
      <c r="K13486" t="str">
        <f>"5F1"</f>
        <v>5F1</v>
      </c>
      <c r="L13486" t="s">
        <v>15</v>
      </c>
    </row>
    <row r="13487" spans="1:12" x14ac:dyDescent="0.25">
      <c r="A13487" t="str">
        <f>"9954045728"</f>
        <v>9954045728</v>
      </c>
      <c r="B13487" t="str">
        <f t="shared" si="569"/>
        <v>89301000</v>
      </c>
      <c r="C13487" s="1">
        <v>44444</v>
      </c>
      <c r="D13487" s="1">
        <v>44446</v>
      </c>
      <c r="E13487">
        <v>1</v>
      </c>
      <c r="F13487" t="s">
        <v>7901</v>
      </c>
      <c r="G13487" t="str">
        <f>"14-I08-03"</f>
        <v>14-I08-03</v>
      </c>
      <c r="H13487">
        <v>0.21099999999999999</v>
      </c>
      <c r="J13487" t="s">
        <v>14</v>
      </c>
      <c r="K13487" t="str">
        <f>"6F3"</f>
        <v>6F3</v>
      </c>
      <c r="L13487" t="s">
        <v>15</v>
      </c>
    </row>
    <row r="13488" spans="1:12" x14ac:dyDescent="0.25">
      <c r="A13488" t="str">
        <f>"9954215645"</f>
        <v>9954215645</v>
      </c>
      <c r="B13488" t="str">
        <f t="shared" si="569"/>
        <v>89301000</v>
      </c>
      <c r="C13488" s="1">
        <v>44223</v>
      </c>
      <c r="D13488" s="1">
        <v>44226</v>
      </c>
      <c r="E13488">
        <v>1</v>
      </c>
      <c r="F13488" t="s">
        <v>75</v>
      </c>
      <c r="G13488" t="str">
        <f>"14-M01-05"</f>
        <v>14-M01-05</v>
      </c>
      <c r="H13488">
        <v>0.54239999999999999</v>
      </c>
      <c r="I13488" t="s">
        <v>256</v>
      </c>
      <c r="J13488" t="s">
        <v>59</v>
      </c>
      <c r="K13488" t="str">
        <f>"6F3"</f>
        <v>6F3</v>
      </c>
      <c r="L13488" t="s">
        <v>15</v>
      </c>
    </row>
    <row r="13489" spans="1:12" x14ac:dyDescent="0.25">
      <c r="A13489" t="str">
        <f>"9954215722"</f>
        <v>9954215722</v>
      </c>
      <c r="B13489" t="str">
        <f t="shared" si="569"/>
        <v>89301000</v>
      </c>
      <c r="C13489" s="1">
        <v>44361</v>
      </c>
      <c r="D13489" s="1">
        <v>44365</v>
      </c>
      <c r="E13489">
        <v>1</v>
      </c>
      <c r="F13489" t="s">
        <v>61</v>
      </c>
      <c r="G13489" t="str">
        <f>"14-I01-05"</f>
        <v>14-I01-05</v>
      </c>
      <c r="H13489">
        <v>0.80030000000000001</v>
      </c>
      <c r="I13489" t="s">
        <v>8438</v>
      </c>
      <c r="J13489" t="s">
        <v>59</v>
      </c>
      <c r="K13489" t="str">
        <f>"6F3"</f>
        <v>6F3</v>
      </c>
      <c r="L13489" t="s">
        <v>15</v>
      </c>
    </row>
    <row r="13490" spans="1:12" x14ac:dyDescent="0.25">
      <c r="A13490" t="str">
        <f>"9954215722"</f>
        <v>9954215722</v>
      </c>
      <c r="B13490" t="str">
        <f t="shared" si="569"/>
        <v>89301000</v>
      </c>
      <c r="C13490" s="1">
        <v>44256</v>
      </c>
      <c r="D13490" s="1">
        <v>44257</v>
      </c>
      <c r="E13490">
        <v>1</v>
      </c>
      <c r="F13490" t="s">
        <v>91</v>
      </c>
      <c r="G13490" t="str">
        <f>"14-K03-02"</f>
        <v>14-K03-02</v>
      </c>
      <c r="H13490">
        <v>0.2646</v>
      </c>
      <c r="I13490" t="s">
        <v>8439</v>
      </c>
      <c r="J13490" t="s">
        <v>14</v>
      </c>
      <c r="K13490" t="str">
        <f>"6F3"</f>
        <v>6F3</v>
      </c>
      <c r="L13490" t="s">
        <v>15</v>
      </c>
    </row>
    <row r="13491" spans="1:12" x14ac:dyDescent="0.25">
      <c r="A13491" t="str">
        <f>"9954255729"</f>
        <v>9954255729</v>
      </c>
      <c r="B13491" t="str">
        <f t="shared" si="569"/>
        <v>89301000</v>
      </c>
      <c r="C13491" s="1">
        <v>44274</v>
      </c>
      <c r="D13491" s="1">
        <v>44277</v>
      </c>
      <c r="E13491">
        <v>1</v>
      </c>
      <c r="F13491" t="s">
        <v>7897</v>
      </c>
      <c r="G13491" t="str">
        <f>"14-K05-03"</f>
        <v>14-K05-03</v>
      </c>
      <c r="H13491">
        <v>0.30209999999999998</v>
      </c>
      <c r="J13491" t="s">
        <v>14</v>
      </c>
      <c r="K13491" t="str">
        <f>"6F3"</f>
        <v>6F3</v>
      </c>
      <c r="L13491" t="s">
        <v>15</v>
      </c>
    </row>
    <row r="13492" spans="1:12" x14ac:dyDescent="0.25">
      <c r="A13492" t="str">
        <f>"9955115753"</f>
        <v>9955115753</v>
      </c>
      <c r="B13492" t="str">
        <f t="shared" si="569"/>
        <v>89301000</v>
      </c>
      <c r="C13492" s="1">
        <v>44367</v>
      </c>
      <c r="D13492" s="1">
        <v>44371</v>
      </c>
      <c r="E13492">
        <v>1</v>
      </c>
      <c r="F13492" t="s">
        <v>4491</v>
      </c>
      <c r="G13492" t="str">
        <f>"01-K01-02"</f>
        <v>01-K01-02</v>
      </c>
      <c r="H13492">
        <v>0.50700000000000001</v>
      </c>
      <c r="J13492" t="s">
        <v>14</v>
      </c>
      <c r="K13492" t="str">
        <f>"2F9"</f>
        <v>2F9</v>
      </c>
      <c r="L13492" t="s">
        <v>15</v>
      </c>
    </row>
    <row r="13493" spans="1:12" x14ac:dyDescent="0.25">
      <c r="A13493" t="str">
        <f>"9955115753"</f>
        <v>9955115753</v>
      </c>
      <c r="B13493" t="str">
        <f t="shared" si="569"/>
        <v>89301000</v>
      </c>
      <c r="C13493" s="1">
        <v>44331</v>
      </c>
      <c r="D13493" s="1">
        <v>44333</v>
      </c>
      <c r="E13493">
        <v>1</v>
      </c>
      <c r="F13493" t="s">
        <v>287</v>
      </c>
      <c r="G13493" t="str">
        <f>"01-K16-06"</f>
        <v>01-K16-06</v>
      </c>
      <c r="H13493">
        <v>0.26469999999999999</v>
      </c>
      <c r="I13493" t="s">
        <v>30</v>
      </c>
      <c r="J13493" t="s">
        <v>14</v>
      </c>
      <c r="K13493" t="str">
        <f>"5F3"</f>
        <v>5F3</v>
      </c>
      <c r="L13493" t="s">
        <v>15</v>
      </c>
    </row>
    <row r="13494" spans="1:12" x14ac:dyDescent="0.25">
      <c r="A13494" t="str">
        <f>"9955205700"</f>
        <v>9955205700</v>
      </c>
      <c r="B13494" t="str">
        <f t="shared" si="569"/>
        <v>89301000</v>
      </c>
      <c r="C13494" s="1">
        <v>44262</v>
      </c>
      <c r="D13494" s="1">
        <v>44266</v>
      </c>
      <c r="E13494">
        <v>1</v>
      </c>
      <c r="F13494" t="s">
        <v>61</v>
      </c>
      <c r="G13494" t="str">
        <f>"14-I01-05"</f>
        <v>14-I01-05</v>
      </c>
      <c r="H13494">
        <v>0.80030000000000001</v>
      </c>
      <c r="I13494" t="s">
        <v>7661</v>
      </c>
      <c r="J13494" t="s">
        <v>59</v>
      </c>
      <c r="K13494" t="str">
        <f>"6F3"</f>
        <v>6F3</v>
      </c>
      <c r="L13494" t="s">
        <v>15</v>
      </c>
    </row>
    <row r="13495" spans="1:12" x14ac:dyDescent="0.25">
      <c r="A13495" t="str">
        <f>"9955285703"</f>
        <v>9955285703</v>
      </c>
      <c r="B13495" t="str">
        <f t="shared" si="569"/>
        <v>89301000</v>
      </c>
      <c r="C13495" s="1">
        <v>44437</v>
      </c>
      <c r="D13495" s="1">
        <v>44441</v>
      </c>
      <c r="E13495">
        <v>1</v>
      </c>
      <c r="F13495" t="s">
        <v>81</v>
      </c>
      <c r="G13495" t="str">
        <f>"10-I13-03"</f>
        <v>10-I13-03</v>
      </c>
      <c r="H13495">
        <v>0.90449999999999997</v>
      </c>
      <c r="J13495" t="s">
        <v>24</v>
      </c>
      <c r="K13495" t="str">
        <f>"5F1"</f>
        <v>5F1</v>
      </c>
      <c r="L13495" t="s">
        <v>15</v>
      </c>
    </row>
    <row r="13496" spans="1:12" x14ac:dyDescent="0.25">
      <c r="A13496" t="str">
        <f>"9956036178"</f>
        <v>9956036178</v>
      </c>
      <c r="B13496" t="str">
        <f t="shared" si="569"/>
        <v>89301000</v>
      </c>
      <c r="C13496" s="1">
        <v>44530</v>
      </c>
      <c r="D13496" s="1">
        <v>44540</v>
      </c>
      <c r="E13496">
        <v>1</v>
      </c>
      <c r="F13496" t="s">
        <v>2281</v>
      </c>
      <c r="G13496" t="str">
        <f>"19-K04-02"</f>
        <v>19-K04-02</v>
      </c>
      <c r="H13496">
        <v>1.4597</v>
      </c>
      <c r="I13496" t="s">
        <v>8440</v>
      </c>
      <c r="J13496" t="s">
        <v>27</v>
      </c>
      <c r="K13496" t="str">
        <f>"3F5"</f>
        <v>3F5</v>
      </c>
      <c r="L13496" t="s">
        <v>15</v>
      </c>
    </row>
    <row r="13497" spans="1:12" x14ac:dyDescent="0.25">
      <c r="A13497" t="str">
        <f>"9956036178"</f>
        <v>9956036178</v>
      </c>
      <c r="B13497" t="str">
        <f t="shared" si="569"/>
        <v>89301000</v>
      </c>
      <c r="C13497" s="1">
        <v>44419</v>
      </c>
      <c r="D13497" s="1">
        <v>44434</v>
      </c>
      <c r="E13497">
        <v>1</v>
      </c>
      <c r="F13497" t="s">
        <v>2977</v>
      </c>
      <c r="G13497" t="str">
        <f>"19-K05-02"</f>
        <v>19-K05-02</v>
      </c>
      <c r="H13497">
        <v>1.8835999999999999</v>
      </c>
      <c r="I13497" t="s">
        <v>8441</v>
      </c>
      <c r="J13497" t="s">
        <v>27</v>
      </c>
      <c r="K13497" t="str">
        <f>"3F5"</f>
        <v>3F5</v>
      </c>
      <c r="L13497" t="s">
        <v>15</v>
      </c>
    </row>
    <row r="13498" spans="1:12" x14ac:dyDescent="0.25">
      <c r="A13498" t="str">
        <f>"9956045748"</f>
        <v>9956045748</v>
      </c>
      <c r="B13498" t="str">
        <f t="shared" si="569"/>
        <v>89301000</v>
      </c>
      <c r="C13498" s="1">
        <v>44463</v>
      </c>
      <c r="D13498" s="1">
        <v>44482</v>
      </c>
      <c r="E13498">
        <v>1</v>
      </c>
      <c r="F13498" t="s">
        <v>7743</v>
      </c>
      <c r="G13498" t="str">
        <f>"20-K05-02"</f>
        <v>20-K05-02</v>
      </c>
      <c r="H13498">
        <v>1.9813000000000001</v>
      </c>
      <c r="I13498" t="s">
        <v>271</v>
      </c>
      <c r="J13498" t="s">
        <v>14</v>
      </c>
      <c r="K13498" t="str">
        <f>"3F5"</f>
        <v>3F5</v>
      </c>
      <c r="L13498" t="s">
        <v>15</v>
      </c>
    </row>
    <row r="13499" spans="1:12" x14ac:dyDescent="0.25">
      <c r="A13499" t="str">
        <f>"9956065713"</f>
        <v>9956065713</v>
      </c>
      <c r="B13499" t="str">
        <f t="shared" si="569"/>
        <v>89301000</v>
      </c>
      <c r="C13499" s="1">
        <v>44286</v>
      </c>
      <c r="D13499" s="1">
        <v>44289</v>
      </c>
      <c r="E13499">
        <v>1</v>
      </c>
      <c r="F13499" t="s">
        <v>75</v>
      </c>
      <c r="G13499" t="str">
        <f>"14-M01-05"</f>
        <v>14-M01-05</v>
      </c>
      <c r="H13499">
        <v>0.54239999999999999</v>
      </c>
      <c r="I13499" t="s">
        <v>117</v>
      </c>
      <c r="J13499" t="s">
        <v>59</v>
      </c>
      <c r="K13499" t="str">
        <f>"6F3"</f>
        <v>6F3</v>
      </c>
      <c r="L13499" t="s">
        <v>15</v>
      </c>
    </row>
    <row r="13500" spans="1:12" x14ac:dyDescent="0.25">
      <c r="A13500" t="str">
        <f>"9956165736"</f>
        <v>9956165736</v>
      </c>
      <c r="B13500" t="str">
        <f t="shared" si="569"/>
        <v>89301000</v>
      </c>
      <c r="C13500" s="1">
        <v>44459</v>
      </c>
      <c r="D13500" s="1">
        <v>44462</v>
      </c>
      <c r="E13500">
        <v>1</v>
      </c>
      <c r="F13500" t="s">
        <v>602</v>
      </c>
      <c r="G13500" t="str">
        <f>"09-K14-02"</f>
        <v>09-K14-02</v>
      </c>
      <c r="H13500">
        <v>0.50549999999999995</v>
      </c>
      <c r="I13500" t="s">
        <v>8113</v>
      </c>
      <c r="J13500" t="s">
        <v>14</v>
      </c>
      <c r="K13500" t="str">
        <f>"4F4"</f>
        <v>4F4</v>
      </c>
      <c r="L13500" t="s">
        <v>15</v>
      </c>
    </row>
    <row r="13501" spans="1:12" x14ac:dyDescent="0.25">
      <c r="A13501" t="str">
        <f>"9956224388"</f>
        <v>9956224388</v>
      </c>
      <c r="B13501" t="str">
        <f t="shared" si="569"/>
        <v>89301000</v>
      </c>
      <c r="C13501" s="1">
        <v>44431</v>
      </c>
      <c r="D13501" s="1">
        <v>44469</v>
      </c>
      <c r="E13501">
        <v>1</v>
      </c>
      <c r="F13501" t="s">
        <v>77</v>
      </c>
      <c r="G13501" t="str">
        <f>"19-K08-02"</f>
        <v>19-K08-02</v>
      </c>
      <c r="H13501">
        <v>4.1917</v>
      </c>
      <c r="I13501" t="s">
        <v>8442</v>
      </c>
      <c r="J13501" t="s">
        <v>27</v>
      </c>
      <c r="K13501" t="str">
        <f>"3F5"</f>
        <v>3F5</v>
      </c>
      <c r="L13501" t="s">
        <v>15</v>
      </c>
    </row>
    <row r="13502" spans="1:12" x14ac:dyDescent="0.25">
      <c r="A13502" t="str">
        <f>"9956255705"</f>
        <v>9956255705</v>
      </c>
      <c r="B13502" t="str">
        <f t="shared" si="569"/>
        <v>89301000</v>
      </c>
      <c r="C13502" s="1">
        <v>44347</v>
      </c>
      <c r="D13502" s="1">
        <v>44348</v>
      </c>
      <c r="E13502">
        <v>1</v>
      </c>
      <c r="F13502" t="s">
        <v>8443</v>
      </c>
      <c r="G13502" t="str">
        <f>"21-K05-03"</f>
        <v>21-K05-03</v>
      </c>
      <c r="H13502">
        <v>0.46750000000000003</v>
      </c>
      <c r="I13502" t="s">
        <v>8444</v>
      </c>
      <c r="J13502" t="s">
        <v>14</v>
      </c>
      <c r="K13502" t="str">
        <f>"1F1"</f>
        <v>1F1</v>
      </c>
      <c r="L13502" t="s">
        <v>15</v>
      </c>
    </row>
    <row r="13503" spans="1:12" x14ac:dyDescent="0.25">
      <c r="A13503" t="str">
        <f>"9957134869"</f>
        <v>9957134869</v>
      </c>
      <c r="B13503" t="str">
        <f t="shared" si="569"/>
        <v>89301000</v>
      </c>
      <c r="C13503" s="1">
        <v>44538</v>
      </c>
      <c r="D13503" s="1">
        <v>44550</v>
      </c>
      <c r="E13503">
        <v>1</v>
      </c>
      <c r="F13503" t="s">
        <v>79</v>
      </c>
      <c r="G13503" t="str">
        <f>"10-R02-01"</f>
        <v>10-R02-01</v>
      </c>
      <c r="H13503">
        <v>0.99460000000000004</v>
      </c>
      <c r="I13503" t="s">
        <v>80</v>
      </c>
      <c r="J13503" t="s">
        <v>24</v>
      </c>
      <c r="K13503" t="str">
        <f>"4F7"</f>
        <v>4F7</v>
      </c>
      <c r="L13503" t="s">
        <v>15</v>
      </c>
    </row>
    <row r="13504" spans="1:12" x14ac:dyDescent="0.25">
      <c r="A13504" t="str">
        <f>"9957134869"</f>
        <v>9957134869</v>
      </c>
      <c r="B13504" t="str">
        <f t="shared" si="569"/>
        <v>89301000</v>
      </c>
      <c r="C13504" s="1">
        <v>44256</v>
      </c>
      <c r="D13504" s="1">
        <v>44265</v>
      </c>
      <c r="E13504">
        <v>1</v>
      </c>
      <c r="F13504" t="s">
        <v>79</v>
      </c>
      <c r="G13504" t="str">
        <f>"10-R02-01"</f>
        <v>10-R02-01</v>
      </c>
      <c r="H13504">
        <v>0.9698</v>
      </c>
      <c r="I13504" t="s">
        <v>80</v>
      </c>
      <c r="J13504" t="s">
        <v>24</v>
      </c>
      <c r="K13504" t="str">
        <f>"4F7"</f>
        <v>4F7</v>
      </c>
      <c r="L13504" t="s">
        <v>15</v>
      </c>
    </row>
    <row r="13505" spans="1:12" x14ac:dyDescent="0.25">
      <c r="A13505" t="str">
        <f>"9957215719"</f>
        <v>9957215719</v>
      </c>
      <c r="B13505" t="str">
        <f t="shared" si="569"/>
        <v>89301000</v>
      </c>
      <c r="C13505" s="1">
        <v>44398</v>
      </c>
      <c r="D13505" s="1">
        <v>44402</v>
      </c>
      <c r="E13505">
        <v>1</v>
      </c>
      <c r="F13505" t="s">
        <v>75</v>
      </c>
      <c r="G13505" t="str">
        <f>"14-M01-05"</f>
        <v>14-M01-05</v>
      </c>
      <c r="H13505">
        <v>0.54239999999999999</v>
      </c>
      <c r="I13505" t="s">
        <v>7346</v>
      </c>
      <c r="J13505" t="s">
        <v>59</v>
      </c>
      <c r="K13505" t="str">
        <f>"6F3"</f>
        <v>6F3</v>
      </c>
      <c r="L13505" t="s">
        <v>15</v>
      </c>
    </row>
    <row r="13506" spans="1:12" x14ac:dyDescent="0.25">
      <c r="A13506" t="str">
        <f>"9957285701"</f>
        <v>9957285701</v>
      </c>
      <c r="B13506" t="str">
        <f t="shared" si="569"/>
        <v>89301000</v>
      </c>
      <c r="C13506" s="1">
        <v>44335</v>
      </c>
      <c r="D13506" s="1">
        <v>44340</v>
      </c>
      <c r="E13506">
        <v>1</v>
      </c>
      <c r="F13506" t="s">
        <v>767</v>
      </c>
      <c r="G13506" t="str">
        <f>"03-I17-00"</f>
        <v>03-I17-00</v>
      </c>
      <c r="H13506">
        <v>0.84960000000000002</v>
      </c>
      <c r="I13506" t="s">
        <v>114</v>
      </c>
      <c r="J13506" t="s">
        <v>24</v>
      </c>
      <c r="K13506" t="str">
        <f>"7F1"</f>
        <v>7F1</v>
      </c>
      <c r="L13506" t="s">
        <v>15</v>
      </c>
    </row>
    <row r="13507" spans="1:12" x14ac:dyDescent="0.25">
      <c r="A13507" t="str">
        <f>"9957294853"</f>
        <v>9957294853</v>
      </c>
      <c r="B13507" t="str">
        <f t="shared" si="569"/>
        <v>89301000</v>
      </c>
      <c r="C13507" s="1">
        <v>44245</v>
      </c>
      <c r="D13507" s="1">
        <v>44248</v>
      </c>
      <c r="E13507">
        <v>1</v>
      </c>
      <c r="F13507" t="s">
        <v>111</v>
      </c>
      <c r="G13507" t="str">
        <f>"08-M03-02"</f>
        <v>08-M03-02</v>
      </c>
      <c r="H13507">
        <v>0.86970000000000003</v>
      </c>
      <c r="I13507" t="s">
        <v>309</v>
      </c>
      <c r="J13507" t="s">
        <v>14</v>
      </c>
      <c r="K13507" t="str">
        <f>"6F6"</f>
        <v>6F6</v>
      </c>
      <c r="L13507" t="s">
        <v>15</v>
      </c>
    </row>
    <row r="13508" spans="1:12" x14ac:dyDescent="0.25">
      <c r="A13508" t="str">
        <f>"9958155713"</f>
        <v>9958155713</v>
      </c>
      <c r="B13508" t="str">
        <f t="shared" si="569"/>
        <v>89301000</v>
      </c>
      <c r="C13508" s="1">
        <v>44550</v>
      </c>
      <c r="D13508" s="1">
        <v>44553</v>
      </c>
      <c r="E13508">
        <v>1</v>
      </c>
      <c r="F13508" t="s">
        <v>8445</v>
      </c>
      <c r="G13508" t="str">
        <f>"08-I31-04"</f>
        <v>08-I31-04</v>
      </c>
      <c r="H13508">
        <v>0.50949999999999995</v>
      </c>
      <c r="J13508" t="s">
        <v>14</v>
      </c>
      <c r="K13508" t="str">
        <f>"6F6"</f>
        <v>6F6</v>
      </c>
      <c r="L13508" t="s">
        <v>15</v>
      </c>
    </row>
    <row r="13509" spans="1:12" x14ac:dyDescent="0.25">
      <c r="A13509" t="str">
        <f>"9958215751"</f>
        <v>9958215751</v>
      </c>
      <c r="B13509" t="str">
        <f t="shared" si="569"/>
        <v>89301000</v>
      </c>
      <c r="C13509" s="1">
        <v>44250</v>
      </c>
      <c r="D13509" s="1">
        <v>44254</v>
      </c>
      <c r="E13509">
        <v>1</v>
      </c>
      <c r="F13509" t="s">
        <v>75</v>
      </c>
      <c r="G13509" t="str">
        <f>"14-M01-05"</f>
        <v>14-M01-05</v>
      </c>
      <c r="H13509">
        <v>0.54239999999999999</v>
      </c>
      <c r="I13509" t="s">
        <v>180</v>
      </c>
      <c r="J13509" t="s">
        <v>59</v>
      </c>
      <c r="K13509" t="str">
        <f>"6F3"</f>
        <v>6F3</v>
      </c>
      <c r="L13509" t="s">
        <v>15</v>
      </c>
    </row>
    <row r="13510" spans="1:12" x14ac:dyDescent="0.25">
      <c r="A13510" t="str">
        <f>"9958235716"</f>
        <v>9958235716</v>
      </c>
      <c r="B13510" t="str">
        <f t="shared" si="569"/>
        <v>89301000</v>
      </c>
      <c r="C13510" s="1">
        <v>44323</v>
      </c>
      <c r="D13510" s="1">
        <v>44328</v>
      </c>
      <c r="E13510">
        <v>1</v>
      </c>
      <c r="F13510" t="s">
        <v>75</v>
      </c>
      <c r="G13510" t="str">
        <f>"14-M01-05"</f>
        <v>14-M01-05</v>
      </c>
      <c r="H13510">
        <v>0.54239999999999999</v>
      </c>
      <c r="I13510" t="s">
        <v>7532</v>
      </c>
      <c r="J13510" t="s">
        <v>59</v>
      </c>
      <c r="K13510" t="str">
        <f>"6F3"</f>
        <v>6F3</v>
      </c>
      <c r="L13510" t="s">
        <v>15</v>
      </c>
    </row>
    <row r="13511" spans="1:12" x14ac:dyDescent="0.25">
      <c r="A13511" t="str">
        <f>"9958276064"</f>
        <v>9958276064</v>
      </c>
      <c r="B13511" t="str">
        <f t="shared" si="569"/>
        <v>89301000</v>
      </c>
      <c r="C13511" s="1">
        <v>44239</v>
      </c>
      <c r="D13511" s="1">
        <v>44244</v>
      </c>
      <c r="E13511">
        <v>1</v>
      </c>
      <c r="F13511" t="s">
        <v>82</v>
      </c>
      <c r="G13511" t="str">
        <f>"14-I01-05"</f>
        <v>14-I01-05</v>
      </c>
      <c r="H13511">
        <v>0.80030000000000001</v>
      </c>
      <c r="I13511" t="s">
        <v>8446</v>
      </c>
      <c r="J13511" t="s">
        <v>59</v>
      </c>
      <c r="K13511" t="str">
        <f>"6F3"</f>
        <v>6F3</v>
      </c>
      <c r="L13511" t="s">
        <v>15</v>
      </c>
    </row>
    <row r="13512" spans="1:12" x14ac:dyDescent="0.25">
      <c r="A13512" t="str">
        <f>"9959086170"</f>
        <v>9959086170</v>
      </c>
      <c r="B13512" t="str">
        <f t="shared" si="569"/>
        <v>89301000</v>
      </c>
      <c r="C13512" s="1">
        <v>44490</v>
      </c>
      <c r="D13512" s="1">
        <v>44493</v>
      </c>
      <c r="E13512">
        <v>1</v>
      </c>
      <c r="F13512" t="s">
        <v>82</v>
      </c>
      <c r="G13512" t="str">
        <f>"14-I01-05"</f>
        <v>14-I01-05</v>
      </c>
      <c r="H13512">
        <v>0.80030000000000001</v>
      </c>
      <c r="I13512" t="s">
        <v>8447</v>
      </c>
      <c r="J13512" t="s">
        <v>59</v>
      </c>
      <c r="K13512" t="str">
        <f>"6F3"</f>
        <v>6F3</v>
      </c>
      <c r="L13512" t="s">
        <v>15</v>
      </c>
    </row>
    <row r="13513" spans="1:12" x14ac:dyDescent="0.25">
      <c r="A13513" t="str">
        <f>"9959124846"</f>
        <v>9959124846</v>
      </c>
      <c r="B13513" t="str">
        <f t="shared" si="569"/>
        <v>89301000</v>
      </c>
      <c r="C13513" s="1">
        <v>44525</v>
      </c>
      <c r="D13513" s="1">
        <v>44526</v>
      </c>
      <c r="E13513">
        <v>1</v>
      </c>
      <c r="F13513" t="s">
        <v>187</v>
      </c>
      <c r="G13513" t="str">
        <f>"14-I08-03"</f>
        <v>14-I08-03</v>
      </c>
      <c r="H13513">
        <v>0.21099999999999999</v>
      </c>
      <c r="J13513" t="s">
        <v>14</v>
      </c>
      <c r="K13513" t="str">
        <f>"6F3"</f>
        <v>6F3</v>
      </c>
      <c r="L13513" t="s">
        <v>15</v>
      </c>
    </row>
    <row r="13514" spans="1:12" x14ac:dyDescent="0.25">
      <c r="A13514" t="str">
        <f>"9959134856"</f>
        <v>9959134856</v>
      </c>
      <c r="B13514" t="str">
        <f t="shared" si="569"/>
        <v>89301000</v>
      </c>
      <c r="C13514" s="1">
        <v>44365</v>
      </c>
      <c r="D13514" s="1">
        <v>44369</v>
      </c>
      <c r="E13514">
        <v>5</v>
      </c>
      <c r="F13514" t="s">
        <v>208</v>
      </c>
      <c r="G13514" t="str">
        <f>"08-I03-05"</f>
        <v>08-I03-05</v>
      </c>
      <c r="H13514">
        <v>3.4518</v>
      </c>
      <c r="I13514" t="s">
        <v>8448</v>
      </c>
      <c r="J13514" t="s">
        <v>17</v>
      </c>
      <c r="K13514" t="str">
        <f>"5F6"</f>
        <v>5F6</v>
      </c>
      <c r="L13514" t="s">
        <v>15</v>
      </c>
    </row>
    <row r="13515" spans="1:12" x14ac:dyDescent="0.25">
      <c r="A13515" t="str">
        <f>"9959175710"</f>
        <v>9959175710</v>
      </c>
      <c r="B13515" t="str">
        <f t="shared" si="569"/>
        <v>89301000</v>
      </c>
      <c r="C13515" s="1">
        <v>44499</v>
      </c>
      <c r="D13515" s="1">
        <v>44501</v>
      </c>
      <c r="E13515">
        <v>1</v>
      </c>
      <c r="F13515" t="s">
        <v>75</v>
      </c>
      <c r="G13515" t="str">
        <f>"14-M01-05"</f>
        <v>14-M01-05</v>
      </c>
      <c r="H13515">
        <v>0.54239999999999999</v>
      </c>
      <c r="I13515" t="s">
        <v>7900</v>
      </c>
      <c r="J13515" t="s">
        <v>59</v>
      </c>
      <c r="K13515" t="str">
        <f>"6F3"</f>
        <v>6F3</v>
      </c>
      <c r="L13515" t="s">
        <v>15</v>
      </c>
    </row>
    <row r="13516" spans="1:12" x14ac:dyDescent="0.25">
      <c r="A13516" t="str">
        <f>"9959244878"</f>
        <v>9959244878</v>
      </c>
      <c r="B13516" t="str">
        <f t="shared" si="569"/>
        <v>89301000</v>
      </c>
      <c r="C13516" s="1">
        <v>44272</v>
      </c>
      <c r="D13516" s="1">
        <v>44276</v>
      </c>
      <c r="E13516">
        <v>4</v>
      </c>
      <c r="F13516" t="s">
        <v>1888</v>
      </c>
      <c r="G13516" t="str">
        <f>"09-I03-00"</f>
        <v>09-I03-00</v>
      </c>
      <c r="H13516">
        <v>2.5417000000000001</v>
      </c>
      <c r="I13516" t="s">
        <v>8449</v>
      </c>
      <c r="J13516" t="s">
        <v>24</v>
      </c>
      <c r="K13516" t="str">
        <f>"5T6"</f>
        <v>5T6</v>
      </c>
      <c r="L13516" t="s">
        <v>15</v>
      </c>
    </row>
    <row r="13517" spans="1:12" x14ac:dyDescent="0.25">
      <c r="A13517" t="str">
        <f>"9959294851"</f>
        <v>9959294851</v>
      </c>
      <c r="B13517" t="str">
        <f t="shared" si="569"/>
        <v>89301000</v>
      </c>
      <c r="C13517" s="1">
        <v>44314</v>
      </c>
      <c r="D13517" s="1">
        <v>44318</v>
      </c>
      <c r="E13517">
        <v>1</v>
      </c>
      <c r="F13517" t="s">
        <v>61</v>
      </c>
      <c r="G13517" t="str">
        <f>"14-I01-01"</f>
        <v>14-I01-01</v>
      </c>
      <c r="H13517">
        <v>1.5294000000000001</v>
      </c>
      <c r="I13517" t="s">
        <v>8450</v>
      </c>
      <c r="J13517" t="s">
        <v>59</v>
      </c>
      <c r="K13517" t="str">
        <f>"6F3"</f>
        <v>6F3</v>
      </c>
      <c r="L13517" t="s">
        <v>15</v>
      </c>
    </row>
    <row r="13518" spans="1:12" x14ac:dyDescent="0.25">
      <c r="A13518" t="str">
        <f>"9960124845"</f>
        <v>9960124845</v>
      </c>
      <c r="B13518" t="str">
        <f t="shared" si="569"/>
        <v>89301000</v>
      </c>
      <c r="C13518" s="1">
        <v>44210</v>
      </c>
      <c r="D13518" s="1">
        <v>44216</v>
      </c>
      <c r="E13518">
        <v>1</v>
      </c>
      <c r="F13518" t="s">
        <v>130</v>
      </c>
      <c r="G13518" t="str">
        <f>"19-K02-03"</f>
        <v>19-K02-03</v>
      </c>
      <c r="H13518">
        <v>0.67269999999999996</v>
      </c>
      <c r="I13518" t="s">
        <v>8451</v>
      </c>
      <c r="J13518" t="s">
        <v>27</v>
      </c>
      <c r="K13518" t="str">
        <f>"3F5"</f>
        <v>3F5</v>
      </c>
      <c r="L13518" t="s">
        <v>15</v>
      </c>
    </row>
    <row r="13519" spans="1:12" x14ac:dyDescent="0.25">
      <c r="A13519" t="str">
        <f>"9960275699"</f>
        <v>9960275699</v>
      </c>
      <c r="B13519" t="str">
        <f t="shared" si="569"/>
        <v>89301000</v>
      </c>
      <c r="C13519" s="1">
        <v>44469</v>
      </c>
      <c r="D13519" s="1">
        <v>44473</v>
      </c>
      <c r="E13519">
        <v>1</v>
      </c>
      <c r="F13519" t="s">
        <v>114</v>
      </c>
      <c r="G13519" t="str">
        <f>"03-I17-00"</f>
        <v>03-I17-00</v>
      </c>
      <c r="H13519">
        <v>0.84960000000000002</v>
      </c>
      <c r="I13519" t="s">
        <v>767</v>
      </c>
      <c r="J13519" t="s">
        <v>24</v>
      </c>
      <c r="K13519" t="str">
        <f>"7F1"</f>
        <v>7F1</v>
      </c>
      <c r="L13519" t="s">
        <v>15</v>
      </c>
    </row>
    <row r="13520" spans="1:12" x14ac:dyDescent="0.25">
      <c r="A13520" t="str">
        <f>"9960315717"</f>
        <v>9960315717</v>
      </c>
      <c r="B13520" t="str">
        <f t="shared" si="569"/>
        <v>89301000</v>
      </c>
      <c r="C13520" s="1">
        <v>44321</v>
      </c>
      <c r="D13520" s="1">
        <v>44325</v>
      </c>
      <c r="E13520">
        <v>1</v>
      </c>
      <c r="F13520" t="s">
        <v>75</v>
      </c>
      <c r="G13520" t="str">
        <f>"14-M01-05"</f>
        <v>14-M01-05</v>
      </c>
      <c r="H13520">
        <v>0.54239999999999999</v>
      </c>
      <c r="I13520" t="s">
        <v>118</v>
      </c>
      <c r="J13520" t="s">
        <v>59</v>
      </c>
      <c r="K13520" t="str">
        <f>"6F3"</f>
        <v>6F3</v>
      </c>
      <c r="L13520" t="s">
        <v>15</v>
      </c>
    </row>
    <row r="13521" spans="1:12" x14ac:dyDescent="0.25">
      <c r="A13521" t="str">
        <f>"9960315915"</f>
        <v>9960315915</v>
      </c>
      <c r="B13521" t="str">
        <f t="shared" si="569"/>
        <v>89301000</v>
      </c>
      <c r="C13521" s="1">
        <v>44505</v>
      </c>
      <c r="D13521" s="1">
        <v>44506</v>
      </c>
      <c r="E13521">
        <v>1</v>
      </c>
      <c r="F13521" t="s">
        <v>8452</v>
      </c>
      <c r="G13521" t="str">
        <f>"09-I13-04"</f>
        <v>09-I13-04</v>
      </c>
      <c r="H13521">
        <v>0.57730000000000004</v>
      </c>
      <c r="I13521" t="s">
        <v>163</v>
      </c>
      <c r="J13521" t="s">
        <v>14</v>
      </c>
      <c r="K13521" t="str">
        <f>"6F1"</f>
        <v>6F1</v>
      </c>
      <c r="L13521" t="s">
        <v>15</v>
      </c>
    </row>
  </sheetData>
  <autoFilter ref="A1:L1352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DRGCZ_89301000_2021_05092022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Florčík Petr</dc:creator>
  <cp:lastModifiedBy>Florčík Petr</cp:lastModifiedBy>
  <dcterms:created xsi:type="dcterms:W3CDTF">2022-09-14T06:22:34Z</dcterms:created>
  <dcterms:modified xsi:type="dcterms:W3CDTF">2022-09-14T06:24:44Z</dcterms:modified>
</cp:coreProperties>
</file>